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7" sheetId="1" r:id="rId4"/>
    <sheet state="visible" name="map7 (копия)" sheetId="2" r:id="rId5"/>
    <sheet state="visible" name="Реестр объектов" sheetId="3" r:id="rId6"/>
    <sheet state="visible" name="Реестр объектов (копия)" sheetId="4" r:id="rId7"/>
    <sheet state="visible" name="Инспектора" sheetId="5" r:id="rId8"/>
    <sheet state="visible" name="АРХИВ" sheetId="6" r:id="rId9"/>
    <sheet state="visible" name="АРХИВ (копия)" sheetId="7" r:id="rId10"/>
    <sheet state="visible" name="АРХИВ_РАБОЧИХ_ДНЕЙ" sheetId="8" r:id="rId11"/>
    <sheet state="visible" name="АРХИВ_РАБОЧИХ_ДНЕЙ (копия)" sheetId="9" r:id="rId12"/>
    <sheet state="visible" name="Лист7" sheetId="10" r:id="rId13"/>
    <sheet state="visible" name="289" sheetId="11" r:id="rId14"/>
  </sheets>
  <definedNames>
    <definedName hidden="1" localSheetId="2" name="_xlnm._FilterDatabase">'Реестр объектов'!$A$13:$Z$1634</definedName>
    <definedName hidden="1" localSheetId="3" name="_xlnm._FilterDatabase">'Реестр объектов (копия)'!$A$12:$Z$1975</definedName>
  </definedNames>
  <calcPr/>
</workbook>
</file>

<file path=xl/sharedStrings.xml><?xml version="1.0" encoding="utf-8"?>
<sst xmlns="http://schemas.openxmlformats.org/spreadsheetml/2006/main" count="18105" uniqueCount="3555">
  <si>
    <t>№ точки</t>
  </si>
  <si>
    <t>Адрес</t>
  </si>
  <si>
    <t>Широта</t>
  </si>
  <si>
    <t>Долгота</t>
  </si>
  <si>
    <t>инспектор</t>
  </si>
  <si>
    <t>Список</t>
  </si>
  <si>
    <t>Время/дата входа</t>
  </si>
  <si>
    <t>Время/дата выхода</t>
  </si>
  <si>
    <t>Время на  объекте</t>
  </si>
  <si>
    <t>Ссылка на чек</t>
  </si>
  <si>
    <t>Ссылка на яндекс</t>
  </si>
  <si>
    <t>Предыдущий инспектор</t>
  </si>
  <si>
    <t>Инспектор</t>
  </si>
  <si>
    <t>Время открытия рабочего дня</t>
  </si>
  <si>
    <t>Координаты открытия дня</t>
  </si>
  <si>
    <t>Время закрытия рабочего дня</t>
  </si>
  <si>
    <t>Координаты закрытия дня</t>
  </si>
  <si>
    <t>Наволокин Андрей Александрович</t>
  </si>
  <si>
    <t>55.891891891891895, 37.497629338494576</t>
  </si>
  <si>
    <t>Поляков Сергей Алексеевич</t>
  </si>
  <si>
    <t>55.972911479310675, 37.431479050169955</t>
  </si>
  <si>
    <t>Лашин Александр Николаевич</t>
  </si>
  <si>
    <t>55.7991937, 37.777514</t>
  </si>
  <si>
    <t>Джинджолия Леван Раульевич</t>
  </si>
  <si>
    <t>55.712123749999996, 37.737975</t>
  </si>
  <si>
    <t>Гытлан Роман Валентинович</t>
  </si>
  <si>
    <t>55.6724904, 37.7444511</t>
  </si>
  <si>
    <t>Удалкин Иван Вячеславович</t>
  </si>
  <si>
    <t>55.63512225578537, 37.64980215579271</t>
  </si>
  <si>
    <t>Осипенко Юрий Владимирович</t>
  </si>
  <si>
    <t>55.3860511, 37.4123357</t>
  </si>
  <si>
    <t>Данилов Семен Юрьевич</t>
  </si>
  <si>
    <t>55.3084117, 37.3676117</t>
  </si>
  <si>
    <t>Терехин Александр Андреевич</t>
  </si>
  <si>
    <t>55.5761512, 37.236635</t>
  </si>
  <si>
    <t>Пулатов Алекс Шухратович</t>
  </si>
  <si>
    <t>55.6803906, 37.3412664</t>
  </si>
  <si>
    <t>Макаров Илья Алексеевич</t>
  </si>
  <si>
    <t>Куликов Илья Александрович</t>
  </si>
  <si>
    <t>Шурпаев Нажмутдин Гаджиатаевич</t>
  </si>
  <si>
    <t>Старостин Кирилл Владимирович</t>
  </si>
  <si>
    <t>Дрозд Александр Викторович</t>
  </si>
  <si>
    <t>55.7002553, 37.7818266</t>
  </si>
  <si>
    <t>Иванов Иван Иванович</t>
  </si>
  <si>
    <t>713</t>
  </si>
  <si>
    <t>Admin</t>
  </si>
  <si>
    <t>МФР 26</t>
  </si>
  <si>
    <t>700</t>
  </si>
  <si>
    <t>738</t>
  </si>
  <si>
    <t>740</t>
  </si>
  <si>
    <t>661</t>
  </si>
  <si>
    <t>636</t>
  </si>
  <si>
    <t>624</t>
  </si>
  <si>
    <t>802</t>
  </si>
  <si>
    <t>805</t>
  </si>
  <si>
    <t>40 мин</t>
  </si>
  <si>
    <t>609</t>
  </si>
  <si>
    <t>644</t>
  </si>
  <si>
    <t>605</t>
  </si>
  <si>
    <t>39 мин</t>
  </si>
  <si>
    <t>728</t>
  </si>
  <si>
    <t>645</t>
  </si>
  <si>
    <t>550</t>
  </si>
  <si>
    <t>655</t>
  </si>
  <si>
    <t>712</t>
  </si>
  <si>
    <t>698</t>
  </si>
  <si>
    <t>653</t>
  </si>
  <si>
    <t>694</t>
  </si>
  <si>
    <t>666</t>
  </si>
  <si>
    <t>961</t>
  </si>
  <si>
    <t>673</t>
  </si>
  <si>
    <t>819</t>
  </si>
  <si>
    <t>596</t>
  </si>
  <si>
    <t>625</t>
  </si>
  <si>
    <t>695</t>
  </si>
  <si>
    <t>659</t>
  </si>
  <si>
    <t>714</t>
  </si>
  <si>
    <t>571</t>
  </si>
  <si>
    <t>682</t>
  </si>
  <si>
    <t>827</t>
  </si>
  <si>
    <t>598</t>
  </si>
  <si>
    <t>829</t>
  </si>
  <si>
    <t>103 мин</t>
  </si>
  <si>
    <t>832</t>
  </si>
  <si>
    <t>717</t>
  </si>
  <si>
    <t>1156</t>
  </si>
  <si>
    <t>622</t>
  </si>
  <si>
    <t>634</t>
  </si>
  <si>
    <t>621</t>
  </si>
  <si>
    <t>647</t>
  </si>
  <si>
    <t>573</t>
  </si>
  <si>
    <t>618</t>
  </si>
  <si>
    <t>637</t>
  </si>
  <si>
    <t>620</t>
  </si>
  <si>
    <t>930</t>
  </si>
  <si>
    <t>923</t>
  </si>
  <si>
    <t>108 мин</t>
  </si>
  <si>
    <t>611</t>
  </si>
  <si>
    <t>719</t>
  </si>
  <si>
    <t>687</t>
  </si>
  <si>
    <t>731</t>
  </si>
  <si>
    <t>688</t>
  </si>
  <si>
    <t>91 мин</t>
  </si>
  <si>
    <t>675</t>
  </si>
  <si>
    <t>729</t>
  </si>
  <si>
    <t>690</t>
  </si>
  <si>
    <t>654</t>
  </si>
  <si>
    <t>649</t>
  </si>
  <si>
    <t>117 мин</t>
  </si>
  <si>
    <t>971</t>
  </si>
  <si>
    <t>99 мин</t>
  </si>
  <si>
    <t>792</t>
  </si>
  <si>
    <t>583</t>
  </si>
  <si>
    <t>900</t>
  </si>
  <si>
    <t>1332</t>
  </si>
  <si>
    <t>926</t>
  </si>
  <si>
    <t>959</t>
  </si>
  <si>
    <t>709</t>
  </si>
  <si>
    <t>640</t>
  </si>
  <si>
    <t>676</t>
  </si>
  <si>
    <t>739</t>
  </si>
  <si>
    <t>726</t>
  </si>
  <si>
    <t>761</t>
  </si>
  <si>
    <t>76 мин</t>
  </si>
  <si>
    <t>763</t>
  </si>
  <si>
    <t>920</t>
  </si>
  <si>
    <t>Комплекс производственных объектов. Котельная</t>
  </si>
  <si>
    <t>55.884267</t>
  </si>
  <si>
    <t>37.626924</t>
  </si>
  <si>
    <t>СПЕЦ. СКУД</t>
  </si>
  <si>
    <t>Комплекс производственных объектов. Проектируемое здание охраны (проходная)</t>
  </si>
  <si>
    <t>Производственно-складское здание</t>
  </si>
  <si>
    <t>55.834790</t>
  </si>
  <si>
    <t>37.512703</t>
  </si>
  <si>
    <t>19 мин</t>
  </si>
  <si>
    <t>Офисно-деловой центр. Строение 1</t>
  </si>
  <si>
    <t>55.893223</t>
  </si>
  <si>
    <t>37.522522</t>
  </si>
  <si>
    <t>90 мин</t>
  </si>
  <si>
    <t>Производственно-складское здание, 1 этап</t>
  </si>
  <si>
    <t>55.885292</t>
  </si>
  <si>
    <t>37.553433</t>
  </si>
  <si>
    <t>Многофункциональное здание</t>
  </si>
  <si>
    <t>55.749972</t>
  </si>
  <si>
    <t>37.515111</t>
  </si>
  <si>
    <t>Административно-офисное здание с общественной функцией</t>
  </si>
  <si>
    <t>55.483520</t>
  </si>
  <si>
    <t>37.308732</t>
  </si>
  <si>
    <t>Многоквартирные жилые дома со встроенными нежилыми помещениями и подземной автостоянкой, Блок 10-F</t>
  </si>
  <si>
    <t>55.820420</t>
  </si>
  <si>
    <t>37.420877</t>
  </si>
  <si>
    <t>17 мин</t>
  </si>
  <si>
    <t>Многофункциональная комплексная жилая застройка, квартал 5. Торговый центр</t>
  </si>
  <si>
    <t>55.748344</t>
  </si>
  <si>
    <t>37.455772</t>
  </si>
  <si>
    <t>Офисное здание</t>
  </si>
  <si>
    <t>55.788805</t>
  </si>
  <si>
    <t>37.666200</t>
  </si>
  <si>
    <t>Творческая мастерская З.К. Церетели "Детская школа искусств"</t>
  </si>
  <si>
    <t>55.741404</t>
  </si>
  <si>
    <t>37.627894</t>
  </si>
  <si>
    <t>Производственное здание</t>
  </si>
  <si>
    <t>55.492156</t>
  </si>
  <si>
    <t>37.560484</t>
  </si>
  <si>
    <t>Жилой комплекс с нежилыми помещениями, подземной автостоянкой и отдельно стоящим дошкольным образовательным учреждением. ДОУ</t>
  </si>
  <si>
    <t>55.799593</t>
  </si>
  <si>
    <t>37.776973</t>
  </si>
  <si>
    <t>45 мин</t>
  </si>
  <si>
    <t>Многофункциональный комплекс апартаментов с подземной парковкой и коммерческими помещениями</t>
  </si>
  <si>
    <t>55.723577</t>
  </si>
  <si>
    <t>37.635242</t>
  </si>
  <si>
    <t>28 мин</t>
  </si>
  <si>
    <t>Многофункциональный жилой комплекс "Лучи-2". Этап 1. Многоквартирные жилые дома. Корпус № 3</t>
  </si>
  <si>
    <t>55.643642</t>
  </si>
  <si>
    <t>37.380678</t>
  </si>
  <si>
    <t>Многофункциональный жилой комплекс «Лучи-2». Этап 1. Многоквартирные жилые дома. Корпуса № 3,4. Подземный гараж</t>
  </si>
  <si>
    <t>Многофункциональный административно-деловой центр с автомойкой</t>
  </si>
  <si>
    <t>55.612070</t>
  </si>
  <si>
    <t>37.497261</t>
  </si>
  <si>
    <t>Развертывание RSP-платформы для внедрения технологии виртуализации СИМ-карт и локализация производства</t>
  </si>
  <si>
    <t>56.015314</t>
  </si>
  <si>
    <t>37.157231</t>
  </si>
  <si>
    <t>Производственный комплекс</t>
  </si>
  <si>
    <t>55.321461</t>
  </si>
  <si>
    <t>37.164446</t>
  </si>
  <si>
    <t>51 мин</t>
  </si>
  <si>
    <t>Жилой комплекс с подземной автостоянкой, квартал В19, корпуса 1, 2</t>
  </si>
  <si>
    <t>55.789605</t>
  </si>
  <si>
    <t>37.343586</t>
  </si>
  <si>
    <t>Жилой дом с подземной автостоянкой в составе жилого комплекса. Корпус 6</t>
  </si>
  <si>
    <t>55.537342</t>
  </si>
  <si>
    <t>37.187019</t>
  </si>
  <si>
    <t>20 мин</t>
  </si>
  <si>
    <t>Склад с выставочным залом</t>
  </si>
  <si>
    <t>55.571913</t>
  </si>
  <si>
    <t>37.234841</t>
  </si>
  <si>
    <t>27 мин</t>
  </si>
  <si>
    <t>Склад №5 производственно-складского комплекса "Львово"</t>
  </si>
  <si>
    <t>55.282912</t>
  </si>
  <si>
    <t>37.111924</t>
  </si>
  <si>
    <t>34 мин</t>
  </si>
  <si>
    <t>Многоэтажная гараж-стоянка</t>
  </si>
  <si>
    <t>55.885968</t>
  </si>
  <si>
    <t>37.510170</t>
  </si>
  <si>
    <t>102 мин</t>
  </si>
  <si>
    <t>Локальные очистные сооружения производственных сточных вод производительностью 9500 м3/сут, на АО «Вимм-Билль-Данн» площадка «Лианозово»</t>
  </si>
  <si>
    <t>55.883979</t>
  </si>
  <si>
    <t>37.547594</t>
  </si>
  <si>
    <t>Физкультурно-оздоровительный комплекс с инженерными сетями и благоустройством территории</t>
  </si>
  <si>
    <t>55.852838</t>
  </si>
  <si>
    <t>37.597155</t>
  </si>
  <si>
    <t>16 мин</t>
  </si>
  <si>
    <t>Многоквартирный жилой дом, именуемый Корпус 13 со встроенно-пристроенными нежилыми помещениями и подземной автостоянкой</t>
  </si>
  <si>
    <t>55.813475</t>
  </si>
  <si>
    <t>37.425099</t>
  </si>
  <si>
    <t>21 мин</t>
  </si>
  <si>
    <t>Многоуровневый наземно-подземный паркинг на участке Т08 с размещением станции сбора мусора системы вакуумного мусороудаления и резервного узла связи</t>
  </si>
  <si>
    <t>55.787654</t>
  </si>
  <si>
    <t>37.341313</t>
  </si>
  <si>
    <t>Жилой комплекс с подземной автостоянкой, квартал В20, корпуса 1, 2</t>
  </si>
  <si>
    <t>55.788636</t>
  </si>
  <si>
    <t>37.344754</t>
  </si>
  <si>
    <t>Жилой комплекс с подземной автостоянкой, квартал В21, корпуса 1, 2, 3</t>
  </si>
  <si>
    <t>55.787277</t>
  </si>
  <si>
    <t>37.344149</t>
  </si>
  <si>
    <t>Физкультурно-оздоровительный комплекс</t>
  </si>
  <si>
    <t>55.515711</t>
  </si>
  <si>
    <t>37.345922</t>
  </si>
  <si>
    <t>Мотель "Виктория"</t>
  </si>
  <si>
    <t>55.602642</t>
  </si>
  <si>
    <t>37.480552</t>
  </si>
  <si>
    <t>33 мин</t>
  </si>
  <si>
    <t>Общественно-жилой комплекс, корп.3 с встроенным ДОУ</t>
  </si>
  <si>
    <t>55.583657</t>
  </si>
  <si>
    <t>37.472494</t>
  </si>
  <si>
    <t>32 мин</t>
  </si>
  <si>
    <t>Торговый центр. ЖК "Свобода"</t>
  </si>
  <si>
    <t>55.583907</t>
  </si>
  <si>
    <t>37.471952</t>
  </si>
  <si>
    <t>4 мин</t>
  </si>
  <si>
    <t>Общественно-жилой комплекс. Корп. 1, Корп.2.</t>
  </si>
  <si>
    <t>55.583988</t>
  </si>
  <si>
    <t>37.472818</t>
  </si>
  <si>
    <t>1 мин</t>
  </si>
  <si>
    <t>Складской комплекс</t>
  </si>
  <si>
    <t>55.599693</t>
  </si>
  <si>
    <t>37.452738</t>
  </si>
  <si>
    <t>Реконструкция и техническое перевооружение производства Открытого акционерного общества «Государственное научно-производственное предприятие «Регион»</t>
  </si>
  <si>
    <t>55.666755</t>
  </si>
  <si>
    <t>37.636852</t>
  </si>
  <si>
    <t>23 мин</t>
  </si>
  <si>
    <t>ТЦ "Русич-Троицкое"</t>
  </si>
  <si>
    <t>55.386095</t>
  </si>
  <si>
    <t>37.413480</t>
  </si>
  <si>
    <t>62 мин</t>
  </si>
  <si>
    <t>Храмовый комплекс Православного храма Вознесения Господня (Храм Вознесения Господня)</t>
  </si>
  <si>
    <t>55.566105</t>
  </si>
  <si>
    <t>37.503633</t>
  </si>
  <si>
    <t>Храмовый комплекс Православного храма Вознесения Господня</t>
  </si>
  <si>
    <t>202</t>
  </si>
  <si>
    <t>Строительство учебного корпуса на 300 мест (на месте сноса существующего здания школы), ЦАО, район Пресненский, Б. Тишинский пер., д. 39 район Пресненский, Б. Тишинский пер., д. 39</t>
  </si>
  <si>
    <t>55.768527</t>
  </si>
  <si>
    <t>37.569809</t>
  </si>
  <si>
    <t>Расторжение 
(Мон. до 20.11)</t>
  </si>
  <si>
    <t>211</t>
  </si>
  <si>
    <t>Жилой дом с инженерными коммуникациями, благоустройством, р-н Покрово-Стрешнево, ул. Лётная, участок 4 Лётная ул., участок 4</t>
  </si>
  <si>
    <t>55.824357</t>
  </si>
  <si>
    <t>37.423881</t>
  </si>
  <si>
    <t>198</t>
  </si>
  <si>
    <t>TSET</t>
  </si>
  <si>
    <t>Пробный Проба Пробавич</t>
  </si>
  <si>
    <t>б-р Яна Райниса, вл.2, к 2,3 район Северное Тушино, мкр. 4, б-р Яна Райниса, вл.2, к 2,3.</t>
  </si>
  <si>
    <t>55.852135</t>
  </si>
  <si>
    <t>37.431852</t>
  </si>
  <si>
    <t>Директор</t>
  </si>
  <si>
    <t>https://docs.google.com/spreadsheets/d/1rbCD10ySi4YZEkJW2_Slmn9z7AI1WEsGsZaIJmnnT18/edit?gid=988598667#gid=988598667</t>
  </si>
  <si>
    <t>https://disk.yandex.ru/client/disk/Осмотры%20объектов%20АНО%20СМГ/661.%20Яна%20Райниса%20б-р%2C%20влд.%202%2C%20к.%202%2C%203</t>
  </si>
  <si>
    <t>804</t>
  </si>
  <si>
    <t>ул. Маршала Бирюзова, вл. 1, корпус 1 район Щукино, ул. Маршала Бирюзова, вл. 1, корпус 1</t>
  </si>
  <si>
    <t>55.789318</t>
  </si>
  <si>
    <t>37.497921</t>
  </si>
  <si>
    <t>https://docs.google.com/spreadsheets/d/1rbCD10ySi4YZEkJW2_Slmn9z7AI1WEsGsZaIJmnnT18/edit?gid=1997450648#gid=1997450648</t>
  </si>
  <si>
    <t>https://disk.yandex.ru/client/disk/Осмотры%20объектов%20АНО%20СМГ/804.%20Жилой%20дом%20ул%20Маршала%20Бирюзова%201к1</t>
  </si>
  <si>
    <t>251</t>
  </si>
  <si>
    <t>Учебный корпус на 400 мест на месте сноса  неиспользуемого здания ДОУ,  ул. Генерала Глаголева, д. 5, к. 3 район Хорошёво-Мнёвники, ул. Генерала Глаголева, д. 5, к. 3</t>
  </si>
  <si>
    <t>55.779978</t>
  </si>
  <si>
    <t>37.457480</t>
  </si>
  <si>
    <t>https://docs.google.com/spreadsheets/d/19THEBTE9q0fhN2eApZr6BgenIvLGh0AckaYxHQfHk5w/edit?gid=1755627096#gid=1755627096</t>
  </si>
  <si>
    <t>https://disk.yandex.ru/client/disk/Осмотры%20объектов%20АНО%20СМГ/251.%20школа%20400%20мест%20Генерала%20Глаголева</t>
  </si>
  <si>
    <t>255</t>
  </si>
  <si>
    <t xml:space="preserve">ММК-Операционно-реанимационный корпус МГОБ № 62 территория инновационного центра «Сколково»,
ул. Большой бульвар, д. 69 </t>
  </si>
  <si>
    <t>55.681995</t>
  </si>
  <si>
    <t>37.339417</t>
  </si>
  <si>
    <t>Хафизов</t>
  </si>
  <si>
    <t>192 мин</t>
  </si>
  <si>
    <t>https://docs.google.com/spreadsheets/d/19THEBTE9q0fhN2eApZr6BgenIvLGh0AckaYxHQfHk5w/edit?gid=1311899156#gid=1311899156</t>
  </si>
  <si>
    <t>https://disk.yandex.ru/client/disk/Осмотры%20объектов%20АНО%20СМГ/255.%20Опер%20Блок%2062%20больница%2C%20Большой%20бул%2069</t>
  </si>
  <si>
    <t>253</t>
  </si>
  <si>
    <t xml:space="preserve">ММК - Амбулаторно-стационарный корпус МГОБ № 62 (ММЦ) территория инновационного центра «Сколково» 
ул. Большой бульвар, д. 67 </t>
  </si>
  <si>
    <t>55.681425</t>
  </si>
  <si>
    <t>37.341391</t>
  </si>
  <si>
    <t>https://docs.google.com/spreadsheets/d/19THEBTE9q0fhN2eApZr6BgenIvLGh0AckaYxHQfHk5w/edit?gid=242811066#gid=242811066</t>
  </si>
  <si>
    <t>https://disk.yandex.ru/client/disk/Осмотры%20объектов%20АНО%20СМГ/253.%20МГОБ%2062%2C%20Большой%20бульвар%2068</t>
  </si>
  <si>
    <t>299</t>
  </si>
  <si>
    <t>55.891891891891895, 37.56189262784932</t>
  </si>
  <si>
    <t>55.8582975715919, 37.56338548850041</t>
  </si>
  <si>
    <t>55.97331960752988, 37.43128846985928</t>
  </si>
  <si>
    <t>55.8065928, 37.7505764</t>
  </si>
  <si>
    <t>55.8762665, 37.6928165</t>
  </si>
  <si>
    <t>55.729640671929225, 37.859889534424795</t>
  </si>
  <si>
    <t>55.75591697791024, 37.81832386127772</t>
  </si>
  <si>
    <t>55.6343384, 37.6832811</t>
  </si>
  <si>
    <t>55.6758392, 37.7484568</t>
  </si>
  <si>
    <t>55.7088312, 37.7532142</t>
  </si>
  <si>
    <t>55.61714181018449, 37.66326114535332</t>
  </si>
  <si>
    <t>55.6627117, 37.5984287</t>
  </si>
  <si>
    <t>55.680911033036686, 37.58400882928834</t>
  </si>
  <si>
    <t>55.6564175, 37.5908138</t>
  </si>
  <si>
    <t>55.6481499, 37.5780129</t>
  </si>
  <si>
    <t>55.6294717, 37.336493</t>
  </si>
  <si>
    <t>55.6740797, 37.4610087</t>
  </si>
  <si>
    <t>55.7907901, 37.5476043</t>
  </si>
  <si>
    <t>55.6359029, 37.3045624</t>
  </si>
  <si>
    <t>55.7004796, 37.8739557</t>
  </si>
  <si>
    <t>55.7095883, 37.8667496</t>
  </si>
  <si>
    <t>55.7206082, 37.7823076</t>
  </si>
  <si>
    <t>55.699569, 37.7860144</t>
  </si>
  <si>
    <t>1178</t>
  </si>
  <si>
    <t>Общеобразовательная школа №1 на 850 мест Волоколамское шоссе уч. 71/14 (город Москва, вн. тер.г. муниципальный округ Покровское-Стрешнево, улица Николая Озерова, земельный участок 8)</t>
  </si>
  <si>
    <t>55.81402855891889</t>
  </si>
  <si>
    <t>37.428749835997806</t>
  </si>
  <si>
    <t>МЭР</t>
  </si>
  <si>
    <t>97 мин</t>
  </si>
  <si>
    <t>https://docs.google.com/spreadsheets/d/1EI7qusa674eJhuaw-nWWtWMEHVSYMQv7HLsInEZTWpE/edit?gid=623093467#gid=623093467</t>
  </si>
  <si>
    <t>https://disk.yandex.ru/client/disk/Осмотры%20объектов%20АНО%20СМГ/1178%20Волоколамское%20шоссе%2C%20вл.%2071%2014%20Школа%20на%20850%20мест</t>
  </si>
  <si>
    <t>1338</t>
  </si>
  <si>
    <t xml:space="preserve">Осмотр итогов строительства средней общеобразовательной школы на 1000 мест, корп. 8 ЗАО, ул. Озерная, вл. 42-44 </t>
  </si>
  <si>
    <t>55.669999907394924</t>
  </si>
  <si>
    <t>37.43651406872443</t>
  </si>
  <si>
    <t>126 мин</t>
  </si>
  <si>
    <t>https://docs.google.com/spreadsheets/d/1EI7qusa674eJhuaw-nWWtWMEHVSYMQv7HLsInEZTWpE/edit?gid=1412429298#gid=1412429298</t>
  </si>
  <si>
    <t>https://disk.yandex.ru/d/q3xDbj1lGRqG7w</t>
  </si>
  <si>
    <t>542</t>
  </si>
  <si>
    <t>11-я Парковая улица, земельный участок 55/1 (вл. 55) (зона 72.2 (к. 38)) район Северное Измайлово, 11-я Парковая ул., земельный участок 55/1 (11-я Парковая ул., вл. 55) (зона 72.2 (к.38))</t>
  </si>
  <si>
    <t>55.808673</t>
  </si>
  <si>
    <t>37.802970</t>
  </si>
  <si>
    <t>ОВА26</t>
  </si>
  <si>
    <t>75 мин</t>
  </si>
  <si>
    <t>https://docs.google.com/spreadsheets/d/1H1MjbG2y0oC0hhID4do1G0_gfyI1jag72lQd7nL3WDQ/edit?gid=1320846516#gid=1320846516</t>
  </si>
  <si>
    <t>https://disk.yandex.ru/client/disk/Осмотры%20объектов%20АНО%20СМГ/542.%20Северное%20Измайлово%2C%2011-я%20Парковая%20ул.%2055</t>
  </si>
  <si>
    <t>603</t>
  </si>
  <si>
    <t>Жилой дом с подземной автостоянкой, инженерными сетями и благоустройством территории (со сносом жилых зданий по адресам: ул. Бутлерова, д. 34, корп.1; ул. Бутлерова, д. 34, корп.2; ул. Бутлерова, д. 36, корп.1; ул. Бутлерова, д. 36, корп.2), район Коньково, микрорайон 6 района Коньково, зона № 1.2 район Коньково, микрорайон 6 района Коньково, зона № 1.2 (4 корпуса)</t>
  </si>
  <si>
    <t>55.643709</t>
  </si>
  <si>
    <t>37.545808</t>
  </si>
  <si>
    <t>107 мин</t>
  </si>
  <si>
    <t>https://docs.google.com/spreadsheets/d/1H1MjbG2y0oC0hhID4do1G0_gfyI1jag72lQd7nL3WDQ/edit?gid=1000032786#gid=1000032786</t>
  </si>
  <si>
    <t>https://disk.yandex.ru/client/disk/Осмотры%20объектов%20АНО%20СМГ/603.%20район%20Коньково%2C%20ул.%20Бутлерово%20зу%2034_2%20мкр.%206%20зона%201.2</t>
  </si>
  <si>
    <t>631</t>
  </si>
  <si>
    <t>Ярославская ул., з/у 2/1 район Алексеевский, Ярославская ул., з/у 2/1</t>
  </si>
  <si>
    <t>55.813806</t>
  </si>
  <si>
    <t>37.647062</t>
  </si>
  <si>
    <t>95 мин</t>
  </si>
  <si>
    <t>https://docs.google.com/spreadsheets/d/1H1MjbG2y0oC0hhID4do1G0_gfyI1jag72lQd7nL3WDQ/edit?gid=1988948543#gid=1988948543</t>
  </si>
  <si>
    <t>https://disk.yandex.ru/client/disk/Осмотры%20объектов%20АНО%20СМГ/631.%20Ярославская%20ул.%2C%20зу%202-1</t>
  </si>
  <si>
    <t>650</t>
  </si>
  <si>
    <t>Большая Черёмушкинская, з/у 26  ЮЗАО, район Академический, Большая Черемушкинская улица, земельный участок 26 
(рефинансирование)</t>
  </si>
  <si>
    <t>55.680673</t>
  </si>
  <si>
    <t>37.584110</t>
  </si>
  <si>
    <t>373 мин</t>
  </si>
  <si>
    <t>https://docs.google.com/spreadsheets/d/1rbCD10ySi4YZEkJW2_Slmn9z7AI1WEsGsZaIJmnnT18/edit?gid=1401788865#gid=1401788865</t>
  </si>
  <si>
    <t>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t>
  </si>
  <si>
    <t>962</t>
  </si>
  <si>
    <t>ул. Годовикова, з/у 7 (Годовикова ул., вл.7) район Останкинский, Годовикова ул., вл. 7</t>
  </si>
  <si>
    <t>55.805922</t>
  </si>
  <si>
    <t>37.630109</t>
  </si>
  <si>
    <t>68 мин</t>
  </si>
  <si>
    <t>https://docs.google.com/spreadsheets/d/1rbCD10ySi4YZEkJW2_Slmn9z7AI1WEsGsZaIJmnnT18/edit?gid=1538306210#gid=1538306210</t>
  </si>
  <si>
    <t>https://disk.yandex.ru/client/disk/Осмотры%20объектов%20АНО%20СМГ/962.%20ул.%20Годовикова%2C%20з.у.%207</t>
  </si>
  <si>
    <t>1065</t>
  </si>
  <si>
    <t>Технологическая часть ТПУ на станции метро "Рассказовка" ("Новопеределкино"). Этап 2.1 Станция метро "Рассказовка"</t>
  </si>
  <si>
    <t>55.6329806404929</t>
  </si>
  <si>
    <t>37.3362958431244</t>
  </si>
  <si>
    <t>ТПУ</t>
  </si>
  <si>
    <t>161 мин</t>
  </si>
  <si>
    <t>1134</t>
  </si>
  <si>
    <t>Технологическая часть ТПУ на станции метро "Нижегородская". Этап 2 г. Москва , м . "Нижегородская"</t>
  </si>
  <si>
    <t>55.73157328033123</t>
  </si>
  <si>
    <t>37.7306499021285</t>
  </si>
  <si>
    <t>58 мин</t>
  </si>
  <si>
    <t>1121</t>
  </si>
  <si>
    <t>Технологическая часть ТПУ на станции метро "Лианозово". 
Этап 1 "Устройство УДС улицы Псковская, Дубнинская и Лианозовского проезда, ОРП для электробусов на Дмитровском шоссе. Уширение плоскостной перехватывающей парковки." г. Москва, м. "Лианозово"</t>
  </si>
  <si>
    <t>55.896590400864746</t>
  </si>
  <si>
    <t>37.5536087103118</t>
  </si>
  <si>
    <t>132 мин</t>
  </si>
  <si>
    <t>1130</t>
  </si>
  <si>
    <t>Технологическая часть ТПУ на станции метро "Лефортово". Этапы 1 г.Москва,
 м. "Лефортово"</t>
  </si>
  <si>
    <t>55.76508268252738</t>
  </si>
  <si>
    <t>37.706975584338856</t>
  </si>
  <si>
    <t>81 мин</t>
  </si>
  <si>
    <t>1328</t>
  </si>
  <si>
    <t>Технологическая часть ТПУ на станции метро "Ховрино" ("ул. Дыбенко"). Этап 4.1 "Технологическая часть транспортно-пересадочноо узла на станции метро "Ховрино" ("Улица Дыбенко"). Развитие транспортной и пешеходной инфраструктуры. Благоустройство Станция метро "Ховрино"</t>
  </si>
  <si>
    <t>55.87969632155726</t>
  </si>
  <si>
    <t>37.48327681880147</t>
  </si>
  <si>
    <t>100 мин</t>
  </si>
  <si>
    <t>1020</t>
  </si>
  <si>
    <t>Теплоснабжение жилого комплекса с подземной автостоянкой, ул. 4-я Парковая, влд. 16 ВАО г. Москвы, район Измайлово, 4-я Парковая ул.,вл.16</t>
  </si>
  <si>
    <t>55.7948</t>
  </si>
  <si>
    <t>37.7882</t>
  </si>
  <si>
    <t>ГС</t>
  </si>
  <si>
    <t>3 мин</t>
  </si>
  <si>
    <t>https://docs.google.com/spreadsheets/d/19THEBTE9q0fhN2eApZr6BgenIvLGh0AckaYxHQfHk5w/edit?gid=901281284#gid=901281284</t>
  </si>
  <si>
    <t>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t>
  </si>
  <si>
    <t>115</t>
  </si>
  <si>
    <t>Жилой комплекс «Академ Палас», проспект Вернадского, вл. 78 район Тропарево-Никулино, проспект Вернадского, вл. 78</t>
  </si>
  <si>
    <t>55.667261</t>
  </si>
  <si>
    <t>37.482381</t>
  </si>
  <si>
    <t>69 мин</t>
  </si>
  <si>
    <t>https://docs.google.com/spreadsheets/d/19THEBTE9q0fhN2eApZr6BgenIvLGh0AckaYxHQfHk5w/edit?gid=809581458#gid=809581458</t>
  </si>
  <si>
    <t>https://disk.yandex.ru/client/disk/Осмотры%20объектов%20АНО%20СМГ/115.%20Жилой%20комплекс%20«Академ%20Палас»%20проспект%20Вернадского%2C%20вл.78</t>
  </si>
  <si>
    <t>188</t>
  </si>
  <si>
    <t>Жилой дом с подземной автостоянкой(проектно-изыскательские и строительно-монтажные работы по сносу и строительству) район Бутырский, ул. Милашенкова, вл.6</t>
  </si>
  <si>
    <t>55.82384253354808</t>
  </si>
  <si>
    <t>37.58752899867056</t>
  </si>
  <si>
    <t>https://docs.google.com/spreadsheets/d/19THEBTE9q0fhN2eApZr6BgenIvLGh0AckaYxHQfHk5w/edit?gid=1559792467#gid=1559792467</t>
  </si>
  <si>
    <t>https://disk.yandex.ru/client/disk/Осмотры%20объектов%20АНО%20СМГ/188.%20СВАО%2C%20район%2C%20Бутырский%2C%20ул.%20Милашенкова%2C%20влд.6%09</t>
  </si>
  <si>
    <t>555</t>
  </si>
  <si>
    <t>МФР ШТАБ</t>
  </si>
  <si>
    <t>111 мин</t>
  </si>
  <si>
    <t>710</t>
  </si>
  <si>
    <t>65 мин</t>
  </si>
  <si>
    <t>532</t>
  </si>
  <si>
    <t>120 мин</t>
  </si>
  <si>
    <t>616</t>
  </si>
  <si>
    <t>566</t>
  </si>
  <si>
    <t>141 мин</t>
  </si>
  <si>
    <t>447</t>
  </si>
  <si>
    <t>105 мин</t>
  </si>
  <si>
    <t>588</t>
  </si>
  <si>
    <t>112 мин</t>
  </si>
  <si>
    <t>556</t>
  </si>
  <si>
    <t>119 мин</t>
  </si>
  <si>
    <t>453</t>
  </si>
  <si>
    <t>536</t>
  </si>
  <si>
    <t>568</t>
  </si>
  <si>
    <t>114 мин</t>
  </si>
  <si>
    <t>551</t>
  </si>
  <si>
    <t>591</t>
  </si>
  <si>
    <t>131 мин</t>
  </si>
  <si>
    <t>584</t>
  </si>
  <si>
    <t>116 мин</t>
  </si>
  <si>
    <t>632</t>
  </si>
  <si>
    <t>604</t>
  </si>
  <si>
    <t>160 мин</t>
  </si>
  <si>
    <t>629</t>
  </si>
  <si>
    <t>101 мин</t>
  </si>
  <si>
    <t>543</t>
  </si>
  <si>
    <t>115 мин</t>
  </si>
  <si>
    <t>613</t>
  </si>
  <si>
    <t>138 мин</t>
  </si>
  <si>
    <t>563</t>
  </si>
  <si>
    <t>684</t>
  </si>
  <si>
    <t>98 мин</t>
  </si>
  <si>
    <t>707</t>
  </si>
  <si>
    <t>6 мин</t>
  </si>
  <si>
    <t>574</t>
  </si>
  <si>
    <t>96 мин</t>
  </si>
  <si>
    <t>716</t>
  </si>
  <si>
    <t>128 мин</t>
  </si>
  <si>
    <t>641</t>
  </si>
  <si>
    <t>607</t>
  </si>
  <si>
    <t>759</t>
  </si>
  <si>
    <t>670</t>
  </si>
  <si>
    <t>844</t>
  </si>
  <si>
    <t>94 мин</t>
  </si>
  <si>
    <t>589</t>
  </si>
  <si>
    <t>79 мин</t>
  </si>
  <si>
    <t>612</t>
  </si>
  <si>
    <t>693</t>
  </si>
  <si>
    <t>50 мин</t>
  </si>
  <si>
    <t>683</t>
  </si>
  <si>
    <t>845</t>
  </si>
  <si>
    <t>846</t>
  </si>
  <si>
    <t>727</t>
  </si>
  <si>
    <t>37 мин</t>
  </si>
  <si>
    <t>667</t>
  </si>
  <si>
    <t>53 мин</t>
  </si>
  <si>
    <t>874</t>
  </si>
  <si>
    <t>30 мин</t>
  </si>
  <si>
    <t>875</t>
  </si>
  <si>
    <t>876</t>
  </si>
  <si>
    <t>878</t>
  </si>
  <si>
    <t>55 мин</t>
  </si>
  <si>
    <t>806</t>
  </si>
  <si>
    <t>72 мин</t>
  </si>
  <si>
    <t>708</t>
  </si>
  <si>
    <t>837</t>
  </si>
  <si>
    <t>177 мин</t>
  </si>
  <si>
    <t>850</t>
  </si>
  <si>
    <t>851</t>
  </si>
  <si>
    <t>82 мин</t>
  </si>
  <si>
    <t>852</t>
  </si>
  <si>
    <t>74 мин</t>
  </si>
  <si>
    <t>854</t>
  </si>
  <si>
    <t>44 мин</t>
  </si>
  <si>
    <t>863</t>
  </si>
  <si>
    <t>127 мин</t>
  </si>
  <si>
    <t>1158</t>
  </si>
  <si>
    <t>864</t>
  </si>
  <si>
    <t>49 мин</t>
  </si>
  <si>
    <t>865</t>
  </si>
  <si>
    <t>867</t>
  </si>
  <si>
    <t>868</t>
  </si>
  <si>
    <t>872</t>
  </si>
  <si>
    <t>13 мин</t>
  </si>
  <si>
    <t>948</t>
  </si>
  <si>
    <t>14 мин</t>
  </si>
  <si>
    <t>657</t>
  </si>
  <si>
    <t>77 мин</t>
  </si>
  <si>
    <t>723</t>
  </si>
  <si>
    <t>685</t>
  </si>
  <si>
    <t>83 мин</t>
  </si>
  <si>
    <t>663</t>
  </si>
  <si>
    <t>110 мин</t>
  </si>
  <si>
    <t>931</t>
  </si>
  <si>
    <t>25 мин</t>
  </si>
  <si>
    <t>123</t>
  </si>
  <si>
    <t>МСУ-1</t>
  </si>
  <si>
    <t>78 мин</t>
  </si>
  <si>
    <t>181</t>
  </si>
  <si>
    <t>257</t>
  </si>
  <si>
    <t>344</t>
  </si>
  <si>
    <t>24 мин</t>
  </si>
  <si>
    <t>1246</t>
  </si>
  <si>
    <t>658</t>
  </si>
  <si>
    <t>794</t>
  </si>
  <si>
    <t>513</t>
  </si>
  <si>
    <t>552</t>
  </si>
  <si>
    <t>559</t>
  </si>
  <si>
    <t>787</t>
  </si>
  <si>
    <t>93 мин</t>
  </si>
  <si>
    <t>619</t>
  </si>
  <si>
    <t>73 мин</t>
  </si>
  <si>
    <t>798</t>
  </si>
  <si>
    <t>31 мин</t>
  </si>
  <si>
    <t>793</t>
  </si>
  <si>
    <t>797</t>
  </si>
  <si>
    <t>Коровинское шоссе, земельный участок 2/4 (Зоны 11.1 и 11.2) Коровинское шоссе, земельный участок 2/4 (Зоны 11.1 и 11.2)</t>
  </si>
  <si>
    <t>55.8676</t>
  </si>
  <si>
    <t>37.54166</t>
  </si>
  <si>
    <t>https://docs.google.com/spreadsheets/d/1rbCD10ySi4YZEkJW2_Slmn9z7AI1WEsGsZaIJmnnT18/edit?gid=783421015#gid=783421015</t>
  </si>
  <si>
    <t>https://disk.yandex.ru/client/disk/Осмотры%20объектов%20АНО%20СМГ/797.%20Коровинское%20шоссе%20зу%202%5C4</t>
  </si>
  <si>
    <t>1159</t>
  </si>
  <si>
    <t>801</t>
  </si>
  <si>
    <t>22 мин</t>
  </si>
  <si>
    <t>66</t>
  </si>
  <si>
    <t>Средняя общеобразовательная школа на 1100 мест ЖК БУНИНСКИЕ ЛУГА, поселок Коммунарка, улица Александры Монаховой, земельный участок 87</t>
  </si>
  <si>
    <t>55.54794027077919</t>
  </si>
  <si>
    <t>37.48944130953867</t>
  </si>
  <si>
    <t>https://docs.google.com/spreadsheets/d/1EI7qusa674eJhuaw-nWWtWMEHVSYMQv7HLsInEZTWpE/edit?gid=270470148#gid=270470148</t>
  </si>
  <si>
    <t>https://disk.yandex.ru/client/disk/Осмотры%20объектов%20АНО%20СМГ/066.%20СОШ%201100%20(корп%203.13)%20ЖК%20Бунинские%20Луга</t>
  </si>
  <si>
    <t>1199</t>
  </si>
  <si>
    <t>147 мин</t>
  </si>
  <si>
    <t>639</t>
  </si>
  <si>
    <t>830</t>
  </si>
  <si>
    <t>831</t>
  </si>
  <si>
    <t>54 мин</t>
  </si>
  <si>
    <t>697</t>
  </si>
  <si>
    <t>121 мин</t>
  </si>
  <si>
    <t>706</t>
  </si>
  <si>
    <t>59 мин</t>
  </si>
  <si>
    <t>838</t>
  </si>
  <si>
    <t>849</t>
  </si>
  <si>
    <t>860</t>
  </si>
  <si>
    <t>89 мин</t>
  </si>
  <si>
    <t>760</t>
  </si>
  <si>
    <t>774</t>
  </si>
  <si>
    <t>169 мин</t>
  </si>
  <si>
    <t>668</t>
  </si>
  <si>
    <t>674</t>
  </si>
  <si>
    <t>919</t>
  </si>
  <si>
    <t>699</t>
  </si>
  <si>
    <t>906</t>
  </si>
  <si>
    <t>152 мин</t>
  </si>
  <si>
    <t>903</t>
  </si>
  <si>
    <t>125 мин</t>
  </si>
  <si>
    <t>11111</t>
  </si>
  <si>
    <t xml:space="preserve">Торгово-ресторанный комплекс "Внуково Аутлет Еда". Торговый центр. Блок А, Б, В, Ресторан быстрого питания, </t>
  </si>
  <si>
    <t>55.605063</t>
  </si>
  <si>
    <t>37.333317</t>
  </si>
  <si>
    <t>Третья очередь строительства жилой застройки. Корпус 2. ЖК "Переделкино Ближнее"</t>
  </si>
  <si>
    <t>55.636051</t>
  </si>
  <si>
    <t>37.306369</t>
  </si>
  <si>
    <t>Третья очередь строительства жилой застройки. Корпус 4. ЖК "Переделкино Ближнее"</t>
  </si>
  <si>
    <t>55.635132</t>
  </si>
  <si>
    <t>37.305875</t>
  </si>
  <si>
    <t>12 мин</t>
  </si>
  <si>
    <t>Автомобильная мойка с магазином сопутствующей торговли</t>
  </si>
  <si>
    <t>55.711863</t>
  </si>
  <si>
    <t>37.388852</t>
  </si>
  <si>
    <t>Комплекс для производства продуктов питания из мяса (2-я очередь)</t>
  </si>
  <si>
    <t>55.638465</t>
  </si>
  <si>
    <t>37.370787</t>
  </si>
  <si>
    <t>Многофункциональный жилой комплекс "Лучи-2". Этап 1. Многоквартирные жилые дома. Корпус № 1.</t>
  </si>
  <si>
    <t>55.645969</t>
  </si>
  <si>
    <t>37.380687</t>
  </si>
  <si>
    <t>Многофункциональный жилой комплекс "Лучи-2". Этап 1. Многоквартирные жилые дома. Корпус № 2.</t>
  </si>
  <si>
    <t>55.645700</t>
  </si>
  <si>
    <t>37.381747</t>
  </si>
  <si>
    <t>Многофункциональный комплекс (с апартаментами квартирного типа). 2 Этап (очередь). Корпуса 4-5</t>
  </si>
  <si>
    <t>55.660511</t>
  </si>
  <si>
    <t>37.452794</t>
  </si>
  <si>
    <t>0 мин</t>
  </si>
  <si>
    <t>Многофункциональный комплекс (с апартаментами квартирного типа). 2 Этап (очередь). Трансформаторная подстанция (ТП)</t>
  </si>
  <si>
    <t>Многофункциональный жилой комплекс "Лучи-2". Этап 1. Многоквартирные жилые дома. Корпуса № 4</t>
  </si>
  <si>
    <t>РО "Подворье Патриарха Московского и всея Руси при храме иконы Божией Матери "Неопалимая Купина"</t>
  </si>
  <si>
    <t>55.674890</t>
  </si>
  <si>
    <t>37.459074</t>
  </si>
  <si>
    <t>Гараж-стоянка</t>
  </si>
  <si>
    <t>55.666035</t>
  </si>
  <si>
    <t>37.478882</t>
  </si>
  <si>
    <t>Многофункциональный комплекс здания "Творческий квартал", состоящий из отдельных корпусов общественно-делового назначения. Этап 5. Корпус №1</t>
  </si>
  <si>
    <t>55.695134</t>
  </si>
  <si>
    <t>37.348796</t>
  </si>
  <si>
    <t>https://docs.google.com/spreadsheets/d/1h7Zyn53eByFA_Wa7EnuJEIn9QqPaz6kDse3SZgRdd5g/edit?gid'=0#gid'=0</t>
  </si>
  <si>
    <t>Чеки ДСТИ</t>
  </si>
  <si>
    <t>https://docs.google.com/spreadsheets/d/1MW8OIVEKRJEaLcG-KS0zwZPEQ0eRUWE2y9Gj77rgoxo/edit?gid=796994001#gid=796994001</t>
  </si>
  <si>
    <t>Чеги ДРНТ</t>
  </si>
  <si>
    <t>https://docs.google.com/spreadsheets/d/19THEBTE9q0fhN2eApZr6BgenIvLGh0AckaYxHQfHk5w/edit?gid=0#gid=0</t>
  </si>
  <si>
    <t>Чеки метро</t>
  </si>
  <si>
    <t>https://docs.google.com/spreadsheets/d/1jonEGMB3UFHiUZpltF1zURon8gYN7jGSHu-k9t5TXnA/edit?gid=0#gid=0</t>
  </si>
  <si>
    <t>Чеки Рен-25</t>
  </si>
  <si>
    <t>https://docs.google.com/spreadsheets/d/1H1MjbG2y0oC0hhID4do1G0_gfyI1jag72lQd7nL3WDQ/edit?gid=0#gid=0</t>
  </si>
  <si>
    <t>Чеки Рен-26</t>
  </si>
  <si>
    <t>https://docs.google.com/spreadsheets/d/1rbCD10ySi4YZEkJW2_Slmn9z7AI1WEsGsZaIJmnnT18/edit?gid=0#gid=0</t>
  </si>
  <si>
    <t>Чеки Рен-27</t>
  </si>
  <si>
    <t>https://docs.google.com/spreadsheets/d/1lEcUd4exxkr5Za3IYZ0vdFNfMubnuMOOMXfmF3GYC9I/edit?gid=0#gid=0</t>
  </si>
  <si>
    <t>Чеки вне списка</t>
  </si>
  <si>
    <t>https://docs.google.com/spreadsheets/d/1EI7qusa674eJhuaw-nWWtWMEHVSYMQv7HLsInEZTWpE/edit?gid=0#gid=0</t>
  </si>
  <si>
    <t>ID</t>
  </si>
  <si>
    <t>Вид</t>
  </si>
  <si>
    <t>Внебюджет</t>
  </si>
  <si>
    <t>Adress</t>
  </si>
  <si>
    <t>latitude</t>
  </si>
  <si>
    <t>longitude</t>
  </si>
  <si>
    <t>chek</t>
  </si>
  <si>
    <t>yandex</t>
  </si>
  <si>
    <t>СГ</t>
  </si>
  <si>
    <t>Последний объезд</t>
  </si>
  <si>
    <t>Периодичность</t>
  </si>
  <si>
    <t>Плановая дата</t>
  </si>
  <si>
    <t>Статус</t>
  </si>
  <si>
    <t>РВ от 14.03.2025 № 77-17-012472-2025
По состоянию на 09.09.2025
Произошла смена Заказчика
Не передана исполнительная документация по объекту в полном объеме</t>
  </si>
  <si>
    <t>🔴 Объект введен</t>
  </si>
  <si>
    <t>РВ от 26.03.2025 № 77-19-012479-2025</t>
  </si>
  <si>
    <t>Завершен</t>
  </si>
  <si>
    <t/>
  </si>
  <si>
    <t>✅ Завершен</t>
  </si>
  <si>
    <t>РВ от 10.03.2025 № 77-17-012467-2025</t>
  </si>
  <si>
    <t>РВ от 21.03.2025 №77-21-012476-2025</t>
  </si>
  <si>
    <t>РВ от 03.03.2025 №77-09-012464-2025</t>
  </si>
  <si>
    <t>РВ от 14.04.2025 №77-05-012515-2025</t>
  </si>
  <si>
    <t>РВ от 27.02.2025 № 77-02-012458-2025</t>
  </si>
  <si>
    <t>РВ от 27.03.2025 № 77-05-012481-2025</t>
  </si>
  <si>
    <t>РВ от 28.03.2025 № 77-05-012483-2025</t>
  </si>
  <si>
    <t>РВ от 10.04.2025 № 77-03-012509-2025</t>
  </si>
  <si>
    <t>РВ №77-05-012497-2025 от 01.04.2025</t>
  </si>
  <si>
    <t>РВ №77-05-012493-2025 от 31.03.2025</t>
  </si>
  <si>
    <t>РВ от 30.04.2025 № 77-04-012528-2025
По состоянию на 01.11.2025
Производяться работы по утранению замечаний ГУП «Московский метрополитен». Из 473 шт. замечаний устранено 441 шт.
Плановая дата передачи 5-ти оставшихся помещений - 28.11.2025</t>
  </si>
  <si>
    <t>🔴 ПРОСРОЧЕН</t>
  </si>
  <si>
    <t>Ведется строительство</t>
  </si>
  <si>
    <t>По состоянию на 31.05.2024 
Земляные работы, устройство соединительных веток, монолитные работы и монтаж металлоконструкций, устройство инженерных систем, устройство внутриплощадочных инженерных сетей.</t>
  </si>
  <si>
    <t>РВ от 08.04.2025 № 77-04-012504-2025</t>
  </si>
  <si>
    <t>РВ № 77-17-012630-2025 от 24.07.2025</t>
  </si>
  <si>
    <t>РВ Строительство завершено
Акт приемки объекта капитального строительства от 24.03.2025 б/н</t>
  </si>
  <si>
    <t>РВ от 28.03.2025 № 77-06-012484-2025</t>
  </si>
  <si>
    <t>РВ № 77-09-012606-2025 от 09.07.2025
По состоянию на 21.08.2025
Ведутся работы по устранению замечаний администрации ДОУ</t>
  </si>
  <si>
    <t>РВ №77-08-012502-2025 от 08.04.2025</t>
  </si>
  <si>
    <t>РВ от 31.03.2025 №77-05-012492-2025</t>
  </si>
  <si>
    <t>РВ от 18.07.2025 № 77-22-012624-2025
По состоянию на 13.10.2025
Ведутся работы по устранению замечаний выданных ГКУ ДИОМ по гарантийному письму</t>
  </si>
  <si>
    <t>РВ от 26.06.2025 №77-17-012585-2025</t>
  </si>
  <si>
    <t>РВ № 77-17-012738-2025 от 24.09.2025
По состоянию на 06.11.2025
 На обьекте идут работы по устранению замечаний по гарантийным обязательствам, монтажу мебели, уборке и передача помещений
Отсутствует эксплуатирующая компания</t>
  </si>
  <si>
    <t>РВ от 16.06.2025 №77-08-012572-2025</t>
  </si>
  <si>
    <t>По состоянию на 21.08.2025
РВ № 77-17-012580-2025 от 20.06.2025
Ведутся работы по устранению замечаний, выданных ГКУ ДИОМ (остаток к устранению - 2 шт)
Плановая дата устранения и передачи ГКУ ДИОМ до 30.09.2025</t>
  </si>
  <si>
    <t>-</t>
  </si>
  <si>
    <t>РВ № 77-22-012638-2025 от 30.07.2025</t>
  </si>
  <si>
    <t>Получен Акт приемки объекта капитального строительства от 28.04.2025</t>
  </si>
  <si>
    <t xml:space="preserve"> Акт приемки объекта капитального строительства от 15.05.2025</t>
  </si>
  <si>
    <t>РВ №77-0-012664-2025 от 08.08.2025</t>
  </si>
  <si>
    <t>РВ от 25.06.2025 № 77-0-012584-2025</t>
  </si>
  <si>
    <t>РВ от 29.09.2025 № 77-02-012745-2025</t>
  </si>
  <si>
    <t>РВ № 77-06-012560-2025 от 30.05.2025</t>
  </si>
  <si>
    <t>РВ от 28.05.2025 №77-09-012548-2025</t>
  </si>
  <si>
    <t>🟡 СКОРО</t>
  </si>
  <si>
    <t>По состоянию на 30.10.2025
Фактическое состояние объекта:
Ведется строительство
Проблемные вопросы: 
Производится устранение  замечаний от ГКУ ДИОМ (устранено 267 из 480 замечаний)
Оформление документации для ввода объекта:
- Папка «ЗОС»: 13 из 36 документов
- Папка «Разрешение на ввод»: 21 из 23 документов
Плановая дата получения «ЗОС» и «РВ» - ноябрь 2025</t>
  </si>
  <si>
    <t>По состоянию на 06.11.2025
Фактическое состояние объекта:
Ведется строительство
Проблемные вопросы: 
 Проводится итоговая проверка МГСН в период с 29.10.2025 по 11.11.2025</t>
  </si>
  <si>
    <t xml:space="preserve">РВ от 31.07.2025 № 77-07-012644-2025 </t>
  </si>
  <si>
    <t>РВ от 13.08.2025 №77-13-012671-2025</t>
  </si>
  <si>
    <t>По состоянию на 07.10.2025
Фактическое состояние объекта:
Ведется строительство
Проблемные вопросы: 
ПД (корректировка) проходит согласование в МГЭ
 Откорректированный АГР не согласован МКА Проходит согласование РД с РСО (ИТП) и МГГТ (СС)
Плановая дата получения ЗОС - ноябрь 2025</t>
  </si>
  <si>
    <t>🆕 Нет объездов</t>
  </si>
  <si>
    <t>По состоянию на 04.07.2025
ООО «РГИ проект» прорабатывается вопрос разделения на подэтапы для получения ЗОС и РВ на отдельные инженерные сети.</t>
  </si>
  <si>
    <t>По состоянию на 04.07.2025
Проектно-сметная документация находится в экспертизе, плановое получение положительного заключения - июль 2025 года.</t>
  </si>
  <si>
    <t>🔴 СРОЧНО</t>
  </si>
  <si>
    <t xml:space="preserve">По состоянию на 22.07.2025
Фактическое состояние объекта:
Ведется строительство
Проблемные вопросы:
Проведена итоговая проверка МГСН от 09.07.2025. Получено 7 замечания в части пожарной безопасности, благоустройства, облицовочных плит фасада здания (не соответствует проекту);
Плановая дата повторной проверки - 04.08.2025.
Отсутствует возможность подключения ОС в связи с отсутствием ТП. Выполнена установка корпуса ТП. Расключение и сдача ТП - 04.08.2025. 
Необходима корректировка ПД в связи с несоответствием ТЭПов в ПД с фактически выполненными объемами (не учтена площадь подземной части).
Плановавя дата выхода из МГЭ - 04.08.2025
</t>
  </si>
  <si>
    <t>По состоянию на 22.07.2025
Фактическое состояние объекта:
Ведется строительство
Проблемные вопросы:
Плановая дата итоговой проверки - 04.08.2025</t>
  </si>
  <si>
    <t>99,9</t>
  </si>
  <si>
    <t xml:space="preserve">РВ от 21.02.2025 №77-04-012449-2025 </t>
  </si>
  <si>
    <t>По состоянию на 08.07.2025
 Проблематика отсутствует так как подписан акт приемки госкомиссией</t>
  </si>
  <si>
    <t>По состоянию на 08.07.2025
Этап 2.1 - Проблематика отсутствует так как получено РВ;
Этап 2.2 - Требуется корректировка проектной документации в свзи с изменением точки подключения ЗИПа.</t>
  </si>
  <si>
    <t xml:space="preserve">По состоянию на 08.07.2025
Этап 3.2.2.1 - Получен ЗОС.
Этап 3.2.2.2 - Сдача по акту госкомисии 30.08.2025 г.
</t>
  </si>
  <si>
    <t>По состоянию на 08.07.2025
Этап 3.3.2 - Проблематика отсутствует так как подписан акт приемки госкомиссией.</t>
  </si>
  <si>
    <t>По состоянию на 08.07.2025
Проблемы с передачей КЛ 110 кВ на баланс ПАО "Россети". Данные кабельные линии не входят в план развития ПАО "Россети"</t>
  </si>
  <si>
    <t>🟢 ПО ПЛАНУ</t>
  </si>
  <si>
    <t xml:space="preserve">По состоянию на 08.07.2025  
По результатам рассмотрения заявления о разрешении на ввод от 08.07.2025 в выдаче отказано в связи с несоответствием объекта капитального строительства разрешенному использованию земельного участка. Функциональное назначение объекта капитального строительства (дорога) не соответствует видам разрешенного использования земельных участков с кадастровыми номерами 77:08:0010010:37, 77:08:0010011:7     </t>
  </si>
  <si>
    <t>По состоянию на 07.10.2025
Фактическое состояние объекта:
Ведется строительство
Проблемные вопросы: 
ООО «Институт Мосинжпроект» производится корректировка проектных решений в части геологических изысканий и типизации мостовых сооружений 
Плановая дата выхода из экспертизы - 28.10.2025</t>
  </si>
  <si>
    <t>По состоянию на 08.07.2025
Срыв срока ввода объекта в эксплуатацию. По итогам проверки МГСН (от 04.07.2025) в ЗОСе по этапу 3.2.1 отказано в связи с несоответствием объекта проекту.</t>
  </si>
  <si>
    <t>По состоянию на 08.07.2025
Необходима корректировка проектных решений по строительству дождевой канализации в связи с некорректными данными геоподосновы.</t>
  </si>
  <si>
    <t>По состоянию на 08.07.2025
Низкий темп производства работ ввиду недостаточной мобилизации трудовых ресурсов.</t>
  </si>
  <si>
    <t>По состоянию на 08.07.2025
Низкий темп производства работ ввиду недостаточной мобилизации трудовых ресурсов. Проект проходит экспертизу в связи с перепроектированием ЛОС. Ожидаемый срок ввода принят в соответствии с решением о продлении сроков выполнения работ по ГК-230, протокол В.В Ефимова от 14.03.2025 № 25-14-44/25. Готовится дополнительное соглашение о продлении сроков завершения работ до октября 2025 г.</t>
  </si>
  <si>
    <t>По состоянию на 06.08.2025
Технологический пуск запланирован на 08.08.2025</t>
  </si>
  <si>
    <t>По состоянию на 08.07.2025
Получено положительное заключение экспертизы. Объект разделен на подэтапы: 1.1 – путепровод + УДС, 1.2 – посадка деревьев, 1.3 -  ШЗЭ, инженерные коммуникации. По итогам проверки МГСН (от 07.07.2025) в ЗОСе отказано в связи с несоответствием объекта проекту. Повторная итоговая проверка с 11.07 по 24.07.2025</t>
  </si>
  <si>
    <t>По состоянию на 08.07.2025
Требуется повторное прохождение экспертиза для увязки проектных решений с АО «РЖД».</t>
  </si>
  <si>
    <t>По состоянию на 29.10.2025 
При реализации проектных решений возникла необходимость корректировки трассы трубопроводов в месте пересечения с Московским метрополитеном 
Оформлен акт о приостановке работ от 06.01.2025 
Проходит процесс разработки комплекта ПД для загрузки в МГЭ</t>
  </si>
  <si>
    <t>По состоянию на 08.07.2025
Замечания отсутствуют так как получено РВ от 04.07.2025 № 77-04-012605-2025</t>
  </si>
  <si>
    <t>По состоянию на 08.07.2025
Требуется устранение замечаний ПАО "МОЭК" для передачи тепловых сетей на баланс. АО "Мосинжпроект" формируется дорожная карта по устранения замечаний.</t>
  </si>
  <si>
    <t>По состоянию на 08.07.2025
Плановое завершение СМР 15.08.2025. Необходимо выполнить работы по протаскиванию кабеля в ГНБ трубу.</t>
  </si>
  <si>
    <t xml:space="preserve"> Получено РВ № № 77-03-2893-2025МС от 27.06.2025
</t>
  </si>
  <si>
    <t>РВ № 50-61-2907-2025МС от 01.08.2025</t>
  </si>
  <si>
    <t>Акт приемки этапа водопроводных сетей от 26.06.2025</t>
  </si>
  <si>
    <t>РВ № 77-01-012653-2025 от 07.08.2025
По состоянию на 05.11.2025
Фактическое состояние объекта:
Ведется строительство
Проблемные вопросы: 
Проходит устранение замечаний выданных ГКУ ДИОМ (устранено 91 из 142 замечаний)</t>
  </si>
  <si>
    <t>РВ № 77-03-012699-2025 от 28.08.2025</t>
  </si>
  <si>
    <t>РВ 22.09.2025 № 77-01-012736-2025
По состоянию на 14.10.2025
Фактическое состояние объекта:
Ведется строительство
Проблемные вопросы: 
Проходит устранение замечаний выданных ГКУ ДИОМ (устранено 54 из 84 замечаний)</t>
  </si>
  <si>
    <t>РВ № 77-02-012708-2025 от 29.08.2025</t>
  </si>
  <si>
    <t>По состоянию на 30.10.2025
Фактическое состояние объекта:
Ведется строительство
Проблемные вопросы: 
Необходимо пройти МГЭ с ПСД (корректировка). Плановая дата захода В МГЭ - 09.02.2026</t>
  </si>
  <si>
    <t xml:space="preserve">  Акт  государственной приемочной комиссии о приемке законченного строительством объекта в эксплуатацию 30.06.2025
По состоянию на 15.10.2025
Осуществляется передача объекта на баланс
Производяться утранение замечаний по тротуарной плитке, пусконаладке светофоров и освещения</t>
  </si>
  <si>
    <t>РВ № 77-17-012612-2025 от 14.07.2025
По состоянию на 26.08.2025
Фактическое состояние объекта:
Осуществляется устранение замечаний от школы: 
- локально подкрашиваются коридоры и кабинеты; 
- производится покраска стены бассейна</t>
  </si>
  <si>
    <t>РВ № 77-02-012807-2025 от 31.10.2025</t>
  </si>
  <si>
    <t>РВ № 77-06-012703-2025 от 29.08.2025</t>
  </si>
  <si>
    <t>По состоянию на 15.07.2025
РВ от 11.07.2025 №77-17-012608-2025</t>
  </si>
  <si>
    <t>По состоянию на 15.07.2025
РВ от 11.07.2025 №77-17-012609-2025</t>
  </si>
  <si>
    <t>По состоянию на 15.07.2025
РВ от 11.07.2025 №77-17-012607-2025</t>
  </si>
  <si>
    <t xml:space="preserve">РВ от 11.07.2025 №77-17-012610-2025
</t>
  </si>
  <si>
    <t>🟠 ВНИМАНИЕ</t>
  </si>
  <si>
    <t>По состоянию на 01.10.2025
Фактическое состояние объекта:
Ведется строительство
Проблемные вопросы: 
Договор генподряда с ООО "Стрела" расторгнут в одностороннем порядке (Уведомление об одностороннем отказе от договора от 11.12.2023 №АНО/061223/1 20.08.2025 № ИСХ-РСИ-6-1/154-25).
Ведется процедура заключения ГК на ЕП с ООО «СУ-555»
Мобилизация трудовых ресурсов в полном объеме планируется после подписания ГК с ООО «СУ-555»</t>
  </si>
  <si>
    <t xml:space="preserve">По состоянию на 06.11.2025
Фактическое состояние объекта:
Ведется строительство
Проблемные вопросы: 
Проходит итоговая проверка МГСН с 06.11.2025 по 19.11.2025
Плановая дата получения ЗОС и РВ - ноябрь 2025 </t>
  </si>
  <si>
    <t xml:space="preserve">
•Акт государственной приёмочной комиссии о приемке в эксплуатацию
законченного строительством
объекта от 20.06.2025</t>
  </si>
  <si>
    <t>РВ № 77-17-012700-2025 от 28.08.2025
По состоянию на 29.10.2025
Фактическое состояние объекта:
Объект эксплатируется (проходят занятия у школьников)
 Произведена передача объекта, при этом написано гарантийное письмо в рамках устранения замечаний
Устранение замечаний производится в вечернее время с 01.10.2025</t>
  </si>
  <si>
    <t>По состоянию на 29.10.2025
Фактическое состояние объекта:
Ведется строительство
Проблемные вопросы: 
Плановая дата захода в МГЭ с ПД корректировкой - 05.11.2025
Плановая дата начала передачи объекта спеуиалистам ГКУ ДИОМ - 20.11.2025</t>
  </si>
  <si>
    <t>По состоянию на 06.11.2025
Фактическое состояние объекта:
Ведется строительство
Проблемные вопросы: 
Устранение замечаний ГКУ ДИОМ  (из 836 замечаний устранено 296) 
Получены отрицательные заключения по результатам итоговых проверок МГСН - 20.08.2025 и 10.09.2025
Плановая дата подачи уведомления об окончании строительства в МГСН - 20.11.2025</t>
  </si>
  <si>
    <t>По состоянию на 30.10.2025
Фактическое состояние объекта:
Ведется строительство
ПД корретировка проходит МГЭ. Плановая дата получения положительного заключения МГЭ - 27.11.2025
Пусконаладочные работы будут выполнены до 30.11.2025
Плановая дата получения ЗОС - 19.12.2025
Плановая дата получения РВ- 29.12.2025</t>
  </si>
  <si>
    <t>РВ №77-22-012008-2024 от 26.04.2024</t>
  </si>
  <si>
    <t>По состоянию на 27.08.2025
Контракт с ООО «Техноконцепт» расторгнут, заключён договор с АО "МИСК", Строительная площадка передана АО "МИСК" 25.07.2025.
Требуется проведение технического обследования строительных конструкций, выполненных предыдущим подрядчиком.</t>
  </si>
  <si>
    <t>По состоянию на 22.07.2025
Фактическое состояние объекта:
СМР приостановлены.
Проблемные вопросы:
Дорога передана во временную эксплуатацию по акту от 14.10.2024 АО "Мосинжпроект" для строительства электродепо Саларьево. 
Плановая дата передачи участка дороги ЗАО «Доринж-39» - 31.07.2025.</t>
  </si>
  <si>
    <t>Объект введен в эксплуатацию по акту приемки объекта капитального строительства от 08.07.2025.</t>
  </si>
  <si>
    <t>РВ от 29.08.2025 № 77-08-012702-2025</t>
  </si>
  <si>
    <t>По состоянию на 01.11.2025
Фактическое состояние объекта:
Получен акт технической приемки от 09.03.2025 
Проблемные вопросы:
Проходит устранение замечаний (устройство плитки и наружное освещение), плановая дата устранения замечаний - ноябрь 2025</t>
  </si>
  <si>
    <t>По состоянию на 01.08.2025
Фактическое состояние объекта:
Строительство не ведется
Проблемные вопросы:
Осуществляется формирование документов для получения ЗОС и РВ
Плановые даты получения ЗОС и РВ сентябрь 2025</t>
  </si>
  <si>
    <t>По состоянию на 08.07.2025
Срыв сроков в связи необходимость корректировки ПСД. В результате повторного прохождения МГЭ получено положительное заключение экспертизы от 05.06.2025 № 77-1-1-3-031264-2025. На данный момент идет процесс согласования ВРЦК. Планиреутся перенос срока ввода по утвержденному графику В.В. Ефимова на декабрь 2025.</t>
  </si>
  <si>
    <t xml:space="preserve">Акт приемки объекта, строительство, реконструкция которого осуществлялись за счет средств бюджета Москвы от  25.06.2025 №б/н
</t>
  </si>
  <si>
    <t>РВ № 77-03-228-2022 от 27.12.2022</t>
  </si>
  <si>
    <t xml:space="preserve">РВ № 77-03-012655-2025 от 07.08.2025 </t>
  </si>
  <si>
    <t>РВ № 77-06-012798-2025 от 29.10.2025</t>
  </si>
  <si>
    <t>По состоянию на 15.09.2025
Фактическое состояние объекта:
Ведется строительство
Проблемные вопросы: 
Ведутся работы по устранению замечаний выданных ГКУ ДИОМ (устранено 248 из 820)
Отсутствую акты тех. присоединения (плановая дата оформления до 15.10.2025) от Мосводоканала, Мосводосток и ПАО «МОЭК»
Плановая дата получения РВ до 30.10.2025</t>
  </si>
  <si>
    <t>По состоянию на 07.10.2025
Фактическое состояние объекта:
Ведется строительство
Проблемные вопросы:
ПД (корректировка) проходит согласование в МГЭ со сроком завершения - 22.10.2025
Откорректированный АГР не согласован МКА - есть замечания оформительского характера с учетом новых требований к оформлению альбомов, однако к архитектурному облику и благоустройству замечаний нет
Плановая дата получения ЗОС и РВ - ноябрь 2025</t>
  </si>
  <si>
    <t>РВ Акт приемки объекта капитального строительства государственного заказа города Москвы от 18.07.2025 №б/н</t>
  </si>
  <si>
    <t>Подписан акт приемки объекта капитального строительства , строительство, реконструкция которого осуществлялась за счет средств бюджета города Москвы № б/н от 30.07.2025</t>
  </si>
  <si>
    <t>РВ от 21.05.2025 № 77-08-012543-2025
По состоянию на 30.07.2025
Проходит передача объекта специалистам ГКУ ДИОМ</t>
  </si>
  <si>
    <t>РВ от 02.09.2025 № 77-07-012715-2025
По состоянию на 02.10.2025
Производится приемка объекта администрацией школы, в процессе которой устраняются выявленые недочеты
(из 86 замечаний устранено 58, готово к предъявлению 26, 2 в процессе устранения)</t>
  </si>
  <si>
    <t>По состоянию на 30.10.2025
Фактическое состояние объекта:
Ведется строительство
Проблемные вопросы: 
Низкая мобилизация рабочей силы
Производится устранение замечаний от ГКУ ДИОМ выданных 12.05.2025 (устранено 171 из 323)
Не согласование ГКУ ДИОМ повторного мониторинга по объекту, в связи с высокой загрузкой специалистов на других сдаточных объектах
Не сформирован пакет документов для ввода объекта в эксплуатацию: 
папка «ЗОС»: 7 из 36; 
папка «Разрешение на ввод»: 8 из 21
Требуется прохождение МГЭ с откоректироваными сметами. Плановая дата захода в МГЭ - 07.11.2025</t>
  </si>
  <si>
    <t>Ведутся СМР</t>
  </si>
  <si>
    <t>По состоянию на 14.08.2025
Полечено РВ от 13.08.2025 № 77-0-012670-2025</t>
  </si>
  <si>
    <t>По состоянию на 08.07.2025
Проблемные вопросы отсутсвуют так как получено РВ от 26.06.2025 № 77-02-2892-2025МС</t>
  </si>
  <si>
    <t>РВ от 12.09.2025 № 77-02-2944-2025МС</t>
  </si>
  <si>
    <t>Уведомление о сносе получено
Ведется мобилизация сил для выполнения СМР</t>
  </si>
  <si>
    <t>Уведомление о сносе получено
Ведется мобилизация сил для выполнения СМР</t>
  </si>
  <si>
    <t>По состоянию на 06.11.2025
Фактическое состояние объекта:
Строительство не ведется
Проблемные вопросы:
Проходит судебный процесс с собственниками строений, подлежащих сносу, для урегулирования споров касательно земельно-правовых отношений</t>
  </si>
  <si>
    <t>По состоянию на 06.11.2025
Фактическое состояние объекта:
Ведется строительство
Проблемные вопросы: 
Плановая дата получения ЗОС и РВ - декабрь 2025</t>
  </si>
  <si>
    <t>Акт приемки государственной комиссии от 30.05.2024 Строительство завершено</t>
  </si>
  <si>
    <t>По состоянию на 06.11.2025
Фактическое состояние объекта:
Ведется строительство
Проблемные вопросы: 
Требуеться прохождение МГЭ с откоректированной ПД. Плановая дата получения положительного заключения - декабрь 2025
Плановая дата получения ЗОС - 23.12.2025
Плановая дата получения РВ - 26.12.2025</t>
  </si>
  <si>
    <t>СМР завершены. Ведется проработка и согласование ПД Департаментом информационных технологий города Москвы совместно с АО "Мосинжпроект", АНО МПТЦ, ПАО МГТС.</t>
  </si>
  <si>
    <t>РВ №77-17-012777-2025 от 09.10.2025
По состоянию на 28.10.2025
Устраняются замечания эксплуатирующей служб ГКУ "АМПП"</t>
  </si>
  <si>
    <t>Подписан акт приемки объекта капитального строительства государственного заказа города Москвы от 28.08.2025
Плановая дата передачи объекта службе эксплуатации - 1 кв. 2026</t>
  </si>
  <si>
    <t>По состоянию на 06.11.2025
Фактическое состояние объекта:
Строительство завершено
Проходит передача объекта на баланс</t>
  </si>
  <si>
    <t>Работы завершены. Проходит перпедача на баланс объекта</t>
  </si>
  <si>
    <t>Работы завершены.</t>
  </si>
  <si>
    <t>По состоянию на 16.09.2025
Фактическое состояние объекта:
Ведется строительство
Проблемные вопросы: 
ПСД (корректировка) проходит МГЭ. Плановая дата выхода - октябрь 2025
Плановая дата получения ЗОС - ноябрь 2025</t>
  </si>
  <si>
    <t>РВ № 77-04-012806-2025 от 31.10.2025</t>
  </si>
  <si>
    <t>РВ № 77-07-012771-2025 от 30.09.2025</t>
  </si>
  <si>
    <t>По состоянию на 28.10.2025
Фактическое состояние объекта:
Ведется строительство 
Проблемные вопросы: 
ПД (корректировка) проходит МГЭ - 26.09.2025
Плановая дата получения положительного заключения МГЭ - ноябрь 2025
Пусконаладочные работы будут выполнены до  декабрь 2025</t>
  </si>
  <si>
    <t>По состоянию на 06.11.2025
Фактическое состояние объекта:
Ведется строительство
Проблемные вопросы: 
Проходит процесс согласования мебели с департаментом здравохранения
Локальные изменения от ДЗМ  по ранее разработанным проектным решениям, которые влекут за собой выполнение дополнительных СМР
Отсутствие выданных Фондом Сколково и ТСК Мосэнерго (МОЭК) ТУ на теплоснабжение по 1 категории
Плановая дата получения ЗОС, РВ – декабрь 2025</t>
  </si>
  <si>
    <t>Получен АПОКС от 11.07.2025</t>
  </si>
  <si>
    <t xml:space="preserve"> Акт приемки объекта капитального строительства №б/н от 29.08.2025 (Этап 1) </t>
  </si>
  <si>
    <t xml:space="preserve">РВ от 17.09.2025 № 77-06-012731-2025
</t>
  </si>
  <si>
    <t>По состоянию на 16.10.2025
Фактическое состояние объекта:
Ведется строительство
Проблемные вопросы: 
ЗОС № 901-30-Р/ЗОС от 15.10.2025
Плановая дата получения РВ - октябрь 2025</t>
  </si>
  <si>
    <t>По состоянию на 12.08.2025
Фактическое состояние объекта:
Ведется строительство
Проблемные вопросы: 
Требуется перенос срока ввода оъекта на ноябрь 2025
Требуется выделение в отдельный этап (4.1) завершение восстановительных работ на аварийном участке дороги со сроком завершения – апрель 2026
Необходимо получение положительного заключения МГЭ по сметной части откоректированной ПД
Для направления смет на рассмотрение в МГЭ требуется письмо ГРБС, в части распределения лимитов финансирования, предусмотренных АИП города Москвы</t>
  </si>
  <si>
    <t xml:space="preserve">РВ от 24.09.2025 № 77-07-012740-2025
</t>
  </si>
  <si>
    <t>РВ от 09.10.2025 № 77-17-012778-2025</t>
  </si>
  <si>
    <t>нет</t>
  </si>
  <si>
    <t>По состоянию на 08.07.2025
Отсутствуют проектные решения по прокладке сухотруб по ИССО на мостовых соединениях</t>
  </si>
  <si>
    <t>По состоянию на 03.09.2025
ПД (деление на этапы) находится на рассмотрении в МГЭ 
Для проведения итоговой проверки МГСН требуется положительное заключение МГЭ с разделением на этапы</t>
  </si>
  <si>
    <t>По состоянию на 03.09.2025
Не представлена откорректированная документация для загрузки в МГЭ от АО "ДиМ"</t>
  </si>
  <si>
    <t xml:space="preserve">По состоянию на 03.09.2025
ПД (деление на этапы) находится на рассмотрении в МГЭ 
</t>
  </si>
  <si>
    <t>По состоянию на 23.09.2025
Ведется разработка РД 
ТДЦ находится на согласовании в Главконтроле</t>
  </si>
  <si>
    <t>РВ №77-07-012718-2025 от 09.09.2025
По состоянию на 03.09.2025
Фактическое состояние объекта:
Ведется строительство
Проблемные вопросы:
В соответствии с положительным заключением МГЭ от 13.08.2025 объект разделен на 7 этапов
Требуется корректировки плана прокладки ДК с учётом коллектора, не предусмотренного проектной документацией
Этап 1.4 (мост, съезды, инж. коммуникации):
Получен ЗОС от 03.09.2025
Плановая дата получения РВ - 09.09.2025</t>
  </si>
  <si>
    <t>По состоянию на 02.07.2025
Работы ведутся в графике, идет подготовка к итоговой проверке МГСН.</t>
  </si>
  <si>
    <t>По состоянию на 06.11.2025
Фактическое состояние объекта:
Ведется строительство
Проблемные вопросы:
Назначена повторная итоговая проверка МГСН  с 25.11.2025
 Плановая дата получения ЗОС - декабрь 2025</t>
  </si>
  <si>
    <t>По состоянию на 16.10.2025
Фактическое состояние объекта:
Ведется строительство
Проблемные вопросы:
Не заключен договор технического присоединения с ПАО «Россети». Требуется принятие решения в части решения трассировки сети к ЦМИ ввиду значительного увеличения стоимости ТП в обход территории застройки Капитал Групп
ПД (2 этап (главный корпус)) проходит МГЭ. Плановая дата выхода из МГЭ - ноябрь 2025
ПД (этап 3.1, 3.2 и 3.3): рассмотрение отклонено входным контролем МГЭ в связи с отсутствием письма от ГРБС
Необходима актуализация ТхЗ, при этом АО «Росиподромы» отказывается согласовывать ТХЗ с технологией обогрева дорожек
АО «Росипродромы» считают нецелесообразным реализацию беговых дорожек из-за значительного удорожания дальнейшей эксплуатации
Необходимо принятие решения об реализации гаражного хозяйства на территории нового земельного участка (снос и строительство или кап.ремонт)</t>
  </si>
  <si>
    <t>По состоянию на 06.11.2025
Фактическое состояние объекта: 
Ведется строительство
Проблемные вопросы: 
ПНР системы оснежения - ноябрь 2025
Планова дата получения ЗОС- 28.11.2025
Планова дата получения РВ - 30.11.2025</t>
  </si>
  <si>
    <t>РВ № 77-18-012772-2025 от 02.10.2025</t>
  </si>
  <si>
    <t>РВ от 29.09.2025 № 77-19-012747-2025</t>
  </si>
  <si>
    <t>По состоянию на 08.07.2025
Низкий темп производства работ по устройству инженерных коммуникаций в связи с недостаточной мобилизацией трудовых ресурсов.</t>
  </si>
  <si>
    <t>По состоянию на 08.07.2025
Работы не производятся.</t>
  </si>
  <si>
    <t>РВ №77-17-012397-2024 от 28.12.2024</t>
  </si>
  <si>
    <t xml:space="preserve">ЛОС4 - выполнен на 100% идет наполнение  папки ЗОС
ЛОС 3 идет монтаж насосов, илоприемника, отопления и вентиляции - готовность 86%
ЛОС 2 идет монтаж насосов, камеры водосброса. готовность 78% </t>
  </si>
  <si>
    <t>Государственный контракт  расторгнут  в связи с неисполнением генеральным подрядчиком своих обязательств ( решение об одностороннем отказе исполнения Государственного контракта от 28.01.2025).</t>
  </si>
  <si>
    <t>РВ № RU50-01-34987-2025 от 29.10.2025</t>
  </si>
  <si>
    <t xml:space="preserve">По состоянию на 22.07.2025
Фактическое состояние объекта: 
СМР не производятся.
Закелючен ГК на ЕП от 09.06.2025 с АО ГК «ЕКС».
Выполняется разработка проектной документации. Плановая дата загрузки в МГЭ сентябрь 2025 г.
Плановая дата начала подготовительных работ - август 2025 г.
</t>
  </si>
  <si>
    <t>По состоянию на 08.07.2025
Не определены сроки передачи здания под снос. Ведется судебные разбирательство.</t>
  </si>
  <si>
    <t>По состоянию на 04.07.2025
Заключен контракт от 27.09.2024 № № 344-ПП/9 на выполнение работ, связанных с одновременным выполнением подготовки проектной документации, выполнением инженерных изысканий и выполнением работ по реконструкции инженерных сетей.
ПД (корректировка) проходит МГЭ, плановая дата выхода - август 2025 г.
Ввод объекта запланирован на октябрь 2025 года.</t>
  </si>
  <si>
    <t>По состоянию на 08.07.2025
АО "ДиМ" необходимо предоставить ИД для проведения итоговой проверки. Проверка МГСН запланирована на 01.08.2025</t>
  </si>
  <si>
    <t>По состоянию на 08.07.2025
Отсутствует согласованный АГР, плановая дата получения согласования МКА август 2025 
Не устранены замечания "ГУП Мосводосток" (плановая дата устранения замечаний 30.07.2025)</t>
  </si>
  <si>
    <t>По состоянию на 08.07.2025
 Не устранены замечания ГБУ "Автомобильные дороги" (плановый срок устранения 30.07.25)</t>
  </si>
  <si>
    <t>По состоянию на 08.07.2025
Объект дополнительно разделен на этапы (добавлены этапы 2.1.3 и 2.1.4) для получения ЗОС и РВ (заключение МГЭ от 27.06.25 № 77-1-1-2-036210-2025).
Отсутсвует допуск на территорию полосы отвода РЖД. Требуется согласование ПСД с ФПК РЖД для заключения СКП на имущество.</t>
  </si>
  <si>
    <t>РВ от 11.09.2025 № 77-04-2942-2025МС</t>
  </si>
  <si>
    <t>По состоянию на 27.08.2025
Требуется корректировка ПСД с последующим прохождением МГЭ в связи с несоответствием исходных данных, предоставленных ГБУ «Мосгоргеотрест», в части расположения кабельных линий.
Договор на корректировку ПСД заключен.
При проектировании расчет показывал возможность погружения методом вдавливания, при выполнении работ фактически при погружении сваи упираются в песчанное русло реки что существенно увеличивает срок проведени данных работ (погружение до проектной отметки выполняется в несколько этапов). Корректировка расчета погружения свай также будет рассмотрен в рамках экспертизы.
ПСД (корректировка) находится на рассмотрении в МГЭ.
Плановая дата выхода из МГЭ - ноябрь 2025</t>
  </si>
  <si>
    <t>По состоянию на 08.07.2025
АГР не соответствует ПД. В МКА направлено письмо от 11.06.25 № УДМС-11-28614/25 об отсутствии необходимости внесения изменений в АГР и переутверждения свидетельства об утверждении.</t>
  </si>
  <si>
    <t>По состоянию на 08.07.2025
Требуется повторное прохождение МГЭ в части замены оборудования ЛОС (плановая дата загрузки документации в МГЭ 15.07.25).</t>
  </si>
  <si>
    <t>По состоянию на 08.07.2025
Ведется строительство.
Низкие темпы производства работ.</t>
  </si>
  <si>
    <t>Введен в техническую эксплуатацию</t>
  </si>
  <si>
    <t>По состоянию на 16.07.2025
СМР не производятся</t>
  </si>
  <si>
    <t>По состоянию на 15.07.2025
Замечания отсутствуют так как получено РВ.</t>
  </si>
  <si>
    <t xml:space="preserve">По состоянию на 15.07.2025
Фактическое состояние объекта:
Ведется строительство.
Проблемные вопросы:
Требуется увеличение производственных мощностей.
</t>
  </si>
  <si>
    <t>По состоянию на 22.07.2025 
Фактическое состояние объекта:
СМР не производится.
Проблемные вопросы:
Расторжение контрактата с ГП ООО «495 ССУ», идет судебный процесс. Поиск нового подрядчика.
Этап 1.5 - требуется корректировка проектных решений в части приведение к фактически выполненным работам (планируется утвердить изменения в рамках технического совета, без захода в МГЭ).</t>
  </si>
  <si>
    <t>По состоянию на 22.07.2025
Фактическое состояние объекта:
СМР не производится.
Проблемные вопросы:
Расторжение контрактата с ГП ООО «495 ССУ», идет судебный процесс. Поиск нового подрядчика.</t>
  </si>
  <si>
    <t>По состоянию на 06.11.2025
Фактическое состояние объекта:
Ведется строительство
Проблемные вопросы: 
06.11.2025 подана заявка на корректировку РнС 
Плановая дата окончания пусконаладочных работ - 21.11.2025
Плановая дата повторной итоговой проверки МГСН с 14.11.2025</t>
  </si>
  <si>
    <t>Получено положительное заключение ГАУ «МГЭ»№ 77-1-1-3-083426-2023. от 29.12.2023  
Отсутствует свидетельство об утверждении АГР, отсутствует разрешение на строительство. Строительство приостановлено</t>
  </si>
  <si>
    <t>По состоянию на 08.07.2025 
Не подписан акт технической приемки дождевой канализации. Замечания выданные ГУП "Мосводосток" не устранены
Не подписан акт технической приемки наружного освещения
Отсутствует согласование ОПС ГБУ МГГТ
Не завершены ПНР по АСУДД, работы по электроснабжению АПС и остановочных павильонов</t>
  </si>
  <si>
    <t>По состоянию на 08.07.2025 
Требуется согласование проектной документации с ГБУ "Гормост"</t>
  </si>
  <si>
    <t xml:space="preserve">По состоянию на 10.07.2025
Работы преостановлены. Проводится корректировка ПД в связи с заменой зарядных станций; 
Ориентировочный срок выхода из МГЭ - 07.10.2025 </t>
  </si>
  <si>
    <t>По состоянию на 10.07.2025
Выполняется в графике (плановая дата получения РВ сентябрь 2025).</t>
  </si>
  <si>
    <t>По состоянию на 04.07.2025
Низкий темп производства работ в связи с недостаточной мобилизацией трудовых ресурсов;
Требуется корректировка проектных решений в части конструктивных элементов ЛОС. Плановая дата выхода из МГЭ - 26.09.2025</t>
  </si>
  <si>
    <t>По состоянию на 04.07.2025
Ведется в графике</t>
  </si>
  <si>
    <t xml:space="preserve">По состоянию на 22.07.2025
Фактическое состояние объекта:
СМР не производятся.
Проблемные вопросы:
Подрядная организация не определена. Объект планируется к передаче в ДЖКХ г. Москвы.
</t>
  </si>
  <si>
    <t>По состоянию на 29.10.2025
Фактическое состояние объекта:
Ведется строительство
Проблемные вопросы:
Плановая дата получения РВ - декабрь 2025</t>
  </si>
  <si>
    <t>По состоянию на 16.09.2025
Фактическое состояние объекта:
Строительство не ведется
Проблемные вопросы: 
Отсутствует разработанная в полном объеме РД по объекту, в связи с расторжением 31.03.2025 договора на ПИР с ООО «Техноконцепт» (новый договор не заключался). 
10.09.2025 в адрес генеральной подрядной организации ООО «Прострой» направлено уведомление о расторжении договора на СМР. Требуется принятие решения по дальнейшему выбору исполнителя строительных работ для завершения объекта</t>
  </si>
  <si>
    <t>По состоянию на 16.09.2025
Фактическое состояние объекта:
Строительство не ведется
Проблемные вопросы: 
Отсутствует рабочая документация, что препятствует мобилизации рабочей силы
Произошла замена генподрядной организации на ООО «Главкапстрой»
Мобилизация рабочих запланирована на 01.10.2025</t>
  </si>
  <si>
    <t>По состоянию на 31.10.2025
Фактическое состояние объекта:
Ведется строительство
Откорректированная сметная документация проходит МГЭ с 06.10.2025
Низкие темпы выполнения работ. Недостаточная численность рабочих на объекте. 
Прогнозный срок ввода объекта - 2 кв. 2026г.</t>
  </si>
  <si>
    <t>По состоянию на 08.07.2025
Низкая мобилизация рабочего персонала. Низкий темп производства работ
Требуется проведение технического совета для утверждения изменений проектных решений по устройству акустических экранов в связи с замечаниями эксплуатирующей организации ГКУ «ЦОДД»</t>
  </si>
  <si>
    <t>По состоянию на 08.07.2025
Низкая мобилизация рабочего персонала. Низкий темп производства работ</t>
  </si>
  <si>
    <t>По состоянию на 08.07.2025
АО «ГК «Эталон» не передана строительная площадка. 
Требуется проведение повторной экспертизы в части типизации оборудования АСУДД. 
В рамках повторной экспертизы также планируется разделение на этапы.</t>
  </si>
  <si>
    <t>По состоянию на 08.07.2025
Проводится повторная экспертиза в части ограждающих конструкций котлована. Планируемая дата выдачи РД - август 2025 г</t>
  </si>
  <si>
    <t>По состоянию на 02.07.2025
Требуется корректировка ПСД в части приведения проектных решений к фактически выполненным работам
По состоянию на 02.07.25 проект ГК на корректировку ПСД находится на рассмотрении АО "ДиМ"
Не заключён договор на проведение авторского надзора по пешеходному переходу д. 29. Заключение договора возможно после подписания ГК на корректировку ПСД и выбора проектной организации</t>
  </si>
  <si>
    <t>Фактическое состояние объекта: Строительство не ведется
Ведутся работы по очистке камеры отстойника от ила и растительности, производится покос травы, очистка металлоконструкций от ржавчины и старой краски</t>
  </si>
  <si>
    <t>Разработана новая транспортная схема по объекту, согласно которой переустройство трамвайных путей не предусмотрено. Требуется корректировка проектной документации. Ориентировочный срок захода в МГЭ - сентябрь 2025 г., выход из МГЭ - декабрь 2025 года.</t>
  </si>
  <si>
    <t>По состоянию на 06.11.2025
Фактическое состояние объекта:
Общестроительные работы выполнены
Проблемные вопросы:
Требуется согласование откорректированной документации в части трасс ливневой канализации с ОПС ГБУ "Мосгоргеотрест"</t>
  </si>
  <si>
    <t xml:space="preserve">Благоустройство (гранит и плитка - 3%, асфальтирование - 0%, озеленение - 0%), монтаж инженерных систем - 0%, устройство наружных сетей - 0%. </t>
  </si>
  <si>
    <t xml:space="preserve">Общая строительная готовность - 0%. 
Благоустройство - 0%, монтаж инженерных систем - 0%, устройство наружных сетей - 0%.
</t>
  </si>
  <si>
    <t>По состоянию на 03.10.2025
Проблемные вопросы:
Необходима корректировка ПСД в связи с несоответствием геоподосновы, а также выявлением дополнительного объема работ при согласовании РД с РСО, замена импортного оборудования КС на аналоги
Плановая дата загрузки ПСД в МГЭ - 01.11.2025
Плановая дата получения положительного заключения МГЭ -  январь 2026</t>
  </si>
  <si>
    <t>По состоянию на 11.09.2025
Фактическое состояние объекта:
Строительство не ведется 
Проблемные вопросы: 
АНО «РСИ» направило уведомление об одностороннем отказе от договора 12.05.2025 № ИСХ-РСИ-6-14/84-25
Работы подрядчиком были остановлены в мае 2025
Проводится выверка выполненных объемов работ
Требуется принятие решения по дальнейшему выбору исполнителя строительных работ для завершения объекта</t>
  </si>
  <si>
    <t>По состоянию на 28.10.2025
Фактическое состояние объекта:
Ведется строительство
Проблемные вопросы: 
Плановая дата получения ЗОС и РВ - май 2026</t>
  </si>
  <si>
    <t>По состоянию на 07.11.2025
Фактическое состояние объекта:
Ведется строительство
Проблемные вопросы:
Проходит первая итоговая проверка МГСН с 27.10.2025 по 11.11.2025
Пусконаладочные работы будут выполнены -  ноябрь 2025
Плановая дата получения ЗОС и РВ - ноябрь 2025</t>
  </si>
  <si>
    <t xml:space="preserve">РВ № 77-07-012775-2025 от 03.10.2025
</t>
  </si>
  <si>
    <t>По состоянию на 17.09.2025
Фактическое состояние объекта:
Ведется строительство
Проблемные вопросы: 
Низкая строительная готовность
Низкая мобилизация рабочей силы
Со стороны ПАО «МОЭК» не завершены работы по теплосети
не завершены работы по участкам К1, К2
ПД (корретировка) проходит МГЭ
Отсутствует лифтовое оборудование и вентиляционные машины, плановая дата поставки до 15.10.2025
Монтаж оборудования для ПНР будет закончен до 20.10.2025
ПНР будут закончены до 31.10.2025
РД и АГР на корректировке, плановая дата выхода 30.10.2025</t>
  </si>
  <si>
    <t>По состоянию на 14.08.2025
Фактическое состояние объекта:
Ведется строительство
Проблемные вопросы: 
Низкая строительная готовность
Требуется согласование РД по внутренним инженерным системам с ПАО «МОЭК» (не могут поставить на учет ИТП и запустить тепло)
30.08.2025 ПД (корректировка) заходит в МГЭ
Оборудование для ПНР будет поставлено полностью до 10.09.2025
Поставка технологического оборудования будет осуществлена до 30.10.2025
Плановая дата подачи в МГСН 15.10.2025</t>
  </si>
  <si>
    <t>По состоянию на 23.10.2025
Фактическое состояние объекта:
Ведется строительство
Проблемные вопросы: 
Плановая дата получения ЗОС и РВ - декабрь 2025</t>
  </si>
  <si>
    <t>По состоянию на 15.09.2025
Фактическое состояние объекта:
Ведется строительство
Проблемные вопросы:
Проходит процесс поэтапной приемки выполненных работ специалистами АО «Мосводоканал»
Окончание монтажа колодцев – ноябрь 2025
Планируемый срок получения АПОКС – 30.12.2025</t>
  </si>
  <si>
    <t>По состоянию на 14.08.2025
Фактическое состояние объекта:
Ведется строительство
Проблемные вопросы:
Оборудование для ПНР будет поставлено в полном объеме до 28.10.2025
Завершение ПНР до 25.12.2025
Подача в МГСН 30.12.2025</t>
  </si>
  <si>
    <t>Получен АПОКС от 04.07.2025</t>
  </si>
  <si>
    <t xml:space="preserve">По состоянию на 14.10.2025
Фактическое состояние объекта:
Ведется строительство
Проблемные вопросы: 
Низкая строительная готовность
Откорректированная ПД находится на КУ в МГЭ с 04.06.2025.
Планируемая дата выхода – декабрь 2025. </t>
  </si>
  <si>
    <t>По состоянию на 12.08.2025
Фактическое состояние объекта:
Ведется строительство
Проблемные вопросы:
Проходит передача объекта в ДСТИиИ
Договор подписан в ДСТИиИ и направлен в ГКУ "Москворечье"</t>
  </si>
  <si>
    <t>По состоянию на 25.06.2025
Фактическое состояние объекта:
Ведется строительство</t>
  </si>
  <si>
    <t>По состоянию на 14.08.2025
Фактическое состояние объекта:
Ведется строительство
Проблемные вопросы: 
Требуется принятие решения по дальнейшему выбору исполнителя строительных работ для завершения объекта
Контракт с ООО Прострой расторгнут в одностороннем порядке ИСХ-РСИ-6-61/169-25 от 10.09.2025</t>
  </si>
  <si>
    <t>По состоянию на 30.10.2025
Фактическое состояние объекта:
Ведется строительство
Проблемные вопросы: 
Произошла замена генерального подрядчика
ПД (корректировка) проходит МГЭ. Плановая дата выхода из МГЭ - ноябрь 2025
Проходит согласлование откорректированного АГР в МКА. Плановая дата утверждения АГР в МКА - 10.11.2025
Плановые даты получения ЗОС и РВ - декабрь 2025</t>
  </si>
  <si>
    <t>Ведетсся строительство</t>
  </si>
  <si>
    <t>По состоянию на 06.08.2025
Проводится итоговая проверка МГСН в период с 25.07.2025 по 07.08.2025</t>
  </si>
  <si>
    <t>По состоянию на 07.11.2025
Фактическое состояние объекта: 
Ведется строительство
Проблемные вопросы: 
ПСД (корркектировка) проходит МГЭ. Плановая дата получения положительного заключения - 02.12.2025
Плановая дата получения РВ - февраль 2026</t>
  </si>
  <si>
    <t>По состоянию на 28.10.2025
Фактическое состояние объекта:
Ведется строительство 
Проблемные вопросы: 
Отсутствует утвержденный АГР. Плановая дата согласования АГР - ноябрь 2025
Отсутствует положительное заключение МГЭ. Плановая дата загрузки ПСД в МГЭ - декабрь 2025
Плановая дата получения положительного заключения МГЭ - февраль 2026
Требуется пересогласование разделов АПР, СПОЗУ, ТХ, ОДИ с ГКУ «ДИОМ»
Отсутствует РнС
Актуализация КСГ будет выполнена после утверждения АГР</t>
  </si>
  <si>
    <t>По состоянию на 15.09.2025
Фактическое состояние объекта: 
Производятся подготовительные работы
Проблемные вопросы: 
Производиться оформление ЗПО. Плановая дата до 20.10.2025
РнС отсутствует
Плановая дата получения РВ - март 2026</t>
  </si>
  <si>
    <t>Этап 3.2.2 Разработка градостроительной документации (на 03.02.2025)
Этап 3.3.5 Реконструкция пешеходных переходо в срок до 15.01.2026)
Этап 3.4 Ведутся СМР</t>
  </si>
  <si>
    <t xml:space="preserve">Лестничный сход №1: ОП №1 - монолитные работы завершены.
Лестничный сход №2: ОП №2 - монолитные работы завершены на 70%.
ОП №3 - монолитные работы завершены.
Вырубка зеленых насаждений полностью завершена. </t>
  </si>
  <si>
    <t xml:space="preserve">По состоянию на 07.10.2025
Фактическое состояние объекта: 
Строительство не ведется 
Проблемные вопросы:
Работы были приостановлены в связи с необходимостью решения следующих вопросов: 
- Увеличение лимита АИП;
- Корректировки ПСД;
- Расчет новой цена контракта;
- Согласование изменения стоимости контракта
06.08.2025 подписано ДС с откорректированной сметой контракта
Ориентировочный срок возобновления СМР – октябрь 2025
</t>
  </si>
  <si>
    <t>По состоянию на 30.10.2025
Фактическое состояние объекта: 
Строительство не ведется 
Проблемные вопросы:
Расторжение договора с ООО «СК Альтаир» №ИСХ-РСИ-6-15/188-25 от 07.10.2025
Отсутствует генеральный подрядчик</t>
  </si>
  <si>
    <t>По состоянию на 01.09.2025
Фактическое состояние объекта: 
Ведется строительство
Проблемные вопросы:
Сметная документация проходит МГЭ
Плановая дата получения РВ - март 2026</t>
  </si>
  <si>
    <t>По состоянию на 29.09.2025 
ПД (корректировка) на рассмотрении в МГЭ
По тех. части получено положительное заключение МГЭ
Сметная часть на рассмотрении 
Плановая дата выхода сметной части из МГЭ - 14.10.2025
Ввод объекта по АПОКС 
Плановая дата получения АПОКС - декабрь 2025</t>
  </si>
  <si>
    <t>По состоянию на 16.09.2025
Фактическое состояние объекта:
Ведется строительство
Проблемные вопросы: 
Требуется прохождение МГЭ сметной документации. Плановая дата загрузки документации в МГЭ - октябрь 2025</t>
  </si>
  <si>
    <t>Ведутся работы по бетонирование шкафной стенки опоры №1, подпорных стен, армированию пролетного строения (пролет 1-2), монтажу опалубки пролета 2-3, устр-ву нижних слоев дорожной одежды со стороны м.Бибирево, внутренней отделке ППП, работы по обратной засыпке канала теплосети, устр-во дождевой канализации.</t>
  </si>
  <si>
    <t xml:space="preserve">Ведутся работы по переустройству инженерных коммуникаций (электрические сети, сети связи,  система наружного освещения, теплосеть) строительству подземных пешеходных переходов, автомобильной дороги, благоустройству территории на участке Сельскохозяйственной ул., Проектируемых проездов №№  1304, 1305, 1306, устройству дождевой канализации. </t>
  </si>
  <si>
    <t>Получены заключения экспертизы  по 1 этапу - от 05.08.2022 г. № 77-1-1-3-055329-2022, от 24.10.2022 г. №77-1-1-2-074902-2022), утверждение от 31.10.2022 №Р-191/22, от 20.10.2022 г. №77-1-1-3-074325-2022.  По проектной документации получено заключение ГАУ Мосгосэкспертиза по пересчету сметной стоимости в текущий уровень цен. Подрядчик определен. Информация о ходе строительства на подобъектах. Ведется строительно-монтажные работы по 1 этапу</t>
  </si>
  <si>
    <t>Утверждение ПСД до 08.08.2025</t>
  </si>
  <si>
    <t>Утверждение ПСД до 26.10.2025</t>
  </si>
  <si>
    <t>По состоянию на 25.08.2025
Фактическое состояние объекта:
Ведется строительство
Расторгнут контракт на проектирование с 
ООО «ТЕХНОКОНЦЕПТ». Новый проектировщик 
не определен
Требуется принятие решения по дальнейшему выбору исполнителя строительных работ для завершения объекта</t>
  </si>
  <si>
    <t>По состоянию на 28.10.2025
Фактическое состояние объекта:
Ведется строительство
Проблемные вопросы: 
Проходит комплектация документации для загрузки и получения РнС. Плановая дата загрузки документов - ноябрь 2025
Плановая дата получения РВ - май 2026</t>
  </si>
  <si>
    <t>По состоянию на 21.10.2025
Фактическое состояние объекта:
Ведется строительство
Проблемные вопросы: 
Снижение трудовых ресурсов из-за дефицита финансирования, необходимо доведение дополнительного аванса. Направлены материалы в ДГС 21.10.2025</t>
  </si>
  <si>
    <t>По состоянию на 30.10.2025
Фактическое состояние объекта:
Ведется строительство 
Проблемные вопросы: 
Отсутствует утвержденный АГР. Плановая дата согласования АГР - декабрь 2025
Требуется повторное согласование с ГКУ ДИОМ разделов ТХ, СПОЗУ, ОДИ
Отсутствует положительное заключение МГЭ. Плановая дата загрузки ПСД в МГЭ - декабрь 2025
Отсутствует РнС
Плановая дата  получения РВ - май 2026</t>
  </si>
  <si>
    <t>Ведутся ПИР</t>
  </si>
  <si>
    <t>По состоянию на 05.11.2025
Фактическое состояние объекта:
Ведется строительство
Проблемные вопросы: 
Низкая строительная готовность
АГР согласован с администрацией города Троицка
 Срок действия РнС истек
Для продления РнС необходимо
продлить договор аренды з/у
Плановая дата получения РВ - июнь 2026</t>
  </si>
  <si>
    <t>По состоянию на 16.10.2025
Фактическое состояние объекта: 
Ведется строительство
Проблемные вопросы: 
Отсутствует РнС
Отсутствует АГР
ПСД подготовительного периода проходит КУ в МГЭ. Плановая дата выхода из МГЭ 10.12.2025
Необходимо согласовать землянные работы, так как объект входит в территории зоны регулирования застройки и зоны охраняемого культурного наследия</t>
  </si>
  <si>
    <t>По состоянию на 22.08.2025
Фактическое состояние объекта: 
Ведется строительство
Проблемные вопросы: 
Отсутствует РнС
Отсутствует АГР
ПСД подготовительного периода проходит КУ в МГЭ с 12.08.2025</t>
  </si>
  <si>
    <t>В настоящий момент строители выполняют подготовительные работы на объекте: разработку грунта с устройством металлических креплений.</t>
  </si>
  <si>
    <t>ГК расторгнут с ООО "ТК "Руслан-1"</t>
  </si>
  <si>
    <t>По состоянию на 21.10.2025
На совещании 04.02.2025 у Мэра Москвы принято решение о нецелесообразности реализации объекта по адресу: уд. 6-я Радиальная, вл. 32 и необходимости подбора альтернативного земельного участка
05.06.2025 МКА подобран и утвержден альтернативный земельный участок по адресу: ул. Бакинская, вл. 32
Требуется разработка ПСД под новый ЗУ
Плановая дата получения положительного заключения МГЭ - 30.05.2026</t>
  </si>
  <si>
    <t>Строительство начато. АО "МИСК" производит работы подготовительного периода и ПОС.</t>
  </si>
  <si>
    <t>По состоянию на 10.11.2025 
Фактическое состояние объекта: 
Ведется строительство 
Проблемные вопросы: 
Отсутствует РнС 
ПД (корректировка) проходит МГЭ. Плановая дата получения положительного заключения МГЭ - декабрь 2025</t>
  </si>
  <si>
    <t>По состоянию на 22.08.2025
Фактическое состояние объекта: 
Строительство не ведется
Проблемные вопросы:
Согласно оформленной дорожной карты между АНО "РСИ" и ГКУ "РМР", по итогу получения положительного заключения МГЭ по сметной части, вся проектно-сметная документация от ГКУ "РМР" будет передаваться через имущественный взнос в АНО "РСИ" (ориентировочный срок ~ 4 мес ~ декабрь 2025) с последующим проведение торгов на РД+СМР. 
Ответственная организация за реализацию объекта до декабря 2025 является ГКУ "РМР"</t>
  </si>
  <si>
    <t>По состоянию на 22.08.2025
Фактическое состояние объекта: 
Строительство не ведется
Проблемные вопросы:
Согласно оформленной дорожной карты между АНО "РСИ" и ГКУ "РМР", вся проектно-сметная документация от ГКУ "РМР" будет передаваться через имущественный взнос в АНО "РСИ" (ориентировочный срок ~ 4 мес ~ декабрь 2025) с последующим проведение торгов на РД+СМР.
Ответственная организация за реализацию объекта до декабря 2025 является ГКУ "РМР"</t>
  </si>
  <si>
    <t>По состоянию на 29.10.2025
СМР приостановлены с 06.12.2024 по причине необходимости корректировки ПСД. Планируемый срок получения МГЭ - март 2026</t>
  </si>
  <si>
    <t>Строительство завершено</t>
  </si>
  <si>
    <t>Выполняются работы по строительству инженерных сетей</t>
  </si>
  <si>
    <t xml:space="preserve">Общая строительная готовность  - 74%.
Земляные работы - 100%, монолитный ж/б - 100%, фасадные работы - 0%, архитектурно-отделочные работы (внутренние) - 23%, инженерные системы (основное - 100%, прочее - 0%, кабель - 49%, трубопроводы - 29%, воздуховоды - 0%), устройство наружных сетей (кабель- 56%, трубопроводы - 2%), благоустройство (озеленение - 51%, асфальтирование - 66%, гранит и плитка - 84%), ПНР - 33%, остановочные павильоны - 60%, монтаж шумозащитных оконных блоков - 98%.
Этап 1 - Общая строительная готовность - 100%. 
Этап 2 - Общая строительная готовность - 100%. 
Этап 3 - Общая строительная готовность - 54%. Требуется корректировка проектной документации. ППТ получен. Планируемый срок получения заключения государственной экспертизы скорректирован  -  4 квартал 2025 г. (декабрь ориентировочно). Получен ГПЗУ - 28.02.2025 г. 
Этап 4 - Общая строительная готовность - 100%.
Этап 6 - Общая строительная готовность - 0%. </t>
  </si>
  <si>
    <t xml:space="preserve">Общая строительная готовность - 54%.
Вынос инженерных коммуникаций  - 99%,ограждающие конструкции - 100%, земляные работы - 100%, крепление котлована - 100%, монолитные ж/б - 100%, фасадные работы - 0%, архитектурно-отделочные работы - 0%, монтаж инженерных систем - 0%, обратная засыпка - 100%, устройство наружных сетей (кабель - 1%, трубопроводы - 2%), благоустройство (озеленение - 0%, асфальтирование - 14%, гранит и плитка - 26%),  ПНР - 0%, трамвайная линия - 0%, остановочные павильоны - 0%.
Требуется корректировка проектной документации. ППТ получен. Планируемый срок получения заключения государственной экспертизы скорректирован  -  4 квартал 2025 г. (декабрь ориентировочно). Получен ГПЗУ - 28.02.2025 г. </t>
  </si>
  <si>
    <t>Общая строительная готовность - 100%. 
Пуск автомобильного движения под Дангауэровским путепроводом осуществлен.</t>
  </si>
  <si>
    <t xml:space="preserve">Общая строительная готовность  - 73%.
Монолитный ж/б - 90%, обратная засыпка - 102%.
Этап 1 - Общая строительная готовность - 100%. 
Этап 2 - Общая строительная готовность - 100%. 
Этап 3 - Общая строительная готовность - 53%. Требуется корректировка проектной документации. ППТ получен. Планируемый срок получения заключения государственной экспертизы скорректирован  -  3 квартал 2025 г. (август-сентябрь ориентировочно). Получен ГПЗУ - 28.02.2025 г. 
Этап 4 - Общая строительная готовность - 100%.
Этап 6 - Общая строительная готовность - 0%. </t>
  </si>
  <si>
    <t>По состоянию на 10.11.2025
Фактическое состояние объекта: 
Ведется строительство
Проблемные вопросы:
Отсутствует РнС
АГР не согласован (проводится корректировка альбом-буклета)
Плановая дата утверждения АГР - декабрь 2025
ПД в части корректировки конструктивных решений проходит КУ в МГЭ
Плановая дата выхода с КУ - декабрь 2025 
Отсутствует РД на устройство благоустройства, инженерных сетей и АР</t>
  </si>
  <si>
    <t xml:space="preserve">По состоянию на 15.09.2025
Ведется корректировка ПСД в части разделов технологического оборудования, инженерных систем и коммуникаций.
       ПСД загружена в экспертизу, директивный срок получения положительного заключения 
ГАУ «МГЭ» – октябрь 2025 г.
Планируется продление ГК до 30.05.2026
</t>
  </si>
  <si>
    <t>Ведутся работы по:
Строительству водопропускных труб,
Строительству теплосети,
Строительству подпорных стен,
Устройству опор эстакады,
Строительству ДК.</t>
  </si>
  <si>
    <t>Ведется проектирование</t>
  </si>
  <si>
    <t>Разработка ПСД. Оформление земельно-имущественных отношений, Москомархитектурой ведется работа по внесению изменений в Проект планировки территории для размещения объектов капитального строительства – локальных очистных сооружений.</t>
  </si>
  <si>
    <t>По состоянию на 10.11.2025
Фактическое состояние объекта: 
Ведется строительство
Проблемные вопросы: 
Отсутствует РнС
Документация загружена на КУ в МГЭ. 
Плановая дата выхода с КУ и загрузки ПСД в МГЭ - декабрь 2025
Плановая дата получения положительного заключения МГЭ - февраль 2026
Отсутствует откорректированное ТхЗ (на согласовании ГКУ ДИОМ)
Требуется корректировка ГПЗУ 
Требуется переустройство существующего участка дождевой канализации</t>
  </si>
  <si>
    <t>По состоянию на 10.11.2025
Фактическое состояние объекта: 
Ведется строительство
Проблемные вопросы: 
Отсутствует РнС
Документация загружена на КУ в МГЭ
Плановая дата выхода c КУ - декабрь 2025</t>
  </si>
  <si>
    <t>По состоянию на 10.11.2025
Фактическое состояние объекта: 
Ведется строительство
Проблемные вопросы: 
Отсутствует РнС. В связи с отсутствием РНС приостановлены работы кранов на 90 дней
Отсутствует утвержденный АГР
Плановая дата утверждения АГР - ноябрь 2025
Документация (Этап 1: снос и вынос сетей) загружена на КУ в МГЭ  Плановая дата выхода c КУ - 28.11.2025</t>
  </si>
  <si>
    <t>По состоянию на 25.08.2025 
 Фактическое состояние объекта: 
 Ведется строительство
 Проблемные вопросы: 
 Плановая дата получения положительного заключения в МГЭ на ПСД - 24.11.2025
 Плановая дата получения РВ - 30.10.2026</t>
  </si>
  <si>
    <t>Осуществляется разработка проектной документации. Планируемый срок разработки проекта с получением положительного заключения МГЭ: 
1 этап - получено положительное заключение государственной экспертизы тех. части от 27.12.2024 № 77-1-1-3-082242-2024, и по сметам.
2 этап - заключение по проекту - 16.06.2025, сметы - 16.07.2025;
3 этап - заключение по проекту - 15.08.2025, сметы - 15.09.2025.</t>
  </si>
  <si>
    <t xml:space="preserve">Этап 3.1 Устройство форшахты для производства работ по ограждающим конструкциям "стена в грунте".
Этап 3.2 Разработка градостроительной документации.
Этап 3.3.2 Ведутся работы по:
- устройство берего-укрепления; 
- строительство дороги (устройство дорожной одежды);
- строительство дождевой канализации.
Строительная готовность - 35%. 
Этап 3.3.3 Строительство пеш.перехода: ведутся работы по монтажу подводящих коммуникаций, отделочные работы 
Строительная готовность: 91%
Этап 3.3.4 Ведутся работы по строительству дождевой канализации, прокладке кабельных линий, монтажу оборудования АСУДД (опоры ОДН). 
Строительная готовность - 51%.
Этап 3.3.5 Ведутся работы по:
- устройство берего-укрепления; 
- строительство дороги (устройство дорожной одежды);
- строительство дождевой канализации.
Строительная готовность - 35%. 
</t>
  </si>
  <si>
    <t>По состоянию на 10.11.2025  
Фактическое состояние объекта: 
Ведется строительство
Проблемные вопросы: 
Выявлено загрязнение грунта при проведении экологических исследований. Требуется замена грунта. ООО «Институт Мосинжпроект» необходимо разработать проект и согласовать решения в МГЭ. 
Отсутствует согласованная транспортная схема.
Низкий темп выдачи рабочей документации со стороны ООО «Институт «Мосинжпроект»
Документация загружена на КУ в МГЭ 09.04.2025. Плановая дата выхода с КУ и захода в МГЭ с полным комлектом ПСД - ноябрь 2025. Длительное устранение замечаний на КУ в МГЭ (перезагрузка откорректированных томов ПД).
Плановая дата выхода из МГЭ - февраль 2026</t>
  </si>
  <si>
    <t>Ведется перекладка инженерных коммуникаций: канализация, дождевая канализация, кабельные линии 10 кВ.</t>
  </si>
  <si>
    <t>По состоянию на 28.10.2025 
Фактическое состояние объекта: 
Строительство не ведется 
Проблемные вопросы: 
Подписано ДС № 13/Продление от 02.10.2025 на продление сроков выполнения работ до апреля 2026
Отсутствует РнС
Плановая дата оформления РнС - 01.12.2025</t>
  </si>
  <si>
    <t>ТРЕБУЕТСЯ ДОПОЛНИТЕЛЬНЫЙ ОБЪЕМ ФИНАНСИРОВАНИЯ ДЛЯ РЕАЛИЗАЦИИ ОБЪЕКТА</t>
  </si>
  <si>
    <t>Ведутся работы по устройству уширения проезжей части ш. Энтузиастов для последующего перепуска движения, переносу кабельной канализации сетей связи, устройству дождевой канализации.</t>
  </si>
  <si>
    <t>По состоянию на 05.11.2025
Фактическое состояние объекта:
Ведется строительство
Проблемные вопросы: 
Низкая строительная готовность
АГР согласован с администрацией города Троицка
Срок действия РнС истек. Для продления РнС необходимо продлить договор аренды з/у</t>
  </si>
  <si>
    <t>По состоянию на 25.08.2025
Фактическое состояние объекта:
Ведется строительство
Проблемные вопросы
Плановая дата получения положительного заключения в МГЭ на ПД - 10.09.2025
Плановая дата получения положительного заключения в МГЭ на сметную документаию - 10.10.2025
Расторжение договора с единым поставшиком - октябрь 2025
Передача объекта в АНО "РСИ" - ноябрь 2025
Плановая дата получения РнС - февраль 2026
Плановая дата получения РВ - октябрь 2027</t>
  </si>
  <si>
    <t>Ведется разработка проектной документации по этапу 1 и очистному сооружению.
Ведутся работы по строительству эстакад и строительству инженерных коммуникаций по этап 2.</t>
  </si>
  <si>
    <t>1 этап сдан, 2 и 3 этап в проектирование</t>
  </si>
  <si>
    <t>Ведется ПИР</t>
  </si>
  <si>
    <t>Ведутся торги на ПИР</t>
  </si>
  <si>
    <t>Планируемый срок получения МГЭ - май 2025. Планируется расторжения ГК с управляющей компанией АО "УКС ИКСиД" и новые торги на СМР.</t>
  </si>
  <si>
    <t>Корректировка проектной документации</t>
  </si>
  <si>
    <t>Заключен ГК от 01.04.2025 №0173200001425000216</t>
  </si>
  <si>
    <t>Торги на ПИР</t>
  </si>
  <si>
    <t>Работы не начаты</t>
  </si>
  <si>
    <t>Ведутся работы подготовительного периода, сооружение основных конструкций пешеходного перехода № 1,  земляные работы по разработке котлована тоннельной части  пешеходного перехода № 4, ведутся работы по устройству путепровода № 1 через жд пути Курского направления, работы по устройству перекладки теплосети, перекладке инженерных коммуникаций , а также устройству временных объездных дорог на Варшавском шоссе для устройства путепровода на Варшавском шоссе, строительство путепровода №2 на Варшавском шоссе.</t>
  </si>
  <si>
    <t>СМР приостановлены. Строительная готовность - 23%.
ГК на выполнение подрядных работ с ООО "495 ССУ" расторгнут 19.05.2025. Выполняются мероприятия по инвентаризации выполненных объемов и приемке ИД и ПД по объекту от подрядчика.
Стройплощадка от подрядчика принята 19.05.2025. 
Заключен новый ГК на дострой с ООО фирма "ГЕРА" от 15.09.2025. Выполняются ПИР (корректировка ПСД).
Передана стройплощадка ООО "Фирма ГЕРА" 22.09.2025</t>
  </si>
  <si>
    <t>По состоянию на 23.09.2025
Фактическое состояние объекта:
Ведется строительство 
Проблемные вопросы: 
Плановая дата получения положительного заключения в МГЭ на ПД (корректировка) - 30.09.2025
Плановая дата получения положительного заключения в МГЭ на сметную документацию - 24.11.2025</t>
  </si>
  <si>
    <t>По состоянию на 25.08.2025
Фактическое состояние объекта:
Строительство не ведется
Проблемные вопросы:
АГР согласован с администрацией города Троицка
Принято решение о проведение конкурсных процедур по определению подрядчика по строительству гаражных комплексов.
После согласования НМЦ в ГКУ «УКС» будет подготовлена закупочная документация и проведена закупка по определению подрядчика для строительства 3 гаражных комплексов.
Плановая дата получения РВ - март 2027</t>
  </si>
  <si>
    <t>По состоянию на 25.08.2025
Фактическое состояние объекта:
Строительство не ведется
Проблемные вопросы:
АГР согласован с администрацией города Троицка
Принято решение о проведение конкурсных процедур по определению подрядчика по строительству гаражных комплексов.
После согласования НМЦ в ГКУ «УКС» будет подготовлена закупочная документация и проведена закупка по определению подрядчика для строительства 3 гаражных комплексов.
Плановая дата получения РВ - март 2027</t>
  </si>
  <si>
    <t>По состоянию на 19.09.2025
Фактическое состояние объекта: 
Ведется строительство
Требуется корректировка ПСД в связи с изменением архитектурно-градостроительных решений
Плановая дата загрузки ПСД в ГАУ «Мосгосэкспертиза» - 06.11.2025</t>
  </si>
  <si>
    <t>Проектирование:
Получено положительное заключение МГЭ - 24.12.2024г.
Подготовка материалов для проведения торгов приостановлена, в связи с планируемой передачей в Комплекс городского хозяйства города Москвы (Письмо от 24.02.2025 №ДСТИ -11-2779/25-1).
Подготовка материалов для выноса вопроса о заключении контракта на ЕП.</t>
  </si>
  <si>
    <t>Уточнение стоимости выполнено на основании сметы по объекту (заходная смета в МГЭ) в связи с выявленной необходимость переустройства ВЛ 500 и учетом инфляции.</t>
  </si>
  <si>
    <t>Торги на подрядчика</t>
  </si>
  <si>
    <t>Подготовка к проведению закупки на ПИР</t>
  </si>
  <si>
    <t>ТРЕБУЕТСЯ ДОПОЛНИТЕЛЬНАЯ ПРОРАБОТКА (РАССМОТРЕНИЕ) С ДЕПАРТАМЕНТОМ ТРАНСПОРТА И МОСКОМАРХИТЕКТУРОЙ</t>
  </si>
  <si>
    <t>Разработка проектной документации</t>
  </si>
  <si>
    <t>По состоянию на 29.10.2025
Ведутся ПИР
Плановая дата получения положительного заключения МГЭ - январь 2026</t>
  </si>
  <si>
    <t>Г/К с ТЗ и ГП заключены. Ведутся СМР с 30.06.2022. С 17.09.2024 работы на объекте приостановлены по причине необходимости корректировки ПСД. Планируемый срок получения МГЭ - май 2026. Завершение работ - ноябрь 2027</t>
  </si>
  <si>
    <t>Г/К с ТЗ и ГП заключены. Ведутся СМР с 29.12.2023. Завершение работ - 4 кв. 2026</t>
  </si>
  <si>
    <t>По состоянию на 28.10.2025
Фактическое состояние объекта: 
Ведется строительство
Проблемные вопросы: 
Требуется корректировка РнС
Требуется корректировка ПД с последующим прохождением МГЭ в связи с отсутствием согласования РСО
Плановая дата получения положительного заключения МГЭ - март 2026
Плановая дата получения РВ - 30.12.2026</t>
  </si>
  <si>
    <t>По состоянию на 08.09.2025
Фактическое состояние объекта: 
Строительство не ведется
Проблемные вопросы: 
Отсутствует РнС
Отсутствует утвержденный АГР
Ведется разработка ПСД
Плановая дата получения МГЭ - 30.01.2026
Инициировано расторжение договора с ООО "Аврора СК" протокол Совещания у Мэра Москвы в Правительстве Москвы от 15.08.2025 № 25-14-180/25</t>
  </si>
  <si>
    <t>По состоянию на 25.08.2025 
Фактическое состояние объекта: 
Строительство не ведется 
Проблемные вопросы: 
АГР согласование - 30.09.2025
ПСД - 02.04.2026
Начало выполнения работ и РнС - май 2026
Плановая дата получения РВ - декабрь 2026</t>
  </si>
  <si>
    <t>По состоянию на 11.09.2025
Фактическое состояние объекта:
Строительство не ведется
Проблемные вопросы:
Производяться проектные работы
Плановая дата выхода подрядчика на площадку - март 2026</t>
  </si>
  <si>
    <t>По состоянию на 14.08.2025
Фактическое состояние объекта:
Строительство не ведется
Проблемные вопросы:
ПД прошла КУ в МГЭ
Планируемый срок загрузки в МГЭ (в рамках основной экспертизы) - ноябрь 2025 г.</t>
  </si>
  <si>
    <t>По состоянию на 13.10.2025
Ведутся проектно-изыскательские работы
По 3-му этапу (Основные и вспомогательные здания и сооружения) АО "Москапстрой" выполняется корректировка проектно-сметной документации.
После получения положительного заключения МГЭ объект планируется к передаче в подведомственную организацию ДГС</t>
  </si>
  <si>
    <t xml:space="preserve">
По состоянию на 08.09.2025
Объект к исключению из АИП (решение Мэра от 20.03.2025)
Получен ГПЗУ. 
Утверждено Технологическое задание и задание на проведение работ по сохранению объекта культурного наследия, включенного в единый государственный реестр объектов культурного наследия (памятников истории и культуры) народов РФ, или выявленного объекта культурного наследия.
В Департаменте гражданского строительства города Москвы (далее – Департамент) 25.02.2025 проведено совещания с участием представителей Департамента торговли и услуг города Москвы, Департамента городского имущества города Москвы, Департамента культурного наследия города Москвы, КП «УГС» и ГБУ «Ритуал».
Для реализации Ограждения необходимо проведение мероприятий по постановке Ограждения на государственный кадастровый учет и регистрации права собственности города Москвы.
По состоянию на 27.02.2025 прорабатывается вопрос о реализации объекта силами АНО "РСИО" или силами Департамента культурного наследия города Москвы.  </t>
  </si>
  <si>
    <t>По состоянию на 25.08.2025
Фактическое состояние объекта:
Строительство не ведется
Проблемные вопросы: 
Плановая дата получения РнС - 08.10.2025
Плановая дата получения РВ - декабрь 2026</t>
  </si>
  <si>
    <t>По состоянию на 06.08.2025
ПД проходит входной контроль МГЭ. Плановая дата получения положительного заключения МГЭ - октябрь 2025</t>
  </si>
  <si>
    <t>По состоянию на 01.10.2025
Фактическое состояние объекта:
Строительство не ведется
Проблемные вопросы: 
По состоянию на 01.10.2025
Договор приостановлен актом № 1 от 11.06.2025, возобновлен актом №2 от 08.09.2025
Возобновление СМР после получения результатов обследования качества ж/б конструкции</t>
  </si>
  <si>
    <t xml:space="preserve">По состоянию на 25.08.2025
Требуется корректировка РнС
Объект передается от Фонда ММК в АНО РСИ
В соответствии с утвержденной дорожной картой по реализации объекта ММК - Биотехнологическая лаборатория:
Фонду ММК расторгнуть договор с ООО "СтройЭкоРесурс" до 05.12.2025
Подписание акта према-передачи ОНС с АНО РСИ до 30.12.2025
Требуется проведение тендерных процедур и заключение договора на ПИР, работ по завершению строительства ОНС
Требуется перепроектирование объекта, строительство приостановлено
Плановая дата выхода из МГЭ - 27.02.2026
</t>
  </si>
  <si>
    <t>В связи с отзывом Москомархитектурой (письмо от 28.02.2024 № МКА-02-1962/24-1) согласования планировочных решений, ведется перепроектирование объекта</t>
  </si>
  <si>
    <t>По состоянию на 14.10.2025
Прорабатывается вопрос расторжения контракта с ООО «Энергия ОМ» в связи с необходимостью корректировки ПСД в соответствии с дополнительными требованиями ГУП «Московский метрополитен» о разработке ПД на реконструкцию станции «Люблино»</t>
  </si>
  <si>
    <t>Положительное заключение МГЭ от 16.07.2024 № 77-1-1-3-038227-2024. 
Исключение из реализации: участка реконструкции ул. Летчика Осканова и ул. Верхнелихоборской в соответствии с п.9.2 протокола заседания штаба у заместителя Мэра Москвы В.В.Ефимова от 15.01.2025 № 25-14-63/25.</t>
  </si>
  <si>
    <t>Положительное заключение МГЭ от 30.07.2024 № 77-1-1-3-042827-2024.  Срок СМР по ПОС 7,5 мес. 
Выполняются работы по разработке и согласованию РД. 
Для получения РНС требуется согласованный АГР. План получения - 30.09.2025.</t>
  </si>
  <si>
    <t>Положительное заключение МГЭ от 23.05.2025 № 77-1-1-3-028266-2025.  Срок СМР по ПОС 14,8 мес. 
Выполняются работы по разработке и согласованию РД. 
Для получения РНС требуется согласованный АГР. План получения - 30.06.2025.
Требуется корректировка ПД в части объемов работ (исключение Верхнелихоборской ул., ПП....)</t>
  </si>
  <si>
    <t>По состоянию на 23.09.2025
Нарушение сроков выполнения работ по проектированию на 466 дней
Планируется расторжение ГК с ООО «Горстрой» и закупка на ПИР</t>
  </si>
  <si>
    <t>По состоянию на 15.09.2025
Низкий темп разработки ПСД (отсутствует согласованный АГР)
Плановая дата загрузки откорректированной ПСД в МГЭ - сентябрь 2025
Низкая мобилизация и медленный темп производства строительно-монтажных работ
Планируется продление срока выполнения работ до 30.01.2026
Продления срока действий контракта до 30.07.2026 
Плановая дата ввода объекта - март 2026</t>
  </si>
  <si>
    <t>По состоянию на 25.08.2025
Строительство не ведется
ПД получила положительное заключение МГЭ по техчасти
17.04.2025 - в МГЭ загружена сметная документация.
По итогам МГЭ корректируем АГР, уточняется ТЭП и благоустройство
Ожидание от МГГТ модели
Заявка подана МКА-02-22321/25 от 02.04.2025
Проектировщиком ведется работа по согласованию рабочей документации с РСО</t>
  </si>
  <si>
    <t>По состоянию на 25.08.2025
Строительство не ведется
Подрядчик по реализации объекта не определен.</t>
  </si>
  <si>
    <t>По состоянию на 25.08.2025
Фактическое состояние объекта:
Строительство не ведется
Проблемные вопросы:
Генподрядчик не определен. Плановая дата выхода на торги - сентябрь 2025
Проходит переоформление ГПЗУ на АНО «РСИО» -  сентябрь 2025
25.08.2025 направлена заявка на оформление ДАЗУ 
Плановая дата получения РнС - октябрь 2025 
Высокая обводненность участка 
Внесение изменений в АИП в части увеличение предельного лимита АИП на основании полученного заключения МГЭ
Плановая дата получения РВ - декабрь 2026</t>
  </si>
  <si>
    <t>Работы не ведутся. Строительная готовность - 77 %.  ГК расторгнут 19.05.2025</t>
  </si>
  <si>
    <t>ГК  расторгнут. Работы не ведутся с 24.02.2025</t>
  </si>
  <si>
    <t>СМР приостановлены. Строительная готовность -47%.
ГК на выполнение подрядных работ с ООО "495 ССУ" расторгнут 07.03.2025. Выполняются мероприятия по инвентаризации выполненных объемов и приемке ИД и ПД по объекту от подрядчика.
План заключения нового ГК на завершение работ по объекту - 2 кв. 2025г.</t>
  </si>
  <si>
    <t>По состоянию на 28.10.2025
Фактическое состояние объекта:
Ведется строительство 
Проблемные вопросы: 
Плановая дата получения положительного заключения в МГЭ на сметную документацию - ноябрь 2025
Отсутствует РнС. Плановая дата - ноябрь 2025
Плановая дата получения РВ - декабрь 2026</t>
  </si>
  <si>
    <t>По состоянию на 29.08.2025
Фактическое состояние объекта:
Строительство не ведется 
Заключен договор с АО "Моспроект-4" от 09.06.2025.
Ведутся работы по корректировке проектной и рабочей документации</t>
  </si>
  <si>
    <t>Уточнение стоимости в связи с инфляцией. на 07.06.2024</t>
  </si>
  <si>
    <t>Разработка градостроительной документации на 03.02.2025</t>
  </si>
  <si>
    <t>Ведется строительство на 03.02.2025</t>
  </si>
  <si>
    <t>ТРЕБУЕТСЯ ДОПОЛНИТЕЛЬНЫЙ ОБЪЕМ ФИНАНСИРОВАНИЯ ДЛЯ РЕАЛИЗАЦИИ ОБЪЕКТА на 07.06.2024 Ведутся ПИР</t>
  </si>
  <si>
    <t>По состоянию на 08.07.2025
Обеспечить согласование АГР с МКА и Мэром Москвы для захода в МГЭ.</t>
  </si>
  <si>
    <t>Подготовка документации для объявления конкурсных процедур по выбору подрядчика на 05.06.2024</t>
  </si>
  <si>
    <t>По состоянию на 29.08.2025
 Фактическое состояние объекта:
 Строительство не ведется 
 Ведется разработка градостроительной документации. Работы подготовительного периода
 Объект подлежит передачи в АНО "РСИ"</t>
  </si>
  <si>
    <t>Ведутся ПИР на 01.10.2024</t>
  </si>
  <si>
    <t>Ведутся ПИР на 05.02.2025</t>
  </si>
  <si>
    <t>По состоянию на 28.08.2025
Фактическое состояние объекта:
Строительство не ведется
Проблемные вопросы:  
23.07.2025 сметная документация направлена в МГЭ. Срок утвержденный ДГС - с 11.08.2025 по 22.09.2025
Согласно оформленной дорожной карты между АНО "РСИ" и ГКУ "РМР", по итогу получения положительного заключения МГЭ по сметной части, вся проектно-сметная документация от ГКУ "РМР" будет передаваться через имущественный взнос в АНО "РСИ" (ориентировочный срок ~ 4 мес ~ декабрь 2025) с последующим проведение торгов на РД+СМР.
Ответственная организация за реализацию объекта до декабря 2025 является ГКУ "РМР"</t>
  </si>
  <si>
    <t>По состоянию на 28.08.2025
Фактическое состояние объекта:
Строительство не ведется
Проблемные вопросы: 
Отсутствует действующая сеть дождевой канализации вблизи объекта, находящаяся на балансе ГУП «Мосводосток»
Не подписаны договора на тех. прис. с АО «Мосводоканал» на ХВС и с АНО «МПТЦ» по причине смены ГРБС
По договору ХВС не хватает мощностей на пожарные нужды
Точки присоединения к сетям связи, водоотведения и водоснабжения удалены от границ ГПЗУ
По результатам ИГДИ - третий пояс зоны санитарной охраны
На з/у размещены действующие объекты инфраструктуры</t>
  </si>
  <si>
    <t>Этап 1.0 К проведению работ по демонтажу выхода №1, вестибюля №1 ст. "Лермонтовский проспект" возможно приступить после реализации этапа 1.1.3. 
Этап 1.1.1 Ведутся внутренние архитектурно-отделочные работы блок-секций 1, 2, 3, 5, выполняется устройство наружных и внутренних инженерных сетей
К работам по сооружению блок-секции 4 в полном объеме возможно приступить после реализации этапа 1 
"Реконструкция станции метро "Лермонтовский проспект". Демонтаж выхода №1 вестибюля №1 (пл. 463 кв. м)"
Этап 1.1.2 Этап 2.1 "Переустройство ЛЭП" будет передан в реализацию ОАО "РЖД"
Этап 1.1.2.1 будет передан в реализацию ОАО "РЖД"
Этап 1.2.1 Данный этап реализуется к вводу в эксплуатацию подземного распределительного уровня (Этап 1.1.1).
Этап 1.1.3 Разрешение на строительство оформлено. Ведутся земляные работы
Этап 1.1.4 Ведется работа по корректировке ПД. Ведется подготовка документации к оформлению разрешения на строительство.
Этап 1.2.2 Одновременный ввод с этапом 1.1.1. "Подземный распределительный уровень (пл. 11941 кв.м)
Этап 1.2.3 Уведомление о сносе получено
Ведется мобилизация сил для выполнения СМР</t>
  </si>
  <si>
    <t>Этап 1.0 К проведению работ по демонтажу выхода №1, вестибюля №1 ст. "Лермонтовский проспект" возможно приступить после реализации этапа 1.1.3. 
Этап 1.1.1 Ведутся внутренние архитектурно-отделочные работы блок-секций 1, 2, 3, 5, выполняется устройство наружных и внутренних инженерных сетей
К работам по сооружению блок-секции 4 в полном объеме возможно приступить после реализации этапа 1 
"Реконструкция станции метро "Лермонтовский проспект". Демонтаж выхода №1 вестибюля №1 (пл. 463 кв. м)"
Этап 1.1.2 Этап 2.1 "Переустройство ЛЭП" будет передан в реализацию ОАО "РЖД"
Этап 1.1.2.1 будет передан в реализацию ОАО "РЖД"
Этап 1.2.1 Данный этап реализуется к вводу в эксплуатацию подземного распределительного уровня (Этап 1.1.1).
Этап 1.1.3 Разрешение на строительство оформлено. Ведутся земляные работы
Этап 1.1.4 Ведется работа по корректировке ПД. Ведется подготовка документации к оформлению разрешения на строительство.
Этап 1.2.2 Одновременный ввод с этапом 1.1.1. "Подземный распределительный уровень (пл. 11941 кв.м)
Этап 1.2.3 Уведомление о сносе получено
Ведется мобилизация сил для выполнения СМР</t>
  </si>
  <si>
    <t>Этап 1.2.4 нет информации в МГЗ
Этап 1.2.5 нет информации в МГЗ</t>
  </si>
  <si>
    <t>Общая строительная готовность - 95%.
Вынос инженерных коммуникаций - 100%, устройство наружных сетей - 100%, благоустройство - (озеленение - 99%, асфальтирование - 100%, гранит и плитка - 96%), снос строений - 100%, монтаж шумозащитных оконных блоков - 33%.</t>
  </si>
  <si>
    <t>Общая строительная готовность - 1%. 
Вынос инженерных коммуникаций - 0%, устройство наружных сетей - 0%, благоустройство - 0%, монтаж металлического ограждения - 0%, ПНР - 0%, монтаж шумозащитных оконных блоков - 13% (работы завершены в рамках поступивших заявок от собственников жилья, идет процесс проверки соответствия ИД и формирования итогового выполнения).
Отсутствует положительное заключение МГЭ. Ведется перепроектирование объекта, в связи с отменой раннее выданных ТУ ОАО "РЖД".</t>
  </si>
  <si>
    <t>Работы приостановлены (корректировка ПД) на 28.03.2025</t>
  </si>
  <si>
    <t>По состоянию на 21.10.2025
Фактическое состояние объекта: 
Строительство не ведется
Проблемные вопросы:
Планируется исключение объекта из АИП</t>
  </si>
  <si>
    <t>По состоянию на 29.08.2025
В настоящее время учебное учреждение не расселено Планируемый срок расселения и передачи под снос 2 квартал 2026 года
Ведется разработка ИРД
Объект подлежит передаче в АНО "РСИ"</t>
  </si>
  <si>
    <t>По состоянию на 29.08.2025
Фактическое состояние объекта: 
Строительство не ведется
Проблемные вопросы:
Ведутся ПИР</t>
  </si>
  <si>
    <t>По состоянию на 29.08.2025
Адресной инвестиционной программой города Москвы на 2024-2027 годы, утвержденной постановлением Правительства Москвы от 08.10.2024 № 2251-ПП 
(в редакции от 04.04.2025 № 722-ПП), объект включен в состав укрупненных мероприятий в целях строительства по мере прироста населения</t>
  </si>
  <si>
    <t>Получено положительное заключение МГЭ от 05.06.2024. 
Проблемные вопросы:
1. Требуется согласование дендрологии с ДППиООС
2. Требуется согласование ПОС с ДТ
3. ГКУ "Организатор перевозок"
4. ГУП "Мосгортранс"
Подготовка торгов на СМР с разработкой РД приостановлена до принятия решения о передаче объекта в ДЖКХ.</t>
  </si>
  <si>
    <t>Госконтракт заключен с ООО СК Флан-М 05.12.22. Ведется проектирование</t>
  </si>
  <si>
    <t>ППТ утвержден 27.11.2024 № 2695-ПП, Получено положительное заключение ГАУ "Мосгосэкспертиза. Формирование сметы контракта. Планируемый срок начала СМР - 15.06.2025</t>
  </si>
  <si>
    <t>Отсутствует статус в МГЗ</t>
  </si>
  <si>
    <t>Заключен ГК на Управляющую компанию с ООО СК Флан-М  05.12.2022. Ведется проектирование</t>
  </si>
  <si>
    <t>Этап 4 Общая строительная готовность - 61%. 
Вынос инженерных коммуникаций (кабель - 100%, трубопроводы - 0%), устройство наружных сетей (кабель - 54%, трубопроводы - 78%), благоустройство (озеленение - 0%, асфальтирование - 0%, гранит и плитка - 92%), снос строений - 100%, монтаж металлического барьерного ограждения - 0%,  монтаж инженерных систем - 0%.
Ордер с занятием проезжей части получен. Часть работ возможно выполнить после освобождения территории после строительства ВУ ТПК 8 этап.
Этап 5 Общая строительная готовность - 0%.  
Земляные работы - 0%, монолитные работы - 0%, монтаж металлоконструкций - 0%, фасадные работы - 0%, архитектурно-отделочные работы - 0%, монтаж инженерных систем - 0%, устройство наружных сетей - 0%, ПНР - 0%, устройство кровли - 0%. 
Новый подрядчик определен.</t>
  </si>
  <si>
    <t>Подготовка к торгам на УК.</t>
  </si>
  <si>
    <t>Подготовка торгов на УК.</t>
  </si>
  <si>
    <t>Проектирование не начато. Планируются торги на единого поставщика (УК). Ввод в эксплуатацию в декабре 2026 года.</t>
  </si>
  <si>
    <t>Нет МГЗ</t>
  </si>
  <si>
    <t>Проектирование не начато. Планируются торги на единого поставщика (УК). Ввод объекта в эксплуатацию в декабре 2026 года.</t>
  </si>
  <si>
    <t>Объект готовится к передаче ДЖКХ.</t>
  </si>
  <si>
    <t>По состоянию на 10.11.2025
Фактическое состояние объекта: 
Строительство не ведется
Проблемные вопросы:
Ведутся работы по расторжению договора УК с последующей передачей объекта в АНО "РСИО"</t>
  </si>
  <si>
    <t>По состоянию на 13.10.2025
Фактическое состояние объекта:
Строительство не ведется
Подписано соглашение о расторжении договора от 23.05.2025 идентификатор 0000007707639796227320032
Ведутся работы по постановке на учет объекта незавершенного строительства, а также подготовка документов на проведение конкурсной процедуры на корректировку ПД, разработку РД, оказание услуг по авторскому надзору и завершение строительно-монтажных работ</t>
  </si>
  <si>
    <t>По состоянию на 29.08.2025
Ведется проектирование
Заключен Договор на проектирование с АО "Моспроект-4"</t>
  </si>
  <si>
    <t>По состоянию на 12.09.2025
ОФОРМЛЕН АКТ ПРИОСТАНОВКИ 01.09.2025
Заключен Договор на проектирование с АО "Моспроект -4". 
Акт приостановки работ на подписании в МП-4 с 07.07.2025.. Причина приостановки- на территории земельного участка расположено здание полиции ОВД района Чертаново. Здание и земельный участок в собственности РФ. Требуется передача в ДГИ. После этого оформление земельного участка на АНО РСИО. В настоящее время отсутствует земля. Заключение договоров ТП невозможно. Срыв срока захода в МГЭ. По графику заход в МГЭ- декабрь 2025. 
Получение положительного заключения МГЭ- март 2026</t>
  </si>
  <si>
    <t>Отсутствует информация в МГЗ</t>
  </si>
  <si>
    <t>Разработка градостроительной документаци</t>
  </si>
  <si>
    <t>Проектирование не начато. Планируется передача объекта для реализации в ДЖКХ.</t>
  </si>
  <si>
    <t>В связи с необходимостью корректировки ПСД и истечением срока выполнения работ СМР приостановлены.
Ведется рассмотрение вопроса расторжения ГК с ген.подрядчиком (соглашение направлено в Главконтроль) и Тех. заказчиком.
Письмом от 24.02.2025 ДСТИ-11-2779/25-1 ДСТИ уведомил ГКУ «УДМС» о том, что объект вошел в перечень объектов, планируемых к передаче в Комплекс городского хозяйства города Москвы..</t>
  </si>
  <si>
    <t>Торги на ПИР.</t>
  </si>
  <si>
    <t>Работы не начаты.
Принятие решения о дальнейшей реализации объекта до 08.12.2025</t>
  </si>
  <si>
    <t>Торги на СМР на 05.02.2025</t>
  </si>
  <si>
    <t>Торги на ПИР на 05.02.2025</t>
  </si>
  <si>
    <t>Работы не начаты на 05.02.2025</t>
  </si>
  <si>
    <t>По состоянию на 01.11.2025
Заключен контракт на управляющую компанию с ООО ""Строймонтаж"" № 0173200001424002139 от 10.02.2025г. Ведутся проектно-изыскательские работы, срок получения заключения МГЭ - ноябрь 2025 года</t>
  </si>
  <si>
    <t>По состоянию на 11.09.2025
Заключен договор УК от 25.04.2025 с ООО "Главкапстрой" на выполнение ПИР, авторский надзор и СМР по объекту
Получен ГПЗУ от 22.05.2025 
Направлено обращение в ДГИ от 05.09.2025 в целях оформления ДАЗУ.</t>
  </si>
  <si>
    <t>По состоянию на 29.08.2025
К исключению из АИП
Принято решение о нецелесообразности реализации объекта (совещание В.В.Ефимова и П.П.Бирюкова, п. 10 протокола от 17.06.2025 № 18-21-39/25 ДСП). Требуется вынесение вопроса на ГП "Градполитика"</t>
  </si>
  <si>
    <t>По состоянию на 29.08.2025
Заключен договор с АО "Моспроект-4" от 09.06.2025.
Ведутся работы по корректировке проектной документации и разработке рабочей документации.</t>
  </si>
  <si>
    <t>По состоянию на 29.08.2025
Заключен договор на РД+СМР с ООО "АртСтройТехнология".
Ведется работа по разработке рабочей документации.</t>
  </si>
  <si>
    <t>Ведутся ПИР По утвержденному КСГ получение положительного МГЭ 21.09.2025</t>
  </si>
  <si>
    <t>Подготовка к торгам на УК</t>
  </si>
  <si>
    <t>В работе от 31.01.2025</t>
  </si>
  <si>
    <t>По состоянию на 29.08.2025
Получено ГПЗУ 18.08.2025
В работе получение ДАЗУ на участок строительства</t>
  </si>
  <si>
    <t>По состоянию на 29.08.2025
19.08.2025 направлено обращение в МКА на разработку  ГПЗУ
Ведутся ПИР АО "Моспроект-4"</t>
  </si>
  <si>
    <t>По состоянию на 29.08.2025
Ведутся работы по проектированию, плановый срок получения положительного заключения государственной экспертизы - 3 квартал 2025 г.</t>
  </si>
  <si>
    <t>По состоянию на 29.08.2025
Фактическое состояние объекта: 
Ведется строительство</t>
  </si>
  <si>
    <t>По состоянию на 21.10.2025
Фактическое состояние объекта: 
Строительство не ведется
Проблемные вопросы:
Проводится оформление
земельно-правовых отношений. Плановая дата оформления  ГПЗУ для размещения поликлиники - 30.12.2025
Заместителем Мэра Москвы в Правительстве Москвы В.В. Ефимовым принято решение приостановить работы на территории Объекта до получения Департаментом гражданского строительства ГПЗУ для размещения поликлиники</t>
  </si>
  <si>
    <t>По состоянию на 29.08.2025
Отсутствует постановление Правительства Москвы о комплексном развитии территории.</t>
  </si>
  <si>
    <t>По состоянию на 29.08.2025
Согласование АПР</t>
  </si>
  <si>
    <t>По состоянию на 13.10.2025
Ведутся проектно-изыскательские работы
Не утверждена документация по планировке территории</t>
  </si>
  <si>
    <t>По состоянию на 18.09.2025
Ведется согласование и подписание ЗнП по объекту
В соответствии с постановлением Правительства Москвы от 17.09.2025 №2286-ПП "Об адресной инвестиционной программе города Москвы на 2024-2027 годы" реализация объекта должна осуществляться силами АНО "РСИО".
Оформляется соглашение о замене стороны по договору от 16.04.2025 № АНО/160425/3</t>
  </si>
  <si>
    <t>По состоянию на 29.08.2025
Ведется проектирование</t>
  </si>
  <si>
    <t>По состоянию на 29.08.2025
В настоящее время ожидается подписание проекта протокола Мэром Москвы. По итогам утверждения протокола, возможно будет принято решение об исключении объекта из АИП, что в свою очередь повлечет расторжение договоров от 28.12.2024 № АНО/121224/5 (АФК), от 20.12.2024 № АНО/121224/3 (ПИР) заключенных с ООО «Институт Мосинжпроект» и от 28.01.2025 № АНО/240125/4 (СМР) заключенного с ООО «ГК «ЕКС», возврат выданного аванса и заключение нового договора</t>
  </si>
  <si>
    <t>Статус контракта с ООО "Главкапстрой" в МГЗ "Расторгнут"
По состоянию на 29.08.2025
В соответствии с  п.21.1 протокола совещания у Мэра Москвы от 10.07.2025 № 4-27-100/25 о реализации Государственной программы города Москвы "Градостроительная политика" принято решение об исключении объекта из АИП</t>
  </si>
  <si>
    <t>По состоянию на 28.10.2025
Ведется проектирование
Заключен договор с АО «Моспроект-4» на ПИР от 17.10.2025 № АНО/151025/2
   Плановая дата получения положительного заключения МГЭ в соответствии с договором:
Этап 1 (Подготовительный) - август 2026
Этап 2 (Основной) - март 2027</t>
  </si>
  <si>
    <t>По состоянию на 29.08.2025
К исключению из АИП</t>
  </si>
  <si>
    <t>По состоянтю на 23.09.2025
Ведется проектирование. УК АО «ДИМ»
Не согласованы планировочные решения с МКА и Дептрансом
Плановая дата получения положительного заключения МГЭ - март 2026</t>
  </si>
  <si>
    <t xml:space="preserve">ГК с УК ООО "АльмакорГрупп" расторгнут 03.09.2024. 
Этап 1 – проведение конкурентных процедур по выбору подрядной организации (УК) на выполнение (ПИР + СМР).
Закупка размещена – 29 мая 2025. (Срок исполнения – 323 дня, в т.ч. ПИР 270 дней, срок сноса здания - 241 день; аванс - 50%). Лот – 16765912. Окончание приема заявок – 16.06.2025; 26.06.2025 (08.07.2025). Подведение итогов - 18.06.2025; 01.07.2025 (11.07.2025).
</t>
  </si>
  <si>
    <t>Опубликована закупка 12.12.2024. Окончание подачи заявок  - 28.12.2024. Закупка закрыта в связи с отсутствием заявок. Планируется повторная закупка.</t>
  </si>
  <si>
    <t>Подготавливаются материалы на УК. План заключения ГК  - май 2025</t>
  </si>
  <si>
    <t>Оформление ЗПО по третьим лицам до 13.11.2025</t>
  </si>
  <si>
    <t>Торги на УК - повторная процедура - УДМС-30-910/25 от 30.01.2025 - отменена.
Информация по закупкам находится в объекте родителе - код ДС 012-0686.
Принятие решения о дальнейшей реализации, ввиду планируемой передачи объекта в Комплекс городского хозяйства г.Москвы</t>
  </si>
  <si>
    <t>Разработка и согласование в МКЭ ЗнП, разработка ПД и получение заключения МГЭ 8% - 22.03.2026
 Подготовка и утверждение задания на проектирование 100% - 04.04.2025
 Разработка проектной документации 0% - 06.09.2025
Заключение и исполнение договора ТП (Поверхностный сток - Мосводосток) 0% - 24.12.2027
 Формирование исходных данных для заключения договора ТП 0% - 03.07.2025</t>
  </si>
  <si>
    <t>По состоянию на 22.09.2025
Ведется проектирование в рамках действующего контракта с ООО "Энергострой" на УК
Плановая дата загрузки ПСД в МГЭ - 26.09.2025
Плановая дата получения положительного заключения МГЭ - декабрь 2025</t>
  </si>
  <si>
    <t>Работы не начаты на 07.05.2025</t>
  </si>
  <si>
    <t>По состоянию на 01.11.2025
Заключен контракт на управляющую компанию с ООО "Строймонтаж" № 0173200001424002139 от 10.02.2025г. Ведутся проектно-изыскательские работы, срок получения заключения МГЭ - ноябрь 2025 года</t>
  </si>
  <si>
    <t>Планируется передача объекта для реализации в ДЖКХ.</t>
  </si>
  <si>
    <t>По состоянию на 29.08.2025
Проектирование начато. Ведётся сбор исходно-разрешительных документов, заказ инженерных изысканий</t>
  </si>
  <si>
    <t>По состоянию на 29.08.2025
Проектирование не начато</t>
  </si>
  <si>
    <t>По состоянию на 10.09.2025
Фактическое состояние объекта:
Строительство не ведется
Проблемные вопросы: 
Производиться разработка АПР до 30.09.2025</t>
  </si>
  <si>
    <t>По состоянию на 29.08.2025
Необходимо принять решение о дальнейшей реализации объекта</t>
  </si>
  <si>
    <t xml:space="preserve">По состоянию на 29.08.2025
Заключен договор аренды земельного участка для целей строительства объекта между ДГИ и АНО «РСИ»;
Ведутся работы по получению технических условий для выноса инженерных сетей АО «Мосводоканал», ГУП «Мосводосток», ПАО «Россети Московский регион», АО «ОЭК», ПАО «МГТС» из пятна застройки
Формируется комплект документации для  проведения конкурсных процедур в целях заключения договора на УК"
</t>
  </si>
  <si>
    <t xml:space="preserve">
Контракт от 31.08.2021 №МГУ/УК/Дор/Инж/21/412 расторгнут в соответствии с соглашением от 29.08.2025
По состоянию на 29.08.2025
    Ведется проектирование</t>
  </si>
  <si>
    <t>РВ от 27.03.2024 № 122-24/УК-03</t>
  </si>
  <si>
    <t>РВ от 27.03.2024 № 123-24/УК-03</t>
  </si>
  <si>
    <t>По состоянию на 05.08.2025
Фактическое состояние объекта:
Строительство не ведется
Выполнены работы по этапам:
этап 1 (РВ №123-24/УК-03 от 27.03.2024)
этап 2.1 (РВ №122-24/УК-03 от 27.03.2024)
Проблемные вопросы:
Разрабатывается проектная документация с разбивкой на подэтапы (2.2 и 2.3). Плановая дата загрузки ПД в МГЭ - октябрь 2025</t>
  </si>
  <si>
    <t>По состоянию на 28.10.2025
Разработка градостроительной документации. Техническое задание находится на согласовании в ДГС. Заявка на ГПЗУ подана в МКА</t>
  </si>
  <si>
    <t>По состоянию  на 29.08.2025
Работы по проектированию приостановлены</t>
  </si>
  <si>
    <t>РВ №77-09-012495-2025 от 31.03.2025</t>
  </si>
  <si>
    <t>РВ от 30.06.2025 № 77-04-012598-2025</t>
  </si>
  <si>
    <t>РВ 77-03-012489-2025 от 31.03.2025</t>
  </si>
  <si>
    <t>РВ 77-03-012488-2025 от 31.03.2025</t>
  </si>
  <si>
    <t>РВ № 77-05-012491-2025 от 31.03.2025.</t>
  </si>
  <si>
    <t>РВ №77-03-012487-2025 от 31.03.2025</t>
  </si>
  <si>
    <t>РВ от 29.08.2025 №77-08-012702-2025</t>
  </si>
  <si>
    <t>РВ от 30.04.2025 №77-08-012525-2025</t>
  </si>
  <si>
    <t>РВ от 30.06.2025 № 77-09-012597-2025
По состоянию на 16.10.2025
Проблемные вопросы:
Производится устранение замечаний в части чистовой отделки</t>
  </si>
  <si>
    <t>РВ от 31.03.2025 № 77-19-012486-2025</t>
  </si>
  <si>
    <t>РВ 77-06-012494-2025 от 31.03.2025</t>
  </si>
  <si>
    <t>РВ от 29.05.2025 № 77-05-012554-2025.</t>
  </si>
  <si>
    <t>РВ от 30.04.2025 № 77-06-012531-2025</t>
  </si>
  <si>
    <t>РВ №77-03-012555-2025 от 29.05.2025</t>
  </si>
  <si>
    <t>РВ 77-07-012571-2025 от 11.06.2025</t>
  </si>
  <si>
    <t>РВ от 30.06.2025 № 77-02-012599-2025</t>
  </si>
  <si>
    <t>РВ от 29.05.2025 №77-06-012553-2025</t>
  </si>
  <si>
    <t>РВ от 30.04.2025 №77-02-012530-2025</t>
  </si>
  <si>
    <t>РВ от 30.04.2025 №77-04-012529-2025</t>
  </si>
  <si>
    <t>РВ от 30.05.2025 № 77-02-012559-2025</t>
  </si>
  <si>
    <t>РВ №77-04-012520-2025 от 17.04.2025</t>
  </si>
  <si>
    <t>РВ от 29.05.2025 № 77-02-012556-2025</t>
  </si>
  <si>
    <t>РВ от 30.09.2025 № 77-07-012753-2025</t>
  </si>
  <si>
    <t>Заключен договор по завершению строительства  с ООО "СЗ "Реновация" № 85-0725-КЭФ-100-100175/Н от 24.10.2025</t>
  </si>
  <si>
    <t>РВ от 30.06.2025 № 77-03-012590-2025
По состоянию на 29.10.2025
Проходит передача тех. помещений балансодержателям</t>
  </si>
  <si>
    <t>РВ от 30.04.2025 № 77-04-012527-2025</t>
  </si>
  <si>
    <t>РВ от 30.09.2025 № 77-05-012758-2025</t>
  </si>
  <si>
    <t>По состоянию на 16.10.2025
Фактическое состояние объекта:
Ведется строительство
Проблемные вопросы:
Не заключен договор технического присоединения с ПАО «Россети». Требуется принятие решения в части решения трассировки сети к ЦМИ ввиду значительного увеличения стоимости ТП в обход территории застройки Капитал Групп
ПД (этап 3.1, 3.2 и 3.3): рассмотрение отклонено входным контролем МГЭ в связи с отсутствием письма от ГРБС
Необходима актуализация ТхЗ, при этом АО «Росиподромы» отказывается согласовывать ТХЗ с технологией обогрева дорожек
АО «Росипродромы» считают нецелесообразным реализацию беговых дорожек из-за значительного удорожания дальнейшей эксплуатации
Необходимо принятие решения об реализации гаражного хозяйства на территории нового земельного участка (снос и строительство или кап.ремонт)</t>
  </si>
  <si>
    <t>РВ от 30.06.2025 № 77-04-012594-2025
По состоянию на 10.11.2025</t>
  </si>
  <si>
    <t>РВ от 30.06.2025 № 77-09-012596-2025</t>
  </si>
  <si>
    <t>РВ №77-07-012759-2025 от 30.09.2025</t>
  </si>
  <si>
    <t xml:space="preserve">РВ № 77-02-012629-2025 от 24.07.2025 </t>
  </si>
  <si>
    <t>РВ от 29.08.2025 № 77-05-012704-2025
По состоянию на 16.10.2025
Проходит процесс передачи квартир МФР (из 128 передано 48 квартир)</t>
  </si>
  <si>
    <t>РВ от 30.06.2025 № 77-02-012600-2025</t>
  </si>
  <si>
    <t>РВ от 30.06.2025 № 77-05-012589-2025
По состоянию на 16.10.2025
Осуществляются работы по устранению замечаний Фонда Реновации в части чистовой отделки. Осуществляется передача квартир фонду реновации, передано 180 квартир из 192 квартир. Лифты не сданы не Фонду и мосфлифту. Устранение замечаний по лифтам. С 17.10.2025г будет осуществляться приёмка лифтов</t>
  </si>
  <si>
    <t>РВ от 29.08.2025 № 77-06-012706-2025
По состоянию на 16.10.2025
Проходит устранение замечаний по отделке, инженерным системам, наладке оборудования и лифтам</t>
  </si>
  <si>
    <t>РВ от 31.07.2025. № 77-08-012643-2025</t>
  </si>
  <si>
    <t>Ведется строительтво</t>
  </si>
  <si>
    <t>РВ от 30.09.2025 № 77-03-012756-2025</t>
  </si>
  <si>
    <t>РВ № 77-08-012802-2025 от 30.10.2025</t>
  </si>
  <si>
    <t>РВ от 29.08.2025 № 77-02-012712-2025</t>
  </si>
  <si>
    <t>РВ от 31.07.2025 № 77-06-012641-2025
По состоянию на 14.10.2025
Проходит процесс передачи квартир МФР (из 188 квартир передано 184)
Ведутся работы по устранению замечаний в части чистовой отделки и благоустройства</t>
  </si>
  <si>
    <t>РВ от 29.08.2025 № 77-04-012707-2025
По состоянию на 16.10.2025
Выполняется устранение замечаний по ЭОМ, СС и отделочным работам от фонда. Проводятся ПНР</t>
  </si>
  <si>
    <t>РВ от 29.08.2025 № 77-03-012710-2025
По состоянию на 29.10.2025
Проходит процесс передачи квартир МФР (из 786 передано 317 квартир)</t>
  </si>
  <si>
    <t>РВ от 29.08.2025 № 77-04-012711-2025
По состоянию на 16.10.2025
Проходит процесс передачи квартир МФР (из 188 передано 58 квартир)</t>
  </si>
  <si>
    <t>РВ от 29.08.2025 № 77-04-012705-2025
По состоянию на 16.10.2025
Проходит процесс передачи квартир МФР (из 192 передано 0 квартир)</t>
  </si>
  <si>
    <t>РВ №77-04-012805-2025 от 31.10.2025</t>
  </si>
  <si>
    <t>РВ от 29.08.2025 № 77-08-012713-2025
По состоянию на 16.10.2025
Проходит устранение замечаний. 20.10.25 планируется заселение квартир, В Фонд осталось передать 16 квартир</t>
  </si>
  <si>
    <t>РВ от 30.09.2025 № 77-05-012757-2025</t>
  </si>
  <si>
    <t>РВ №77-06-012760-2025 от 30.09.2025</t>
  </si>
  <si>
    <t xml:space="preserve"> РВ №77-04-012762-2025 от 30.09.2025</t>
  </si>
  <si>
    <t>РВ №77-09-012766-2025 от 30.09.2025</t>
  </si>
  <si>
    <t>РВ №77-09-012765-2025 от 30.09.2025</t>
  </si>
  <si>
    <t>Ведется строительство.
Проблемные вопросы:
Низкая строительная готовность</t>
  </si>
  <si>
    <t>РВ №77-07-012769-2025 от 30.09.2025</t>
  </si>
  <si>
    <t>РВ от 30.09.2025 № 77-02-012767-2025</t>
  </si>
  <si>
    <t xml:space="preserve">РВ от 17.10.2025 № 77-06-012781-2025
По состоянию на 06.11.2025
Фактическое состояние объекта:
Ведется строительство
Проблемные вопросы:
Плановая дата передачи квартир фонду, а так же систем и помещений службам эксплуатации до 17.12.2025 </t>
  </si>
  <si>
    <t>РВ № 77-09-012810-2025 от 01.11.2025</t>
  </si>
  <si>
    <t>По состоянию на 31.10.2025
Фактическое состояние объекта:
Ведется строительство
Проблемные вопросы:</t>
  </si>
  <si>
    <t>РВ № 77-03-012709-2025 от 29.08.2025
По состоянию на 16.10.2025
Производиться устранение замечаний Фонда Реновации (отделка МОП и квартир, СС, ЭОМ, ВК и ОВ)</t>
  </si>
  <si>
    <t>РВ № 77-04-012763-2025 от 30.09.2025</t>
  </si>
  <si>
    <t>По состоянию на 29.10.2025
Фактическое состояние объекта:
Ведется строительство
Проблемные вопросы:
06.10.2025 ПАО «Россети» приступили к выполнению работ по устройству электроснабжения в рамках договора тех. присоединения</t>
  </si>
  <si>
    <t>РВ № 77-08-012811-2025 от 01.11.2025</t>
  </si>
  <si>
    <t>РВ № 77-04-012812-2025 от 01.11.2025</t>
  </si>
  <si>
    <t>РВ №  77-02-012808-2025 от 31.10.2025</t>
  </si>
  <si>
    <t>РВ № 77-04-012809-2025 от 01.11.2025</t>
  </si>
  <si>
    <t>РВ № 77-07-012816-2025 от 10.11.2025</t>
  </si>
  <si>
    <t>РВ №77-02-012752-2025 от 30.09.2025</t>
  </si>
  <si>
    <t>РВ №77-03-012768-2025 от 30.09.2025.
По состоянию на 29.10.2025
 Начало заселения запланировано на 01.12.2025.
Проходит «комендантская приемка» объекта (предъявление внутренних инженерных систем, отделка МОП)</t>
  </si>
  <si>
    <t>РВ №77-03-012770-2025 от 30.09.2025</t>
  </si>
  <si>
    <t>По состоянию на 04.07.2025
Фактическое состояние объекта: 
Ведется строительство
Проблемные вопросы:
Бетонные работы приостановлены
по решению технического надзора Фонда реновации до устранения замечаний выявленных при комплексном обследовании ЖБ конструкций</t>
  </si>
  <si>
    <t>По состоянию на 09.10.2025
Фактическое состояние объекта: 
Ведется строительство
Проблемные вопросы:
Отставание по СМР - 3 месяца
Плановая дата захода в МГЭ с ПСД (корректировка) - 24.10.2025
Папка ЗОС 
В наличии 0 документов из 39
Папка РВ
В наличии 0 документов из 27</t>
  </si>
  <si>
    <t>По состоянию на 05.06.2025
Фактическое состояние объекта:
Ведется строительство
Проблемные вопросы:
Проходит согласование выноса теплосети в районе проектного паркинга с октября 2024
Приступить к выполнению монолитных работ по устройству паркинга без выноса теплосети невозможно</t>
  </si>
  <si>
    <t>Ведется строительтво.</t>
  </si>
  <si>
    <t>По состоянию на 19.09.2025
Фактическое состояние объекта:
Ведется строительство</t>
  </si>
  <si>
    <t>По состоянию на 14.10.2025
Фактическое состояние объекта:
В рамках выездного совещания от 12.08.2025 с Заместителем руководителя Департамента строительства транспортной и инженерной инфраструктуры города Москвы (Степаненко С.А.) принято решение ООО «ГЕРА» (ГКУ «УДМС») приостановить реализацию объекта «Строительство Проектируемого проезда № 3982 от Варшавского шоссе до Нагатинской набережной» в связи с прокладкой инженерных сетей в рамках договоров технологического присоединения для подключения строящегося жилого дома по Программе реновации по адресу: ул. Нагатинская, вл.1/4 в границах Проектируемого проезда № 3982
Проектируемый проезд № 3982 пересекает существующее здание по адресу: Варшавское ш., 39Б, подлежащее сносу.
В соответствии с письмом ДГИ ориентировочный срок вывода сносимого здания из эксплуатации – 1-2 квартал 2026 года</t>
  </si>
  <si>
    <t>Ведется строительство. 
С 19.09.2025 по 20.10.2025 проверка МГЭ</t>
  </si>
  <si>
    <t>В соответствии с ДС от 28.08.2025 № 55-ИО/Н объект исключен из контракта от 13.04.2021 № 188-1220-ОК-1/Н. Заключен новый ГК от 19.08.2025 № 188-1220-ОК-1/Н/НОВ-1</t>
  </si>
  <si>
    <t>Ведется строительство.
Отсутствует заключение МГЭ.
Отсутствует РД для ГП</t>
  </si>
  <si>
    <t>Заключен новый контракт с ООО "ЭлитСтрой" от 27.08.2025 № 114-1122-ОК-1/НОВ, всвязи с подписанием соглашения от 27.08.2025 о новации  к контракту от 07.02.2023 №114-1122-ОК-1 Ведется строительство</t>
  </si>
  <si>
    <t>По состоянию на 07.11.2025
Фактическое состояние объекта:
Строительство не ведется
Проблемные вопросы:
Проходит процедура расторжения договора с генеральным подрядчиком</t>
  </si>
  <si>
    <t xml:space="preserve">По состоянию на 26.09.2025
Фактическое состояние объекта:
Строительство не ведется
Проблемные вопросы:
Запущена процедура расторжения контракта с ООО «Велес-Строй»
</t>
  </si>
  <si>
    <t>По состоянию на 31.10.2025
Фактическое состояние объекта:
Строительство не ведется</t>
  </si>
  <si>
    <t>ГК от 13.02.2023 №107-1122-ОК-1 расторгнут с ООО "Братком-Групп" всвязи с новацией ГК.
Заключен ГК от 12.09.2025 № 107-1122-ОК-1/НОВ с ООО "Братком-Групп"</t>
  </si>
  <si>
    <t>Ведется согласование АГР в МКА.
Площадка огорожена. Жилые дома снесены. 
Ведется поставка шпунтового ограждения.
Количество рабочих - 9.</t>
  </si>
  <si>
    <t>Новация договора от 25.12.2024 № 75-0924-ОКЭФ-1/Н в соотвествии соглашения от 14.08.2025. Заключен новый контракт от 14.08.2025 № 75-0924-ОКЭФ-1/Н/НОВ.
плановый срок получения МГЭ - 30.11.2025
выход на площадку сентябрь 2025 г
Ведется проектирование объекта капитального строительства.</t>
  </si>
  <si>
    <t>Ведутся ПИР. Строительство не ведется</t>
  </si>
  <si>
    <t>Площадка передана Специализированному застройщику улица Одесская от 23.05.2024.
Площадка огорожена.
Получено положительное заключение МГЭ от 18.11.2024 № 77-1-1-3-068283-2024, свидетельство об утверждении АГР от 18.12.2024 №1481-2-24/С, РС от 07.02.2025 № 77-06-021938-2025.
Ведутся работы по разработке котлована. 
Корп. 1:
Приступили к устройству свайного фундамента.
Корп. 2: 
Устройство фундаментной плиты, забивка свай - в работе,
Приступили к вертикальным конструкциям подземной части.</t>
  </si>
  <si>
    <t xml:space="preserve"> ЭТАЖНОСТЬ: 24-16-16-19+1 подземный этаж;
Положительное заключение экспертизы получено от 18.02.2025 № 77-1-1-3-008134-2025.
РС- 24.06.2025 № 77-06-022153-2025;
выход на строительную площадку осуществлен по уведомлению/Акту приема-передачи площадки для производства работ;
отселение - завершено, дома снесены (акты о сносе от 24.04.2024).
Ведутся работы по выносу инженерных коммуникаций, устройство подземной части.
Секция 1: устройство вертикальных конструкций наземной части - 70% (1-17 этаж – 100%).
Секция 2: устройство вертикальных конструкций наземной части - 88% (1-14 этаж – 100%).
Секция 3: устройство вертикальных конструкций наземной части - 81% (1-13 этаж – 100%). 
Секция 4: устройство вертикальных конструкций наземной части - 21% (1-4 этаж – 100%).</t>
  </si>
  <si>
    <t>Снятие приостановки СМР от 18.03.2025 № ФР-11-10428/25.
ЭТАЖНОСТЬ: 25
МГЭ - получено от 12.05.2025 № 77-1-1-3-025496-2025.
РС- получено 27.06.2025 № 77-06-022161-2025.
Акт приема-передачи площадки для производства работ подписан 02.12.2024
Ведется устройство вертикальных конструкций наземной части - 16% (1-4 этажи - 100%)</t>
  </si>
  <si>
    <t>Получено повторное отрицательное заключение МГЭ от 21.05.2025. Подготовительный период - 20%: 
- освобождение площадки (отселение - 100% (вырубка деревьев, вынос сетей, снос МКД 7-я Парковая д. 21) - 30.08.2025.
- установка ограждения строительной площадки – 100%
- вынос теплосети - 61%;
- вынос сетей электроснабжения - 71%
- МКД по адресу: 7-я Парковая д.21А снесен, отходы сноса - вывезены</t>
  </si>
  <si>
    <t>Снятие приостановки СМР от 18.03.2025 № ФР-11-10429/25.
ЭТАЖНОСТЬ: 15-1-13-16
Отселение завершено, акты о сносе жилых домов от 27.09.2024.
Акт о передаче площадки под строительство от 28.06.2024.
МГЭ - от 07.10.2025 № 77-1-1-3-059685-2025
РС- октябрь 2025
АГР Свидетельство от 01.08.2025 № 1117-2-25/С
Реализация ЦТП для обеспечения абонентов бесперебойным теплоснабжением с последующей ликвидацией существующей ЦТП.
Чистовая отделка новой ЦТП - выполнена
Ведется монтаж оборудования ЦТП
Секция 1: Ведется устройство подземной части 
Секции 2, 3: Приступили к бетонной подготовке, гидроизоляции под устройство фундаментной плиты</t>
  </si>
  <si>
    <t>В настоящее время ведется разработка ПСД.
МГЭ - получено 27.06.2025
РС - октябрь 2025
Отселение жилого дома по адресу Нахимовский просп., д.17, корп.2 завершено, акт о сносе от 30.09.2025</t>
  </si>
  <si>
    <t>В настоящее время разрабатывается ПСД.
МГЭ - 27.06.2025
РС - 31.08.2025
Жилой дом по адресу Одесская ул., д. 5 снесен, акт о сносе оформлен 30.06.2025.
Отселение жилого дома по адресу Одесская ул., д.3 завершено, акт передачи жилого дома для выполнения сноса - 30.09.2025.
В настоящее время завершена работа по установке защитного ограждения периметра строительной площадки, совместно со смежным участком Нахимовский 17/2.</t>
  </si>
  <si>
    <t>Дом отселен, площадка огорожена, подготовка к поэлементной разборке;
Работы подготовительного периода (поэлементная разборка, вынос сетей) - 0%
Вынос сетей - 0%;
Поэлементная разборка - 100%
Снос здания - 99%
Вывоз строительных отходов - 30%</t>
  </si>
  <si>
    <t xml:space="preserve">МГЭ - положительное заключение от 20.05.2025.
Подготовительный период - 5%­­­­­: 
- освобождение площадки (отселение - 100%) вырубка деревьев - 30.06.2025, снос - 3 кв. 2025
- установка ограждения строительной площадки – 100%;
- Выполнены работы по элементной разборке здания – 100%;
</t>
  </si>
  <si>
    <t>Подписано дополнительное соглашение от 30.09.2025 № 9-ИО/НОВ об исключении  объекта из договора от 10.11.2024 № 73-0924-ОКЭФ-1/Н. Заключен новый ГК от 20.08.2025 № 73-0924-ОКЭФ-1/Н/НОВ</t>
  </si>
  <si>
    <t>Положительное заключение МГЭ от 03.10.2025
Подготовительный период: 1%
Поэлементная разборка здания - 100%</t>
  </si>
  <si>
    <t>Проектирование возобновлено от 29.01.2025 № ФР-11-3001/25</t>
  </si>
  <si>
    <t xml:space="preserve">Заход в МГЭ июль 2025/выход сентябрь 2025;
- освобождение площадки: вырубка деревьев, вынос сетей - 30.09.2025;
- снос 3 кв. 2025;
- устройство бытового городка (временное электро-, водоснабжение) – 100%;
- установка ограждения строительной площадки – 100%;
- вынос сетей - 0%;
- устройство котлована - 0%
Количество рабочих - 1; </t>
  </si>
  <si>
    <t>В настоящее время ведется разработка стадии П, разработка АПР и посадки здания.</t>
  </si>
  <si>
    <t>В жилых домах по адресам: ул. 16-я Парковая, д. 29, корпус 1 и 2, имеются квартиры, которые находятся в собственности Российской Федерации и используются Министерством обороны Российской Федерации в качестве служебного жилищного фонда. МФР направлено обращение в Департамент городского имущества города Москвы с просьбой принять меры по ускорению передачи жилых помещений в собственность города Москвы. Приостановка ПИР с 04.04.2024</t>
  </si>
  <si>
    <t>Проектирование возобновлено от 29.01.2025 согл-78480479-2</t>
  </si>
  <si>
    <t>Ведется разработка АПР, заказ ТУ, разработка посадки здания</t>
  </si>
  <si>
    <t>Договор заключен от 10.12.2024.
Начало выполнения проектно-изыскательских работ - 01.12.2025.
Вместе с тем, необходима перебазировка библиотеки ФГАУ «Ресурсный центр универсального дизайна и реабилитационных технологий» в подбираемое компенсационное помещение. Также после принятия решения по освобождению территорий КРТ силами МФР, необходимо внесение корректировок в Постановление Правительства Москвы от 14.06.2023 № 1103-ПП "О комплексном развитии территории нежилой застройки города Москвы № 2745, расположенной по адресу: г. Москва, ул. Азовская, вл. 39" по определению МФР в части организации проведения мероприятий по освобождению и подготовке территории (снос зданий, строений, сооружений и гаражей) с целью дальнейшего проведения торгов по определению ГП на проведение работ по сносу объекта капитального строительства, расположенного в границах КРТ</t>
  </si>
  <si>
    <t>АПР согласованы в МФР, готовится пакет документов для вынесения вопроса о согласовании АПР на РГ</t>
  </si>
  <si>
    <t xml:space="preserve">на 15.10.2025 Ведется перепроектирование в соответствии с решением Мэра Москвы (п. 6.1 протокола от 17.06.2025 № 4-27-81/25) (№ФР-09-51/25).
</t>
  </si>
  <si>
    <t xml:space="preserve">  Дом снесен. Акт о сносе оформлен. Газопровод переключен на байпас. МГЭ получена, РС оформлена. Устройство шпунтового ограждения - 272 из 272 шт. (100%).  
Работы на объекте:
- монолит: 3-2/2-13/13-13 из 24-22/17-17/24-24 этажей (36%)
Количество рабочих -130</t>
  </si>
  <si>
    <t>В связи с наличием на земельном участке, здания ЦТП (ул. Генерала Рычагова 14, ст.3), подлежащего ликвидации в рамках СКП с ПАО «МОЭК» от 21.10.2020 № 10-00/20-2176, со сроком ликвидации ЦТП - октябрь 2022; Договор расторгнут по ДС3 от 09.08.2021.
 Договор заключен с ООО "КРОСТ-Д" от 29.11.2021 №173-1021-ОК-1
Снос здания ЦТП (ООО "Крост-Д") осуществлен - 30.03.2023; Здание снято с кадастрового учета 26.05.2023
Ведется строительство</t>
  </si>
  <si>
    <t>ПО СОСТОЯНИЮ НА 25.07.2025
Работы приостановлены с 02.11.2024
для дополнительной проработки и корректировки АГР при адаптации фасадных решений объекта в составе концепции квартала №87 района Фили-Давыдково</t>
  </si>
  <si>
    <t>Подписано соглашение от 17.09.2025 № б/н о новации договора от 06.12.2024 № 80-0924-ОКЭФ-1/Н. Заключен новый ГК от 17.09.2025 № 80-0924-1/Н/НОВ. Ведутся ПИР</t>
  </si>
  <si>
    <t xml:space="preserve">Подготовка документации для выполнения торгов "Готовый продукт" .Площадка занята 2 жилыми домами.
Плановый  срок отселения сносимых зданий - 2 кв. 2025
Плановый срок начала работ с 01.07.2025.
</t>
  </si>
  <si>
    <t>Работы проводятся в рамках программы "Готовый продукт"
объект в стадии проектирования. 
АПР – согласованы фондом реновации, подготовлены материалы для РГ.
АГР – не согласован.
МГЭ - на консультационных услугах в МГЭ; Плановая дата положительного заключения - 30.05.2025.
Постановка земельного участка на кадастровый учет - выполнена
Заключение на соответствие МАИП - выдано, направлено в ДГИ
Договор БП на 11 мес. 28 дней - на ОКС
ТУ - получены
СКП - заключены
Выполняются работы по строительству байпаса теплосети (апрель 2025) для возможности сноса жилых домов.
Жилые дома на месте строительства отселены, не снесены (выполняется поэлементная разборка), снос запланирован на май 2025.
Проблемные вопросы:
1. Оформление РС возможно после сноса жилых домов (май 2025)и их последующего снятия с государственного кадастрового учета (июнь 2025).
2. Необходимость строительства трассы газопровода в рамках СКП (d=315).</t>
  </si>
  <si>
    <t xml:space="preserve">Приостановка СМР - ФР-11-16359/24 от 27.05.2024 (в связи с отсутствием утвержденных сроков по реализации реконструкции ЦТП № 04-03-0209/120 по Соглашению о компенсации потерь №10-00/23-8354 от 07.12.2023)
</t>
  </si>
  <si>
    <t>МГЭ от 20.09.2023 № 77-1-1-3-056099-2023 
РнС - отсутствует (приостановка СМР и оформления РнС – ФР-11-37725/23 от 26.09.2023 - снос МКД выполняется по отдельному договору).</t>
  </si>
  <si>
    <t>ПСД на рассмотрении в МГЭ
ведутся работы подготовительного этапа.</t>
  </si>
  <si>
    <t>По состоянию на 04.07.2025
Фактическое состояние объекта:
Ведется строительство
Проблемные вопросы:
ПД на рассмотрении в МГЭ 
Отсутствует разрешение на строительствоавиамот</t>
  </si>
  <si>
    <t xml:space="preserve">Получено МГЭ 18.07.2025 (тех.часть). Получено РС от 19.09.2025 срок действия до 19.05.2027. Площадка передана подрядчику, произведен снос отселенных домов по адресам: ул. Перекопская д. 29; ул. Перекопская д. 27 к. 1, ул. Перекопская д. 27 к. 2. В работе вынос канализации 50%; вынос водопровода 100%; вынос теплосети 50%/ Разработка котлована - приступили к устройству шпунтового ограждения. </t>
  </si>
  <si>
    <t>Направлено уведомление о расторжении контракта от 06.05.2025 № ФР-22-709/25-1 с ООО "РСТ-ГЕНПОДРЯД". Строительство приостановлено</t>
  </si>
  <si>
    <t>В связи с банкротством ООО «РСТ-ГЕНПОДРЯД» вопрос о расторжении договора от 26.04.2023 № 4-0223-ОК-1 рассмотрен на Комиссии РШПА (п. 5 протокола № 83-РШП-ФР/25 от 08.04.2025), направлено подрядчику уведомление о расторжении договора (ФР-22-779/25-1 от 06.05.2025).
Количество рабочих - 0 чел.</t>
  </si>
  <si>
    <t>По состоянию на 07.11.2025
Фактическое состояние объекта:
Ведется строительство
Проблемные вопросы:
Отсутствует РнС</t>
  </si>
  <si>
    <t>По состоянию на 07.11.2025
Фактическое состояние объекта:
Ведется строительство
Проблемные вопросы:
ПСД находится на рассмотрении в МГЭ
Плановая дата получения положительного заключения МГЭ -14.11.2025
Отсутствует РНС</t>
  </si>
  <si>
    <t xml:space="preserve">Площадка передана 20.02.2025       
Выполнен снос нежилых строений, ведется вывоз строительного мусора.  Устройство бытового городка.            </t>
  </si>
  <si>
    <t>Проводятся Торги для определения подрядчика. ГК от 17.05.2021 № 206-1220-ОК-1/Н с ООО "Премьер" расторгнут по соглашению № б/н от 17.06.2025</t>
  </si>
  <si>
    <t>Строительство не ведется</t>
  </si>
  <si>
    <t>Получено положительное заключение МГЭ от 25.12.2024 № 77-1-1-3-080753-2024.
АГР - от 24.04.2025 № 562-2-25/С.
РС - от 06.05.2025 № 77-06-022067-2025
Зона 1.2:
Выполняется разработка котлована.
Устройство фундаментной плиты - 90%,
Устройство вертикальных конструкций подземной части - 45%,
Устройство вертикальных конструкций наземной части (стр. 1) - 1-6 этаж в работе, 
стр. 2 – подземная часть + ВК 1 этажа в работе 
Зона 1.3:
Устройство подземной части - 95%,
Устройство вертикальных конструкций ЖД:
1 строение 1 секция - 1-13 этаж - 100%,;
1 строение 2 секция - 1-12 этаж - 100%.
1 строение 3 секция – 1-3 этаж – 70%.
1 строение 5 секция - 1-3 этаж - 100%</t>
  </si>
  <si>
    <t>Ведется подготовительные работы</t>
  </si>
  <si>
    <t xml:space="preserve">
По состоянию на 31.10.2025
Фактическое состояние объекта:
Строительство не ведется
Проблемные вопросы:
 Требуется увязка проектных решений с ГУП «Московский метрополитен»</t>
  </si>
  <si>
    <t>По состоянию на 31.10.2025
Фактическое состояние объекта:
Строительство не ведется
Повторный заход - 17.10.2025 (платежное поручение от 17.10.2025 № 31070)</t>
  </si>
  <si>
    <t>Этажность – 13-13+1 подземный
В настоящее время ведется разработка ПСД.
АГР - от 20.05.2025 № 750-2-25/С
МГЭ - от 10.07.2025 № 77-1-1-3-039388-2025
РС - от 08.08.2025 № 77-06-022248-2025
Жилой дом по адресу ул. Каховка, д. 14, к.2 снесен, акт о сносе оформлен.
Площадка огорожена, осуществляется забивка шпунтового ограждения, ведется устройство фундаментной плиты, армирование вертикальных конструкций подземной части</t>
  </si>
  <si>
    <t>Работы проводятся в рамках программы "Готовый продукт"
АПР – не согласованы
АГР – 15.08.2025
МГЭ - получена 28.08.2025;
Постановка земельного участка на кадастровый учет - выполнена.
Заключение на соответствие МАИП - выдано
Договор БП - не оформлен.
ТУ - получены
СКП - заключены</t>
  </si>
  <si>
    <t>По состоянию на 31.10.2025
Фактическое состояние объекта:
Строительство не ведется
Проблемные вопросы:
Получено положительное заключение МГЭ от 29.10.2025
Не завершено отселение жилого дома по адресу: Коровинское шоссе, 4к4
Плановая дата начала СМР - декабрь 2025</t>
  </si>
  <si>
    <t>По состоянию на 31.10.2025
МФР направлено уведомление о приостановке работ от 22.07.2024 по причине:
- корректировки трассы выносимой тепловой сети по замечаниям ПАО «МОЭК» и продления технических условий ООО «ЦТП МОЭК»
- устранения замечаний АО «Мосводосток» к ДК</t>
  </si>
  <si>
    <t>Проектирование приостановлено. Наличие обременений в виде установленной санитарно-защитной зоны от ТЭЦ-16. Реализация  объекта в зоне с особыми условиями территории не представляется возможным.</t>
  </si>
  <si>
    <t>Ведутся работы по сносу</t>
  </si>
  <si>
    <t>По состоянию на 31.10.2025
Фактическое состояние объекта:
Строительство не ведется
Проблемные вопросы:
Объект в стадии проектирования; Захода в МГЭ (входной контроль) – 02.10.2025.
АПР - согласован;
Разработка и согласование предАГР;
Для реализации объекта требуется строительство ЛОС;
Производится проработка месторасположение временных накопительных баков – аккумуляторов.</t>
  </si>
  <si>
    <t>ЭТАЖНОСТЬ: 5-9-7-24  (+ 1 тех.этаж+1 подземный этаж).
Получено положительно заключение Мосгосэкспертизы от 14.12.2024  № 77-1-1-3-075885-2024. Подача заявки на получение РС возможна после согласования АГР в МКА, по состоянию на 18.03.2025 АГР не согласован. Планируемая дата согласования АГР в МКА</t>
  </si>
  <si>
    <t>Приостановка с 30.01.2025 (ФР-11-720/24-1) захода в МГЭ по причине отсутствия соглашений о компенсации потерь с ресурсоснабжающими организациями (ПАО «МОЭК», АО «Мосводоканал», АО «Мосгаз»).</t>
  </si>
  <si>
    <t>15.05.2025 направлено подрядчику уведомление о приостановке работ (ПИР, СМР) по следующим причинам: Москомархитектурой осуществляется корректировка проекта планировки территории кварталов реновации 798, 800 Пресненского района в целях реализации жилой застройки Программы реновации жилого фонда в городе Москве (№ ДГП-03-5257/25-1 от 04.04.2025; № МКА-03-3427/25 от 02.04.2025) (№ ФР-11-19161/25).</t>
  </si>
  <si>
    <t>Возвращён в контракт № 88-0421-ОК-1/Н микрорайона 1 и кварталов 2,4 района Очаково-Матвеевское (ДС-40 от 21.02.2025).
Ожидаемый срок получения МГЭ - 15.11.2025. РС - 30.11.2025
Поэлементная разборка - 70%</t>
  </si>
  <si>
    <t>Объект исключен у ООО "Альмис-ИНТЕГРАЛ" ДС от 15.04.2025 № 48-ИО/ТДЦ/СУ</t>
  </si>
  <si>
    <t>Объект исключен у ООО "Альмис-ИНТЕГРАЛ" ДС от 15.04.2025 № 73-ИО</t>
  </si>
  <si>
    <t>Объект исключен у ООО "Альмис-ИНТЕГРАЛ" ДС от 12.05.2025 № 75-ИО</t>
  </si>
  <si>
    <t>В проектировании. Находится на этапе разработки АПР и получения ТУ на вынос сетей. 
МГЭ - до 30.07.2025 
Дома не отселены</t>
  </si>
  <si>
    <t>05.09.2025 на Комиссии Объединённой комиссии по рассмотрению вопросов изменения сроков и расторжения договоров, взыскания штрафных санкций, осуществления авансовых платежей, а также иных вопросов, возникающих при исполнении договоров, заключённых Московским фондом реновации жилой застройки, принято решение о приостановке работ (№ ФР-25-1285/25).</t>
  </si>
  <si>
    <t>27.08.2025 направлено уведомление подрядчику о приостановке работ (№ ФР-11-32209/25-2).</t>
  </si>
  <si>
    <t>Начало ПИР - 15.02.2025
Отселение жилого дома по адресу: проезд Черепановых, д. 52а - сентябрь 2025.</t>
  </si>
  <si>
    <t xml:space="preserve"> Ведется проектирование.
 АПР согласованны на РГ 18.04.2025
Посадка рассмотрена и согласована в МКА. 
Заход в МГЭ  апрель 2025.  срок сорван.  АГР разработан на рассмотрении.  
Жилой дом Ленинградское шоссе 62, к. 1,  с 17.02.2025  ведется отселение в Кронштадтский бульвар д. 27, корп. 1</t>
  </si>
  <si>
    <t>По состоянию на 14.10.2025
Фактическое состояние объекта:
 Ведется строительство
Проблемные вопросы:
Отсутствует РнС
Стесненные условия, вызванные реконструкцией ТС силами ПАО "МОЭК" осложняют выполнение СМР
Отсутствует изначально в проекте водопонижение, что повлекло за собой доработку проекта и смещение сроков разработки котлована и дальнейших видов работ
 В зону ГПЗУ входят насаждения (деревья), которые не были учтены в прубочном билете и попадают в зону свайного поля (порубочный билет не выдаётся в связи с отсутствием РнС)</t>
  </si>
  <si>
    <t>Проектирование не начато</t>
  </si>
  <si>
    <t>Расторгнут договор в одностороннем порядке с ООО МДТ Групп по причине существенного нарушения сроков выполнения работ по договору. Уведомление №ФР-22-1505/25 от 21.07.2025</t>
  </si>
  <si>
    <t>Объект исключен у ООО "АЛЬМИС_ИНТЕГРАЛ" ДС от 15.04.2025 № 48-ИО</t>
  </si>
  <si>
    <t xml:space="preserve">Заключен контракт на УК 06.02.2025. 
Выполняются ПИР. АПР переданы на рассмотрение в МФР. </t>
  </si>
  <si>
    <t>ГПЗУ от 18.03.2024
АПР согласованы на РГ 14.02.2024
Запущена процедура расторжения Договора на приобретение квартир с ООО "АККОРДЪ"  23.01.2025</t>
  </si>
  <si>
    <t>Выход на площадку от 30.09.2025.
Разработка и согласование АПР, АГР.
Необходимо строительство ЛОС, проработка генеральным подрядчиком месторасположение временных накопительных баков - аккумуляторов.
Площадка огорожена.</t>
  </si>
  <si>
    <t>Этажность – 24-24+1 подземный.
В настоящее время ведется разработка АПР, проработка посадки ЖД, разработка РД и согласование с РСО.
Загрузка ПД в МГЭ на КУ – Февраль 2025</t>
  </si>
  <si>
    <t>Этажность – 24-12-12-1-16-16-1-13-24-1 + 1 подземный
В настоящее время ведется разработка АПР, проработка посадки ЖД, разработка РД и согласование с РСО.
Загрузка ПД в МГЭ на КУ - февраль 2025</t>
  </si>
  <si>
    <t>В настоящее время ведется разработка АПР, проработка посадки ЖД, разработка РД и согласование с РСО.
Загрузка ПСД в МГЭ на КУ - февраль 2025</t>
  </si>
  <si>
    <t>Заключен договор на проведение работ по строительству. 
Жилой дом по адресу: Гаврикова ул., д. 3/1 отселен
Акт приема-передачи под охрану от 23.04.2025 ООО «Смарт-Менеждмент». 
Установка ограждения – до 16.05.2025. 
Приступили к вывозу бытового мусора. 
Ориентировочный срок освобождения участка 2 квартал 2025 года.</t>
  </si>
  <si>
    <t>Работы проводятся в рамках программы "Готовый продукт"
объект в стадии проектирования. 
АПР – не согласованы
АГР – не согласован
МГЭ - загружены на КУ; Плановая дата получения положительного заключения - 30.09.2025
Постановка земельного участка на кадастровый учет - выполнена.
Заключение на соответствие МАИП - выдано, направлено в ДГИ .
Договор БП на 11 мес. 28 дней - на ОКС
ТУ - получены
СКП - заключены
Жилые дома на месте строительства отселены, снесены частично</t>
  </si>
  <si>
    <t>подготовка ПСД для МГЭ . СМР приостановлены</t>
  </si>
  <si>
    <t>Корректировка АПР с увеличением коэф. выхода полезной площади не менее 0,75. СМР приостановлены</t>
  </si>
  <si>
    <t>Проектные работы официально не начаты.</t>
  </si>
  <si>
    <t>В проектировании.  Получение заключения МГЭ 31.08.2025</t>
  </si>
  <si>
    <t>Начало проектирования - февраль 2025</t>
  </si>
  <si>
    <t>АПР согласован.
Разработка ПД.
ГПЗУ от 12.01.2023.</t>
  </si>
  <si>
    <t>Переселение жителей из сносимых домов - март 2026 г. Объект в приостановке..</t>
  </si>
  <si>
    <t>Проектирование приостановлено</t>
  </si>
  <si>
    <t>Разработка градостроительной документации</t>
  </si>
  <si>
    <t>Ведутся работы по разработке АПР.</t>
  </si>
  <si>
    <t>Проектирование не начато. Начало работ по этапу 01.11.2025</t>
  </si>
  <si>
    <t>Проектирование не начато. Приостановка работ с 01.02.2025, по причине позднего отселения домов</t>
  </si>
  <si>
    <t>Проектирование приостановлено.  Расторжение договора с ООО "СЗ "СМАРТ ДЕВЕЛОПМЕНТ" от 21.05.2025</t>
  </si>
  <si>
    <t>АПР (посадка здания) разработаны подготовлены  и направлены в МКА (вариант 3) учитывающий инсоляцию существующей застройки и выход полезной площади.
Жилые дома Авангардная д. 6, корп. 2 и Авангардная д. 6, корп. 3 не отселены (Срок отселения - 2028г.). 
Отселение в Смольная 23</t>
  </si>
  <si>
    <t>АПР (посадка здания) разработаны подготовлены  и направлены в МКА (вариант 3) учитывающий инсоляцию существующей застройки и выход полезной площади.
Жилые дома Авангардная д. 6, корп. 2 и Авангардная д. 6, корп. 3 не отселены (Срок отселения - 2028г.).
 Отселение в Смольная 23</t>
  </si>
  <si>
    <t>Приостановка проектирования (нет решения по отселению жилых зданий по адресам: ул. Ленская, д.18, Енисейская, д.18/20).</t>
  </si>
  <si>
    <t>В связи с отсрочкой начала отселения жилого дома, подлежащего сносу, Фонд реновации считает возможным приостановить начало оказания услуг по Договору по вышеуказанному объекту. Ориентировочное начало отселение - 01.01.2027</t>
  </si>
  <si>
    <t>Проектирование с 01.11.2025</t>
  </si>
  <si>
    <t>Проектирование. Ведется разработка АПР, подача заявок на получение ТУ</t>
  </si>
  <si>
    <t>Проектирование присотавновлено.</t>
  </si>
  <si>
    <t>Начало ПИР - 15.02.2025
Отселение жилого дома по адресам: 4-й Новомихалковский проезд, д. 13, 
ул. Генерала Рычагова, д. 21, 
ул. Генерала Рычагова, д. 23/11, 
ул. Генерала Рычагова, д. 20, 
пр-д Черепановых, д.48,   - декабрь 2025.</t>
  </si>
  <si>
    <t>ГПЗУ получено. Старт этапа с 01.06.2024. 
Ведется разработка ПСД</t>
  </si>
  <si>
    <t xml:space="preserve">ГПЗУ и квартирография предоставлены генпроектировщику. 
Старт этапа с 01.06.2024. 
Приостановка работ в связи со смещением сроков переселения.
Предусмотрен снос жд:  ул. Маршала Чуйкова, д. 13, корп.1, ул. Маршала Чуйкова, д. 13, корп.2 </t>
  </si>
  <si>
    <t>ГПЗУ и квартирография предоставлены генпроектировщику. Старт этапа с 01.06.2024. 
Проектирование приостановлено в связи с переносом сроков переселения дома. частично расположенного в границах ГПЗУ.
Сносы жд не предусмотрены (включены в состав работ зоны 4,4).</t>
  </si>
  <si>
    <t>ГПЗУ и квартирография предоставлены генпроектировщику. Старт этапа с 01.06.2024. 
Проектирование приостановлено по причине изменения сроков переселения
К Подготовительному периоду возможно приступить после расселения жд: ул. Маршала Чуйкова, д. 13, корп.3</t>
  </si>
  <si>
    <t>Заключён договор 06.05.2025 с АО "МСУ-1"
По объекту получено заключение от 12.07.2023 МГЭ  77-1-1-3-040218-2023 , но требуется корректировка ПД в части обеспечения  коэффициента  полезной площади 0,75.</t>
  </si>
  <si>
    <t>Начато проектирование. МКД не отселен (Амурская ул. д.52).</t>
  </si>
  <si>
    <t>Комментарий от МКА от 09.23 - Получены решения РПН  от 11.04.2023 № 77-00168 ЗУ в собств МО РФ ГПЗУ после снятия обременений
Корректировка ГПЗУ, разработка квартирографии</t>
  </si>
  <si>
    <t>РВ от 26.12.2024 №77-08-012328-2024</t>
  </si>
  <si>
    <t>По состоянию на 29.10.2025
Фактическое состояние объекта: 
Ведется строительство
Проблемные вопросы:
Прходит приемка объекта специалистами ГКУ ДИОМ
Плановая дата передачи объекта - декабрь 2025</t>
  </si>
  <si>
    <t>РВ от 29.12.2024 № 77-08-012405-2024</t>
  </si>
  <si>
    <t>РВ от 30.12.2024 № 77-01-012413-2024</t>
  </si>
  <si>
    <t>По состоянию на 05.11.2025
Фактическое состояние объекта: 
Ведется строительство
Проблемные вопросы:
Ведутся работы по устранению замечаний, выданных ГКУ ДИОМ (выдано замечаний - 434 шт., устранено - 315 шт.) Повторная приемка ГКУ ДИОМ осуществлена не в полном объеме  - 21.10.2025 (ЭОМ и СС)
Плановая дата подачи уведомления об окончании строительства в МГСН - 12.11.2025
ПД (корректировка) проходит МГЭ. Плановая дата выхода из МГЭ - 15.11.2025</t>
  </si>
  <si>
    <t>По состоянию на 29.10.2025
Фактическое состояние объекта: 
Ведется строительство
Проблемные вопросы:
Специалистами ГКУ ДИОМ не осуществляется приемка объекта с мая 2025
Плноавая дата получения ЗОС и РВ - ноябрь 2025
Отсутствует постояное электроснабжение</t>
  </si>
  <si>
    <t xml:space="preserve">Ведется разработка проектной документации ООО "Капстройсити" контракт от 18.01.2022 № 0373200008521000114 </t>
  </si>
  <si>
    <t xml:space="preserve">По состоянию на 19.09.2025
Контракт на СМР ​от 27.10.2020 № ЭА-27/10/20/1-МСКР с ООО "Дортрансстрой" расторгнут
Планиректся заключение ГК на завершение СМР c ГУП «Мосводосток» в феврале 2026 года
</t>
  </si>
  <si>
    <t>РВ от 24.12.2018 № 77-203000-008731-2018 на инженерные коммуникации, мостовые сооружения, Амфитеатр и конструкцию террасы
По состоянию на 07.11.2025
Фактическое состояние объекта:
Ведется строительство
Проблемные вопросы:
Плановая дата получения ЗОС и РВ -  4 кв. 2026</t>
  </si>
  <si>
    <t>По состоянию на 10.10.2025
Смещение срока сдачи объекта в связи с корректировкой ПСД в части ипортозамещения.
Плановая дата получения ЗОС, РВ - февраль 2026</t>
  </si>
  <si>
    <t>По состоянию на 07.11.2025
Фактическое состояние объекта:
Ведется строительство
Проблемные вопросы:
Плановая дата получения ЗОС - декабрь 2025</t>
  </si>
  <si>
    <t>РВ от 26.08.2025 № 77-03-012695-2025
По состоянию на 13.10.2025
Производиться устранение замечаний по отделке, благоустройству и инженерным системам</t>
  </si>
  <si>
    <t>По состоянию на 07.11.2025
Фактическое состояние объекта:
Ведется строительство
Плановая дата получения ЗОС - ноябрь 2025</t>
  </si>
  <si>
    <t>РВ №77-10-012552-2025 от 29.05.2025.</t>
  </si>
  <si>
    <t>РВ от 27.12.2024 № 77-03-012348-2024</t>
  </si>
  <si>
    <t>По состоянию на 06.11.2025
Ведется строительство
Проблемные вопросы: 
Плановая дата завершения СМР и ПНР - декабрь 2026</t>
  </si>
  <si>
    <t>РВ от 31.05.2024 № 77-08-012038-2024
По состоянию на 30.07.2025
Проходит передача объекта специалистам ГКУ ДИОМ</t>
  </si>
  <si>
    <t>РВ от 06.05.2025 № 77-08-012533-2025
По состоянию на 22.10.2025
Фактическое состояние объекта:
Объект эксплатируется (проходят занятия у школьников)</t>
  </si>
  <si>
    <t>По состоянию на 11.08.2025
Фактическое состояние объекта:
Строительство не ведется
Проблемные вопросы:
Подготовка необходимой документации для проведения конкурсных процедур на определение генерального подрядчика на ПИР+АФК, предварительная разработка АФК, утверждение ТХЗ
Плановая дата выхода на конкурс - август 2025</t>
  </si>
  <si>
    <t>По состоянию на 13.10.2025
Фактическое состояние объекта:
Строительство не ведется
Проблемные вопросы:
Ведутся ПИР подготовительного периода
Документация подготовительного периода на КУ в МГЭ
Строительная площадка передана генподрядчику, ведутся работы подготовительного периода:
-завершены работы по вырубке зеленых насаждений из пятна застройки, 5 м зоны сноса зданий. 
- произведен снос строений 5, 8, 9, 10, 14.  
- приступили к работам по выносу сетей связи, электрических сетей, демонтажу хозяйственно-бытовой канализации и тепловых сетей</t>
  </si>
  <si>
    <t>По состоянию на 07.11.2025
Ведется строительство
Проблемные вопросы:
 Плановая дата получения ЗОС и РВ - II квартал 2027 года</t>
  </si>
  <si>
    <t>По состоянию на 07.11.2025
Фактическое состояние объекта:
Строительство не ведется
Проблемные вопросы:
Перепроектирование фундамента и расчет конструктивва. Работы приостановлены</t>
  </si>
  <si>
    <t>По состоянию на 06.11.2025
Фактическое состояние объекта:
Ведется строительство
Проблемные вопросы: 
ТХ на согласовании в ДЗМ
ПИР 1-го этапа (вынос сетей и снос строений): 06.11.2025 откорректированное ПД повторно загружена в МГЭ для прохождения входного контроля вместе со сметной документацией. Плановая дата получения положительного заключения - 26.12.2025
ПИР 2-го этапа: ПД проходит КУ в МГЭ. План захода в МГЭ  – 26.12.2025 (В связи с корректировкой исходных данных ДЗМ)</t>
  </si>
  <si>
    <t>По состоянию на 13.10.2025
Ведется разработка градостроительной документации.
Ведется образовательная деятельность. Планируемый срок расселения объекта образования и передачи под снос 2й квартал 2026 года</t>
  </si>
  <si>
    <t>Фактическое состояние объекта:
Строительство не ведется
Отселение действующей  школы ЦПМ - 31.10.2025</t>
  </si>
  <si>
    <t>Фактическое состояние объекта:
Строительство не ведется</t>
  </si>
  <si>
    <t>По состоянию на 06.11.2025
Фактическое состояние объекта:
Ведется строительство
Проблемные вопросы:
Устройство сети интернет - до 14.11.2025
Устройство ливневой канализации – до 15.12.2025
Поставка технологического борудования до 30.12.2025
Комплексная приемка специалистами ГКУ ДИОМ запланирована на апрель 2026
Плановая дата получения ЗОС и РВ – март 2026</t>
  </si>
  <si>
    <t>РВ № 77-17-011567-2023 от 17.08.2023
По состоянию на 21.08.2025
Фактическое состояние объекта:
Проходит передача объекта специалистам ГКУ ДИОМ (остаток замечаний к устранению 81). Плановая дата завершения предачи - 29.08.2025</t>
  </si>
  <si>
    <t xml:space="preserve">РВ № 77-17-011539-2023 от 28.07.2023
По состоянию на 21.08.2025
Фактическое состояние объекта:
Выполняются работы по усилению ЖБ и металл конструкций, Демонтированы инженерные системы с потолков и других элемментов отделки. Необходимо востановление отделки. Плановая дата передачи объекта ГКУ ДИОМ до 01.01.2026 
</t>
  </si>
  <si>
    <t>По состоянию на 29.10.2025
Фактическое состояние объекта: 
Ведется строительство
Проблемные вопросы:
Проходит итоговая проверка МГСН с 28.10.2025</t>
  </si>
  <si>
    <t>По состоянию на 16.06.2025
Фактическое состояние объекта: 
Ведется строительство
Проблемные вопросы:
Не проведены нагонные мероприятия по мобилизации рабочего персонала для соблюдения сроков строительства
Выявлены дополнительные работы не учтенные в изначальном ТЗ
По поставке оборудования получено 49 спецификаций из 67 (прорабатывается поставка с поставщиками)
РД в настоящий момент разрабатывается, загружено в СТДО 51 из 91 комплекта (согласованно 36)
План передачи помещений после завершения строительно-монтажных  работ с 10.09.2025
не ведется ежедневный отчет по выполнению работ в режиме план/факт/отклонение</t>
  </si>
  <si>
    <t>РВ от 20.01.2025 № 77-08-012425-2025
По состоянию на 20.08.2025
Фактическое состояние объекта: 
Произведенеа передача объекта специалистам ГКУ ДИОМ</t>
  </si>
  <si>
    <t>РВ от 27.06.2025 № 77-08-012588-2025
 По состоянию на 17.09.2025
 Проблемные вопросы:
Произведена передача квартир подрядчиком фонду
Производится передача МОП подрядчиком фонду</t>
  </si>
  <si>
    <t>По состоянию на 29.10.2025
Фактическое состояние объекта: 
Ведется строительство
Проблемные вопросы:
Произведенеа передача объекта специалистам ГКУ ДИОМ</t>
  </si>
  <si>
    <t xml:space="preserve">РВ № 77-17-011528-2023 от 20.07.2023
По состоянию на 21.08.2025
Фактическое состояние объекта: 
Ведется строительство
Проблемные вопросы:
Ведутся работы по устранению замечаний, выданных ГКУ ДИОМ (остаток к устранению - 90 шт)
Плановая дата устранения и передачи ГКУ ДИОМ до 29.08.2025 </t>
  </si>
  <si>
    <t>По состоянию на 06.11.2025
 Фактическое состояние объекта:
 Ведется строительство
 Проблемные вопросы:
 Плановая дата получения ЗОС и РВ - август 2026</t>
  </si>
  <si>
    <t>РВ от 30.06.2025 № 77-17-012595-2025
По состоянию на 16.09.2025
Произведена передача объекта службе эксплуатации и департаменту здравохранения, при этом написано гарантийное письмо в рамках устранения замечаний.
Производится устранение замечаний по вент. камерам и чистовой отделке. Не работают камеры видеонаблюдения, не срабатывает система СКУД
Динамика устранения замечаний слабая
Срок устранения замечаний 20.09.2025 (приемка выполненых работ запланирована до 26.09.2025) за исключением проверки работоспоспособности системы ИТП (приемка в отопительный сезон)</t>
  </si>
  <si>
    <t>РВ № 77-245000-010691-2022 от 21.03.2022
По состоянию на 11.09.2025
Фактическое состояние объекта:
Ведется строительство
Проблемные вопросы: 
Производится устранение замечаний в рамках гарантийных обязательств:
- подъемная платформа для ммг (уличная) и подъемник грузовой до 100 кг не введены в эксплуатацию;
- проникновение грунтовых вод на цокольном этаже;
- не устраняются трещины на стенах и оконных откосах</t>
  </si>
  <si>
    <t>По состоянию на 05.08.2025
Фактическое состояние объекта:
Строительство не ведется
Проблемные вопросы:
Сметная документация получила положительное заключение МГЭ от 15.07.2025 № 77-1-1-2-040507-2025</t>
  </si>
  <si>
    <t>Ведется строительство
Проблемные вопросы:
Низкая мобилизация рабочей силы
Низкая строительная готовность</t>
  </si>
  <si>
    <t>РВ №77-07-012578-2025 от 19.06.2025 
По состоянию на 17.09.2025
Фактическое состояние объекта:
Ведется строительство
Проблемные вопросы:
Осуществляют устранение замечаний фонда реновации в части чистовой отделки и инженерных систем</t>
  </si>
  <si>
    <t>РВ № 77-17-012679-2025 от 15.08.2025</t>
  </si>
  <si>
    <t>По состоянию на 29.10.2025
Фактическое состояние объекта: 
Ведется строительство
Проблемные вопросы:
Проходит передача объекта специалистам ГКУ ДИОМ
Плановая дата получения ЗОС - ноябрь 2025</t>
  </si>
  <si>
    <t>РВ от 29.07.2025 № 77-02-012632-2025
По состоянию на 22.08.2025
Ведутся работы по устранению замечаний, выданных ГКУ ДИОМ и администрацией общеобразовательной организации (остаток к устранению - 32 шт). Плановая дата устранения и передачи объекта до 29.08.2025</t>
  </si>
  <si>
    <t>По состоянию на 29.10.2025
Фактическое состояние объекта:
Ведется строительство
Проблемные вопросы:
Производится корректировка проектной и рабочей документации
РнС до ноября 2026
Плановая дата получения ЗОС - июнь 2026</t>
  </si>
  <si>
    <t>По состоянию на 29.10.2025
Фактическое состояние объекта:
Ведется строительство
Проблемные вопросы:
Низкий темп производства работ
Рабочая документация проходит корректировку
Потребуеться внесение изменений в АГР - апрель 2026
Плановая дата получения РВ июнь 2026</t>
  </si>
  <si>
    <t>По состоянию на 21.08.2025
Фактическое состояние объекта: 
Ведется строительство
Проблемные вопросы:
По результатам проведения итоговой проверки МГСН 21.08.2025 получено отрицательное заключение</t>
  </si>
  <si>
    <t>По состоянию на 29.10.2025
Фактическое состояние объекта:
Ведется строительство
Проблемные вопросы:
Плановая дата получения ЗОС - 17.11.2025</t>
  </si>
  <si>
    <t>РВ № 77-04-012685-2025 от 20.08.2025
По состоянию на 21.08.2025
Произведено устранение замечаний ГКУ ДИОМ в полном объеме. Выезды для приемки объекта ГКУ ДИОМ, не осуществляет</t>
  </si>
  <si>
    <t>По состоянию на 21.08.2025
Фактическое состояние объекта: 
Ведется строительство
Проблемные вопросы:
Плановая дата подачи уведомления об окончании строительства в МГСН - 01.09.2025</t>
  </si>
  <si>
    <t>По состоянию на 29.10.2025
Фактическое состояние объекта: 
Ведется строительство
Проблемные вопросы:
Проходит передача объекта специалистам ГКУ ДИОМ. Крайний выезд осуществлен 27.10.2025
Плановая дата получения РВ - декабрь 2025</t>
  </si>
  <si>
    <t>РВ  от 18.08.2025 № 77-07-012680-2025</t>
  </si>
  <si>
    <t>По состоянию на 29.10.2025
Фактическое состояние объекта: 
Ведется строительство
Проблемные вопросы:
Планавая дата получения РВ - 31.08.2026</t>
  </si>
  <si>
    <t>РВ № 77-17-012779-2025 от 10.10.2025</t>
  </si>
  <si>
    <t>РВ от 08.12.2022 № 77-09-011110-2022;</t>
  </si>
  <si>
    <t>По состоянию на 05.11.2025
Фактическое состояние объекта: 
Ведется строительство
Проблемные вопросы:
Ведутся работы по устранению замечаний, выданных ГКУ ДИОМ (выдано замечаний - 595 шт., устранено - 381 шт.) 
Повторная приемка ГКУ ДИОМ не назначена. Приемка со стороны ГКУ ДИОМ не осуществляется 
Плановая дата подачи уведомления об окончании строительства в МГСН - 12.11.2025
ПД (корректировка) проходит МГЭ. Плановая дата выхода из МГЭ - 15.11.2025</t>
  </si>
  <si>
    <t>РВ от 06.08.2025 № 77-04-012651-2025</t>
  </si>
  <si>
    <t>По состоянию на 29.10.2025
Фактическое состояние объекта: 
Ведется строительство
Проблемные вопросы:
Не выполнено переключение на постоянное электроснабжение
Плановая дата получения ЗОС - ноябрь 2025</t>
  </si>
  <si>
    <t>По состоянию на 29.10.2025
Фактическое состояние объекта: 
Ведется строительство
Проходит передача объекта специалистам ГКУ ДИОМ
Плановая дата получения ЗОС - ноябрь 2025</t>
  </si>
  <si>
    <t>РВ № 77-17-012683-2025 от 19.08.2025</t>
  </si>
  <si>
    <t>РВ № 77-10-012631-2025 от 25.07.2025</t>
  </si>
  <si>
    <t>По состоянию на 05.11.2025
Фактическое состояние объекта: 
Ведется строительство
Проходит передача объекта специалистам ГКУ ДИОМ. Плановая дата предачи объекта - 05.12.2025 
Плановая дата получения ЗОС - 15.12.2025
Плановая дата получения РВ - 22.12.2025</t>
  </si>
  <si>
    <t>РВ № 77-17-012567-2025 от 04.06.2025</t>
  </si>
  <si>
    <t>РВ №  77-07-012687-2025 от 21.08.2025
По состоянию на 21.08.2025
Проходит передача объекта специалистам ГКУ ДИОМ</t>
  </si>
  <si>
    <t>РВ № 77-17-012684-2025 от 19.08.2025</t>
  </si>
  <si>
    <t>По состоянию на 29.10.2025
Фактическое состояние объекта: 
Ведется строительство
Проходит передача объекта специалистам ГКУ ДИОМ
Плановая дата получения ЗОС - декабрь 2025</t>
  </si>
  <si>
    <t>РВ № 77-05-012603-2025 от 03.07.2025</t>
  </si>
  <si>
    <t>По состоянию на 29.10.2025
Текущие состояния объекта:
Ведется строительство
Проблемные вопросы:
Проходит передача объекта специалистам ГКУ ДИОМ
Плановая дата получения ЗОС и РВ - декабрь 2025</t>
  </si>
  <si>
    <t>По состоянию на 29.10.2025
Текущие состояния объекта:
Ведется строительство
Проблемные вопросы:
Плановая дата получения ЗОС и РВ - ноябрь 2025
Проходит передача объекта специалистам ГКУ ДИОМ. Плановая дата передачи объекта - ноябрь 2025</t>
  </si>
  <si>
    <t>По состоянию на 29.10.2025
Текущие состояния объекта:
Ведется строительство</t>
  </si>
  <si>
    <t>По состоянию на 21.08.2025
Текущие состояния объекта:
Ведется строительство
Проблемные вопросы:
07.08.2025 получено отрицательное заключение МГСН по результатам проверки законченного строительства 
Проходит передача объекта специалистам ГКУ ДИОМ. Плановая дата передачи до 29.08.2025
Проходит итоговая проверка МГСН с 14.08.2025 по 27.08.2025</t>
  </si>
  <si>
    <t>По состоянию на 29.10.2025
Текущие состояния объекта:
Ведется строительство
Проблемные вопросы:
Плановая дата получения ЗОС - ноябрь 2025</t>
  </si>
  <si>
    <t>РВ № 77-06-012649-2025 от 05.08.2025</t>
  </si>
  <si>
    <t>РВ от 25.08.2025 № 77-09-012692-2025</t>
  </si>
  <si>
    <t>РВ № 77-04-012666-2025 от 11.08.2025</t>
  </si>
  <si>
    <t>По состоянию на 29.10.2025
Фактическое состояние объекта: 
Ведется строительство
Проблемные вопросы:
Прходит приемка объекта специалистами ГКУ ДИОМ</t>
  </si>
  <si>
    <t>РВ №77-04-012677-2025 от 14.08.2025</t>
  </si>
  <si>
    <t>По состоянию на 29.10.2025
Текущие состояния объекта:
Ведется строительство
Проблемные вопросы:
Плановая дата получения ЗОС - ноябрь 2025
Плановая дата получения РВ - декабрь 2025</t>
  </si>
  <si>
    <t xml:space="preserve">РС: № 77-000000-020338-2022 от 22.07.2022 сроком по 22.09.2025: Реконструкция торгового комплекса
Фактическое состояние объекта:
Строительство не ведется
Оформлен ДАЗу № М-07-035048 Неркарарян Любе Карленовне сроком по январь 2028 для целей проектирования и строительства объекта капитального строительства
Получен ЗОС от 24.03.2025 № 165-11-Р/ЗОС
Проблемные вопросы: 
По заявлению от 15.05.2025 в выдаче РВ отказано
</t>
  </si>
  <si>
    <t>По состоянию на 07.11.2025
Фактическое состояние объекта:
Ведется строительство
Проблемные вопросы: 
Плановая дата получения ЗОС и РВ - март 2026</t>
  </si>
  <si>
    <t>РВ от от 26.12.2024 №77-06-012338-2024</t>
  </si>
  <si>
    <t xml:space="preserve">РВ №77-19-012318-2024 от 24.12.2024
</t>
  </si>
  <si>
    <t xml:space="preserve">РВ № 77-19-012320-2024 от 25.12.2024
</t>
  </si>
  <si>
    <t>По состоянию на 13.08.2025
Фактическое состояние объекта:
Ведется строительство
Проблемные вопросы:
В ходе испытаний забито 10 свай, из них 8 ушло в отказ. 2 сваи не дошли до проектной отметки. Ожидаются решения от проектной организации. 
В связи с изменением конструкций свай требуется повторное прохождение МГЭ
Согласно календарно-сетевому графику 30.12.25 окончание нулевого цикла
13.08.2025 МГГТ выходит на выполнение ИГИ, ИЭИ</t>
  </si>
  <si>
    <t>По состоянию на 10.10.2025
Фактическое состояние объекта:
Строительство не ведется
Проблемные вопросы: 
Кёрлинг арена, Многофункциональные спортивные площадки и АБК (административный бытовой комплекс) - отсутствует подключение к наружным сетям, системы работают в режиме тестовой эксплуатации на автономных источниках инженерного обеспечения. Благоустройство в полном объеме не выполняется до подключения к наружным сетям. В настоящее время идёт корректировка ГЗК от 13.02.2025 
Работы по СМР на АБК временно приостановлены, в связи с корректировкой проектных решений, связанных с планируемым размещением бассейна. Начало работ по перепроектирования и производству СМР других объектов в составе спортивного кластера будет осуществляться после внесения корректировок в решение ГЗК от 13.02.2025. Заседание по решению ГЗК было 04.09.2025, на данный момент идёт согласование</t>
  </si>
  <si>
    <t>По состоянию на 27.06.2025
Фактическое состояние объекта: 
 Строительство не ведется
Проблемные вопросы: 
Объявлены торги на СМР</t>
  </si>
  <si>
    <t>Проектная документация разработана и загружена в МГЭ, ведется работа по устранению замечаний. По итогам  совещания у заместителя Мэра Москвы 09.12.2024 принято решение об исключении объекта из АИП.</t>
  </si>
  <si>
    <t>По состоянию на 27.06.2025
Фактическое состояние объекта:
Ведется строительство
Проблемные вопросы:
Плановая дата получения ЗОС 01.08.2025
Плановая дата получения РВ 15.08.2025</t>
  </si>
  <si>
    <t>По состоянию на 20.10.2025
В части ПИР ведется разработка ТхЗ, согласование АГР и АПР. 
В соответствии с решением, принятом на совещании Мэра Москвы С.С.Собянина по архитектурно-градостроительным решениям от 10.10.2025 работы по строительству Объекта приостановлены до подбора альтернативной участка для размещения Объекта.</t>
  </si>
  <si>
    <t>Ведется строительство ( на 27.10.2025)
По состоянию на 25.06.2025
Фактическое состояние объекта: Строительство не ведется
Проблемные вопросы: 
Разрабатывается ПД
Необходимо согласование и утверждение АГР по объекту</t>
  </si>
  <si>
    <t>№ 77-18-012524-2025 от 22.04.2025</t>
  </si>
  <si>
    <t>РВ от 04.10.2024 № 77-18-012186-2024</t>
  </si>
  <si>
    <t xml:space="preserve">Этап 1 Объект сдан.
Этап 1.3 Объект сдан.
Этап 2 Объект сдан.
Этап 4 Объект сдан.
Этап 5 Корректировка проекта в связи с необходимостью выполнения дополнительных работ по переустройству электрических сетей и переоборудованию зданий конечных станций. </t>
  </si>
  <si>
    <t xml:space="preserve">Корректировка проекта в связи с необходимостью выполнения дополнительных работ по переустройству электрических сетей и переоборудованию зданий конечных станций. </t>
  </si>
  <si>
    <t>РВ №77-09-012393-2024 от 28.12.2024
устранение замечаний к отделке 1 этажа и и отделка квартир по дому.
завершение благоустройства территории.
численность рабочих - 49 чел</t>
  </si>
  <si>
    <t>РВ №77-04-012314-2024 от 24.12.2024
1. Завершена итоговая проверка. Получены ЗОС и РВ. Сроки завершения отделки и благоустройва вынесены за РВ. Объект не  прошел комендантскую проверку и не готов к началу заселения.
2. На объекте недостаточное количество работников: на 12.05.2025 -17 человек.
3. Сорваны сроки завершения отделки до 30.04.2025. 
4. Не устранены замечания к ливневой канализации</t>
  </si>
  <si>
    <t>земельный участок под новое строительство не освобожден, существующее здание не снесено.</t>
  </si>
  <si>
    <t xml:space="preserve">
Ведется согласование АПР по объекту. 
В соответствии с постановлением Правительства Москвы от 17.09.2025 №2286-ПП "Об адресной инвестиционной программе города Москвы на 2024-2027 годы" реализация объекта должна осуществляться силами АНО "РСИО".
Оформляется соглашение о замене стороны по договору от 16.04.2025 № АНО/160425/2</t>
  </si>
  <si>
    <t>Ведется реконструкция ЦТП и оформление ИД.</t>
  </si>
  <si>
    <t>По состоянию на 01.07.2025
Планирование реализации объекта за счет средств бюджета города Москвы (АИП)
2 высотных общественных здания и благоустроство территории со сносом павильонов Экспоцентра в границах застройки
Определена этапность сноса существующих строений:
В первый этап демонтажа (2025 год) входят павильоны № 2, № 8; павильон «Форум»; павильон № 5; экспоконста; коллекторы.
Во второй этап демонтажа (2028 год) входят павильоны № 3, № 4, № 7</t>
  </si>
  <si>
    <t>По состоянию на 20.10.2025
Фактическое состояние объекта:
Ведется строительство
Проблемные вопросы:
Низкие темпы производства работ
Низкая мобилизация рабочей силы</t>
  </si>
  <si>
    <t>РВ №77-04-012414-2024 от 30.12.2024</t>
  </si>
  <si>
    <t>Выполнено:
Подготовлены и представлены в ДГС презентационные материалы по реконструкции со строительством культурно- образовательного центра и общей входной группы.  
Предпроектные работы:
Заключен контракт с ООО "АПМ" от 15.05.2025 на обследование технического состояния здания в срок до 14.07.2025
Формируются презентационные материалы по реализации объекта в рамках капитального ремонта общей входной группы и существующих зданий музея.</t>
  </si>
  <si>
    <t>РВ от 29.12.2024 № 77-05-012400-2024</t>
  </si>
  <si>
    <t>РВ №77-03-012412-2024 от 30.12.2024</t>
  </si>
  <si>
    <t xml:space="preserve"> гостиницу уменьшить до 400 мест и контролировать, чтобы там больше ни апартаментов, ничего другого не было. АНО «Строймониторинг» на контроль. Также посмотреть связку с метро. Отобразить в протоколе поручение. (возможные действия: требуется согласование проектной документации со стороны АНО "Строймониторинг")</t>
  </si>
  <si>
    <t>РВ от 08.04.2025 № 77-17-012503-2025</t>
  </si>
  <si>
    <t>РВ от 11.07.2024 № 77-07-012079-2024</t>
  </si>
  <si>
    <t>РВ от 30.11.2023 № 77-04-011762-2023</t>
  </si>
  <si>
    <t>РВ от 16.08.2024 № 77-03-012123-2024</t>
  </si>
  <si>
    <t>РВ от 17.08.2023 № 77-08-011568-2023</t>
  </si>
  <si>
    <t>РВ от 31.01.2025 № 77-08-012432-2025
По состоянию на 07.11.2025
Замечания выданные ГКУ ДИОМ устранены не в полном объеме (устранено 47 замечаний из 278 замечаний)</t>
  </si>
  <si>
    <t>РВ от 29.08.2024 № 77-17-012132-2024</t>
  </si>
  <si>
    <t>РВ от 31.12.2020  № 77-142000-009871-2020</t>
  </si>
  <si>
    <t xml:space="preserve">РВ № 77-17-011521-2023 от 17.07.2023 Идет подготовка к заселению силами ДКР
до 01.09.2025
Риск срыва заселения
</t>
  </si>
  <si>
    <t>По состоянию на 23.07.2025
Фактическое состояние объекта:
Ведется строительство
Проблемные вопросы:
Плановая дата получения ЗОС 07.10.2025</t>
  </si>
  <si>
    <t>По состоянию на 23.07.2025
Фактическое состояние объекта:
Ведется строительство
Плановая дата получения ЗОС - 31.08.2025;
Плановая дата сдачи объекта - декабрь 2025.
Проблемные вопросы:
ПД (корректировка) проходит МГЭ.</t>
  </si>
  <si>
    <t>По состоянию на 24.07.2025
Фактическое состояние объекта:
Ведется строительство
Проблемные вопросы:
ПД (корректировка) в части планировочных и конструктивных решений проходит на КУ в МГЭ</t>
  </si>
  <si>
    <t>По состоянию на 23.07.2025
Фактическое состояние объекта:
Ведется строительство
Проблемные вопросы:
Проходит передача объекта управляющей компании</t>
  </si>
  <si>
    <t>По состоянию на 23.07.2025
Фактическое состояние объекта:
Ведется строительство
Проблемные вопросы:
Плановая дата получения ЗОС - апрель 2026 г.
Плановая дата ввода объекта - май 2026 г.</t>
  </si>
  <si>
    <t>По состоянию на 23.07.2025
Фактическое состояние объекта:
Ведется строительство
Проблемные вопросы:
Плановая дата получения ЗОС 15.12.2025</t>
  </si>
  <si>
    <t>По состоянию на 23.07.2025
Фактическое состояние объекта:
Ведется строительство
Плановая дата получения ЗОС - сентябрь 2025.
Ввод объекта - IV квартал 2025 года.
Проблемные вопросы:
ПД проходит КУ, плановая дата выхода - 31.07.2025
Требуется корректировка РНС.</t>
  </si>
  <si>
    <t>По состоянию на 23.07.2026
 Фактическое состояние объекта: 
Ведется строительство
 Проблемные вопросы:
 Получено отрицательноое заключение МГСН - 23.07.2025. При комплексных испытаниях не отработали клапана на вентиляции.
 Плановая дата начала итоговой проверки МГСН - август 2025 г.</t>
  </si>
  <si>
    <t xml:space="preserve">По состоянию на 24.07.2026
 Фактическое состояние объекта: 
Ведется строительство
 Проблемные вопросы:
</t>
  </si>
  <si>
    <t xml:space="preserve">По состоянию на 23.07.2026
 Фактическое состояние объекта: 
Ведется строительство
 Проблемные вопросы:
Плановая дата полчения ЗОС и РВ - 30.10.2025.
Требуются дополнительные объемы финансирования.
Подписано ДС на увеличение стоимости строительства. По состоянию на 23.07.2025 доп. финансирование отсутствует.
</t>
  </si>
  <si>
    <t>РВ № 77-07-012452-2025 от 24.02.2025</t>
  </si>
  <si>
    <t xml:space="preserve">По состоянию на 23.07.2026
 Фактическое состояние объекта: 
Ведется строительство
 Проблемные вопросы:
Требуется корректировка ИД для получения ЗОС,
ПАО "Россети" необходимо завершить работы по прокладке магистральной линии электроснабжения для устройства питания по постоянной схеме. 
</t>
  </si>
  <si>
    <t>По состоянию на 07.10.2025
Фактическое состояние объекта: 
Строительство не ведется
На объекте ведутся работы по
геологическому изысканию
Проблемные вопросы:
В связи с проведением демонтажных 
работ на объекте по адресу: Шарикоподшипниковская ул. вл. 11, стр.1, 2, 4, 5, 7, 10 зданий, на прилегающей (смежной) территории, по адресу: Шарикоподшипниковская ул., д.13, стр.2, образовались дефекты в виде трещин на ж/б конструкциях пола, стен, перекрытий</t>
  </si>
  <si>
    <t>Ведутся работы по сбору исходно-разрешительной документации. Прорабатывается вопрос балансовой принадлежности существующих инженерных коммуникаций на земельном участке. Выполнены инженерно-геодезические изыскания, заказаны инженерно-геологические и инженерно-экологические изыскания 1-го этапа. 
Ведутся работы по оформлению договора на разработку архитектурно-функциональную концепцию с единственным поставщиком ООО "Институт "Мосинжпроект".</t>
  </si>
  <si>
    <t>РВ №77-19-012716-2025 от 04.09.2025
По состоянию на 29.10.2025
Фактическое состояние объекта: 
Строительство завершено
Квартиры переданы в МФР</t>
  </si>
  <si>
    <t xml:space="preserve">По состоянию на 30.09.2025
Строительство приостановлено
Требуется корректировки ПД в связи с некорректными данными инженерно-геологических изысканий
Отсутствует согласование оценки влияния с ГУП «Московский метрополитен» для производства работ в тех. зоне метрополитена
</t>
  </si>
  <si>
    <t>По состоянию на 04.08.2025
Фактическое состояние объекта:
Строительство не ведется 
Проблемные вопросы: 
Отсутствует  утвержденное ТхЗ 
Требуется выплата аванса по обращению АО «Моспроект-4»
Плановая дата получения положительного заключения МГЭ - декабрь 2025</t>
  </si>
  <si>
    <t>По состоянию на 05.08.2025
Фактическое состояние объекта:
Строительство не ведется 
Проблемные вопросы: 
Смена оператора на АНО "РСИО"
Ведется процедура расторжения договора с ООО "ИнжКапСтрой"
МКА ведется работа по разработке градпотенциала территории, а также сбор документации для проведения торгов по физическому освобождению территории</t>
  </si>
  <si>
    <t>По состоянию на 16.10.2025
Фактическое состояние объекта:
Строительство не ведется 
Проблемные вопросы: 
Проходит проектирование
Плановая дата захода в МГЭ с ПД подготовительного этапа - 17.11.2025</t>
  </si>
  <si>
    <t>По состоянию на 11.09.2025
Фактическое состояние объекта:
Строительство не ведется 
Проблемные вопросы: 
ПД тех. часть проходит МГЭ. Плановая дата выхода - октябрь 2025</t>
  </si>
  <si>
    <t xml:space="preserve">По состоянию на 07.11.2025
Фактическое состояние объекта:
Строительство не ведется </t>
  </si>
  <si>
    <t>Получено РВ от 14.11.2024 № 77-09-012239-2024</t>
  </si>
  <si>
    <t>Разрешение на ввод в эксплуатацию: 77-135000-008526-2018 от 30.08.2018
Заключение о соответствии: 322-7-Р/ЗОС</t>
  </si>
  <si>
    <t>По состоянию на 27.08.2025
Фактическое состояние объекта:
Ведется строительство
Проблемные вопросы: 
Плановая дата ввода объекта в эксплуатацию - март 2026</t>
  </si>
  <si>
    <t xml:space="preserve">По состоянию на 09.10.2025
Фактическое состояние объекта: 
Ведется строительство
Проблемные вопросы:
Здание АБК сдается без чистовой отделки по ЗОС
Проводится итоговая проверка МГСН с 25.09.2025 по 09.10.2025
Плановая дата получения ЗОС - 10.10.2025
</t>
  </si>
  <si>
    <t>По состоянию на 06.11.2025
Фактическое состояние объекта: 
Строительство не ведется компанией АО "ГК "ЕКС"
Проблемные вопросы:
 Получен АПОКС от 31.08.2021 внутренняя отделка, благоустройство, восстановление несущих конструкций 
АПОКС от 31.05.2023 несущие конструкции, благоустройство 
ГКУ «УДМС»  и АО "ГК "ЕКС" подписали доп. соглашение на включение работ по корректировке проектно-сметной и рабочей документации и продления срока выполнения работ до 30.10.2026 без ТхЗ. Приложение с ТхЗ на соглавании в УДМС</t>
  </si>
  <si>
    <t>РВ от 24.12.2024 №77-20-012315-2024
По состоянию на 28.10.2025
Фактическое состояние объекта: 
Проходит процесс передачи имущества  передачи ИТП в КП «МЭД»</t>
  </si>
  <si>
    <t>По состоянию на 10.10.2025
Фактическое состояние объекта: 
Ведется строительство
Проблемные вопросы:
Идёт стадия формирования концепции для внесения изменения в ПЗЗ</t>
  </si>
  <si>
    <t>По состоянию на 07.11.2025
Фактическое состояние объекта: 
Строительство не ведется</t>
  </si>
  <si>
    <t>По состоянию на 24.09.2025
Фактическое состояние объекта: 
Ведется строительство
Проблемные вопросы:
Проводятся работы по сборке и монтажу монумента
Плановая дата завершения СМР - 29.09.2025</t>
  </si>
  <si>
    <t>По состоянию на 06.10.2025
Фактическое состояние объекта: 
Произведена реконструкция арендованного помещения под завод префаб-конструкций. Работы выполнены в полном объеме. Завод функционирует. Исполнительная документация передана арендодателю</t>
  </si>
  <si>
    <t>По состоянию на 13.10.2025
Работы по сносу выполнены в части изъятых объектов недвижимости ул. Москворечье вл.12. По  объектам  ул. Москворечье вл.14 АО «МОЭСК – Инжиниринг» с к.н. 77:05:0005010:1082, 77:05:0005010:1084, 77:05:0005010:1085 ГКУ МЦН проводят мероприятия по изъятию после чего возможно проведение и завершение работ по сносу.</t>
  </si>
  <si>
    <t>По состоянию на 13.10.2025
Выполнение работ по сносу приостановлено в ввиду передачи ЗС ГО в Росимущество - в г.Москву для дальнейшего снятия с учета и сноса.</t>
  </si>
  <si>
    <t>Ведется строительство. Два блока 8 и 5 этажей.</t>
  </si>
  <si>
    <t>По состоянию на 11.09.2025
Фактическое состояние объекта: 
Рассмотрение и согласование транспортной схемы в МКА. Рассмотрение фасадных решений</t>
  </si>
  <si>
    <t>По состоянию на 17.09.2025
Фактическое состояние объекта: 
Ведется строительство
Проблемные вопросы:
Плановая дата получения ЗОС - октябрь 2025</t>
  </si>
  <si>
    <t>По состоянию на 17.09.2025
Фактическое состояние объекта: 
Ведется строительство</t>
  </si>
  <si>
    <t>РВ от 28.02.2025 №77-07-012460-2025</t>
  </si>
  <si>
    <t>По состоянию на 17.09.2025
Фактическое состояние объекта: 
 Строительство завершено.
Проходит подготовка к передачи МАФ и благоустройства городу</t>
  </si>
  <si>
    <t>По состоянию на 22.09.2025
Строительство завершено
РВ не получено
Планируется передача объекта в ДЖКХ</t>
  </si>
  <si>
    <t>По состоянию на 23.09.2025
Ведется работа по оформлению доп.согл. на корректировку календарного плана ПИР
Плановая получения положительного заключения МГЭ - январь 2026
Плановая дата разработки РД - март 2026</t>
  </si>
  <si>
    <t>В соответствии с Распоряжением от 30.08.2017 № 442-РП ГКУЗ г. Москвы «Детский кардиоревматологический санаторий №20 «Красная Пахра» ДЗМ перешел в ведомственное подчинение Департамента труда и социальной защиты населения города Москвы с новым наименованием ГБУ Центр реабилитации инвалидов «Красная Пахра». Распоряжением ДГИ от 21.10.2019 № 41796 "О принятии к бюджетному учету в состав имущественной казны города Москвы объектов незавершенного строительства" объект оформлен в собственность города Москвы. ОНС передан в ДГИ.</t>
  </si>
  <si>
    <t>Исключен из АИП</t>
  </si>
  <si>
    <t xml:space="preserve">По состоянию на 23.09.2025
Не определена генподрядная организация по реализации объекта
Плановая дата окончания проведения тендерных процедур - октябрь 2025
</t>
  </si>
  <si>
    <t xml:space="preserve">Строительство завершено
На ОНС с кад. № 77:09:0005007:1036 степенью готовности 99% оформлены права собственности города Москвы от 05.07.2021, передано в хозяйственное ведение ГУП «Мосгортранс» от 15.04.2022
</t>
  </si>
  <si>
    <t>По состоянию на 23.09.2025
Отсутствует согласование Дептранса на проведение работ по прокладке инженерных коммуникаций открытым способом с выходом на проезжую часть
Не решен вопрос о необходимости корректировки ПСД для учета типизации объектов дорожно-мостового строительства</t>
  </si>
  <si>
    <t>ГК подписан в бумажном виде от 09.07.2025 №ЕП/0173200001425000637, требуется подписание в ЕИС.</t>
  </si>
  <si>
    <t>По состоянию на 23.09.2025
Проводятся работы по благоустройству
Сдача объекта по акту госкомиссии запланирована в октябре 2025</t>
  </si>
  <si>
    <t>По состоянию на 22.09.2025
ПСД (корректировка) в части строительства ЛОС и коллектора для сбора сточных вод с территории ПАО «КАМАЗ» и ООО «РЭНЕРА»
По технической части заключение получено. Сметная часть не загружена в МГЭ
После получения положительного заключения сметной части необходимо проведение тендерных процедур на СМР</t>
  </si>
  <si>
    <t>По состоянию на 22.09.2025
Требуется завершение работ по технологическому присоединению  электрическим сетям ПАО «Россети» 
Плановая дата завершения работ по тех. присоединению - декабрь 2026
Плановая дата проведения тендерных процедур по определению подрядной организации - III квартал 2026</t>
  </si>
  <si>
    <t>По состоянию на 19.09.2025
ООО «Промтехгрупп» в соответствии с ГК на УК от 19.02.2025 № 0173200001424002090 проводится разработка ПСД
Плановая дата загрузки ПСД в ГАУ «Мосгосэкспертиза» - ноябрь 2025
 Планируемый срок получения положительного заключения МГЭ – февраль 2026 года</t>
  </si>
  <si>
    <t>Распоряжение ДГИ от Распоряжение №47566 от 18.08.2022
Распоряжение №47333 от 18.08.2022
Распоряжение №45847 от 10.08.2022</t>
  </si>
  <si>
    <t>РВ от 29.12.2021 №77-111000-010551-2021</t>
  </si>
  <si>
    <t>РВ от 29.12.2021 №77-111000-010550-2021</t>
  </si>
  <si>
    <t>РВ от 29.12.2021 №77-111000-010552-2021</t>
  </si>
  <si>
    <t>Строительство объекта было приостановлено в декабре 2016 года на стадии: - блок «А»: монолитные работы подземной части зданияи надземной до уровня 2-3 эт. К монтажу оборудования ГО (блок «А») не приступали; - блок «Б»: монолитные работы на уровне 6 эт.; - блок «В»: монолитные работы на уровне 6-7эт</t>
  </si>
  <si>
    <t>Включены затраты на проектирование и строительство объекта в АИП № 1930-ПП от 10.10.2023. МКА ведется проработка вопроса разработки граддокументации, в связи с многочисленными ограничениями налагаемые на выделенный земельный участок.
Плановая дата публикация закупки - ноябрь 2025</t>
  </si>
  <si>
    <t>Объект готовится к передаче в АНО "Дорожно-мостовое и инженерное строительство" (УДМС-30-8556/25)</t>
  </si>
  <si>
    <t>По состоянию на 01.10.2025
Фактическое состояние объекта: 
Строительство не ведется</t>
  </si>
  <si>
    <t>ОТСТУТСТВУЕТ УТВЕРЖДЕННАЯ АРХИТЕКТУРНАЯ КОНЦЕПЦИЯ РЕАЛИЗАЦИИ ОБЪЕКТА</t>
  </si>
  <si>
    <t>Перенос сроков проектирования, в связи с невозможность сноса школы по адресу: Щёлковское ш.,д.58А до IV квартала 2025г.</t>
  </si>
  <si>
    <t>Выполнено - 55% СМР
- освобождение площадки: вынос сетей 65%, завершение - 30.11.2024 
- установка ограждения строительной площадки – 100%</t>
  </si>
  <si>
    <t>На 11.10.2024 увеличение мощности до 1350 мест</t>
  </si>
  <si>
    <t>На 17.04.2025 
Водосток – выполняются земляные работы, крепление траншеи, устройство колодцев, монтаж труб;
Теплосеть – устройство дренажа;
Раздел АД – строительство проезда, тротуаров, остановочные павильоны - сезонность выполнения СМР;
Наружное освещение – выполняется строительство кабельной канализации, прокладка кабеля;
ЭС ОДН выполнено ГНБ, ведется строительство кабельной канализации, установка опор НО, выполнен объем работ в рамках предоставленных фронтов работ (п.3 ПВ).
на объекте 23 рабочих, 3 ИТР, 3 ед. техники</t>
  </si>
  <si>
    <t>По состоянию на 20.10.2025
Фактическое состояние объекта: 
Ведется строительство
Проблемные вопросы:
Производится корректировка РД разделов ЭОМ и СС, в части замечаний новых требований ГКУ ДИОМ
Подрядчик приступил к монтажу ТС за пределами ГПЗУ</t>
  </si>
  <si>
    <t>По состоянию на 20.10.2025
Фактическое состояние объекта: 
Строительство не ведется
Проходит ПИР</t>
  </si>
  <si>
    <t>По состоянию на 29.10.2025
Фактическое состояние объекта: 
Ведется строительство
Проблемные вопросы:
ПД проходит экспертизу
Отсутствует РнС</t>
  </si>
  <si>
    <t>По состоянию на 29.10.2025
Фактическое состояние объекта: 
Ведется строительство
Проблемные вопросы:
Планируемая дата сдачи объекта 01.09.2026</t>
  </si>
  <si>
    <t xml:space="preserve"> Контракты расторгнуты. Планируется к исключению из АИП  проектом постановления в октябре 2025.</t>
  </si>
  <si>
    <t>Договор с ООО "Сириус" на ПИР подписан от 09.08.2024 № АНО/020824/1. На текущую дату ведётся проектирование (разработка АПР). 
Принято решение о передаче объекта в Фонд Реновации. Бросовые затраты направлены на рассмотрение в ДГС</t>
  </si>
  <si>
    <t>Ведется разработка градостроительной документации. Работы подготовительного периода
Объект подлежит передачи в АНО "РСИ".</t>
  </si>
  <si>
    <t>н/д</t>
  </si>
  <si>
    <t>5.04.2025 Заключен Договор №РСИО/2025-22 на выполнение проектно-изыскательских работ по объекту капитального строительства "Административное здание ОМОН (на транспорте) "Меч" Главного управления Росгвардии по городу Москве по адресу: г. Москва, ул. Нижние Мневники, д. 17 (Северо-Западный административный округ г. Москвы)". Договор с подрдчиком ООО ТК Руслан-1 расторгнут 13.05.2025</t>
  </si>
  <si>
    <t>По состоянию на 29.10.2025
Фактическое состояние объекта: 
Строительство не ведется
Получено положительное заключение МГЭ №77-1-1-2-002036-2021 от 22.01.2021
Расматривается вопрос о корректировке ПД</t>
  </si>
  <si>
    <t>РВ №77-01-012153-2024  от 05.09.2024</t>
  </si>
  <si>
    <t xml:space="preserve">По состоянию на 29.10.2025
Фактическое состояние объекта: 
Строительство не ведется
Проблемные вопросы:
Требуется корректировка ПСД
Плановая дата получения положительного заключения МГЭ - июнь 2026
Планируется передача объекта в ДЖКХ
</t>
  </si>
  <si>
    <t>Утверждение АГР</t>
  </si>
  <si>
    <t>Проходит согласование трассы тепловой сети с ГУП "Московский Метрополитен" для производства работ в охранной зоне</t>
  </si>
  <si>
    <t>Ведется проектирование.</t>
  </si>
  <si>
    <t>Передана под снос (для объектов сноса)</t>
  </si>
  <si>
    <t>Сдан по акту гос. комиссии от 25.12.2024</t>
  </si>
  <si>
    <t xml:space="preserve">Согласовать рабочую документацию «Наружные сети канализации
</t>
  </si>
  <si>
    <t>Заключен ГК на проектирование</t>
  </si>
  <si>
    <t>Вопрос освобождения территории рассматривается в судебном порядке (необходимо изъятие 4х зданий и зем.участка).
В отношении стр.2: 20.09.2024  ДГИ выпущено распоряжение об изъятии №150317. Отчет об оценке подготовлен, проект соглашения находится на оформлении.
В отношении земельного участка и 3-х нежилых зданий стр.3, 8, 10: 29.03.2024 ДГИ выпущено распоряжение об изъятии № 38469. В судебном заседание 30.04.2025 принято решение: Иск удовлетворить частично. Решение в полном объеме изготовлено 05.05.2025, опубликовано 06.05.2025. Решение обжаловано ДГИ</t>
  </si>
  <si>
    <t>РВ от 29.11.2024 № 77-03-012257-2024 
Строительство завершено
Не функционируют ворота в подземный паркинг
Часть инженерных систем находиться не в рабочем состоянии
Чистовая отделка местами не выполнена или нарушена ее целостность, присутствуют образования плесени
Нарушена целостность части стеклопакетов
Не вывезены строительные материалы с корпусов в полном объеме</t>
  </si>
  <si>
    <t>РВ от 02.04.2025 № 77-08-012499-2025</t>
  </si>
  <si>
    <t>РВ от 23.04.2024 № 77-08-012004-2024</t>
  </si>
  <si>
    <t>23</t>
  </si>
  <si>
    <t>581</t>
  </si>
  <si>
    <t>617</t>
  </si>
  <si>
    <t>533</t>
  </si>
  <si>
    <t>585</t>
  </si>
  <si>
    <t>848</t>
  </si>
  <si>
    <t>610</t>
  </si>
  <si>
    <t>600</t>
  </si>
  <si>
    <t>635</t>
  </si>
  <si>
    <t>569</t>
  </si>
  <si>
    <t>Права</t>
  </si>
  <si>
    <t>Пароль</t>
  </si>
  <si>
    <t>Дом_широта</t>
  </si>
  <si>
    <t>Дом_долгота</t>
  </si>
  <si>
    <t>Император</t>
  </si>
  <si>
    <t>mmaxanosmg777111</t>
  </si>
  <si>
    <t>Юсупов Артур Русланович</t>
  </si>
  <si>
    <t>Администратор</t>
  </si>
  <si>
    <t>USUPOVLEVTIGR!</t>
  </si>
  <si>
    <t>NAAsmg!</t>
  </si>
  <si>
    <t>56.012420</t>
  </si>
  <si>
    <t>37.474920</t>
  </si>
  <si>
    <t>Московская область, Лобня</t>
  </si>
  <si>
    <t>PSAsmg!</t>
  </si>
  <si>
    <t>55.858923</t>
  </si>
  <si>
    <t>37.563063</t>
  </si>
  <si>
    <t>Москва, Бескудниковский бульвар, 6к3</t>
  </si>
  <si>
    <t>LANsmg!</t>
  </si>
  <si>
    <t>55.807031</t>
  </si>
  <si>
    <t>37.774661</t>
  </si>
  <si>
    <t>Москва, Никитинская улица, 26к2</t>
  </si>
  <si>
    <t>DLRsmg!</t>
  </si>
  <si>
    <t>55.742808</t>
  </si>
  <si>
    <t>38.039394</t>
  </si>
  <si>
    <t>Московская область, Балашиха, Безымянная улица, 2</t>
  </si>
  <si>
    <t>GRVsmg!</t>
  </si>
  <si>
    <t>55.635879</t>
  </si>
  <si>
    <t>37.724202</t>
  </si>
  <si>
    <t>Москва, улица Борисовские Пруды, 23к1</t>
  </si>
  <si>
    <t>UIVsmg!</t>
  </si>
  <si>
    <t>55.559038</t>
  </si>
  <si>
    <t>37.700307</t>
  </si>
  <si>
    <t>Московская область, Ленинский городской округ, Видное, бульвар Зелёные Аллеи, 6</t>
  </si>
  <si>
    <t>OUVsmg!</t>
  </si>
  <si>
    <t>55.382472</t>
  </si>
  <si>
    <t>37.797999</t>
  </si>
  <si>
    <t>Московская область, Домодедово, микрорайон Востряково, Бородинская улица</t>
  </si>
  <si>
    <t>DSUsmg!</t>
  </si>
  <si>
    <t>55.496348</t>
  </si>
  <si>
    <t>37.517823</t>
  </si>
  <si>
    <t>Москва, Новомосковский административный округ, район Щербинка, улица Логинова, 5к2</t>
  </si>
  <si>
    <t>TAAsmg!</t>
  </si>
  <si>
    <t>55.624902</t>
  </si>
  <si>
    <t>37.340151</t>
  </si>
  <si>
    <t>бульвар Андрея Тарковского, 10, подъезд 12, район Внуково, Новомосковский административный округ, Москва</t>
  </si>
  <si>
    <t>55.626055</t>
  </si>
  <si>
    <t>37.311283</t>
  </si>
  <si>
    <t>PAHsmg!</t>
  </si>
  <si>
    <t>55.588552</t>
  </si>
  <si>
    <t>37.171855</t>
  </si>
  <si>
    <t>Москва, Новомосковский административный округ, район Внуково, Аэростатная улица, 6к1</t>
  </si>
  <si>
    <t>MIAsmg!</t>
  </si>
  <si>
    <t>55.578640</t>
  </si>
  <si>
    <t>37.481738</t>
  </si>
  <si>
    <t>Москва, Новомосковский административный округ, посёлок Коммунарка, Бачуринская улица, 9Ак2</t>
  </si>
  <si>
    <t>KIAsmg!</t>
  </si>
  <si>
    <t>55.820369</t>
  </si>
  <si>
    <t>37.319484</t>
  </si>
  <si>
    <t>Московская область, Красногорск</t>
  </si>
  <si>
    <t>HNGsmg!</t>
  </si>
  <si>
    <t>55.703702</t>
  </si>
  <si>
    <t>37.959570</t>
  </si>
  <si>
    <t>Московская область, Люберцы, микрорайон Зенино ЖК Самолёт, улица Дружбы, 1к1</t>
  </si>
  <si>
    <t>SKVsmg!</t>
  </si>
  <si>
    <t>55.948215</t>
  </si>
  <si>
    <t>38.056714</t>
  </si>
  <si>
    <t>Московская область, Фрязино, Полевая улица, 16</t>
  </si>
  <si>
    <t>DAVsmg!</t>
  </si>
  <si>
    <t>55.674463</t>
  </si>
  <si>
    <t>37.762587</t>
  </si>
  <si>
    <t>Москва, Совхозная улица, 10Б</t>
  </si>
  <si>
    <t>1234</t>
  </si>
  <si>
    <t>178</t>
  </si>
  <si>
    <t>Выполнение подрядных работ по строительству объекта капитального строительства «Административное здание по адресу: 2-я ул. Машиностроения, д. 3, район Южнопортовый (со сносом гаража по адресу: 2-я ул. Машиностроения, д. 3, стр. 3)»</t>
  </si>
  <si>
    <t>55.711427</t>
  </si>
  <si>
    <t>37.669099</t>
  </si>
  <si>
    <t>https://docs.google.com/spreadsheets/d/19THEBTE9q0fhN2eApZr6BgenIvLGh0AckaYxHQfHk5w/edit?gid=1120669271#gid=1120669271</t>
  </si>
  <si>
    <t>https://disk.yandex.ru/client/disk/%D0%9E%D1%81%D0%BC%D0%BE%D1%82%D1%80%D1%8B%20%D0%BE%D0%B1%D1%8A%D0%B5%D0%BA%D1%82%D0%BE%D0%B2%20%D0%90%D0%9D%D0%9E%20%D0%A1%D0%9C%D0%93/178.%20%D0%90%D0%B4%D0%BC%D0%B8%D0%BD%D0%B8%D1%81%D1%82%D1%80%D0%B0%D1%82%D0%B8%D0%B2%D0%BD%D0%BE%D0%B5%20%D0%B7%D0%B4%D0%B0%D0%BD%D0%B8%D0%B5%20%D0%BF%D0%BE%20%D0%B0%D0%B4%D1%80%D0%B5%D1%81%D1%83%3A%202-%D1%8F%20%D1%83%D0%BB.%20%D0%9C%D0%B0%D1%88%D0%B8%D0%BD%D0%BE%D1%81%D1%82%D1%80%D0%BE%D0%B5%D0%BD%D0%B8%D1%8F%2C%20%D0%B4.%203%2C%20%D1%80%D0%B0%D0%B9%D0%BE%D0%BD%20%D0%AE%D0%B6%D0%BD%D0%BE%D0%BF%D0%BE%D1%80%D1%82%D0%BE%D0%B2%D1%8B%D0%B9</t>
  </si>
  <si>
    <t>ММК. Операционно-реанимационный корпус МГОБ № 62, территория инновационного центра «Сколково», ул. Большой бульвар, д. 69</t>
  </si>
  <si>
    <t>https://disk.yandex.ru/client/disk/%D0%9E%D1%81%D0%BC%D0%BE%D1%82%D1%80%D1%8B%20%D0%BE%D0%B1%D1%8A%D0%B5%D0%BA%D1%82%D0%BE%D0%B2%20%D0%90%D0%9D%D0%9E%20%D0%A1%D0%9C%D0%93/255.%20%D0%9E%D0%BF%D0%B5%D1%80%20%D0%91%D0%BB%D0%BE%D0%BA%2062%20%D0%B1%D0%BE%D0%BB%D1%8C%D0%BD%D0%B8%D1%86%D0%B0%2C%20%D0%91%D0%BE%D0%BB%D1%8C%D1%88%D0%BE%D0%B9%20%D0%B1%D1%83%D0%BB%2069</t>
  </si>
  <si>
    <t>102</t>
  </si>
  <si>
    <t>Школа на 600 мест, р-н Богородское, ул. Тюменская, влд. 5</t>
  </si>
  <si>
    <t>55.809943</t>
  </si>
  <si>
    <t>37.743889</t>
  </si>
  <si>
    <t>https://docs.google.com/spreadsheets/d/19THEBTE9q0fhN2eApZr6BgenIvLGh0AckaYxHQfHk5w/edit?gid=1995746861#gid=1995746861</t>
  </si>
  <si>
    <t>https://disk.yandex.ru/client/disk/%D0%9E%D1%81%D0%BC%D0%BE%D1%82%D1%80%D1%8B%20%D0%BE%D0%B1%D1%8A%D0%B5%D0%BA%D1%82%D0%BE%D0%B2%20%D0%90%D0%9D%D0%9E%20%D0%A1%D0%9C%D0%93/102.%20%D0%A8%D0%BA%D0%BE%D0%BB%D0%B0%20%D0%BD%D0%B0%20600%20%D0%BC%D0%B5%D1%81%D1%82%20%D1%80-%D0%BD%20%D0%91%D0%BE%D0%B3%D0%BE%D1%80%D0%BE%D0%B4%D1%81%D0%BA%D0%BE%D0%B5%2C%20%D1%83%D0%BB.%20%D0%A2%D1%8E%D0%BC%D0%B5%D0%BD%D1%81%D0%BA%D0%B0%D1%8F%2C%20%D0%B2%D0%BB%D0%B4.%205</t>
  </si>
  <si>
    <t>602</t>
  </si>
  <si>
    <t>район Савеловский, ул. 2-я Хуторская, з/у 31А</t>
  </si>
  <si>
    <t>55.804361</t>
  </si>
  <si>
    <t>37.567554</t>
  </si>
  <si>
    <t>https://docs.google.com/spreadsheets/d/1H1MjbG2y0oC0hhID4do1G0_gfyI1jag72lQd7nL3WDQ/edit?gid=1870096044#gid=1870096044</t>
  </si>
  <si>
    <t>https://disk.yandex.ru/client/disk/Осмотры%20объектов%20АНО%20СМГ/602.%202-ая%20Хуторская%20ул.%2C%20зу%2031а</t>
  </si>
  <si>
    <t>район Кузьминки, Шумилова ул., зу 26</t>
  </si>
  <si>
    <t>55.706537</t>
  </si>
  <si>
    <t>37.779062</t>
  </si>
  <si>
    <t>https://docs.google.com/spreadsheets/d/1H1MjbG2y0oC0hhID4do1G0_gfyI1jag72lQd7nL3WDQ/edit?gid=1021209176#gid=1021209176</t>
  </si>
  <si>
    <t>https://disk.yandex.ru/client/disk/Осмотры%20объектов%20АНО%20СМГ/600%20ЮВАО%2C%20район%20Кузьминки%2C%20Шумилова%20ул.%2C%20зу%2026%20(мкр.%20115-116%20Шумилова%20ул.%2C%20д.%2026.6%3B%20Есенинский%20б-р.%2C%20д.%206%2C%20корп.%202%3B%20Шумилова%20ул.%2C%2024%20зона%202.11)</t>
  </si>
  <si>
    <t>590</t>
  </si>
  <si>
    <t>район Соколиная Гора, ул. Гаражная, вл. 3</t>
  </si>
  <si>
    <t>55.759827</t>
  </si>
  <si>
    <t>37.742502</t>
  </si>
  <si>
    <t>https://docs.google.com/spreadsheets/d/1H1MjbG2y0oC0hhID4do1G0_gfyI1jag72lQd7nL3WDQ/edit?gid=945188652#gid=945188652</t>
  </si>
  <si>
    <t>https://disk.yandex.ru/client/disk/Осмотры%20объектов%20АНО%20СМГ/590.%20Соколиная%20Гора%2C%20Гаражная%20ул%2C%20вл3</t>
  </si>
  <si>
    <t>177</t>
  </si>
  <si>
    <t>Административное здание, ул. 9-я Северная линия, д. 25, к. 2</t>
  </si>
  <si>
    <t>55.934353</t>
  </si>
  <si>
    <t>37.556572</t>
  </si>
  <si>
    <t>https://docs.google.com/spreadsheets/d/19THEBTE9q0fhN2eApZr6BgenIvLGh0AckaYxHQfHk5w/edit?gid=1645222765#gid=1645222765</t>
  </si>
  <si>
    <t>https://disk.yandex.ru/client/disk/%D0%9E%D1%81%D0%BC%D0%BE%D1%82%D1%80%D1%8B%20%D0%BE%D0%B1%D1%8A%D0%B5%D0%BA%D1%82%D0%BE%D0%B2%20%D0%90%D0%9D%D0%9E%20%D0%A1%D0%9C%D0%93/177.%209-%D1%8F%20%D0%A1%D0%B5%D0%B2%D0%B5%D1%80%D0%BD%D0%B0%D1%8F%20%D0%BB%D0%B8%D0%BD%D0%B8%D1%8F%20%D0%B425%20%D0%BA%D0%BE%D1%80%D0%BF2%20%D0%90%D0%B4%D0%BC%D0%B8%D0%BD%D0%B8%D1%81%D1%82%D1%80%D0%B0%D1%82%D0%B8%D0%B2%D0%BD%D0%BE%D0%B5%20%D0%B7%D0%B4%D0%B0%D0%BD%D0%B8%D0%B5</t>
  </si>
  <si>
    <t>250</t>
  </si>
  <si>
    <t>Завершение строительства трамплина К-75 (К-72)
с инфраструктурой на территории СК «Воробьевы горы»</t>
  </si>
  <si>
    <t>55.707715</t>
  </si>
  <si>
    <t>37.546762</t>
  </si>
  <si>
    <t>https://docs.google.com/spreadsheets/d/19THEBTE9q0fhN2eApZr6BgenIvLGh0AckaYxHQfHk5w/edit?gid=1429092860#gid=1429092860</t>
  </si>
  <si>
    <t>https://disk.yandex.ru/d/x7awTfS6WpV81g</t>
  </si>
  <si>
    <t>350</t>
  </si>
  <si>
    <t>Осмотр хода строительства школы на 815 мест на Волоколамском шоссе, Москва, Волоколамское шоссе, 95/2</t>
  </si>
  <si>
    <t>55.830049</t>
  </si>
  <si>
    <t>37.400055</t>
  </si>
  <si>
    <t>https://docs.google.com/spreadsheets/d/1EI7qusa674eJhuaw-nWWtWMEHVSYMQv7HLsInEZTWpE/edit?gid=191758898#gid=191758898</t>
  </si>
  <si>
    <t>https://disk.yandex.ru/client/disk/%D0%9E%D1%81%D0%BC%D0%BE%D1%82%D1%80%D1%8B%20%D0%BE%D0%B1%D1%8A%D0%B5%D0%BA%D1%82%D0%BE%D0%B2%20%D0%90%D0%9D%D0%9E%20%D0%A1%D0%9C%D0%93/350.%20%D0%92%D0%BE%D0%BB%D0%BE%D0%BA%D0%BE%D0%BB%D0%B0%D0%BC%D1%81%D0%BA%D0%BE%D0%B5%20%D1%88.%2095%D0%BA2%20%D0%A1%D0%9E%D0%A8%20%D0%BD%D0%B0%20815%20%D1%87%D0%B5%D0%BB</t>
  </si>
  <si>
    <t>544</t>
  </si>
  <si>
    <t>Москва, Феодосийская улица, 7</t>
  </si>
  <si>
    <t>55.563100</t>
  </si>
  <si>
    <t>37.579658</t>
  </si>
  <si>
    <t>https://docs.google.com/spreadsheets/d/1H1MjbG2y0oC0hhID4do1G0_gfyI1jag72lQd7nL3WDQ/edit?gid=1191711449#gid=1191711449</t>
  </si>
  <si>
    <t>https://disk.yandex.ru/client/disk/Осмотры%20объектов%20АНО%20СМГ/544.%20Феодосийская%20зу7</t>
  </si>
  <si>
    <t>316</t>
  </si>
  <si>
    <t>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t>
  </si>
  <si>
    <t>55.774194</t>
  </si>
  <si>
    <t>37.635238</t>
  </si>
  <si>
    <t>https://docs.google.com/spreadsheets/d/1EI7qusa674eJhuaw-nWWtWMEHVSYMQv7HLsInEZTWpE/edit?gid=1721100499#gid=1721100499</t>
  </si>
  <si>
    <t>https://disk.yandex.ru/client/disk/%D0%9E%D1%81%D0%BC%D0%BE%D1%82%D1%80%D1%8B%20%D0%BE%D0%B1%D1%8A%D0%B5%D0%BA%D1%82%D0%BE%D0%B2%20%D0%90%D0%9D%D0%9E%20%D0%A1%D0%9C%D0%93/316.%20%D0%A1%D0%BA%D0%BB%D0%B8%D1%84%D0%BE%D1%81%D0%BE%D0%B2%D1%81%D0%BA%D0%BE%D0%B3%D0%BE%20%D0%B1%D0%BE%D0%BB%D1%8C%D0%BD.%20%D0%91.%20%D0%A1%D1%83%D1%85%D0%B0%D1%80%D0%B5%D0%B2%D1%81%D0%BA%D0%B0%D1%8F%20%D0%BF%D0%BB.%203</t>
  </si>
  <si>
    <t>район Коньково, микрорайон 6 района Коньково, зона № 1.2 (4 корпуса)</t>
  </si>
  <si>
    <t>1051</t>
  </si>
  <si>
    <t>Осмотр Многофункционального дворца спорта,
СЗАО, р-н Покровское-Стрешнево, Волоколамское
шоссе, вл.71/10</t>
  </si>
  <si>
    <t>55.815876</t>
  </si>
  <si>
    <t>37.432630</t>
  </si>
  <si>
    <t xml:space="preserve">Стулова </t>
  </si>
  <si>
    <t>https://docs.google.com/spreadsheets/d/1EI7qusa674eJhuaw-nWWtWMEHVSYMQv7HLsInEZTWpE/edit?gid=340433280#gid=340433280</t>
  </si>
  <si>
    <t>https://disk.yandex.ru/client/disk/%D0%9E%D1%81%D0%BC%D0%BE%D1%82%D1%80%D1%8B%20%D0%BE%D0%B1%D1%8A%D0%B5%D0%BA%D1%82%D0%BE%D0%B2%20%D0%90%D0%9D%D0%9E%20%D0%A1%D0%9C%D0%93/1051%20%D0%94%D0%B2%D0%BE%D1%80%D0%B5%D1%86%20%D1%81%D0%BF%D0%BE%D1%80%D1%82%D0%B0%20%D0%92%D0%BE%D0%BB%D0%BE%D0%BA%D0%BE%D0%BB%D0%B0%D0%BC%D1%81%D0%BA%D0%BE%D0%B5%0A%D1%88%D0%BE%D1%81%D1%81%D0%B5%2C%20%D0%B2%D0%BB.71%5C10</t>
  </si>
  <si>
    <t>364</t>
  </si>
  <si>
    <t>Спортивный комплекс им. Э.А. Стрельцова ЮАО, район Даниловский</t>
  </si>
  <si>
    <t>55.716817</t>
  </si>
  <si>
    <t>37.655616</t>
  </si>
  <si>
    <t>https://docs.google.com/spreadsheets/d/1EI7qusa674eJhuaw-nWWtWMEHVSYMQv7HLsInEZTWpE/edit?gid=1366886932#gid=1366886932</t>
  </si>
  <si>
    <t>https://disk.yandex.ru/client/disk/%D0%9E%D1%81%D0%BC%D0%BE%D1%82%D1%80%D1%8B%20%D0%BE%D0%B1%D1%8A%D0%B5%D0%BA%D1%82%D0%BE%D0%B2%20%D0%90%D0%9D%D0%9E%20%D0%A1%D0%9C%D0%93/364.%20%D0%A1%D0%BF%D0%BE%D1%80%D1%82%D0%B8%D0%B2%D0%BD%D1%8B%D0%B9%20%D0%BA%D0%BE%D0%BC%D0%BF%D0%BB%D0%B5%D0%BA%D1%81%20%D0%B8%D0%BC.%20%D0%AD.%D0%90.%20%D0%A1%D1%82%D1%80%D0%B5%D0%BB%D1%8C%D1%86%D0%BE%D0%B2%D0%B0%20%D0%AE%D0%90%D0%9E%2C%20%D1%80%D0%B0%D0%B9%D0%BE%D0%BD%20%D0%94%D0%B0%D0%BD%D0%B8%D0%BB%D0%BE%D0%B2%D1%81%D0%BA%D0%B8%D0%B9%2C%20%D0%92%D0%BE%D1%81%D1%82%D0%BE%D1%87%D0%BD%D0%B0%D1%8F%20%D1%83%D0%BB.%2C%20%D0%B2%D0%BB.%204%D0%90</t>
  </si>
  <si>
    <t>ММК. Амбулаторно-стационарный корпус МГОБ № 62 (ММЦ), территория инновационного центра «Сколково», ул. Большой бульвар, д. 67</t>
  </si>
  <si>
    <t>https://disk.yandex.ru/client/disk/%D0%9E%D1%81%D0%BC%D0%BE%D1%82%D1%80%D1%8B%20%D0%BE%D0%B1%D1%8A%D0%B5%D0%BA%D1%82%D0%BE%D0%B2%20%D0%90%D0%9D%D0%9E%20%D0%A1%D0%9C%D0%93/253.%20%D0%9C%D0%93%D0%9E%D0%91%2062%2C%20%D0%91%D0%BE%D0%BB%D1%8C%D1%88%D0%BE%D0%B9%20%D0%B1%D1%83%D0%BB%D1%8C%D0%B2%D0%B0%D1%80%2068</t>
  </si>
  <si>
    <t>191</t>
  </si>
  <si>
    <t>район Аэропорт, Часовая ул., д. 27/12</t>
  </si>
  <si>
    <t>55.811401</t>
  </si>
  <si>
    <t>37.517123</t>
  </si>
  <si>
    <t>https://docs.google.com/spreadsheets/d/1H1MjbG2y0oC0hhID4do1G0_gfyI1jag72lQd7nL3WDQ/edit?gid=1648385259#gid=1648385259</t>
  </si>
  <si>
    <t>https://disk.yandex.ru/client/disk/%D0%9E%D1%81%D0%BC%D0%BE%D1%82%D1%80%D1%8B%20%D0%BE%D0%B1%D1%8A%D0%B5%D0%BA%D1%82%D0%BE%D0%B2%20%D0%90%D0%9D%D0%9E%20%D0%A1%D0%9C%D0%93/191.%20%D0%A7%D0%B0%D1%81%D0%BE%D0%B2%D0%B0%D1%8F%2027-12</t>
  </si>
  <si>
    <t>район Люблино, Люблинская ул., вл.121/1</t>
  </si>
  <si>
    <t>55.674942</t>
  </si>
  <si>
    <t>37.739845</t>
  </si>
  <si>
    <t>https://docs.google.com/spreadsheets/d/1H1MjbG2y0oC0hhID4do1G0_gfyI1jag72lQd7nL3WDQ/edit?gid=763040175#gid=763040175</t>
  </si>
  <si>
    <t>https://disk.yandex.ru/client/disk/Осмотры%20объектов%20АНО%20СМГ/635.%20Люблинская%20ул.%2C%20вл.%20121!1.%20Жилой%20дом</t>
  </si>
  <si>
    <t>209</t>
  </si>
  <si>
    <t>Жилые дома с инженерной подготовкой, с перекладкой инженерных коммуникаций, со сносом жилых домов, ул. 9-я Северная Линия, вл. 3</t>
  </si>
  <si>
    <t>55.935526</t>
  </si>
  <si>
    <t>37.550855</t>
  </si>
  <si>
    <t>https://docs.google.com/spreadsheets/d/19THEBTE9q0fhN2eApZr6BgenIvLGh0AckaYxHQfHk5w/edit?gid=1849856896#gid=1849856896</t>
  </si>
  <si>
    <t>https://disk.yandex.ru/client/disk/%D0%9E%D1%81%D0%BC%D0%BE%D1%82%D1%80%D1%8B%20%D0%BE%D0%B1%D1%8A%D0%B5%D0%BA%D1%82%D0%BE%D0%B2%20%D0%90%D0%9D%D0%9E%20%D0%A1%D0%9C%D0%93/209.%20%5C9-%D1%8F%20%D0%A1%D0%B5%D0%B2%D0%B5%D1%80%D0%BD%D0%B0%D1%8F%20%D0%BB%D0%B8%D0%BD%D0%B8%D1%8F%20%D0%B2%D0%BB3</t>
  </si>
  <si>
    <t>район Южное Чертаново, Газопровод ул., з/у 7 (Газопровод ул., вл. 7)</t>
  </si>
  <si>
    <t>55.590353</t>
  </si>
  <si>
    <t>37.605625</t>
  </si>
  <si>
    <t>https://docs.google.com/spreadsheets/d/1H1MjbG2y0oC0hhID4do1G0_gfyI1jag72lQd7nL3WDQ/edit?gid=964974032#gid=964974032</t>
  </si>
  <si>
    <t>https://disk.yandex.ru/client/disk/Осмотры%20объектов%20АНО%20СМГ/617.%20Район%20Чертаново%20Южное%2C%20ул.%20Газопровод%2C%20вл.7</t>
  </si>
  <si>
    <t>1025</t>
  </si>
  <si>
    <t>Осмотр хода строительства делового центра,
ЮЗАО, р-н Гагаринский, ул. Академика Зельдовича, з/у 1</t>
  </si>
  <si>
    <t>55.705346</t>
  </si>
  <si>
    <t>37.564311</t>
  </si>
  <si>
    <t>https://docs.google.com/spreadsheets/d/1EI7qusa674eJhuaw-nWWtWMEHVSYMQv7HLsInEZTWpE/edit?gid=1593340955#gid=1593340955</t>
  </si>
  <si>
    <t>https://disk.yandex.ru/client/disk/%D0%9E%D1%81%D0%BC%D0%BE%D1%82%D1%80%D1%8B%20%D0%BE%D0%B1%D1%8A%D0%B5%D0%BA%D1%82%D0%BE%D0%B2%20%D0%90%D0%9D%D0%9E%20%D0%A1%D0%9C%D0%93/1025.%20%D0%90%D0%B4%D0%BC%D0%B8%D0%BD%D0%B8%D1%81%D1%82%D1%80%D0%B0%D1%82%D0%B8%D0%B2%D0%BD%D0%BE%D0%B5%20%D0%B7%D0%B4%D0%B0%D0%BD%D0%B8%D0%B5.%20%D1%83%D0%BB.%20%D0%90%D0%BA%D0%B0%D0%B4%D0%B5%D0%BC%D0%B8%D0%BA%D0%B0%20%D0%97%D0%B5%D0%BB%D1%8C%D0%B4%D0%BE%D0%B2%D0%B8%D1%87%D0%B0%2C%20%D0%B7!%D1%83%201</t>
  </si>
  <si>
    <t>1201</t>
  </si>
  <si>
    <t>Гостиница, входящая в состав Многофункционального комплекса спортивной направленности с соответствующей инфраструктурой Волоколамское шоссе, вл. 71/17</t>
  </si>
  <si>
    <t>55.813618</t>
  </si>
  <si>
    <t>37.436142</t>
  </si>
  <si>
    <t>https://docs.google.com/spreadsheets/d/1EI7qusa674eJhuaw-nWWtWMEHVSYMQv7HLsInEZTWpE/edit?gid=82996176#gid=82996176</t>
  </si>
  <si>
    <t>https://disk.yandex.ru/client/disk/%D0%9E%D1%81%D0%BC%D0%BE%D1%82%D1%80%D1%8B%20%D0%BE%D0%B1%D1%8A%D0%B5%D0%BA%D1%82%D0%BE%D0%B2%20%D0%90%D0%9D%D0%9E%20%D0%A1%D0%9C%D0%93/1201.%20%D0%93%D0%BE%D1%81%D1%82%D0%B8%D0%BD%D0%B8%D1%86%D0%B0%2C%20%D0%92%D0%BE%D0%BB%D0%BE%D0%BA%D0%BE%D0%BB%D0%B0%D0%BC%D1%81%D0%BA%D0%BE%D0%B5%20%D1%88%D0%BE%D1%81%D1%81%D0%B5%2C%20%D0%B2%D0%BB%D0%B4.%2071-17</t>
  </si>
  <si>
    <t>район Академический, Большая Черемушкинская улица, земельный участок 26</t>
  </si>
  <si>
    <t>1230</t>
  </si>
  <si>
    <t>Многофункциональный комплекс "Венеция" ГК Киевская площадь Мантулинская ул. вл. 5 ЦАО, Пресненский район</t>
  </si>
  <si>
    <t>55.753129</t>
  </si>
  <si>
    <t>37.553972</t>
  </si>
  <si>
    <t>https://docs.google.com/spreadsheets/d/1EI7qusa674eJhuaw-nWWtWMEHVSYMQv7HLsInEZTWpE/edit?gid=38649977#gid=38649977</t>
  </si>
  <si>
    <t>https://disk.yandex.ru/client/disk/%D0%9E%D1%81%D0%BC%D0%BE%D1%82%D1%80%D1%8B%20%D0%BE%D0%B1%D1%8A%D0%B5%D0%BA%D1%82%D0%BE%D0%B2%20%D0%90%D0%9D%D0%9E%20%D0%A1%D0%9C%D0%93/1230%20%22%D0%9C%D0%BD%D0%BE%D0%B3%D0%BE%D1%84%D1%83%D0%BD%D0%BA%D1%86%D0%B8%D0%BE%D0%BD%D0%B0%D0%BB%D1%8C%D0%BD%D1%8B%D0%B9%20%D0%BA%D0%BE%D0%BC%D0%BF%D0%BB%D0%B5%D0%BA%D1%81%20%E2%80%9C%D0%92%D0%B5%D0%BD%D0%B5%D1%86%D0%B8%D1%8F%E2%80%9D%0A%D0%93%D0%9A%20%D0%9A%D0%B8%D0%B5%D0%B2%D1%81%D0%BA%D0%B0%D1%8F%20%D0%BF%D0%BB%D0%BE%D1%89%D0%B0%D0%B4%D1%8C%22.%20%D0%9C%D0%B0%D0%BD%D1%82%D1%83%D0%BB%D0%B8%D0%BD%D1%81%D0%BA%D0%B0%D1%8F%20%D1%83%D0%BB.%20%D0%B2%D0%BB.%205%20%D0%A6%D0%90%D0%9E%2C%20%D0%9F%D1%80%D0%B5%D1%81%D0%BD%D0%B5%D0%BD%D1%81%D0%BA%D0%B8%D0%B9%20%D1%80%D0%B0%D0%B9%D0%BE%D0%BD</t>
  </si>
  <si>
    <t>1</t>
  </si>
  <si>
    <t>3-я улица Соколиной Горы, 9</t>
  </si>
  <si>
    <t>55.761889</t>
  </si>
  <si>
    <t>37.739061</t>
  </si>
  <si>
    <t>СПЕЦ</t>
  </si>
  <si>
    <t>1227</t>
  </si>
  <si>
    <t>Реконструкция и реставрация с приспособлением объекта ФГБУК «Политехнический музей» ЦАО, Тверской, ул. Новая площадь, д. 3/4</t>
  </si>
  <si>
    <t>55.757676</t>
  </si>
  <si>
    <t>37.629307</t>
  </si>
  <si>
    <t>https://docs.google.com/spreadsheets/d/1EI7qusa674eJhuaw-nWWtWMEHVSYMQv7HLsInEZTWpE/edit?gid=379079889#gid=379079889</t>
  </si>
  <si>
    <t>https://disk.yandex.ru/client/disk/%D0%9E%D1%81%D0%BC%D0%BE%D1%82%D1%80%D1%8B%20%D0%BE%D0%B1%D1%8A%D0%B5%D0%BA%D1%82%D0%BE%D0%B2%20%D0%90%D0%9D%D0%9E%20%D0%A1%D0%9C%D0%93/1227.%20%D0%A4%D0%93%D0%91%D0%A3%D0%9A%20%C2%AB%D0%9F%D0%BE%D0%BB%D0%B8%D1%82%D0%B5%D1%85%D0%BD%D0%B8%D1%87%D0%B5%D1%81%D0%BA%D0%B8%D0%B9%20%D0%BC%D1%83%D0%B7%D0%B5%D0%B9%C2%BB</t>
  </si>
  <si>
    <t>252</t>
  </si>
  <si>
    <t>ММК. Здание апарт-отеля для участников ММК, территория инновационного центра Сколково, ул. Большой бульвар, д. 56</t>
  </si>
  <si>
    <t>55.682286</t>
  </si>
  <si>
    <t>37.342829</t>
  </si>
  <si>
    <t>https://docs.google.com/spreadsheets/d/19THEBTE9q0fhN2eApZr6BgenIvLGh0AckaYxHQfHk5w/edit?gid=908182805#gid=908182805</t>
  </si>
  <si>
    <t>https://disk.yandex.ru/client/disk/%D0%9E%D1%81%D0%BC%D0%BE%D1%82%D1%80%D1%8B%20%D0%BE%D0%B1%D1%8A%D0%B5%D0%BA%D1%82%D0%BE%D0%B2%20%D0%90%D0%9D%D0%9E%20%D0%A1%D0%9C%D0%93/252.%20%D0%90%D0%BF%D0%BF%D0%B0%D1%80%D1%82%20%D0%9E%D1%82%D0%B5%D0%BB%D1%8C%2C%20%D0%91%D0%BE%D0%BB%D1%8C%D1%88%D0%BE%D0%B9%20%D0%B1%D1%83%D0%BB%D1%8C%D0%B2%D0%B0%D1%80%2053</t>
  </si>
  <si>
    <t>203</t>
  </si>
  <si>
    <t>Оказание услуг и выполнение работ по проектированию, строительству и вводу в эксплуатацию «под ключ» объекта «Школа на 550 мест, р-н Свиблово, пр-д Русанова, к. 50 (участок 80)»</t>
  </si>
  <si>
    <t>55.855742</t>
  </si>
  <si>
    <t>37.640416</t>
  </si>
  <si>
    <t>https://docs.google.com/spreadsheets/d/19THEBTE9q0fhN2eApZr6BgenIvLGh0AckaYxHQfHk5w/edit?gid=566495818#gid=566495818</t>
  </si>
  <si>
    <t>https://disk.yandex.ru/client/disk/%D0%9E%D1%81%D0%BC%D0%BE%D1%82%D1%80%D1%8B%20%D0%BE%D0%B1%D1%8A%D0%B5%D0%BA%D1%82%D0%BE%D0%B2%20%D0%90%D0%9D%D0%9E%20%D0%A1%D0%9C%D0%93/203.%20%D0%A8%D0%BA%D0%BE%D0%BB%D0%B0%20%D0%BD%D0%B0%20550%20%D0%BC%D0%B5%D1%81%D1%82.%20%D0%A0%D1%83%D1%81%D0%B0%D0%BD%D0%BE%D0%B2%D0%B0%20%D0%BA%D0%BE%D1%80%D0%BF%D1%83%D1%81%2050</t>
  </si>
  <si>
    <t>1176</t>
  </si>
  <si>
    <t>Этап 5. Школа на 250 мест
пересечение Боровского шоссе и ул. Чоботовская
ЖК FoRest</t>
  </si>
  <si>
    <t>55.644940</t>
  </si>
  <si>
    <t>37.358509</t>
  </si>
  <si>
    <t>https://docs.google.com/spreadsheets/d/1EI7qusa674eJhuaw-nWWtWMEHVSYMQv7HLsInEZTWpE/edit?gid=338449454#gid=338449454</t>
  </si>
  <si>
    <t>https://disk.yandex.ru/client/disk/%D0%9E%D1%81%D0%BC%D0%BE%D1%82%D1%80%D1%8B%20%D0%BE%D0%B1%D1%8A%D0%B5%D0%BA%D1%82%D0%BE%D0%B2%20%D0%90%D0%9D%D0%9E%20%D0%A1%D0%9C%D0%93/1176.%20%D0%A1%D0%9E%D0%A8%20%D0%BD%D0%B0%20250%20%D0%BC%D0%B5%D1%81%D1%82%20%D0%A7%D0%B5%D0%B1%D0%BE%D1%82%D0%BE%D0%B2%D1%81%D0%BA%D0%B0%D1%8F%20%D0%B7%D1%83%202</t>
  </si>
  <si>
    <t>Осмотр хода строительства учебного корпуса на 300 мест (на месте сноса существующего здания школы Москва, Большой Тишинский переулок, 39</t>
  </si>
  <si>
    <t>РГ</t>
  </si>
  <si>
    <t>1175</t>
  </si>
  <si>
    <t>Этап 5. ДОО на 150 мест
пересечение Боровского шоссе и ул. Чоботовская
ЖК FoRest</t>
  </si>
  <si>
    <t>55.644346</t>
  </si>
  <si>
    <t>37.359357</t>
  </si>
  <si>
    <t>https://docs.google.com/spreadsheets/d/1EI7qusa674eJhuaw-nWWtWMEHVSYMQv7HLsInEZTWpE/edit?gid=60135188#gid=60135188</t>
  </si>
  <si>
    <t>https://disk.yandex.ru/client/disk/%D0%9E%D1%81%D0%BC%D0%BE%D1%82%D1%80%D1%8B%20%D0%BE%D0%B1%D1%8A%D0%B5%D0%BA%D1%82%D0%BE%D0%B2%20%D0%90%D0%9D%D0%9E%20%D0%A1%D0%9C%D0%93/1175.%20%D0%94%D0%9E%D0%9E%20%D0%BD%D0%B0%20150%20%D0%BC%D0%B5%D1%81%D1%82%20%D0%A7%D0%B5%D0%B1%D0%BE%D1%82%D0%BE%D0%B2%D1%81%D0%BA%D0%B0%D1%8F%20%D0%B7%D1%83%202</t>
  </si>
  <si>
    <t>957</t>
  </si>
  <si>
    <t>ММК. Биохимическая лаборатория</t>
  </si>
  <si>
    <t>55.68136</t>
  </si>
  <si>
    <t>37.34640</t>
  </si>
  <si>
    <t>https://docs.google.com/spreadsheets/d/19THEBTE9q0fhN2eApZr6BgenIvLGh0AckaYxHQfHk5w/edit?gid=48405114#gid=48405114</t>
  </si>
  <si>
    <t>https://disk.yandex.ru/d/1sR2d995z--6Iw</t>
  </si>
  <si>
    <t>1202</t>
  </si>
  <si>
    <t>Развитие футбольной инфраструктуры ФК «Спартак Москва» в Покровское-Стрешнево
Дворец спорта, Стадион</t>
  </si>
  <si>
    <t>55.815362</t>
  </si>
  <si>
    <t>37.441073</t>
  </si>
  <si>
    <t>https://docs.google.com/spreadsheets/d/1EI7qusa674eJhuaw-nWWtWMEHVSYMQv7HLsInEZTWpE/edit?gid=314696825#gid=314696825</t>
  </si>
  <si>
    <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1202.%20%D0%94%D0%B2%D0%BE%D1%80%D0%B5%D1%86%20%D1%81%D0%BF%D0%BE%D1%80%D1%82%D0%B0%20%D0%B4%D0%BB%D1%8F%20%20%D0%BA%D0%BE%D0%BC%D0%B0%D0%BD%D0%B4%20%D0%90%D0%9E%20%D0%A4%D0%9A%20%C2%AB%D0%A1%D0%BF%D0%B0%D1%80%D1%82%D0%B0%D0%BA-%D0%9C%D0%BE%D1%81%D0%BA%D0%B2%D0%B0%C2%BB</t>
  </si>
  <si>
    <t>1228</t>
  </si>
  <si>
    <t>Центральный телеграф ЦАО,р-н Тверской, ул. Тверская, д. 7 Застройщик: ПАО «Центральный телеграф»</t>
  </si>
  <si>
    <t>55.758123</t>
  </si>
  <si>
    <t>37.611373</t>
  </si>
  <si>
    <t>https://docs.google.com/spreadsheets/d/1EI7qusa674eJhuaw-nWWtWMEHVSYMQv7HLsInEZTWpE/edit?gid=1745739766#gid=1745739766</t>
  </si>
  <si>
    <t>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t>
  </si>
  <si>
    <t>323</t>
  </si>
  <si>
    <t>Осмотр хода строительства профессиональной академии хоккея им. А.М. Овечкина, р-н Хорошёво-Мнёвники, ул. Нижние Мнёвники, участок № 15</t>
  </si>
  <si>
    <t>55.754768</t>
  </si>
  <si>
    <t>37.468097</t>
  </si>
  <si>
    <t>https://docs.google.com/spreadsheets/d/1EI7qusa674eJhuaw-nWWtWMEHVSYMQv7HLsInEZTWpE/edit?gid=1026471419#gid=1026471419</t>
  </si>
  <si>
    <t>https://disk.yandex.ru/client/disk/%D0%9E%D1%81%D0%BC%D0%BE%D1%82%D1%80%D1%8B%20%D0%BE%D0%B1%D1%8A%D0%B5%D0%BA%D1%82%D0%BE%D0%B2%20%D0%90%D0%9D%D0%9E%20%D0%A1%D0%9C%D0%93/323.%20%D0%9C%D0%B5%D0%B6%D0%B4%D1%83%D0%BD%D0%B0%D1%80%D0%BE%D0%B4%D0%BD%D0%B0%D1%8F%20%D1%85%D0%BE%D0%BA%D0%BA%D0%B5%D0%B9%D0%BD%D0%B0%D1%8F%20%D1%88%D0%BA%D0%BE%D0%BB%D0%B0%20%D0%B8%D0%BC.%20%D0%90.%D0%9C.%20%D0%9E%D0%B2%D0%B5%D1%87%D0%BA%D0%B8%D0%BD%D0%B0</t>
  </si>
  <si>
    <t>597</t>
  </si>
  <si>
    <t>Обручевский, улица Гарибальди, земельный участок 22, (участок 2.1)</t>
  </si>
  <si>
    <t>55.671743</t>
  </si>
  <si>
    <t>37.546630</t>
  </si>
  <si>
    <t>https://docs.google.com/spreadsheets/d/1rbCD10ySi4YZEkJW2_Slmn9z7AI1WEsGsZaIJmnnT18/edit?gid=1504466944#gid=1504466944</t>
  </si>
  <si>
    <t>https://disk.yandex.ru/client/disk/Осмотры%20объектов%20АНО%20СМГ/597.%20Гарибальди%20з!у%2022%20(участок%202.1)</t>
  </si>
  <si>
    <t>11-я Парковая ул., зу 55/1</t>
  </si>
  <si>
    <t>55.808689</t>
  </si>
  <si>
    <t>37.802655</t>
  </si>
  <si>
    <t>район Рязанский, 3-я Институтская ул., з.у. 4/1 (рядом с д. 4)</t>
  </si>
  <si>
    <t>55.720079</t>
  </si>
  <si>
    <t>37.783518</t>
  </si>
  <si>
    <t>https://docs.google.com/spreadsheets/d/1H1MjbG2y0oC0hhID4do1G0_gfyI1jag72lQd7nL3WDQ/edit?gid=864081677#gid=864081677</t>
  </si>
  <si>
    <t>https://disk.yandex.ru/client/disk/Осмотры%20объектов%20АНО%20СМГ/707%20Ул%203-я%20Институтская%20ЗУ%204.1</t>
  </si>
  <si>
    <t>567</t>
  </si>
  <si>
    <t>район Обручевский, Гарибальди ул., вл.26, квартал 26-27, участок 2.2</t>
  </si>
  <si>
    <t>55.670881</t>
  </si>
  <si>
    <t>37.549791</t>
  </si>
  <si>
    <t>https://docs.google.com/spreadsheets/d/1H1MjbG2y0oC0hhID4do1G0_gfyI1jag72lQd7nL3WDQ/edit?gid=335429819#gid=335429819</t>
  </si>
  <si>
    <t>https://disk.yandex.ru/client/disk/Осмотры%20объектов%20АНО%20СМГ/567.%20Гарибальди%20вл.26%2C%20квартал%2026-27%20зона%202.2</t>
  </si>
  <si>
    <t>1282</t>
  </si>
  <si>
    <t>Реализация спортивной инфраструктуры в рамках проекта территории в Сокольниках
Здание спортивной базы; здание службы эксплуатации
Москва, Малый Олений переулок, 23</t>
  </si>
  <si>
    <t>55.803874</t>
  </si>
  <si>
    <t>37.695999</t>
  </si>
  <si>
    <t>https://docs.google.com/spreadsheets/d/1EI7qusa674eJhuaw-nWWtWMEHVSYMQv7HLsInEZTWpE/edit?gid=741067591#gid=741067591</t>
  </si>
  <si>
    <t>326</t>
  </si>
  <si>
    <t>Приспособление здания под размещения офиса ООО «СИБУР»
Москва, улица Большая Якиманка, 2</t>
  </si>
  <si>
    <t>55.740869</t>
  </si>
  <si>
    <t>37.613526</t>
  </si>
  <si>
    <t>https://docs.google.com/spreadsheets/d/1EI7qusa674eJhuaw-nWWtWMEHVSYMQv7HLsInEZTWpE/edit?gid=1476336114#gid=1476336114</t>
  </si>
  <si>
    <t>https://disk.yandex.ru/client/disk/%D0%9E%D1%81%D0%BC%D0%BE%D1%82%D1%80%D1%8B%20%D0%BE%D0%B1%D1%8A%D0%B5%D0%BA%D1%82%D0%BE%D0%B2%20%D0%90%D0%9D%D0%9E%20%D0%A1%D0%9C%D0%93/326.%20%D1%83%D0%BB%20%D0%91%D0%BE%D0%BB%D1%8C%D1%88%D0%B0%D1%8F%20%D0%AF%D0%BA%D0%B8%D0%BC%D0%B0%D0%BD%D0%BA%D0%B0%2C%202-4</t>
  </si>
  <si>
    <t>254</t>
  </si>
  <si>
    <t>ММК. Центр хронических болезней, территория инновационного центра «Сколково»</t>
  </si>
  <si>
    <t>55.684365</t>
  </si>
  <si>
    <t>37.348977</t>
  </si>
  <si>
    <t>https://docs.google.com/spreadsheets/d/19THEBTE9q0fhN2eApZr6BgenIvLGh0AckaYxHQfHk5w/edit?gid=987830810#gid=987830810</t>
  </si>
  <si>
    <t>https://disk.yandex.ru/client/disk/%D0%9E%D1%81%D0%BC%D0%BE%D1%82%D1%80%D1%8B%20%D0%BE%D0%B1%D1%8A%D0%B5%D0%BA%D1%82%D0%BE%D0%B2%20%D0%90%D0%9D%D0%9E%20%D0%A1%D0%9C%D0%93/254.%20%D0%9C%D0%BC%D0%BA%20%D0%A1%D0%BA%D0%BE%D0%BB%D0%BA%D0%BE%D0%B2%D0%BE%20%D0%A6%D0%A5%D0%91%20%D1%83%D0%BB%20%D0%91%D0%BE%D0%BB%D1%8C%D1%88%D0%BE%D0%B9%20%D0%B1%D1%83%D0%BB%D1%8C%D0%B2%D0%B0%D1%80%2046%D1%813</t>
  </si>
  <si>
    <t>15-я Парковая ул., вл. 46/1</t>
  </si>
  <si>
    <t>55.809409</t>
  </si>
  <si>
    <t>37.825701</t>
  </si>
  <si>
    <t>https://docs.google.com/spreadsheets/d/1H1MjbG2y0oC0hhID4do1G0_gfyI1jag72lQd7nL3WDQ/edit?gid=1916178969#gid=1916178969</t>
  </si>
  <si>
    <t>https://disk.yandex.ru/client/disk/Осмотры%20объектов%20АНО%20СМГ/569.%20Северное%20Измайлово%2C%2015-я%20Парковая%20ул%2C%20вл.%2046</t>
  </si>
  <si>
    <t>1283</t>
  </si>
  <si>
    <t>Реконструкция спортивного комплекса "Олимпийский"
Москва, Олимпийский проспект, 16</t>
  </si>
  <si>
    <t>55.782195</t>
  </si>
  <si>
    <t>37.626375</t>
  </si>
  <si>
    <t>https://docs.google.com/spreadsheets/d/1EI7qusa674eJhuaw-nWWtWMEHVSYMQv7HLsInEZTWpE/edit?gid=1656513014#gid=1656513014</t>
  </si>
  <si>
    <t>638</t>
  </si>
  <si>
    <t>район Щукино, Авиационная ул., зу 61/1 (ул. Авиационная вл. 61 к. 1)</t>
  </si>
  <si>
    <t>55.808441</t>
  </si>
  <si>
    <t>37.457208</t>
  </si>
  <si>
    <t>https://docs.google.com/spreadsheets/d/1rbCD10ySi4YZEkJW2_Slmn9z7AI1WEsGsZaIJmnnT18/edit?gid=563761401#gid=563761401</t>
  </si>
  <si>
    <t>https://disk.yandex.ru/client/disk/Осмотры%20объектов%20АНО%20СМГ/638.%20Жилой%20дом%20Авиационная%2061к1</t>
  </si>
  <si>
    <t>725</t>
  </si>
  <si>
    <t>район Старое Крюково, Панфиловский проспект, зу 927</t>
  </si>
  <si>
    <t>55.983509</t>
  </si>
  <si>
    <t>37.182949</t>
  </si>
  <si>
    <t>https://docs.google.com/spreadsheets/d/1H1MjbG2y0oC0hhID4do1G0_gfyI1jag72lQd7nL3WDQ/edit?gid=1715541541#gid=1715541541</t>
  </si>
  <si>
    <t>https://disk.yandex.ru/client/disk/Осмотры%20объектов%20АНО%20СМГ/725%20%20Панфиловский%20проспект%2C%20зу%20927</t>
  </si>
  <si>
    <t>813</t>
  </si>
  <si>
    <t>О ходе проектирования и строительства здания районного суда: Гагаринский и Хамовнический Б. Черемушкинская, вл. 2А</t>
  </si>
  <si>
    <t>55.692816</t>
  </si>
  <si>
    <t>37.598639</t>
  </si>
  <si>
    <t>https://docs.google.com/spreadsheets/d/1EI7qusa674eJhuaw-nWWtWMEHVSYMQv7HLsInEZTWpE/edit?gid=1920949313#gid=1920949313</t>
  </si>
  <si>
    <t>https://disk.yandex.ru/client/disk/%D0%9E%D1%81%D0%BC%D0%BE%D1%82%D1%80%D1%8B%20%D0%BE%D0%B1%D1%8A%D0%B5%D0%BA%D1%82%D0%BE%D0%B2%20%D0%90%D0%9D%D0%9E%20%D0%A1%D0%9C%D0%93/813.%20%D0%A1%D1%82%D1%80%D0%BE%D0%B8%D1%82%D0%B5%D0%BB%D1%8C%D1%81%D1%82%D0%B2%D0%BE%202-%D1%85%20%D0%B7%D0%B4%D0%B0%D0%BD%D0%B8%D0%B9%20%D1%81%D1%83%D0%B4%D0%BE%D0%B2%20%D0%93%D0%B0%D0%B3%D0%B0%D1%80%D0%B8%D0%BD%D1%81%D0%BA%D0%B8%D0%B9%20%D0%B8%20%D0%A5%D0%B0%D0%BC%D0%BE%D0%B2%D0%BD%D0%B8%D1%87%D0%B5%D1%81%D0%BA%D0%B8%D0%B9_%D0%A7%D0%B5%D1%80%D0%B5%D0%BC%D1%83%D1%88%D0%BA%D0%B8%D0%BD%D1%81%D0%BA%D0%B0%D1%8F%202%D0%90</t>
  </si>
  <si>
    <t>888</t>
  </si>
  <si>
    <t>Родниковая ул., влд. 6/1</t>
  </si>
  <si>
    <t>55.638436</t>
  </si>
  <si>
    <t>37.380471</t>
  </si>
  <si>
    <t>https://docs.google.com/spreadsheets/d/1rbCD10ySi4YZEkJW2_Slmn9z7AI1WEsGsZaIJmnnT18/edit?gid=1792641255#gid=1792641255</t>
  </si>
  <si>
    <t>https://disk.yandex.ru/client/disk/Осмотры%20объектов%20АНО%20СМГ/888.%20родниковая%20ул.%206</t>
  </si>
  <si>
    <t>ул. Годовикова, з/у 7 (Годовикова ул., вл.7)</t>
  </si>
  <si>
    <t>Москва, Тайнинская улица, вл16к3</t>
  </si>
  <si>
    <t>55.879736</t>
  </si>
  <si>
    <t>37.686949</t>
  </si>
  <si>
    <t>85 мин</t>
  </si>
  <si>
    <t>https://docs.google.com/spreadsheets/d/1H1MjbG2y0oC0hhID4do1G0_gfyI1jag72lQd7nL3WDQ/edit?gid=17563487#gid=17563487</t>
  </si>
  <si>
    <t>https://disk.yandex.ru/client/disk/Осмотры%20объектов%20АНО%20СМГ/533.%20ул.%20Тайнинская%2C%20вл%20ЗУ%2016%203</t>
  </si>
  <si>
    <t>108</t>
  </si>
  <si>
    <t>Жилые дома с инженерными коммуникациями и благоустройством, р-н Косино-Ухтомский, ул. Николая Старостина, напротив влд. 8</t>
  </si>
  <si>
    <t>55.730556</t>
  </si>
  <si>
    <t>37.855961</t>
  </si>
  <si>
    <t>https://docs.google.com/spreadsheets/d/19THEBTE9q0fhN2eApZr6BgenIvLGh0AckaYxHQfHk5w/edit?gid=425127641#gid=425127641</t>
  </si>
  <si>
    <t>https://disk.yandex.ru/client/disk/%D0%9E%D1%81%D0%BC%D0%BE%D1%82%D1%80%D1%8B%20%D0%BE%D0%B1%D1%8A%D0%B5%D0%BA%D1%82%D0%BE%D0%B2%20%D0%90%D0%9D%D0%9E%20%D0%A1%D0%9C%D0%93/108.%20%D0%96%D0%B8%D0%BB%D1%8B%D0%B5%20%D0%B4%D0%BE%D0%BC%D0%B0%20%D1%83%D0%BB.%20%D0%9D%D0%B8%D0%BA%D0%BE%D0%BB%D0%B0%D1%8F%20%D0%A1%D1%82%D0%B0%D1%80%D0%BE%D1%81%D1%82%D0%B8%D0%BD%D0%B0%2C%20%D0%BD%D0%B0%D0%BF%D1%80%D0%BE%D1%82%D0%B8%D0%B2%20%D0%B2%D0%BB%D0%B4.%208</t>
  </si>
  <si>
    <t>660</t>
  </si>
  <si>
    <t>район Северное Тушино, ул. Свободы вл.69, мкр. 1, зона № 4.2 мкр.1,2 (со сносом жилого здания по адресам: ул. Свободы д.69)</t>
  </si>
  <si>
    <t>55.857513</t>
  </si>
  <si>
    <t>37.448959</t>
  </si>
  <si>
    <t>https://docs.google.com/spreadsheets/d/1H1MjbG2y0oC0hhID4do1G0_gfyI1jag72lQd7nL3WDQ/edit?gid=604357555#gid=604357555</t>
  </si>
  <si>
    <t>https://disk.yandex.ru/client/disk/Осмотры%20объектов%20АНО%20СМГ/660.%20жилой%20дом%20ул.%20Свободы%2069</t>
  </si>
  <si>
    <t>район Южнопортовый, Петра Романова ул., вл. 10</t>
  </si>
  <si>
    <t>55.706644</t>
  </si>
  <si>
    <t>37.682224</t>
  </si>
  <si>
    <t>https://docs.google.com/spreadsheets/d/1H1MjbG2y0oC0hhID4do1G0_gfyI1jag72lQd7nL3WDQ/edit?gid=363267103#gid=363267103</t>
  </si>
  <si>
    <t>https://disk.yandex.ru/client/disk/Осмотры%20объектов%20АНО%20СМГ/585.%20Ул.%20Петра%20Романова%2C%20вл.%2010.%20Жилой%20дом.%20Реновация</t>
  </si>
  <si>
    <t>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Рязанский проспект д. 91, корп. 4)</t>
  </si>
  <si>
    <t>55.716129</t>
  </si>
  <si>
    <t>37.807696</t>
  </si>
  <si>
    <t>https://docs.google.com/spreadsheets/d/1rbCD10ySi4YZEkJW2_Slmn9z7AI1WEsGsZaIJmnnT18/edit?gid=1910790925#gid=1910790925</t>
  </si>
  <si>
    <t>https://disk.yandex.ru/client/disk/Осмотры%20объектов%20АНО%20СМГ/729%20ЮВАО%2C%20мкр.%20128%20Б-В%2C%20район%20Выхино-Жулебино%20зона%201.1%2C%201.2%2C%201.3%20Хлобыстова%20ул.%2C%20зу%2016.2.1</t>
  </si>
  <si>
    <t>970</t>
  </si>
  <si>
    <t>5-я Кожуховская ул., з/у 33 (ул. 5-я Кожуховская, вл. 33)</t>
  </si>
  <si>
    <t>55.706255</t>
  </si>
  <si>
    <t>37.680867</t>
  </si>
  <si>
    <t>5 мин</t>
  </si>
  <si>
    <t>https://docs.google.com/spreadsheets/d/1rbCD10ySi4YZEkJW2_Slmn9z7AI1WEsGsZaIJmnnT18/edit?gid=673551977#gid=673551977</t>
  </si>
  <si>
    <t>https://disk.yandex.ru/client/disk/Осмотры%20объектов%20АНО%20СМГ/970.%205-я%20Кожуховская%20ул.%2C%20з.у%2033</t>
  </si>
  <si>
    <t>1026</t>
  </si>
  <si>
    <t>Осмотр хода строительства офисно-делового здания с ИТ-школой, квартал А24
ЗАО, р-н Кунцево, квартал № 120, дом 16</t>
  </si>
  <si>
    <t>55.792614</t>
  </si>
  <si>
    <t>37.334401</t>
  </si>
  <si>
    <t>140 мин</t>
  </si>
  <si>
    <t>https://docs.google.com/spreadsheets/d/1EI7qusa674eJhuaw-nWWtWMEHVSYMQv7HLsInEZTWpE/edit?gid=1285680643#gid=1285680643</t>
  </si>
  <si>
    <t>https://disk.yandex.ru/client/disk/%D0%9E%D1%81%D0%BC%D0%BE%D1%82%D1%80%D1%8B%20%D0%BE%D0%B1%D1%8A%D0%B5%D0%BA%D1%82%D0%BE%D0%B2%20%D0%90%D0%9D%D0%9E%20%D0%A1%D0%9C%D0%93/1026%20%D0%9024%20%D1%80-%D0%BD%20%D0%9A%D1%83%D0%BD%D1%86%D0%B5%D0%B2%D0%BE%2C%20%D0%BA%D0%B2%D0%B0%D1%80%D1%82%D0%B0%D0%BB%20%E2%84%96%20120%2C%20%D0%B4%D0%BE%D0%BC%2016</t>
  </si>
  <si>
    <t>592</t>
  </si>
  <si>
    <t>Можайский район,ул. Багрицкого, з/у 28 (квартал 107-110, зона 3.1)</t>
  </si>
  <si>
    <t>55.716002</t>
  </si>
  <si>
    <t>37.437029</t>
  </si>
  <si>
    <t>https://docs.google.com/spreadsheets/d/1H1MjbG2y0oC0hhID4do1G0_gfyI1jag72lQd7nL3WDQ/edit?gid=2089213196#gid=2089213196</t>
  </si>
  <si>
    <t>https://disk.yandex.ru/client/disk/Осмотры%20объектов%20АНО%20СМГ/592.%20Жилой%20дом%20ул.%20Багрицкого%2028</t>
  </si>
  <si>
    <t>665</t>
  </si>
  <si>
    <t>Шереметьевская ул. вл. 17 корп. 1 и корп. 2, район Марьина Роща</t>
  </si>
  <si>
    <t>55.798156</t>
  </si>
  <si>
    <t>37.614859</t>
  </si>
  <si>
    <t>29 мин</t>
  </si>
  <si>
    <t>https://docs.google.com/spreadsheets/d/1rbCD10ySi4YZEkJW2_Slmn9z7AI1WEsGsZaIJmnnT18/edit?gid=49686517#gid=49686517</t>
  </si>
  <si>
    <t>https://disk.yandex.ru/client/disk/Осмотры%20объектов%20АНО%20СМГ/665.%20Шереметьевская%20ул.%2C%20вл.%2017%2C%20Корп.%201%2C2</t>
  </si>
  <si>
    <t>989</t>
  </si>
  <si>
    <t>Москва, улица Плющева, 17к3</t>
  </si>
  <si>
    <t>55.739250</t>
  </si>
  <si>
    <t>37.763432</t>
  </si>
  <si>
    <t>https://docs.google.com/spreadsheets/d/1rbCD10ySi4YZEkJW2_Slmn9z7AI1WEsGsZaIJmnnT18/edit?gid=1262206675#gid=1262206675</t>
  </si>
  <si>
    <t>https://disk.yandex.ru/client/disk/Осмотры%20объектов%20АНО%20СМГ/989.%20Плющева%20ЗУ%2017.3</t>
  </si>
  <si>
    <t>2</t>
  </si>
  <si>
    <t>жилой комплекс Новые Смыслы</t>
  </si>
  <si>
    <t>55.544851</t>
  </si>
  <si>
    <t>37.490030</t>
  </si>
  <si>
    <t>178 мин</t>
  </si>
  <si>
    <t>009</t>
  </si>
  <si>
    <t>ГБУДО г. Москвы «Детская школа искусств города Московский» Школа искусств, п. Московский, мкр. Град Московский (НАО) г. Москва, г. Московский, микрорайон 3, д. 8</t>
  </si>
  <si>
    <t>55.606054</t>
  </si>
  <si>
    <t>37.369361</t>
  </si>
  <si>
    <t>https://docs.google.com/spreadsheets/d/19THEBTE9q0fhN2eApZr6BgenIvLGh0AckaYxHQfHk5w/edit?gid=570396026#gid=570396026</t>
  </si>
  <si>
    <t>https://disk.yandex.ru/client/disk/%D0%9E%D1%81%D0%BC%D0%BE%D1%82%D1%80%D1%8B%20%D0%BE%D0%B1%D1%8A%D0%B5%D0%BA%D1%82%D0%BE%D0%B2%20%D0%90%D0%9D%D0%9E%20%D0%A1%D0%9C%D0%93/009.%20%D0%A8%D0%BA%D0%BE%D0%BB%D0%B0%20%D0%B8%D1%81%D0%BA%D1%83%D1%81%D1%81%D1%82%D0%B2%20%D0%BF.%20%D0%9C%D0%BE%D1%81%D0%BA%D0%BE%D0%B2%D1%81%D0%BA%D0%B8%D0%B9%20%D0%BC%D0%B8%D0%BA%D1%80%D0%BE%D1%80%D0%B0%D0%B9%D0%BE%D0%BD%203%20%D0%B4.8</t>
  </si>
  <si>
    <t>193</t>
  </si>
  <si>
    <t>Выполнение подрядных работ по строительству объекта капитального строительства «Административное здание по адресу: ул. Летчика Бабушкина, д. 42, район Лосиноостровский»</t>
  </si>
  <si>
    <t>55.873634</t>
  </si>
  <si>
    <t>37.679357</t>
  </si>
  <si>
    <t>https://docs.google.com/spreadsheets/d/19THEBTE9q0fhN2eApZr6BgenIvLGh0AckaYxHQfHk5w/edit?gid=981800361#gid=981800361</t>
  </si>
  <si>
    <t>https://disk.yandex.ru/client/disk/%D0%9E%D1%81%D0%BC%D0%BE%D1%82%D1%80%D1%8B%20%D0%BE%D0%B1%D1%8A%D0%B5%D0%BA%D1%82%D0%BE%D0%B2%20%D0%90%D0%9D%D0%9E%20%D0%A1%D0%9C%D0%93/193%20%D0%9B%D0%B5%D1%82%D1%87%D0%B8%D0%BA%D0%B0%20%D0%B1%D0%B0%D0%B1%D1%83%D1%88%D0%BA%D0%B8%D0%BD%D0%B0%2042%20(%D0%90%D0%B4%D0%BC%D0%B8%D0%BD%20%D0%B7%D0%B4%D0%B0%D0%BD%D0%B8%D0%B5)</t>
  </si>
  <si>
    <t>537</t>
  </si>
  <si>
    <t>Рязанский проспект зу49</t>
  </si>
  <si>
    <t>55.725658</t>
  </si>
  <si>
    <t>37.764742</t>
  </si>
  <si>
    <t>https://docs.google.com/spreadsheets/d/1H1MjbG2y0oC0hhID4do1G0_gfyI1jag72lQd7nL3WDQ/edit?gid=1141531368#gid=1141531368</t>
  </si>
  <si>
    <t>https://disk.yandex.ru/client/disk/Осмотры%20объектов%20АНО%20СМГ/537%20ЮВАО%2C%20район%20Рязанский%2C%20Рязанский%20проспект%2C%20земельный%20участок%2049%2C%20(Рязанский%20пр-т%2C%20вл.49%2C%20корпуса%201%2C2%2C3%2C4)</t>
  </si>
  <si>
    <t>582</t>
  </si>
  <si>
    <t>района Обручевский, Профсоюзная улица, зу 60 квартал 26-27, зона № 3.2</t>
  </si>
  <si>
    <t>55.668230</t>
  </si>
  <si>
    <t>37.551306</t>
  </si>
  <si>
    <t>106 мин</t>
  </si>
  <si>
    <t>https://docs.google.com/spreadsheets/d/1rbCD10ySi4YZEkJW2_Slmn9z7AI1WEsGsZaIJmnnT18/edit?gid=1735599010#gid=1735599010</t>
  </si>
  <si>
    <t>https://disk.yandex.ru/client/disk/Осмотры%20объектов%20АНО%20СМГ/582.%20Профсоюзная%20з!у%2060%20(участок%203.2)</t>
  </si>
  <si>
    <t>549</t>
  </si>
  <si>
    <t>район Солнцево, Боровский проезд, земельный участок 1/5 (3 корпуса)</t>
  </si>
  <si>
    <t>55.654328</t>
  </si>
  <si>
    <t>37.390491</t>
  </si>
  <si>
    <t>144 мин</t>
  </si>
  <si>
    <t>https://docs.google.com/spreadsheets/d/1H1MjbG2y0oC0hhID4do1G0_gfyI1jag72lQd7nL3WDQ/edit?gid=1000508457#gid=1000508457</t>
  </si>
  <si>
    <t>https://disk.yandex.ru/client/disk/Осмотры%20объектов%20АНО%20СМГ/549.%20Солнцево%20мкр.%203-3А%2C%20Боровский%20проезд%2C%20з-у%201-5%20зона%203.2</t>
  </si>
  <si>
    <t>район Щукино, 1-й Волоколамский пр-д, з/у 7/1 (1-й Волоколамский пр-д, влд. 7, корп. 1)</t>
  </si>
  <si>
    <t>55.800686</t>
  </si>
  <si>
    <t>37.491727</t>
  </si>
  <si>
    <t>https://docs.google.com/spreadsheets/d/1H1MjbG2y0oC0hhID4do1G0_gfyI1jag72lQd7nL3WDQ/edit?gid=1426054658#gid=1426054658</t>
  </si>
  <si>
    <t>https://disk.yandex.ru/client/disk/Осмотры%20объектов%20АНО%20СМГ/581%201%20й%20Волоколамский%20проезд%20д%207%20к1</t>
  </si>
  <si>
    <t>114</t>
  </si>
  <si>
    <t>Открытие ФОКа, ЮАО, р-н Зябликово, Ореховый проезд, д. 12</t>
  </si>
  <si>
    <t>55.623316</t>
  </si>
  <si>
    <t>37.729792</t>
  </si>
  <si>
    <t>https://docs.google.com/spreadsheets/d/19THEBTE9q0fhN2eApZr6BgenIvLGh0AckaYxHQfHk5w/edit?gid=2132720371#gid=2132720371</t>
  </si>
  <si>
    <t>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t>
  </si>
  <si>
    <t>район Алексеевский, Ярославская ул., з/у 2/1</t>
  </si>
  <si>
    <t>681</t>
  </si>
  <si>
    <t>Жилой дом с подземной автостоянкой, с инженерными сетями и благоустройством территории (со сносом нежилого здания по адресу: Дмитровское шоссе д. 93, к.3) по адресу:район Бескудниково, Коровинское шоссе, земельный участок 93/3 (Зоны 14.2, 14.4)</t>
  </si>
  <si>
    <t>55.869848</t>
  </si>
  <si>
    <t>37.541119</t>
  </si>
  <si>
    <t>https://docs.google.com/spreadsheets/d/1H1MjbG2y0oC0hhID4do1G0_gfyI1jag72lQd7nL3WDQ/edit?gid=418314272#gid=418314272</t>
  </si>
  <si>
    <t>https://disk.yandex.ru/client/disk/Осмотры%20объектов%20АНО%20СМГ/681.%20Коровинское%20шоссе%2093%20%5C3</t>
  </si>
  <si>
    <t>548</t>
  </si>
  <si>
    <t>2-я Фрезерная ул., вл. 6</t>
  </si>
  <si>
    <t>55.739866</t>
  </si>
  <si>
    <t>37.740280</t>
  </si>
  <si>
    <t>https://docs.google.com/spreadsheets/d/1H1MjbG2y0oC0hhID4do1G0_gfyI1jag72lQd7nL3WDQ/edit?gid=2123184099#gid=2123184099</t>
  </si>
  <si>
    <t>https://disk.yandex.ru/client/disk/Осмотры%20объектов%20АНО%20СМГ/548.%202-я%20Фрезерная%20ул%20вл%206%20(рефинансирование)%20White%20Box</t>
  </si>
  <si>
    <t>672</t>
  </si>
  <si>
    <t>Таганский район, 2-я Дубровская ул., вл.1 (со сносом жилого дома по адресу: ул. 2-я Дубровская, д.1)</t>
  </si>
  <si>
    <t>55.729530</t>
  </si>
  <si>
    <t>37.670697</t>
  </si>
  <si>
    <t>https://docs.google.com/spreadsheets/d/1rbCD10ySi4YZEkJW2_Slmn9z7AI1WEsGsZaIJmnnT18/edit?gid=1407262521#gid=1407262521</t>
  </si>
  <si>
    <t>https://disk.yandex.ru/client/disk/%D0%9E%D1%81%D0%BC%D0%BE%D1%82%D1%80%D1%8B%20%D0%BE%D0%B1%D1%8A%D0%B5%D0%BA%D1%82%D0%BE%D0%B2%20%D0%90%D0%9D%D0%9E%20%D0%A1%D0%9C%D0%93/672.%202-%D1%8F%20%D0%94%D1%83%D0%B1%D1%80%D0%BE%D0%B2%D1%81%D0%BA%D0%B0%D1%8F%20%D0%B4.1</t>
  </si>
  <si>
    <t>256</t>
  </si>
  <si>
    <t>Культурно-спортивный центр «Печатники» по адресу: г. Москва, ул. Полбина, влд.37</t>
  </si>
  <si>
    <t>55.671265</t>
  </si>
  <si>
    <t>37.724625</t>
  </si>
  <si>
    <t>60 мин</t>
  </si>
  <si>
    <t>https://docs.google.com/spreadsheets/d/19THEBTE9q0fhN2eApZr6BgenIvLGh0AckaYxHQfHk5w/edit?gid=1851450243#gid=1851450243</t>
  </si>
  <si>
    <t>https://disk.yandex.ru/client/disk/%D0%9E%D1%81%D0%BC%D0%BE%D1%82%D1%80%D1%8B%20%D0%BE%D0%B1%D1%8A%D0%B5%D0%BA%D1%82%D0%BE%D0%B2%20%D0%90%D0%9D%D0%9E%20%D0%A1%D0%9C%D0%93/256.%20%D0%9A%D1%83%D0%BB%D1%8C%D1%82%D1%83%D1%80%D0%BD%D0%BE-%D1%81%D0%BF%D0%BE%D1%80%D1%82%D0%B8%D0%B2%D0%BD%D1%8B%D0%B9%20%D1%86%D0%B5%D0%BD%D1%82%D1%80%20%22%D0%9F%D0%B5%D1%87%D0%B0%D1%82%D0%BD%D0%B8%D0%BA%D0%B8%22%2C%20%D1%83%D0%BB.%20%D0%9F%D0%BE%D0%BB%D0%B1%D0%B8%D0%BD%D0%B0%2C%20%D0%B2%D0%BB.%2037</t>
  </si>
  <si>
    <t>290</t>
  </si>
  <si>
    <t>Школа на 1150 мест, р-н Лефортово, ул. Золоторожский Вал, влд. 11</t>
  </si>
  <si>
    <t>55.749967</t>
  </si>
  <si>
    <t>37.692577</t>
  </si>
  <si>
    <t>https://docs.google.com/spreadsheets/d/19THEBTE9q0fhN2eApZr6BgenIvLGh0AckaYxHQfHk5w/edit?gid=1261418769#gid=1261418769</t>
  </si>
  <si>
    <t>https://disk.yandex.ru/client/disk/%D0%9E%D1%81%D0%BC%D0%BE%D1%82%D1%80%D1%8B%20%D0%BE%D0%B1%D1%8A%D0%B5%D0%BA%D1%82%D0%BE%D0%B2%20%D0%90%D0%9D%D0%9E%20%D0%A1%D0%9C%D0%93/290.%20%D0%97%D0%BE%D0%BB%D0%BE%D1%82%D0%BE%D1%80%D0%BE%D0%B6%D1%81%D0%BA%D0%B8%D0%B9%20%D0%B2%D0%B0%D0%BB%20%D0%B2%D0%BB%D0%B4%2011%20%D0%A8%D0%BA%D0%BE%D0%BB%D0%B0%20%D0%BD%D0%B0%201150%20%D0%BC%D0%B5%D1%81%D1%82%20</t>
  </si>
  <si>
    <t>Москва, улица Маршала Бирюзова, вл1с1</t>
  </si>
  <si>
    <t>564</t>
  </si>
  <si>
    <t>ул. Лётчика Бабушкина, з/у 29/5 (Летчика Бабушкина ул., вл. 29, корп. 5), зона № 3.1</t>
  </si>
  <si>
    <t>55.870315</t>
  </si>
  <si>
    <t>37.673746</t>
  </si>
  <si>
    <t>https://docs.google.com/spreadsheets/d/1rbCD10ySi4YZEkJW2_Slmn9z7AI1WEsGsZaIJmnnT18/edit?gid=1455966079#gid=1455966079</t>
  </si>
  <si>
    <t>https://disk.yandex.ru/client/disk/%D0%9E%D1%81%D0%BC%D0%BE%D1%82%D1%80%D1%8B%20%D0%BE%D0%B1%D1%8A%D0%B5%D0%BA%D1%82%D0%BE%D0%B2%20%D0%90%D0%9D%D0%9E%20%D0%A1%D0%9C%D0%93/564.%20%D1%83%D0%BB.%20%D0%9B%D1%91%D1%82%D1%87%D0%B8%D0%BA%D0%B0%20%D0%91%D0%B0%D0%B1%D1%83%D1%88%D0%BA%D0%B8%D0%BD%D0%B0%2C%20%D0%B7.%D1%83.%2029.5</t>
  </si>
  <si>
    <t>570</t>
  </si>
  <si>
    <t>район Царицыно, Кавказский бульвар, з/у 27 (участок 4.4)</t>
  </si>
  <si>
    <t>55.629672</t>
  </si>
  <si>
    <t>37.665654</t>
  </si>
  <si>
    <t>https://docs.google.com/spreadsheets/d/1H1MjbG2y0oC0hhID4do1G0_gfyI1jag72lQd7nL3WDQ/edit?gid=232049031#gid=232049031</t>
  </si>
  <si>
    <t>https://disk.yandex.ru/client/disk/Осмотры%20объектов%20АНО%20СМГ/570.%20Кавказский%20бульвар%2027%2C%20зона%204.4</t>
  </si>
  <si>
    <t>266</t>
  </si>
  <si>
    <t>Здание дошкольных групп на 225 мест на месте сноса здания, р-н Пресненский, Стрельбищенский пер, влд.14</t>
  </si>
  <si>
    <t>55.759750</t>
  </si>
  <si>
    <t>37.540254</t>
  </si>
  <si>
    <t>66 мин</t>
  </si>
  <si>
    <t>https://docs.google.com/spreadsheets/d/19THEBTE9q0fhN2eApZr6BgenIvLGh0AckaYxHQfHk5w/edit?gid=288749714#gid=288749714</t>
  </si>
  <si>
    <t>https://disk.yandex.ru/client/disk/%D0%9E%D1%81%D0%BC%D0%BE%D1%82%D1%80%D1%8B%20%D0%BE%D0%B1%D1%8A%D0%B5%D0%BA%D1%82%D0%BE%D0%B2%20%D0%90%D0%9D%D0%9E%20%D0%A1%D0%9C%D0%93/266.%20%D0%97%D0%B4%D0%B0%D0%BD%D0%B8%D0%B5%20%D0%B4%D0%BE%D1%88%D0%BA%D0%BE%D0%BB%D1%8C%D0%BD%D1%8B%D1%85%20%D0%B3%D1%80%D1%83%D0%BF%D0%BF%20%D0%BD%D0%B0%20225%20%D0%BC%D0%B5%D1%81%D1%82%20%D0%A1%D1%82%D1%80%D0%B5%D0%BB%D1%8C%D0%B1%D0%B8%D1%89%D0%B5%D0%BD%D1%81%D0%BA%D0%B8%D0%B9%20%D0%BF%D0%B5%D1%80.%2C%20%D0%B2%D0%BB.%2014</t>
  </si>
  <si>
    <t>889</t>
  </si>
  <si>
    <t>улица Винокурова, зу 22_1 зона 2.1</t>
  </si>
  <si>
    <t>55.684600</t>
  </si>
  <si>
    <t>37.595579</t>
  </si>
  <si>
    <t>https://docs.google.com/spreadsheets/d/1rbCD10ySi4YZEkJW2_Slmn9z7AI1WEsGsZaIJmnnT18/edit?gid=814332945#gid=814332945</t>
  </si>
  <si>
    <t>https://disk.yandex.ru/client/disk/Осмотры%20объектов%20АНО%20СМГ/889.%20улица%20Винокурова%2C%20зу%2022_1%20зона%202.1</t>
  </si>
  <si>
    <t>228</t>
  </si>
  <si>
    <t>Выполнение работ по проектированию, строительству и вводу в эксплуатацию объекта «ДОУ на 150 мест, пересечение ул. Минской с Киевским направлением Московской железной дороги в пойме р. Раменки»</t>
  </si>
  <si>
    <t>55.715333</t>
  </si>
  <si>
    <t>37.500206</t>
  </si>
  <si>
    <t>56 мин</t>
  </si>
  <si>
    <t>https://docs.google.com/spreadsheets/d/19THEBTE9q0fhN2eApZr6BgenIvLGh0AckaYxHQfHk5w/edit?gid=962200403#gid=962200403</t>
  </si>
  <si>
    <t>https://disk.yandex.ru/client/disk/%D0%9E%D1%81%D0%BC%D0%BE%D1%82%D1%80%D1%8B%20%D0%BE%D0%B1%D1%8A%D0%B5%D0%BA%D1%82%D0%BE%D0%B2%20%D0%90%D0%9D%D0%9E%20%D0%A1%D0%9C%D0%93/228..%D0%94%D0%9E%D0%A3%20150%20%D0%BC%D0%B5%D1%81%D1%82%20%D0%A0%D0%B0%D0%BC%D0%B5%D0%BD%D0%BA%D0%B8%20%D1%83%D0%BB%20%D0%9C%D0%B8%D0%BD%D1%81%D0%BA%D0%B0%D1%8F</t>
  </si>
  <si>
    <t>577</t>
  </si>
  <si>
    <t>район Тимирязевский, 3-й Нижнелихоборский проезд, вл. 5, стр.1</t>
  </si>
  <si>
    <t>55.846406</t>
  </si>
  <si>
    <t>37.566130</t>
  </si>
  <si>
    <t>87 мин</t>
  </si>
  <si>
    <t>https://docs.google.com/spreadsheets/d/1rbCD10ySi4YZEkJW2_Slmn9z7AI1WEsGsZaIJmnnT18/edit?gid=2096121583#gid=2096121583</t>
  </si>
  <si>
    <t>https://disk.yandex.ru/client/disk/Осмотры%20объектов%20АНО%20СМГ/577.%203-й%20Нижнелихоборский%20проезд%2C%20вл.%205</t>
  </si>
  <si>
    <t>814</t>
  </si>
  <si>
    <t>О ходе проектирования и строительства здания районного суда: Лефортовский и Таганский; Таможенный пр-д, вл. 3</t>
  </si>
  <si>
    <t>55.752074</t>
  </si>
  <si>
    <t>37.683623</t>
  </si>
  <si>
    <t>https://docs.google.com/spreadsheets/d/1EI7qusa674eJhuaw-nWWtWMEHVSYMQv7HLsInEZTWpE/edit?gid=284186374#gid=284186374</t>
  </si>
  <si>
    <t>https://disk.yandex.ru/client/disk/%D0%9E%D1%81%D0%BC%D0%BE%D1%82%D1%80%D1%8B%20%D0%BE%D0%B1%D1%8A%D0%B5%D0%BA%D1%82%D0%BE%D0%B2%20%D0%90%D0%9D%D0%9E%20%D0%A1%D0%9C%D0%93/814.%20%D0%9E%20%D1%85%D0%BE%D0%B4%D0%B5%20%D0%BF%D1%80%D0%BE%D0%B5%D0%BA%D1%82%D0%B8%D1%80%D0%BE%D0%B2%D0%B0%D0%BD%D0%B8%D1%8F%20%D0%B8%20%D1%81%D1%82%D1%80%D0%BE%D0%B8%D1%82%D0%B5%D0%BB%D1%8C%D1%81%D1%82%D0%B2%D0%B0%202-%D1%85%20%D0%B7%D0%B4%D0%B0%D0%BD%D0%B8%D0%B9%20%D1%80%D0%B0%D0%B9%D0%BE%D0%BD%D0%BD%D1%8B%D1%85%20%D1%81%D1%83%D0%B4%D0%BE%D0%B2%3A%D0%9B%D0%B5%D1%84%D0%BE%D1%80%D1%82%D0%BE%D0%B2%D1%81%D0%BA%D0%B8%D0%B9%20%D0%B8%20%D0%A2%D0%B0%D0%B3%D0%B0%D0%BD%D1%81%D0%BA%D0%B8%D0%B9%2C%20%D0%BF%D0%BE%20%D0%B0%D0%B4%D1%80%D0%B5%D1%81%D1%83%3A%20%D0%A2%D0%B0%D0%BC%D0%BE%D0%B6%D0%B5%D0%BD%D0%BD%D1%8B%D0%B9%20%D0%BF%D1%80-%D0%B4%2C%20%D0%B2%D0%BB%D0%B4.%203</t>
  </si>
  <si>
    <t>ул. Судакова, з/у 5 (Судакова ул., влд. 5)</t>
  </si>
  <si>
    <t>55.672750</t>
  </si>
  <si>
    <t>37.742580</t>
  </si>
  <si>
    <t>https://docs.google.com/spreadsheets/d/1rbCD10ySi4YZEkJW2_Slmn9z7AI1WEsGsZaIJmnnT18/edit?gid=1956094116#gid=1956094116</t>
  </si>
  <si>
    <t>https://disk.yandex.ru/client/disk/Осмотры%20объектов%20АНО%20СМГ/971.%20ул.%20Судакова%2C%20з.у%205%20(Судакова%20ул.%2C%20влд.%205)</t>
  </si>
  <si>
    <t>691</t>
  </si>
  <si>
    <t>район Нагатинский затон, ул. Речников з/у 22/2, микрорайоны 4, 5, 7, зона 13.1 (со сносом многоквартирных жилых домов по адресам: ул.Речников, д.26, к.1; д.24, к.1; д.22, к.2)</t>
  </si>
  <si>
    <t>55.681606</t>
  </si>
  <si>
    <t>37.689815</t>
  </si>
  <si>
    <t>https://docs.google.com/spreadsheets/d/1rbCD10ySi4YZEkJW2_Slmn9z7AI1WEsGsZaIJmnnT18/edit?gid=198115662#gid=198115662</t>
  </si>
  <si>
    <t>https://disk.yandex.ru/client/disk/Осмотры%20объектов%20АНО%20СМГ/691.%20Речников%2024%20к.1%2C%2026%20к.1%2C%2022%20к.2</t>
  </si>
  <si>
    <t>1086</t>
  </si>
  <si>
    <t>Проектирование и строительство очистных сооружений
поверхностного стока в п. Коммунарка</t>
  </si>
  <si>
    <t>55.563802</t>
  </si>
  <si>
    <t>37.474696</t>
  </si>
  <si>
    <t>https://docs.google.com/spreadsheets/d/19THEBTE9q0fhN2eApZr6BgenIvLGh0AckaYxHQfHk5w/edit?gid=876314098#gid=876314098</t>
  </si>
  <si>
    <t>https://disk.yandex.ru/client/disk/%D0%9E%D1%81%D0%BC%D0%BE%D1%82%D1%80%D1%8B%20%D0%BE%D0%B1%D1%8A%D0%B5%D0%BA%D1%82%D0%BE%D0%B2%20%D0%90%D0%9D%D0%9E%20%D0%A1%D0%9C%D0%93/1086.%20%D0%9F%D1%80%D0%BE%D0%B5%D0%BA%D1%82%D0%B8%D1%80%D0%BE%D0%B2%D0%B0%D0%BD%D0%B8%D0%B5%20%D0%B8%20%D1%81%D1%82%D1%80%D0%BE%D0%B8%D1%82%D0%B5%D0%BB%D1%8C%D1%81%D1%82%D0%B2%D0%BE%20%D0%BE%D1%87%D0%B8%D1%81%D1%82%D0%BD%D1%8B%D1%85%20%D1%81%D0%BE%D0%BE%D1%80%D1%83%D0%B6%D0%B5%D0%BD%D0%B8%D0%B9%20%D0%BF%D0%BE%D0%B2%D0%B5%D1%80%D1%85%D0%BD%D0%BE%D1%81%D1%82%D0%BD%D0%BE%D0%B3%D0%BE%20%D1%81%D1%82%D0%BE%D0%BA%D0%B0%20%D0%9A%D0%BE%D0%BC%D0%BC%D1%83%D0%BD%D0%B0%D1%80%D0%BA%D0%B0</t>
  </si>
  <si>
    <t>3</t>
  </si>
  <si>
    <t>Инновационный научно-технологический центр МГУ «Воробьевы горы», кластеры «Космос», «Инфотех», «Инжиниринг», «Геотех», «Нанотех», «Биомед»
Москва, Раменский бульвар</t>
  </si>
  <si>
    <t>55.693488</t>
  </si>
  <si>
    <t>37.516163</t>
  </si>
  <si>
    <t>240</t>
  </si>
  <si>
    <t>Многофункциональный спортивный комплекс
ул. Москворечье, д. 4, к. 1</t>
  </si>
  <si>
    <t>55.644816</t>
  </si>
  <si>
    <t>37.650969</t>
  </si>
  <si>
    <t>https://docs.google.com/spreadsheets/d/19THEBTE9q0fhN2eApZr6BgenIvLGh0AckaYxHQfHk5w/edit?gid=1484428884#gid=1484428884</t>
  </si>
  <si>
    <t>https://disk.yandex.ru/d/0-3EzDfuewcxNA</t>
  </si>
  <si>
    <t>1079</t>
  </si>
  <si>
    <t>Реконструкция локальных очистных сооружений г. Троицка</t>
  </si>
  <si>
    <t>55.452946</t>
  </si>
  <si>
    <t>37.273871</t>
  </si>
  <si>
    <t>ЕКС</t>
  </si>
  <si>
    <t>https://docs.google.com/spreadsheets/d/19THEBTE9q0fhN2eApZr6BgenIvLGh0AckaYxHQfHk5w/edit?gid=38060356#gid=38060356</t>
  </si>
  <si>
    <t>https://disk.yandex.ru/client/disk/%D0%9E%D1%81%D0%BC%D0%BE%D1%82%D1%80%D1%8B%20%D0%BE%D0%B1%D1%8A%D0%B5%D0%BA%D1%82%D0%BE%D0%B2%20%D0%90%D0%9D%D0%9E%20%D0%A1%D0%9C%D0%93/1079.%20%D0%A0%D0%B5%D0%BA%D0%BE%D0%BD%D1%81%D1%82%D1%80%D1%83%D0%BA%D1%86%D0%B8%D1%8F%20%D0%BB%D0%BE%D0%BA%D0%B0%D0%BB%D1%8C%D0%BD%D1%8B%D1%85%20%D0%BE%D1%87%D0%B8%D1%81%D1%82%D0%BD%D1%8B%D1%85%20%D1%81%D0%BE%D0%BE%D1%80%D1%83%D0%B6%D0%B5%D0%BD%D0%B8%D0%B9%20%D0%B3.%20%D0%A2%D1%80%D0%BE%D0%B8%D1%86%D0%BA%D0%B0</t>
  </si>
  <si>
    <t>261</t>
  </si>
  <si>
    <t>ДОУ на 300 мест, р-н Выхино-Жулебино, мкр. 136 (со сносом нежилого здания по адресу: Сормовская ул., д. 17, к. 8)</t>
  </si>
  <si>
    <t>55.705394</t>
  </si>
  <si>
    <t>37.811982</t>
  </si>
  <si>
    <t>https://docs.google.com/spreadsheets/d/19THEBTE9q0fhN2eApZr6BgenIvLGh0AckaYxHQfHk5w/edit?gid=392359480#gid=392359480</t>
  </si>
  <si>
    <t>https://disk.yandex.ru/client/disk/%D0%9E%D1%81%D0%BC%D0%BE%D1%82%D1%80%D1%8B%20%D0%BE%D0%B1%D1%8A%D0%B5%D0%BA%D1%82%D0%BE%D0%B2%20%D0%90%D0%9D%D0%9E%20%D0%A1%D0%9C%D0%93/261.%20%D0%94%D0%9E%D0%A3%20%D0%BD%D0%B0%20300%20%D0%BC%D0%B5%D1%81%D1%82%2C%20%D1%80-%D0%BD%20%D0%92%D1%8B%D1%85%D0%B8%D0%BD%D0%BE-%D0%96%D1%83%D0%BB%D0%B5%D0%B1%D0%B8%D0%BD%D0%BE%2C%20%D0%BC%D0%BA%D1%80.%20136%20(%D1%81%D0%BE%20%D1%81%D0%BD%D0%BE%D1%81%D0%BE%D0%BC%20%D0%BD%D0%B5%D0%B6%D0%B8%D0%BB%D0%BE%D0%B3%D0%BE%20%D0%B7%D0%B4%D0%B0%D0%BD%D0%B8%D1%8F%20%D0%BF%D0%BE%20%D0%B0%D0%B4%D1%80%D0%B5%D1%81%D1%83%3A%20%D0%A1%D0%BE%D1%80%D0%BC%D0%BE%D0%B2%D1%81%D0%BA%D0%B0%D1%8F%20%D1%83%D0%BB.%2C%20%D0%B4.%2017%2C%20%D0%BA.%208)</t>
  </si>
  <si>
    <t>975</t>
  </si>
  <si>
    <t>ул. Труда, з/у 1 (ул. Труда, вл. 1, 2, 3, 4)</t>
  </si>
  <si>
    <t>55.602327</t>
  </si>
  <si>
    <t>37.171928</t>
  </si>
  <si>
    <t>63 мин</t>
  </si>
  <si>
    <t>https://docs.google.com/spreadsheets/d/1rbCD10ySi4YZEkJW2_Slmn9z7AI1WEsGsZaIJmnnT18/edit?gid=1886195207#gid=1886195207</t>
  </si>
  <si>
    <t>https://disk.yandex.ru/client/disk/Осмотры%20объектов%20АНО%20СМГ/975.%20жилой%20дом%20ул%2C%20Труда%20зу1</t>
  </si>
  <si>
    <t>265</t>
  </si>
  <si>
    <t>Стоматологическая поликлиника, р-н Перово, Новогиреевская ул., з/у 30/1</t>
  </si>
  <si>
    <t>55.754895</t>
  </si>
  <si>
    <t>37.795346</t>
  </si>
  <si>
    <t>43 мин</t>
  </si>
  <si>
    <t>https://docs.google.com/spreadsheets/d/19THEBTE9q0fhN2eApZr6BgenIvLGh0AckaYxHQfHk5w/edit?gid=1355578633#gid=1355578633</t>
  </si>
  <si>
    <t>https://disk.yandex.ru/client/disk/%D0%9E%D1%81%D0%BC%D0%BE%D1%82%D1%80%D1%8B%20%D0%BE%D0%B1%D1%8A%D0%B5%D0%BA%D1%82%D0%BE%D0%B2%20%D0%90%D0%9D%D0%9E%20%D0%A1%D0%9C%D0%93/265.%20%D0%9D%D0%BE%D0%B2%D0%BE%D0%B3%D0%B8%D1%80%D0%B5%D0%B5%D0%B2%D1%81%D0%BA%D0%B0%D1%8F%20%D0%B7%D1%83%2030%20%D0%BA1%20%D1%81%D1%82%D0%BE%D0%BC%D0%B0%D1%82%D0%BE%D0%BB%D0%BE%D0%B3%D0%B8%D1%87%D0%B5%D1%81%D0%BA%D0%B0%D1%8F%20%D0%BF%D0%BE%D0%BB%D0%B8%D0%BA%D0%BB%D0%B8%D0%BD%D0%B8%D0%BA%D0%B0</t>
  </si>
  <si>
    <t>7777</t>
  </si>
  <si>
    <t>ЖК Мир Митино ЖК Митинский лес ЖК Аквилон Митино</t>
  </si>
  <si>
    <t>55.862352,</t>
  </si>
  <si>
    <t>37.373807</t>
  </si>
  <si>
    <t>515</t>
  </si>
  <si>
    <t>11-я Парковая улица, зу57</t>
  </si>
  <si>
    <t>55.809783</t>
  </si>
  <si>
    <t>37.803541</t>
  </si>
  <si>
    <t>123 мин</t>
  </si>
  <si>
    <t>https://docs.google.com/spreadsheets/d/1H1MjbG2y0oC0hhID4do1G0_gfyI1jag72lQd7nL3WDQ/edit?gid=1582876076#gid=1582876076</t>
  </si>
  <si>
    <t>https://disk.yandex.ru/client/disk/Осмотры%20объектов%20АНО%20СМГ/515.%20Северное%20Измайлово%2C%2011-я%20Парковаяул.%2057</t>
  </si>
  <si>
    <t>389</t>
  </si>
  <si>
    <t>район Коптево, пр-д Черепановых, влд. 56,А</t>
  </si>
  <si>
    <t>55.843565</t>
  </si>
  <si>
    <t>37.540875</t>
  </si>
  <si>
    <t>https://docs.google.com/spreadsheets/d/1H1MjbG2y0oC0hhID4do1G0_gfyI1jag72lQd7nL3WDQ/edit?gid=828728965#gid=828728965</t>
  </si>
  <si>
    <t>https://disk.yandex.ru/client/disk/Осмотры%20объектов%20АНО%20СМГ/389.%20Черепановых%20проезд%2056А</t>
  </si>
  <si>
    <t>678</t>
  </si>
  <si>
    <t>район Бирюлево Западное, Булатниковский пр-д, з/у 2В/3 (Булатниковский пр-д, вл.2В, корп.3)</t>
  </si>
  <si>
    <t>55.595206</t>
  </si>
  <si>
    <t>37.649192</t>
  </si>
  <si>
    <t>157 мин</t>
  </si>
  <si>
    <t>https://docs.google.com/spreadsheets/d/1H1MjbG2y0oC0hhID4do1G0_gfyI1jag72lQd7nL3WDQ/edit?gid=1107137504#gid=1107137504</t>
  </si>
  <si>
    <t>https://disk.yandex.ru/client/disk/Осмотры%20объектов%20АНО%20СМГ/678.Булатниковский%20д.2В%20Корп.3</t>
  </si>
  <si>
    <t>195</t>
  </si>
  <si>
    <t>Выполнение подрядных работ по строительству объекта капитального строительства «Строительство здания Государственного бюджетного учреждения культуры города Москвы «Московская государственная картинная галерея Василия Нестеренко»
г. Москва, ул. Бутырская, д.1</t>
  </si>
  <si>
    <t>55.792812</t>
  </si>
  <si>
    <t>37.584146</t>
  </si>
  <si>
    <t>130 мин</t>
  </si>
  <si>
    <t>https://docs.google.com/spreadsheets/d/19THEBTE9q0fhN2eApZr6BgenIvLGh0AckaYxHQfHk5w/edit?gid=1652446948#gid=1652446948</t>
  </si>
  <si>
    <t>https://disk.yandex.ru/client/disk/%D0%9E%D1%81%D0%BC%D0%BE%D1%82%D1%80%D1%8B%20%D0%BE%D0%B1%D1%8A%D0%B5%D0%BA%D1%82%D0%BE%D0%B2%20%D0%90%D0%9D%D0%9E%20%D0%A1%D0%9C%D0%93/195.%20%D1%83%D0%BB.%20%D0%91%D1%83%D1%82%D1%8B%D1%80%D1%81%D0%BA%D0%B0%D1%8F%2C%20%D0%B4.1%20%D0%97%D0%B4%D0%B0%D0%BD%D0%B8%D0%B5%20%D0%93%D0%BE%D1%81%D1%83%D0%B4%D0%B0%D1%80%D1%81%D1%82%D0%B2%D0%B5%D0%BD%D0%BD%D0%BE%D0%B3%D0%BE%20%D0%B1%D1%8E%D0%B4%D0%B6%D0%B5%D1%82%D0%BD%D0%BE%D0%B3%D0%BE%20%D1%83%D1%87%D1%80%D0%B5%D0%B6%D0%B4%D0%B5%D0%BD%D0%B8%D1%8F%20%D0%BA%D1%83%D0%BB%D1%8C%D1%82%D1%83%D1%80%D1%8B%20%D0%B3%D0%BE%D1%80%D0%BE%D0%B4%D0%B0%20%D0%9C%D0%BE%D1%81%D0%BA%D0%B2%D1%8B%20%C2%AB%D0%9C%D0%BE%D1%81%D0%BA%D0%BE%D0%B2%D1%81%D0%BA%D0%B0%D1%8F%20%D0%B3%D0%BE%D1%81%D1%83%D0%B4%D0%B0%D1%80%D1%81%D1%82%D0%B2%D0%B5%D0%BD%D0%BD%D0%B0%D1%8F%20%D0%BA%D0%B0%D1%80%D1%82%D0%B8%D0%BD%D0%BD%D0%B0%D1%8F%20%D0%B3%D0%B0%D0%BB%D0%B5%D1%80%D0%B5%D1%8F%20%D0%92%D0%B0%D1%81%D0%B8%D0%BB%D0%B8%D1%8F%20%D0%9D%D0%B5%D1%81%D1%82%D0%B5%D1%80%D0%B5%D0%BD%D0%BA%D0%BE</t>
  </si>
  <si>
    <t>686</t>
  </si>
  <si>
    <t>район Перово, ул. Плющева, вл. 12А</t>
  </si>
  <si>
    <t>55.743921</t>
  </si>
  <si>
    <t>37.758839</t>
  </si>
  <si>
    <t>МФР</t>
  </si>
  <si>
    <t>41 мин</t>
  </si>
  <si>
    <t>https://docs.google.com/spreadsheets/d/1rbCD10ySi4YZEkJW2_Slmn9z7AI1WEsGsZaIJmnnT18/edit?gid=1102875556#gid=1102875556</t>
  </si>
  <si>
    <t>https://disk.yandex.ru/client/disk/Осмотры%20объектов%20АНО%20СМГ/686.%20р-н%20Перово%2C%20Ул.Плющева%20вл.%2012А</t>
  </si>
  <si>
    <t>ул. Артековская, з/у 7/6 (зона 2.4)</t>
  </si>
  <si>
    <t>55.649428</t>
  </si>
  <si>
    <t>37.618333</t>
  </si>
  <si>
    <t>https://docs.google.com/spreadsheets/d/1rbCD10ySi4YZEkJW2_Slmn9z7AI1WEsGsZaIJmnnT18/edit?gid=1509093390#gid=1509093390</t>
  </si>
  <si>
    <t>https://disk.yandex.ru/client/disk/Осмотры%20объектов%20АНО%20СМГ/906.%20ул.%20Артековская%2C%20з.у.%2076%20(зона2.4)</t>
  </si>
  <si>
    <t>1077</t>
  </si>
  <si>
    <t>Реконструкция технологической части КНС-ТЗ1 и КНС-27 с
перекладкой сущ. канализационного коллектора (II этап)</t>
  </si>
  <si>
    <t>55.486222</t>
  </si>
  <si>
    <t>37.300044</t>
  </si>
  <si>
    <t>57 мин</t>
  </si>
  <si>
    <t>https://docs.google.com/spreadsheets/d/19THEBTE9q0fhN2eApZr6BgenIvLGh0AckaYxHQfHk5w/edit?gid=2006507373#gid=2006507373</t>
  </si>
  <si>
    <t>https://disk.yandex.ru/client/disk/%D0%9E%D1%81%D0%BC%D0%BE%D1%82%D1%80%D1%8B%20%D0%BE%D0%B1%D1%8A%D0%B5%D0%BA%D1%82%D0%BE%D0%B2%20%D0%90%D0%9D%D0%9E%20%D0%A1%D0%9C%D0%93/1077.%20%D0%9A%D0%B0%D0%BD%D0%B0%D0%BB%D0%B8%D0%B7%D0%B0%D1%86%D0%B8%D0%BE%D0%BD%D0%BD%D1%8B%D0%B9%20%D0%BA%D0%BE%D0%BB%D0%BB%D0%B5%D0%BA%D1%82%D0%BE%D1%80%20%D0%9A%D0%9D%D0%A1-%D0%A231%20%D0%B8%20%D0%9A%D0%9D%D0%A1-27.%20II%20%D1%8D%D1%82%D0%B0%D0%BF.%20%D0%A0%D0%B5%D0%BA%D0%BE%D0%BD%D1%81%D1%82%D1%80%D1%83%D0%BA%D1%86%D0%B8%D1%8F</t>
  </si>
  <si>
    <t>386</t>
  </si>
  <si>
    <t>Москва, Базовская улица, 26 (24-26)</t>
  </si>
  <si>
    <t>55.881507</t>
  </si>
  <si>
    <t>37.516687</t>
  </si>
  <si>
    <t>84 мин</t>
  </si>
  <si>
    <t>https://docs.google.com/spreadsheets/d/1H1MjbG2y0oC0hhID4do1G0_gfyI1jag72lQd7nL3WDQ/edit?gid=1354888420#gid=1354888420</t>
  </si>
  <si>
    <t>https://disk.yandex.ru/client/disk/Осмотры%20объектов%20АНО%20СМГ/386%20Базовская%20з.у.%2024-26%20мкр.11%2C12</t>
  </si>
  <si>
    <t>289</t>
  </si>
  <si>
    <t>Школа на 825 мест, р-н Бирюлево Восточное, ул. 6-я Радиальная, влд. 7, участок 20</t>
  </si>
  <si>
    <t>55.607202</t>
  </si>
  <si>
    <t>37.656618</t>
  </si>
  <si>
    <t>https://docs.google.com/spreadsheets/d/19THEBTE9q0fhN2eApZr6BgenIvLGh0AckaYxHQfHk5w/edit?gid=1318424610#gid=1318424610</t>
  </si>
  <si>
    <t>https://disk.yandex.ru/client/disk/%D0%9E%D1%81%D0%BC%D0%BE%D1%82%D1%80%D1%8B%20%D0%BE%D0%B1%D1%8A%D0%B5%D0%BA%D1%82%D0%BE%D0%B2%20%D0%90%D0%9D%D0%9E%20%D0%A1%D0%9C%D0%93/289.%206-%D1%8F%20%D0%A0%D0%B0%D0%B4%D0%B8%D0%B0%D0%BB%D1%8C%D0%BD%D0%B0%D1%8F%2C%20%D0%B2%D0%BB%D0%B4.%207%2C%20%D1%83%D1%87%D0%B0%D1%81%D1%82%D0%BE%D0%BA%2020.%20%D0%A8%D0%BA%D0%BE%D0%BB%D0%B0%20%D0%BD%D0%B0%20825%20%D0%BC%D0%B5%D1%81%D1%82</t>
  </si>
  <si>
    <t>940</t>
  </si>
  <si>
    <t>ул. Плющева, з/у 9А</t>
  </si>
  <si>
    <t>55.743878</t>
  </si>
  <si>
    <t>37.762332</t>
  </si>
  <si>
    <t>https://docs.google.com/spreadsheets/d/1rbCD10ySi4YZEkJW2_Slmn9z7AI1WEsGsZaIJmnnT18/edit?gid=1071202217#gid=1071202217</t>
  </si>
  <si>
    <t>https://disk.yandex.ru/client/disk/Осмотры%20объектов%20АНО%20СМГ/940%20р-н%20Перово%2C%20ул.%20Плющева%2C%209%20А</t>
  </si>
  <si>
    <t>963</t>
  </si>
  <si>
    <t>ул. Михалковская, вл. 48, корп. 5, секции 3, 4</t>
  </si>
  <si>
    <t>55.839462</t>
  </si>
  <si>
    <t>37.515006</t>
  </si>
  <si>
    <t>https://docs.google.com/spreadsheets/d/1H1MjbG2y0oC0hhID4do1G0_gfyI1jag72lQd7nL3WDQ/edit?gid=444310098#gid=444310098</t>
  </si>
  <si>
    <t>https://disk.yandex.ru/client/disk/Осмотры%20объектов%20АНО%20СМГ/963.%20Михалковская%20ул.%2C%20вл.%2048%2C%20Корп.%205%2C%20секция%203%2C%204</t>
  </si>
  <si>
    <t>623</t>
  </si>
  <si>
    <t>район Южное Тушино, ул. Окружная, земельный участок 2А (со сносом жилых домов по адресам: ул. Окружная, 2А и Светлогорский проезд, 1)</t>
  </si>
  <si>
    <t>55.843424</t>
  </si>
  <si>
    <t>37.402219</t>
  </si>
  <si>
    <t>122 мин</t>
  </si>
  <si>
    <t>https://docs.google.com/spreadsheets/d/1H1MjbG2y0oC0hhID4do1G0_gfyI1jag72lQd7nL3WDQ/edit?gid=55726116#gid=55726116</t>
  </si>
  <si>
    <t>https://disk.yandex.ru/client/disk/Осмотры%20объектов%20АНО%20СМГ/623%20Окружная%202%20А</t>
  </si>
  <si>
    <t>район Измайлово, Никитинская ул., зу 21/1/3 (рефинансирование)</t>
  </si>
  <si>
    <t>55.801708</t>
  </si>
  <si>
    <t>37.773139</t>
  </si>
  <si>
    <t>104 мин</t>
  </si>
  <si>
    <t>https://docs.google.com/spreadsheets/d/1H1MjbG2y0oC0hhID4do1G0_gfyI1jag72lQd7nL3WDQ/edit?gid=833062955#gid=833062955</t>
  </si>
  <si>
    <t>https://disk.yandex.ru/client/disk/Осмотры%20объектов%20АНО%20СМГ/641.%20Никитинская%20ул.%2C%20зу%2021.1.3%20%20(рефинансирование)</t>
  </si>
  <si>
    <t>721</t>
  </si>
  <si>
    <t>г.о. Щербинка, ул. Чапаева, зу 4 (ул. Чапаева, д. 4; ул. Чапаева, д. 6) (со сносом жилых домов по адресам: город Москва, город Щербинка, ул. Чапаева, д. 4; ул. Чапаева, д. 6)</t>
  </si>
  <si>
    <t>55.512428</t>
  </si>
  <si>
    <t>37.571232</t>
  </si>
  <si>
    <t>https://docs.google.com/spreadsheets/d/1H1MjbG2y0oC0hhID4do1G0_gfyI1jag72lQd7nL3WDQ/edit?gid=249071120#gid=249071120</t>
  </si>
  <si>
    <t>https://disk.yandex.ru/client/disk/Осмотры%20объектов%20АНО%20СМГ/721.Щербинка%20Чапаева%20д.4%2C%20д.6</t>
  </si>
  <si>
    <t>236</t>
  </si>
  <si>
    <t>Жилая застройка с инженерными коммуникациями и благоустройством, район Раменки, проспект Вернадского вл 12Б (5 этап 6-9 корп.)</t>
  </si>
  <si>
    <t>55.688485</t>
  </si>
  <si>
    <t>37.509762</t>
  </si>
  <si>
    <t>https://docs.google.com/spreadsheets/d/19THEBTE9q0fhN2eApZr6BgenIvLGh0AckaYxHQfHk5w/edit?gid=920768533#gid=920768533</t>
  </si>
  <si>
    <t>https://disk.yandex.ru/client/disk/%D0%9E%D1%81%D0%BC%D0%BE%D1%82%D1%80%D1%8B%20%D0%BE%D0%B1%D1%8A%D0%B5%D0%BA%D1%82%D0%BE%D0%B2%20%D0%90%D0%9D%D0%9E%20%D0%A1%D0%9C%D0%93/236.%20%D0%BF%D1%80-%D1%82%20%D0%92%D0%B5%D1%80%D0%BD%D0%B0%D0%B4%D1%81%D0%BA%D0%BE%D0%B3%D0%BE%2012%D0%B1%20%D0%96%D0%B8%D0%BB%D0%B0%D1%8F%20%D0%B7%D0%B0%D1%81%D1%82%D1%80%D0%BE%D0%B9%D0%BA%D0%B0%20%D0%9A%D0%BE%D1%80%D0%BF.6-9</t>
  </si>
  <si>
    <t>606</t>
  </si>
  <si>
    <t>район Зюзино,Черноморский бульвар, земельный участок 20, квартал 26-31, Зона 6.1</t>
  </si>
  <si>
    <t>55.646259</t>
  </si>
  <si>
    <t>37.600522</t>
  </si>
  <si>
    <t>https://docs.google.com/spreadsheets/d/1H1MjbG2y0oC0hhID4do1G0_gfyI1jag72lQd7nL3WDQ/edit?gid=328082788#gid=328082788</t>
  </si>
  <si>
    <t>https://disk.yandex.ru/client/disk/Осмотры%20объектов%20АНО%20СМГ/606.%20район%20Зюзино%2C%20черноморский%20б-вр%2C%20з_у%2020%2C%20кв%2026-31%2C%20зона%206.1</t>
  </si>
  <si>
    <t>248</t>
  </si>
  <si>
    <t>ДОУ на 320 мест, р-н Бирюлево Восточное, ул. 6-я Радиальная, влд. 7 (уч. 21)</t>
  </si>
  <si>
    <t>55.605316</t>
  </si>
  <si>
    <t>37.653715</t>
  </si>
  <si>
    <t>67 мин</t>
  </si>
  <si>
    <t>https://docs.google.com/spreadsheets/d/19THEBTE9q0fhN2eApZr6BgenIvLGh0AckaYxHQfHk5w/edit?gid=894458513#gid=894458513</t>
  </si>
  <si>
    <t>https://disk.yandex.ru/client/disk/%D0%9E%D1%81%D0%BC%D0%BE%D1%82%D1%80%D1%8B%20%D0%BE%D0%B1%D1%8A%D0%B5%D0%BA%D1%82%D0%BE%D0%B2%20%D0%90%D0%9D%D0%9E%20%D0%A1%D0%9C%D0%93/248.%206-%D1%8F%20%D0%A0%D0%B0%D0%B4%D0%B8%D0%B0%D0%BB%D1%8C%D0%BD%D0%B0%D1%8F%20%D1%83%D0%BB.%2C%20%D0%B2%D0%BB%D0%B4.7%2C%20%D1%83%D1%87%D0%B0%D1%81%D1%82%D0%BE%D0%BA%2021.%20%D0%94%D0%9E%D0%A3%20%D0%BD%D0%B0%20320%20%D0%BC%D0%B5%D1%81%D1%82</t>
  </si>
  <si>
    <t>ул. Оренбургская, вл. 30</t>
  </si>
  <si>
    <t>55.711431</t>
  </si>
  <si>
    <t>37.866175</t>
  </si>
  <si>
    <t>156 мин</t>
  </si>
  <si>
    <t>https://docs.google.com/spreadsheets/d/1H1MjbG2y0oC0hhID4do1G0_gfyI1jag72lQd7nL3WDQ/edit?gid=1180712542#gid=1180712542</t>
  </si>
  <si>
    <t>https://disk.yandex.ru/client/disk/Осмотры%20объектов%20АНО%20СМГ/759%20ВАО%2C%20ул.%20Оренбургская%2C%20вл.%2030</t>
  </si>
  <si>
    <t>541</t>
  </si>
  <si>
    <t>Михалковская, з/у 10</t>
  </si>
  <si>
    <t>55.838020</t>
  </si>
  <si>
    <t>37.535916</t>
  </si>
  <si>
    <t>61 мин</t>
  </si>
  <si>
    <t>https://docs.google.com/spreadsheets/d/1H1MjbG2y0oC0hhID4do1G0_gfyI1jag72lQd7nL3WDQ/edit?gid=1202640333#gid=1202640333</t>
  </si>
  <si>
    <t>https://disk.yandex.ru/client/disk/Осмотры%20объектов%20АНО%20СМГ/541.%20Михалковская%20зу%2010</t>
  </si>
  <si>
    <t>район Перово, ул. Плеханова зу 24А</t>
  </si>
  <si>
    <t>55.741388</t>
  </si>
  <si>
    <t>37.764829</t>
  </si>
  <si>
    <t>64 мин</t>
  </si>
  <si>
    <t>https://docs.google.com/spreadsheets/d/1rbCD10ySi4YZEkJW2_Slmn9z7AI1WEsGsZaIJmnnT18/edit?gid=1455430518#gid=1455430518</t>
  </si>
  <si>
    <t>https://disk.yandex.ru/client/disk/Осмотры%20объектов%20АНО%20СМГ/571.%20Перово%2C%20ул.%20Плехановская%2C%2024%20А</t>
  </si>
  <si>
    <t>192</t>
  </si>
  <si>
    <t>Строительство базы ГБУ "Жилищник района Бирюлево Восточное"</t>
  </si>
  <si>
    <t>55.611953</t>
  </si>
  <si>
    <t>37.660247</t>
  </si>
  <si>
    <t>10 мин</t>
  </si>
  <si>
    <t>https://docs.google.com/spreadsheets/d/19THEBTE9q0fhN2eApZr6BgenIvLGh0AckaYxHQfHk5w/edit?gid=363363152#gid=363363152</t>
  </si>
  <si>
    <t>https://disk.yandex.ru/d/URXW-XqAO1EmSQ</t>
  </si>
  <si>
    <t>1078</t>
  </si>
  <si>
    <t>Реконструкция технологической части КНС-Т31 и КНС-27 с
перекладкой сущ. канализационного коллектора. (IV этап)</t>
  </si>
  <si>
    <t>55.468127</t>
  </si>
  <si>
    <t>37.286689</t>
  </si>
  <si>
    <t>https://docs.google.com/spreadsheets/d/19THEBTE9q0fhN2eApZr6BgenIvLGh0AckaYxHQfHk5w/edit?gid=1232103407#gid=1232103407</t>
  </si>
  <si>
    <t>https://disk.yandex.ru/client/disk/%D0%9E%D1%81%D0%BC%D0%BE%D1%82%D1%80%D1%8B%20%D0%BE%D0%B1%D1%8A%D0%B5%D0%BA%D1%82%D0%BE%D0%B2%20%D0%90%D0%9D%D0%9E%20%D0%A1%D0%9C%D0%93/1078.%20%D0%9A%D0%B0%D0%BD%D0%B0%D0%BB%D0%B8%D0%B7%D0%B0%D1%86%D0%B8%D0%BE%D0%BD%D0%BD%D1%8B%D0%B9%20%D0%BA%D0%BE%D0%BB%D0%BB%D0%B5%D0%BA%D1%82%D0%BE%D1%80%20%D0%9A%D0%9D%D0%A1-%D0%A231%20%D0%B8%20%D0%9A%D0%9D%D0%A1-27.%20IV%20%D1%8D%D1%82%D0%B0%D0%BF.%20%D0%A0%D0%B5%D0%BA%D0%BE%D0%BD%D1%81%D1%82%D1%80%D1%83%D0%BA%D1%86%D0%B8%D1%8F</t>
  </si>
  <si>
    <t>391</t>
  </si>
  <si>
    <t>Москва, улица Героев Панфиловцев, 31</t>
  </si>
  <si>
    <t>55.856918</t>
  </si>
  <si>
    <t>37.414790</t>
  </si>
  <si>
    <t>https://docs.google.com/spreadsheets/d/1H1MjbG2y0oC0hhID4do1G0_gfyI1jag72lQd7nL3WDQ/edit?gid=257429727#gid=257429727</t>
  </si>
  <si>
    <t>https://disk.yandex.ru/client/disk/Осмотры%20объектов%20АНО%20СМГ/391.%20Героев%20Панфиловцев%2C%2031</t>
  </si>
  <si>
    <t>789</t>
  </si>
  <si>
    <t>Москва, Никитинская улица, вл15</t>
  </si>
  <si>
    <t>55.799413</t>
  </si>
  <si>
    <t>37.774249</t>
  </si>
  <si>
    <t>https://docs.google.com/spreadsheets/d/1rbCD10ySi4YZEkJW2_Slmn9z7AI1WEsGsZaIJmnnT18/edit?gid=1734112233#gid=1734112233</t>
  </si>
  <si>
    <t>https://disk.yandex.ru/client/disk/%D0%9E%D1%81%D0%BC%D0%BE%D1%82%D1%80%D1%8B%20%D0%BE%D0%B1%D1%8A%D0%B5%D0%BA%D1%82%D0%BE%D0%B2%20%D0%90%D0%9D%D0%9E%20%D0%A1%D0%9C%D0%93/789.%20%D1%83%D0%BB%20%D0%9D%D0%B8%D0%BA%D0%B8%D1%82%D0%B8%D0%BD%D1%81%D0%BA%D0%B0%D1%8F%20%D0%B2%D0%BB%2015%20</t>
  </si>
  <si>
    <t>594</t>
  </si>
  <si>
    <t>район Косино-Ухтомский, Оренбургская ул., вл.26</t>
  </si>
  <si>
    <t>55.710601</t>
  </si>
  <si>
    <t>37.865433</t>
  </si>
  <si>
    <t>https://docs.google.com/spreadsheets/d/1H1MjbG2y0oC0hhID4do1G0_gfyI1jag72lQd7nL3WDQ/edit?gid=984031511#gid=984031511</t>
  </si>
  <si>
    <t>https://disk.yandex.ru/client/disk/Осмотры%20объектов%20АНО%20СМГ/594%20район%20Косино-Ухтомский%2C%20Оренбургская%20ул.%2C%20вл.26</t>
  </si>
  <si>
    <t>г.о. Щербинка, ул. 40 лет Октября, з/у 12</t>
  </si>
  <si>
    <t>55.510648</t>
  </si>
  <si>
    <t>37.572771</t>
  </si>
  <si>
    <t>86 мин</t>
  </si>
  <si>
    <t>https://docs.google.com/spreadsheets/d/1rbCD10ySi4YZEkJW2_Slmn9z7AI1WEsGsZaIJmnnT18/edit?gid=811633138#gid=811633138</t>
  </si>
  <si>
    <t>https://disk.yandex.ru/client/disk/Осмотры%20объектов%20АНО%20СМГ/550.%20г.о.%20Щербинка%2C%20ул.%2040%20лет%20Октября%2C%20з.у%2012%20Симферопольская%20ул.%2C%20д.%202%2C%20ул.%2040%20лет%20Октября%2C%20д.%2012%2C%20д.%2016.1)</t>
  </si>
  <si>
    <t>Москва, Кусковская улица, 21</t>
  </si>
  <si>
    <t>55.739422</t>
  </si>
  <si>
    <t>37.778923</t>
  </si>
  <si>
    <t>https://docs.google.com/spreadsheets/d/1rbCD10ySi4YZEkJW2_Slmn9z7AI1WEsGsZaIJmnnT18/edit?gid=1340012708#gid=1340012708</t>
  </si>
  <si>
    <t>https://disk.yandex.ru/client/disk/Осмотры%20объектов%20АНО%20СМГ/845%20ВАО%20ул.%20Кусковская%20вл.%2021</t>
  </si>
  <si>
    <t>847</t>
  </si>
  <si>
    <t>Москва, 3-я Прядильная улица, 1</t>
  </si>
  <si>
    <t>55.798743</t>
  </si>
  <si>
    <t>37.770187</t>
  </si>
  <si>
    <t>15 мин</t>
  </si>
  <si>
    <t>https://docs.google.com/spreadsheets/d/1rbCD10ySi4YZEkJW2_Slmn9z7AI1WEsGsZaIJmnnT18/edit?gid=187611865#gid=187611865</t>
  </si>
  <si>
    <t>https://disk.yandex.ru/client/disk/%D0%9E%D1%81%D0%BC%D0%BE%D1%82%D1%80%D1%8B%20%D0%BE%D0%B1%D1%8A%D0%B5%D0%BA%D1%82%D0%BE%D0%B2%20%D0%90%D0%9D%D0%9E%20%D0%A1%D0%9C%D0%93/847.%203-%D1%8F%20%D0%9F%D1%80%D1%8F%D0%B4%D0%B8%D0%BB%D1%8C%D0%BD%D0%B0%D1%8F%20%D1%83%D0%BB.%2C%20%D0%B7%D1%83%201</t>
  </si>
  <si>
    <t>Москва, Кусковская улица, 23</t>
  </si>
  <si>
    <t>55.739990</t>
  </si>
  <si>
    <t>37.780264</t>
  </si>
  <si>
    <t>https://docs.google.com/spreadsheets/d/1rbCD10ySi4YZEkJW2_Slmn9z7AI1WEsGsZaIJmnnT18/edit?gid=771281495#gid=771281495</t>
  </si>
  <si>
    <t>https://disk.yandex.ru/client/disk/Осмотры%20объектов%20АНО%20СМГ/846%20ВАО%09%20Кусковская%20ул.%2C%20вл.%2023</t>
  </si>
  <si>
    <t>489</t>
  </si>
  <si>
    <t>г.о. Троицк, Спортивная ул., з/у 1</t>
  </si>
  <si>
    <t>55.473513</t>
  </si>
  <si>
    <t>37.304668</t>
  </si>
  <si>
    <t>46 мин</t>
  </si>
  <si>
    <t>https://docs.google.com/spreadsheets/d/1H1MjbG2y0oC0hhID4do1G0_gfyI1jag72lQd7nL3WDQ/edit?gid=1943197822#gid=1943197822</t>
  </si>
  <si>
    <t>https://disk.yandex.ru/client/disk/Осмотры%20объектов%20АНО%20СМГ/489.%20г.о.%20Троицк%2C%20ул.%20Спортивная%2C%20зу%201</t>
  </si>
  <si>
    <t>район Дмитровский, ул. Лобненская, з/у 9А, к. 23 микрорайон 15, 16, 17, 18 зона № 14.1</t>
  </si>
  <si>
    <t>55.887585</t>
  </si>
  <si>
    <t>37.538869</t>
  </si>
  <si>
    <t>https://docs.google.com/spreadsheets/d/1H1MjbG2y0oC0hhID4do1G0_gfyI1jag72lQd7nL3WDQ/edit?gid=1791563527#gid=1791563527</t>
  </si>
  <si>
    <t>https://disk.yandex.ru/client/disk/Осмотры%20объектов%20АНО%20СМГ/551.%20Дмитровский%2C%20Лобненская%20ул.%2C%20з.у%209А%2C%20К.23%20мкр.%2015%2C%2016%2C%2017%2C%2018%2C%20зона%20№%20%2014.1</t>
  </si>
  <si>
    <t>Лобачевского ул., вл. 62</t>
  </si>
  <si>
    <t>55.675595</t>
  </si>
  <si>
    <t>37.492644</t>
  </si>
  <si>
    <t>https://docs.google.com/spreadsheets/d/1rbCD10ySi4YZEkJW2_Slmn9z7AI1WEsGsZaIJmnnT18/edit?gid=387655725#gid=387655725</t>
  </si>
  <si>
    <t>https://disk.yandex.ru/client/disk/Осмотры%20объектов%20АНО%20СМГ/609.%20ЗАО%20проспект%20Вернадского%2C%20Лобачевского%20улица.%2C%20вл.62</t>
  </si>
  <si>
    <t>258</t>
  </si>
  <si>
    <t>Здание для размещения дошкольных групп на 150 мест на месте сноса неиспользуемого здания, р-н Тимирязевский, ул. Астрадамская, д. 15, к. 2</t>
  </si>
  <si>
    <t>55.813379</t>
  </si>
  <si>
    <t>37.559936</t>
  </si>
  <si>
    <t>https://docs.google.com/spreadsheets/d/19THEBTE9q0fhN2eApZr6BgenIvLGh0AckaYxHQfHk5w/edit?gid=1404088730#gid=1404088730</t>
  </si>
  <si>
    <t>https://disk.yandex.ru/client/disk/%D0%9E%D1%81%D0%BC%D0%BE%D1%82%D1%80%D1%8B%20%D0%BE%D0%B1%D1%8A%D0%B5%D0%BA%D1%82%D0%BE%D0%B2%20%D0%90%D0%9D%D0%9E%20%D0%A1%D0%9C%D0%93/258.%20%D0%A1%D0%90%D0%9E%2C%20%D1%83%D0%BB.%20%D0%90%D1%81%D1%82%D1%80%D0%B0%D0%B4%D0%B0%D0%BC%D1%81%D0%BA%D0%B0%D1%8F%2C%20%D0%B4.%2015%2C%20%D0%BA.%202%20%D0%94%D0%9E%D0%A3%20150%20%D0%BC%D0%B5%D1%81%D1%82</t>
  </si>
  <si>
    <t>646</t>
  </si>
  <si>
    <t>район Южное Бутово, Ливенская ул., зу 1</t>
  </si>
  <si>
    <t>55.546041</t>
  </si>
  <si>
    <t>37.561918</t>
  </si>
  <si>
    <t>https://docs.google.com/spreadsheets/d/1rbCD10ySi4YZEkJW2_Slmn9z7AI1WEsGsZaIJmnnT18/edit?gid=1009116353#gid=1009116353</t>
  </si>
  <si>
    <t>https://disk.yandex.ru/client/disk/Осмотры%20объектов%20АНО%20СМГ/646.%20Южное%20Бутово%2C%20Ливенская%20ул.%20зу.%201</t>
  </si>
  <si>
    <t>район Выхино-Жулебино, ул. Ташкентская ЗУ 14/3, зона № 3.2, 3.4</t>
  </si>
  <si>
    <t>55.704688</t>
  </si>
  <si>
    <t>37.813485</t>
  </si>
  <si>
    <t>52 мин</t>
  </si>
  <si>
    <t>https://docs.google.com/spreadsheets/d/1rbCD10ySi4YZEkJW2_Slmn9z7AI1WEsGsZaIJmnnT18/edit?gid=252316906#gid=252316906</t>
  </si>
  <si>
    <t>https://disk.yandex.ru/client/disk/Осмотры%20объектов%20АНО%20СМГ/827.%20район%20Выхино-Жулебино%2C%20ул.%20Ташкентская%20ЗУ%2014.3%2C%20зона%20№%203.2%2C%203.4</t>
  </si>
  <si>
    <t>Москва, улица Свободы, (мкр 14) д.1 к.4</t>
  </si>
  <si>
    <t>55.824283</t>
  </si>
  <si>
    <t>37.449138</t>
  </si>
  <si>
    <t>8 мин</t>
  </si>
  <si>
    <t>https://docs.google.com/spreadsheets/d/1rbCD10ySi4YZEkJW2_Slmn9z7AI1WEsGsZaIJmnnT18/edit?gid=1315766169#gid=1315766169</t>
  </si>
  <si>
    <t>https://disk.yandex.ru/client/disk/Осмотры%20объектов%20АНО%20СМГ/864.%20Москва%2C%20улица%20Свободы%2C%20(мкр%2014)%20д.1%20к.4</t>
  </si>
  <si>
    <t>ул. Малая Юшуньская з/у 12/1 (зона 7.5)</t>
  </si>
  <si>
    <t>55.651939</t>
  </si>
  <si>
    <t>37.588976</t>
  </si>
  <si>
    <t>38 мин</t>
  </si>
  <si>
    <t>https://docs.google.com/spreadsheets/d/1H1MjbG2y0oC0hhID4do1G0_gfyI1jag72lQd7nL3WDQ/edit?gid=1835376342#gid=1835376342</t>
  </si>
  <si>
    <t>https://disk.yandex.ru/client/disk/Осмотры%20объектов%20АНО%20СМГ/613.%20Район%20Зюзино%2C%20ул.%20Малая%20Юшуньская%2012_1%20(зона%207.5)</t>
  </si>
  <si>
    <t>915</t>
  </si>
  <si>
    <t>2-й Котляковский переулок, з/у 5 (2-й Котляковский переулок, з/у 5/1, 6А)</t>
  </si>
  <si>
    <t>55.644939</t>
  </si>
  <si>
    <t>37.637156</t>
  </si>
  <si>
    <t>https://docs.google.com/spreadsheets/d/1rbCD10ySi4YZEkJW2_Slmn9z7AI1WEsGsZaIJmnnT18/edit?gid=314292055#gid=314292055</t>
  </si>
  <si>
    <t>https://disk.yandex.ru/client/disk/Осмотры%20объектов%20АНО%20СМГ/915.%202-ой%20Котляковский%20переулок%2C%20з.у.%205.1%2C%206А</t>
  </si>
  <si>
    <t>936</t>
  </si>
  <si>
    <t>Москва, Перовская улица, 36</t>
  </si>
  <si>
    <t>55.745696</t>
  </si>
  <si>
    <t>37.778515</t>
  </si>
  <si>
    <t>18 мин</t>
  </si>
  <si>
    <t>https://docs.google.com/spreadsheets/d/1rbCD10ySi4YZEkJW2_Slmn9z7AI1WEsGsZaIJmnnT18/edit?gid=1380549667#gid=1380549667</t>
  </si>
  <si>
    <t>https://disk.yandex.ru/client/disk/Осмотры%20объектов%20АНО%20СМГ/936%20Перовская%20ул.%2C%20з.у%2036</t>
  </si>
  <si>
    <t>район Выхино-Жулебино, улица Ташкентская, земельный участок 14/5 (зоны 3.3, 3.4) (со сносом жилого дома по адресу: Ташкентская улица, дом 14, корпус 5)</t>
  </si>
  <si>
    <t>55.705355</t>
  </si>
  <si>
    <t>37.813629</t>
  </si>
  <si>
    <t>https://docs.google.com/spreadsheets/d/1rbCD10ySi4YZEkJW2_Slmn9z7AI1WEsGsZaIJmnnT18/edit?gid=830671407#gid=830671407</t>
  </si>
  <si>
    <t>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м%2014%2C%20корпус%205)</t>
  </si>
  <si>
    <t>Перовская ул., вл. 46/48</t>
  </si>
  <si>
    <t>55.745179</t>
  </si>
  <si>
    <t>37.783815</t>
  </si>
  <si>
    <t>35 мин</t>
  </si>
  <si>
    <t>https://docs.google.com/spreadsheets/d/1rbCD10ySi4YZEkJW2_Slmn9z7AI1WEsGsZaIJmnnT18/edit?gid=590835051#gid=590835051</t>
  </si>
  <si>
    <t>https://disk.yandex.ru/client/disk/Осмотры%20объектов%20АНО%20СМГ/872%20ул.%20Перовская%20зем.%20уч.%2046-48</t>
  </si>
  <si>
    <t>894</t>
  </si>
  <si>
    <t>Ереванская зу 2_1</t>
  </si>
  <si>
    <t>55.631183</t>
  </si>
  <si>
    <t>37.668453</t>
  </si>
  <si>
    <t>https://docs.google.com/spreadsheets/d/1rbCD10ySi4YZEkJW2_Slmn9z7AI1WEsGsZaIJmnnT18/edit?gid=1589688669#gid=1589688669</t>
  </si>
  <si>
    <t>https://disk.yandex.ru/client/disk/Осмотры%20объектов%20АНО%20СМГ/894.%20Ереванская%20ул.%2C%20з-у%202-1.%20Жилой%20дом</t>
  </si>
  <si>
    <t>711</t>
  </si>
  <si>
    <t>район Измайлово, 3-я Прядильная ул., зу 13 (рефинансирование)</t>
  </si>
  <si>
    <t>55.798724</t>
  </si>
  <si>
    <t>37.776426</t>
  </si>
  <si>
    <t>https://docs.google.com/spreadsheets/d/1rbCD10ySi4YZEkJW2_Slmn9z7AI1WEsGsZaIJmnnT18/edit?gid=1127542232#gid=1127542232</t>
  </si>
  <si>
    <t>https://disk.yandex.ru/client/disk/Осмотры%20объектов%20АНО%20СМГ/711%203-я%20Прядильная%20ул.%2C%20зу%2013</t>
  </si>
  <si>
    <t>895</t>
  </si>
  <si>
    <t>Ереванская зу 6_1</t>
  </si>
  <si>
    <t>55.630564</t>
  </si>
  <si>
    <t>37.669934</t>
  </si>
  <si>
    <t>9 мин</t>
  </si>
  <si>
    <t>https://docs.google.com/spreadsheets/d/1rbCD10ySi4YZEkJW2_Slmn9z7AI1WEsGsZaIJmnnT18/edit?gid=1161001794#gid=1161001794</t>
  </si>
  <si>
    <t>https://disk.yandex.ru/client/disk/Осмотры%20объектов%20АНО%20СМГ/895.%20Ереванская%20ул.%2C%20з-у%206-1.%20Жилой%20дом</t>
  </si>
  <si>
    <t>17</t>
  </si>
  <si>
    <t>Выполнение подрядных работ по объекту: "Культурно-досуговый центр п. Шишкин Лес, пос.Михайлово-Ярцевское"
Новая Москва
поселение Михайлово-Ярцевское, п. Шишкин лес, вл. 35А</t>
  </si>
  <si>
    <t>55.413782</t>
  </si>
  <si>
    <t>37.189248</t>
  </si>
  <si>
    <t>https://docs.google.com/spreadsheets/d/19THEBTE9q0fhN2eApZr6BgenIvLGh0AckaYxHQfHk5w/edit?gid=1089584377#gid=1089584377</t>
  </si>
  <si>
    <t>https://disk.yandex.ru/client/disk/%D0%9E%D1%81%D0%BC%D0%BE%D1%82%D1%80%D1%8B%20%D0%BE%D0%B1%D1%8A%D0%B5%D0%BA%D1%82%D0%BE%D0%B2%20%D0%90%D0%9D%D0%9E%20%D0%A1%D0%9C%D0%93/017.%20%D0%A8%D0%B8%D1%88%D0%BA%D0%B8%D0%BD%20%D0%BB%D0%B5%D1%81%20%D0%9A%D0%94%D0%A6</t>
  </si>
  <si>
    <t>190</t>
  </si>
  <si>
    <t>Жилой дом с инженерными коммуникациями и благоустройством, Чечерский проезд, вл. 28 уч. 1</t>
  </si>
  <si>
    <t>55.535215</t>
  </si>
  <si>
    <t>37.537291</t>
  </si>
  <si>
    <t>https://docs.google.com/spreadsheets/d/1H1MjbG2y0oC0hhID4do1G0_gfyI1jag72lQd7nL3WDQ/edit?gid=1295057076#gid=1295057076</t>
  </si>
  <si>
    <t>https://disk.yandex.ru/client/disk/%D0%9E%D1%81%D0%BC%D0%BE%D1%82%D1%80%D1%8B%20%D0%BE%D0%B1%D1%8A%D0%B5%D0%BA%D1%82%D0%BE%D0%B2%20%D0%90%D0%9D%D0%9E%20%D0%A1%D0%9C%D0%93/190.%20%D0%AE%D0%B6%D0%BD%D0%BE%D0%B5%20%D0%91%D1%83%D1%82%D0%BE%D0%B2%D0%BE%2C%20%D0%A7%D0%B5%D1%87%C3%AB%D1%80%D1%81%D0%BA%D0%B8%D0%B9%20%D0%BF%D1%80-%D0%B4%2C%20%D0%B2%D0%BB.%2028%2C%20%D1%83%D1%87.%201.</t>
  </si>
  <si>
    <t>535</t>
  </si>
  <si>
    <t>ул. Ташкентская ЗУ 14/1 зона 3.1</t>
  </si>
  <si>
    <t>55.704329</t>
  </si>
  <si>
    <t>37.815570</t>
  </si>
  <si>
    <t>https://docs.google.com/spreadsheets/d/1H1MjbG2y0oC0hhID4do1G0_gfyI1jag72lQd7nL3WDQ/edit?gid=168468884#gid=168468884</t>
  </si>
  <si>
    <t>https://disk.yandex.ru/client/disk/Осмотры%20объектов%20АНО%20СМГ/535%20ЮВАО%2C%20район%20Выхино-Жулебино%2C%20ул.%20Ташкентская%20ЗУ%2014.1%2C%20мкр.%20136%2C%20зона%20№%203.1</t>
  </si>
  <si>
    <t>р-н Дмитровский, улица Долгопрудная, з/у 6, мкр. 15, 16, 17, 18 (Зона 10.5) (со сносом жилых зданий по адресам: Долгопрудная ул., д.6, к.1; Дмитровское шоссе, д.143, к.1)</t>
  </si>
  <si>
    <t>55.893782</t>
  </si>
  <si>
    <t>https://docs.google.com/spreadsheets/d/1rbCD10ySi4YZEkJW2_Slmn9z7AI1WEsGsZaIJmnnT18/edit?gid=953902791#gid=953902791</t>
  </si>
  <si>
    <t>https://disk.yandex.ru/client/disk/Осмотры%20объектов%20АНО%20СМГ/620.%20%20ул.%20Долгопрудная%20з.у.%206</t>
  </si>
  <si>
    <t>Братская ул., вл. 23</t>
  </si>
  <si>
    <t>55.749281</t>
  </si>
  <si>
    <t>37.795311</t>
  </si>
  <si>
    <t>https://docs.google.com/spreadsheets/d/1rbCD10ySi4YZEkJW2_Slmn9z7AI1WEsGsZaIJmnnT18/edit?gid=238290316#gid=238290316</t>
  </si>
  <si>
    <t>https://disk.yandex.ru/client/disk/Осмотры%20объектов%20АНО%20СМГ/948%20ул.%20Братская%2C%20вл.23</t>
  </si>
  <si>
    <t>Москва, Перекопская улица, 4</t>
  </si>
  <si>
    <t>55.659190</t>
  </si>
  <si>
    <t>37.585503</t>
  </si>
  <si>
    <t>88 мин</t>
  </si>
  <si>
    <t>https://docs.google.com/spreadsheets/d/1rbCD10ySi4YZEkJW2_Slmn9z7AI1WEsGsZaIJmnnT18/edit?gid=932084254#gid=932084254</t>
  </si>
  <si>
    <t>https://disk.yandex.ru/client/disk/Осмотры%20объектов%20АНО%20СМГ/844.%20Перекопская%20улица%2C%20зу%204</t>
  </si>
  <si>
    <t>689</t>
  </si>
  <si>
    <t>район Головинский, Авангардная улица, земельный участок 12 (Зона 4.1)</t>
  </si>
  <si>
    <t>55.846769</t>
  </si>
  <si>
    <t>37.490618</t>
  </si>
  <si>
    <t>https://docs.google.com/spreadsheets/d/1H1MjbG2y0oC0hhID4do1G0_gfyI1jag72lQd7nL3WDQ/edit?gid=998835814#gid=998835814</t>
  </si>
  <si>
    <t>https://disk.yandex.ru/client/disk/Осмотры%20объектов%20АНО%20СМГ/689.%20ул.%20Авангардная%20вл.%2012</t>
  </si>
  <si>
    <t>210</t>
  </si>
  <si>
    <t>Выполнение работ по проектированию, строительству и вводу в эксплуатацию объекта «Жилой дом с инженерными коммуникациями и благоустройством по адресу: Главмосстроя ул., влд.1 (со сносом жилых домов по адресам: Главмосстроя ул., д.1; д.1, к.1; д.1, к.2 и инженерной подготовкой территории)»</t>
  </si>
  <si>
    <t>55.650729</t>
  </si>
  <si>
    <t>37.409127</t>
  </si>
  <si>
    <t>109 мин</t>
  </si>
  <si>
    <t>https://docs.google.com/spreadsheets/d/19THEBTE9q0fhN2eApZr6BgenIvLGh0AckaYxHQfHk5w/edit?gid=1697091636#gid=1697091636</t>
  </si>
  <si>
    <t>https://disk.yandex.ru/client/disk/%D0%9E%D1%81%D0%BC%D0%BE%D1%82%D1%80%D1%8B%20%D0%BE%D0%B1%D1%8A%D0%B5%D0%BA%D1%82%D0%BE%D0%B2%20%D0%90%D0%9D%D0%9E%20%D0%A1%D0%9C%D0%93/210.%20%D0%96%D0%B8%D0%BB%D0%BE%D0%B9%20%D0%B4%D0%BE%D0%BC%20%D1%81%20%D0%B8%D0%BD%D0%B6%D0%B5%D0%BD%D0%B5%D1%80%D0%BD%D1%8B%D0%BC%D0%B8%20%D0%BA%D0%BE%D0%BC%D0%BC%D1%83%D0%BD%D0%B8%D0%BA%D0%B0%D1%86%D0%B8%D1%8F%D0%BC%D0%B8%20%D0%B8%0A%D0%B1%D0%BB%D0%B0%D0%B3%D0%BE%D1%83%D1%81%D1%82%D1%80%D0%BE%D0%B9%D1%81%D1%82%D0%B2%D0%BE%D0%BC%20%D0%BF%D0%BE%20%D0%B0%D0%B4%D1%80%D0%B5%D1%81%D1%83%3A%20%D0%93%D0%BB%D0%B0%D0%B2%D0%BC%D0%BE%D1%81%D1%81%D1%82%D1%80%D0%BE%D1%8F%20%D1%83%D0%BB.%2C%20%D0%B2%D0%BB%D0%B4.1</t>
  </si>
  <si>
    <t>916</t>
  </si>
  <si>
    <t>Каспийская ул., вл. 24, корп. 4</t>
  </si>
  <si>
    <t>55.626253</t>
  </si>
  <si>
    <t>37.672581</t>
  </si>
  <si>
    <t>https://docs.google.com/spreadsheets/d/1rbCD10ySi4YZEkJW2_Slmn9z7AI1WEsGsZaIJmnnT18/edit?gid=223359966#gid=223359966</t>
  </si>
  <si>
    <t>https://disk.yandex.ru/client/disk/Осмотры%20объектов%20АНО%20СМГ/916.%20Жилой%20дом.%20Каспийская%20ул.%2C%20вл.%2024%2C%20Корп.%204</t>
  </si>
  <si>
    <t>869</t>
  </si>
  <si>
    <t>Новогиреевская улица, 49/51</t>
  </si>
  <si>
    <t>55.748415</t>
  </si>
  <si>
    <t>37.801643</t>
  </si>
  <si>
    <t>https://docs.google.com/spreadsheets/d/1rbCD10ySi4YZEkJW2_Slmn9z7AI1WEsGsZaIJmnnT18/edit?gid=1195287561#gid=1195287561</t>
  </si>
  <si>
    <t>https://disk.yandex.ru/client/disk/Осмотры%20объектов%20АНО%20СМГ/869%20Новогиреевская%20ул.%20уч.%2049-51</t>
  </si>
  <si>
    <t>810</t>
  </si>
  <si>
    <t>Южное Бутово, Чечёрский проезд, земельный участок 28/2 (Чечерский пр-д, вл. 28)</t>
  </si>
  <si>
    <t>55.535987</t>
  </si>
  <si>
    <t>37.538589</t>
  </si>
  <si>
    <t>https://docs.google.com/spreadsheets/d/1H1MjbG2y0oC0hhID4do1G0_gfyI1jag72lQd7nL3WDQ/edit?gid=325961003#gid=325961003</t>
  </si>
  <si>
    <t>https://disk.yandex.ru/client/disk/Осмотры%20объектов%20АНО%20СМГ/810.%20Чечерский%20проезд%2028%20ЖК%20реновация%20ГП%20СУ%20214</t>
  </si>
  <si>
    <t>район Южное Тушино, ул. Сходненская, вл. 42</t>
  </si>
  <si>
    <t>55.844727</t>
  </si>
  <si>
    <t>37.439962</t>
  </si>
  <si>
    <t>https://docs.google.com/spreadsheets/d/1H1MjbG2y0oC0hhID4do1G0_gfyI1jag72lQd7nL3WDQ/edit?gid=1587877211#gid=1587877211</t>
  </si>
  <si>
    <t>https://disk.yandex.ru/client/disk/Осмотры%20объектов%20АНО%20СМГ/716%20Сходненская%20%20вл%2042</t>
  </si>
  <si>
    <t>пос. Михайлово-Ярцевское, п. Шишкин Лес, з/у 5 зона № 6.2</t>
  </si>
  <si>
    <t>55.413660</t>
  </si>
  <si>
    <t>37.192563</t>
  </si>
  <si>
    <t>https://docs.google.com/spreadsheets/d/1rbCD10ySi4YZEkJW2_Slmn9z7AI1WEsGsZaIJmnnT18/edit?gid=1721879742#gid=1721879742</t>
  </si>
  <si>
    <t>https://disk.yandex.ru/client/disk/Осмотры%20объектов%20АНО%20СМГ/698.%20пос.%20Михайлово-Ярцевское%2C%20п.%20Шишкин%20Лес%2C%20зу%205%20зона%20№%206.2</t>
  </si>
  <si>
    <t>р-н Дмитровский мкр. 15, 16, 17, 18. улица Долгопрудная, з/у 8 (Зона 10.4) (со сносом жилых домов по адресу: ул. Долгопрудная, д.8, к.2 и ул. Долгопрудная, д.8, к.1)</t>
  </si>
  <si>
    <t>55.894542</t>
  </si>
  <si>
    <t>37.539888</t>
  </si>
  <si>
    <t>11 мин</t>
  </si>
  <si>
    <t>https://docs.google.com/spreadsheets/d/1rbCD10ySi4YZEkJW2_Slmn9z7AI1WEsGsZaIJmnnT18/edit?gid=43981398#gid=43981398</t>
  </si>
  <si>
    <t>https://disk.yandex.ru/client/disk/Осмотры%20объектов%20АНО%20СМГ/663.%20ул.%20Долгопрудная%20з.у.%208</t>
  </si>
  <si>
    <t>Москва, Свободный проспект, 12</t>
  </si>
  <si>
    <t>55.755177</t>
  </si>
  <si>
    <t>37.817813</t>
  </si>
  <si>
    <t>https://docs.google.com/spreadsheets/d/1rbCD10ySi4YZEkJW2_Slmn9z7AI1WEsGsZaIJmnnT18/edit?gid=39049871#gid=39049871</t>
  </si>
  <si>
    <t>https://disk.yandex.ru/client/disk/Осмотры%20объектов%20АНО%20СМГ/760.%20Свободный%20проспект%20вл%2012</t>
  </si>
  <si>
    <t>137 мин</t>
  </si>
  <si>
    <t>район Косино-Ухтомский, Камова ул., вл. 24</t>
  </si>
  <si>
    <t>55.699665</t>
  </si>
  <si>
    <t>37.875188</t>
  </si>
  <si>
    <t>https://docs.google.com/spreadsheets/d/1H1MjbG2y0oC0hhID4do1G0_gfyI1jag72lQd7nL3WDQ/edit?gid=747557076#gid=747557076</t>
  </si>
  <si>
    <t>https://disk.yandex.ru/client/disk/Осмотры%20объектов%20АНО%20СМГ/447.%20район%20Косино-Ухтомский%2C%20ул.%20Камова%2C%20влд.%2024</t>
  </si>
  <si>
    <t>район Очаково- Матвеевское, Большая Очаковская, влд. 45А, квартал 2,4 зона 15.1 (со сносом жилых зданий по адресу: ул. Большая Очаковская, 45 к.1, ул. Проектируемый проезд №1980, д.3)</t>
  </si>
  <si>
    <t>55.674464</t>
  </si>
  <si>
    <t>37.446148</t>
  </si>
  <si>
    <t>113 мин</t>
  </si>
  <si>
    <t>https://docs.google.com/spreadsheets/d/1rbCD10ySi4YZEkJW2_Slmn9z7AI1WEsGsZaIJmnnT18/edit?gid=1525507838#gid=1525507838</t>
  </si>
  <si>
    <t>https://disk.yandex.ru/client/disk/Осмотры%20объектов%20АНО%20СМГ/712.%20Большая%20Очаковская%2C%20влд.%2045А%2C%20квартал%202%2C4%20зона%2015.1</t>
  </si>
  <si>
    <t>Каховка зу 14/2</t>
  </si>
  <si>
    <t>55.655884</t>
  </si>
  <si>
    <t>37.576879</t>
  </si>
  <si>
    <t>https://docs.google.com/spreadsheets/d/1rbCD10ySi4YZEkJW2_Slmn9z7AI1WEsGsZaIJmnnT18/edit?gid=900983135#gid=900983135</t>
  </si>
  <si>
    <t>https://disk.yandex.ru/client/disk/Осмотры%20объектов%20АНО%20СМГ/863.%20ул.%20Каховка%2C%20земельный%20участок%2014-2</t>
  </si>
  <si>
    <t>016</t>
  </si>
  <si>
    <t>Выполнение подрядных работ по объекту: «Реконструкция незавершенного строительством объекта нежилого фонда с целью создания объекта «Детско-взрослая поликлиника на 750 посещений в смену с женской консультацией и Центр социального обслуживания по адресу: г. Москва, Троицкий и Новомосковский административный округ г. Москвы, пос. Первомайское, п. Птичное»
Поселок Птичное, Улица Лесная, Земельный участок 86Б, Земельный участок 86, Земельный участок 86А</t>
  </si>
  <si>
    <t>55.526534</t>
  </si>
  <si>
    <t>37.214836</t>
  </si>
  <si>
    <t>https://docs.google.com/spreadsheets/d/19THEBTE9q0fhN2eApZr6BgenIvLGh0AckaYxHQfHk5w/edit?gid=1127401829#gid=1127401829</t>
  </si>
  <si>
    <t>https://disk.yandex.ru/client/disk/%D0%9E%D1%81%D0%BC%D0%BE%D1%82%D1%80%D1%8B%20%D0%BE%D0%B1%D1%8A%D0%B5%D0%BA%D1%82%D0%BE%D0%B2%20%D0%90%D0%9D%D0%9E%20%D0%A1%D0%9C%D0%93/016.%20%D0%9F%D1%82%D0%B8%D1%87%D0%BD%D0%BE%D0%B5%20%D0%BF%D0%BE%D0%BB%D0%B8%D0%BA%D0%BB%D0%B8%D0%BD%D0%B8%D0%BA%D0%B0%20750</t>
  </si>
  <si>
    <t>1183</t>
  </si>
  <si>
    <t>Строительство сетей канализации с. Остафьево, НАО 2 этап. Канализационная насосная станция</t>
  </si>
  <si>
    <t>55.498102</t>
  </si>
  <si>
    <t>37.506046</t>
  </si>
  <si>
    <t>https://docs.google.com/spreadsheets/d/19THEBTE9q0fhN2eApZr6BgenIvLGh0AckaYxHQfHk5w/edit?gid=1529981182#gid=1529981182</t>
  </si>
  <si>
    <t>https://disk.yandex.ru/client/disk/%D0%9E%D1%81%D0%BC%D0%BE%D1%82%D1%80%D1%8B%20%D0%BE%D0%B1%D1%8A%D0%B5%D0%BA%D1%82%D0%BE%D0%B2%20%D0%90%D0%9D%D0%9E%20%D0%A1%D0%9C%D0%93/1183.%20%D0%A1%D1%82%D1%80%D0%BE%D0%B8%D1%82%D0%B5%D0%BB%D1%8C%D1%81%D1%82%D0%B2%D0%BE%20%D1%81%D0%B5%D1%82%D0%B5%D0%B9%20%D0%BA%D0%B0%D0%BD%D0%B0%D0%BB%D0%B8%D0%B7%D0%B0%D1%86%D0%B8%D0%B8.%20%D0%9E%D1%81%D1%82%D0%B0%D1%84%D1%8C%D0%B5%D0%B2%D0%BE%202%20%D1%8D%D1%82%D0%B0%D0%BF%20%D0%9A%D0%9D%D0%A1</t>
  </si>
  <si>
    <t>516</t>
  </si>
  <si>
    <t>район Лианозово, ул. Илимская, з/у 5</t>
  </si>
  <si>
    <t>55.889160</t>
  </si>
  <si>
    <t>37.580751</t>
  </si>
  <si>
    <t>https://docs.google.com/spreadsheets/d/1H1MjbG2y0oC0hhID4do1G0_gfyI1jag72lQd7nL3WDQ/edit?gid=1390124130#gid=1390124130</t>
  </si>
  <si>
    <t>https://disk.yandex.ru/client/disk/Осмотры%20объектов%20АНО%20СМГ/516%20Илимская%20вл%205</t>
  </si>
  <si>
    <t>662</t>
  </si>
  <si>
    <t>район Новогиреево, Свободный пр-кт, вл. 6 (со сносом жилого дома по адресу: Свободный пр-кт, д. 6, к. 1)</t>
  </si>
  <si>
    <t>55.756972</t>
  </si>
  <si>
    <t>37.818630</t>
  </si>
  <si>
    <t>https://docs.google.com/spreadsheets/d/1rbCD10ySi4YZEkJW2_Slmn9z7AI1WEsGsZaIJmnnT18/edit?gid=1007518382#gid=1007518382</t>
  </si>
  <si>
    <t>https://disk.yandex.ru/client/disk/%D0%9E%D1%81%D0%BC%D0%BE%D1%82%D1%80%D1%8B%20%D0%BE%D0%B1%D1%8A%D0%B5%D0%BA%D1%82%D0%BE%D0%B2%20%D0%90%D0%9D%D0%9E%20%D0%A1%D0%9C%D0%93/662%20%D0%A1%D0%B2%D0%BE%D0%B1%D0%BE%D0%B4%D0%BD%D1%8B%D0%B9%20%D0%BF%D1%80-%D0%BA%D1%82%2C%20%D0%B2%D0%BB.%206%20%D0%BA1%20</t>
  </si>
  <si>
    <t>558</t>
  </si>
  <si>
    <t>район Коптево, переулок 3-й Михалковский, земельный участок 17/19 (3-й Михалковский пер., вл. 17, вл. 19)</t>
  </si>
  <si>
    <t>55.835719</t>
  </si>
  <si>
    <t>37.524640</t>
  </si>
  <si>
    <t>151 мин</t>
  </si>
  <si>
    <t>https://docs.google.com/spreadsheets/d/1H1MjbG2y0oC0hhID4do1G0_gfyI1jag72lQd7nL3WDQ/edit?gid=1578036964#gid=1578036964</t>
  </si>
  <si>
    <t>https://disk.yandex.ru/client/disk/Осмотры%20объектов%20АНО%20СМГ/558.%203-й%20Михалковский%20пер.%2C%20зу%2017-19</t>
  </si>
  <si>
    <t>918</t>
  </si>
  <si>
    <t>ул. Загорьевская, з/у 2/5</t>
  </si>
  <si>
    <t>55.580326</t>
  </si>
  <si>
    <t>37.674947</t>
  </si>
  <si>
    <t>https://docs.google.com/spreadsheets/d/1rbCD10ySi4YZEkJW2_Slmn9z7AI1WEsGsZaIJmnnT18/edit?gid=1242332740#gid=1242332740</t>
  </si>
  <si>
    <t>https://disk.yandex.ru/client/disk/Осмотры%20объектов%20АНО%20СМГ/918.%20ул.%20Загорьевская%2C%20з.у%202.5</t>
  </si>
  <si>
    <t>472</t>
  </si>
  <si>
    <t>Москва, проезд Досфлота, 2</t>
  </si>
  <si>
    <t>55.840826</t>
  </si>
  <si>
    <t>37.458966</t>
  </si>
  <si>
    <t>153 мин</t>
  </si>
  <si>
    <t>https://docs.google.com/spreadsheets/d/1H1MjbG2y0oC0hhID4do1G0_gfyI1jag72lQd7nL3WDQ/edit?gid=882317293#gid=882317293</t>
  </si>
  <si>
    <t>https://disk.yandex.ru/client/disk/%D0%9E%D1%81%D0%BC%D0%BE%D1%82%D1%80%D1%8B%20%D0%BE%D0%B1%D1%8A%D0%B5%D0%BA%D1%82%D0%BE%D0%B2%20%D0%90%D0%9D%D0%9E%20%D0%A1%D0%9C%D0%93/494.%20%D0%9A%D0%B0%D0%BD%D1%82%D0%B5%D0%BC%D0%B8%D1%80%D0%BE%D0%B2%D1%81%D0%BA%D0%B0%D1%8F%20%D1%83%D0%BB.%2C%2043%20%D1%80%D0%B5%D0%BD%D0%BE%D0%B2%D0%B0%D1%86%D0%B8%D1%8F%20(%D0%B4.43)</t>
  </si>
  <si>
    <t>1341</t>
  </si>
  <si>
    <t xml:space="preserve">Открытие производства изделий из пластика в Некрасовке р-н Некрасовка, ул. Маршала Еременко </t>
  </si>
  <si>
    <t>55.718922</t>
  </si>
  <si>
    <t>37.951350</t>
  </si>
  <si>
    <t>https://docs.google.com/spreadsheets/d/1EI7qusa674eJhuaw-nWWtWMEHVSYMQv7HLsInEZTWpE/edit?gid=1568412544#gid=1568412544</t>
  </si>
  <si>
    <t>https://disk.yandex.ru/d/yUPiYApIyIk7Ag</t>
  </si>
  <si>
    <t>Строительство нового корпуса ГКБ им. В.П. Демихова по адресу: ЮВАО, р-н Текстильщики, ул. Шкулева, д. 4» р-н Текстильщики, ул. Шкулева, д. 4</t>
  </si>
  <si>
    <t>55.692778</t>
  </si>
  <si>
    <t>37.750593</t>
  </si>
  <si>
    <t>80 мин</t>
  </si>
  <si>
    <t>https://docs.google.com/spreadsheets/d/1EI7qusa674eJhuaw-nWWtWMEHVSYMQv7HLsInEZTWpE/edit?gid=1477675576#gid=1477675576</t>
  </si>
  <si>
    <t>https://disk.yandex.ru/client/disk/Осмотры%20объектов%20АНО%20СМГ/299.%20Шкулева%20д.4%20ГКБ%20им.%20В.П.%20Демихова</t>
  </si>
  <si>
    <t>Административное здание,
 ул. 9-я Северная линия, д. 25, корп. 2 район Северный, ул. 9-я Северная линия, дом 1/5; дом 1/5, строение 1</t>
  </si>
  <si>
    <t>https://disk.yandex.ru/client/disk/Осмотры%20объектов%20АНО%20СМГ/177.%209-я%20Северная%20линия%20д25%20корп2%20Административное%20здание</t>
  </si>
  <si>
    <t>Жилой дом с инженерными
сетями и благоустройством
территории (со сносом зданий
расположенных по адресам:
город Москва, Северное
Бутово, Феодосийская ул., д.
3; Феодосийская ул., д. 5;
Феодосийская ул., д. 7) район Северное Бутово, ул. Феодосийская д.5</t>
  </si>
  <si>
    <t>Школа на 815 мест, СЗАО, район Покровское-Стрешнево район Покровское-Стрешнево, Волоколамское шоссе, вл. 95/2</t>
  </si>
  <si>
    <t>https://disk.yandex.ru/client/disk/Осмотры%20объектов%20АНО%20СМГ/350.%20Волоколамское%20ш.%2095к2%20СОШ%20на%20815%20чел</t>
  </si>
  <si>
    <t>Завершение строительства трамплина К-75 (К-72) 
с инфраструктурой на территории СК «Воробьевы горы» район Раменки, Косыгина ул., вл. 28 на территории СК «Воробьевы горы»</t>
  </si>
  <si>
    <t>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Институтская ул., рядом с д. 4)
 3-я Институтская улица, земельный участок 4/1</t>
  </si>
  <si>
    <t>273</t>
  </si>
  <si>
    <t>Здание образовательной организации на 1500 мест (общее образование 1225 мест, дошкольное образование 275 мест) р-н Измайлово, Сиреневый бульвар, вл. 4</t>
  </si>
  <si>
    <t>55.799963</t>
  </si>
  <si>
    <t>37.761690</t>
  </si>
  <si>
    <t>https://docs.google.com/spreadsheets/d/19THEBTE9q0fhN2eApZr6BgenIvLGh0AckaYxHQfHk5w/edit?gid=80969039#gid=80969039</t>
  </si>
  <si>
    <t>https://disk.yandex.ru/client/disk/Осмотры%20объектов%20АНО%20СМГ/273.%20Сиреневый%20бульвар%20вл%204%20Здание%20образовательной%20организации%20на%201500%20мест</t>
  </si>
  <si>
    <t>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 Одесская, вл. 6 (зона 1.2 и 1.3) район Зюзино, ул. Одесская, вл. 6 (зона 1.2 и 1.3)</t>
  </si>
  <si>
    <t>55.662516</t>
  </si>
  <si>
    <t>37.596020</t>
  </si>
  <si>
    <t>https://docs.google.com/spreadsheets/d/1rbCD10ySi4YZEkJW2_Slmn9z7AI1WEsGsZaIJmnnT18/edit?gid=509147488#gid=509147488</t>
  </si>
  <si>
    <t>https://disk.yandex.ru/client/disk/Осмотры%20объектов%20АНО%20СМГ/848.%20Одесская%20д.6%20ул.%20Одесская%2C%20вл.%206%20(зона%201.2%20и%201.3)%20(Приобретение%20объектов%20недвижимости)</t>
  </si>
  <si>
    <t>97</t>
  </si>
  <si>
    <t>Учебный корпус на 550 мест и ДОУ на 225 мест, ул. Салтыковская, д. 6 район Косино-Ухтомский, ул. Салтыковская, влд. 6</t>
  </si>
  <si>
    <t>55.726012</t>
  </si>
  <si>
    <t>37.864788</t>
  </si>
  <si>
    <t>https://docs.google.com/spreadsheets/d/19THEBTE9q0fhN2eApZr6BgenIvLGh0AckaYxHQfHk5w/edit?gid=1230967250#gid=1230967250</t>
  </si>
  <si>
    <t>https://disk.yandex.ru/client/disk/Осмотры%20объектов%20АНО%20СМГ/097.%20Учебный%20корпус%20на%20550%20мест%20с%20дошкольным%20отделением%20на%20225%20мест%09%09район%09косино-Ухтомский%2C%20ул.%20Салтыковская%2C%20д.6</t>
  </si>
  <si>
    <t>281</t>
  </si>
  <si>
    <t>Дошкольное здание на 350 мест Дошкольное здание на 350 мест, район Даниловский, Лихачёва проспект, з/у 10/1</t>
  </si>
  <si>
    <t>55.69177498071195</t>
  </si>
  <si>
    <t>37.65743118783511</t>
  </si>
  <si>
    <t>Образование</t>
  </si>
  <si>
    <t>47 мин</t>
  </si>
  <si>
    <t>https://docs.google.com/spreadsheets/d/19THEBTE9q0fhN2eApZr6BgenIvLGh0AckaYxHQfHk5w/edit?gid=613124997#gid=613124997</t>
  </si>
  <si>
    <t>https://disk.yandex.ru/d/4p9gUDqZ_aogQQ</t>
  </si>
  <si>
    <t>205</t>
  </si>
  <si>
    <t>ДОУ на 250 на территории Рождествено район Митино, 2-я Муравская улица, 21с1</t>
  </si>
  <si>
    <t>55.8639</t>
  </si>
  <si>
    <t>37.36957</t>
  </si>
  <si>
    <t>https://docs.google.com/spreadsheets/d/19THEBTE9q0fhN2eApZr6BgenIvLGh0AckaYxHQfHk5w/edit?gid=140939233#gid=140939233</t>
  </si>
  <si>
    <t>https://disk.yandex.ru/client/disk/Осмотры%20объектов%20АНО%20СМГ/205.%202-я%20Муравская%2021%20стр1%20ДОУ%20250</t>
  </si>
  <si>
    <t>ММК. Здание апарт-отеля для участников ММК,  территория инновационного центра Сколково, ул. Большой бульвар, д. 56  территории инновационного центра «Сколково»,
ул. Большой бульвар, д. 56</t>
  </si>
  <si>
    <t>https://disk.yandex.ru/client/disk/Осмотры%20объектов%20АНО%20СМГ/252.%20Аппарт%20Отель%2C%20Большой%20бульвар%2053</t>
  </si>
  <si>
    <t>285</t>
  </si>
  <si>
    <t>Здание образовательной организации на 1000 мест на месте сноса зданий р-н Очаково-Матвеевское, ул. Большая Очаковская, влд. 4</t>
  </si>
  <si>
    <t>55.69026554574192</t>
  </si>
  <si>
    <t>37.46503796711526</t>
  </si>
  <si>
    <t>https://docs.google.com/spreadsheets/d/19THEBTE9q0fhN2eApZr6BgenIvLGh0AckaYxHQfHk5w/edit?gid=1145227752#gid=1145227752</t>
  </si>
  <si>
    <t>https://disk.yandex.ru/client/disk/Осмотры%20объектов%20АНО%20СМГ/285.%20Здание%20образовательной%20организации%20на%201000%20мест%20на%0Aместе%20сноса%20зданий%2C%20р-н%20ОчаковоМатвеевское%2C%20ул.%20Большая%20Очаковская%2C%20влд.%204</t>
  </si>
  <si>
    <t>219</t>
  </si>
  <si>
    <t>Школьное здание на 1000 мест Алтуфьевское ш., влд. 53, р-н Алтуфьевский</t>
  </si>
  <si>
    <t>55.87221124220595</t>
  </si>
  <si>
    <t>37.58387974603241</t>
  </si>
  <si>
    <t>https://docs.google.com/spreadsheets/d/19THEBTE9q0fhN2eApZr6BgenIvLGh0AckaYxHQfHk5w/edit?gid=310058684#gid=310058684</t>
  </si>
  <si>
    <t>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t>
  </si>
  <si>
    <t>22</t>
  </si>
  <si>
    <t>ДОУ на 150 мест, г.о. Щербинка, кв-л Южный г. Москва, г.о. Щербинка, кв-л Южный. ул. Овражная вл. 7-9</t>
  </si>
  <si>
    <t>55.49255981187333</t>
  </si>
  <si>
    <t>37.552906880950104</t>
  </si>
  <si>
    <t>https://docs.google.com/spreadsheets/d/19THEBTE9q0fhN2eApZr6BgenIvLGh0AckaYxHQfHk5w/edit?gid=799259912#gid=799259912</t>
  </si>
  <si>
    <t>https://disk.yandex.ru/client/disk/Осмотры%20объектов%20АНО%20СМГ/022.%20ДОУ%20150%2C%20Щербинка%20Овражная</t>
  </si>
  <si>
    <t>Спортивный комплекс им. Э.А. Стрельцова ЮАО, район Даниловский район Даниловский, Восточная ул., вл. 4А</t>
  </si>
  <si>
    <t>https://disk.yandex.ru/client/disk/Осмотры%20объектов%20АНО%20СМГ/364.%20Спортивный%20комплекс%20им.%20Э.А.%20Стрельцова%20ЮАО%2C%20район%20Даниловский%2C%20Восточная%20ул.%2C%20вл.%204А</t>
  </si>
  <si>
    <t>1147</t>
  </si>
  <si>
    <t>"Здание образовательной организации на 1450 мест (1200 школьных и 250 дошкольных), пос. Вороновское" поселение Вороновское, поселок ЛМС, микрорайон Центральный, земельный участок
10Б</t>
  </si>
  <si>
    <t>55.31395538906738</t>
  </si>
  <si>
    <t>37.174944489286595</t>
  </si>
  <si>
    <t>https://docs.google.com/spreadsheets/d/19THEBTE9q0fhN2eApZr6BgenIvLGh0AckaYxHQfHk5w/edit?gid=141428453#gid=141428453</t>
  </si>
  <si>
    <t>https://disk.yandex.ru/client/disk/Осмотры%20объектов%20АНО%20СМГ/1147.%20Здание%20образовательной%20организации%20на%201450%20мест%20(1200%20школьных%20и%20250%20дошкольных)</t>
  </si>
  <si>
    <t>553</t>
  </si>
  <si>
    <t>Верхоянская ул., з/у 14 (Зоны 10.1, 10.2, 10.3) район Бабушкинский, Верхоянская ул., з/у 14 (Зоны 10.1, 10.2, 10.3)</t>
  </si>
  <si>
    <t>55.857841</t>
  </si>
  <si>
    <t>37.664879</t>
  </si>
  <si>
    <t>МФР (спец)</t>
  </si>
  <si>
    <t>https://docs.google.com/spreadsheets/d/1H1MjbG2y0oC0hhID4do1G0_gfyI1jag72lQd7nL3WDQ/edit?gid=815627436#gid=815627436</t>
  </si>
  <si>
    <t>https://disk.yandex.ru/client/disk/Осмотры%20объектов%20АНО%20СМГ/553.%20ул.%20Верхоянская%20зу%2014</t>
  </si>
  <si>
    <t>Жилые дома с инженерными коммуникациями и благоустройством, р-н Косино-Ухтомский, ул. Николая Старостина, напротив влд. 8 район Косино-Ухтомский, ул.Николая Старостина, напротив влд. 8 (этап 2) (ВАО)</t>
  </si>
  <si>
    <t>https://disk.yandex.ru/client/disk/Осмотры%20объектов%20АНО%20СМГ/108.%20Жилые%20дома%20ул.%20Николая%20Старостина%2C%20напротив%20влд.%208</t>
  </si>
  <si>
    <t>231</t>
  </si>
  <si>
    <t>Реконструкция Центрального Московского ипподрома, САО, Беговой, ул. Беговая, д. 22 Этап 2 г. Москва, ул. Беговая, д. 22</t>
  </si>
  <si>
    <t>55.777746</t>
  </si>
  <si>
    <t>37.558642</t>
  </si>
  <si>
    <t>344 мин</t>
  </si>
  <si>
    <t>https://disk.yandex.ru/client/disk/Осмотры%20объектов%20АНО%20СМГ/231.%20Центральный%20Московский%20Ипподром</t>
  </si>
  <si>
    <t>286</t>
  </si>
  <si>
    <t>Школа на 1000 мест р-н Даниловский, ул. Восточная, влд. 4А</t>
  </si>
  <si>
    <t>55.716696</t>
  </si>
  <si>
    <t>https://docs.google.com/spreadsheets/d/19THEBTE9q0fhN2eApZr6BgenIvLGh0AckaYxHQfHk5w/edit?gid=68210689#gid=68210689</t>
  </si>
  <si>
    <t>https://disk.yandex.ru/client/disk/Осмотры%20объектов%20АНО%20СМГ/286.%20Школа%20на%201000%20мест%2C%20р-н%20Дорогомиловский%2C%20ул.%20Восточная%2C%20вл.%204А</t>
  </si>
  <si>
    <t>615</t>
  </si>
  <si>
    <t>Боровское ш., з/у 26 (пересечение Боровского ш. и Чоботовской ул.) Чоботовская, д. 2а</t>
  </si>
  <si>
    <t>55.644663</t>
  </si>
  <si>
    <t>37.359945</t>
  </si>
  <si>
    <t>https://docs.google.com/spreadsheets/d/1H1MjbG2y0oC0hhID4do1G0_gfyI1jag72lQd7nL3WDQ/edit?gid=2120381921#gid=2120381921</t>
  </si>
  <si>
    <t>https://disk.yandex.ru/client/disk/Осмотры%20объектов%20АНО%20СМГ/615.%20Район%20Ново-Переделкино%2C%20Боровское%20шоссе%2C%20земельный%20участок%2026</t>
  </si>
  <si>
    <t>816</t>
  </si>
  <si>
    <t>Реконструкция кинотеатра "Ударник" р-н Якиманка, ул Серафимовича, д.4</t>
  </si>
  <si>
    <t>55.743145</t>
  </si>
  <si>
    <t>37.614293</t>
  </si>
  <si>
    <t>https://docs.google.com/spreadsheets/d/1EI7qusa674eJhuaw-nWWtWMEHVSYMQv7HLsInEZTWpE/edit?gid=204053805#gid=204053805</t>
  </si>
  <si>
    <t>https://disk.yandex.ru/client/disk/Осмотры%20объектов%20АНО%20СМГ/816.%20Реконструкция%20кинотеатра%20%22Ударник%22%20ЦАО%2C%20р-н%20Якиманка%2C%20ул.%20Серафимовича%2C%20д.4</t>
  </si>
  <si>
    <t>3-й Нижнелихоборский пр-д, вл. 5, стр. 1 (3-й Нижнелихоборский пр-д, вл. 5) САО, район Тимирязевский, 3-й Нижнелихоборский проезд, вл. 5, стр. 1 (3-й Нижнелихоборский проезд, вл. 5)</t>
  </si>
  <si>
    <t>55.846346</t>
  </si>
  <si>
    <t>37.566002</t>
  </si>
  <si>
    <t>20</t>
  </si>
  <si>
    <t>«Реконструкция существующего здания школы № 2073 пос. Кленовское с. Кленово (Этап 2)» район Вороново, пос. Кленовское, с. Кленово, ул. Центральная, д.2</t>
  </si>
  <si>
    <t>55.322923</t>
  </si>
  <si>
    <t>37.345438</t>
  </si>
  <si>
    <t>https://docs.google.com/spreadsheets/d/19THEBTE9q0fhN2eApZr6BgenIvLGh0AckaYxHQfHk5w/edit?gid=493360007#gid=493360007</t>
  </si>
  <si>
    <t>https://disk.yandex.ru/client/disk/Осмотры%20объектов%20АНО%20СМГ/020.%20СОШ%202073%20Клëново</t>
  </si>
  <si>
    <t>680</t>
  </si>
  <si>
    <t>ул. Гарибальди, з/у 31/1/1 ЮЗАО, Черемушки,  ул. Гарибальди, зу 31/1/1, кв. 20-21, 22-23, зона № 6.8 (со сносом жилых и нежилых зданий по адресам: ул. Гарибальди д.31 стр.1; Гарибальди ул., д.31 к.2)</t>
  </si>
  <si>
    <t>55.668855</t>
  </si>
  <si>
    <t>37.562356</t>
  </si>
  <si>
    <t>https://docs.google.com/spreadsheets/d/1rbCD10ySi4YZEkJW2_Slmn9z7AI1WEsGsZaIJmnnT18/edit?gid=989193180#gid=989193180</t>
  </si>
  <si>
    <t>https://disk.yandex.ru/client/disk/Осмотры%20объектов%20АНО%20СМГ/680.%20Гарибальди%20зу%2031%2C1%2C1%20кв%2020-21%2C%2022-23%20зона%20N6.8%20Гарибальди%2031%20с1%2C%20д31%20к2</t>
  </si>
  <si>
    <t>Международный комплекс «Международная хоккейная школа им. А.М. Овечкина» район Хорошево-Мневники, Нижние Мневники ул., стр. 15</t>
  </si>
  <si>
    <t>55.755112</t>
  </si>
  <si>
    <t>37.468320</t>
  </si>
  <si>
    <t>https://disk.yandex.ru/client/disk/Осмотры%20объектов%20АНО%20СМГ/323.%20Международная%20хоккейная%20школа%20им.%20А.М.%20Овечкина</t>
  </si>
  <si>
    <t>184</t>
  </si>
  <si>
    <t>Учебный корпус на 400 мест (на месте сноса), район Богородское, 2-я Гражданская ул., д. 8 район Богородское, ул. 2-я Гражданская, д. 8</t>
  </si>
  <si>
    <t>55.813731</t>
  </si>
  <si>
    <t>37.700987</t>
  </si>
  <si>
    <t>https://docs.google.com/spreadsheets/d/19THEBTE9q0fhN2eApZr6BgenIvLGh0AckaYxHQfHk5w/edit?gid=808158041#gid=808158041</t>
  </si>
  <si>
    <t>https://disk.yandex.ru/client/disk/%D0%9E%D1%81%D0%BC%D0%BE%D1%82%D1%80%D1%8B%20%D0%BE%D0%B1%D1%8A%D0%B5%D0%BA%D1%82%D0%BE%D0%B2%20%D0%90%D0%9D%D0%9E%20%D0%A1%D0%9C%D0%93/184.%20%D0%A3%D1%87%D0%B5%D0%B1%D0%BD%D1%8B%D0%B9%20%D0%BA%D0%BE%D1%80%D0%BF%D1%83%D1%81%20%D0%BD%D0%B0%20400%20%D0%BC%D0%B5%D1%81%D1%82%202-%D1%8F%20%D0%93%D1%80%D0%B0%D0%B6%D0%B4%D0%B0%D0%BD%D1%81%D0%BA%D0%B0%D1%8F%2C%20%D0%B4.%208</t>
  </si>
  <si>
    <t>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 Большая Сухаревская площадь, д.3, Мещанский район,</t>
  </si>
  <si>
    <t>https://disk.yandex.ru/client/disk/Осмотры%20объектов%20АНО%20СМГ/316.%20Склифосовского%20больн.%20Б.%20Сухаревская%20пл.%203</t>
  </si>
  <si>
    <t>Приспособление здания под размещения офиса ООО «СИБУР» район Якиманка, ул. Большая Якиманка, д.2</t>
  </si>
  <si>
    <t>https://disk.yandex.ru/client/disk/Осмотры%20объектов%20АНО%20СМГ/326.%20ул%20Большая%20Якиманка%2C%202-4</t>
  </si>
  <si>
    <t>район Покровское-Стрешнево, Северо-Западный административный округ, ул. Летная участок 4</t>
  </si>
  <si>
    <t>https://docs.google.com/spreadsheets/d/19THEBTE9q0fhN2eApZr6BgenIvLGh0AckaYxHQfHk5w/edit?gid=1676523530#gid=1676523530</t>
  </si>
  <si>
    <t>https://disk.yandex.ru/client/disk/Осмотры%20объектов%20АНО%20СМГ/211.%20ул.%20Летная%2C%20уч.%204</t>
  </si>
  <si>
    <t>1067</t>
  </si>
  <si>
    <t>Технологическая часть ТПУ на станции метро "Лермонтовский проспект" ("Косино"). 
 Этап 1.2.1, г. Москва, м. "Лермонтовский проспект"</t>
  </si>
  <si>
    <t>55.7030051253004</t>
  </si>
  <si>
    <t>37.85056399867045</t>
  </si>
  <si>
    <t>133 мин</t>
  </si>
  <si>
    <t>2-я Дубровская ул., з/у 1 район Таганский, 2-я Дубровская улица, земельный участок 1</t>
  </si>
  <si>
    <t>1340</t>
  </si>
  <si>
    <t>Открытие картинной галереи в отреставрированном ОКН «
на станции Москва-Товарная Рязано-Уральской железной дороги, 1898 г.,
инженер Н.А. Виноградов», р-н Даниловский, 1-й Павелецкий пр-д,
сооружение 1/42 к. 2, стр. 1</t>
  </si>
  <si>
    <t>55.717353</t>
  </si>
  <si>
    <t>37.643951</t>
  </si>
  <si>
    <t>https://docs.google.com/spreadsheets/d/1EI7qusa674eJhuaw-nWWtWMEHVSYMQv7HLsInEZTWpE/edit?gid=2065488739#gid=2065488739</t>
  </si>
  <si>
    <t>https://disk.yandex.ru/d/s17WL0GFDbRVkw</t>
  </si>
  <si>
    <t>116</t>
  </si>
  <si>
    <t>Школа на 1200 мест, 
 д. Ватутинки, пос. Десёновское, ул. Кварцевая, д. 3А пос. Десеновское, д. Ватутинки, ул. Кварцевая, 3А</t>
  </si>
  <si>
    <t>55.488695</t>
  </si>
  <si>
    <t>37.339420</t>
  </si>
  <si>
    <t>https://docs.google.com/spreadsheets/d/19THEBTE9q0fhN2eApZr6BgenIvLGh0AckaYxHQfHk5w/edit?gid=1830744104#gid=1830744104</t>
  </si>
  <si>
    <t>https://disk.yandex.ru/client/disk/Осмотры%20объектов%20АНО%20СМГ/116.%20Кварцевая%20ул.%203А%2C%20д.%20Ватутинки%20(СОШ%20на%201200%20м)</t>
  </si>
  <si>
    <t>улица Маршала Чуйкова, 9Б</t>
  </si>
  <si>
    <t>55.696230</t>
  </si>
  <si>
    <t>37.763189</t>
  </si>
  <si>
    <t>412 мин</t>
  </si>
  <si>
    <t>Осмотр Многофункционального дворца спорта  р-н Покровское-Стрешнево, Волоколамское
шоссе, вл.71/10</t>
  </si>
  <si>
    <t>https://disk.yandex.ru/client/disk/Осмотры%20объектов%20АНО%20СМГ/1051%20Дворец%20спорта%20Волоколамское%0Aшоссе%2C%20вл.71%5C10</t>
  </si>
  <si>
    <t>СОШ на 600 мест, ул. Тюменская, вл. 5 район  Богородское, ул. Тюменская, вл. 5</t>
  </si>
  <si>
    <t>https://disk.yandex.ru/client/disk/Осмотры%20объектов%20АНО%20СМГ/102.%20Школа%20на%20600%20мест%20р-н%20Богородское%2C%20ул.%20Тюменская%2C%20влд.%205</t>
  </si>
  <si>
    <t>22222</t>
  </si>
  <si>
    <t>Чонгарский бульвар 1к1</t>
  </si>
  <si>
    <t>55.652674</t>
  </si>
  <si>
    <t>37.618825</t>
  </si>
  <si>
    <t>спец</t>
  </si>
  <si>
    <t>183</t>
  </si>
  <si>
    <t>Школа на 550 мест, р-н Ново-Переделкино, мкр. 14, к. 20 район Ново-Переделкино, мкр. 14, к. 20</t>
  </si>
  <si>
    <t>55.650044</t>
  </si>
  <si>
    <t>37.340165</t>
  </si>
  <si>
    <t>https://docs.google.com/spreadsheets/d/19THEBTE9q0fhN2eApZr6BgenIvLGh0AckaYxHQfHk5w/edit?gid=779020277#gid=779020277</t>
  </si>
  <si>
    <t>https://disk.yandex.ru/client/disk/Осмотры%20объектов%20АНО%20СМГ/183.%20Школа%20на%20550%20мест%2C%20рн%20Ново-Переделкино%2C%20мкр.%2014%2C%20к.%2020</t>
  </si>
  <si>
    <t>1123</t>
  </si>
  <si>
    <t>Технологическая часть ТПУ на станции метро "Улица Дмитриевского". Этап 1 «Улично-дорожная сеть и благоустройство» г. Москва, м. "Улица Дмитриевскоrо"</t>
  </si>
  <si>
    <t>55.71164558502699</t>
  </si>
  <si>
    <t>37.87885351653089</t>
  </si>
  <si>
    <t>Жилые дома с инженерной подготовкой, с перекладкой инженерных коммуникаций, со сносом жилых домов, ул. 9-я Северная Линия, вл. 3 район Северный, 9-я Северная Линия д. 1, д. 3, д. 7, д. 9</t>
  </si>
  <si>
    <t>https://disk.yandex.ru/client/disk/Осмотры%20объектов%20АНО%20СМГ/209.%20%5C9-я%20Северная%20линия%20вл3</t>
  </si>
  <si>
    <t xml:space="preserve">Реконструкция спортивного комплекса "Олимпийский" Олимпийский проспект, 16, стр. 1, стр. 2, стр. 3, стр. 4 </t>
  </si>
  <si>
    <t>92 мин</t>
  </si>
  <si>
    <t>https://disk.yandex.ru/client/disk/Осмотры%20объектов%20АНО%20СМГ/1046%20СК%20Олимпийский</t>
  </si>
  <si>
    <t>Физкультурно-оздоровительный комплекс с бассейном, пересечение ул. Шипиловской и Орехового проезда "Акварис" район Зябликово, пересечение ул. Шипиловской и Орехового пр-да (Ореховый проезд,  д.12)</t>
  </si>
  <si>
    <t>65</t>
  </si>
  <si>
    <t>Дошкольная образовательная организация на 300 мест, корпус 3.12 ул. Александры Монаховой, зу 87</t>
  </si>
  <si>
    <t>55.548500</t>
  </si>
  <si>
    <t>37.489000</t>
  </si>
  <si>
    <t>https://docs.google.com/spreadsheets/d/1EI7qusa674eJhuaw-nWWtWMEHVSYMQv7HLsInEZTWpE/edit?gid=701601389#gid=701601389</t>
  </si>
  <si>
    <t>https://disk.yandex.ru/client/disk/Осмотры%20объектов%20АНО%20СМГ/065.%20ДОУ%20на%20300%20мест.%20Сосенское%2C%20д.%20Столбово%2C%20ЖК%20%22Бунинские%20луга%22</t>
  </si>
  <si>
    <t>ДОО на 150 ул. Чоботовская, д.2, стр.5</t>
  </si>
  <si>
    <t>https://disk.yandex.ru/client/disk/Осмотры%20объектов%20АНО%20СМГ/1175.%20ДОО%20на%20150%20мест%20Чеботовская%20зу%202</t>
  </si>
  <si>
    <t>ММК - Биотехнологическая лаборатория г. Москва, Западный округ, территория инновационного центра "Сколково"</t>
  </si>
  <si>
    <t>ул. Профсоюзная, з/у 60 (участок 3.2) ЮЗАО, района Обручевский, Профсоюзная улица, зу 60 квартал 26-27, зона № 3.2 (со сносом жилых зданий по адресам: Профсоюзная улица, дом 60, корпус 1; Профсоюзная улица, дом 60, корпус 2) (рефинансирование)</t>
  </si>
  <si>
    <t>Авиационная улица, земельный участок 61/1 (вл. 61, корп. 1) район Щукино, Авиационная улица, земельный участок 61/1 (Авиационная ул., вл. 61, корп. 1)</t>
  </si>
  <si>
    <t>ул. 2-я Хуторская, з/у 31А район Савеловский, ул. 2-я Хуторская улица, дом 33 корпус 2;
дом 33 корпус 1</t>
  </si>
  <si>
    <t>274</t>
  </si>
  <si>
    <t>Здание образовательной организации (общее образование) на 700 мест р-н Северное Измайлово, мкр. 41-50, ул. 11-я Парковая, з/у 45Б</t>
  </si>
  <si>
    <t>55.803722</t>
  </si>
  <si>
    <t>37.804206</t>
  </si>
  <si>
    <t>https://docs.google.com/spreadsheets/d/19THEBTE9q0fhN2eApZr6BgenIvLGh0AckaYxHQfHk5w/edit?gid=1430585638#gid=1430585638</t>
  </si>
  <si>
    <t>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t>
  </si>
  <si>
    <t>Жилой дом с инженерными сетями и благоустройством территории (со сносом здания по адресу: Люблинская улица, вл. 121/1) по адресу: г. Москва, внутригородское муниципальное образование Люблино, улица Люблинская, земельный участок 121/1 (Люблинская улица, вл. 121/1) улица Люблинская, земельный участок 121/1 (вл. 121/1)</t>
  </si>
  <si>
    <t>г. Зеленоград, Панфиловский просп., з/у 927 (Зеленоград, вл.927) район Старое Крюково, Панфиловский проспект, зу 927)</t>
  </si>
  <si>
    <t>Административное здание, 2-я ул. Машиностроения, д. 3 район Южнопортовый, 2-я ул. Машиностроения, д. 3</t>
  </si>
  <si>
    <t>135 мин</t>
  </si>
  <si>
    <t>https://disk.yandex.ru/client/disk/Осмотры%20объектов%20АНО%20СМГ/178.%20Административное%20здание%20по%20адресу%3A%202-я%20ул.%20Машиностроения%2C%20д.%203%2C%20район%20Южнопортовый</t>
  </si>
  <si>
    <t>296</t>
  </si>
  <si>
    <t>Детско-взрослая поликлиника на 750 посещений в смену с детским и взрослым травмпунктами, женской консультацией и стоматологией, р-н Некрасовка р-н Некрасовка, Маршала Еременко, влад. 26</t>
  </si>
  <si>
    <t>55.71036980149383</t>
  </si>
  <si>
    <t>37.94832475134159</t>
  </si>
  <si>
    <t>159 мин</t>
  </si>
  <si>
    <t>https://docs.google.com/spreadsheets/d/19THEBTE9q0fhN2eApZr6BgenIvLGh0AckaYxHQfHk5w/edit?gid=908346785#gid=908346785</t>
  </si>
  <si>
    <t>https://disk.yandex.ru/client/disk/Осмотры%20объектов%20АНО%20СМГ/296.%20Детско-взрослая%20поликлиника%20на%20750%20посещений%20в%20смену%20с%20детским%20и%20взрослым%20травмпунктами%2C%20женской%20консультацией%20и%20стоматологией%2C%20р-н%20%20Некрасовка%2C%20Маршала%20Еременко%2C%20влд.%2026</t>
  </si>
  <si>
    <t>ММК. Центр хронических болезней, 
 территория инновационного центра «Сколково»,
 ул. Большой бульвар, д. 46, строение 3  Территория инновационного центра «Сколково»</t>
  </si>
  <si>
    <t>https://disk.yandex.ru/client/disk/Осмотры%20объектов%20АНО%20СМГ/254.%20Ммк%20Сколково%20ЦХБ%20ул%20Большой%20бульвар%2046с3</t>
  </si>
  <si>
    <t>9</t>
  </si>
  <si>
    <t>Школа искусств, п. Московский, мкр. Град Московский пос. Московский, мкр. Град Московский, ул. Никитина, д. 7</t>
  </si>
  <si>
    <t>https://disk.yandex.ru/client/disk/Осмотры%20объектов%20АНО%20СМГ/009.%20Школа%20искусств%20п.%20Московский%20микрорайон%203%20д.8</t>
  </si>
  <si>
    <t xml:space="preserve">ул. Лётчика Бабушкина, з/у 29/5 (Летчика Бабушкина ул., вл. 29, корп. 5), зона № 3.1 СВАО, Бабушкинский, улица Лётчика Бабушкина, земельный участок 29/5, мкр.10,13, зона №  3.1 (Летчика Бабушкина ул., вл. 29, корп. 5) 									</t>
  </si>
  <si>
    <t>https://disk.yandex.ru/client/disk/Осмотры%20объектов%20АНО%20СМГ/564.%20ул.%20Лётчика%20Бабушкина%2C%20з.у.%2029.5</t>
  </si>
  <si>
    <t>Этап 5. Школа на 250 мест ул. Чоботовская, д.2, стр.6</t>
  </si>
  <si>
    <t>https://disk.yandex.ru/client/disk/Осмотры%20объектов%20АНО%20СМГ/1176.%20СОШ%20на%20250%20мест%20Чеботовская%20зу%202</t>
  </si>
  <si>
    <t>Петра Романова ул., вл. 10 район Южнопортовый, Петра Романова ул., вл. 10</t>
  </si>
  <si>
    <t>1-й Волоколамский пр-д, з/у 7/1 (1-й Волоколамский пр-д, вл. 7, корп. 1) район Щукино, 1-й Волоколамский пр-д, з/у 7/1 
 (1-й Волоколамский пр-д, влд. 7, корп. 1)</t>
  </si>
  <si>
    <t>55.800599</t>
  </si>
  <si>
    <t>37.491611</t>
  </si>
  <si>
    <t>1083</t>
  </si>
  <si>
    <t>Строительство сетей канализации с. Остафьево пос. Рязановское Новомосковского административного округа г.Москвы Этап 1 с. Остафьево пос. Рязановское Новомосковского административного округа г.Москвы</t>
  </si>
  <si>
    <t>55.498461</t>
  </si>
  <si>
    <t>37.505471</t>
  </si>
  <si>
    <t>https://docs.google.com/spreadsheets/d/19THEBTE9q0fhN2eApZr6BgenIvLGh0AckaYxHQfHk5w/edit?gid=1377920249#gid=1377920249</t>
  </si>
  <si>
    <t>https://disk.yandex.ru/client/disk/Осмотры%20объектов%20АНО%20СМГ/1083.%20строительство%20сетей%20канализации%20с.%20Остафьево%20пос.%20Рязановское%20Новомосковского</t>
  </si>
  <si>
    <t>Гаражная ул., вл. 3 район Соколиная Гора, ул. Гаражная, вл. 3</t>
  </si>
  <si>
    <t>Центральный телеграф ЦАО,р-н Тверской, ул. Тверская, д. 7 Застройщик: ПАО «Центральный телеграф» ул. Тверская дом 7, Никитский пер., дом 7, стр. 2</t>
  </si>
  <si>
    <t>Осмотр хода строительства делового центра,
ЮЗАО, р-н Гагаринский, ул. Академика Зельдовича, з/у 1 р-н Гагаринский, ул. Академика Зельдовича, з/у 1</t>
  </si>
  <si>
    <t>https://disk.yandex.ru/client/disk/Осмотры%20объектов%20АНО%20СМГ/1025.%20Административное%20здание.%20ул.%20Академика%20Зельдовича%2C%20з!у%201</t>
  </si>
  <si>
    <t>1208</t>
  </si>
  <si>
    <t>Образовательный комплекс на 1575 мест, САО, Молжаниновский САО, р-н Молжаниновский, Ленинградское, ш. з/у 13, з/у 202 САО, р-н Молжаниновский, Ленинградское, ш. з/у 13, з/у 202</t>
  </si>
  <si>
    <t>55.933586</t>
  </si>
  <si>
    <t>37.369815</t>
  </si>
  <si>
    <t>https://docs.google.com/spreadsheets/d/1EI7qusa674eJhuaw-nWWtWMEHVSYMQv7HLsInEZTWpE/edit?gid=189831964#gid=189831964</t>
  </si>
  <si>
    <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t>
  </si>
  <si>
    <t>5-я Кожуховская ул., з/у 33 (ул. 5-я Кожуховская, вл. 33) ЮВАО, район Южнопортовый, ул. 5-я Кожуховская, земельный участок 33 (ул. 5-я Кожуховская, вл. 33)</t>
  </si>
  <si>
    <t>48 мин</t>
  </si>
  <si>
    <t>288</t>
  </si>
  <si>
    <t>Школа на 825 мест р-н Бирюлево Восточное, ул. 6-я Радиальная, влд. 7, участок 18</t>
  </si>
  <si>
    <t>55.605921686896686</t>
  </si>
  <si>
    <t>37.667039820189274</t>
  </si>
  <si>
    <t>195 мин</t>
  </si>
  <si>
    <t>https://docs.google.com/spreadsheets/d/19THEBTE9q0fhN2eApZr6BgenIvLGh0AckaYxHQfHk5w/edit?gid=1865118876#gid=1865118876</t>
  </si>
  <si>
    <t>https://disk.yandex.ru/client/disk/%D0%9E%D1%81%D0%BC%D0%BE%D1%82%D1%80%D1%8B%20%D0%BE%D0%B1%D1%8A%D0%B5%D0%BA%D1%82%D0%BE%D0%B2%20%D0%90%D0%9D%D0%9E%20%D0%A1%D0%9C%D0%93/288.%206-%D1%8F%20%D0%A0%D0%B0%D0%B4%D0%B8%D0%B0%D0%BB%D1%8C%D0%BD%D0%B0%D1%8F%20%D0%B2%D0%BB%D0%B4.7%20%D1%83%D1%87%D0%B0%D1%81%D1%82%D0%BE%D0%BA%2018%20%D0%A8%D0%BA%D0%BE%D0%BB%D0%B0%20%D0%BD%D0%B0%20825%20%D0%BC%D0%B5%D1%81%D1%82</t>
  </si>
  <si>
    <t>1099</t>
  </si>
  <si>
    <t>Общеобразовательная организация 44 класса на 1100 мест ЖК ПЕРВЫЙ МОСКОВСКИЙ. ГОРОД-ПАРК, район тепличного комбината №1, третий микрорайон, квартал 1 (никитина 9Б)</t>
  </si>
  <si>
    <t>55.60437840965101</t>
  </si>
  <si>
    <t>37.37362945767209</t>
  </si>
  <si>
    <t>https://docs.google.com/spreadsheets/d/1EI7qusa674eJhuaw-nWWtWMEHVSYMQv7HLsInEZTWpE/edit?gid=930912850#gid=930912850</t>
  </si>
  <si>
    <t>https://disk.yandex.ru/client/disk/Осмотры%20объектов%20АНО%20СМГ/1099.%20Общеобразовательная%20организация%2044%20класса%20на%201100%20мест</t>
  </si>
  <si>
    <t>1124</t>
  </si>
  <si>
    <t>Технологическая часть ТПУ на станции метро "Лухмановская". 
 Этапы 1.2.1 г. Москва, м. "Лухмановская"</t>
  </si>
  <si>
    <t>55.70763311535824</t>
  </si>
  <si>
    <t>37.90850193560383</t>
  </si>
  <si>
    <t>1080</t>
  </si>
  <si>
    <t>Проектирование и строительство первой очереди КНС «Прокшино» с АРР и напорными трубопроводами              г. Москва, поселение Сосенское</t>
  </si>
  <si>
    <t>55.587344</t>
  </si>
  <si>
    <t>37.416515</t>
  </si>
  <si>
    <t>https://docs.google.com/spreadsheets/d/19THEBTE9q0fhN2eApZr6BgenIvLGh0AckaYxHQfHk5w/edit?gid=1666294966#gid=1666294966</t>
  </si>
  <si>
    <t>https://disk.yandex.ru/client/disk/Осмотры%20объектов%20АНО%20СМГ/1080.%20Проектирование%20и%20строительство%201%20очереди%20КНС%20Прокшино%20с%20АРР%20и%20напорными%20трубопроводами</t>
  </si>
  <si>
    <t>1285</t>
  </si>
  <si>
    <t>Ремонтно-восстановительные работы по восстановлению прочностных и эксплуатационных характеристик стилобатной части с балюстрадой комплекса Храма Христа Спасителя по адресу: ул. Волхонка, д.15 (1) ВОЛХОНКА УЛ., Д.15</t>
  </si>
  <si>
    <t>55.744585</t>
  </si>
  <si>
    <t>37.604712</t>
  </si>
  <si>
    <t>https://docs.google.com/spreadsheets/d/1EI7qusa674eJhuaw-nWWtWMEHVSYMQv7HLsInEZTWpE/edit?gid=1944955293#gid=1944955293</t>
  </si>
  <si>
    <t>https://disk.yandex.ru/d/BmVvbN_-KVryzA</t>
  </si>
  <si>
    <t>187</t>
  </si>
  <si>
    <t>ЖК «Триумфальный» 3-й жилой комплекс, 
район Фили-Давыдково, кв. 1-2, к. 18, 18а район Фили-Давыдково, кв. 1-2, к. 18, 18а</t>
  </si>
  <si>
    <t>55.726169</t>
  </si>
  <si>
    <t>37.475609</t>
  </si>
  <si>
    <t>https://docs.google.com/spreadsheets/d/19THEBTE9q0fhN2eApZr6BgenIvLGh0AckaYxHQfHk5w/edit?gid=955409547#gid=955409547</t>
  </si>
  <si>
    <t>https://disk.yandex.ru/client/disk/Осмотры%20объектов%20АНО%20СМГ/187.%20жк%20триумфальный%20Славянский%20бульвар</t>
  </si>
  <si>
    <t>15</t>
  </si>
  <si>
    <t>Пожарное депо на 4 машино-места, пос. Воскресенское (Завершение работ) п. Воскресенское, влд. 67А</t>
  </si>
  <si>
    <t>55.518890</t>
  </si>
  <si>
    <t>37.448145</t>
  </si>
  <si>
    <t>https://docs.google.com/spreadsheets/d/19THEBTE9q0fhN2eApZr6BgenIvLGh0AckaYxHQfHk5w/edit?gid=1728236412#gid=1728236412</t>
  </si>
  <si>
    <t>https://disk.yandex.ru/client/disk/Осмотры%20объектов%20АНО%20СМГ/015.%20Пожарное%20депо%20на%204%20м-м%2C%20Воскресенское</t>
  </si>
  <si>
    <t>1132</t>
  </si>
  <si>
    <t>Технологическая часть ТПУ на станции метро "Авиамоторная". Этапы 1, г.Москва,
 м. "Авиамоторная"</t>
  </si>
  <si>
    <t>55.75285671840367</t>
  </si>
  <si>
    <t>37.715870914014424</t>
  </si>
  <si>
    <t>1120</t>
  </si>
  <si>
    <t>Технологическая часть ТПУ на станции метро "Варшавская" г. Москва, м. "Варшавская"</t>
  </si>
  <si>
    <t>55.654454271325235</t>
  </si>
  <si>
    <t>37.62389873610556</t>
  </si>
  <si>
    <t>Тайнинская ул., з/у 16/3 (Тайнинская ул., вл. 16, корп. 3) район Лосиноостровский, ул. Тайнинская, з/у 16/3</t>
  </si>
  <si>
    <t>71 мин</t>
  </si>
  <si>
    <t>1087</t>
  </si>
  <si>
    <t>Проектирование и строительство головных объектов водоснабжения Административно-делового центра в п. Коммунарка (1 очередь). 1 Этап г.Москва, округ Коммунака, внутригородская территория квартал № 121, дом 1А, строение 1</t>
  </si>
  <si>
    <t>55.587380</t>
  </si>
  <si>
    <t>37.476017</t>
  </si>
  <si>
    <t>https://docs.google.com/spreadsheets/d/19THEBTE9q0fhN2eApZr6BgenIvLGh0AckaYxHQfHk5w/edit?gid=444385228#gid=444385228</t>
  </si>
  <si>
    <t>https://disk.yandex.ru/client/disk/Осмотры%20объектов%20АНО%20СМГ/1087.%20Проектирование%20и%20строительство%20головных%20объектов%20водоснабжения%20Административно-%20делового%20центра%20в%20пос.%20Коммунарка%20%20(1%20очередь)</t>
  </si>
  <si>
    <t>ул. Речников, з/у 22/2 (участок 13.1) ЮАО, район Нагатинский затон, ул. Речников з/у 22/2,  микрорайоны 4, 5, 7, зона 13.1  (со сносом многоквартирных жилых домов по адресам: ул.Речников, д.26, к.1; д.24, к.1; д.22, к.2)</t>
  </si>
  <si>
    <t>182 мин</t>
  </si>
  <si>
    <t>ул. Гарибальди, з/у 22 (зона 2.1) улица Гарибальди, земельный участок 22 (участок 2.1)</t>
  </si>
  <si>
    <t>1185</t>
  </si>
  <si>
    <t>Общеобразовательная организация на 1050 мест. Корпус 9 ЖК БУСИНОВСКИЙ ПАРК, Москва, внутригородское муниципальное образование Западное Дегунино, шоссе Коровинское</t>
  </si>
  <si>
    <t>55.87968019652028</t>
  </si>
  <si>
    <t>37.503466291014234</t>
  </si>
  <si>
    <t>https://docs.google.com/spreadsheets/d/1EI7qusa674eJhuaw-nWWtWMEHVSYMQv7HLsInEZTWpE/edit?gid=2077416738#gid=2077416738</t>
  </si>
  <si>
    <t>https://disk.yandex.ru/client/disk/Осмотры%20объектов%20АНО%20СМГ/1185%20Бусиновский%20парк%20Общеобразовательная%20организация%20на%201050%20мест.%20Корпус%209</t>
  </si>
  <si>
    <t>1122</t>
  </si>
  <si>
    <t>Технологическая часть ТПУ на станции метро "Текстильщики". 
 Этап 1.1 г. Москва, м. "Текстильщики"</t>
  </si>
  <si>
    <t>55.707578713789005</t>
  </si>
  <si>
    <t>37.727651774481345</t>
  </si>
  <si>
    <t>Академика Скрябина ул., з/у 40 (участки 13.1 и 13.2) Академика Скрябина ул., з/у 40 (участки 13.1 и 13.2)</t>
  </si>
  <si>
    <t>55.697934</t>
  </si>
  <si>
    <t>37.790701</t>
  </si>
  <si>
    <t>https://docs.google.com/spreadsheets/d/1H1MjbG2y0oC0hhID4do1G0_gfyI1jag72lQd7nL3WDQ/edit?gid=1609263203#gid=1609263203</t>
  </si>
  <si>
    <t>https://disk.yandex.ru/client/disk/Осмотры%20объектов%20АНО%20СМГ/610%20ЮВАО%2C%20Кузьминки%2C%20улица%20Академика%20Скрябина%2C%20зу%2040%2C%20мкр.%20117%2C%20117а%2C%20118%2C%20118а%2C%20119%2C%20зона%20№%2013.1</t>
  </si>
  <si>
    <t>ул. Гарибальди, з/у 26 (участок 2.2) район Обручевский, Гарибальди ул., вл.26, квартал 26-27, участок 2.2</t>
  </si>
  <si>
    <t>55.670770</t>
  </si>
  <si>
    <t>37.548939</t>
  </si>
  <si>
    <t>1337</t>
  </si>
  <si>
    <t xml:space="preserve">Осмотр строящегося образовательного комплекса в составе 1525 школьных мест п. Сосенское, р-н Коммунарка, улица Александры Монаховой, зу 46Е </t>
  </si>
  <si>
    <t>55.551807</t>
  </si>
  <si>
    <t>37.481505</t>
  </si>
  <si>
    <t>https://docs.google.com/spreadsheets/d/1EI7qusa674eJhuaw-nWWtWMEHVSYMQv7HLsInEZTWpE/edit?gid=2011623621#gid=2011623621</t>
  </si>
  <si>
    <t>https://disk.yandex.ru/d/88XgQg4nvRX-Fg</t>
  </si>
  <si>
    <t>1032</t>
  </si>
  <si>
    <t>Общеобразовательная школа 84 класса на 2100 мест ЖК ПЕРЕДЕЛКИНО БЛИЖНЕЕ. ГОРОД-ПАРК, ул. Бориса Пастернака, з/у 8А</t>
  </si>
  <si>
    <t>55.641334593008715</t>
  </si>
  <si>
    <t>37.32539234658745</t>
  </si>
  <si>
    <t>https://docs.google.com/spreadsheets/d/1EI7qusa674eJhuaw-nWWtWMEHVSYMQv7HLsInEZTWpE/edit?gid=44399105#gid=44399105</t>
  </si>
  <si>
    <t>https://disk.yandex.ru/client/disk/Осмотры%20объектов%20АНО%20СМГ/1032.%20ул.%20Бориса%20Пастернака%2C%20з-у%208А%20Школа%20на%202100%20мест</t>
  </si>
  <si>
    <t>1135</t>
  </si>
  <si>
    <t>Технологическая часть ТПУ на станции метро "Некрасовка". 
 Этап 1 г. Москва, м. "Некрасовка"</t>
  </si>
  <si>
    <t>55.707284</t>
  </si>
  <si>
    <t>37.924203</t>
  </si>
  <si>
    <t>15-я Парковая улица, земельный участок 46/1 (влд.46Б) (зона 5.3 (к.12)) 15-я Парковая улица, земельный участок 46/1 (влд.46Б) (зона 5.3 (к.12))</t>
  </si>
  <si>
    <t>55.809590</t>
  </si>
  <si>
    <t>37.825712</t>
  </si>
  <si>
    <t>1193</t>
  </si>
  <si>
    <t>Средняя общеобразовательная организация на 775 мест, корп.15 ЖК МАТВЕЕВСКИЙ ПАРК, Очаковское шоссе, вл. 3</t>
  </si>
  <si>
    <t>55.69534020478627</t>
  </si>
  <si>
    <t>37.46296323025414</t>
  </si>
  <si>
    <t>https://docs.google.com/spreadsheets/d/1EI7qusa674eJhuaw-nWWtWMEHVSYMQv7HLsInEZTWpE/edit?gid=413594252#gid=413594252</t>
  </si>
  <si>
    <t>https://disk.yandex.ru/client/disk/Осмотры%20объектов%20АНО%20СМГ/1193.%20Очаковское%20ш.%20ЖК%20Матвеевский%20Парк.%20школа%20на%20775</t>
  </si>
  <si>
    <t>Часовая ул., д. 27/12 район Аэропорт, Часовая ул., д. 27/12</t>
  </si>
  <si>
    <t>143 мин</t>
  </si>
  <si>
    <t>https://disk.yandex.ru/client/disk/Осмотры%20объектов%20АНО%20СМГ/191.%20Часовая%2027-12</t>
  </si>
  <si>
    <t>улица Шумилова, земельный участок 26 улица Шумилова, земельный участок 26</t>
  </si>
  <si>
    <t>291</t>
  </si>
  <si>
    <t>Учебный корпус на 300 мест ул. Соколово-Мещерская, д. 2, к. 2, стр. 1</t>
  </si>
  <si>
    <t>55.891047</t>
  </si>
  <si>
    <t>37.389131</t>
  </si>
  <si>
    <t>https://docs.google.com/spreadsheets/d/19THEBTE9q0fhN2eApZr6BgenIvLGh0AckaYxHQfHk5w/edit?gid=1314726953#gid=1314726953</t>
  </si>
  <si>
    <t>https://disk.yandex.ru/client/disk/Осмотры%20объектов%20АНО%20СМГ/291.%20Соколово-Мещерская%20д2%20к2%20с1%20УК%20300</t>
  </si>
  <si>
    <t>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t>
  </si>
  <si>
    <t>55.500902</t>
  </si>
  <si>
    <t xml:space="preserve"> 37.306494</t>
  </si>
  <si>
    <t>https://docs.google.com/spreadsheets/d/19THEBTE9q0fhN2eApZr6BgenIvLGh0AckaYxHQfHk5w/edit?gid=2126809757#gid=2126809757</t>
  </si>
  <si>
    <t>https://disk.yandex.ru/client/disk/Осмотры%20объектов%20АНО%20СМГ/198.%20РЦИ%20ул.%20Теннисная%202</t>
  </si>
  <si>
    <t>ул. Газопровод з/у 7 (Газопровод, влд. 7) район Южное Чертаново, Газопровод ул., з/у 7 (Газопровод ул., вл. 7)</t>
  </si>
  <si>
    <t>1133</t>
  </si>
  <si>
    <t>Технологическая часть ТПУ на станции метро "Хорошевская". 
 Этапы 1.1 г. Москва, м. "Хорошеская"</t>
  </si>
  <si>
    <t>55.776444713197016</t>
  </si>
  <si>
    <t>37.515556447051075</t>
  </si>
  <si>
    <t>1131</t>
  </si>
  <si>
    <t>Технологическая часть ТПУ на станции метро "Нагатинский затон". 
 Этап 1.1 г. Москва, м. "Нагатинский затон"</t>
  </si>
  <si>
    <t>55.68494730047297</t>
  </si>
  <si>
    <t>37.705863169310796</t>
  </si>
  <si>
    <t>ул. Уткина, з/у 44 ул. Уткина, з/у 44</t>
  </si>
  <si>
    <t>55.761811</t>
  </si>
  <si>
    <t>37.744226</t>
  </si>
  <si>
    <t>https://docs.google.com/spreadsheets/d/1rbCD10ySi4YZEkJW2_Slmn9z7AI1WEsGsZaIJmnnT18/edit?gid=1877394014#gid=1877394014</t>
  </si>
  <si>
    <t>https://disk.yandex.ru/client/disk/Осмотры%20объектов%20АНО%20СМГ/931.%20ул.%20Уткина%2C%20з.у%2044</t>
  </si>
  <si>
    <t>5-я Парковая улица, земельный участок 39/3 (5-я Парковая ул., вл. 39, корп. 3 район Измайлово, 5-я Парковая ул., вл. 39, корп. 3</t>
  </si>
  <si>
    <t>55.800869</t>
  </si>
  <si>
    <t>37.786025</t>
  </si>
  <si>
    <t>https://docs.google.com/spreadsheets/d/1rbCD10ySi4YZEkJW2_Slmn9z7AI1WEsGsZaIJmnnT18/edit?gid=1439077148#gid=1439077148</t>
  </si>
  <si>
    <t>https://disk.yandex.ru/client/disk/%D0%9E%D1%81%D0%BC%D0%BE%D1%82%D1%80%D1%8B%20%D0%BE%D0%B1%D1%8A%D0%B5%D0%BA%D1%82%D0%BE%D0%B2%20%D0%90%D0%9D%D0%9E%20%D0%A1%D0%9C%D0%93/874%20%D1%83%D0%BB%205-%D1%8F%20%D0%BF%D0%B0%D1%80%D0%BA%D0%BE%D0%B2%D0%B0%D1%8F%2039.3%20</t>
  </si>
  <si>
    <t>2-я Прядильная ул., вл.9 (Приобретение объектов недвижимости) ВАО	2-я Прядильная ул., вл.9 (Приобретение объектов недвижимости)</t>
  </si>
  <si>
    <t>55.796355</t>
  </si>
  <si>
    <t>37.780896</t>
  </si>
  <si>
    <t>https://docs.google.com/spreadsheets/d/1rbCD10ySi4YZEkJW2_Slmn9z7AI1WEsGsZaIJmnnT18/edit?gid=1108501275#gid=1108501275</t>
  </si>
  <si>
    <t>https://disk.yandex.ru/client/disk/Осмотры%20объектов%20АНО%20СМГ/854%202-я%20Прядильная%20ул%2C%20зу%209</t>
  </si>
  <si>
    <t>улица Азовская, земельный участок 39 ЮЗАО        улица Азовская, земельный участок 39</t>
  </si>
  <si>
    <t>55.644814</t>
  </si>
  <si>
    <t>37.595841</t>
  </si>
  <si>
    <t>https://docs.google.com/spreadsheets/d/1rbCD10ySi4YZEkJW2_Slmn9z7AI1WEsGsZaIJmnnT18/edit?gid=672785947#gid=672785947</t>
  </si>
  <si>
    <t>https://disk.yandex.ru/client/disk/Осмотры%20объектов%20АНО%20СМГ/878.%20Азовская%20улица%2C%20зу%2039</t>
  </si>
  <si>
    <t>3-я Парковая ул.,  зона 4.2 (к.4) 3-я Парковая ул.,  зона 4.2 (к.4) ЗУ 46/1</t>
  </si>
  <si>
    <t>55.805665</t>
  </si>
  <si>
    <t>37.783050</t>
  </si>
  <si>
    <t>https://docs.google.com/spreadsheets/d/1rbCD10ySi4YZEkJW2_Slmn9z7AI1WEsGsZaIJmnnT18/edit?gid=1853936778#gid=1853936778</t>
  </si>
  <si>
    <t>https://disk.yandex.ru/client/disk/Осмотры%20объектов%20АНО%20СМГ/868%203-я%20Парковая%20зона%204.2</t>
  </si>
  <si>
    <t>улица Таганрогская, земельный участок 8 улица Таганрогская, земельный участок 8</t>
  </si>
  <si>
    <t>55.683838</t>
  </si>
  <si>
    <t>37.755823</t>
  </si>
  <si>
    <t>https://docs.google.com/spreadsheets/d/1rbCD10ySi4YZEkJW2_Slmn9z7AI1WEsGsZaIJmnnT18/edit?gid=918222638#gid=918222638</t>
  </si>
  <si>
    <t>https://disk.yandex.ru/client/disk/Осмотры%20объектов%20АНО%20СМГ/852.%20Таганрогская%20ул.%2C%20з!у%208</t>
  </si>
  <si>
    <t>Михайлова ул., з/у 15 (Михайлова ул., вл. 15, корп. 1 и 2) Михайлова ул., з/у 15 (Михайлова ул., вл. 15, корп. 1 и 2)</t>
  </si>
  <si>
    <t>55.728195</t>
  </si>
  <si>
    <t>37.765938</t>
  </si>
  <si>
    <t>https://docs.google.com/spreadsheets/d/1H1MjbG2y0oC0hhID4do1G0_gfyI1jag72lQd7nL3WDQ/edit?gid=1217417878#gid=1217417878</t>
  </si>
  <si>
    <t>https://disk.yandex.ru/client/disk/Осмотры%20объектов%20АНО%20СМГ/532%20район%20Рязанский%2C%20Михайлова%20ул.%2C%20зу%2015</t>
  </si>
  <si>
    <t>3-я Парковая улица, земельный участок 39 (3-я Парковая улица, вл. 39) ВАО, район Измайлово, 3-я Парковая ул., вл.39</t>
  </si>
  <si>
    <t>55.798756</t>
  </si>
  <si>
    <t>37.780507</t>
  </si>
  <si>
    <t>https://docs.google.com/spreadsheets/d/1rbCD10ySi4YZEkJW2_Slmn9z7AI1WEsGsZaIJmnnT18/edit?gid=1493713747#gid=1493713747</t>
  </si>
  <si>
    <t>https://disk.yandex.ru/client/disk/Осмотры%20объектов%20АНО%20СМГ/727%203-я%20Парковая%20ул.%2C%20вл.%2039</t>
  </si>
  <si>
    <t>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t>
  </si>
  <si>
    <t>55.69460519860576</t>
  </si>
  <si>
    <t>37.74027562830986</t>
  </si>
  <si>
    <t>https://docs.google.com/spreadsheets/d/1lEcUd4exxkr5Za3IYZ0vdFNfMubnuMOOMXfmF3GYC9I/edit?gid=961840138#gid=961840138</t>
  </si>
  <si>
    <t>https://disk.yandex.ru/client/disk/Осмотры%20объектов%20АНО%20СМГ/801.%20Артюхиной%20ул.%2C%20уч.%2021%2C%20вл.%2021-27</t>
  </si>
  <si>
    <t>Камова ул., вл. 24 район Косино-Ухтомский, Камова ул., вл. 24</t>
  </si>
  <si>
    <t>улица Маршала Чуйкова, земельный участок 9/5/2 (зоны 4.1, 4.7) улица Маршала Чуйкова, земельный участок 9/5/2 (зоны 4.1, 4.7)</t>
  </si>
  <si>
    <t>55.696299</t>
  </si>
  <si>
    <t>37.761476</t>
  </si>
  <si>
    <t>https://docs.google.com/spreadsheets/d/1H1MjbG2y0oC0hhID4do1G0_gfyI1jag72lQd7nL3WDQ/edit?gid=640523369#gid=640523369</t>
  </si>
  <si>
    <t>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Чуйкова%2C%20д.%209%2C%20корп.5)%209.5.2</t>
  </si>
  <si>
    <t>7-я Парковая улица, земельный участок 19 ВАО, район Измайлово, 7-я Парковая ул., зу 19</t>
  </si>
  <si>
    <t>55.800022</t>
  </si>
  <si>
    <t>37.792436</t>
  </si>
  <si>
    <t>https://docs.google.com/spreadsheets/d/1rbCD10ySi4YZEkJW2_Slmn9z7AI1WEsGsZaIJmnnT18/edit?gid=511980375#gid=511980375</t>
  </si>
  <si>
    <t>https://disk.yandex.ru/client/disk/Осмотры%20объектов%20АНО%20СМГ/693%207-я%20Парковая%20зу%2019</t>
  </si>
  <si>
    <t>Молодогвардейская ул., з/у 53 (вл. 51, вл. 53) район Кунцево, Молодогвардейская ул., з/у 53</t>
  </si>
  <si>
    <t>55.733307</t>
  </si>
  <si>
    <t>37.406168</t>
  </si>
  <si>
    <t>https://docs.google.com/spreadsheets/d/1H1MjbG2y0oC0hhID4do1G0_gfyI1jag72lQd7nL3WDQ/edit?gid=788221100#gid=788221100</t>
  </si>
  <si>
    <t>https://disk.yandex.ru/client/disk/Осмотры%20объектов%20АНО%20СМГ/588.%20жилой%20дом%20ул.%20Молодогвардейская%2053</t>
  </si>
  <si>
    <t>9-я Парковая улица, земельный участок 52/1 (9-я Парковая ул., вл. 52, корп. 1) ВАО        9-я Парковая улица, з/у 52/1 (9-я Парковая ул., вл. 52, корп. 1)</t>
  </si>
  <si>
    <t>55.801268</t>
  </si>
  <si>
    <t>37.799688</t>
  </si>
  <si>
    <t>https://docs.google.com/spreadsheets/d/1rbCD10ySi4YZEkJW2_Slmn9z7AI1WEsGsZaIJmnnT18/edit?gid=1451563730#gid=1451563730</t>
  </si>
  <si>
    <t>https://disk.yandex.ru/client/disk/Осмотры%20объектов%20АНО%20СМГ/876%209-я%20Парковая%20ул.%2C%20вл.%2052%2C%20корп.%201</t>
  </si>
  <si>
    <t>9-я Парковая улица, земельный участок 50/2 (9-я Парковая ул., вл. 50, корп. 2) ВАО        9-я Парковая улица, з/у 50/2 (9-я Парковая ул., вл. 50, корп. 2)</t>
  </si>
  <si>
    <t>55.800494</t>
  </si>
  <si>
    <t>37.800640</t>
  </si>
  <si>
    <t>https://docs.google.com/spreadsheets/d/1rbCD10ySi4YZEkJW2_Slmn9z7AI1WEsGsZaIJmnnT18/edit?gid=1846163124#gid=1846163124</t>
  </si>
  <si>
    <t>https://disk.yandex.ru/client/disk/Осмотры%20объектов%20АНО%20СМГ/875%209-я%20Парковая%20ул.%2C%20вл.%2050%2C%20корп.%202</t>
  </si>
  <si>
    <t>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t>
  </si>
  <si>
    <t>55.897462</t>
  </si>
  <si>
    <t>37.534452</t>
  </si>
  <si>
    <t>https://docs.google.com/spreadsheets/d/1rbCD10ySi4YZEkJW2_Slmn9z7AI1WEsGsZaIJmnnT18/edit?gid=1084360480#gid=1084360480</t>
  </si>
  <si>
    <t>https://disk.yandex.ru/client/disk/Осмотры%20объектов%20АНО%20СМГ/946.%20ФОК%20ул.%20Истринская%202-8</t>
  </si>
  <si>
    <t>Херсонская ул. 8 (зона 6.5) Херсонская ул. 8 (зона 6.5)</t>
  </si>
  <si>
    <t>55.650516</t>
  </si>
  <si>
    <t>37.575543</t>
  </si>
  <si>
    <t>https://docs.google.com/spreadsheets/d/1H1MjbG2y0oC0hhID4do1G0_gfyI1jag72lQd7nL3WDQ/edit?gid=471133046#gid=471133046</t>
  </si>
  <si>
    <t>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t>
  </si>
  <si>
    <t>улица Полярная, з/у 17/1 (ул. Полярная, вл. 17, корп. 1) район Южное Медведково, ул. Полярная, вл. 17, корп. 1</t>
  </si>
  <si>
    <t>55.876455</t>
  </si>
  <si>
    <t>37.635792</t>
  </si>
  <si>
    <t>https://docs.google.com/spreadsheets/d/1H1MjbG2y0oC0hhID4do1G0_gfyI1jag72lQd7nL3WDQ/edit?gid=540934155#gid=540934155</t>
  </si>
  <si>
    <t>https://disk.yandex.ru/client/disk/Осмотры%20объектов%20АНО%20СМГ/794.%20Полярная%20ул.%2C%20зу%20вл.%2017%2C%20корп.%201</t>
  </si>
  <si>
    <t>Грайвороново, кв. 90А, корп. 12 район Текстильщики, кв-л Грайвороново 90А, з/у 1 (Грайвороново, квартал 90А)</t>
  </si>
  <si>
    <t>55.721583</t>
  </si>
  <si>
    <t>37.738602</t>
  </si>
  <si>
    <t>https://docs.google.com/spreadsheets/d/1H1MjbG2y0oC0hhID4do1G0_gfyI1jag72lQd7nL3WDQ/edit?gid=1984564802#gid=1984564802</t>
  </si>
  <si>
    <t>https://disk.yandex.ru/client/disk/Осмотры%20объектов%20АНО%20СМГ/556.%20Грайвороново%20кв.%2090.%20корп.%2012</t>
  </si>
  <si>
    <t>улица Юных Ленинцев, земельный участок 40/В (зоны 2.4 и 2.7) улица Юных Ленинцев, земельный участок 40/В (зоны 2.4 и 2.7)</t>
  </si>
  <si>
    <t>55.699429</t>
  </si>
  <si>
    <t>37.757826</t>
  </si>
  <si>
    <t>https://docs.google.com/spreadsheets/d/1H1MjbG2y0oC0hhID4do1G0_gfyI1jag72lQd7nL3WDQ/edit?gid=2107770933#gid=2107770933</t>
  </si>
  <si>
    <t>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2040%2C%20корп.%202%2C%20ул.%20Юных%20Ленинцев%2C%20д.%2040%2C%20корп.%203)</t>
  </si>
  <si>
    <t>Никитинская улица, земельный участок 21/1/3 (Никитинская ул., вл. 21, корп. 1, 3) Никитинская улица, земельный участок 21/1/3 (Никитинская ул., вл. 21, корп. 1, 3)</t>
  </si>
  <si>
    <t>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t>
  </si>
  <si>
    <t>55.725574</t>
  </si>
  <si>
    <t>37.471004</t>
  </si>
  <si>
    <t>https://docs.google.com/spreadsheets/d/1rbCD10ySi4YZEkJW2_Slmn9z7AI1WEsGsZaIJmnnT18/edit?gid=1407510683#gid=1407510683</t>
  </si>
  <si>
    <t>https://disk.yandex.ru/client/disk/Осмотры%20объектов%20АНО%20СМГ/723.%20дом%20Ул.%20Кремчугская%2011-17</t>
  </si>
  <si>
    <t>улица Совхозная, земельный участок 55/2 (участок 21.1) улица Совхозная, земельный участок 55/2 (участок 21.1)</t>
  </si>
  <si>
    <t>55.681186</t>
  </si>
  <si>
    <t>37.762729</t>
  </si>
  <si>
    <t>https://docs.google.com/spreadsheets/d/1H1MjbG2y0oC0hhID4do1G0_gfyI1jag72lQd7nL3WDQ/edit?gid=1407301391#gid=1407301391</t>
  </si>
  <si>
    <t>https://disk.yandex.ru/client/disk/Осмотры%20объектов%20АНО%20СМГ/604.%20Совхозная%20ул.%2C%20зу%2055-2%20(участок%2021.1)</t>
  </si>
  <si>
    <t>Нижегородская ул., з/у 92А (зона №2.3) ЮВАО	Нижегородская ул., з/у 92А (зона № 2.3)</t>
  </si>
  <si>
    <t>55.730676</t>
  </si>
  <si>
    <t>37.721182</t>
  </si>
  <si>
    <t>https://docs.google.com/spreadsheets/d/1rbCD10ySi4YZEkJW2_Slmn9z7AI1WEsGsZaIJmnnT18/edit?gid=1611612481#gid=1611612481</t>
  </si>
  <si>
    <t>https://disk.yandex.ru/client/disk/Осмотры%20объектов%20АНО%20СМГ/806.%20Нижегородская%20ул.%2C%20з-у%2092А%2C%20зона%202.3</t>
  </si>
  <si>
    <t>ул. Полярная, з/у 4 (вл. 4) район Южное Медведково, Полярная ул., вл. 4</t>
  </si>
  <si>
    <t>55.872678</t>
  </si>
  <si>
    <t>37.638506</t>
  </si>
  <si>
    <t>https://docs.google.com/spreadsheets/d/1H1MjbG2y0oC0hhID4do1G0_gfyI1jag72lQd7nL3WDQ/edit?gid=617262299#gid=617262299</t>
  </si>
  <si>
    <t>https://disk.yandex.ru/client/disk/Осмотры%20объектов%20АНО%20СМГ/658.%20Полярная%20ул.%2C%20зу%204</t>
  </si>
  <si>
    <t>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Яблочкова ул, з/у 26А/1 (зона 2.1) СВАО, ул. Яблочкова 26к1, 26к2</t>
  </si>
  <si>
    <t>55.823864</t>
  </si>
  <si>
    <t>37.580400</t>
  </si>
  <si>
    <t>https://docs.google.com/spreadsheets/d/1rbCD10ySi4YZEkJW2_Slmn9z7AI1WEsGsZaIJmnnT18/edit?gid=2079091831#gid=2079091831</t>
  </si>
  <si>
    <t>https://disk.yandex.ru/client/disk/Осмотры%20объектов%20АНО%20СМГ/1159.%20Яблочкова%20ул.%2C%2026к1%2C%2026к2</t>
  </si>
  <si>
    <t>улица Юных Ленинцев, земельный участок 44/3 (зоны 2.5 и 2.7) улица Юных Ленинцев, земельный участок 44/3 (зоны 2.5 и 2.7)</t>
  </si>
  <si>
    <t>55.699296</t>
  </si>
  <si>
    <t>37.759386</t>
  </si>
  <si>
    <t>https://docs.google.com/spreadsheets/d/1H1MjbG2y0oC0hhID4do1G0_gfyI1jag72lQd7nL3WDQ/edit?gid=139795987#gid=139795987</t>
  </si>
  <si>
    <t>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2044%2C%20корп.3%2C%20ул.%20Юных%20Ленинцев%2C%20д.%2044%2C%20корп.2%20)</t>
  </si>
  <si>
    <t>Севастопольский просп., з/у 46/7 (Севастопольский просп., вблизи д. 46, корп. 7) район Черемушки, Севастопольский пр-кт, вблизи д. 46, к. 7, квартал 32, 33-34, зона № 8.2</t>
  </si>
  <si>
    <t>55.656958</t>
  </si>
  <si>
    <t>37.565047</t>
  </si>
  <si>
    <t>https://docs.google.com/spreadsheets/d/1H1MjbG2y0oC0hhID4do1G0_gfyI1jag72lQd7nL3WDQ/edit?gid=1298340576#gid=1298340576</t>
  </si>
  <si>
    <t>https://disk.yandex.ru/client/disk/Осмотры%20объектов%20АНО%20СМГ/555.%20Район%20Черемушки%2C%20Севастопольский%20вблизи%20д46%20к7%2C%20кв%2032%2C33%20зона%208.2</t>
  </si>
  <si>
    <t>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t>
  </si>
  <si>
    <t>55.759260</t>
  </si>
  <si>
    <t>37.518414</t>
  </si>
  <si>
    <t>https://docs.google.com/spreadsheets/d/19THEBTE9q0fhN2eApZr6BgenIvLGh0AckaYxHQfHk5w/edit?gid=2057787589#gid=2057787589</t>
  </si>
  <si>
    <t>https://disk.yandex.ru/client/disk/Осмотры%20объектов%20АНО%20СМГ/181.Причальный%20проезд%20школа%20на%20400%20мест</t>
  </si>
  <si>
    <t>3-я Прядильная улица, земельный участок 10 ВАО, район Измайлово, 3-я Прядильная ул., зу 10  (рефинансирование)</t>
  </si>
  <si>
    <t>55.797856</t>
  </si>
  <si>
    <t>37.773705</t>
  </si>
  <si>
    <t>https://docs.google.com/spreadsheets/d/1rbCD10ySi4YZEkJW2_Slmn9z7AI1WEsGsZaIJmnnT18/edit?gid=152190080#gid=152190080</t>
  </si>
  <si>
    <t>https://disk.yandex.ru/client/disk/Осмотры%20объектов%20АНО%20СМГ/683%203-я%20Прядильная%20ул.%2C%20зу%2010</t>
  </si>
  <si>
    <t>улица Верхние Поля, земельный участок 17 (зоны 4.1 и 4.3) улица Верхние Поля, земельный участок 17 (зоны 4.1 и 4.3)</t>
  </si>
  <si>
    <t>55.666430</t>
  </si>
  <si>
    <t>37.749082</t>
  </si>
  <si>
    <t>https://docs.google.com/spreadsheets/d/1rbCD10ySi4YZEkJW2_Slmn9z7AI1WEsGsZaIJmnnT18/edit?gid=632308495#gid=632308495</t>
  </si>
  <si>
    <t>https://disk.yandex.ru/client/disk/Осмотры%20объектов%20АНО%20СМГ/851.%20жилой%20дом%20Верхние%20поля%20зу17</t>
  </si>
  <si>
    <t>улица Бронницкая, земельный участок 10 (Бронницкая ул., вл. 10) район Нижегородское, Бронницкая ул., вл. 10</t>
  </si>
  <si>
    <t>55.731105</t>
  </si>
  <si>
    <t>37.758208</t>
  </si>
  <si>
    <t>https://docs.google.com/spreadsheets/d/1rbCD10ySi4YZEkJW2_Slmn9z7AI1WEsGsZaIJmnnT18/edit?gid=1530580258#gid=1530580258</t>
  </si>
  <si>
    <t>https://disk.yandex.ru/client/disk/Осмотры%20объектов%20АНО%20СМГ/798.%20ул.%20Бронницкая%20зем.уч.%2010(гостиница)</t>
  </si>
  <si>
    <t>Всеволода Вишневского ул., земельный участок 11 район Тимирязевский, Всеволода Вишневского ул., вл. 11</t>
  </si>
  <si>
    <t>55.811372</t>
  </si>
  <si>
    <t>37.569402</t>
  </si>
  <si>
    <t>https://docs.google.com/spreadsheets/d/1rbCD10ySi4YZEkJW2_Slmn9z7AI1WEsGsZaIJmnnT18/edit?gid=2092914415#gid=2092914415</t>
  </si>
  <si>
    <t>https://disk.yandex.ru/client/disk/Осмотры%20объектов%20АНО%20СМГ/589.%20Всеволода%20Вишневского%20ул.%2C%20вл.%2011</t>
  </si>
  <si>
    <t>Школа 775 мест, СЗАО, р-н Хорошево-Мневники район Хорошёво-Мнёвники, Шелепихинская набережная, д. 36А, стр.1</t>
  </si>
  <si>
    <t>55.765579</t>
  </si>
  <si>
    <t>37.506354</t>
  </si>
  <si>
    <t>https://docs.google.com/spreadsheets/d/1EI7qusa674eJhuaw-nWWtWMEHVSYMQv7HLsInEZTWpE/edit?gid=376178489#gid=376178489</t>
  </si>
  <si>
    <t>https://disk.yandex.ru/client/disk/Осмотры%20объектов%20АНО%20СМГ/344.%20СОШ%20775%2C%20ул.%20Шеногина%20д.%202%2C%20стр.%202</t>
  </si>
  <si>
    <t>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t>
  </si>
  <si>
    <t>55.824779</t>
  </si>
  <si>
    <t>37.762614</t>
  </si>
  <si>
    <t>https://docs.google.com/spreadsheets/d/1rbCD10ySi4YZEkJW2_Slmn9z7AI1WEsGsZaIJmnnT18/edit?gid=235307605#gid=235307605</t>
  </si>
  <si>
    <t>https://disk.yandex.ru/client/disk/Осмотры%20объектов%20АНО%20СМГ/552.%20ВАО%2C%20Метрогородок%2C%20Открытое%20шоссе%2C%20зу%2026_3</t>
  </si>
  <si>
    <t>11-я Парковая улица, земельный участок 53 (вл. 53) (зона 72.3 (к. 39)) 11-я Парковая улица, земельный участок 53 (вл. 53) (зона 72.3 (к. 39))</t>
  </si>
  <si>
    <t>55.808251</t>
  </si>
  <si>
    <t>37.804211</t>
  </si>
  <si>
    <t>https://docs.google.com/spreadsheets/d/1H1MjbG2y0oC0hhID4do1G0_gfyI1jag72lQd7nL3WDQ/edit?gid=432585965#gid=432585965</t>
  </si>
  <si>
    <t>https://disk.yandex.ru/client/disk/Осмотры%20объектов%20АНО%20СМГ/543.%2011я%20Парковая%20зу%2053%20%2C%20зона%20№72.3%20Фонд%20реновации</t>
  </si>
  <si>
    <t>улица Братская, земельный участок 23 (Братская ул., вл. 23) Братская ул., вл. 23</t>
  </si>
  <si>
    <t>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t>
  </si>
  <si>
    <t>55.766754</t>
  </si>
  <si>
    <t>37.503549</t>
  </si>
  <si>
    <t>https://docs.google.com/spreadsheets/d/1EI7qusa674eJhuaw-nWWtWMEHVSYMQv7HLsInEZTWpE/edit?gid=1839942165#gid=1839942165</t>
  </si>
  <si>
    <t>https://disk.yandex.ru/client/disk/Осмотры%20объектов%20АНО%20СМГ/1246.%20ДОО%20НА%20350%20мест%2C%20ул.Шеногина%2C%20зу%202-21</t>
  </si>
  <si>
    <t>улица Перовская, земельный участок 46/48 (Перовская ул., вл. 46/48) улица Перовская, земельный участок 46/48(Перовская ул., вл. 46)</t>
  </si>
  <si>
    <t>Сиреневый б-р, з/у 4/9, зона 6,2 Сиреневый б-р, з/у 4/9, зона 6,2</t>
  </si>
  <si>
    <t>55.796435</t>
  </si>
  <si>
    <t>37.761761</t>
  </si>
  <si>
    <t>https://docs.google.com/spreadsheets/d/1H1MjbG2y0oC0hhID4do1G0_gfyI1jag72lQd7nL3WDQ/edit?gid=632665949#gid=632665949</t>
  </si>
  <si>
    <t>https://disk.yandex.ru/client/disk/Осмотры%20объектов%20АНО%20СМГ/616.%20Измайлово%2C%20Сиреневый%20бульв%20ар%2C%20зу%204.9%2C%20зона%206.2</t>
  </si>
  <si>
    <t>Путевой проезд, микрорайон 3, зона №1.1 микрорайон 3 района Алтуфьевский, зона №1.1 ЗУ 34/2</t>
  </si>
  <si>
    <t>55.876438</t>
  </si>
  <si>
    <t>37.572267</t>
  </si>
  <si>
    <t>https://docs.google.com/spreadsheets/d/1rbCD10ySi4YZEkJW2_Slmn9z7AI1WEsGsZaIJmnnT18/edit?gid=667094303#gid=667094303</t>
  </si>
  <si>
    <t>https://disk.yandex.ru/client/disk/Осмотры%20объектов%20АНО%20СМГ/865%20Путевой%20проезд%20микрорайон%203%2C%20(зоны%201.1%2C%201.2%2C%201.3)</t>
  </si>
  <si>
    <t>Кусковская ул., вл. 21 район Новогиреево, Кусковская ул., вл. 21</t>
  </si>
  <si>
    <t>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корпуса 1, 2)</t>
  </si>
  <si>
    <t>55.802208</t>
  </si>
  <si>
    <t>37.828432</t>
  </si>
  <si>
    <t>https://docs.google.com/spreadsheets/d/1rbCD10ySi4YZEkJW2_Slmn9z7AI1WEsGsZaIJmnnT18/edit?gid=1285905712#gid=1285905712</t>
  </si>
  <si>
    <t>https://disk.yandex.ru/client/disk/%D0%9E%D1%81%D0%BC%D0%BE%D1%82%D1%80%D1%8B%20%D0%BE%D0%B1%D1%8A%D0%B5%D0%BA%D1%82%D0%BE%D0%B2%20%D0%90%D0%9D%D0%9E%20%D0%A1%D0%9C%D0%93/667%2016-%D1%8F%20%D0%9F%D0%B0%D1%80%D0%BA%D0%BE%D0%B2%D0%B0%D1%8F%20%D0%B7%D1%83%2029%20%D0%90%20%D0%BA1%2C2%20</t>
  </si>
  <si>
    <t>Кусковская ул., вл. 23 район Новогиреево, Кусковская ул., вл. 23</t>
  </si>
  <si>
    <t>2-й квартал Капотня, з/у 21 район Капотня, Капотня, 2-й кв., з/у 21</t>
  </si>
  <si>
    <t>55.638790</t>
  </si>
  <si>
    <t>37.801064</t>
  </si>
  <si>
    <t>https://docs.google.com/spreadsheets/d/1H1MjbG2y0oC0hhID4do1G0_gfyI1jag72lQd7nL3WDQ/edit?gid=1879792750#gid=1879792750</t>
  </si>
  <si>
    <t>https://disk.yandex.ru/client/disk/Осмотры%20объектов%20АНО%20СМГ/453.%20Капотня%20р-н%2C%20Капотня%2C%202-й%20кв.%2C%20зу%2021</t>
  </si>
  <si>
    <t>улица Жигулевская, земельный участок 3/3/1 ЮВАО        улица Жигулёвская, земельный участок 3/3/1</t>
  </si>
  <si>
    <t>55.712834</t>
  </si>
  <si>
    <t>37.762931</t>
  </si>
  <si>
    <t>https://docs.google.com/spreadsheets/d/1rbCD10ySi4YZEkJW2_Slmn9z7AI1WEsGsZaIJmnnT18/edit?gid=858056712#gid=858056712</t>
  </si>
  <si>
    <t>https://disk.yandex.ru/client/disk/Осмотры%20объектов%20АНО%20СМГ/837.%20Жигулевская%20ул.%2C%20з-у%203-3-1.%20Жилой%20дом</t>
  </si>
  <si>
    <t>ул. Оренбургская, вл. 30 район Косино-Ухтомский, ул. Оренбургская, вл. 30</t>
  </si>
  <si>
    <t>Сиреневый бульвар, з/у 4/9, зона 6,1 Сиреневый бульвар, з/у 4/9, зона 6,1</t>
  </si>
  <si>
    <t>55.796229</t>
  </si>
  <si>
    <t>37.759937</t>
  </si>
  <si>
    <t>https://docs.google.com/spreadsheets/d/1H1MjbG2y0oC0hhID4do1G0_gfyI1jag72lQd7nL3WDQ/edit?gid=84528393#gid=84528393</t>
  </si>
  <si>
    <t>https://disk.yandex.ru/client/disk/Осмотры%20объектов%20АНО%20СМГ/710%20Сиреневый%20бульвар%2C%20зу%204%209%2C%20зона%206.1</t>
  </si>
  <si>
    <t>ул. Каховка, земельный участок 14/2  ул. Каховка, земельный участок 14/2</t>
  </si>
  <si>
    <t>Кутузовский проспект, земельный участок 78 ЗАО, район Фили-Давыдково, Кутузовский пр-т, зу 78</t>
  </si>
  <si>
    <t>55.725985</t>
  </si>
  <si>
    <t>37.456835</t>
  </si>
  <si>
    <t>https://docs.google.com/spreadsheets/d/1rbCD10ySi4YZEkJW2_Slmn9z7AI1WEsGsZaIJmnnT18/edit?gid=226411409#gid=226411409</t>
  </si>
  <si>
    <t>https://disk.yandex.ru/client/disk/Осмотры%20объектов%20АНО%20СМГ/619.%20Жилой%20дом%20Кутузовский%20вл78</t>
  </si>
  <si>
    <t>Дмитровское шоссе, земельный участок 32/1 (Зоны 3.1, 3.2) САО        Дмитровское шоссе, земельный участок 32/1 (Зоны 3.1, 3.2)</t>
  </si>
  <si>
    <t>55.839047</t>
  </si>
  <si>
    <t>37.573833</t>
  </si>
  <si>
    <t>https://docs.google.com/spreadsheets/d/1rbCD10ySi4YZEkJW2_Slmn9z7AI1WEsGsZaIJmnnT18/edit?gid=1402918255#gid=1402918255</t>
  </si>
  <si>
    <t>https://disk.yandex.ru/client/disk/Осмотры%20объектов%20АНО%20СМГ/787.%20Дмитровское%20шоссе%2032%20стр1</t>
  </si>
  <si>
    <t>Алтуфьевский район, микрорайон 1-2, зона №24.1 Алтуфьевский район, микрорайон 1-2, зона №24.1 (Инженерная улица, д.10. корп. 2)</t>
  </si>
  <si>
    <t>55.880778</t>
  </si>
  <si>
    <t>37.581837</t>
  </si>
  <si>
    <t>https://docs.google.com/spreadsheets/d/1rbCD10ySi4YZEkJW2_Slmn9z7AI1WEsGsZaIJmnnT18/edit?gid=151666570#gid=151666570</t>
  </si>
  <si>
    <t>https://disk.yandex.ru/client/disk/Осмотры%20объектов%20АНО%20СМГ/867%20Алтуфьевский%20район%20микрорайон%201-2%2C%20зона%20№24.1</t>
  </si>
  <si>
    <t>Жилой дом с инженерными сетями и благоустройством территории, ВАО, район Метрогородок, ш. Открытое, влд. 28/3 (Открытое шоссе, вл. 28, корп. 3) ш. Открытое, влд. 28/3</t>
  </si>
  <si>
    <t>55.827838</t>
  </si>
  <si>
    <t>37.768921</t>
  </si>
  <si>
    <t>https://docs.google.com/spreadsheets/d/1rbCD10ySi4YZEkJW2_Slmn9z7AI1WEsGsZaIJmnnT18/edit?gid=478234873#gid=478234873</t>
  </si>
  <si>
    <t>https://disk.yandex.ru/client/disk/Осмотры%20объектов%20АНО%20СМГ/513.%20Метрогородок%2C%20Открытое%20шоссе%20вл.28%20корп%203</t>
  </si>
  <si>
    <t>Сиреневый бульвар, земельный участок 4/4 зона 5.1 район Измайлово, Сиреневый бульвар, вл. 4, участок 4 зона 5.1</t>
  </si>
  <si>
    <t>55.796007</t>
  </si>
  <si>
    <t>37.758178</t>
  </si>
  <si>
    <t>https://docs.google.com/spreadsheets/d/1rbCD10ySi4YZEkJW2_Slmn9z7AI1WEsGsZaIJmnnT18/edit?gid=1553204611#gid=1553204611</t>
  </si>
  <si>
    <t>https://disk.yandex.ru/client/disk/Осмотры%20объектов%20АНО%20СМГ/612.%20Измайлово%2C%20Сиреневый%20бульвар%2C%20зу%204.4%2C%20зона%205.1</t>
  </si>
  <si>
    <t>Коровинское шоссе, земельный участок 4/6 (зона 14.1) САО	Коровинское шоссе, земельный участок 4/6 (зона 14.1)</t>
  </si>
  <si>
    <t>55.867821</t>
  </si>
  <si>
    <t>37.540333</t>
  </si>
  <si>
    <t>https://docs.google.com/spreadsheets/d/1rbCD10ySi4YZEkJW2_Slmn9z7AI1WEsGsZaIJmnnT18/edit?gid=583489484#gid=583489484</t>
  </si>
  <si>
    <t>https://disk.yandex.ru/client/disk/Осмотры%20объектов%20АНО%20СМГ/793.%20Коровинское%20шоссе%204%5C6</t>
  </si>
  <si>
    <t>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t>
  </si>
  <si>
    <t>55.730687</t>
  </si>
  <si>
    <t>37.857446</t>
  </si>
  <si>
    <t>https://docs.google.com/spreadsheets/d/19THEBTE9q0fhN2eApZr6BgenIvLGh0AckaYxHQfHk5w/edit?gid=1460101979#gid=1460101979</t>
  </si>
  <si>
    <t>https://disk.yandex.ru/client/disk/Осмотры%20объектов%20АНО%20СМГ/257.%20Проезд%20№%20894%20для%20жилых%20зданий%2C%20ул.%20Николая%20Старостина%2C%20напротив%20вл.%208</t>
  </si>
  <si>
    <t>Жилой дом, р-н Нагатинский затон, ул. Судостроительная, влд. 5 (3), к. 1 ЮАО, район Нагатинский Затон, Судостроительная ул., д. 5</t>
  </si>
  <si>
    <t>55.679859</t>
  </si>
  <si>
    <t>37.668751</t>
  </si>
  <si>
    <t>https://docs.google.com/spreadsheets/d/1rbCD10ySi4YZEkJW2_Slmn9z7AI1WEsGsZaIJmnnT18/edit?gid=1103814472#gid=1103814472</t>
  </si>
  <si>
    <t>https://disk.yandex.ru/client/disk/Осмотры%20объектов%20АНО%20СМГ/559.%20Судостроительная%20ул.%2C%20вл.%205.%20Жилой%20дом.%20Реновация</t>
  </si>
  <si>
    <t>Амурская ул., земельный участок 1/18 (зоны 3.4, 3.6, 3.7) Амурская ул., емельный участок 1/18 (зоны 3.4, 3.6, 3.7)</t>
  </si>
  <si>
    <t>55.807256</t>
  </si>
  <si>
    <t>37.751308</t>
  </si>
  <si>
    <t>https://docs.google.com/spreadsheets/d/1H1MjbG2y0oC0hhID4do1G0_gfyI1jag72lQd7nL3WDQ/edit?gid=1599124365#gid=1599124365</t>
  </si>
  <si>
    <t>https://disk.yandex.ru/client/disk/Осмотры%20объектов%20АНО%20СМГ/574.%20Район%20Гольяново%2C%20Амурская%20ул.%20вл.%201%20зона%20N3.4%20(зу%201_18)</t>
  </si>
  <si>
    <t>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t>
  </si>
  <si>
    <t>55.816341</t>
  </si>
  <si>
    <t>37.792496</t>
  </si>
  <si>
    <t>https://docs.google.com/spreadsheets/d/1rbCD10ySi4YZEkJW2_Slmn9z7AI1WEsGsZaIJmnnT18/edit?gid=1294085884#gid=1294085884</t>
  </si>
  <si>
    <t>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t>
  </si>
  <si>
    <t>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141, к. 1)</t>
  </si>
  <si>
    <t>55.893395</t>
  </si>
  <si>
    <t>37.540047</t>
  </si>
  <si>
    <t>https://docs.google.com/spreadsheets/d/1H1MjbG2y0oC0hhID4do1G0_gfyI1jag72lQd7nL3WDQ/edit?gid=683523839#gid=683523839</t>
  </si>
  <si>
    <t>https://disk.yandex.ru/client/disk/%D0%9E%D1%81%D0%BC%D0%BE%D1%82%D1%80%D1%8B%20%D0%BE%D0%B1%D1%8A%D0%B5%D0%BA%D1%82%D0%BE%D0%B2%20%D0%90%D0%9D%D0%9E%20%D0%A1%D0%9C%D0%93/591.%20%D0%94%D0%BE%D0%BB%D0%B3%D0%BE%D0%BF%D1%80%D1%83%D0%B4%D0%BD%D0%B0%D1%8F%20%D1%83%D0%BB.%2C%20%D0%B7%D1%83%203-5</t>
  </si>
  <si>
    <t>Волгоградский пр-т, вл. 101, корп. 2 район Кузьминки, Волгоградский пр-т, вл. 101, корп. 2</t>
  </si>
  <si>
    <t>55.708765</t>
  </si>
  <si>
    <t>37.754512</t>
  </si>
  <si>
    <t>https://docs.google.com/spreadsheets/d/1H1MjbG2y0oC0hhID4do1G0_gfyI1jag72lQd7nL3WDQ/edit?gid=947386880#gid=947386880</t>
  </si>
  <si>
    <t>https://disk.yandex.ru/client/disk/Осмотры%20объектов%20АНО%20СМГ/566.%20район%20Кузьминки%2C%20Волгоградский%20пр-т%2C%20вл.%20101%2C%20корп.%202</t>
  </si>
  <si>
    <t>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 (зона 1.1)</t>
  </si>
  <si>
    <t>55.663395</t>
  </si>
  <si>
    <t>37.597567</t>
  </si>
  <si>
    <t>https://docs.google.com/spreadsheets/d/1rbCD10ySi4YZEkJW2_Slmn9z7AI1WEsGsZaIJmnnT18/edit?gid=772910058#gid=772910058</t>
  </si>
  <si>
    <t>https://disk.yandex.ru/client/disk/Осмотры%20объектов%20АНО%20СМГ/1199.%20Одесская%204</t>
  </si>
  <si>
    <t>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Зюзино, улица Малая Юшуньская, земельный участок 12/1 (участок 7.5) улица Малая Юшуньская, земельный участок 12/1 (участок 7.5)</t>
  </si>
  <si>
    <t>Жилой комплекс «Терлецкий парк»
 Новогиреевская ул., вл.5, корп.1, корп.2 район Новогиреево, Новогиреевская ул., вл. 5, корп. 1, корп. 2</t>
  </si>
  <si>
    <t>55.761429</t>
  </si>
  <si>
    <t>37.796085</t>
  </si>
  <si>
    <t>https://docs.google.com/spreadsheets/d/19THEBTE9q0fhN2eApZr6BgenIvLGh0AckaYxHQfHk5w/edit?gid=326698304#gid=326698304</t>
  </si>
  <si>
    <t>https://disk.yandex.ru/client/disk/Осмотры%20объектов%20АНО%20СМГ/123.%20ЖК%20«Терлецкий%20Парк»%20Новогиреевская%20ул.%2C%20вл.5%2C%20корп.1%2C%20корп.2</t>
  </si>
  <si>
    <t>пр-д Нансена, з/у 8 (пр-д Нансена, вл.8) район Свиблово, проезд Нансена, з/у 8</t>
  </si>
  <si>
    <t>55.850828</t>
  </si>
  <si>
    <t>37.652804</t>
  </si>
  <si>
    <t>https://docs.google.com/spreadsheets/d/1H1MjbG2y0oC0hhID4do1G0_gfyI1jag72lQd7nL3WDQ/edit?gid=1956651299#gid=1956651299</t>
  </si>
  <si>
    <t>https://disk.yandex.ru/client/disk/%D0%9E%D1%81%D0%BC%D0%BE%D1%82%D1%80%D1%8B%20%D0%BE%D0%B1%D1%8A%D0%B5%D0%BA%D1%82%D0%BE%D0%B2%20%D0%90%D0%9D%D0%9E%20%D0%A1%D0%9C%D0%93/536.%20%D0%BF%D1%80%D0%BE%D0%B5%D0%B7%D0%B4%20%D0%9D%D0%B0%D0%BD%D1%81%D0%B5%D0%BD%D0%B0%2C%20%D0%B2%D0%BB%D0%B4.%208</t>
  </si>
  <si>
    <t>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 шоссе, земельный участок 90/1 (участок 5.1)</t>
  </si>
  <si>
    <t>55.648059</t>
  </si>
  <si>
    <t>37.618870</t>
  </si>
  <si>
    <t>https://docs.google.com/spreadsheets/d/1rbCD10ySi4YZEkJW2_Slmn9z7AI1WEsGsZaIJmnnT18/edit?gid=1868311876#gid=1868311876</t>
  </si>
  <si>
    <t>https://disk.yandex.ru/client/disk/%D0%9E%D1%81%D0%BC%D0%BE%D1%82%D1%80%D1%8B%20%D0%BE%D0%B1%D1%8A%D0%B5%D0%BA%D1%82%D0%BE%D0%B2%20%D0%90%D0%9D%D0%9E%20%D0%A1%D0%9C%D0%93/699.%20%D0%92%D0%B0%D1%80%D1%88%D0%B0%D0%B2%D1%81%D0%BA%D0%BE%D0%B5%20%D1%88.%20%D0%B7.%D1%83.%2090.1%20(%D1%83%D1%87%D0%B0%D1%81%D1%82%D0%BE%D0%BA%205.1)</t>
  </si>
  <si>
    <t>ул. Мироновская, земельный участок 32 (Мироновская ул., вл. 32) Соколиная гора, улица Мироновская, земельный участок 32 (Мироновская ул., вл. 32)</t>
  </si>
  <si>
    <t>55.788936</t>
  </si>
  <si>
    <t>37.734289</t>
  </si>
  <si>
    <t>https://docs.google.com/spreadsheets/d/1H1MjbG2y0oC0hhID4do1G0_gfyI1jag72lQd7nL3WDQ/edit?gid=1252296860#gid=1252296860</t>
  </si>
  <si>
    <t>https://disk.yandex.ru/client/disk/Осмотры%20объектов%20АНО%20СМГ/670.%20Ул%20Мироновская%20зу%2032</t>
  </si>
  <si>
    <t>Волгоградский проспект, земельный участок 138/14/4 ЮВАО	Волгоградский проспект, земельный участок 138/14/4</t>
  </si>
  <si>
    <t>55.701894</t>
  </si>
  <si>
    <t>37.786266</t>
  </si>
  <si>
    <t>https://docs.google.com/spreadsheets/d/1rbCD10ySi4YZEkJW2_Slmn9z7AI1WEsGsZaIJmnnT18/edit?gid=113121864#gid=113121864</t>
  </si>
  <si>
    <t>https://disk.yandex.ru/client/disk/Осмотры%20объектов%20АНО%20СМГ/849.%20Волгоградский%20пр-т%2C%20з-у%20138-14-4.%20Жилой%20дом</t>
  </si>
  <si>
    <t>ул. Долгопрудная, з/у 8 р-н Дмитровский мкр. 15, 16, 17, 18. улица Долгопрудная, з/у 8 (Зона 10.4)   (со сносом жилых домов по адресу: ул. Долгопрудная, д.8, к.2 и ул. Долгопрудная, д.8, к.1)</t>
  </si>
  <si>
    <t>улица Перекопская, земельный участок 4 внутригородское муниципальное образование Зюзино, улица Перекопская, земельный участок 4</t>
  </si>
  <si>
    <t>Волоколамское шоссе, мкр.16, зона №1.2 (2 очередь) район Покровское-Стрешнево, мкр.16, зона №1.2 (2 очередь) зу 108</t>
  </si>
  <si>
    <t>55.827311</t>
  </si>
  <si>
    <t>37.427854</t>
  </si>
  <si>
    <t>https://docs.google.com/spreadsheets/d/1rbCD10ySi4YZEkJW2_Slmn9z7AI1WEsGsZaIJmnnT18/edit?gid=679741287#gid=679741287</t>
  </si>
  <si>
    <t>https://disk.yandex.ru/client/disk/Осмотры%20объектов%20АНО%20СМГ/1158%20Волоколамское%20шоссе%2Cмкр.%2016%20зона%201.2%20(2я%20очередь)</t>
  </si>
  <si>
    <t>ул. Свободы, мкр. 14  ул. Свободы, мкр. 14</t>
  </si>
  <si>
    <t>Краснодарская ул., вл.8 ЮВАО, район Люблино, ул. Краснодарская, з/у 8 (Краснодарская ул., вл. 8)</t>
  </si>
  <si>
    <t>55.676412</t>
  </si>
  <si>
    <t>37.742216</t>
  </si>
  <si>
    <t>https://docs.google.com/spreadsheets/d/1rbCD10ySi4YZEkJW2_Slmn9z7AI1WEsGsZaIJmnnT18/edit?gid=573547240#gid=573547240</t>
  </si>
  <si>
    <t>https://disk.yandex.ru/client/disk/Осмотры%20объектов%20АНО%20СМГ/639.%20Краснодарская%20ул.%2C%20влд.%208.%20Жилой%20дом</t>
  </si>
  <si>
    <t>Волгоградский проспект, земельный участок 140/2 ЮВАО        Волгоградский проспект, земельный участок 140/2</t>
  </si>
  <si>
    <t>55.701120</t>
  </si>
  <si>
    <t>37.786941</t>
  </si>
  <si>
    <t>https://docs.google.com/spreadsheets/d/1rbCD10ySi4YZEkJW2_Slmn9z7AI1WEsGsZaIJmnnT18/edit?gid=415706414#gid=415706414</t>
  </si>
  <si>
    <t>https://disk.yandex.ru/client/disk/Осмотры%20объектов%20АНО%20СМГ/838.%20Волгоградский%20пр-т%2C%20з-у%20140-2.%20Жилой%20дом</t>
  </si>
  <si>
    <t>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земельный участок 27 (участок 3.1)</t>
  </si>
  <si>
    <t>55.660140</t>
  </si>
  <si>
    <t>37.564538</t>
  </si>
  <si>
    <t>https://docs.google.com/spreadsheets/d/1rbCD10ySi4YZEkJW2_Slmn9z7AI1WEsGsZaIJmnnT18/edit?gid=733134081#gid=733134081</t>
  </si>
  <si>
    <t>https://disk.yandex.ru/client/disk/Осмотры%20объектов%20АНО%20СМГ/919.%20Перекопская%20зу%2027(участок%203.1)</t>
  </si>
  <si>
    <t>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 д.7 к.5; д.7 к.6) по адресу: Нагорный район, ул. Артековская, земельный участок 7/6 (зона 2.4) ул. Артековская, з/у 7/6 (зона 2.4)</t>
  </si>
  <si>
    <t>Кольская ул., з/у 7 СВАО, Кольская ул. земельный участок 7 (Кольская вл. 7), район Свиблово</t>
  </si>
  <si>
    <t>55.859232</t>
  </si>
  <si>
    <t>37.649228</t>
  </si>
  <si>
    <t>https://docs.google.com/spreadsheets/d/1rbCD10ySi4YZEkJW2_Slmn9z7AI1WEsGsZaIJmnnT18/edit?gid=1068599727#gid=1068599727</t>
  </si>
  <si>
    <t>https://disk.yandex.ru/client/disk/Осмотры%20объектов%20АНО%20СМГ/657%20Кольская%20ул.%2C%20зу%207</t>
  </si>
  <si>
    <t>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t>
  </si>
  <si>
    <t>55.818731</t>
  </si>
  <si>
    <t>37.463457</t>
  </si>
  <si>
    <t>https://docs.google.com/spreadsheets/d/1rbCD10ySi4YZEkJW2_Slmn9z7AI1WEsGsZaIJmnnT18/edit?gid=625147630#gid=625147630</t>
  </si>
  <si>
    <t>https://disk.yandex.ru/client/disk/Осмотры%20объектов%20АНО%20СМГ/850.%20Сосновая%20аллея.%2C%20влд.%204</t>
  </si>
  <si>
    <t>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t>
  </si>
  <si>
    <t>55.752857</t>
  </si>
  <si>
    <t>37.782952</t>
  </si>
  <si>
    <t>https://docs.google.com/spreadsheets/d/1rbCD10ySi4YZEkJW2_Slmn9z7AI1WEsGsZaIJmnnT18/edit?gid=1984267459#gid=1984267459</t>
  </si>
  <si>
    <t>https://disk.yandex.ru/client/disk/Осмотры%20объектов%20АНО%20СМГ/668%20ВАО%2C%20район%20Перово%2C%202-я%20Владимирская%20ул.%2C%20з.у%2028.30%20подзона%202%20мкр.%2011-12%2C%2021-22%2C%2023-24%2C%2029%2C%2068%2C%20зона%20№%203.2</t>
  </si>
  <si>
    <t>проспект 40 лет Октября, земельный участок 18/13 (участки 7.1 и 7.2) ЮВАО, район Люблино, проспект 40 лет Октября, з/у 18/13 (участки 7.1 и 7.2)</t>
  </si>
  <si>
    <t>55.677859</t>
  </si>
  <si>
    <t>37.744810</t>
  </si>
  <si>
    <t>https://docs.google.com/spreadsheets/d/1rbCD10ySi4YZEkJW2_Slmn9z7AI1WEsGsZaIJmnnT18/edit?gid=282401999#gid=282401999</t>
  </si>
  <si>
    <t>https://disk.yandex.ru/client/disk/Осмотры%20объектов%20АНО%20СМГ/860.%20Пр-т%2040%20лет%20Октября%2C%20з!у%2018!13%20(уч.%207.1%20и%207.2)</t>
  </si>
  <si>
    <t>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 6, корп. 1, стр. 1)</t>
  </si>
  <si>
    <t>55.663206</t>
  </si>
  <si>
    <t>37.599810</t>
  </si>
  <si>
    <t>https://docs.google.com/spreadsheets/d/1rbCD10ySi4YZEkJW2_Slmn9z7AI1WEsGsZaIJmnnT18/edit?gid=1203948268#gid=1203948268</t>
  </si>
  <si>
    <t>https://disk.yandex.ru/client/disk/Осмотры%20объектов%20АНО%20СМГ/706.%20район%20Зюзино%2C%20кв.%2014%2C%20зона%201.3</t>
  </si>
  <si>
    <t>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t>
  </si>
  <si>
    <t>55.894674</t>
  </si>
  <si>
    <t>37.537043</t>
  </si>
  <si>
    <t>https://docs.google.com/spreadsheets/d/1H1MjbG2y0oC0hhID4do1G0_gfyI1jag72lQd7nL3WDQ/edit?gid=33336285#gid=33336285</t>
  </si>
  <si>
    <t>https://disk.yandex.ru/client/disk/%D0%9E%D1%81%D0%BC%D0%BE%D1%82%D1%80%D1%8B%20%D0%BE%D0%B1%D1%8A%D0%B5%D0%BA%D1%82%D0%BE%D0%B2%20%D0%90%D0%9D%D0%9E%20%D0%A1%D0%9C%D0%93/568.%20%D0%9A%D0%B0%D1%80%D0%B5%D0%BB%D1%8C%D1%81%D0%BA%D0%B8%D0%B9%20%D0%B1%D1%83%D0%BB%D1%8C%D0%B2%D0%B0%D1%80%2C%20%D0%B7%D1%83%2014-16</t>
  </si>
  <si>
    <t>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t>
  </si>
  <si>
    <t>55.753812</t>
  </si>
  <si>
    <t>37.782387</t>
  </si>
  <si>
    <t>https://docs.google.com/spreadsheets/d/1rbCD10ySi4YZEkJW2_Slmn9z7AI1WEsGsZaIJmnnT18/edit?gid=1480745629#gid=1480745629</t>
  </si>
  <si>
    <t>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20здания%20по%20адресу%3A%202-я%20Владимирская%20ул.%2C%20д.28%2C%20к.1)</t>
  </si>
  <si>
    <t>Строительный проезд, земельный участок 9/13 (Строительный проезд, вл.9) Строительный проезд, земельный участок 9/13 (Строительный проезд, вл.9)</t>
  </si>
  <si>
    <t>55.833154</t>
  </si>
  <si>
    <t>37.423872</t>
  </si>
  <si>
    <t>https://docs.google.com/spreadsheets/d/1H1MjbG2y0oC0hhID4do1G0_gfyI1jag72lQd7nL3WDQ/edit?gid=1181793870#gid=1181793870</t>
  </si>
  <si>
    <t>https://disk.yandex.ru/client/disk/Осмотры%20объектов%20АНО%20СМГ/632%20Строительный%20проезд%209%5C13</t>
  </si>
  <si>
    <t>улица Юных Ленинцев, земельный участок 111 (участок 12.8) улица Юных Ленинцев, земельный участок 111 (участок 12.8)</t>
  </si>
  <si>
    <t>55.699444</t>
  </si>
  <si>
    <t>37.785650</t>
  </si>
  <si>
    <t>https://docs.google.com/spreadsheets/d/1rbCD10ySi4YZEkJW2_Slmn9z7AI1WEsGsZaIJmnnT18/edit?gid=580229704#gid=580229704</t>
  </si>
  <si>
    <t>https://disk.yandex.ru/client/disk/Осмотры%20объектов%20АНО%20СМГ/830.%20улица%20Юных%20Ленинцев%2C%20зу%20111</t>
  </si>
  <si>
    <t>улица Юных Ленинцев, земельный участок 113 (зоны 12.9, 12.12) ЮВАО	улица Юных Ленинцев, земельный участок 113 (зоны 12.9, 12.12)</t>
  </si>
  <si>
    <t>55.699232</t>
  </si>
  <si>
    <t>37.786713</t>
  </si>
  <si>
    <t>https://docs.google.com/spreadsheets/d/1rbCD10ySi4YZEkJW2_Slmn9z7AI1WEsGsZaIJmnnT18/edit?gid=372457040#gid=372457040</t>
  </si>
  <si>
    <t>https://disk.yandex.ru/client/disk/Осмотры%20объектов%20АНО%20СМГ/831.%20улица%20Юных%20Ленинцев%2C%20зу%20113</t>
  </si>
  <si>
    <t>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Краснодарская ул., з/у 18 (Краснодарская ул., вл. 18)</t>
  </si>
  <si>
    <t>55.676382</t>
  </si>
  <si>
    <t>37.748418</t>
  </si>
  <si>
    <t>https://docs.google.com/spreadsheets/d/1rbCD10ySi4YZEkJW2_Slmn9z7AI1WEsGsZaIJmnnT18/edit?gid=2115012790#gid=2115012790</t>
  </si>
  <si>
    <t>https://disk.yandex.ru/client/disk/Осмотры%20объектов%20АНО%20СМГ/903%20ул.%20Краснодарская%20ул.%2C%20зу%2018%20(Краснодарская%20ул.%2C%20вл.%2018)</t>
  </si>
  <si>
    <t>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t>
  </si>
  <si>
    <t>55.648386</t>
  </si>
  <si>
    <t>37.576613</t>
  </si>
  <si>
    <t>https://docs.google.com/spreadsheets/d/1rbCD10ySi4YZEkJW2_Slmn9z7AI1WEsGsZaIJmnnT18/edit?gid=1656095741#gid=1656095741</t>
  </si>
  <si>
    <t>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20д.%2030)</t>
  </si>
  <si>
    <t>Свободный пр-т, вл. 12 район Новогиреево, Свободный пр-т, вл. 12</t>
  </si>
  <si>
    <t>Бакинская ул., вл. 31 г. Москва, ЮАО, район Царицыно, Бакинская ул., вл. 31</t>
  </si>
  <si>
    <t>55.617219</t>
  </si>
  <si>
    <t>37.661780</t>
  </si>
  <si>
    <t>https://docs.google.com/spreadsheets/d/1rbCD10ySi4YZEkJW2_Slmn9z7AI1WEsGsZaIJmnnT18/edit?gid=3373357#gid=3373357</t>
  </si>
  <si>
    <t>https://disk.yandex.ru/client/disk/Осмотры%20объектов%20АНО%20СМГ/774.%20Бакинская%2031</t>
  </si>
  <si>
    <t>ул. Лобненская, з/у 9А (Лобненская ул., вл. 9А) район Дмитровский, ул. Лобненская, з/у 9А, к. 23 микрорайон 15, 16, 17, 18 зона № 14.1</t>
  </si>
  <si>
    <t>Изумрудная зу 44/1 (мкр 2, зона 12.4) район Лосиноостровский, ул. Изумрудная, з/у 44/1, микрорайон 2, зона 12.4 (со сносом жилого здания по адресу: ул. Изумрудная, д. 44)</t>
  </si>
  <si>
    <t>55.877273</t>
  </si>
  <si>
    <t>37.692177</t>
  </si>
  <si>
    <t>https://docs.google.com/spreadsheets/d/1H1MjbG2y0oC0hhID4do1G0_gfyI1jag72lQd7nL3WDQ/edit?gid=1900542966#gid=1900542966</t>
  </si>
  <si>
    <t>https://disk.yandex.ru/client/disk/Осмотры%20объектов%20АНО%20СМГ/584.%20ул.%20Изумрудная%2044.1</t>
  </si>
  <si>
    <t>Сходненская ул., вл. 42 Сходненская ул., вл. 42</t>
  </si>
  <si>
    <t xml:space="preserve">Дата </t>
  </si>
  <si>
    <t>Открыл в</t>
  </si>
  <si>
    <t>Коорд. откр</t>
  </si>
  <si>
    <t>Соответсвтие открытия рабочего дня</t>
  </si>
  <si>
    <t>Закрыл в</t>
  </si>
  <si>
    <t>Коорд. закр</t>
  </si>
  <si>
    <t>Соответсвтие закрытия рабочего дня</t>
  </si>
  <si>
    <t>Количество объектов</t>
  </si>
  <si>
    <t>Общее время</t>
  </si>
  <si>
    <t>Время на объектах</t>
  </si>
  <si>
    <t>Время в пути</t>
  </si>
  <si>
    <t>55.927928, 37.564654</t>
  </si>
  <si>
    <t>55.945946, 37.549953</t>
  </si>
  <si>
    <t>❌ Не совпадает (8467 м)</t>
  </si>
  <si>
    <t>9 ч 16 мин</t>
  </si>
  <si>
    <t>6 ч 59 мин</t>
  </si>
  <si>
    <t>2 ч 17 мин</t>
  </si>
  <si>
    <t>55.832778, 37.572755</t>
  </si>
  <si>
    <t>55.863242, 37.548475</t>
  </si>
  <si>
    <t>❌ Не совпадает (10242 м)</t>
  </si>
  <si>
    <t>9 ч 17 мин</t>
  </si>
  <si>
    <t>8 ч 11 мин</t>
  </si>
  <si>
    <t>1 ч 6 мин</t>
  </si>
  <si>
    <t>55.800896, 37.771750</t>
  </si>
  <si>
    <t>55.810460, 37.742515</t>
  </si>
  <si>
    <t>❌ Не совпадает (7160 м)</t>
  </si>
  <si>
    <t>9 ч 3 мин</t>
  </si>
  <si>
    <t>6 ч 12 мин</t>
  </si>
  <si>
    <t>2 ч 51 мин</t>
  </si>
  <si>
    <t>55.719112, 37.946825</t>
  </si>
  <si>
    <t>55.709105, 37.895418</t>
  </si>
  <si>
    <t>❌ Не совпадает (1075 м)</t>
  </si>
  <si>
    <t>9 ч 18 мин</t>
  </si>
  <si>
    <t>7 ч 31 мин</t>
  </si>
  <si>
    <t>1 ч 47 мин</t>
  </si>
  <si>
    <t>55.709105, 37.542229</t>
  </si>
  <si>
    <t>55.716524, 37.643640</t>
  </si>
  <si>
    <t>❌ Не совпадает (11565 м)</t>
  </si>
  <si>
    <t>8 ч 60 мин</t>
  </si>
  <si>
    <t>6 ч 52 мин</t>
  </si>
  <si>
    <t>2 ч 8 мин</t>
  </si>
  <si>
    <t>55.662231, 37.597624</t>
  </si>
  <si>
    <t>55.652576, 37.618951</t>
  </si>
  <si>
    <t>✅ Совпадает (13 м)</t>
  </si>
  <si>
    <t>9 ч 13 мин</t>
  </si>
  <si>
    <t>7 ч 0 мин</t>
  </si>
  <si>
    <t>2 ч 13 мин</t>
  </si>
  <si>
    <t>55.563487, 37.578618</t>
  </si>
  <si>
    <t>55.488942, 37.338198</t>
  </si>
  <si>
    <t>❌ Не совпадает (22019 м)</t>
  </si>
  <si>
    <t>9 ч 10 мин</t>
  </si>
  <si>
    <t>6 ч 39 мин</t>
  </si>
  <si>
    <t>2 ч 31 мин</t>
  </si>
  <si>
    <t>55.588886, 37.171355</t>
  </si>
  <si>
    <t>55.650547, 37.340010</t>
  </si>
  <si>
    <t>❌ Не совпадает (1412 м)</t>
  </si>
  <si>
    <t>7 ч 13 мин</t>
  </si>
  <si>
    <t>1 ч 57 мин</t>
  </si>
  <si>
    <t>55.830348, 37.397187</t>
  </si>
  <si>
    <t>55.971191, 37.420610</t>
  </si>
  <si>
    <t>❌ Не совпадает (16328 м)</t>
  </si>
  <si>
    <t>9 ч 5 мин</t>
  </si>
  <si>
    <t>6 ч 46 мин</t>
  </si>
  <si>
    <t>2 ч 19 мин</t>
  </si>
  <si>
    <t>55.719421, 37.783482</t>
  </si>
  <si>
    <t>55.696999, 37.763213</t>
  </si>
  <si>
    <t>✅ Совпадает (86 м)</t>
  </si>
  <si>
    <t>9 ч 2 мин</t>
  </si>
  <si>
    <t>8 ч 34 мин</t>
  </si>
  <si>
    <t>55.692498, 37.754877</t>
  </si>
  <si>
    <t>55.729978, 37.670605</t>
  </si>
  <si>
    <t>❌ Не совпадает (4327 м)</t>
  </si>
  <si>
    <t>9 ч 30 мин</t>
  </si>
  <si>
    <t>5 ч 47 мин</t>
  </si>
  <si>
    <t>3 ч 43 мин</t>
  </si>
  <si>
    <t>55.8919, 37.4976</t>
  </si>
  <si>
    <t>❌ Не совпадает (1625 м)</t>
  </si>
  <si>
    <t>55.8919, 37.5619</t>
  </si>
  <si>
    <t>❌ Не совпадает (1513 м)</t>
  </si>
  <si>
    <t>9 ч 12 мин</t>
  </si>
  <si>
    <t>14 ч 46 мин</t>
  </si>
  <si>
    <t>55.8583, 37.5634</t>
  </si>
  <si>
    <t>❌ Не совпадает (7161 м)</t>
  </si>
  <si>
    <t>55.9733, 37.4313</t>
  </si>
  <si>
    <t>❌ Не совпадает (14309 м)</t>
  </si>
  <si>
    <t>9 ч 14 мин</t>
  </si>
  <si>
    <t>13 ч 34 мин</t>
  </si>
  <si>
    <t>55.8066, 37.7506</t>
  </si>
  <si>
    <t>❌ Не совпадает (3282 м)</t>
  </si>
  <si>
    <t>55.8763, 37.6928</t>
  </si>
  <si>
    <t>✅ Совпадает (119 м)</t>
  </si>
  <si>
    <t>9 ч 6 мин</t>
  </si>
  <si>
    <t>12 ч 8 мин</t>
  </si>
  <si>
    <t>55.7296, 37.8599</t>
  </si>
  <si>
    <t>❌ Не совпадает (9170 м)</t>
  </si>
  <si>
    <t>55.7559, 37.8183</t>
  </si>
  <si>
    <t>✅ Совпадает (88 м)</t>
  </si>
  <si>
    <t>9 ч 19 мин</t>
  </si>
  <si>
    <t>12 ч 42 мин</t>
  </si>
  <si>
    <t>55.6343, 37.6833</t>
  </si>
  <si>
    <t>❌ Не совпадает (11652 м)</t>
  </si>
  <si>
    <t>55.6758, 37.7485</t>
  </si>
  <si>
    <t>✅ Совпадает (60 м)</t>
  </si>
  <si>
    <t>12 ч 55 мин</t>
  </si>
  <si>
    <t>55.7088, 37.7532</t>
  </si>
  <si>
    <t>❌ Не совпадает (1487 м)</t>
  </si>
  <si>
    <t>55.6171, 37.6633</t>
  </si>
  <si>
    <t>✅ Совпадает (93 м)</t>
  </si>
  <si>
    <t>16 ч 16 мин</t>
  </si>
  <si>
    <t>55.6627, 37.5984</t>
  </si>
  <si>
    <t>❌ Не совпадает (1997 м)</t>
  </si>
  <si>
    <t>55.6809, 37.5840</t>
  </si>
  <si>
    <t>✅ Совпадает (27 м)</t>
  </si>
  <si>
    <t>15 ч 45 мин</t>
  </si>
  <si>
    <t>55.6564, 37.5908</t>
  </si>
  <si>
    <t>❌ Не совпадает (10787 м)</t>
  </si>
  <si>
    <t>55.6481, 37.5780</t>
  </si>
  <si>
    <t>✅ Совпадает (92 м)</t>
  </si>
  <si>
    <t>8 ч 53 мин</t>
  </si>
  <si>
    <t>13 ч 36 мин</t>
  </si>
  <si>
    <t>55.6295, 37.3365</t>
  </si>
  <si>
    <t>❌ Не совпадает (7726 м)</t>
  </si>
  <si>
    <t>55.6741, 37.4610</t>
  </si>
  <si>
    <t>✅ Совпадает (151 м)</t>
  </si>
  <si>
    <t>12 ч 3 мин</t>
  </si>
  <si>
    <t>55.7908, 37.5476</t>
  </si>
  <si>
    <t>❌ Не совпадает (10916 м)</t>
  </si>
  <si>
    <t>55.6359, 37.3046</t>
  </si>
  <si>
    <t>8 ч 32 мин</t>
  </si>
  <si>
    <t>10 ч 49 мин</t>
  </si>
  <si>
    <t>55.7005, 37.8740</t>
  </si>
  <si>
    <t>—</t>
  </si>
  <si>
    <t>55.7096, 37.8667</t>
  </si>
  <si>
    <t>55.7206, 37.7823</t>
  </si>
  <si>
    <t>❌ Не совпадает (5165 м)</t>
  </si>
  <si>
    <t>55.6996, 37.7860</t>
  </si>
  <si>
    <t>✅ Совпадает (58 м)</t>
  </si>
  <si>
    <t>9 ч 22 мин</t>
  </si>
  <si>
    <t>15 ч 28 мин</t>
  </si>
  <si>
    <t>Содержание</t>
  </si>
  <si>
    <t>mark2</t>
  </si>
  <si>
    <t>настоящее боевой</t>
  </si>
  <si>
    <t>mark3</t>
  </si>
  <si>
    <t>mark4</t>
  </si>
  <si>
    <t>mark5</t>
  </si>
  <si>
    <t>Чек- лист мониторинга объекта  социального строительства</t>
  </si>
  <si>
    <t>я.Диск</t>
  </si>
  <si>
    <t>ГОСТ 58967-2020; ПП Москвы №299; СанПиН 2.2.3 1384-03</t>
  </si>
  <si>
    <t>ХЕДЕР</t>
  </si>
  <si>
    <t>Школа на 825 мест, ул. 6-я Радиальная, вл. 7, уч. 20</t>
  </si>
  <si>
    <t>c4</t>
  </si>
  <si>
    <t>Заказчик:</t>
  </si>
  <si>
    <t>ДГС</t>
  </si>
  <si>
    <t>c5</t>
  </si>
  <si>
    <t>Генподрядчик:</t>
  </si>
  <si>
    <t>ООО «ПРОСТРОЙ»</t>
  </si>
  <si>
    <t>c6</t>
  </si>
  <si>
    <t>Дата заключения контракта:</t>
  </si>
  <si>
    <t>c7</t>
  </si>
  <si>
    <t>Продление по контракту:</t>
  </si>
  <si>
    <t>2 (от 06.09.2024)</t>
  </si>
  <si>
    <t>c8</t>
  </si>
  <si>
    <t>Срок исполнения по АИП:</t>
  </si>
  <si>
    <t>c9</t>
  </si>
  <si>
    <t>Срок исполнения по директивному графику:</t>
  </si>
  <si>
    <t>c10</t>
  </si>
  <si>
    <t>Срок исполнения по контракту:</t>
  </si>
  <si>
    <t>Июнь 2025</t>
  </si>
  <si>
    <t>c11</t>
  </si>
  <si>
    <t>Прогноз фактического ввода:</t>
  </si>
  <si>
    <t>Май 2026</t>
  </si>
  <si>
    <t>c12</t>
  </si>
  <si>
    <t>Штрафные санкции/пени, руб.:</t>
  </si>
  <si>
    <t>3 520 000,00</t>
  </si>
  <si>
    <t>c13</t>
  </si>
  <si>
    <t>ТЭП (кв.м, п.км):</t>
  </si>
  <si>
    <t>c14</t>
  </si>
  <si>
    <t>Мониторинг не начат</t>
  </si>
  <si>
    <t>ФИО  МГЗ</t>
  </si>
  <si>
    <t>ИльяновИП</t>
  </si>
  <si>
    <t>ВасильеваАА</t>
  </si>
  <si>
    <t>Количество копусов-этажей:</t>
  </si>
  <si>
    <t>Дата МГЗ</t>
  </si>
  <si>
    <t xml:space="preserve">
Руководящее лицо на стройке, должность:</t>
  </si>
  <si>
    <t>ФИО презентация</t>
  </si>
  <si>
    <t>АгальцоваОА</t>
  </si>
  <si>
    <t>ЧерниковАС</t>
  </si>
  <si>
    <t>ОнупрейчикЮИ</t>
  </si>
  <si>
    <t>ШматкоАС</t>
  </si>
  <si>
    <t>МорозовДВ</t>
  </si>
  <si>
    <t>БахаревСС</t>
  </si>
  <si>
    <t>Дата презентация</t>
  </si>
  <si>
    <t>Есин Сергей Викторович</t>
  </si>
  <si>
    <t>Проверяющий</t>
  </si>
  <si>
    <t>Удалкин</t>
  </si>
  <si>
    <t xml:space="preserve">МакаровИА </t>
  </si>
  <si>
    <t xml:space="preserve">ТарасюкАА </t>
  </si>
  <si>
    <t>ТарасюкАА</t>
  </si>
  <si>
    <t>ГытланРВ</t>
  </si>
  <si>
    <t>УдалкинИВ</t>
  </si>
  <si>
    <t>ОсипенкоЮВ</t>
  </si>
  <si>
    <t>Инспектор не выбран</t>
  </si>
  <si>
    <t>89165247802</t>
  </si>
  <si>
    <t>Мобилизация трудовых резервов</t>
  </si>
  <si>
    <t xml:space="preserve">
КРИТЕРИЙ</t>
  </si>
  <si>
    <t xml:space="preserve">
Весовой коэффициент видов работ, %</t>
  </si>
  <si>
    <t>Готовность, %</t>
  </si>
  <si>
    <t>Дата объезда</t>
  </si>
  <si>
    <t>Выбери дату</t>
  </si>
  <si>
    <t>макросище</t>
  </si>
  <si>
    <t>Период:</t>
  </si>
  <si>
    <t>СТРОИТЕЛЬНАЯ ГОТОВНОСТЬ</t>
  </si>
  <si>
    <t>маяк не удалять</t>
  </si>
  <si>
    <t>Люди</t>
  </si>
  <si>
    <t>КОНСТРУКТИВ</t>
  </si>
  <si>
    <t>Подготовительный этап, вынос сетей</t>
  </si>
  <si>
    <t>СТЕНЫ И ПЕРЕГОРОДКИ</t>
  </si>
  <si>
    <t>Земляные работы</t>
  </si>
  <si>
    <t>ФАСАДЫ</t>
  </si>
  <si>
    <t>Конструктив ОКС</t>
  </si>
  <si>
    <t>ОТДЕЛОЧНЫЕ РАБОТЫ</t>
  </si>
  <si>
    <t>ЧЕРНОВАЯ ОТДЕЛКА</t>
  </si>
  <si>
    <t>Наружные стены</t>
  </si>
  <si>
    <t>ЧИСТОВАЯ ОТДЕЛКА</t>
  </si>
  <si>
    <t>Внутренние перегородки</t>
  </si>
  <si>
    <t>ВНУТРЕННИЕ ИНЖЕНЕРНЫЕ СИСТЕМЫ</t>
  </si>
  <si>
    <t>ВЕНТИЛЯЦИЯ</t>
  </si>
  <si>
    <t>Утеплитель</t>
  </si>
  <si>
    <t>ЭЛЕКТРОСНАБЖЕНИЕ</t>
  </si>
  <si>
    <t>Подсистема фасада</t>
  </si>
  <si>
    <t>СКС</t>
  </si>
  <si>
    <t>Навесные элементы фасада (плитка, панели, другое)</t>
  </si>
  <si>
    <t>САНТЕХНИКА</t>
  </si>
  <si>
    <t>Заполнение проемов (окна, двери, другое)</t>
  </si>
  <si>
    <t>НАРУЖНЫЕ ИНЖЕНЕРНЫЕ СЕТИ</t>
  </si>
  <si>
    <t>ОБОРУДОВАНИЕ ПО ТХЗ</t>
  </si>
  <si>
    <t>Черновая отделка (подземная/надземная часть)</t>
  </si>
  <si>
    <t>ПОСТАВЛЕНО НА ОБЪЕКТ</t>
  </si>
  <si>
    <t>Пол</t>
  </si>
  <si>
    <t>СМОНТИРОВАНО</t>
  </si>
  <si>
    <t>Стены</t>
  </si>
  <si>
    <t>ПНР</t>
  </si>
  <si>
    <t>Потолок (обеспыливание, окрашивание)</t>
  </si>
  <si>
    <t>МЕБЕЛЬ</t>
  </si>
  <si>
    <t>Монтаж металлических дверей (МОП, инж. помещения и др)</t>
  </si>
  <si>
    <t>БЛАГОУСТРОЙСТВО ПРИЛЕГАЮЩЕЙ ТЕРРИТОРИИ</t>
  </si>
  <si>
    <t>Чистовая отделка (подземная/надземная часть)</t>
  </si>
  <si>
    <t>ТВЕРДОЕ ПОКРЫТИЕ</t>
  </si>
  <si>
    <t>ОЗЕЛЕНЕНИЕ</t>
  </si>
  <si>
    <t>МАФ</t>
  </si>
  <si>
    <t>Потолок</t>
  </si>
  <si>
    <t>stop</t>
  </si>
  <si>
    <t>Монтаж дверей, наличников, фурнитуры</t>
  </si>
  <si>
    <t>Клининг (уборка)</t>
  </si>
  <si>
    <t>Вентиляция</t>
  </si>
  <si>
    <t>ПД, ДУ:</t>
  </si>
  <si>
    <t>Воздуховоды</t>
  </si>
  <si>
    <t>Венттляционные установки, монтаж клапанов</t>
  </si>
  <si>
    <t>ОБЩЕОБМЕННАЯ И ВЫТЯЖНАЯ ВЕНТИЛЯЦИЯ, КОНДИЦИОНИРОВАНИЕ:</t>
  </si>
  <si>
    <t>Воздуховоды, Трассы фреонопровода</t>
  </si>
  <si>
    <t>Вентиляционные установки, Блоки кондиционирования</t>
  </si>
  <si>
    <t>Электрика</t>
  </si>
  <si>
    <t>ГРЩ, ЩИТОВЫЕ (Монтаж щитов, шкафов, лотков, укладка кабеля)</t>
  </si>
  <si>
    <t>НАДЗЕМНАЯ/ПОДЗЕМНАЯ ЧАСТЬ:</t>
  </si>
  <si>
    <t>Монтаж лотковых трасс (горизонт, вертикаль)</t>
  </si>
  <si>
    <t>Прокладка кабеля, монтаж щитов и шкафов с расключением</t>
  </si>
  <si>
    <t>Монтаж оконечных устройств с расключением</t>
  </si>
  <si>
    <t>Сети Связи</t>
  </si>
  <si>
    <t>СЕРВЕРНАЯ, КРОССОВЫЕ ПОМЕЩЕНИЯ (Прокладка кабеля, монтаж стоек, АРМ, шкафов с расключением)</t>
  </si>
  <si>
    <t>Прокладка кабеля, монтаж и расключение оконечных устройств</t>
  </si>
  <si>
    <t>Сантехника</t>
  </si>
  <si>
    <t>МОНТАЖ НАСОСНОЙ СТАНЦИИ ПОЖАРОТУШЕНИЯ, ИТП, УЗЕЛ ВВОДА (с обвязкой и расключением по ЭОМ и СС)</t>
  </si>
  <si>
    <t>Монтаж трубопроводов с запорной арматурой, гребенками и прочего оборудования</t>
  </si>
  <si>
    <t>Монтаж оконечных устройств (радиатор отопления, счетчик, унитаз, раковина, ванная, смесители и т.д.)</t>
  </si>
  <si>
    <t>ПУСКО-НАЛАДОЧНЫЕ РАБОТЫ</t>
  </si>
  <si>
    <t>Электроснабжение</t>
  </si>
  <si>
    <t>Монтаж ТП</t>
  </si>
  <si>
    <t>Сборка ГРЩ</t>
  </si>
  <si>
    <t>Прокладка кабельных линий до ТП(10 кВт)</t>
  </si>
  <si>
    <t>Прокладка кабельных линий (от ТП до ГРЩ)</t>
  </si>
  <si>
    <t>Технилогическое присоединение с получением актов и проведением ПНР</t>
  </si>
  <si>
    <t>Водоснабжение</t>
  </si>
  <si>
    <t>Наружные сети водопровода в пределах ГПЗУ с учетом ввода в водомерный узел</t>
  </si>
  <si>
    <t>Водомерный узел монтаж</t>
  </si>
  <si>
    <t>Технологическое присоединение с получением актов и проведением ПНР</t>
  </si>
  <si>
    <t>Теплоснабжение</t>
  </si>
  <si>
    <t>Камера теплосети</t>
  </si>
  <si>
    <t>Прокладка наружного участка теплосети</t>
  </si>
  <si>
    <t>Монтаж ИТП, гидравлика, автоматизация (расключение шкафов ЭОМ и СС), окожушивание</t>
  </si>
  <si>
    <t>Технологическое присоединение (МОЭК), проведение ПНР</t>
  </si>
  <si>
    <t>Получение акта Ростехнадзора</t>
  </si>
  <si>
    <t>Ливневая канализация</t>
  </si>
  <si>
    <t>НАРУЖНЫЕ ИНЖЕНЕРНЫЕ СЕТИ ливневой канализации в пределах ГПЗУ</t>
  </si>
  <si>
    <t>Технологическое присоединение</t>
  </si>
  <si>
    <t>Получение актов присоединения</t>
  </si>
  <si>
    <t>Хозяйственно-бытовая канализация</t>
  </si>
  <si>
    <t>Сети хоз. быт. канализации в пределах ГПЗУ</t>
  </si>
  <si>
    <t>ОБОРУДОВАНИЕ ТХЗ, ЛИФТЫ</t>
  </si>
  <si>
    <t>Привезено на объект</t>
  </si>
  <si>
    <t>Смонтировано</t>
  </si>
  <si>
    <t>Монтаж (в том числе лифты)</t>
  </si>
  <si>
    <t>Твердое покрытие</t>
  </si>
  <si>
    <t>Озеленение(высадка растений с учетом посева или укладки рулонного газона)</t>
  </si>
  <si>
    <t>Вывод</t>
  </si>
  <si>
    <t>Журналы отсутствуют. Находятся в офисе АНО РСИ</t>
  </si>
  <si>
    <t>Срыв сроков сдачи объекта, в связи с отсутствием финансирования и отсутствия проектной документации.</t>
  </si>
  <si>
    <t>Срыв сроков сдачи объекта, в связи с отсутствием финансирования и отсутствия проектной документации. ЖОР на объекте отсутствует.</t>
  </si>
  <si>
    <t>Срыв сроков сдачи объекта, в связи с отсутствием финансирования и отсутствия рабочей документации.</t>
  </si>
  <si>
    <t>Срыв сроков сдачи объекта, в связи с отсутствием финансирования и отсутствия рабочей документации. Прозодит расторжение с ООО Прострой. Возможно зайдет ПИК</t>
  </si>
  <si>
    <t>Срыв сроков сдачи объекта, в связи с отсутствием финансирования и отсутствия рабочей документации. Прозодит расторжение с ООО Прострой. Возможно зайдет ПИК.  ЖОР отсутствует</t>
  </si>
  <si>
    <t>Дата выявления</t>
  </si>
  <si>
    <t>новый маяк</t>
  </si>
  <si>
    <t>Наименование замечаний</t>
  </si>
  <si>
    <t>Секция</t>
  </si>
  <si>
    <t>Этаж</t>
  </si>
  <si>
    <t>Ответственный</t>
  </si>
  <si>
    <t>Ссылка на замечания контроля качества</t>
  </si>
  <si>
    <t>Контактные данные</t>
  </si>
  <si>
    <t>Требуется выезд лаборатории</t>
  </si>
  <si>
    <t>НЕТ</t>
  </si>
  <si>
    <t>стоп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</si>
</sst>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H:mm:ss"/>
    <numFmt numFmtId="165" formatCode="0.0"/>
    <numFmt numFmtId="166" formatCode="dd.MM.yyyy"/>
    <numFmt numFmtId="167" formatCode="H:mm:ss"/>
    <numFmt numFmtId="168" formatCode="d.m.yyyy"/>
    <numFmt numFmtId="169" formatCode="dd.mm.yyyy"/>
    <numFmt numFmtId="170" formatCode="#,##0.00;(#,##0.00)"/>
    <numFmt numFmtId="171" formatCode="dd.mm.yy"/>
  </numFmts>
  <fonts count="55">
    <font>
      <sz val="10.0"/>
      <color rgb="FF000000"/>
      <name val="Arial"/>
      <scheme val="minor"/>
    </font>
    <font>
      <color theme="1"/>
      <name val="Arial"/>
    </font>
    <font>
      <color theme="1"/>
      <name val="Arial"/>
      <scheme val="minor"/>
    </font>
    <font>
      <color rgb="FF000000"/>
      <name val="Arial"/>
    </font>
    <font>
      <u/>
      <color rgb="FF0000FF"/>
    </font>
    <font>
      <u/>
      <color rgb="FF0000FF"/>
    </font>
    <font>
      <u/>
      <sz val="11.0"/>
      <color theme="1"/>
      <name val="Calibri"/>
    </font>
    <font>
      <u/>
      <sz val="11.0"/>
      <color theme="1"/>
      <name val="Calibri"/>
    </font>
    <font>
      <u/>
      <color rgb="FF1155CC"/>
      <name val="Comfortaa"/>
    </font>
    <font>
      <u/>
      <color rgb="FF1155CC"/>
      <name val="Arial"/>
    </font>
    <font>
      <color rgb="FF000000"/>
      <name val="Arial"/>
      <scheme val="minor"/>
    </font>
    <font>
      <b/>
      <sz val="12.0"/>
      <color rgb="FF000000"/>
      <name val="Quote-cjk-patch"/>
    </font>
    <font>
      <b/>
      <sz val="12.0"/>
      <color rgb="FFF9FAFB"/>
      <name val="Quote-cjk-patch"/>
    </font>
    <font>
      <b/>
      <color rgb="FF000000"/>
      <name val="Arial"/>
      <scheme val="minor"/>
    </font>
    <font>
      <u/>
      <sz val="11.0"/>
      <color theme="1"/>
      <name val="Arial"/>
    </font>
    <font>
      <b/>
      <sz val="12.0"/>
      <color rgb="FF0F1115"/>
      <name val="Arial"/>
    </font>
    <font>
      <b/>
      <sz val="12.0"/>
      <color rgb="FF0F1115"/>
      <name val="Quote-cjk-patch"/>
    </font>
    <font>
      <u/>
      <sz val="11.0"/>
      <color rgb="FF1155CC"/>
      <name val="Calibri"/>
    </font>
    <font>
      <u/>
      <sz val="11.0"/>
      <color theme="1"/>
      <name val="Calibri"/>
    </font>
    <font>
      <u/>
      <color rgb="FF0000FF"/>
      <name val="Arial"/>
    </font>
    <font>
      <color rgb="FFF3F3F3"/>
      <name val="Arial"/>
    </font>
    <font>
      <u/>
      <sz val="11.0"/>
      <color rgb="FF0000FF"/>
      <name val="Arial"/>
    </font>
    <font>
      <sz val="11.0"/>
      <color rgb="FFFFFFFF"/>
      <name val="Calibri"/>
    </font>
    <font>
      <sz val="11.0"/>
      <color rgb="FF000000"/>
      <name val="Calibri"/>
    </font>
    <font>
      <color rgb="FFFFFFFF"/>
      <name val="Arial"/>
    </font>
    <font>
      <sz val="11.0"/>
      <color theme="1"/>
      <name val="Calibri"/>
    </font>
    <font>
      <b/>
      <sz val="16.0"/>
      <color theme="1"/>
      <name val="Century Gothic"/>
    </font>
    <font>
      <b/>
      <u/>
      <sz val="14.0"/>
      <color rgb="FF000000"/>
      <name val="Century Gothic"/>
    </font>
    <font>
      <sz val="11.0"/>
      <color theme="1"/>
      <name val="Century Gothic"/>
    </font>
    <font>
      <b/>
      <sz val="14.0"/>
      <color theme="1"/>
      <name val="Century Gothic"/>
    </font>
    <font>
      <sz val="14.0"/>
      <color theme="1"/>
      <name val="Century Gothic"/>
    </font>
    <font>
      <sz val="11.0"/>
      <color rgb="FFFFFFFF"/>
      <name val="Century Gothic"/>
    </font>
    <font>
      <sz val="14.0"/>
      <color rgb="FF000000"/>
      <name val="Century Gothic"/>
    </font>
    <font>
      <color rgb="FFFF0000"/>
      <name val="Arial"/>
      <scheme val="minor"/>
    </font>
    <font>
      <color rgb="FFFF0000"/>
      <name val="Arial"/>
    </font>
    <font>
      <b/>
      <sz val="14.0"/>
      <color rgb="FFFFFFFF"/>
      <name val="Century Gothic"/>
    </font>
    <font>
      <b/>
      <sz val="11.0"/>
      <color rgb="FFFFFFFF"/>
      <name val="Century Gothic"/>
    </font>
    <font>
      <sz val="11.0"/>
      <color rgb="FFFFFFFF"/>
      <name val="Arial"/>
    </font>
    <font>
      <b/>
      <sz val="14.0"/>
      <color rgb="FF000000"/>
      <name val="Century Gothic"/>
    </font>
    <font>
      <sz val="11.0"/>
      <color rgb="FFFF0000"/>
      <name val="Calibri"/>
    </font>
    <font>
      <sz val="11.0"/>
      <color rgb="FFF3F3F3"/>
      <name val="Calibri"/>
    </font>
    <font>
      <b/>
      <sz val="12.0"/>
      <color rgb="FFC00000"/>
      <name val="Century Gothic"/>
    </font>
    <font>
      <b/>
      <sz val="11.0"/>
      <color rgb="FFC00000"/>
      <name val="Century Gothic"/>
    </font>
    <font>
      <b/>
      <sz val="11.0"/>
      <color rgb="FFCC0000"/>
      <name val="Century Gothic"/>
    </font>
    <font>
      <sz val="12.0"/>
      <color theme="1"/>
      <name val="Century Gothic"/>
    </font>
    <font>
      <sz val="12.0"/>
      <color theme="1"/>
      <name val="Calibri"/>
    </font>
    <font>
      <sz val="12.0"/>
      <color rgb="FFC00000"/>
      <name val="Century Gothic"/>
    </font>
    <font>
      <sz val="11.0"/>
      <color rgb="FFC00000"/>
      <name val="Century Gothic"/>
    </font>
    <font>
      <sz val="11.0"/>
      <color theme="1"/>
      <name val="Arial"/>
      <scheme val="minor"/>
    </font>
    <font>
      <b/>
      <sz val="12.0"/>
      <color theme="1"/>
      <name val="Century Gothic"/>
    </font>
    <font>
      <b/>
      <sz val="12.0"/>
      <color rgb="FF000000"/>
      <name val="Century Gothic"/>
    </font>
    <font>
      <b/>
      <sz val="11.0"/>
      <color theme="1"/>
      <name val="Calibri"/>
    </font>
    <font>
      <b/>
      <sz val="12.0"/>
      <color theme="1"/>
      <name val="Calibri"/>
    </font>
    <font>
      <b/>
      <sz val="11.0"/>
      <color theme="1"/>
      <name val="Century Gothic"/>
    </font>
    <font>
      <b/>
      <sz val="11.0"/>
      <color rgb="FF000000"/>
      <name val="Century Gothic"/>
    </font>
  </fonts>
  <fills count="10">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781019"/>
        <bgColor rgb="FF781019"/>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EFEFEF"/>
        <bgColor rgb="FFEFEFEF"/>
      </patternFill>
    </fill>
    <fill>
      <patternFill patternType="solid">
        <fgColor rgb="FFF3F3F3"/>
        <bgColor rgb="FFF3F3F3"/>
      </patternFill>
    </fill>
  </fills>
  <borders count="16">
    <border/>
    <border>
      <left style="thin">
        <color rgb="FF000000"/>
      </left>
      <right style="thin">
        <color rgb="FF000000"/>
      </right>
      <top style="thin">
        <color rgb="FF000000"/>
      </top>
      <bottom style="thin">
        <color rgb="FF000000"/>
      </bottom>
    </border>
    <border>
      <bottom style="thin">
        <color rgb="FFFFFFFF"/>
      </bottom>
    </border>
    <border>
      <bottom style="thin">
        <color rgb="FF000000"/>
      </bottom>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right style="thin">
        <color rgb="FF999999"/>
      </right>
      <top style="thin">
        <color rgb="FF999999"/>
      </top>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ttom style="thin">
        <color rgb="FF999999"/>
      </bottom>
    </border>
    <border>
      <left style="thin">
        <color rgb="FF999999"/>
      </left>
      <right style="thin">
        <color rgb="FF999999"/>
      </right>
    </border>
    <border>
      <top style="thin">
        <color rgb="FF999999"/>
      </top>
      <bottom style="thin">
        <color rgb="FF999999"/>
      </bottom>
    </border>
    <border>
      <left style="thin">
        <color rgb="FF999999"/>
      </left>
      <top style="thin">
        <color rgb="FF999999"/>
      </top>
      <bottom style="thin">
        <color rgb="FF999999"/>
      </bottom>
    </border>
    <border>
      <left style="thin">
        <color rgb="FF999999"/>
      </left>
      <top style="thin">
        <color rgb="FF999999"/>
      </top>
    </border>
    <border>
      <left style="thin">
        <color rgb="FFB7B7B7"/>
      </left>
      <right style="thin">
        <color rgb="FFB7B7B7"/>
      </right>
      <top style="thin">
        <color rgb="FFB7B7B7"/>
      </top>
      <bottom style="thin">
        <color rgb="FFB7B7B7"/>
      </bottom>
    </border>
    <border>
      <right style="thin">
        <color rgb="FF999999"/>
      </right>
      <bottom style="thin">
        <color rgb="FF999999"/>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wrapText="0"/>
    </xf>
    <xf borderId="0" fillId="0" fontId="1" numFmtId="0" xfId="0" applyAlignment="1" applyFont="1">
      <alignment readingOrder="0" shrinkToFit="0" vertical="bottom" wrapText="0"/>
    </xf>
    <xf borderId="0" fillId="0" fontId="1" numFmtId="164" xfId="0" applyAlignment="1" applyFont="1" applyNumberFormat="1">
      <alignment readingOrder="0" shrinkToFit="0" vertical="bottom" wrapText="0"/>
    </xf>
    <xf borderId="0" fillId="0" fontId="1" numFmtId="0" xfId="0" applyAlignment="1" applyFont="1">
      <alignment vertical="bottom"/>
    </xf>
    <xf borderId="0" fillId="0" fontId="2" numFmtId="49" xfId="0" applyAlignment="1" applyFont="1" applyNumberFormat="1">
      <alignment horizontal="left"/>
    </xf>
    <xf borderId="0" fillId="0" fontId="2" numFmtId="0" xfId="0" applyAlignment="1" applyFont="1">
      <alignment shrinkToFit="0" wrapText="0"/>
    </xf>
    <xf borderId="0" fillId="0" fontId="1" numFmtId="0" xfId="0" applyAlignment="1" applyFont="1">
      <alignment vertical="bottom"/>
    </xf>
    <xf borderId="0" fillId="0" fontId="1" numFmtId="164" xfId="0" applyAlignment="1" applyFont="1" applyNumberFormat="1">
      <alignment readingOrder="0" vertical="bottom"/>
    </xf>
    <xf borderId="0" fillId="0" fontId="1" numFmtId="0" xfId="0" applyAlignment="1" applyFont="1">
      <alignment readingOrder="0" vertical="bottom"/>
    </xf>
    <xf borderId="0" fillId="0" fontId="1" numFmtId="164" xfId="0" applyAlignment="1" applyFont="1" applyNumberFormat="1">
      <alignment vertical="bottom"/>
    </xf>
    <xf borderId="0" fillId="0" fontId="1" numFmtId="164" xfId="0" applyAlignment="1" applyFont="1" applyNumberFormat="1">
      <alignment horizontal="right" readingOrder="0" shrinkToFit="0" vertical="bottom" wrapText="0"/>
    </xf>
    <xf borderId="0" fillId="2" fontId="3" numFmtId="49" xfId="0" applyAlignment="1" applyFill="1" applyFont="1" applyNumberFormat="1">
      <alignment horizontal="left" readingOrder="0" vertical="bottom"/>
    </xf>
    <xf borderId="0" fillId="0" fontId="2" numFmtId="0" xfId="0" applyFont="1"/>
    <xf borderId="0" fillId="0" fontId="2" numFmtId="0" xfId="0" applyAlignment="1" applyFont="1">
      <alignment horizontal="center" readingOrder="0" shrinkToFit="0" wrapText="0"/>
    </xf>
    <xf borderId="0" fillId="0" fontId="2" numFmtId="0" xfId="0" applyAlignment="1" applyFont="1">
      <alignment readingOrder="0" shrinkToFit="0" wrapText="0"/>
    </xf>
    <xf borderId="0" fillId="0" fontId="2" numFmtId="164" xfId="0" applyAlignment="1" applyFont="1" applyNumberFormat="1">
      <alignment shrinkToFit="0" wrapText="0"/>
    </xf>
    <xf borderId="0" fillId="0" fontId="1" numFmtId="0" xfId="0" applyAlignment="1" applyFont="1">
      <alignment shrinkToFit="0" vertical="bottom" wrapText="0"/>
    </xf>
    <xf borderId="0" fillId="0" fontId="4" numFmtId="0" xfId="0" applyAlignment="1" applyFont="1">
      <alignment shrinkToFit="0" wrapText="0"/>
    </xf>
    <xf borderId="0" fillId="0" fontId="2" numFmtId="165" xfId="0" applyAlignment="1" applyFont="1" applyNumberFormat="1">
      <alignment shrinkToFit="0" wrapText="0"/>
    </xf>
    <xf borderId="0" fillId="0" fontId="2" numFmtId="164" xfId="0" applyAlignment="1" applyFont="1" applyNumberFormat="1">
      <alignment readingOrder="0" shrinkToFit="0" wrapText="0"/>
    </xf>
    <xf borderId="0" fillId="0" fontId="5" numFmtId="165" xfId="0" applyAlignment="1" applyFont="1" applyNumberFormat="1">
      <alignment shrinkToFit="0" wrapText="0"/>
    </xf>
    <xf borderId="0" fillId="0" fontId="2" numFmtId="49" xfId="0" applyAlignment="1" applyFont="1" applyNumberFormat="1">
      <alignment horizontal="left" shrinkToFit="0" vertical="center" wrapText="0"/>
    </xf>
    <xf borderId="0" fillId="0" fontId="2" numFmtId="49" xfId="0" applyAlignment="1" applyFont="1" applyNumberFormat="1">
      <alignment horizontal="left" readingOrder="0" shrinkToFit="0" wrapText="0"/>
    </xf>
    <xf borderId="0" fillId="0" fontId="2" numFmtId="0" xfId="0" applyAlignment="1" applyFont="1">
      <alignment horizontal="center" readingOrder="0" shrinkToFit="0" wrapText="1"/>
    </xf>
    <xf borderId="0" fillId="0" fontId="2" numFmtId="0" xfId="0" applyAlignment="1" applyFont="1">
      <alignment horizontal="center" shrinkToFit="0" wrapText="0"/>
    </xf>
    <xf borderId="0" fillId="3" fontId="2" numFmtId="49" xfId="0" applyAlignment="1" applyFill="1" applyFont="1" applyNumberFormat="1">
      <alignment horizontal="left" readingOrder="0" shrinkToFit="0" vertical="center" wrapText="0"/>
    </xf>
    <xf borderId="0" fillId="3" fontId="2" numFmtId="0" xfId="0" applyAlignment="1" applyFont="1">
      <alignment readingOrder="0" shrinkToFit="0" wrapText="0"/>
    </xf>
    <xf borderId="0" fillId="3" fontId="2" numFmtId="0" xfId="0" applyAlignment="1" applyFont="1">
      <alignment shrinkToFit="0" wrapText="0"/>
    </xf>
    <xf borderId="0" fillId="3" fontId="2" numFmtId="164" xfId="0" applyAlignment="1" applyFont="1" applyNumberFormat="1">
      <alignment shrinkToFit="0" wrapText="0"/>
    </xf>
    <xf borderId="0" fillId="3" fontId="2" numFmtId="0" xfId="0" applyFont="1"/>
    <xf borderId="0" fillId="0" fontId="2" numFmtId="49" xfId="0" applyAlignment="1" applyFont="1" applyNumberFormat="1">
      <alignment horizontal="center" readingOrder="0" shrinkToFit="0" wrapText="0"/>
    </xf>
    <xf borderId="0" fillId="0" fontId="2"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bottom" wrapText="0"/>
    </xf>
    <xf borderId="0" fillId="0" fontId="1" numFmtId="49" xfId="0" applyAlignment="1" applyFont="1" applyNumberFormat="1">
      <alignment horizontal="center" readingOrder="0" shrinkToFit="0" vertical="bottom" wrapText="0"/>
    </xf>
    <xf borderId="0" fillId="0" fontId="1" numFmtId="49" xfId="0" applyAlignment="1" applyFont="1" applyNumberFormat="1">
      <alignment readingOrder="0" vertical="bottom"/>
    </xf>
    <xf borderId="0" fillId="0" fontId="1" numFmtId="165" xfId="0" applyAlignment="1" applyFont="1" applyNumberFormat="1">
      <alignment readingOrder="0" shrinkToFit="0" vertical="bottom" wrapText="0"/>
    </xf>
    <xf borderId="0" fillId="0" fontId="2" numFmtId="49" xfId="0" applyAlignment="1" applyFont="1" applyNumberFormat="1">
      <alignment readingOrder="0" shrinkToFit="0" wrapText="0"/>
    </xf>
    <xf borderId="0" fillId="0" fontId="2" numFmtId="0" xfId="0" applyAlignment="1" applyFont="1">
      <alignment shrinkToFit="0" wrapText="0"/>
    </xf>
    <xf borderId="0" fillId="0" fontId="3" numFmtId="49" xfId="0" applyAlignment="1" applyFont="1" applyNumberFormat="1">
      <alignment horizontal="left"/>
    </xf>
    <xf borderId="0" fillId="0" fontId="1" numFmtId="49" xfId="0" applyAlignment="1" applyFont="1" applyNumberFormat="1">
      <alignment horizontal="center" readingOrder="0" vertical="bottom"/>
    </xf>
    <xf borderId="0" fillId="0" fontId="6" numFmtId="0" xfId="0" applyAlignment="1" applyFont="1">
      <alignment horizontal="center" readingOrder="0" shrinkToFit="0" vertical="bottom" wrapText="0"/>
    </xf>
    <xf borderId="0" fillId="0" fontId="7" numFmtId="165" xfId="0" applyAlignment="1" applyFont="1" applyNumberFormat="1">
      <alignment horizontal="center" readingOrder="0" shrinkToFit="0" vertical="bottom" wrapText="0"/>
    </xf>
    <xf borderId="0" fillId="0" fontId="3" numFmtId="49" xfId="0" applyAlignment="1" applyFont="1" applyNumberFormat="1">
      <alignment horizontal="left" readingOrder="0"/>
    </xf>
    <xf borderId="0" fillId="0" fontId="1" numFmtId="49" xfId="0" applyAlignment="1" applyFont="1" applyNumberFormat="1">
      <alignment readingOrder="0" shrinkToFit="0" vertical="bottom" wrapText="0"/>
    </xf>
    <xf borderId="0" fillId="0" fontId="1" numFmtId="165" xfId="0" applyAlignment="1" applyFont="1" applyNumberFormat="1">
      <alignment shrinkToFit="0" vertical="bottom" wrapText="0"/>
    </xf>
    <xf borderId="0" fillId="0" fontId="2" numFmtId="14" xfId="0" applyAlignment="1" applyFont="1" applyNumberFormat="1">
      <alignment readingOrder="0"/>
    </xf>
    <xf borderId="0" fillId="0" fontId="2" numFmtId="0" xfId="0" applyAlignment="1" applyFont="1">
      <alignment readingOrder="0"/>
    </xf>
    <xf borderId="1" fillId="0" fontId="8" numFmtId="0" xfId="0" applyAlignment="1" applyBorder="1" applyFont="1">
      <alignment shrinkToFit="0" vertical="center" wrapText="0"/>
    </xf>
    <xf borderId="0" fillId="3" fontId="2" numFmtId="4" xfId="0" applyAlignment="1" applyFont="1" applyNumberFormat="1">
      <alignment shrinkToFit="0" wrapText="0"/>
    </xf>
    <xf borderId="0" fillId="0" fontId="2" numFmtId="4" xfId="0" applyAlignment="1" applyFont="1" applyNumberFormat="1">
      <alignment shrinkToFit="0" wrapText="0"/>
    </xf>
    <xf borderId="0" fillId="3" fontId="2" numFmtId="166" xfId="0" applyAlignment="1" applyFont="1" applyNumberFormat="1">
      <alignment shrinkToFit="0" wrapText="0"/>
    </xf>
    <xf borderId="0" fillId="0" fontId="2" numFmtId="166" xfId="0" applyAlignment="1" applyFont="1" applyNumberFormat="1">
      <alignment shrinkToFit="0" wrapText="0"/>
    </xf>
    <xf borderId="0" fillId="0" fontId="2" numFmtId="167" xfId="0" applyAlignment="1" applyFont="1" applyNumberFormat="1">
      <alignment shrinkToFit="0" wrapText="0"/>
    </xf>
    <xf borderId="1" fillId="0" fontId="9" numFmtId="49" xfId="0" applyAlignment="1" applyBorder="1" applyFont="1" applyNumberFormat="1">
      <alignment horizontal="center" shrinkToFit="0" wrapText="0"/>
    </xf>
    <xf borderId="0" fillId="0" fontId="2" numFmtId="4" xfId="0" applyAlignment="1" applyFont="1" applyNumberFormat="1">
      <alignment horizontal="center" readingOrder="0" shrinkToFit="0" wrapText="0"/>
    </xf>
    <xf borderId="0" fillId="0" fontId="2" numFmtId="166" xfId="0" applyAlignment="1" applyFont="1" applyNumberFormat="1">
      <alignment readingOrder="0" shrinkToFit="0" wrapText="0"/>
    </xf>
    <xf borderId="0" fillId="0" fontId="2" numFmtId="4" xfId="0" applyFont="1" applyNumberFormat="1"/>
    <xf borderId="0" fillId="0" fontId="2" numFmtId="166" xfId="0" applyFont="1" applyNumberFormat="1"/>
    <xf borderId="0" fillId="0" fontId="2" numFmtId="167" xfId="0" applyFont="1" applyNumberFormat="1"/>
    <xf borderId="2" fillId="0" fontId="10" numFmtId="0" xfId="0" applyAlignment="1" applyBorder="1" applyFont="1">
      <alignment readingOrder="0" shrinkToFit="0" wrapText="0"/>
    </xf>
    <xf borderId="0" fillId="0" fontId="2" numFmtId="165" xfId="0" applyAlignment="1" applyFont="1" applyNumberFormat="1">
      <alignment readingOrder="0" shrinkToFit="0" wrapText="0"/>
    </xf>
    <xf borderId="0" fillId="0" fontId="11" numFmtId="0" xfId="0" applyAlignment="1" applyFont="1">
      <alignment horizontal="left" readingOrder="0" shrinkToFit="0" wrapText="0"/>
    </xf>
    <xf borderId="0" fillId="0" fontId="10" numFmtId="4" xfId="0" applyAlignment="1" applyFont="1" applyNumberFormat="1">
      <alignment shrinkToFit="0" wrapText="0"/>
    </xf>
    <xf borderId="0" fillId="0" fontId="10" numFmtId="0" xfId="0" applyAlignment="1" applyFont="1">
      <alignment shrinkToFit="0" wrapText="0"/>
    </xf>
    <xf borderId="0" fillId="0" fontId="10" numFmtId="166" xfId="0" applyAlignment="1" applyFont="1" applyNumberFormat="1">
      <alignment shrinkToFit="0" wrapText="0"/>
    </xf>
    <xf borderId="0" fillId="0" fontId="10" numFmtId="167" xfId="0" applyAlignment="1" applyFont="1" applyNumberFormat="1">
      <alignment shrinkToFit="0" wrapText="0"/>
    </xf>
    <xf borderId="0" fillId="0" fontId="10" numFmtId="165" xfId="0" applyAlignment="1" applyFont="1" applyNumberFormat="1">
      <alignment shrinkToFit="0" wrapText="0"/>
    </xf>
    <xf borderId="0" fillId="0" fontId="10" numFmtId="0" xfId="0" applyFont="1"/>
    <xf borderId="2" fillId="0" fontId="12" numFmtId="0" xfId="0" applyAlignment="1" applyBorder="1" applyFont="1">
      <alignment horizontal="left" readingOrder="0" shrinkToFit="0" wrapText="0"/>
    </xf>
    <xf borderId="0" fillId="3" fontId="2" numFmtId="49" xfId="0" applyAlignment="1" applyFont="1" applyNumberFormat="1">
      <alignment horizontal="center" readingOrder="0" shrinkToFit="0" wrapText="0"/>
    </xf>
    <xf borderId="0" fillId="0" fontId="12" numFmtId="0" xfId="0" applyAlignment="1" applyFont="1">
      <alignment horizontal="left" readingOrder="0" shrinkToFit="0" wrapText="0"/>
    </xf>
    <xf borderId="0" fillId="0" fontId="1" numFmtId="0" xfId="0" applyAlignment="1" applyFont="1">
      <alignment shrinkToFit="0" vertical="bottom" wrapText="0"/>
    </xf>
    <xf borderId="0" fillId="0" fontId="13" numFmtId="0" xfId="0" applyAlignment="1" applyFont="1">
      <alignment horizontal="left" readingOrder="0" shrinkToFit="0" wrapText="0"/>
    </xf>
    <xf borderId="0" fillId="0" fontId="14" numFmtId="0" xfId="0" applyAlignment="1" applyFont="1">
      <alignment horizontal="center" shrinkToFit="0" wrapText="0"/>
    </xf>
    <xf borderId="3" fillId="2" fontId="15" numFmtId="0" xfId="0" applyAlignment="1" applyBorder="1" applyFont="1">
      <alignment horizontal="left" readingOrder="0"/>
    </xf>
    <xf borderId="3" fillId="2" fontId="16" numFmtId="0" xfId="0" applyAlignment="1" applyBorder="1" applyFont="1">
      <alignment horizontal="left" readingOrder="0"/>
    </xf>
    <xf borderId="0" fillId="0" fontId="1" numFmtId="49" xfId="0" applyAlignment="1" applyFont="1" applyNumberFormat="1">
      <alignment horizontal="left" shrinkToFit="0" vertical="bottom" wrapText="0"/>
    </xf>
    <xf borderId="0" fillId="0" fontId="1" numFmtId="164" xfId="0" applyAlignment="1" applyFont="1" applyNumberFormat="1">
      <alignment shrinkToFit="0" vertical="bottom" wrapText="0"/>
    </xf>
    <xf borderId="0" fillId="0" fontId="1" numFmtId="49" xfId="0" applyAlignment="1" applyFont="1" applyNumberFormat="1">
      <alignment shrinkToFit="0" vertical="bottom" wrapText="0"/>
    </xf>
    <xf borderId="0" fillId="0" fontId="1" numFmtId="166" xfId="0" applyAlignment="1" applyFont="1" applyNumberFormat="1">
      <alignment horizontal="right" shrinkToFit="0" vertical="bottom" wrapText="0"/>
    </xf>
    <xf borderId="0" fillId="0" fontId="1" numFmtId="164" xfId="0" applyAlignment="1" applyFont="1" applyNumberFormat="1">
      <alignment horizontal="right" vertical="bottom"/>
    </xf>
    <xf borderId="0" fillId="0" fontId="1" numFmtId="14" xfId="0" applyAlignment="1" applyFont="1" applyNumberFormat="1">
      <alignment vertical="bottom"/>
    </xf>
    <xf borderId="0" fillId="0" fontId="1" numFmtId="164" xfId="0" applyAlignment="1" applyFont="1" applyNumberFormat="1">
      <alignment horizontal="right" shrinkToFit="0" vertical="bottom" wrapText="0"/>
    </xf>
    <xf quotePrefix="1" borderId="0" fillId="0" fontId="1" numFmtId="49" xfId="0" applyAlignment="1" applyFont="1" applyNumberFormat="1">
      <alignment horizontal="left" shrinkToFit="0" vertical="bottom" wrapText="0"/>
    </xf>
    <xf borderId="0" fillId="0" fontId="1" numFmtId="14" xfId="0" applyAlignment="1" applyFont="1" applyNumberFormat="1">
      <alignment horizontal="right" vertical="bottom"/>
    </xf>
    <xf borderId="0" fillId="0" fontId="1" numFmtId="49" xfId="0" applyAlignment="1" applyFont="1" applyNumberFormat="1">
      <alignment horizontal="left" shrinkToFit="0" wrapText="0"/>
    </xf>
    <xf borderId="0" fillId="0" fontId="1" numFmtId="49" xfId="0" applyAlignment="1" applyFont="1" applyNumberFormat="1">
      <alignment horizontal="center" shrinkToFit="0" vertical="bottom" wrapText="0"/>
    </xf>
    <xf borderId="0" fillId="0" fontId="17" numFmtId="49" xfId="0" applyAlignment="1" applyFont="1" applyNumberFormat="1">
      <alignment horizontal="center" shrinkToFit="0" vertical="bottom" wrapText="0"/>
    </xf>
    <xf borderId="0" fillId="0" fontId="18" numFmtId="49" xfId="0" applyAlignment="1" applyFont="1" applyNumberFormat="1">
      <alignment horizontal="center" shrinkToFit="0" vertical="bottom" wrapText="0"/>
    </xf>
    <xf borderId="2" fillId="0" fontId="1" numFmtId="49" xfId="0" applyAlignment="1" applyBorder="1" applyFont="1" applyNumberFormat="1">
      <alignment horizontal="left" shrinkToFit="0" vertical="bottom" wrapText="0"/>
    </xf>
    <xf borderId="4" fillId="0" fontId="1" numFmtId="49" xfId="0" applyAlignment="1" applyBorder="1" applyFont="1" applyNumberFormat="1">
      <alignment shrinkToFit="0" vertical="bottom" wrapText="0"/>
    </xf>
    <xf borderId="0" fillId="0" fontId="1" numFmtId="166" xfId="0" applyAlignment="1" applyFont="1" applyNumberFormat="1">
      <alignment readingOrder="0" shrinkToFit="0" vertical="bottom" wrapText="0"/>
    </xf>
    <xf borderId="0" fillId="0" fontId="19" numFmtId="0" xfId="0" applyAlignment="1" applyFont="1">
      <alignment readingOrder="0" shrinkToFit="0" vertical="bottom" wrapText="0"/>
    </xf>
    <xf borderId="0" fillId="0" fontId="3" numFmtId="49" xfId="0" applyAlignment="1" applyFont="1" applyNumberFormat="1">
      <alignment horizontal="left" readingOrder="0" shrinkToFit="0" wrapText="0"/>
    </xf>
    <xf borderId="4" fillId="0" fontId="1" numFmtId="49" xfId="0" applyAlignment="1" applyBorder="1" applyFont="1" applyNumberFormat="1">
      <alignment horizontal="left" shrinkToFit="0" vertical="bottom" wrapText="0"/>
    </xf>
    <xf borderId="0" fillId="0" fontId="1" numFmtId="166" xfId="0" applyAlignment="1" applyFont="1" applyNumberFormat="1">
      <alignment readingOrder="0" vertical="bottom"/>
    </xf>
    <xf borderId="0" fillId="0" fontId="2" numFmtId="49" xfId="0" applyAlignment="1" applyFont="1" applyNumberFormat="1">
      <alignment horizontal="left" shrinkToFit="0" wrapText="0"/>
    </xf>
    <xf borderId="0" fillId="0" fontId="2" numFmtId="0" xfId="0" applyAlignment="1" applyFont="1">
      <alignment horizontal="center" readingOrder="0" shrinkToFit="0" vertical="center" wrapText="1"/>
    </xf>
    <xf borderId="0" fillId="0" fontId="2" numFmtId="0" xfId="0" applyAlignment="1" applyFont="1">
      <alignment shrinkToFit="0" wrapText="1"/>
    </xf>
    <xf borderId="0" fillId="0" fontId="2" numFmtId="168" xfId="0" applyAlignment="1" applyFont="1" applyNumberFormat="1">
      <alignment readingOrder="0" shrinkToFit="0" wrapText="0"/>
    </xf>
    <xf borderId="0" fillId="0" fontId="2" numFmtId="20" xfId="0" applyAlignment="1" applyFont="1" applyNumberFormat="1">
      <alignment readingOrder="0" shrinkToFit="0" wrapText="0"/>
    </xf>
    <xf borderId="0" fillId="0" fontId="2" numFmtId="0" xfId="0" applyAlignment="1" applyFont="1">
      <alignment readingOrder="0" shrinkToFit="0" wrapText="0"/>
    </xf>
    <xf borderId="0" fillId="0" fontId="2" numFmtId="169" xfId="0" applyAlignment="1" applyFont="1" applyNumberFormat="1">
      <alignment readingOrder="0" shrinkToFit="0" wrapText="0"/>
    </xf>
    <xf borderId="0" fillId="0" fontId="20" numFmtId="14" xfId="0" applyAlignment="1" applyFont="1" applyNumberFormat="1">
      <alignment horizontal="right" readingOrder="0" vertical="bottom"/>
    </xf>
    <xf borderId="0" fillId="0" fontId="1" numFmtId="166" xfId="0" applyAlignment="1" applyFont="1" applyNumberFormat="1">
      <alignment horizontal="right" vertical="bottom"/>
    </xf>
    <xf borderId="0" fillId="0" fontId="21" numFmtId="49" xfId="0" applyAlignment="1" applyFont="1" applyNumberFormat="1">
      <alignment readingOrder="0" vertical="bottom"/>
    </xf>
    <xf borderId="0" fillId="0" fontId="2" numFmtId="0" xfId="0" applyFont="1"/>
    <xf borderId="0" fillId="0" fontId="22" numFmtId="0" xfId="0" applyAlignment="1" applyFont="1">
      <alignment readingOrder="0" vertical="bottom"/>
    </xf>
    <xf borderId="0" fillId="0" fontId="23" numFmtId="0" xfId="0" applyAlignment="1" applyFont="1">
      <alignment readingOrder="0" vertical="bottom"/>
    </xf>
    <xf borderId="0" fillId="0" fontId="24" numFmtId="0" xfId="0" applyAlignment="1" applyFont="1">
      <alignment readingOrder="0" vertical="bottom"/>
    </xf>
    <xf borderId="0" fillId="0" fontId="25" numFmtId="3" xfId="0" applyFont="1" applyNumberFormat="1"/>
    <xf borderId="0" fillId="0" fontId="25" numFmtId="0" xfId="0" applyFont="1"/>
    <xf borderId="0" fillId="0" fontId="25" numFmtId="0" xfId="0" applyAlignment="1" applyFont="1">
      <alignment readingOrder="0"/>
    </xf>
    <xf borderId="0" fillId="0" fontId="26" numFmtId="0" xfId="0" applyAlignment="1" applyFont="1">
      <alignment horizontal="center" readingOrder="0" shrinkToFit="0" vertical="bottom" wrapText="1"/>
    </xf>
    <xf borderId="0" fillId="0" fontId="27" numFmtId="0" xfId="0" applyAlignment="1" applyFont="1">
      <alignment horizontal="left" readingOrder="0" shrinkToFit="0" vertical="bottom" wrapText="1"/>
    </xf>
    <xf borderId="0" fillId="0" fontId="28" numFmtId="169" xfId="0" applyAlignment="1" applyFont="1" applyNumberFormat="1">
      <alignment horizontal="center" vertical="bottom"/>
    </xf>
    <xf borderId="5" fillId="0" fontId="29" numFmtId="49" xfId="0" applyAlignment="1" applyBorder="1" applyFont="1" applyNumberFormat="1">
      <alignment readingOrder="0" shrinkToFit="0" vertical="bottom" wrapText="1"/>
    </xf>
    <xf borderId="5" fillId="0" fontId="30" numFmtId="49" xfId="0" applyAlignment="1" applyBorder="1" applyFont="1" applyNumberFormat="1">
      <alignment horizontal="left" readingOrder="0" shrinkToFit="0" vertical="bottom" wrapText="1"/>
    </xf>
    <xf borderId="5" fillId="2" fontId="29" numFmtId="49" xfId="0" applyAlignment="1" applyBorder="1" applyFont="1" applyNumberFormat="1">
      <alignment shrinkToFit="0" vertical="bottom" wrapText="1"/>
    </xf>
    <xf borderId="5" fillId="0" fontId="30" numFmtId="0" xfId="0" applyAlignment="1" applyBorder="1" applyFont="1">
      <alignment horizontal="left" readingOrder="0" shrinkToFit="0" vertical="bottom" wrapText="1"/>
    </xf>
    <xf borderId="5" fillId="0" fontId="30" numFmtId="166" xfId="0" applyAlignment="1" applyBorder="1" applyFont="1" applyNumberFormat="1">
      <alignment horizontal="left" readingOrder="0" shrinkToFit="0" vertical="bottom" wrapText="1"/>
    </xf>
    <xf borderId="5" fillId="0" fontId="29" numFmtId="49" xfId="0" applyAlignment="1" applyBorder="1" applyFont="1" applyNumberFormat="1">
      <alignment shrinkToFit="0" vertical="bottom" wrapText="1"/>
    </xf>
    <xf borderId="5" fillId="2" fontId="29" numFmtId="49" xfId="0" applyAlignment="1" applyBorder="1" applyFont="1" applyNumberFormat="1">
      <alignment readingOrder="0" shrinkToFit="0" vertical="bottom" wrapText="1"/>
    </xf>
    <xf borderId="0" fillId="0" fontId="26" numFmtId="0" xfId="0" applyAlignment="1" applyFont="1">
      <alignment horizontal="center" vertical="bottom"/>
    </xf>
    <xf borderId="5" fillId="2" fontId="30" numFmtId="0" xfId="0" applyAlignment="1" applyBorder="1" applyFont="1">
      <alignment horizontal="left" readingOrder="0" shrinkToFit="0" vertical="bottom" wrapText="1"/>
    </xf>
    <xf borderId="0" fillId="0" fontId="28" numFmtId="0" xfId="0" applyAlignment="1" applyFont="1">
      <alignment horizontal="center" vertical="bottom"/>
    </xf>
    <xf borderId="0" fillId="0" fontId="28" numFmtId="0" xfId="0" applyAlignment="1" applyFont="1">
      <alignment horizontal="center" readingOrder="0" vertical="bottom"/>
    </xf>
    <xf borderId="0" fillId="0" fontId="31" numFmtId="0" xfId="0" applyAlignment="1" applyFont="1">
      <alignment horizontal="center" vertical="bottom"/>
    </xf>
    <xf borderId="0" fillId="2" fontId="1" numFmtId="0" xfId="0" applyAlignment="1" applyFont="1">
      <alignment vertical="bottom"/>
    </xf>
    <xf borderId="0" fillId="0" fontId="30" numFmtId="0" xfId="0" applyAlignment="1" applyFont="1">
      <alignment readingOrder="0" shrinkToFit="0" vertical="bottom" wrapText="1"/>
    </xf>
    <xf borderId="5" fillId="2" fontId="30" numFmtId="170" xfId="0" applyAlignment="1" applyBorder="1" applyFont="1" applyNumberFormat="1">
      <alignment horizontal="left" readingOrder="0" shrinkToFit="0" vertical="bottom" wrapText="1"/>
    </xf>
    <xf borderId="0" fillId="0" fontId="30" numFmtId="0" xfId="0" applyAlignment="1" applyFont="1">
      <alignment horizontal="left" readingOrder="0" shrinkToFit="0" vertical="bottom" wrapText="1"/>
    </xf>
    <xf borderId="0" fillId="2" fontId="1" numFmtId="166" xfId="0" applyAlignment="1" applyFont="1" applyNumberFormat="1">
      <alignment vertical="bottom"/>
    </xf>
    <xf borderId="0" fillId="0" fontId="30" numFmtId="4" xfId="0" applyAlignment="1" applyFont="1" applyNumberFormat="1">
      <alignment horizontal="left" readingOrder="0" shrinkToFit="0" vertical="bottom" wrapText="1"/>
    </xf>
    <xf borderId="0" fillId="2" fontId="1" numFmtId="49" xfId="0" applyAlignment="1" applyFont="1" applyNumberFormat="1">
      <alignment vertical="bottom"/>
    </xf>
    <xf borderId="6" fillId="0" fontId="29" numFmtId="49" xfId="0" applyAlignment="1" applyBorder="1" applyFont="1" applyNumberFormat="1">
      <alignment horizontal="right" readingOrder="0" shrinkToFit="0" vertical="bottom" wrapText="1"/>
    </xf>
    <xf borderId="0" fillId="0" fontId="2" numFmtId="49" xfId="0" applyFont="1" applyNumberFormat="1"/>
    <xf borderId="0" fillId="0" fontId="30" numFmtId="49" xfId="0" applyAlignment="1" applyFont="1" applyNumberFormat="1">
      <alignment horizontal="center" readingOrder="0" shrinkToFit="0" vertical="bottom" wrapText="1"/>
    </xf>
    <xf borderId="5" fillId="0" fontId="30" numFmtId="49" xfId="0" applyAlignment="1" applyBorder="1" applyFont="1" applyNumberFormat="1">
      <alignment horizontal="center" readingOrder="0" shrinkToFit="0" vertical="bottom" wrapText="1"/>
    </xf>
    <xf borderId="0" fillId="0" fontId="1" numFmtId="49" xfId="0" applyAlignment="1" applyFont="1" applyNumberFormat="1">
      <alignment vertical="bottom"/>
    </xf>
    <xf borderId="7" fillId="0" fontId="29" numFmtId="49" xfId="0" applyAlignment="1" applyBorder="1" applyFont="1" applyNumberFormat="1">
      <alignment horizontal="right" readingOrder="0" shrinkToFit="0" vertical="bottom" wrapText="1"/>
    </xf>
    <xf borderId="0" fillId="0" fontId="2" numFmtId="169" xfId="0" applyFont="1" applyNumberFormat="1"/>
    <xf borderId="0" fillId="0" fontId="30" numFmtId="166" xfId="0" applyAlignment="1" applyFont="1" applyNumberFormat="1">
      <alignment horizontal="center" readingOrder="0" shrinkToFit="0" vertical="bottom" wrapText="1"/>
    </xf>
    <xf borderId="5" fillId="0" fontId="30" numFmtId="166" xfId="0" applyAlignment="1" applyBorder="1" applyFont="1" applyNumberFormat="1">
      <alignment horizontal="center" readingOrder="0" shrinkToFit="0" vertical="bottom" wrapText="1"/>
    </xf>
    <xf borderId="8" fillId="0" fontId="29" numFmtId="49" xfId="0" applyAlignment="1" applyBorder="1" applyFont="1" applyNumberFormat="1">
      <alignment readingOrder="0" shrinkToFit="0" wrapText="1"/>
    </xf>
    <xf borderId="9" fillId="0" fontId="29" numFmtId="49" xfId="0" applyAlignment="1" applyBorder="1" applyFont="1" applyNumberFormat="1">
      <alignment shrinkToFit="0" wrapText="1"/>
    </xf>
    <xf borderId="0" fillId="0" fontId="1" numFmtId="3" xfId="0" applyAlignment="1" applyFont="1" applyNumberFormat="1">
      <alignment vertical="bottom"/>
    </xf>
    <xf borderId="5" fillId="0" fontId="32" numFmtId="49" xfId="0" applyAlignment="1" applyBorder="1" applyFont="1" applyNumberFormat="1">
      <alignment horizontal="center" readingOrder="0" shrinkToFit="0" vertical="center" wrapText="1"/>
    </xf>
    <xf borderId="6" fillId="0" fontId="29" numFmtId="49" xfId="0" applyAlignment="1" applyBorder="1" applyFont="1" applyNumberFormat="1">
      <alignment horizontal="right" shrinkToFit="0" vertical="bottom" wrapText="1"/>
    </xf>
    <xf borderId="5" fillId="0" fontId="30" numFmtId="0" xfId="0" applyAlignment="1" applyBorder="1" applyFont="1">
      <alignment horizontal="center" readingOrder="0" shrinkToFit="0" vertical="bottom" wrapText="1"/>
    </xf>
    <xf borderId="0" fillId="0" fontId="33" numFmtId="49" xfId="0" applyFont="1" applyNumberFormat="1"/>
    <xf borderId="8" fillId="0" fontId="32" numFmtId="49" xfId="0" applyAlignment="1" applyBorder="1" applyFont="1" applyNumberFormat="1">
      <alignment horizontal="center" readingOrder="0" shrinkToFit="0" vertical="bottom" wrapText="1"/>
    </xf>
    <xf borderId="0" fillId="0" fontId="2" numFmtId="3" xfId="0" applyFont="1" applyNumberFormat="1"/>
    <xf borderId="0" fillId="0" fontId="30" numFmtId="3" xfId="0" applyAlignment="1" applyFont="1" applyNumberFormat="1">
      <alignment horizontal="center" readingOrder="0" shrinkToFit="0" vertical="bottom" wrapText="1"/>
    </xf>
    <xf borderId="5" fillId="0" fontId="30" numFmtId="3" xfId="0" applyAlignment="1" applyBorder="1" applyFont="1" applyNumberFormat="1">
      <alignment horizontal="center" readingOrder="0" shrinkToFit="0" vertical="bottom" wrapText="1"/>
    </xf>
    <xf borderId="0" fillId="0" fontId="34" numFmtId="49" xfId="0" applyAlignment="1" applyFont="1" applyNumberFormat="1">
      <alignment vertical="bottom"/>
    </xf>
    <xf borderId="0" fillId="0" fontId="25" numFmtId="0" xfId="0" applyAlignment="1" applyFont="1">
      <alignment vertical="bottom"/>
    </xf>
    <xf borderId="10" fillId="4" fontId="35" numFmtId="49" xfId="0" applyAlignment="1" applyBorder="1" applyFill="1" applyFont="1" applyNumberFormat="1">
      <alignment horizontal="center" shrinkToFit="0" wrapText="1"/>
    </xf>
    <xf borderId="0" fillId="4" fontId="35" numFmtId="0" xfId="0" applyAlignment="1" applyFont="1">
      <alignment horizontal="center" readingOrder="0" vertical="center"/>
    </xf>
    <xf borderId="5" fillId="4" fontId="35" numFmtId="0" xfId="0" applyAlignment="1" applyBorder="1" applyFont="1">
      <alignment horizontal="center" readingOrder="0" vertical="center"/>
    </xf>
    <xf borderId="5" fillId="4" fontId="35" numFmtId="0" xfId="0" applyAlignment="1" applyBorder="1" applyFont="1">
      <alignment horizontal="center" vertical="center"/>
    </xf>
    <xf borderId="8" fillId="4" fontId="36" numFmtId="0" xfId="0" applyAlignment="1" applyBorder="1" applyFont="1">
      <alignment horizontal="center" readingOrder="0" shrinkToFit="0" vertical="center" wrapText="1"/>
    </xf>
    <xf borderId="11" fillId="4" fontId="36" numFmtId="0" xfId="0" applyAlignment="1" applyBorder="1" applyFont="1">
      <alignment horizontal="center" readingOrder="0" vertical="center"/>
    </xf>
    <xf borderId="12" fillId="4" fontId="36" numFmtId="0" xfId="0" applyAlignment="1" applyBorder="1" applyFont="1">
      <alignment horizontal="center" readingOrder="0" vertical="center"/>
    </xf>
    <xf borderId="9" fillId="4" fontId="1" numFmtId="49" xfId="0" applyBorder="1" applyFont="1" applyNumberFormat="1"/>
    <xf borderId="9" fillId="4" fontId="37" numFmtId="49" xfId="0" applyAlignment="1" applyBorder="1" applyFont="1" applyNumberFormat="1">
      <alignment readingOrder="0"/>
    </xf>
    <xf borderId="0" fillId="0" fontId="2" numFmtId="171" xfId="0" applyFont="1" applyNumberFormat="1"/>
    <xf borderId="0" fillId="4" fontId="35" numFmtId="169" xfId="0" applyAlignment="1" applyFont="1" applyNumberFormat="1">
      <alignment horizontal="center" readingOrder="0" vertical="center"/>
    </xf>
    <xf borderId="5" fillId="4" fontId="35" numFmtId="169" xfId="0" applyAlignment="1" applyBorder="1" applyFont="1" applyNumberFormat="1">
      <alignment horizontal="center" readingOrder="0" vertical="center"/>
    </xf>
    <xf borderId="5" fillId="4" fontId="38" numFmtId="0" xfId="0" applyAlignment="1" applyBorder="1" applyFont="1">
      <alignment horizontal="center" readingOrder="0" vertical="center"/>
    </xf>
    <xf borderId="0" fillId="0" fontId="39" numFmtId="3" xfId="0" applyFont="1" applyNumberFormat="1"/>
    <xf borderId="0" fillId="0" fontId="40" numFmtId="0" xfId="0" applyAlignment="1" applyFont="1">
      <alignment horizontal="right" readingOrder="0" vertical="bottom"/>
    </xf>
    <xf borderId="9" fillId="4" fontId="36" numFmtId="0" xfId="0" applyAlignment="1" applyBorder="1" applyFont="1">
      <alignment horizontal="center" readingOrder="0" shrinkToFit="0" wrapText="1"/>
    </xf>
    <xf borderId="7" fillId="4" fontId="36" numFmtId="166" xfId="0" applyAlignment="1" applyBorder="1" applyFont="1" applyNumberFormat="1">
      <alignment horizontal="center"/>
    </xf>
    <xf borderId="5" fillId="5" fontId="41" numFmtId="0" xfId="0" applyAlignment="1" applyBorder="1" applyFill="1" applyFont="1">
      <alignment shrinkToFit="0" vertical="bottom" wrapText="1"/>
    </xf>
    <xf borderId="5" fillId="5" fontId="25" numFmtId="0" xfId="0" applyBorder="1" applyFont="1"/>
    <xf borderId="0" fillId="0" fontId="2" numFmtId="165" xfId="0" applyFont="1" applyNumberFormat="1"/>
    <xf borderId="0" fillId="5" fontId="41" numFmtId="165" xfId="0" applyAlignment="1" applyFont="1" applyNumberFormat="1">
      <alignment horizontal="center" readingOrder="0"/>
    </xf>
    <xf borderId="0" fillId="5" fontId="41" numFmtId="165" xfId="0" applyAlignment="1" applyFont="1" applyNumberFormat="1">
      <alignment horizontal="center" readingOrder="0" vertical="bottom"/>
    </xf>
    <xf borderId="5" fillId="5" fontId="41" numFmtId="165" xfId="0" applyAlignment="1" applyBorder="1" applyFont="1" applyNumberFormat="1">
      <alignment horizontal="center" readingOrder="0" vertical="bottom"/>
    </xf>
    <xf borderId="5" fillId="5" fontId="41" numFmtId="165" xfId="0" applyAlignment="1" applyBorder="1" applyFont="1" applyNumberFormat="1">
      <alignment horizontal="center" vertical="bottom"/>
    </xf>
    <xf borderId="0" fillId="2" fontId="20" numFmtId="49" xfId="0" applyAlignment="1" applyFont="1" applyNumberFormat="1">
      <alignment horizontal="right" vertical="bottom"/>
    </xf>
    <xf borderId="9" fillId="6" fontId="42" numFmtId="0" xfId="0" applyAlignment="1" applyBorder="1" applyFill="1" applyFont="1">
      <alignment vertical="bottom"/>
    </xf>
    <xf borderId="5" fillId="0" fontId="43" numFmtId="165" xfId="0" applyAlignment="1" applyBorder="1" applyFont="1" applyNumberFormat="1">
      <alignment horizontal="center"/>
    </xf>
    <xf borderId="0" fillId="0" fontId="43" numFmtId="1" xfId="0" applyAlignment="1" applyFont="1" applyNumberFormat="1">
      <alignment horizontal="center" readingOrder="0"/>
    </xf>
    <xf borderId="5" fillId="0" fontId="43" numFmtId="49" xfId="0" applyAlignment="1" applyBorder="1" applyFont="1" applyNumberFormat="1">
      <alignment horizontal="center" readingOrder="0"/>
    </xf>
    <xf borderId="5" fillId="5" fontId="41" numFmtId="9" xfId="0" applyAlignment="1" applyBorder="1" applyFont="1" applyNumberFormat="1">
      <alignment horizontal="center" readingOrder="0" shrinkToFit="0" wrapText="1"/>
    </xf>
    <xf borderId="0" fillId="5" fontId="42" numFmtId="165" xfId="0" applyAlignment="1" applyFont="1" applyNumberFormat="1">
      <alignment horizontal="center" readingOrder="0"/>
    </xf>
    <xf borderId="0" fillId="5" fontId="42" numFmtId="165" xfId="0" applyAlignment="1" applyFont="1" applyNumberFormat="1">
      <alignment horizontal="center" readingOrder="0" vertical="bottom"/>
    </xf>
    <xf borderId="5" fillId="5" fontId="42" numFmtId="165" xfId="0" applyAlignment="1" applyBorder="1" applyFont="1" applyNumberFormat="1">
      <alignment horizontal="center" readingOrder="0" vertical="bottom"/>
    </xf>
    <xf borderId="5" fillId="5" fontId="42" numFmtId="165" xfId="0" applyAlignment="1" applyBorder="1" applyFont="1" applyNumberFormat="1">
      <alignment horizontal="center" vertical="bottom"/>
    </xf>
    <xf borderId="0" fillId="0" fontId="25" numFmtId="0" xfId="0" applyAlignment="1" applyFont="1">
      <alignment horizontal="right" vertical="bottom"/>
    </xf>
    <xf borderId="5" fillId="0" fontId="42" numFmtId="0" xfId="0" applyAlignment="1" applyBorder="1" applyFont="1">
      <alignment vertical="top"/>
    </xf>
    <xf borderId="5" fillId="0" fontId="43" numFmtId="1" xfId="0" applyAlignment="1" applyBorder="1" applyFont="1" applyNumberFormat="1">
      <alignment horizontal="center"/>
    </xf>
    <xf borderId="0" fillId="0" fontId="43" numFmtId="1" xfId="0" applyAlignment="1" applyFont="1" applyNumberFormat="1">
      <alignment horizontal="center"/>
    </xf>
    <xf borderId="5" fillId="0" fontId="44" numFmtId="0" xfId="0" applyAlignment="1" applyBorder="1" applyFont="1">
      <alignment horizontal="left" readingOrder="0" shrinkToFit="0" wrapText="1"/>
    </xf>
    <xf borderId="5" fillId="0" fontId="45" numFmtId="9" xfId="0" applyAlignment="1" applyBorder="1" applyFont="1" applyNumberFormat="1">
      <alignment horizontal="center" readingOrder="0"/>
    </xf>
    <xf borderId="0" fillId="0" fontId="2" numFmtId="1" xfId="0" applyFont="1" applyNumberFormat="1"/>
    <xf borderId="0" fillId="0" fontId="25" numFmtId="1" xfId="0" applyAlignment="1" applyFont="1" applyNumberFormat="1">
      <alignment horizontal="center" readingOrder="0"/>
    </xf>
    <xf borderId="5" fillId="0" fontId="25" numFmtId="1" xfId="0" applyAlignment="1" applyBorder="1" applyFont="1" applyNumberFormat="1">
      <alignment horizontal="center" readingOrder="0"/>
    </xf>
    <xf borderId="5" fillId="0" fontId="42" numFmtId="0" xfId="0" applyAlignment="1" applyBorder="1" applyFont="1">
      <alignment readingOrder="0" vertical="top"/>
    </xf>
    <xf borderId="5" fillId="5" fontId="41" numFmtId="9" xfId="0" applyAlignment="1" applyBorder="1" applyFont="1" applyNumberFormat="1">
      <alignment horizontal="center" shrinkToFit="0" wrapText="1"/>
    </xf>
    <xf borderId="5" fillId="0" fontId="28" numFmtId="0" xfId="0" applyAlignment="1" applyBorder="1" applyFont="1">
      <alignment vertical="top"/>
    </xf>
    <xf borderId="5" fillId="0" fontId="28" numFmtId="1" xfId="0" applyAlignment="1" applyBorder="1" applyFont="1" applyNumberFormat="1">
      <alignment horizontal="center"/>
    </xf>
    <xf borderId="0" fillId="0" fontId="28" numFmtId="1" xfId="0" applyAlignment="1" applyFont="1" applyNumberFormat="1">
      <alignment horizontal="center"/>
    </xf>
    <xf borderId="5" fillId="0" fontId="44" numFmtId="0" xfId="0" applyAlignment="1" applyBorder="1" applyFont="1">
      <alignment horizontal="left" shrinkToFit="0" wrapText="1"/>
    </xf>
    <xf borderId="5" fillId="0" fontId="45" numFmtId="9" xfId="0" applyAlignment="1" applyBorder="1" applyFont="1" applyNumberFormat="1">
      <alignment horizontal="center"/>
    </xf>
    <xf borderId="5" fillId="5" fontId="41" numFmtId="0" xfId="0" applyAlignment="1" applyBorder="1" applyFont="1">
      <alignment readingOrder="0" shrinkToFit="0" vertical="bottom" wrapText="1"/>
    </xf>
    <xf borderId="5" fillId="0" fontId="44" numFmtId="0" xfId="0" applyAlignment="1" applyBorder="1" applyFont="1">
      <alignment readingOrder="0" shrinkToFit="0" vertical="bottom" wrapText="1"/>
    </xf>
    <xf borderId="5" fillId="0" fontId="28" numFmtId="0" xfId="0" applyAlignment="1" applyBorder="1" applyFont="1">
      <alignment readingOrder="0" vertical="top"/>
    </xf>
    <xf borderId="5" fillId="0" fontId="44" numFmtId="0" xfId="0" applyAlignment="1" applyBorder="1" applyFont="1">
      <alignment vertical="bottom"/>
    </xf>
    <xf borderId="5" fillId="6" fontId="41" numFmtId="0" xfId="0" applyAlignment="1" applyBorder="1" applyFont="1">
      <alignment shrinkToFit="0" vertical="bottom" wrapText="1"/>
    </xf>
    <xf borderId="5" fillId="6" fontId="46" numFmtId="9" xfId="0" applyAlignment="1" applyBorder="1" applyFont="1" applyNumberFormat="1">
      <alignment horizontal="center" shrinkToFit="0" wrapText="1"/>
    </xf>
    <xf borderId="0" fillId="6" fontId="47" numFmtId="165" xfId="0" applyAlignment="1" applyFont="1" applyNumberFormat="1">
      <alignment horizontal="center" readingOrder="0"/>
    </xf>
    <xf borderId="5" fillId="6" fontId="47" numFmtId="165" xfId="0" applyAlignment="1" applyBorder="1" applyFont="1" applyNumberFormat="1">
      <alignment horizontal="center" readingOrder="0"/>
    </xf>
    <xf borderId="5" fillId="6" fontId="47" numFmtId="165" xfId="0" applyAlignment="1" applyBorder="1" applyFont="1" applyNumberFormat="1">
      <alignment horizontal="center" vertical="bottom"/>
    </xf>
    <xf borderId="5" fillId="0" fontId="25" numFmtId="1" xfId="0" applyAlignment="1" applyBorder="1" applyFont="1" applyNumberFormat="1">
      <alignment horizontal="center"/>
    </xf>
    <xf borderId="0" fillId="0" fontId="25" numFmtId="1" xfId="0" applyAlignment="1" applyFont="1" applyNumberFormat="1">
      <alignment horizontal="center"/>
    </xf>
    <xf borderId="0" fillId="0" fontId="48" numFmtId="0" xfId="0" applyAlignment="1" applyFont="1">
      <alignment readingOrder="0"/>
    </xf>
    <xf borderId="0" fillId="0" fontId="25" numFmtId="0" xfId="0" applyAlignment="1" applyFont="1">
      <alignment horizontal="right" vertical="bottom"/>
    </xf>
    <xf borderId="5" fillId="6" fontId="46" numFmtId="9" xfId="0" applyAlignment="1" applyBorder="1" applyFont="1" applyNumberFormat="1">
      <alignment horizontal="center" readingOrder="0" shrinkToFit="0" wrapText="1"/>
    </xf>
    <xf borderId="0" fillId="0" fontId="2" numFmtId="2" xfId="0" applyFont="1" applyNumberFormat="1"/>
    <xf borderId="0" fillId="6" fontId="47" numFmtId="2" xfId="0" applyAlignment="1" applyFont="1" applyNumberFormat="1">
      <alignment horizontal="center" readingOrder="0"/>
    </xf>
    <xf borderId="0" fillId="6" fontId="47" numFmtId="2" xfId="0" applyAlignment="1" applyFont="1" applyNumberFormat="1">
      <alignment horizontal="center" readingOrder="0" vertical="bottom"/>
    </xf>
    <xf borderId="5" fillId="6" fontId="47" numFmtId="2" xfId="0" applyAlignment="1" applyBorder="1" applyFont="1" applyNumberFormat="1">
      <alignment horizontal="center" readingOrder="0" vertical="bottom"/>
    </xf>
    <xf borderId="5" fillId="6" fontId="47" numFmtId="2" xfId="0" applyAlignment="1" applyBorder="1" applyFont="1" applyNumberFormat="1">
      <alignment horizontal="center" vertical="bottom"/>
    </xf>
    <xf borderId="5" fillId="6" fontId="49" numFmtId="0" xfId="0" applyAlignment="1" applyBorder="1" applyFont="1">
      <alignment horizontal="left" shrinkToFit="0" wrapText="1"/>
    </xf>
    <xf borderId="5" fillId="6" fontId="50" numFmtId="9" xfId="0" applyAlignment="1" applyBorder="1" applyFont="1" applyNumberFormat="1">
      <alignment horizontal="center" readingOrder="0" shrinkToFit="0" wrapText="1"/>
    </xf>
    <xf borderId="0" fillId="6" fontId="51" numFmtId="165" xfId="0" applyAlignment="1" applyFont="1" applyNumberFormat="1">
      <alignment horizontal="center" readingOrder="0"/>
    </xf>
    <xf borderId="5" fillId="6" fontId="51" numFmtId="165" xfId="0" applyAlignment="1" applyBorder="1" applyFont="1" applyNumberFormat="1">
      <alignment horizontal="center" readingOrder="0"/>
    </xf>
    <xf borderId="5" fillId="6" fontId="51" numFmtId="165" xfId="0" applyAlignment="1" applyBorder="1" applyFont="1" applyNumberFormat="1">
      <alignment horizontal="center" vertical="bottom"/>
    </xf>
    <xf borderId="5" fillId="6" fontId="49" numFmtId="0" xfId="0" applyAlignment="1" applyBorder="1" applyFont="1">
      <alignment horizontal="left" readingOrder="0" shrinkToFit="0" wrapText="1"/>
    </xf>
    <xf borderId="0" fillId="6" fontId="47" numFmtId="165" xfId="0" applyAlignment="1" applyFont="1" applyNumberFormat="1">
      <alignment horizontal="center" readingOrder="0" vertical="bottom"/>
    </xf>
    <xf borderId="5" fillId="6" fontId="47" numFmtId="165" xfId="0" applyAlignment="1" applyBorder="1" applyFont="1" applyNumberFormat="1">
      <alignment horizontal="center" readingOrder="0" vertical="bottom"/>
    </xf>
    <xf borderId="5" fillId="0" fontId="49" numFmtId="0" xfId="0" applyAlignment="1" applyBorder="1" applyFont="1">
      <alignment horizontal="left" readingOrder="0" shrinkToFit="0" wrapText="1"/>
    </xf>
    <xf borderId="5" fillId="7" fontId="50" numFmtId="9" xfId="0" applyAlignment="1" applyBorder="1" applyFill="1" applyFont="1" applyNumberFormat="1">
      <alignment horizontal="center" readingOrder="0" shrinkToFit="0" wrapText="1"/>
    </xf>
    <xf borderId="0" fillId="8" fontId="51" numFmtId="1" xfId="0" applyAlignment="1" applyFill="1" applyFont="1" applyNumberFormat="1">
      <alignment horizontal="center" readingOrder="0"/>
    </xf>
    <xf borderId="5" fillId="8" fontId="51" numFmtId="1" xfId="0" applyAlignment="1" applyBorder="1" applyFont="1" applyNumberFormat="1">
      <alignment horizontal="center" readingOrder="0"/>
    </xf>
    <xf borderId="5" fillId="6" fontId="41" numFmtId="0" xfId="0" applyAlignment="1" applyBorder="1" applyFont="1">
      <alignment horizontal="left" readingOrder="0" shrinkToFit="0" wrapText="1"/>
    </xf>
    <xf borderId="0" fillId="9" fontId="25" numFmtId="1" xfId="0" applyAlignment="1" applyFill="1" applyFont="1" applyNumberFormat="1">
      <alignment horizontal="center" readingOrder="0"/>
    </xf>
    <xf borderId="5" fillId="9" fontId="25" numFmtId="1" xfId="0" applyAlignment="1" applyBorder="1" applyFont="1" applyNumberFormat="1">
      <alignment horizontal="center" readingOrder="0"/>
    </xf>
    <xf borderId="5" fillId="9" fontId="25" numFmtId="1" xfId="0" applyAlignment="1" applyBorder="1" applyFont="1" applyNumberFormat="1">
      <alignment horizontal="center" vertical="bottom"/>
    </xf>
    <xf borderId="5" fillId="0" fontId="45" numFmtId="9" xfId="0" applyAlignment="1" applyBorder="1" applyFont="1" applyNumberFormat="1">
      <alignment horizontal="center" shrinkToFit="0" wrapText="1"/>
    </xf>
    <xf borderId="5" fillId="0" fontId="45" numFmtId="9" xfId="0" applyAlignment="1" applyBorder="1" applyFont="1" applyNumberFormat="1">
      <alignment horizontal="center" readingOrder="0" shrinkToFit="0" wrapText="1"/>
    </xf>
    <xf borderId="5" fillId="6" fontId="41" numFmtId="0" xfId="0" applyAlignment="1" applyBorder="1" applyFont="1">
      <alignment shrinkToFit="0" vertical="bottom" wrapText="1"/>
    </xf>
    <xf borderId="5" fillId="0" fontId="44" numFmtId="9" xfId="0" applyAlignment="1" applyBorder="1" applyFont="1" applyNumberFormat="1">
      <alignment horizontal="center" shrinkToFit="0" wrapText="1"/>
    </xf>
    <xf borderId="5" fillId="0" fontId="44" numFmtId="9" xfId="0" applyAlignment="1" applyBorder="1" applyFont="1" applyNumberFormat="1">
      <alignment horizontal="center" readingOrder="0" shrinkToFit="0" wrapText="1"/>
    </xf>
    <xf borderId="5" fillId="5" fontId="41" numFmtId="0" xfId="0" applyAlignment="1" applyBorder="1" applyFont="1">
      <alignment horizontal="left" readingOrder="0" shrinkToFit="0" wrapText="1"/>
    </xf>
    <xf borderId="5" fillId="0" fontId="52" numFmtId="9" xfId="0" applyAlignment="1" applyBorder="1" applyFont="1" applyNumberFormat="1">
      <alignment horizontal="center" readingOrder="0" shrinkToFit="0" wrapText="1"/>
    </xf>
    <xf borderId="5" fillId="6" fontId="52" numFmtId="9" xfId="0" applyAlignment="1" applyBorder="1" applyFont="1" applyNumberFormat="1">
      <alignment horizontal="center" readingOrder="0" shrinkToFit="0" wrapText="1"/>
    </xf>
    <xf borderId="5" fillId="5" fontId="41" numFmtId="0" xfId="0" applyAlignment="1" applyBorder="1" applyFont="1">
      <alignment horizontal="left" shrinkToFit="0" wrapText="1"/>
    </xf>
    <xf borderId="8" fillId="0" fontId="44" numFmtId="0" xfId="0" applyAlignment="1" applyBorder="1" applyFont="1">
      <alignment horizontal="left" shrinkToFit="0" wrapText="1"/>
    </xf>
    <xf borderId="8" fillId="0" fontId="45" numFmtId="9" xfId="0" applyAlignment="1" applyBorder="1" applyFont="1" applyNumberFormat="1">
      <alignment horizontal="center" readingOrder="0" shrinkToFit="0" wrapText="1"/>
    </xf>
    <xf borderId="13" fillId="4" fontId="35" numFmtId="0" xfId="0" applyAlignment="1" applyBorder="1" applyFont="1">
      <alignment horizontal="center" vertical="center"/>
    </xf>
    <xf borderId="6" fillId="4" fontId="35" numFmtId="0" xfId="0" applyAlignment="1" applyBorder="1" applyFont="1">
      <alignment horizontal="center" shrinkToFit="0" vertical="center" wrapText="1"/>
    </xf>
    <xf borderId="0" fillId="4" fontId="35" numFmtId="0" xfId="0" applyAlignment="1" applyFont="1">
      <alignment horizontal="center" readingOrder="0" shrinkToFit="0" vertical="center" wrapText="1"/>
    </xf>
    <xf borderId="5" fillId="4" fontId="35" numFmtId="0" xfId="0" applyAlignment="1" applyBorder="1" applyFont="1">
      <alignment horizontal="center" readingOrder="0" shrinkToFit="0" vertical="center" wrapText="1"/>
    </xf>
    <xf borderId="5" fillId="4" fontId="35" numFmtId="0" xfId="0" applyAlignment="1" applyBorder="1" applyFont="1">
      <alignment horizontal="center" shrinkToFit="0" vertical="center" wrapText="1"/>
    </xf>
    <xf borderId="13" fillId="0" fontId="53" numFmtId="0" xfId="0" applyAlignment="1" applyBorder="1" applyFont="1">
      <alignment vertical="center"/>
    </xf>
    <xf borderId="6" fillId="0" fontId="1" numFmtId="0" xfId="0" applyAlignment="1" applyBorder="1" applyFont="1">
      <alignment vertical="center"/>
    </xf>
    <xf borderId="0" fillId="0" fontId="54" numFmtId="0" xfId="0" applyAlignment="1" applyFont="1">
      <alignment horizontal="center" readingOrder="0" shrinkToFit="0" vertical="center" wrapText="1"/>
    </xf>
    <xf borderId="5" fillId="0" fontId="54" numFmtId="0" xfId="0" applyAlignment="1" applyBorder="1" applyFont="1">
      <alignment horizontal="center" readingOrder="0" shrinkToFit="0" vertical="center" wrapText="1"/>
    </xf>
    <xf borderId="0" fillId="4" fontId="35" numFmtId="0" xfId="0" applyAlignment="1" applyFont="1">
      <alignment horizontal="center" vertical="center"/>
    </xf>
    <xf borderId="8" fillId="0" fontId="54" numFmtId="0" xfId="0" applyAlignment="1" applyBorder="1" applyFont="1">
      <alignment horizontal="right" readingOrder="0" shrinkToFit="0" vertical="center" wrapText="1"/>
    </xf>
    <xf borderId="0" fillId="0" fontId="2" numFmtId="10" xfId="0" applyFont="1" applyNumberFormat="1"/>
    <xf borderId="0" fillId="0" fontId="1" numFmtId="166" xfId="0" applyAlignment="1" applyFont="1" applyNumberFormat="1">
      <alignment horizontal="center" readingOrder="0" shrinkToFit="0" vertical="center" wrapText="1"/>
    </xf>
    <xf borderId="5" fillId="0" fontId="1" numFmtId="166" xfId="0" applyAlignment="1" applyBorder="1" applyFont="1" applyNumberFormat="1">
      <alignment horizontal="center" readingOrder="0" shrinkToFit="0" vertical="center" wrapText="1"/>
    </xf>
    <xf borderId="5" fillId="0" fontId="1" numFmtId="166" xfId="0" applyAlignment="1" applyBorder="1" applyFont="1" applyNumberFormat="1">
      <alignment horizontal="center" shrinkToFit="0" vertical="center" wrapText="1"/>
    </xf>
    <xf borderId="0" fillId="0" fontId="40" numFmtId="3" xfId="0" applyAlignment="1" applyFont="1" applyNumberFormat="1">
      <alignment horizontal="right" readingOrder="0"/>
    </xf>
    <xf borderId="0" fillId="0" fontId="2" numFmtId="0" xfId="0" applyAlignment="1" applyFont="1">
      <alignment horizontal="center" shrinkToFit="0" vertical="center" wrapText="1"/>
    </xf>
    <xf borderId="5" fillId="0" fontId="1" numFmtId="49" xfId="0" applyAlignment="1" applyBorder="1" applyFont="1" applyNumberFormat="1">
      <alignment horizontal="center" shrinkToFit="0" vertical="center" wrapText="1"/>
    </xf>
    <xf borderId="5" fillId="0" fontId="1" numFmtId="49" xfId="0" applyAlignment="1" applyBorder="1" applyFont="1" applyNumberFormat="1">
      <alignment horizontal="center" readingOrder="0" shrinkToFit="0" vertical="center" wrapText="1"/>
    </xf>
    <xf borderId="0" fillId="0" fontId="1" numFmtId="49" xfId="0" applyAlignment="1" applyFont="1" applyNumberFormat="1">
      <alignment horizontal="center" shrinkToFit="0" vertical="center" wrapText="1"/>
    </xf>
    <xf borderId="14" fillId="0" fontId="53" numFmtId="0" xfId="0" applyAlignment="1" applyBorder="1" applyFont="1">
      <alignment vertical="center"/>
    </xf>
    <xf borderId="0" fillId="0" fontId="53" numFmtId="0" xfId="0" applyAlignment="1" applyFont="1">
      <alignment horizontal="center" readingOrder="0"/>
    </xf>
    <xf borderId="15" fillId="0" fontId="53" numFmtId="0" xfId="0" applyAlignment="1" applyBorder="1" applyFont="1">
      <alignment horizontal="center" readingOrder="0"/>
    </xf>
    <xf borderId="15" fillId="0" fontId="53" numFmtId="0" xfId="0" applyAlignment="1" applyBorder="1" applyFont="1">
      <alignment horizontal="center"/>
    </xf>
    <xf borderId="0" fillId="0" fontId="40" numFmtId="3" xfId="0" applyAlignment="1" applyFont="1" applyNumberFormat="1">
      <alignment readingOrder="0"/>
    </xf>
    <xf borderId="0" fillId="0" fontId="25" numFmtId="0" xfId="0" applyAlignment="1" applyFont="1">
      <alignment horizontal="left"/>
    </xf>
  </cellXfs>
  <cellStyles count="1">
    <cellStyle xfId="0" name="Normal" builtinId="0"/>
  </cellStyles>
  <dxfs count="3">
    <dxf>
      <font/>
      <fill>
        <patternFill patternType="solid">
          <fgColor rgb="FFF4CCCC"/>
          <bgColor rgb="FFF4CCCC"/>
        </patternFill>
      </fill>
      <border/>
    </dxf>
    <dxf>
      <font/>
      <fill>
        <patternFill patternType="solid">
          <fgColor rgb="FFFF00FF"/>
          <bgColor rgb="FFFF00FF"/>
        </patternFill>
      </fill>
      <border/>
    </dxf>
    <dxf>
      <font/>
      <fill>
        <patternFill patternType="solid">
          <fgColor rgb="FF9900FF"/>
          <bgColor rgb="FF99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bCD10ySi4YZEkJW2_Slmn9z7AI1WEsGsZaIJmnnT18/edit?gid=988598667" TargetMode="External"/><Relationship Id="rId2" Type="http://schemas.openxmlformats.org/officeDocument/2006/relationships/hyperlink" Target="https://docs.google.com/spreadsheets/d/1rbCD10ySi4YZEkJW2_Slmn9z7AI1WEsGsZaIJmnnT18/edit?gid=1997450648" TargetMode="External"/><Relationship Id="rId3" Type="http://schemas.openxmlformats.org/officeDocument/2006/relationships/hyperlink" Target="https://docs.google.com/spreadsheets/d/19THEBTE9q0fhN2eApZr6BgenIvLGh0AckaYxHQfHk5w/edit?gid=1755627096" TargetMode="External"/><Relationship Id="rId4" Type="http://schemas.openxmlformats.org/officeDocument/2006/relationships/hyperlink" Target="https://docs.google.com/spreadsheets/d/19THEBTE9q0fhN2eApZr6BgenIvLGh0AckaYxHQfHk5w/edit?gid=1311899156" TargetMode="External"/><Relationship Id="rId5" Type="http://schemas.openxmlformats.org/officeDocument/2006/relationships/hyperlink" Target="https://docs.google.com/spreadsheets/d/19THEBTE9q0fhN2eApZr6BgenIvLGh0AckaYxHQfHk5w/edit?gid=242811066"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rbCD10ySi4YZEkJW2_Slmn9z7AI1WEsGsZaIJmnnT18/edit?gid=988598667" TargetMode="External"/><Relationship Id="rId2" Type="http://schemas.openxmlformats.org/officeDocument/2006/relationships/hyperlink" Target="https://docs.google.com/spreadsheets/d/1rbCD10ySi4YZEkJW2_Slmn9z7AI1WEsGsZaIJmnnT18/edit?gid=1997450648" TargetMode="External"/><Relationship Id="rId3" Type="http://schemas.openxmlformats.org/officeDocument/2006/relationships/hyperlink" Target="https://docs.google.com/spreadsheets/d/19THEBTE9q0fhN2eApZr6BgenIvLGh0AckaYxHQfHk5w/edit?gid=1755627096" TargetMode="External"/><Relationship Id="rId4" Type="http://schemas.openxmlformats.org/officeDocument/2006/relationships/hyperlink" Target="https://docs.google.com/spreadsheets/d/19THEBTE9q0fhN2eApZr6BgenIvLGh0AckaYxHQfHk5w/edit?gid=1311899156" TargetMode="External"/><Relationship Id="rId5" Type="http://schemas.openxmlformats.org/officeDocument/2006/relationships/hyperlink" Target="https://docs.google.com/spreadsheets/d/19THEBTE9q0fhN2eApZr6BgenIvLGh0AckaYxHQfHk5w/edit?gid=242811066"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4" Type="http://schemas.openxmlformats.org/officeDocument/2006/relationships/hyperlink" Target="https://docs.google.com/spreadsheets/d/19THEBTE9q0fhN2eApZr6BgenIvLGh0AckaYxHQfHk5w/edit?gid=141428453" TargetMode="External"/><Relationship Id="rId193"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2"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1" Type="http://schemas.openxmlformats.org/officeDocument/2006/relationships/hyperlink" Target="https://docs.google.com/spreadsheets/d/1jonEGMB3UFHiUZpltF1zURon8gYN7jGSHu-k9t5TXnA/edit?gid=1435875576" TargetMode="External"/><Relationship Id="rId187" Type="http://schemas.openxmlformats.org/officeDocument/2006/relationships/hyperlink" Target="https://docs.google.com/spreadsheets/d/1jonEGMB3UFHiUZpltF1zURon8gYN7jGSHu-k9t5TXnA/edit?gid=489526164" TargetMode="External"/><Relationship Id="rId186" Type="http://schemas.openxmlformats.org/officeDocument/2006/relationships/hyperlink" Target="https://docs.google.com/spreadsheets/d/19THEBTE9q0fhN2eApZr6BgenIvLGh0AckaYxHQfHk5w/edit?gid=1064873250" TargetMode="External"/><Relationship Id="rId185" Type="http://schemas.openxmlformats.org/officeDocument/2006/relationships/hyperlink" Target="https://docs.google.com/spreadsheets/d/19THEBTE9q0fhN2eApZr6BgenIvLGh0AckaYxHQfHk5w/edit?gid=411584618" TargetMode="External"/><Relationship Id="rId184" Type="http://schemas.openxmlformats.org/officeDocument/2006/relationships/hyperlink" Target="https://docs.google.com/spreadsheets/d/19THEBTE9q0fhN2eApZr6BgenIvLGh0AckaYxHQfHk5w/edit?gid=799259912" TargetMode="External"/><Relationship Id="rId189" Type="http://schemas.openxmlformats.org/officeDocument/2006/relationships/hyperlink" Target="https://docs.google.com/spreadsheets/d/1jonEGMB3UFHiUZpltF1zURon8gYN7jGSHu-k9t5TXnA/edit?gid=337450969" TargetMode="External"/><Relationship Id="rId188"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83" Type="http://schemas.openxmlformats.org/officeDocument/2006/relationships/hyperlink" Target="https://docs.google.com/spreadsheets/d/19THEBTE9q0fhN2eApZr6BgenIvLGh0AckaYxHQfHk5w/edit?gid=363363152" TargetMode="External"/><Relationship Id="rId182" Type="http://schemas.openxmlformats.org/officeDocument/2006/relationships/hyperlink" Target="https://docs.google.com/spreadsheets/d/19THEBTE9q0fhN2eApZr6BgenIvLGh0AckaYxHQfHk5w/edit?gid=913968712" TargetMode="External"/><Relationship Id="rId181" Type="http://schemas.openxmlformats.org/officeDocument/2006/relationships/hyperlink" Target="https://docs.google.com/spreadsheets/d/19THEBTE9q0fhN2eApZr6BgenIvLGh0AckaYxHQfHk5w/edit?gid=2022377090" TargetMode="External"/><Relationship Id="rId180" Type="http://schemas.openxmlformats.org/officeDocument/2006/relationships/hyperlink" Target="https://docs.google.com/spreadsheets/d/19THEBTE9q0fhN2eApZr6BgenIvLGh0AckaYxHQfHk5w/edit?gid=697664258" TargetMode="External"/><Relationship Id="rId176" Type="http://schemas.openxmlformats.org/officeDocument/2006/relationships/hyperlink" Target="https://docs.google.com/spreadsheets/d/19THEBTE9q0fhN2eApZr6BgenIvLGh0AckaYxHQfHk5w/edit?gid=862186919" TargetMode="External"/><Relationship Id="rId175" Type="http://schemas.openxmlformats.org/officeDocument/2006/relationships/hyperlink" Target="https://docs.google.com/spreadsheets/d/19THEBTE9q0fhN2eApZr6BgenIvLGh0AckaYxHQfHk5w/edit?gid=68210689" TargetMode="External"/><Relationship Id="rId174" Type="http://schemas.openxmlformats.org/officeDocument/2006/relationships/hyperlink" Target="https://docs.google.com/spreadsheets/d/19THEBTE9q0fhN2eApZr6BgenIvLGh0AckaYxHQfHk5w/edit?gid=1318424610" TargetMode="External"/><Relationship Id="rId173" Type="http://schemas.openxmlformats.org/officeDocument/2006/relationships/hyperlink" Target="https://docs.google.com/spreadsheets/d/19THEBTE9q0fhN2eApZr6BgenIvLGh0AckaYxHQfHk5w/edit?gid=540806573" TargetMode="External"/><Relationship Id="rId179" Type="http://schemas.openxmlformats.org/officeDocument/2006/relationships/hyperlink" Target="https://docs.google.com/spreadsheets/d/1jonEGMB3UFHiUZpltF1zURon8gYN7jGSHu-k9t5TXnA/edit?gid=123308300" TargetMode="External"/><Relationship Id="rId178" Type="http://schemas.openxmlformats.org/officeDocument/2006/relationships/hyperlink" Target="https://docs.google.com/spreadsheets/d/1jonEGMB3UFHiUZpltF1zURon8gYN7jGSHu-k9t5TXnA/edit?gid=1539095406" TargetMode="External"/><Relationship Id="rId177" Type="http://schemas.openxmlformats.org/officeDocument/2006/relationships/hyperlink" Target="https://docs.google.com/spreadsheets/d/19THEBTE9q0fhN2eApZr6BgenIvLGh0AckaYxHQfHk5w/edit?gid=80969039" TargetMode="External"/><Relationship Id="rId198" Type="http://schemas.openxmlformats.org/officeDocument/2006/relationships/hyperlink" Target="https://docs.google.com/spreadsheets/d/19THEBTE9q0fhN2eApZr6BgenIvLGh0AckaYxHQfHk5w/edit?gid=1145227752" TargetMode="External"/><Relationship Id="rId197" Type="http://schemas.openxmlformats.org/officeDocument/2006/relationships/hyperlink" Target="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 TargetMode="External"/><Relationship Id="rId196" Type="http://schemas.openxmlformats.org/officeDocument/2006/relationships/hyperlink" Target="https://docs.google.com/spreadsheets/d/19THEBTE9q0fhN2eApZr6BgenIvLGh0AckaYxHQfHk5w/edit?gid=310058684" TargetMode="External"/><Relationship Id="rId195" Type="http://schemas.openxmlformats.org/officeDocument/2006/relationships/hyperlink" Target="https://docs.google.com/spreadsheets/d/19THEBTE9q0fhN2eApZr6BgenIvLGh0AckaYxHQfHk5w/edit?gid=140939233" TargetMode="External"/><Relationship Id="rId199" Type="http://schemas.openxmlformats.org/officeDocument/2006/relationships/hyperlink" Target="https://docs.google.com/spreadsheets/d/19THEBTE9q0fhN2eApZr6BgenIvLGh0AckaYxHQfHk5w/edit?gid=1109188996" TargetMode="External"/><Relationship Id="rId150" Type="http://schemas.openxmlformats.org/officeDocument/2006/relationships/hyperlink" Target="https://docs.google.com/spreadsheets/d/19THEBTE9q0fhN2eApZr6BgenIvLGh0AckaYxHQfHk5w/edit?gid=1355578633" TargetMode="External"/><Relationship Id="rId392" Type="http://schemas.openxmlformats.org/officeDocument/2006/relationships/hyperlink" Target="https://docs.google.com/spreadsheets/d/1H1MjbG2y0oC0hhID4do1G0_gfyI1jag72lQd7nL3WDQ/edit?gid=1599124365" TargetMode="External"/><Relationship Id="rId391" Type="http://schemas.openxmlformats.org/officeDocument/2006/relationships/hyperlink" Target="https://docs.google.com/spreadsheets/d/1H1MjbG2y0oC0hhID4do1G0_gfyI1jag72lQd7nL3WDQ/edit?gid=763040175" TargetMode="External"/><Relationship Id="rId390" Type="http://schemas.openxmlformats.org/officeDocument/2006/relationships/hyperlink" Target="https://docs.google.com/spreadsheets/d/1H1MjbG2y0oC0hhID4do1G0_gfyI1jag72lQd7nL3WDQ/edit?gid=864081677" TargetMode="External"/><Relationship Id="rId1" Type="http://schemas.openxmlformats.org/officeDocument/2006/relationships/hyperlink" Target="https://docs.google.com/spreadsheets/d/1h7Zyn53eByFA_Wa7EnuJEIn9QqPaz6kDse3SZgRdd5g/edit?gid=0" TargetMode="External"/><Relationship Id="rId2" Type="http://schemas.openxmlformats.org/officeDocument/2006/relationships/hyperlink" Target="https://docs.google.com/spreadsheets/d/1MW8OIVEKRJEaLcG-KS0zwZPEQ0eRUWE2y9Gj77rgoxo/edit?gid=796994001" TargetMode="External"/><Relationship Id="rId3" Type="http://schemas.openxmlformats.org/officeDocument/2006/relationships/hyperlink" Target="https://docs.google.com/spreadsheets/d/19THEBTE9q0fhN2eApZr6BgenIvLGh0AckaYxHQfHk5w/edit?gid=0" TargetMode="External"/><Relationship Id="rId149" Type="http://schemas.openxmlformats.org/officeDocument/2006/relationships/hyperlink" Target="https://docs.google.com/spreadsheets/d/1jonEGMB3UFHiUZpltF1zURon8gYN7jGSHu-k9t5TXnA/edit?gid=488139747" TargetMode="External"/><Relationship Id="rId4" Type="http://schemas.openxmlformats.org/officeDocument/2006/relationships/hyperlink" Target="https://docs.google.com/spreadsheets/d/1jonEGMB3UFHiUZpltF1zURon8gYN7jGSHu-k9t5TXnA/edit?gid=0" TargetMode="External"/><Relationship Id="rId148" Type="http://schemas.openxmlformats.org/officeDocument/2006/relationships/hyperlink" Target="https://docs.google.com/spreadsheets/d/1jonEGMB3UFHiUZpltF1zURon8gYN7jGSHu-k9t5TXnA/edit?gid=2082220203" TargetMode="External"/><Relationship Id="rId9" Type="http://schemas.openxmlformats.org/officeDocument/2006/relationships/hyperlink" Target="https://docs.google.com/spreadsheets/d/19THEBTE9q0fhN2eApZr6BgenIvLGh0AckaYxHQfHk5w/edit?gid=1222968113" TargetMode="External"/><Relationship Id="rId143" Type="http://schemas.openxmlformats.org/officeDocument/2006/relationships/hyperlink" Target="https://docs.google.com/spreadsheets/d/19THEBTE9q0fhN2eApZr6BgenIvLGh0AckaYxHQfHk5w/edit?gid=425127641" TargetMode="External"/><Relationship Id="rId385" Type="http://schemas.openxmlformats.org/officeDocument/2006/relationships/hyperlink" Target="https://docs.google.com/spreadsheets/d/1H1MjbG2y0oC0hhID4do1G0_gfyI1jag72lQd7nL3WDQ/edit?gid=432585965" TargetMode="External"/><Relationship Id="rId142" Type="http://schemas.openxmlformats.org/officeDocument/2006/relationships/hyperlink" Target="https://docs.google.com/spreadsheets/d/19THEBTE9q0fhN2eApZr6BgenIvLGh0AckaYxHQfHk5w/edit?gid=962200403" TargetMode="External"/><Relationship Id="rId384" Type="http://schemas.openxmlformats.org/officeDocument/2006/relationships/hyperlink" Target="https://docs.google.com/spreadsheets/d/1H1MjbG2y0oC0hhID4do1G0_gfyI1jag72lQd7nL3WDQ/edit?gid=139795987" TargetMode="External"/><Relationship Id="rId141" Type="http://schemas.openxmlformats.org/officeDocument/2006/relationships/hyperlink" Target="https://docs.google.com/spreadsheets/d/19THEBTE9q0fhN2eApZr6BgenIvLGh0AckaYxHQfHk5w/edit?gid=894458513" TargetMode="External"/><Relationship Id="rId383" Type="http://schemas.openxmlformats.org/officeDocument/2006/relationships/hyperlink" Target="https://docs.google.com/spreadsheets/d/1H1MjbG2y0oC0hhID4do1G0_gfyI1jag72lQd7nL3WDQ/edit?gid=1021209176" TargetMode="External"/><Relationship Id="rId140" Type="http://schemas.openxmlformats.org/officeDocument/2006/relationships/hyperlink" Target="https://docs.google.com/spreadsheets/d/1MW8OIVEKRJEaLcG-KS0zwZPEQ0eRUWE2y9Gj77rgoxo/edit?gid=1015756216" TargetMode="External"/><Relationship Id="rId382" Type="http://schemas.openxmlformats.org/officeDocument/2006/relationships/hyperlink" Target="https://docs.google.com/spreadsheets/d/1H1MjbG2y0oC0hhID4do1G0_gfyI1jag72lQd7nL3WDQ/edit?gid=1407301391" TargetMode="External"/><Relationship Id="rId5" Type="http://schemas.openxmlformats.org/officeDocument/2006/relationships/hyperlink" Target="https://docs.google.com/spreadsheets/d/1H1MjbG2y0oC0hhID4do1G0_gfyI1jag72lQd7nL3WDQ/edit?gid=0" TargetMode="External"/><Relationship Id="rId147" Type="http://schemas.openxmlformats.org/officeDocument/2006/relationships/hyperlink" Target="https://docs.google.com/spreadsheets/d/1jonEGMB3UFHiUZpltF1zURon8gYN7jGSHu-k9t5TXnA/edit?gid=869183546" TargetMode="External"/><Relationship Id="rId389" Type="http://schemas.openxmlformats.org/officeDocument/2006/relationships/hyperlink" Target="https://docs.google.com/spreadsheets/d/1H1MjbG2y0oC0hhID4do1G0_gfyI1jag72lQd7nL3WDQ/edit?gid=2107770933" TargetMode="External"/><Relationship Id="rId6" Type="http://schemas.openxmlformats.org/officeDocument/2006/relationships/hyperlink" Target="https://docs.google.com/spreadsheets/d/1rbCD10ySi4YZEkJW2_Slmn9z7AI1WEsGsZaIJmnnT18/edit?gid=0" TargetMode="External"/><Relationship Id="rId146" Type="http://schemas.openxmlformats.org/officeDocument/2006/relationships/hyperlink" Target="https://docs.google.com/spreadsheets/d/1jonEGMB3UFHiUZpltF1zURon8gYN7jGSHu-k9t5TXnA/edit?gid=272480543" TargetMode="External"/><Relationship Id="rId388" Type="http://schemas.openxmlformats.org/officeDocument/2006/relationships/hyperlink" Target="https://docs.google.com/spreadsheets/d/1H1MjbG2y0oC0hhID4do1G0_gfyI1jag72lQd7nL3WDQ/edit?gid=640523369" TargetMode="External"/><Relationship Id="rId7" Type="http://schemas.openxmlformats.org/officeDocument/2006/relationships/hyperlink" Target="https://docs.google.com/spreadsheets/d/1lEcUd4exxkr5Za3IYZ0vdFNfMubnuMOOMXfmF3GYC9I/edit?gid=0" TargetMode="External"/><Relationship Id="rId145" Type="http://schemas.openxmlformats.org/officeDocument/2006/relationships/hyperlink" Target="https://docs.google.com/spreadsheets/d/1jonEGMB3UFHiUZpltF1zURon8gYN7jGSHu-k9t5TXnA/edit?gid=1665960639" TargetMode="External"/><Relationship Id="rId387" Type="http://schemas.openxmlformats.org/officeDocument/2006/relationships/hyperlink" Target="https://docs.google.com/spreadsheets/d/1H1MjbG2y0oC0hhID4do1G0_gfyI1jag72lQd7nL3WDQ/edit?gid=1916178969" TargetMode="External"/><Relationship Id="rId8" Type="http://schemas.openxmlformats.org/officeDocument/2006/relationships/hyperlink" Target="https://docs.google.com/spreadsheets/d/1EI7qusa674eJhuaw-nWWtWMEHVSYMQv7HLsInEZTWpE/edit?gid=0" TargetMode="External"/><Relationship Id="rId144" Type="http://schemas.openxmlformats.org/officeDocument/2006/relationships/hyperlink" Target="https://docs.google.com/spreadsheets/d/1jonEGMB3UFHiUZpltF1zURon8gYN7jGSHu-k9t5TXnA/edit?gid=632356132" TargetMode="External"/><Relationship Id="rId386" Type="http://schemas.openxmlformats.org/officeDocument/2006/relationships/hyperlink" Target="https://docs.google.com/spreadsheets/d/1H1MjbG2y0oC0hhID4do1G0_gfyI1jag72lQd7nL3WDQ/edit?gid=1835376342" TargetMode="External"/><Relationship Id="rId381" Type="http://schemas.openxmlformats.org/officeDocument/2006/relationships/hyperlink" Target="https://docs.google.com/spreadsheets/d/1H1MjbG2y0oC0hhID4do1G0_gfyI1jag72lQd7nL3WDQ/edit?gid=1609263203" TargetMode="External"/><Relationship Id="rId380" Type="http://schemas.openxmlformats.org/officeDocument/2006/relationships/hyperlink" Target="https://docs.google.com/spreadsheets/d/1H1MjbG2y0oC0hhID4do1G0_gfyI1jag72lQd7nL3WDQ/edit?gid=1181793870" TargetMode="External"/><Relationship Id="rId139" Type="http://schemas.openxmlformats.org/officeDocument/2006/relationships/hyperlink" Target="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 TargetMode="External"/><Relationship Id="rId138" Type="http://schemas.openxmlformats.org/officeDocument/2006/relationships/hyperlink" Target="https://docs.google.com/spreadsheets/d/19THEBTE9q0fhN2eApZr6BgenIvLGh0AckaYxHQfHk5w/edit?gid=901281284" TargetMode="External"/><Relationship Id="rId137" Type="http://schemas.openxmlformats.org/officeDocument/2006/relationships/hyperlink" Target="https://docs.google.com/spreadsheets/d/1jonEGMB3UFHiUZpltF1zURon8gYN7jGSHu-k9t5TXnA/edit?gid=1357245149" TargetMode="External"/><Relationship Id="rId379" Type="http://schemas.openxmlformats.org/officeDocument/2006/relationships/hyperlink" Target="https://docs.google.com/spreadsheets/d/1H1MjbG2y0oC0hhID4do1G0_gfyI1jag72lQd7nL3WDQ/edit?gid=249071120" TargetMode="External"/><Relationship Id="rId132" Type="http://schemas.openxmlformats.org/officeDocument/2006/relationships/hyperlink" Target="https://docs.google.com/spreadsheets/d/19THEBTE9q0fhN2eApZr6BgenIvLGh0AckaYxHQfHk5w/edit?gid=1127401829" TargetMode="External"/><Relationship Id="rId374" Type="http://schemas.openxmlformats.org/officeDocument/2006/relationships/hyperlink" Target="https://docs.google.com/spreadsheets/d/1H1MjbG2y0oC0hhID4do1G0_gfyI1jag72lQd7nL3WDQ/edit?gid=964974032" TargetMode="External"/><Relationship Id="rId131" Type="http://schemas.openxmlformats.org/officeDocument/2006/relationships/hyperlink" Target="https://docs.google.com/spreadsheets/d/19THEBTE9q0fhN2eApZr6BgenIvLGh0AckaYxHQfHk5w/edit?gid=1429092860" TargetMode="External"/><Relationship Id="rId373" Type="http://schemas.openxmlformats.org/officeDocument/2006/relationships/hyperlink" Target="https://docs.google.com/spreadsheets/d/1H1MjbG2y0oC0hhID4do1G0_gfyI1jag72lQd7nL3WDQ/edit?gid=1248381323" TargetMode="External"/><Relationship Id="rId130" Type="http://schemas.openxmlformats.org/officeDocument/2006/relationships/hyperlink" Target="https://docs.google.com/spreadsheets/d/1EI7qusa674eJhuaw-nWWtWMEHVSYMQv7HLsInEZTWpE/edit?gid=1593340955" TargetMode="External"/><Relationship Id="rId372" Type="http://schemas.openxmlformats.org/officeDocument/2006/relationships/hyperlink" Target="https://docs.google.com/spreadsheets/d/1H1MjbG2y0oC0hhID4do1G0_gfyI1jag72lQd7nL3WDQ/edit?gid=1107137504" TargetMode="External"/><Relationship Id="rId371" Type="http://schemas.openxmlformats.org/officeDocument/2006/relationships/hyperlink" Target="https://docs.google.com/spreadsheets/d/1H1MjbG2y0oC0hhID4do1G0_gfyI1jag72lQd7nL3WDQ/edit?gid=751430157" TargetMode="External"/><Relationship Id="rId136" Type="http://schemas.openxmlformats.org/officeDocument/2006/relationships/hyperlink" Target="https://docs.google.com/spreadsheets/d/1H1MjbG2y0oC0hhID4do1G0_gfyI1jag72lQd7nL3WDQ/edit?gid=1648385259" TargetMode="External"/><Relationship Id="rId378" Type="http://schemas.openxmlformats.org/officeDocument/2006/relationships/hyperlink" Target="https://docs.google.com/spreadsheets/d/1H1MjbG2y0oC0hhID4do1G0_gfyI1jag72lQd7nL3WDQ/edit?gid=1000032786" TargetMode="External"/><Relationship Id="rId135" Type="http://schemas.openxmlformats.org/officeDocument/2006/relationships/hyperlink" Target="https://docs.google.com/spreadsheets/d/19THEBTE9q0fhN2eApZr6BgenIvLGh0AckaYxHQfHk5w/edit?gid=440902567" TargetMode="External"/><Relationship Id="rId377" Type="http://schemas.openxmlformats.org/officeDocument/2006/relationships/hyperlink" Target="https://docs.google.com/spreadsheets/d/1H1MjbG2y0oC0hhID4do1G0_gfyI1jag72lQd7nL3WDQ/edit?gid=1900542966" TargetMode="External"/><Relationship Id="rId134" Type="http://schemas.openxmlformats.org/officeDocument/2006/relationships/hyperlink" Target="https://docs.google.com/spreadsheets/d/19THEBTE9q0fhN2eApZr6BgenIvLGh0AckaYxHQfHk5w/edit?gid=38060356" TargetMode="External"/><Relationship Id="rId376" Type="http://schemas.openxmlformats.org/officeDocument/2006/relationships/hyperlink" Target="https://docs.google.com/spreadsheets/d/1H1MjbG2y0oC0hhID4do1G0_gfyI1jag72lQd7nL3WDQ/edit?gid=1086511131" TargetMode="External"/><Relationship Id="rId133" Type="http://schemas.openxmlformats.org/officeDocument/2006/relationships/hyperlink" Target="https://disk.yandex.ru/client/disk/%D0%9E%D1%81%D0%BC%D0%BE%D1%82%D1%80%D1%8B%20%D0%BE%D0%B1%D1%8A%D0%B5%D0%BA%D1%82%D0%BE%D0%B2%20%D0%90%D0%9D%D0%9E%20%D0%A1%D0%9C%D0%93/016.%20%D0%9F%D1%82%D0%B8%D1%87%D0%BD%D0%BE%D0%B5%20%D0%BF%D0%BE%D0%BB%D0%B8%D0%BA%D0%BB%D0%B8%D0%BD%D0%B8%D0%BA%D0%B0%20750" TargetMode="External"/><Relationship Id="rId375" Type="http://schemas.openxmlformats.org/officeDocument/2006/relationships/hyperlink" Target="https://docs.google.com/spreadsheets/d/1H1MjbG2y0oC0hhID4do1G0_gfyI1jag72lQd7nL3WDQ/edit?gid=1426054658" TargetMode="External"/><Relationship Id="rId172" Type="http://schemas.openxmlformats.org/officeDocument/2006/relationships/hyperlink" Target="https://disk.yandex.ru/client/disk/%D0%9E%D1%81%D0%BC%D0%BE%D1%82%D1%80%D1%8B%20%D0%BE%D0%B1%D1%8A%D0%B5%D0%BA%D1%82%D0%BE%D0%B2%20%D0%90%D0%9D%D0%9E%20%D0%A1%D0%9C%D0%93/288.%206-%D1%8F%20%D0%A0%D0%B0%D0%B4%D0%B8%D0%B0%D0%BB%D1%8C%D0%BD%D0%B0%D1%8F%20%D0%B2%D0%BB%D0%B4.7%20%D1%83%D1%87%D0%B0%D1%81%D1%82%D0%BE%D0%BA%2018%20%D0%A8%D0%BA%D0%BE%D0%BB%D0%B0%20%D0%BD%D0%B0%20825%20%D0%BC%D0%B5%D1%81%D1%82" TargetMode="External"/><Relationship Id="rId171" Type="http://schemas.openxmlformats.org/officeDocument/2006/relationships/hyperlink" Target="https://docs.google.com/spreadsheets/d/19THEBTE9q0fhN2eApZr6BgenIvLGh0AckaYxHQfHk5w/edit?gid=1865118876" TargetMode="External"/><Relationship Id="rId170" Type="http://schemas.openxmlformats.org/officeDocument/2006/relationships/hyperlink" Target="https://docs.google.com/spreadsheets/d/19THEBTE9q0fhN2eApZr6BgenIvLGh0AckaYxHQfHk5w/edit?gid=1314726953" TargetMode="External"/><Relationship Id="rId165" Type="http://schemas.openxmlformats.org/officeDocument/2006/relationships/hyperlink" Target="https://disk.yandex.ru/client/disk/%D0%9E%D1%81%D0%BC%D0%BE%D1%82%D1%80%D1%8B%20%D0%BE%D0%B1%D1%8A%D0%B5%D0%BA%D1%82%D0%BE%D0%B2%20%D0%90%D0%9D%D0%9E%20%D0%A1%D0%9C%D0%93/184.%20%D0%A3%D1%87%D0%B5%D0%B1%D0%BD%D1%8B%D0%B9%20%D0%BA%D0%BE%D1%80%D0%BF%D1%83%D1%81%20%D0%BD%D0%B0%20400%20%D0%BC%D0%B5%D1%81%D1%82%202-%D1%8F%20%D0%93%D1%80%D0%B0%D0%B6%D0%B4%D0%B0%D0%BD%D1%81%D0%BA%D0%B0%D1%8F%2C%20%D0%B4.%208" TargetMode="External"/><Relationship Id="rId164" Type="http://schemas.openxmlformats.org/officeDocument/2006/relationships/hyperlink" Target="https://docs.google.com/spreadsheets/d/19THEBTE9q0fhN2eApZr6BgenIvLGh0AckaYxHQfHk5w/edit?gid=808158041" TargetMode="External"/><Relationship Id="rId163" Type="http://schemas.openxmlformats.org/officeDocument/2006/relationships/hyperlink" Target="https://disk.yandex.ru/client/disk/%D0%9E%D1%81%D0%BC%D0%BE%D1%82%D1%80%D1%8B%20%D0%BE%D0%B1%D1%8A%D0%B5%D0%BA%D1%82%D0%BE%D0%B2%20%D0%90%D0%9D%D0%9E%20%D0%A1%D0%9C%D0%93/290.%20%D0%97%D0%BE%D0%BB%D0%BE%D1%82%D0%BE%D1%80%D0%BE%D0%B6%D1%81%D0%BA%D0%B8%D0%B9%20%D0%B2%D0%B0%D0%BB%20%D0%B2%D0%BB%D0%B4%2011%20%D0%A8%D0%BA%D0%BE%D0%BB%D0%B0%20%D0%BD%D0%B0%201150%20%D0%BC%D0%B5%D1%81%D1%82%20" TargetMode="External"/><Relationship Id="rId162" Type="http://schemas.openxmlformats.org/officeDocument/2006/relationships/hyperlink" Target="https://docs.google.com/spreadsheets/d/19THEBTE9q0fhN2eApZr6BgenIvLGh0AckaYxHQfHk5w/edit?gid=1261418769" TargetMode="External"/><Relationship Id="rId169" Type="http://schemas.openxmlformats.org/officeDocument/2006/relationships/hyperlink" Target="https://docs.google.com/spreadsheets/d/19THEBTE9q0fhN2eApZr6BgenIvLGh0AckaYxHQfHk5w/edit?gid=921189634" TargetMode="External"/><Relationship Id="rId168" Type="http://schemas.openxmlformats.org/officeDocument/2006/relationships/hyperlink" Target="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 TargetMode="External"/><Relationship Id="rId167" Type="http://schemas.openxmlformats.org/officeDocument/2006/relationships/hyperlink" Target="https://docs.google.com/spreadsheets/d/19THEBTE9q0fhN2eApZr6BgenIvLGh0AckaYxHQfHk5w/edit?gid=1430585638" TargetMode="External"/><Relationship Id="rId166" Type="http://schemas.openxmlformats.org/officeDocument/2006/relationships/hyperlink" Target="https://docs.google.com/spreadsheets/d/19THEBTE9q0fhN2eApZr6BgenIvLGh0AckaYxHQfHk5w/edit?gid=1559792467" TargetMode="External"/><Relationship Id="rId161" Type="http://schemas.openxmlformats.org/officeDocument/2006/relationships/hyperlink" Target="https://docs.google.com/spreadsheets/d/19THEBTE9q0fhN2eApZr6BgenIvLGh0AckaYxHQfHk5w/edit?gid=444385228" TargetMode="External"/><Relationship Id="rId160" Type="http://schemas.openxmlformats.org/officeDocument/2006/relationships/hyperlink" Target="https://docs.google.com/spreadsheets/d/19THEBTE9q0fhN2eApZr6BgenIvLGh0AckaYxHQfHk5w/edit?gid=1666294966" TargetMode="External"/><Relationship Id="rId159" Type="http://schemas.openxmlformats.org/officeDocument/2006/relationships/hyperlink" Target="https://docs.google.com/spreadsheets/d/19THEBTE9q0fhN2eApZr6BgenIvLGh0AckaYxHQfHk5w/edit?gid=876314098" TargetMode="External"/><Relationship Id="rId154" Type="http://schemas.openxmlformats.org/officeDocument/2006/relationships/hyperlink" Target="https://docs.google.com/spreadsheets/d/19THEBTE9q0fhN2eApZr6BgenIvLGh0AckaYxHQfHk5w/edit?gid=1652446948" TargetMode="External"/><Relationship Id="rId396" Type="http://schemas.openxmlformats.org/officeDocument/2006/relationships/hyperlink" Target="https://docs.google.com/spreadsheets/d/1H1MjbG2y0oC0hhID4do1G0_gfyI1jag72lQd7nL3WDQ/edit?gid=760560062" TargetMode="External"/><Relationship Id="rId153" Type="http://schemas.openxmlformats.org/officeDocument/2006/relationships/hyperlink" Target="https://docs.google.com/spreadsheets/d/19THEBTE9q0fhN2eApZr6BgenIvLGh0AckaYxHQfHk5w/edit?gid=1697091636" TargetMode="External"/><Relationship Id="rId395" Type="http://schemas.openxmlformats.org/officeDocument/2006/relationships/hyperlink" Target="https://docs.google.com/spreadsheets/d/1H1MjbG2y0oC0hhID4do1G0_gfyI1jag72lQd7nL3WDQ/edit?gid=833062955" TargetMode="External"/><Relationship Id="rId152" Type="http://schemas.openxmlformats.org/officeDocument/2006/relationships/hyperlink" Target="https://docs.google.com/spreadsheets/d/19THEBTE9q0fhN2eApZr6BgenIvLGh0AckaYxHQfHk5w/edit?gid=1849856896" TargetMode="External"/><Relationship Id="rId394" Type="http://schemas.openxmlformats.org/officeDocument/2006/relationships/hyperlink" Target="https://docs.google.com/spreadsheets/d/1H1MjbG2y0oC0hhID4do1G0_gfyI1jag72lQd7nL3WDQ/edit?gid=1587877211" TargetMode="External"/><Relationship Id="rId151" Type="http://schemas.openxmlformats.org/officeDocument/2006/relationships/hyperlink" Target="https://docs.google.com/spreadsheets/d/19THEBTE9q0fhN2eApZr6BgenIvLGh0AckaYxHQfHk5w/edit?gid=288749714" TargetMode="External"/><Relationship Id="rId393" Type="http://schemas.openxmlformats.org/officeDocument/2006/relationships/hyperlink" Target="https://docs.google.com/spreadsheets/d/1H1MjbG2y0oC0hhID4do1G0_gfyI1jag72lQd7nL3WDQ/edit?gid=1268803659" TargetMode="External"/><Relationship Id="rId158" Type="http://schemas.openxmlformats.org/officeDocument/2006/relationships/hyperlink" Target="https://docs.google.com/spreadsheets/d/19THEBTE9q0fhN2eApZr6BgenIvLGh0AckaYxHQfHk5w/edit?gid=1529981182" TargetMode="External"/><Relationship Id="rId157" Type="http://schemas.openxmlformats.org/officeDocument/2006/relationships/hyperlink" Target="https://docs.google.com/spreadsheets/d/19THEBTE9q0fhN2eApZr6BgenIvLGh0AckaYxHQfHk5w/edit?gid=1377920249" TargetMode="External"/><Relationship Id="rId399" Type="http://schemas.openxmlformats.org/officeDocument/2006/relationships/hyperlink" Target="https://docs.google.com/spreadsheets/d/1H1MjbG2y0oC0hhID4do1G0_gfyI1jag72lQd7nL3WDQ/edit?gid=1180712542" TargetMode="External"/><Relationship Id="rId156" Type="http://schemas.openxmlformats.org/officeDocument/2006/relationships/hyperlink" Target="https://docs.google.com/spreadsheets/d/19THEBTE9q0fhN2eApZr6BgenIvLGh0AckaYxHQfHk5w/edit?gid=955409547" TargetMode="External"/><Relationship Id="rId398" Type="http://schemas.openxmlformats.org/officeDocument/2006/relationships/hyperlink" Target="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 TargetMode="External"/><Relationship Id="rId155" Type="http://schemas.openxmlformats.org/officeDocument/2006/relationships/hyperlink" Target="https://docs.google.com/spreadsheets/d/19THEBTE9q0fhN2eApZr6BgenIvLGh0AckaYxHQfHk5w/edit?gid=981800361" TargetMode="External"/><Relationship Id="rId397" Type="http://schemas.openxmlformats.org/officeDocument/2006/relationships/hyperlink" Target="https://docs.google.com/spreadsheets/d/1H1MjbG2y0oC0hhID4do1G0_gfyI1jag72lQd7nL3WDQ/edit?gid=471133046" TargetMode="External"/><Relationship Id="rId808" Type="http://schemas.openxmlformats.org/officeDocument/2006/relationships/hyperlink" Target="https://docs.google.com/spreadsheets/d/19THEBTE9q0fhN2eApZr6BgenIvLGh0AckaYxHQfHk5w/edit?gid=1825170573" TargetMode="External"/><Relationship Id="rId807" Type="http://schemas.openxmlformats.org/officeDocument/2006/relationships/hyperlink" Target="https://docs.google.com/spreadsheets/d/1EI7qusa674eJhuaw-nWWtWMEHVSYMQv7HLsInEZTWpE/edit?gid=1285680643" TargetMode="External"/><Relationship Id="rId806" Type="http://schemas.openxmlformats.org/officeDocument/2006/relationships/hyperlink" Target="https://docs.google.com/spreadsheets/d/19THEBTE9q0fhN2eApZr6BgenIvLGh0AckaYxHQfHk5w/edit?gid=1246380027" TargetMode="External"/><Relationship Id="rId805" Type="http://schemas.openxmlformats.org/officeDocument/2006/relationships/hyperlink" Target="https://docs.google.com/spreadsheets/d/1EI7qusa674eJhuaw-nWWtWMEHVSYMQv7HLsInEZTWpE/edit?gid=831042065" TargetMode="External"/><Relationship Id="rId809" Type="http://schemas.openxmlformats.org/officeDocument/2006/relationships/hyperlink" Target="https://docs.google.com/spreadsheets/d/1EI7qusa674eJhuaw-nWWtWMEHVSYMQv7HLsInEZTWpE/edit?gid=446883211" TargetMode="External"/><Relationship Id="rId800"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29.%20%D0%9A%D1%80%D1%83%D0%B3%D0%BE%D0%B2%D0%BE%D0%B5%20%D0%B4%D0%B5%D0%BF%D0%BE" TargetMode="External"/><Relationship Id="rId804" Type="http://schemas.openxmlformats.org/officeDocument/2006/relationships/hyperlink" Target="https://docs.google.com/spreadsheets/d/1EI7qusa674eJhuaw-nWWtWMEHVSYMQv7HLsInEZTWpE/edit?gid=1612889621" TargetMode="External"/><Relationship Id="rId803" Type="http://schemas.openxmlformats.org/officeDocument/2006/relationships/hyperlink" Target="https://disk.yandex.ru/client/disk/%D0%9E%D1%81%D0%BC%D0%BE%D1%82%D1%80%D1%8B%20%D0%BE%D0%B1%D1%8A%D0%B5%D0%BA%D1%82%D0%BE%D0%B2%20%D0%90%D0%9D%D0%9E%20%D0%A1%D0%9C%D0%93/1230%20%22%D0%9C%D0%BD%D0%BE%D0%B3%D0%BE%D1%84%D1%83%D0%BD%D0%BA%D1%86%D0%B8%D0%BE%D0%BD%D0%B0%D0%BB%D1%8C%D0%BD%D1%8B%D0%B9%20%D0%BA%D0%BE%D0%BC%D0%BF%D0%BB%D0%B5%D0%BA%D1%81%20%E2%80%9C%D0%92%D0%B5%D0%BD%D0%B5%D1%86%D0%B8%D1%8F%E2%80%9D%0A%D0%93%D0%9A%20%D0%9A%D0%B8%D0%B5%D0%B2%D1%81%D0%BA%D0%B0%D1%8F%20%D0%BF%D0%BB%D0%BE%D1%89%D0%B0%D0%B4%D1%8C%22.%20%D0%9C%D0%B0%D0%BD%D1%82%D1%83%D0%BB%D0%B8%D0%BD%D1%81%D0%BA%D0%B0%D1%8F%20%D1%83%D0%BB.%20%D0%B2%D0%BB.%205%20%D0%A6%D0%90%D0%9E%2C%20%D0%9F%D1%80%D0%B5%D1%81%D0%BD%D0%B5%D0%BD%D1%81%D0%BA%D0%B8%D0%B9%20%D1%80%D0%B0%D0%B9%D0%BE%D0%BD" TargetMode="External"/><Relationship Id="rId802" Type="http://schemas.openxmlformats.org/officeDocument/2006/relationships/hyperlink" Target="https://docs.google.com/spreadsheets/d/1EI7qusa674eJhuaw-nWWtWMEHVSYMQv7HLsInEZTWpE/edit?gid=38649977" TargetMode="External"/><Relationship Id="rId801" Type="http://schemas.openxmlformats.org/officeDocument/2006/relationships/hyperlink" Target="https://docs.google.com/spreadsheets/d/1EI7qusa674eJhuaw-nWWtWMEHVSYMQv7HLsInEZTWpE/edit?gid=1002976972" TargetMode="External"/><Relationship Id="rId40" Type="http://schemas.openxmlformats.org/officeDocument/2006/relationships/hyperlink" Target="https://docs.google.com/spreadsheets/d/19THEBTE9q0fhN2eApZr6BgenIvLGh0AckaYxHQfHk5w/edit?gid=700032418" TargetMode="External"/><Relationship Id="rId42" Type="http://schemas.openxmlformats.org/officeDocument/2006/relationships/hyperlink" Target="https://docs.google.com/spreadsheets/d/19THEBTE9q0fhN2eApZr6BgenIvLGh0AckaYxHQfHk5w/edit?gid=987830810" TargetMode="External"/><Relationship Id="rId41" Type="http://schemas.openxmlformats.org/officeDocument/2006/relationships/hyperlink" Target="https://docs.google.com/spreadsheets/d/19THEBTE9q0fhN2eApZr6BgenIvLGh0AckaYxHQfHk5w/edit?gid=1830744104" TargetMode="External"/><Relationship Id="rId44" Type="http://schemas.openxmlformats.org/officeDocument/2006/relationships/hyperlink" Target="https://docs.google.com/spreadsheets/d/19THEBTE9q0fhN2eApZr6BgenIvLGh0AckaYxHQfHk5w/edit?gid=2074952134" TargetMode="External"/><Relationship Id="rId43" Type="http://schemas.openxmlformats.org/officeDocument/2006/relationships/hyperlink" Target="https://docs.google.com/spreadsheets/d/19THEBTE9q0fhN2eApZr6BgenIvLGh0AckaYxHQfHk5w/edit?gid=1592533153" TargetMode="External"/><Relationship Id="rId46" Type="http://schemas.openxmlformats.org/officeDocument/2006/relationships/hyperlink" Target="https://docs.google.com/spreadsheets/d/1MW8OIVEKRJEaLcG-KS0zwZPEQ0eRUWE2y9Gj77rgoxo/edit?gid=1838546198" TargetMode="External"/><Relationship Id="rId45" Type="http://schemas.openxmlformats.org/officeDocument/2006/relationships/hyperlink" Target="https://docs.google.com/spreadsheets/d/19THEBTE9q0fhN2eApZr6BgenIvLGh0AckaYxHQfHk5w/edit?gid=1089584377" TargetMode="External"/><Relationship Id="rId509" Type="http://schemas.openxmlformats.org/officeDocument/2006/relationships/hyperlink" Target="https://disk.yandex.ru/client/disk/%D0%9E%D1%81%D0%BC%D0%BE%D1%82%D1%80%D1%8B%20%D0%BE%D0%B1%D1%8A%D0%B5%D0%BA%D1%82%D0%BE%D0%B2%20%D0%90%D0%9D%D0%9E%20%D0%A1%D0%9C%D0%93/874%20%D1%83%D0%BB%205-%D1%8F%20%D0%BF%D0%B0%D1%80%D0%BA%D0%BE%D0%B2%D0%B0%D1%8F%2039.3%20" TargetMode="External"/><Relationship Id="rId508" Type="http://schemas.openxmlformats.org/officeDocument/2006/relationships/hyperlink" Target="https://docs.google.com/spreadsheets/d/1rbCD10ySi4YZEkJW2_Slmn9z7AI1WEsGsZaIJmnnT18/edit?gid=1439077148" TargetMode="External"/><Relationship Id="rId503" Type="http://schemas.openxmlformats.org/officeDocument/2006/relationships/hyperlink" Target="https://docs.google.com/spreadsheets/d/1rbCD10ySi4YZEkJW2_Slmn9z7AI1WEsGsZaIJmnnT18/edit?gid=641183458" TargetMode="External"/><Relationship Id="rId745" Type="http://schemas.openxmlformats.org/officeDocument/2006/relationships/hyperlink" Target="https://docs.google.com/spreadsheets/d/1lEcUd4exxkr5Za3IYZ0vdFNfMubnuMOOMXfmF3GYC9I/edit?gid=1130285298" TargetMode="External"/><Relationship Id="rId987" Type="http://schemas.openxmlformats.org/officeDocument/2006/relationships/hyperlink" Target="https://disk.yandex.ru/client/disk/%D0%9E%D1%81%D0%BC%D0%BE%D1%82%D1%80%D1%8B%20%D0%BE%D0%B1%D1%8A%D0%B5%D0%BA%D1%82%D0%BE%D0%B2%20%D0%90%D0%9D%D0%9E%20%D0%A1%D0%9C%D0%93/1276.%20%D0%9A%D0%BE%D0%BB%D0%BB%D0%B5%D0%B4%D0%B6%20%D0%9F%D0%BE%D1%85%D0%BE%D0%B4%D0%BD%D1%8B%D0%B9%20%D0%BF%D1%80%D0%BE%D0%B5%D0%B7%D0%B4%20%D0%B2%D0%BB6" TargetMode="External"/><Relationship Id="rId502" Type="http://schemas.openxmlformats.org/officeDocument/2006/relationships/hyperlink" Target="https://docs.google.com/spreadsheets/d/1rbCD10ySi4YZEkJW2_Slmn9z7AI1WEsGsZaIJmnnT18/edit?gid=282401999" TargetMode="External"/><Relationship Id="rId744" Type="http://schemas.openxmlformats.org/officeDocument/2006/relationships/hyperlink" Target="https://disk.yandex.ru/client/disk/%D0%9E%D1%81%D0%BC%D0%BE%D1%82%D1%80%D1%8B%20%D0%BE%D0%B1%D1%8A%D0%B5%D0%BA%D1%82%D0%BE%D0%B2%20%D0%90%D0%9D%D0%9E%20%D0%A1%D0%9C%D0%93/766.%20%D0%9D%D0%BE%D0%B2%D0%BE%D1%89%D1%83%D0%BA%D0%B8%D0%BD%D1%81%D0%BA%D0%B0%D1%8F%20%D0%B7%D1%83%206" TargetMode="External"/><Relationship Id="rId986" Type="http://schemas.openxmlformats.org/officeDocument/2006/relationships/hyperlink" Target="https://docs.google.com/spreadsheets/d/1EI7qusa674eJhuaw-nWWtWMEHVSYMQv7HLsInEZTWpE/edit?gid=411393776" TargetMode="External"/><Relationship Id="rId501" Type="http://schemas.openxmlformats.org/officeDocument/2006/relationships/hyperlink" Target="https://disk.yandex.ru/client/disk/%D0%9E%D1%81%D0%BC%D0%BE%D1%82%D1%80%D1%8B%20%D0%BE%D0%B1%D1%8A%D0%B5%D0%BA%D1%82%D0%BE%D0%B2%20%D0%90%D0%9D%D0%9E%20%D0%A1%D0%9C%D0%93/859%20%D0%A1%D0%B8%D1%80%D0%B5%D0%BD%D0%B5%D0%B2%D1%8B%D0%B9%20%D0%B1%D1%83%D0%BB%D1%8C%D0%B2%D0%B0%D1%80%2029%20%D0%BA1%20" TargetMode="External"/><Relationship Id="rId743" Type="http://schemas.openxmlformats.org/officeDocument/2006/relationships/hyperlink" Target="https://docs.google.com/spreadsheets/d/1lEcUd4exxkr5Za3IYZ0vdFNfMubnuMOOMXfmF3GYC9I/edit?gid=50364907" TargetMode="External"/><Relationship Id="rId985" Type="http://schemas.openxmlformats.org/officeDocument/2006/relationships/hyperlink" Target="https://disk.yandex.ru/client/disk/%D0%9E%D1%81%D0%BC%D0%BE%D1%82%D1%80%D1%8B%20%D0%BE%D0%B1%D1%8A%D0%B5%D0%BA%D1%82%D0%BE%D0%B2%20%D0%90%D0%9D%D0%9E%20%D0%A1%D0%9C%D0%93/1275.%20%D0%A8%D0%B0%D1%80%D0%B8%D0%BA%D0%BE%D0%BF%D0%BE%D0%B4%D1%88%D0%B8%D0%BF%D0%BD%D0%B8%D0%BA%D0%BE%D0%B2%D1%81%D0%BA%D0%B0%D1%8F%20%D0%B2%D0%BB.%2013%2C%20%D1%81%D1%82%D1%802" TargetMode="External"/><Relationship Id="rId500" Type="http://schemas.openxmlformats.org/officeDocument/2006/relationships/hyperlink" Target="https://docs.google.com/spreadsheets/d/1rbCD10ySi4YZEkJW2_Slmn9z7AI1WEsGsZaIJmnnT18/edit?gid=575728674" TargetMode="External"/><Relationship Id="rId742" Type="http://schemas.openxmlformats.org/officeDocument/2006/relationships/hyperlink" Target="https://docs.google.com/spreadsheets/d/1lEcUd4exxkr5Za3IYZ0vdFNfMubnuMOOMXfmF3GYC9I/edit?gid=125387875" TargetMode="External"/><Relationship Id="rId984" Type="http://schemas.openxmlformats.org/officeDocument/2006/relationships/hyperlink" Target="https://docs.google.com/spreadsheets/d/1EI7qusa674eJhuaw-nWWtWMEHVSYMQv7HLsInEZTWpE/edit?gid=948129229" TargetMode="External"/><Relationship Id="rId507" Type="http://schemas.openxmlformats.org/officeDocument/2006/relationships/hyperlink" Target="https://disk.yandex.ru/client/disk/%D0%9E%D1%81%D0%BC%D0%BE%D1%82%D1%80%D1%8B%20%D0%BE%D0%B1%D1%8A%D0%B5%D0%BA%D1%82%D0%BE%D0%B2%20%D0%90%D0%9D%D0%9E%20%D0%A1%D0%9C%D0%93/871%20%D0%A3%D0%BB.%20%D0%9A%D1%83%D1%81%D0%BA%D0%BE%D0%B2%D1%81%D0%BA%D0%B0%D1%8F%20%D0%B2%D0%BB%2035%20" TargetMode="External"/><Relationship Id="rId749" Type="http://schemas.openxmlformats.org/officeDocument/2006/relationships/hyperlink" Target="https://docs.google.com/spreadsheets/d/1lEcUd4exxkr5Za3IYZ0vdFNfMubnuMOOMXfmF3GYC9I/edit?gid=2095889728" TargetMode="External"/><Relationship Id="rId506" Type="http://schemas.openxmlformats.org/officeDocument/2006/relationships/hyperlink" Target="https://docs.google.com/spreadsheets/d/1rbCD10ySi4YZEkJW2_Slmn9z7AI1WEsGsZaIJmnnT18/edit?gid=2017311436" TargetMode="External"/><Relationship Id="rId748" Type="http://schemas.openxmlformats.org/officeDocument/2006/relationships/hyperlink" Target="https://docs.google.com/spreadsheets/d/1lEcUd4exxkr5Za3IYZ0vdFNfMubnuMOOMXfmF3GYC9I/edit?gid=88636317" TargetMode="External"/><Relationship Id="rId505" Type="http://schemas.openxmlformats.org/officeDocument/2006/relationships/hyperlink" Target="https://disk.yandex.ru/client/disk/%D0%9E%D1%81%D0%BC%D0%BE%D1%82%D1%80%D1%8B%20%D0%BE%D0%B1%D1%8A%D0%B5%D0%BA%D1%82%D0%BE%D0%B2%20%D0%90%D0%9D%D0%9E%20%D0%A1%D0%9C%D0%93/958.%20%D1%80%D0%B0%D0%B9%D0%BE%D0%BD%20%D0%92%D0%BE%D1%81%D1%82%D0%BE%D1%87%D0%BD%D1%8B%D0%B9%2C%209-%D0%B3%D0%BE%20%D0%BC%D0%B0%D1%8F%2C%20%D0%B2%D0%BB%2018-24" TargetMode="External"/><Relationship Id="rId747" Type="http://schemas.openxmlformats.org/officeDocument/2006/relationships/hyperlink" Target="https://docs.google.com/spreadsheets/d/1lEcUd4exxkr5Za3IYZ0vdFNfMubnuMOOMXfmF3GYC9I/edit?gid=1431643406" TargetMode="External"/><Relationship Id="rId989" Type="http://schemas.openxmlformats.org/officeDocument/2006/relationships/hyperlink" Target="https://disk.yandex.ru/client/disk/%D0%9E%D1%81%D0%BC%D0%BE%D1%82%D1%80%D1%8B%20%D0%BE%D0%B1%D1%8A%D0%B5%D0%BA%D1%82%D0%BE%D0%B2%20%D0%90%D0%9D%D0%9E%20%D0%A1%D0%9C%D0%93/1277%20%D1%80-%D0%BD%20%D0%A2%D1%80%D0%BE%D0%B8%D1%86%D0%BA%2C%20%D1%82%D0%B5%D1%80.%20%D0%A1%D0%9D%D0%A2%20%22%D0%92%D0%B5%D1%82%D0%B5%D1%80%D0%B0%D0%BD-1%22%20%D0%BA%D0%BE%D1%80%D0%BF.%201" TargetMode="External"/><Relationship Id="rId504" Type="http://schemas.openxmlformats.org/officeDocument/2006/relationships/hyperlink" Target="https://docs.google.com/spreadsheets/d/1rbCD10ySi4YZEkJW2_Slmn9z7AI1WEsGsZaIJmnnT18/edit?gid=598456710" TargetMode="External"/><Relationship Id="rId746" Type="http://schemas.openxmlformats.org/officeDocument/2006/relationships/hyperlink" Target="https://docs.google.com/spreadsheets/d/1lEcUd4exxkr5Za3IYZ0vdFNfMubnuMOOMXfmF3GYC9I/edit?gid=1910743713" TargetMode="External"/><Relationship Id="rId988" Type="http://schemas.openxmlformats.org/officeDocument/2006/relationships/hyperlink" Target="https://docs.google.com/spreadsheets/d/1rbCD10ySi4YZEkJW2_Slmn9z7AI1WEsGsZaIJmnnT18/edit?gid=1030101240" TargetMode="External"/><Relationship Id="rId48" Type="http://schemas.openxmlformats.org/officeDocument/2006/relationships/hyperlink" Target="https://docs.google.com/spreadsheets/d/19THEBTE9q0fhN2eApZr6BgenIvLGh0AckaYxHQfHk5w/edit?gid=673886496" TargetMode="External"/><Relationship Id="rId47" Type="http://schemas.openxmlformats.org/officeDocument/2006/relationships/hyperlink" Target="https://docs.google.com/spreadsheets/d/1MW8OIVEKRJEaLcG-KS0zwZPEQ0eRUWE2y9Gj77rgoxo/edit?gid=406504917" TargetMode="External"/><Relationship Id="rId49" Type="http://schemas.openxmlformats.org/officeDocument/2006/relationships/hyperlink" Target="https://disk.yandex.ru/client/disk/%D0%9E%D1%81%D0%BC%D0%BE%D1%82%D1%80%D1%8B%20%D0%BE%D0%B1%D1%8A%D0%B5%D0%BA%D1%82%D0%BE%D0%B2%20%D0%90%D0%9D%D0%9E%20%D0%A1%D0%9C%D0%93/202.%20%D0%91.%20%D0%A2%D0%B8%D1%88%D0%B8%D0%BD%D1%81%D0%BA%D0%B8%D0%B9%20%D0%BF%D0%B5%D1%80.%20%D0%B4.39%20" TargetMode="External"/><Relationship Id="rId741" Type="http://schemas.openxmlformats.org/officeDocument/2006/relationships/hyperlink" Target="https://docs.google.com/spreadsheets/d/1lEcUd4exxkr5Za3IYZ0vdFNfMubnuMOOMXfmF3GYC9I/edit?gid=1345934331" TargetMode="External"/><Relationship Id="rId983"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740" Type="http://schemas.openxmlformats.org/officeDocument/2006/relationships/hyperlink" Target="https://disk.yandex.ru/client/disk/%D0%9E%D1%81%D0%BC%D0%BE%D1%82%D1%80%D1%8B%20%D0%BE%D0%B1%D1%8A%D0%B5%D0%BA%D1%82%D0%BE%D0%B2%20%D0%90%D0%9D%D0%9E%20%D0%A1%D0%9C%D0%93/922.%20%D0%9A%D0%B0%D0%B2%D0%BA%D0%B0%D0%B7%D1%81%D0%BA%D0%B8%D0%B9%20%D0%B1%D1%83%D0%BB-%D1%80%2C%20%D0%B7-%D1%83%2018.%20%D0%96%D0%B8%D0%BB%D0%BE%D0%B9%20%D0%B4%D0%BE%D0%BC" TargetMode="External"/><Relationship Id="rId982" Type="http://schemas.openxmlformats.org/officeDocument/2006/relationships/hyperlink" Target="https://docs.google.com/spreadsheets/d/1EI7qusa674eJhuaw-nWWtWMEHVSYMQv7HLsInEZTWpE/edit?gid=322677971" TargetMode="External"/><Relationship Id="rId981"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980" Type="http://schemas.openxmlformats.org/officeDocument/2006/relationships/hyperlink" Target="https://docs.google.com/spreadsheets/d/1EI7qusa674eJhuaw-nWWtWMEHVSYMQv7HLsInEZTWpE/edit?gid=944669618" TargetMode="External"/><Relationship Id="rId31" Type="http://schemas.openxmlformats.org/officeDocument/2006/relationships/hyperlink" Target="https://docs.google.com/spreadsheets/d/19THEBTE9q0fhN2eApZr6BgenIvLGh0AckaYxHQfHk5w/edit?gid=1857713469" TargetMode="External"/><Relationship Id="rId30" Type="http://schemas.openxmlformats.org/officeDocument/2006/relationships/hyperlink" Target="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 TargetMode="External"/><Relationship Id="rId33" Type="http://schemas.openxmlformats.org/officeDocument/2006/relationships/hyperlink" Target="https://docs.google.com/spreadsheets/d/19THEBTE9q0fhN2eApZr6BgenIvLGh0AckaYxHQfHk5w/edit?gid=570396026" TargetMode="External"/><Relationship Id="rId32" Type="http://schemas.openxmlformats.org/officeDocument/2006/relationships/hyperlink" Target="https://docs.google.com/spreadsheets/d/19THEBTE9q0fhN2eApZr6BgenIvLGh0AckaYxHQfHk5w/edit?gid=234638124" TargetMode="External"/><Relationship Id="rId35" Type="http://schemas.openxmlformats.org/officeDocument/2006/relationships/hyperlink" Target="https://docs.google.com/spreadsheets/d/19THEBTE9q0fhN2eApZr6BgenIvLGh0AckaYxHQfHk5w/edit?gid=1447691158" TargetMode="External"/><Relationship Id="rId34" Type="http://schemas.openxmlformats.org/officeDocument/2006/relationships/hyperlink" Target="https://docs.google.com/spreadsheets/d/19THEBTE9q0fhN2eApZr6BgenIvLGh0AckaYxHQfHk5w/edit?gid=418899370" TargetMode="External"/><Relationship Id="rId739" Type="http://schemas.openxmlformats.org/officeDocument/2006/relationships/hyperlink" Target="https://docs.google.com/spreadsheets/d/1lEcUd4exxkr5Za3IYZ0vdFNfMubnuMOOMXfmF3GYC9I/edit?gid=558334865" TargetMode="External"/><Relationship Id="rId734" Type="http://schemas.openxmlformats.org/officeDocument/2006/relationships/hyperlink" Target="https://docs.google.com/spreadsheets/d/1lEcUd4exxkr5Za3IYZ0vdFNfMubnuMOOMXfmF3GYC9I/edit?gid=688262507" TargetMode="External"/><Relationship Id="rId976" Type="http://schemas.openxmlformats.org/officeDocument/2006/relationships/hyperlink" Target="https://docs.google.com/spreadsheets/d/1EI7qusa674eJhuaw-nWWtWMEHVSYMQv7HLsInEZTWpE/edit?gid=1470173465" TargetMode="External"/><Relationship Id="rId733" Type="http://schemas.openxmlformats.org/officeDocument/2006/relationships/hyperlink" Target="https://docs.google.com/spreadsheets/d/1lEcUd4exxkr5Za3IYZ0vdFNfMubnuMOOMXfmF3GYC9I/edit?gid=898826045" TargetMode="External"/><Relationship Id="rId975" Type="http://schemas.openxmlformats.org/officeDocument/2006/relationships/hyperlink" Target="https://disk.yandex.ru/client/disk/%D0%9E%D1%81%D0%BC%D0%BE%D1%82%D1%80%D1%8B%20%D0%BE%D0%B1%D1%8A%D0%B5%D0%BA%D1%82%D0%BE%D0%B2%20%D0%90%D0%9D%D0%9E%20%D0%A1%D0%9C%D0%93/1266.%20%D0%A6%D0%B5%D0%BD%D1%82%D1%80%20%D0%BE%D0%B1%D1%80%D0%B0%D0%B1%D0%BE%D1%82%D0%BA%D0%B8%20%D0%B4%D0%B0%D0%BD%D0%BD%D1%8B%D1%85%20%D0%A1%D0%B1%D0%B5%D1%80%D0%B1%D0%B0%D0%BD%D0%BA%D0%B0%2C%20%D1%84%D0%B0%D0%B7%D0%B0%204" TargetMode="External"/><Relationship Id="rId732" Type="http://schemas.openxmlformats.org/officeDocument/2006/relationships/hyperlink" Target="https://docs.google.com/spreadsheets/d/1lEcUd4exxkr5Za3IYZ0vdFNfMubnuMOOMXfmF3GYC9I/edit?gid=1088429623" TargetMode="External"/><Relationship Id="rId974" Type="http://schemas.openxmlformats.org/officeDocument/2006/relationships/hyperlink" Target="https://docs.google.com/spreadsheets/d/1EI7qusa674eJhuaw-nWWtWMEHVSYMQv7HLsInEZTWpE/edit?gid=51775177" TargetMode="External"/><Relationship Id="rId731" Type="http://schemas.openxmlformats.org/officeDocument/2006/relationships/hyperlink" Target="https://docs.google.com/spreadsheets/d/1lEcUd4exxkr5Za3IYZ0vdFNfMubnuMOOMXfmF3GYC9I/edit?gid=1982116441" TargetMode="External"/><Relationship Id="rId973" Type="http://schemas.openxmlformats.org/officeDocument/2006/relationships/hyperlink" Target="https://disk.yandex.ru/client/disk/%D0%9E%D1%81%D0%BC%D0%BE%D1%82%D1%80%D1%8B%20%D0%BE%D0%B1%D1%8A%D0%B5%D0%BA%D1%82%D0%BE%D0%B2%20%D0%90%D0%9D%D0%9E%20%D0%A1%D0%9C%D0%93/1265%20%D0%97%D0%B0%D1%80%D0%B5%D1%87%D0%BD%D0%B0%D1%8F%20%D1%83%D0%BB.%20%D0%B2%D0%BB.%206%2C%20%D0%B7.%D1%83.%201.%20%D0%9C%D0%BD%D0%BE%D0%B3%D0%BE%D1%84%D1%83%D0%BD%D0%BA%D1%86%D0%B8%D0%BE%D0%BD%D0%B0%D0%BB%D1%8C%D0%BD%D0%BE%D0%B5%20%D0%B7%D0%B4%D0%B0%D0%BD%D0%B8%D0%B5." TargetMode="External"/><Relationship Id="rId738" Type="http://schemas.openxmlformats.org/officeDocument/2006/relationships/hyperlink" Target="https://docs.google.com/spreadsheets/d/1lEcUd4exxkr5Za3IYZ0vdFNfMubnuMOOMXfmF3GYC9I/edit?gid=601138165" TargetMode="External"/><Relationship Id="rId737" Type="http://schemas.openxmlformats.org/officeDocument/2006/relationships/hyperlink" Target="https://docs.google.com/spreadsheets/d/1lEcUd4exxkr5Za3IYZ0vdFNfMubnuMOOMXfmF3GYC9I/edit?gid=1602079335" TargetMode="External"/><Relationship Id="rId979"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736" Type="http://schemas.openxmlformats.org/officeDocument/2006/relationships/hyperlink" Target="https://docs.google.com/spreadsheets/d/1lEcUd4exxkr5Za3IYZ0vdFNfMubnuMOOMXfmF3GYC9I/edit?gid=1382770733" TargetMode="External"/><Relationship Id="rId978" Type="http://schemas.openxmlformats.org/officeDocument/2006/relationships/hyperlink" Target="https://docs.google.com/spreadsheets/d/1EI7qusa674eJhuaw-nWWtWMEHVSYMQv7HLsInEZTWpE/edit?gid=1866713504" TargetMode="External"/><Relationship Id="rId735" Type="http://schemas.openxmlformats.org/officeDocument/2006/relationships/hyperlink" Target="https://docs.google.com/spreadsheets/d/1lEcUd4exxkr5Za3IYZ0vdFNfMubnuMOOMXfmF3GYC9I/edit?gid=366207882" TargetMode="External"/><Relationship Id="rId977"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37" Type="http://schemas.openxmlformats.org/officeDocument/2006/relationships/hyperlink" Target="https://docs.google.com/spreadsheets/d/19THEBTE9q0fhN2eApZr6BgenIvLGh0AckaYxHQfHk5w/edit?gid=465129833" TargetMode="External"/><Relationship Id="rId36" Type="http://schemas.openxmlformats.org/officeDocument/2006/relationships/hyperlink" Target="https://docs.google.com/spreadsheets/d/19THEBTE9q0fhN2eApZr6BgenIvLGh0AckaYxHQfHk5w/edit?gid=1447691158" TargetMode="External"/><Relationship Id="rId39" Type="http://schemas.openxmlformats.org/officeDocument/2006/relationships/hyperlink" Target="https://docs.google.com/spreadsheets/d/19THEBTE9q0fhN2eApZr6BgenIvLGh0AckaYxHQfHk5w/edit?gid=1190089568" TargetMode="External"/><Relationship Id="rId38" Type="http://schemas.openxmlformats.org/officeDocument/2006/relationships/hyperlink" Target="https://docs.google.com/spreadsheets/d/1MW8OIVEKRJEaLcG-KS0zwZPEQ0eRUWE2y9Gj77rgoxo/edit?gid=1454312032" TargetMode="External"/><Relationship Id="rId730" Type="http://schemas.openxmlformats.org/officeDocument/2006/relationships/hyperlink" Target="https://docs.google.com/spreadsheets/d/1lEcUd4exxkr5Za3IYZ0vdFNfMubnuMOOMXfmF3GYC9I/edit?gid=955853431" TargetMode="External"/><Relationship Id="rId972" Type="http://schemas.openxmlformats.org/officeDocument/2006/relationships/hyperlink" Target="https://docs.google.com/spreadsheets/d/1EI7qusa674eJhuaw-nWWtWMEHVSYMQv7HLsInEZTWpE/edit?gid=969432712" TargetMode="External"/><Relationship Id="rId971" Type="http://schemas.openxmlformats.org/officeDocument/2006/relationships/hyperlink" Target="https://disk.yandex.ru/client/disk/%D0%9E%D1%81%D0%BC%D0%BE%D1%82%D1%80%D1%8B%20%D0%BE%D0%B1%D1%8A%D0%B5%D0%BA%D1%82%D0%BE%D0%B2%20%D0%90%D0%9D%D0%9E%20%D0%A1%D0%9C%D0%93/1264.%20%D0%90%D0%B4%D0%BC%D0%B8%D0%BD%D0%B8%D1%81%D1%82%D1%80%D0%B0%D1%82%D0%B8%D0%B2%D0%BD%D0%BE-%D0%B4%D0%B5%D0%BB%D0%BE%D0%B2%D0%BE%D0%B9%20%D0%BA%D0%BE%D0%BC%D0%BF%D0%BB%D0%B5%D0%BA%D1%81%2C%20%D0%BC%D0%BD%D0%BE%D0%B3%D0%BE%D1%83%D1%80%D0%BE%D0%B2%D0%BD%D0%B5%D0%B2%D0%B0%D1%8F%20%D1%81%D1%82%D0%BE%D1%8F%D0%BD%D0%BA%D0%B0%20%D0%B0%D0%B2%D1%82%D0%BE%D0%BC%D0%BE%D0%B1%D0%B8%D0%BB%D0%B5%D0%B9.%20%D0%90%D0%B4%D0%BC%D0%B8%D0%BD%D0%B8%D1%81%D1%82%D1%80%D0%B0%D1%82%D0%B8%D0%B2%D0%BD%D0%BE-%D0%B4%D0%B5%D0%BB%D0%BE%D0%B2%D0%BE%D0%B9%20%D1%86%D0%B5%D0%BD%D1%82%D1%80.%20%D0%9C%D0%BE%D1%81%D0%BA%D0%B2%D0%B0%2C%20%D1%83%D0%BB%D0%B8%D1%86%D0%B0%20%D0%94%D0%B2%D0%B8%D0%BD%D1%86%D0%B5%D0%B2%2C%20%D0%B2%D0%BB.%203" TargetMode="External"/><Relationship Id="rId970" Type="http://schemas.openxmlformats.org/officeDocument/2006/relationships/hyperlink" Target="https://docs.google.com/spreadsheets/d/1EI7qusa674eJhuaw-nWWtWMEHVSYMQv7HLsInEZTWpE/edit?gid=493919396" TargetMode="External"/><Relationship Id="rId20" Type="http://schemas.openxmlformats.org/officeDocument/2006/relationships/hyperlink" Target="https://docs.google.com/spreadsheets/d/1jonEGMB3UFHiUZpltF1zURon8gYN7jGSHu-k9t5TXnA/edit?gid=1039816960" TargetMode="External"/><Relationship Id="rId22" Type="http://schemas.openxmlformats.org/officeDocument/2006/relationships/hyperlink" Target="https://docs.google.com/spreadsheets/d/1jonEGMB3UFHiUZpltF1zURon8gYN7jGSHu-k9t5TXnA/edit?gid=77612996" TargetMode="External"/><Relationship Id="rId21" Type="http://schemas.openxmlformats.org/officeDocument/2006/relationships/hyperlink" Target="https://docs.google.com/spreadsheets/d/1jonEGMB3UFHiUZpltF1zURon8gYN7jGSHu-k9t5TXnA/edit?gid=1117601488" TargetMode="External"/><Relationship Id="rId24" Type="http://schemas.openxmlformats.org/officeDocument/2006/relationships/hyperlink" Target="https://docs.google.com/spreadsheets/d/1jonEGMB3UFHiUZpltF1zURon8gYN7jGSHu-k9t5TXnA/edit?gid=1143459343" TargetMode="External"/><Relationship Id="rId23"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525" Type="http://schemas.openxmlformats.org/officeDocument/2006/relationships/hyperlink" Target="https://docs.google.com/spreadsheets/d/1rbCD10ySi4YZEkJW2_Slmn9z7AI1WEsGsZaIJmnnT18/edit?gid=1127937852" TargetMode="External"/><Relationship Id="rId767" Type="http://schemas.openxmlformats.org/officeDocument/2006/relationships/hyperlink" Target="https://docs.google.com/spreadsheets/d/1lEcUd4exxkr5Za3IYZ0vdFNfMubnuMOOMXfmF3GYC9I/edit?gid=2115153164" TargetMode="External"/><Relationship Id="rId524" Type="http://schemas.openxmlformats.org/officeDocument/2006/relationships/hyperlink" Target="https://docs.google.com/spreadsheets/d/1rbCD10ySi4YZEkJW2_Slmn9z7AI1WEsGsZaIJmnnT18/edit?gid=226411409" TargetMode="External"/><Relationship Id="rId766" Type="http://schemas.openxmlformats.org/officeDocument/2006/relationships/hyperlink" Target="https://docs.google.com/spreadsheets/d/1lEcUd4exxkr5Za3IYZ0vdFNfMubnuMOOMXfmF3GYC9I/edit?gid=1589597012" TargetMode="External"/><Relationship Id="rId523" Type="http://schemas.openxmlformats.org/officeDocument/2006/relationships/hyperlink" Target="https://docs.google.com/spreadsheets/d/1rbCD10ySi4YZEkJW2_Slmn9z7AI1WEsGsZaIJmnnT18/edit?gid=3373357" TargetMode="External"/><Relationship Id="rId765" Type="http://schemas.openxmlformats.org/officeDocument/2006/relationships/hyperlink" Target="https://docs.google.com/spreadsheets/d/1lEcUd4exxkr5Za3IYZ0vdFNfMubnuMOOMXfmF3GYC9I/edit?gid=163574073" TargetMode="External"/><Relationship Id="rId522" Type="http://schemas.openxmlformats.org/officeDocument/2006/relationships/hyperlink" Target="https://docs.google.com/spreadsheets/d/1rbCD10ySi4YZEkJW2_Slmn9z7AI1WEsGsZaIJmnnT18/edit?gid=1726616701" TargetMode="External"/><Relationship Id="rId764" Type="http://schemas.openxmlformats.org/officeDocument/2006/relationships/hyperlink" Target="https://docs.google.com/spreadsheets/d/1lEcUd4exxkr5Za3IYZ0vdFNfMubnuMOOMXfmF3GYC9I/edit?gid=541136391" TargetMode="External"/><Relationship Id="rId529" Type="http://schemas.openxmlformats.org/officeDocument/2006/relationships/hyperlink" Target="https://disk.yandex.ru/client/disk/%D0%9E%D1%81%D0%BC%D0%BE%D1%82%D1%80%D1%8B%20%D0%BE%D0%B1%D1%8A%D0%B5%D0%BA%D1%82%D0%BE%D0%B2%20%D0%90%D0%9D%D0%9E%20%D0%A1%D0%9C%D0%93/789.%20%D1%83%D0%BB%20%D0%9D%D0%B8%D0%BA%D0%B8%D1%82%D0%B8%D0%BD%D1%81%D0%BA%D0%B0%D1%8F%20%D0%B2%D0%BB%2015%20" TargetMode="External"/><Relationship Id="rId528" Type="http://schemas.openxmlformats.org/officeDocument/2006/relationships/hyperlink" Target="https://docs.google.com/spreadsheets/d/1rbCD10ySi4YZEkJW2_Slmn9z7AI1WEsGsZaIJmnnT18/edit?gid=1734112233" TargetMode="External"/><Relationship Id="rId527" Type="http://schemas.openxmlformats.org/officeDocument/2006/relationships/hyperlink" Target="https://disk.yandex.ru/client/disk/%D0%9E%D1%81%D0%BC%D0%BE%D1%82%D1%80%D1%8B%20%D0%BE%D0%B1%D1%8A%D0%B5%D0%BA%D1%82%D0%BE%D0%B2%20%D0%90%D0%9D%D0%9E%20%D0%A1%D0%9C%D0%93/788.%20%D1%83%D0%BB%20%D0%90%D0%B2%D0%B8%D0%B0%D0%BC%D0%BE%D1%82%D0%BE%D1%80%D0%BD%D0%B0%D1%8F%20%D0%B2%D0%BB%205%20" TargetMode="External"/><Relationship Id="rId769" Type="http://schemas.openxmlformats.org/officeDocument/2006/relationships/hyperlink" Target="https://docs.google.com/spreadsheets/d/1lEcUd4exxkr5Za3IYZ0vdFNfMubnuMOOMXfmF3GYC9I/edit?gid=424075145" TargetMode="External"/><Relationship Id="rId526" Type="http://schemas.openxmlformats.org/officeDocument/2006/relationships/hyperlink" Target="https://docs.google.com/spreadsheets/d/1rbCD10ySi4YZEkJW2_Slmn9z7AI1WEsGsZaIJmnnT18/edit?gid=602775546" TargetMode="External"/><Relationship Id="rId768" Type="http://schemas.openxmlformats.org/officeDocument/2006/relationships/hyperlink" Target="https://docs.google.com/spreadsheets/d/1lEcUd4exxkr5Za3IYZ0vdFNfMubnuMOOMXfmF3GYC9I/edit?gid=496407740" TargetMode="External"/><Relationship Id="rId26" Type="http://schemas.openxmlformats.org/officeDocument/2006/relationships/hyperlink" Target="https://docs.google.com/spreadsheets/d/19THEBTE9q0fhN2eApZr6BgenIvLGh0AckaYxHQfHk5w/edit?gid=1098291501" TargetMode="External"/><Relationship Id="rId25" Type="http://schemas.openxmlformats.org/officeDocument/2006/relationships/hyperlink" Target="https://docs.google.com/spreadsheets/d/19THEBTE9q0fhN2eApZr6BgenIvLGh0AckaYxHQfHk5w/edit?gid=1112644991" TargetMode="External"/><Relationship Id="rId28" Type="http://schemas.openxmlformats.org/officeDocument/2006/relationships/hyperlink" Target="https://docs.google.com/spreadsheets/d/19THEBTE9q0fhN2eApZr6BgenIvLGh0AckaYxHQfHk5w/edit?gid=1094262803" TargetMode="External"/><Relationship Id="rId27" Type="http://schemas.openxmlformats.org/officeDocument/2006/relationships/hyperlink" Target="https://docs.google.com/spreadsheets/d/19THEBTE9q0fhN2eApZr6BgenIvLGh0AckaYxHQfHk5w/edit?gid=2086114011" TargetMode="External"/><Relationship Id="rId521" Type="http://schemas.openxmlformats.org/officeDocument/2006/relationships/hyperlink" Target="https://docs.google.com/spreadsheets/d/1rbCD10ySi4YZEkJW2_Slmn9z7AI1WEsGsZaIJmnnT18/edit?gid=326389439" TargetMode="External"/><Relationship Id="rId763" Type="http://schemas.openxmlformats.org/officeDocument/2006/relationships/hyperlink" Target="https://docs.google.com/spreadsheets/d/1lEcUd4exxkr5Za3IYZ0vdFNfMubnuMOOMXfmF3GYC9I/edit?gid=784814979" TargetMode="External"/><Relationship Id="rId29" Type="http://schemas.openxmlformats.org/officeDocument/2006/relationships/hyperlink" Target="https://docs.google.com/spreadsheets/d/19THEBTE9q0fhN2eApZr6BgenIvLGh0AckaYxHQfHk5w/edit?gid=2132720371" TargetMode="External"/><Relationship Id="rId520" Type="http://schemas.openxmlformats.org/officeDocument/2006/relationships/hyperlink" Target="https://docs.google.com/spreadsheets/d/1rbCD10ySi4YZEkJW2_Slmn9z7AI1WEsGsZaIJmnnT18/edit?gid=808253211" TargetMode="External"/><Relationship Id="rId762" Type="http://schemas.openxmlformats.org/officeDocument/2006/relationships/hyperlink" Target="https://docs.google.com/spreadsheets/d/1lEcUd4exxkr5Za3IYZ0vdFNfMubnuMOOMXfmF3GYC9I/edit?gid=36677912" TargetMode="External"/><Relationship Id="rId761" Type="http://schemas.openxmlformats.org/officeDocument/2006/relationships/hyperlink" Target="https://docs.google.com/spreadsheets/d/1lEcUd4exxkr5Za3IYZ0vdFNfMubnuMOOMXfmF3GYC9I/edit?gid=640034925" TargetMode="External"/><Relationship Id="rId760" Type="http://schemas.openxmlformats.org/officeDocument/2006/relationships/hyperlink" Target="https://docs.google.com/spreadsheets/d/1lEcUd4exxkr5Za3IYZ0vdFNfMubnuMOOMXfmF3GYC9I/edit?gid=103624122" TargetMode="External"/><Relationship Id="rId11" Type="http://schemas.openxmlformats.org/officeDocument/2006/relationships/hyperlink" Target="https://docs.google.com/spreadsheets/d/19THEBTE9q0fhN2eApZr6BgenIvLGh0AckaYxHQfHk5w/edit?gid=717172873" TargetMode="External"/><Relationship Id="rId10" Type="http://schemas.openxmlformats.org/officeDocument/2006/relationships/hyperlink" Target="https://docs.google.com/spreadsheets/d/19THEBTE9q0fhN2eApZr6BgenIvLGh0AckaYxHQfHk5w/edit?gid=1038633275" TargetMode="External"/><Relationship Id="rId13" Type="http://schemas.openxmlformats.org/officeDocument/2006/relationships/hyperlink" Target="https://docs.google.com/spreadsheets/d/19THEBTE9q0fhN2eApZr6BgenIvLGh0AckaYxHQfHk5w/edit?gid=600337697" TargetMode="External"/><Relationship Id="rId12" Type="http://schemas.openxmlformats.org/officeDocument/2006/relationships/hyperlink" Target="https://docs.google.com/spreadsheets/d/19THEBTE9q0fhN2eApZr6BgenIvLGh0AckaYxHQfHk5w/edit?gid=2058696561" TargetMode="External"/><Relationship Id="rId519" Type="http://schemas.openxmlformats.org/officeDocument/2006/relationships/hyperlink" Target="https://docs.google.com/spreadsheets/d/1rbCD10ySi4YZEkJW2_Slmn9z7AI1WEsGsZaIJmnnT18/edit?gid=39049871" TargetMode="External"/><Relationship Id="rId514" Type="http://schemas.openxmlformats.org/officeDocument/2006/relationships/hyperlink" Target="https://docs.google.com/spreadsheets/d/1rbCD10ySi4YZEkJW2_Slmn9z7AI1WEsGsZaIJmnnT18/edit?gid=2030780082" TargetMode="External"/><Relationship Id="rId756" Type="http://schemas.openxmlformats.org/officeDocument/2006/relationships/hyperlink" Target="https://docs.google.com/spreadsheets/d/1lEcUd4exxkr5Za3IYZ0vdFNfMubnuMOOMXfmF3GYC9I/edit?gid=1276650860" TargetMode="External"/><Relationship Id="rId998" Type="http://schemas.openxmlformats.org/officeDocument/2006/relationships/hyperlink" Target="https://docs.google.com/spreadsheets/d/1EI7qusa674eJhuaw-nWWtWMEHVSYMQv7HLsInEZTWpE/edit?gid=481612285" TargetMode="External"/><Relationship Id="rId513" Type="http://schemas.openxmlformats.org/officeDocument/2006/relationships/hyperlink" Target="https://docs.google.com/spreadsheets/d/1rbCD10ySi4YZEkJW2_Slmn9z7AI1WEsGsZaIJmnnT18/edit?gid=756416994" TargetMode="External"/><Relationship Id="rId755" Type="http://schemas.openxmlformats.org/officeDocument/2006/relationships/hyperlink" Target="https://docs.google.com/spreadsheets/d/1lEcUd4exxkr5Za3IYZ0vdFNfMubnuMOOMXfmF3GYC9I/edit?gid=179520414" TargetMode="External"/><Relationship Id="rId997" Type="http://schemas.openxmlformats.org/officeDocument/2006/relationships/hyperlink" Target="https://disk.yandex.ru/client/disk/%D0%9E%D1%81%D0%BC%D0%BE%D1%82%D1%80%D1%8B%20%D0%BE%D0%B1%D1%8A%D0%B5%D0%BA%D1%82%D0%BE%D0%B2%20%D0%90%D0%9D%D0%9E%20%D0%A1%D0%9C%D0%93/1281.%20%D0%98%D0%9D%D0%A2%D0%A6%20%D0%9C%D0%93%D0%A3%20%D0%92%D0%BE%D1%80%D0%BE%D0%B1%D1%8C%D0%B5%D0%B2%D1%8B%20%D0%B3%D0%BE%D1%80%D1%8B%20(%D0%BA%D0%BE%D1%81%D0%BC%D0%BE%D1%81%2C%20%D0%B8%D0%BD%D1%84%D0%BE%D1%82%D0%B5%D1%85%2C%20%D0%B8%D0%BD%D0%B6%D0%B8%D0%BD%D0%B8%D1%80%D0%B8%D0%BD%D0%B3%2C%20%D0%B3%D0%B5%D0%BE%D1%82%D0%B5%D1%85%2C%20%D0%BD%D0%B0%D0%BD%D0%BE%D1%82%D0%B5%D1%85%2C%20%D0%B1%D0%B8%D0%BE%D0%BC%D0%B5%D0%B4)" TargetMode="External"/><Relationship Id="rId512" Type="http://schemas.openxmlformats.org/officeDocument/2006/relationships/hyperlink" Target="https://docs.google.com/spreadsheets/d/1rbCD10ySi4YZEkJW2_Slmn9z7AI1WEsGsZaIJmnnT18/edit?gid=672785947" TargetMode="External"/><Relationship Id="rId754" Type="http://schemas.openxmlformats.org/officeDocument/2006/relationships/hyperlink" Target="https://docs.google.com/spreadsheets/d/1lEcUd4exxkr5Za3IYZ0vdFNfMubnuMOOMXfmF3GYC9I/edit?gid=415599181" TargetMode="External"/><Relationship Id="rId996" Type="http://schemas.openxmlformats.org/officeDocument/2006/relationships/hyperlink" Target="https://docs.google.com/spreadsheets/d/1EI7qusa674eJhuaw-nWWtWMEHVSYMQv7HLsInEZTWpE/edit?gid=1740138408" TargetMode="External"/><Relationship Id="rId511" Type="http://schemas.openxmlformats.org/officeDocument/2006/relationships/hyperlink" Target="https://docs.google.com/spreadsheets/d/1rbCD10ySi4YZEkJW2_Slmn9z7AI1WEsGsZaIJmnnT18/edit?gid=1451563730" TargetMode="External"/><Relationship Id="rId753" Type="http://schemas.openxmlformats.org/officeDocument/2006/relationships/hyperlink" Target="https://docs.google.com/spreadsheets/d/1lEcUd4exxkr5Za3IYZ0vdFNfMubnuMOOMXfmF3GYC9I/edit?gid=1299542947" TargetMode="External"/><Relationship Id="rId995" Type="http://schemas.openxmlformats.org/officeDocument/2006/relationships/hyperlink" Target="https://docs.google.com/spreadsheets/d/1EI7qusa674eJhuaw-nWWtWMEHVSYMQv7HLsInEZTWpE/edit?gid=741067591" TargetMode="External"/><Relationship Id="rId518" Type="http://schemas.openxmlformats.org/officeDocument/2006/relationships/hyperlink" Target="https://docs.google.com/spreadsheets/d/1rbCD10ySi4YZEkJW2_Slmn9z7AI1WEsGsZaIJmnnT18/edit?gid=829836669" TargetMode="External"/><Relationship Id="rId517" Type="http://schemas.openxmlformats.org/officeDocument/2006/relationships/hyperlink" Target="https://docs.google.com/spreadsheets/d/1rbCD10ySi4YZEkJW2_Slmn9z7AI1WEsGsZaIJmnnT18/edit?gid=1949661648" TargetMode="External"/><Relationship Id="rId759" Type="http://schemas.openxmlformats.org/officeDocument/2006/relationships/hyperlink" Target="https://docs.google.com/spreadsheets/d/1lEcUd4exxkr5Za3IYZ0vdFNfMubnuMOOMXfmF3GYC9I/edit?gid=1026140704" TargetMode="External"/><Relationship Id="rId516" Type="http://schemas.openxmlformats.org/officeDocument/2006/relationships/hyperlink" Target="https://docs.google.com/spreadsheets/d/1rbCD10ySi4YZEkJW2_Slmn9z7AI1WEsGsZaIJmnnT18/edit?gid=383847574" TargetMode="External"/><Relationship Id="rId758" Type="http://schemas.openxmlformats.org/officeDocument/2006/relationships/hyperlink" Target="https://docs.google.com/spreadsheets/d/1lEcUd4exxkr5Za3IYZ0vdFNfMubnuMOOMXfmF3GYC9I/edit?gid=1237255389" TargetMode="External"/><Relationship Id="rId515" Type="http://schemas.openxmlformats.org/officeDocument/2006/relationships/hyperlink" Target="https://docs.google.com/spreadsheets/d/1rbCD10ySi4YZEkJW2_Slmn9z7AI1WEsGsZaIJmnnT18/edit?gid=1207675584" TargetMode="External"/><Relationship Id="rId757" Type="http://schemas.openxmlformats.org/officeDocument/2006/relationships/hyperlink" Target="https://docs.google.com/spreadsheets/d/1lEcUd4exxkr5Za3IYZ0vdFNfMubnuMOOMXfmF3GYC9I/edit?gid=466314675" TargetMode="External"/><Relationship Id="rId999" Type="http://schemas.openxmlformats.org/officeDocument/2006/relationships/hyperlink" Target="https://docs.google.com/spreadsheets/d/1EI7qusa674eJhuaw-nWWtWMEHVSYMQv7HLsInEZTWpE/edit?gid=1944955293" TargetMode="External"/><Relationship Id="rId15" Type="http://schemas.openxmlformats.org/officeDocument/2006/relationships/hyperlink" Target="https://docs.google.com/spreadsheets/d/19THEBTE9q0fhN2eApZr6BgenIvLGh0AckaYxHQfHk5w/edit?gid=1122822598" TargetMode="External"/><Relationship Id="rId990" Type="http://schemas.openxmlformats.org/officeDocument/2006/relationships/hyperlink" Target="https://docs.google.com/spreadsheets/d/1EI7qusa674eJhuaw-nWWtWMEHVSYMQv7HLsInEZTWpE/edit?gid=594480118" TargetMode="External"/><Relationship Id="rId14" Type="http://schemas.openxmlformats.org/officeDocument/2006/relationships/hyperlink" Target="https://docs.google.com/spreadsheets/d/19THEBTE9q0fhN2eApZr6BgenIvLGh0AckaYxHQfHk5w/edit?gid=23825357" TargetMode="External"/><Relationship Id="rId17" Type="http://schemas.openxmlformats.org/officeDocument/2006/relationships/hyperlink" Target="https://docs.google.com/spreadsheets/d/19THEBTE9q0fhN2eApZr6BgenIvLGh0AckaYxHQfHk5w/edit?gid=739392640" TargetMode="External"/><Relationship Id="rId16" Type="http://schemas.openxmlformats.org/officeDocument/2006/relationships/hyperlink" Target="https://docs.google.com/spreadsheets/d/19THEBTE9q0fhN2eApZr6BgenIvLGh0AckaYxHQfHk5w/edit?gid=326698304" TargetMode="External"/><Relationship Id="rId19" Type="http://schemas.openxmlformats.org/officeDocument/2006/relationships/hyperlink" Target="https://docs.google.com/spreadsheets/d/1jonEGMB3UFHiUZpltF1zURon8gYN7jGSHu-k9t5TXnA/edit?gid=808640473" TargetMode="External"/><Relationship Id="rId510" Type="http://schemas.openxmlformats.org/officeDocument/2006/relationships/hyperlink" Target="https://docs.google.com/spreadsheets/d/1rbCD10ySi4YZEkJW2_Slmn9z7AI1WEsGsZaIJmnnT18/edit?gid=1846163124" TargetMode="External"/><Relationship Id="rId752" Type="http://schemas.openxmlformats.org/officeDocument/2006/relationships/hyperlink" Target="https://docs.google.com/spreadsheets/d/1lEcUd4exxkr5Za3IYZ0vdFNfMubnuMOOMXfmF3GYC9I/edit?gid=1356730824" TargetMode="External"/><Relationship Id="rId994" Type="http://schemas.openxmlformats.org/officeDocument/2006/relationships/hyperlink" Target="https://disk.yandex.ru/client/disk/%D0%9E%D1%81%D0%BC%D0%BE%D1%82%D1%80%D1%8B%20%D0%BE%D0%B1%D1%8A%D0%B5%D0%BA%D1%82%D0%BE%D0%B2%20%D0%90%D0%9D%D0%9E%20%D0%A1%D0%9C%D0%93/315.%20%D0%9E%D0%BD%D0%B5%D0%B6%D1%81%D0%BA%D0%B0%D1%8F%2C%20%D0%B2%D0%BB%D0%B4.%2014%D0%91" TargetMode="External"/><Relationship Id="rId18" Type="http://schemas.openxmlformats.org/officeDocument/2006/relationships/hyperlink" Target="https://docs.google.com/spreadsheets/d/19THEBTE9q0fhN2eApZr6BgenIvLGh0AckaYxHQfHk5w/edit?gid=891835937" TargetMode="External"/><Relationship Id="rId751" Type="http://schemas.openxmlformats.org/officeDocument/2006/relationships/hyperlink" Target="https://docs.google.com/spreadsheets/d/1lEcUd4exxkr5Za3IYZ0vdFNfMubnuMOOMXfmF3GYC9I/edit?gid=1139784984" TargetMode="External"/><Relationship Id="rId993" Type="http://schemas.openxmlformats.org/officeDocument/2006/relationships/hyperlink" Target="https://docs.google.com/spreadsheets/d/1EI7qusa674eJhuaw-nWWtWMEHVSYMQv7HLsInEZTWpE/edit?gid=849348771" TargetMode="External"/><Relationship Id="rId750" Type="http://schemas.openxmlformats.org/officeDocument/2006/relationships/hyperlink" Target="https://docs.google.com/spreadsheets/d/1lEcUd4exxkr5Za3IYZ0vdFNfMubnuMOOMXfmF3GYC9I/edit?gid=1395855804" TargetMode="External"/><Relationship Id="rId992" Type="http://schemas.openxmlformats.org/officeDocument/2006/relationships/hyperlink" Target="https://docs.google.com/spreadsheets/d/1EI7qusa674eJhuaw-nWWtWMEHVSYMQv7HLsInEZTWpE/edit?gid=1880951633" TargetMode="External"/><Relationship Id="rId991" Type="http://schemas.openxmlformats.org/officeDocument/2006/relationships/hyperlink" Target="https://disk.yandex.ru/client/disk/%D0%9E%D1%81%D0%BC%D0%BE%D1%82%D1%80%D1%8B%20%D0%BE%D0%B1%D1%8A%D0%B5%D0%BA%D1%82%D0%BE%D0%B2%20%D0%90%D0%9D%D0%9E%20%D0%A1%D0%9C%D0%93/1278.%20%D0%A4%D1%83%D1%82%D0%B1%D0%BE%D0%BB%D1%8C%D0%BD%D1%8B%D0%B9%20%D0%BC%D0%B0%D0%BD%D0%B5%D0%B6.%20%D1%83%D0%BB.%20%D0%9C%D0%B0%D1%80%D1%88%D0%B0%D0%BB%D0%B0%20%D0%9A%D0%B0%D1%82%D1%83%D0%BA%D0%BE%D0%B2%D0%B0%2C%20%D0%B4.%2026" TargetMode="External"/><Relationship Id="rId84" Type="http://schemas.openxmlformats.org/officeDocument/2006/relationships/hyperlink" Target="https://docs.google.com/spreadsheets/d/19THEBTE9q0fhN2eApZr6BgenIvLGh0AckaYxHQfHk5w/edit?gid=1264375992" TargetMode="External"/><Relationship Id="rId83" Type="http://schemas.openxmlformats.org/officeDocument/2006/relationships/hyperlink" Target="https://docs.google.com/spreadsheets/d/19THEBTE9q0fhN2eApZr6BgenIvLGh0AckaYxHQfHk5w/edit?gid=1728236412" TargetMode="External"/><Relationship Id="rId86" Type="http://schemas.openxmlformats.org/officeDocument/2006/relationships/hyperlink" Target="https://docs.google.com/spreadsheets/d/1EI7qusa674eJhuaw-nWWtWMEHVSYMQv7HLsInEZTWpE/edit?gid=994703710" TargetMode="External"/><Relationship Id="rId85" Type="http://schemas.openxmlformats.org/officeDocument/2006/relationships/hyperlink" Target="https://docs.google.com/spreadsheets/d/19THEBTE9q0fhN2eApZr6BgenIvLGh0AckaYxHQfHk5w/edit?gid=1223406646" TargetMode="External"/><Relationship Id="rId88" Type="http://schemas.openxmlformats.org/officeDocument/2006/relationships/hyperlink" Target="https://docs.google.com/spreadsheets/d/19THEBTE9q0fhN2eApZr6BgenIvLGh0AckaYxHQfHk5w/edit?gid=1230967250" TargetMode="External"/><Relationship Id="rId87" Type="http://schemas.openxmlformats.org/officeDocument/2006/relationships/hyperlink" Target="https://docs.google.com/spreadsheets/d/19THEBTE9q0fhN2eApZr6BgenIvLGh0AckaYxHQfHk5w/edit?gid=178055917" TargetMode="External"/><Relationship Id="rId89" Type="http://schemas.openxmlformats.org/officeDocument/2006/relationships/hyperlink" Target="https://docs.google.com/spreadsheets/d/1jonEGMB3UFHiUZpltF1zURon8gYN7jGSHu-k9t5TXnA/edit?gid=1070135596" TargetMode="External"/><Relationship Id="rId709" Type="http://schemas.openxmlformats.org/officeDocument/2006/relationships/hyperlink" Target="https://docs.google.com/spreadsheets/d/1lEcUd4exxkr5Za3IYZ0vdFNfMubnuMOOMXfmF3GYC9I/edit?gid=1759169591" TargetMode="External"/><Relationship Id="rId708" Type="http://schemas.openxmlformats.org/officeDocument/2006/relationships/hyperlink" Target="https://docs.google.com/spreadsheets/d/1lEcUd4exxkr5Za3IYZ0vdFNfMubnuMOOMXfmF3GYC9I/edit?gid=1079458308" TargetMode="External"/><Relationship Id="rId707" Type="http://schemas.openxmlformats.org/officeDocument/2006/relationships/hyperlink" Target="https://docs.google.com/spreadsheets/d/1lEcUd4exxkr5Za3IYZ0vdFNfMubnuMOOMXfmF3GYC9I/edit?gid=1609158785" TargetMode="External"/><Relationship Id="rId949" Type="http://schemas.openxmlformats.org/officeDocument/2006/relationships/hyperlink" Target="https://docs.google.com/spreadsheets/d/1EI7qusa674eJhuaw-nWWtWMEHVSYMQv7HLsInEZTWpE/edit?gid=1488450314" TargetMode="External"/><Relationship Id="rId706" Type="http://schemas.openxmlformats.org/officeDocument/2006/relationships/hyperlink" Target="https://docs.google.com/spreadsheets/d/1lEcUd4exxkr5Za3IYZ0vdFNfMubnuMOOMXfmF3GYC9I/edit?gid=729528967" TargetMode="External"/><Relationship Id="rId948" Type="http://schemas.openxmlformats.org/officeDocument/2006/relationships/hyperlink" Target="https://docs.google.com/spreadsheets/d/1EI7qusa674eJhuaw-nWWtWMEHVSYMQv7HLsInEZTWpE/edit?gid=1963162360" TargetMode="External"/><Relationship Id="rId80" Type="http://schemas.openxmlformats.org/officeDocument/2006/relationships/hyperlink" Target="https://docs.google.com/spreadsheets/d/19THEBTE9q0fhN2eApZr6BgenIvLGh0AckaYxHQfHk5w/edit?gid=1094262803" TargetMode="External"/><Relationship Id="rId82" Type="http://schemas.openxmlformats.org/officeDocument/2006/relationships/hyperlink" Target="https://docs.google.com/spreadsheets/d/19THEBTE9q0fhN2eApZr6BgenIvLGh0AckaYxHQfHk5w/edit?gid=1404088730" TargetMode="External"/><Relationship Id="rId81" Type="http://schemas.openxmlformats.org/officeDocument/2006/relationships/hyperlink" Target="https://docs.google.com/spreadsheets/d/1H1MjbG2y0oC0hhID4do1G0_gfyI1jag72lQd7nL3WDQ/edit?gid=1295057076" TargetMode="External"/><Relationship Id="rId701" Type="http://schemas.openxmlformats.org/officeDocument/2006/relationships/hyperlink" Target="https://docs.google.com/spreadsheets/d/1lEcUd4exxkr5Za3IYZ0vdFNfMubnuMOOMXfmF3GYC9I/edit?gid=1435485307" TargetMode="External"/><Relationship Id="rId943" Type="http://schemas.openxmlformats.org/officeDocument/2006/relationships/hyperlink" Target="https://docs.google.com/spreadsheets/d/1EI7qusa674eJhuaw-nWWtWMEHVSYMQv7HLsInEZTWpE/edit?gid=1823447590" TargetMode="External"/><Relationship Id="rId700" Type="http://schemas.openxmlformats.org/officeDocument/2006/relationships/hyperlink" Target="https://docs.google.com/spreadsheets/d/1lEcUd4exxkr5Za3IYZ0vdFNfMubnuMOOMXfmF3GYC9I/edit?gid=1117044536" TargetMode="External"/><Relationship Id="rId942" Type="http://schemas.openxmlformats.org/officeDocument/2006/relationships/hyperlink" Target="https://docs.google.com/spreadsheets/d/1EI7qusa674eJhuaw-nWWtWMEHVSYMQv7HLsInEZTWpE/edit?gid=316384092" TargetMode="External"/><Relationship Id="rId941" Type="http://schemas.openxmlformats.org/officeDocument/2006/relationships/hyperlink" Target="https://docs.google.com/spreadsheets/d/1EI7qusa674eJhuaw-nWWtWMEHVSYMQv7HLsInEZTWpE/edit?gid=166966295" TargetMode="External"/><Relationship Id="rId940" Type="http://schemas.openxmlformats.org/officeDocument/2006/relationships/hyperlink" Target="https://docs.google.com/spreadsheets/d/1EI7qusa674eJhuaw-nWWtWMEHVSYMQv7HLsInEZTWpE/edit?gid=789970235" TargetMode="External"/><Relationship Id="rId705" Type="http://schemas.openxmlformats.org/officeDocument/2006/relationships/hyperlink" Target="https://docs.google.com/spreadsheets/d/1lEcUd4exxkr5Za3IYZ0vdFNfMubnuMOOMXfmF3GYC9I/edit?gid=88187945" TargetMode="External"/><Relationship Id="rId947" Type="http://schemas.openxmlformats.org/officeDocument/2006/relationships/hyperlink" Target="https://docs.google.com/spreadsheets/d/1EI7qusa674eJhuaw-nWWtWMEHVSYMQv7HLsInEZTWpE/edit?gid=1431037231" TargetMode="External"/><Relationship Id="rId704" Type="http://schemas.openxmlformats.org/officeDocument/2006/relationships/hyperlink" Target="https://docs.google.com/spreadsheets/d/1lEcUd4exxkr5Za3IYZ0vdFNfMubnuMOOMXfmF3GYC9I/edit?gid=815985378" TargetMode="External"/><Relationship Id="rId946" Type="http://schemas.openxmlformats.org/officeDocument/2006/relationships/hyperlink" Target="https://docs.google.com/spreadsheets/d/1EI7qusa674eJhuaw-nWWtWMEHVSYMQv7HLsInEZTWpE/edit?gid=371216580" TargetMode="External"/><Relationship Id="rId703" Type="http://schemas.openxmlformats.org/officeDocument/2006/relationships/hyperlink" Target="https://docs.google.com/spreadsheets/d/1lEcUd4exxkr5Za3IYZ0vdFNfMubnuMOOMXfmF3GYC9I/edit?gid=282111024" TargetMode="External"/><Relationship Id="rId945" Type="http://schemas.openxmlformats.org/officeDocument/2006/relationships/hyperlink" Target="https://docs.google.com/spreadsheets/d/1EI7qusa674eJhuaw-nWWtWMEHVSYMQv7HLsInEZTWpE/edit?gid=104937382" TargetMode="External"/><Relationship Id="rId702" Type="http://schemas.openxmlformats.org/officeDocument/2006/relationships/hyperlink" Target="https://docs.google.com/spreadsheets/d/1lEcUd4exxkr5Za3IYZ0vdFNfMubnuMOOMXfmF3GYC9I/edit?gid=679792885" TargetMode="External"/><Relationship Id="rId944" Type="http://schemas.openxmlformats.org/officeDocument/2006/relationships/hyperlink" Target="https://docs.google.com/spreadsheets/d/1EI7qusa674eJhuaw-nWWtWMEHVSYMQv7HLsInEZTWpE/edit?gid=1839942165" TargetMode="External"/><Relationship Id="rId73" Type="http://schemas.openxmlformats.org/officeDocument/2006/relationships/hyperlink" Target="https://docs.google.com/spreadsheets/d/1jonEGMB3UFHiUZpltF1zURon8gYN7jGSHu-k9t5TXnA/edit?gid=678601315" TargetMode="External"/><Relationship Id="rId72" Type="http://schemas.openxmlformats.org/officeDocument/2006/relationships/hyperlink" Target="https://docs.google.com/spreadsheets/d/1jonEGMB3UFHiUZpltF1zURon8gYN7jGSHu-k9t5TXnA/edit?gid=483786929" TargetMode="External"/><Relationship Id="rId75" Type="http://schemas.openxmlformats.org/officeDocument/2006/relationships/hyperlink" Target="https://docs.google.com/spreadsheets/d/1jonEGMB3UFHiUZpltF1zURon8gYN7jGSHu-k9t5TXnA/edit?gid=963444236" TargetMode="External"/><Relationship Id="rId74" Type="http://schemas.openxmlformats.org/officeDocument/2006/relationships/hyperlink" Target="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 TargetMode="External"/><Relationship Id="rId77" Type="http://schemas.openxmlformats.org/officeDocument/2006/relationships/hyperlink" Target="https://docs.google.com/spreadsheets/d/1jonEGMB3UFHiUZpltF1zURon8gYN7jGSHu-k9t5TXnA/edit?gid=867799308" TargetMode="External"/><Relationship Id="rId76" Type="http://schemas.openxmlformats.org/officeDocument/2006/relationships/hyperlink" Target="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 TargetMode="External"/><Relationship Id="rId79" Type="http://schemas.openxmlformats.org/officeDocument/2006/relationships/hyperlink" Target="https://docs.google.com/spreadsheets/d/19THEBTE9q0fhN2eApZr6BgenIvLGh0AckaYxHQfHk5w/edit?gid=1703085430" TargetMode="External"/><Relationship Id="rId78" Type="http://schemas.openxmlformats.org/officeDocument/2006/relationships/hyperlink" Target="https://docs.google.com/spreadsheets/d/19THEBTE9q0fhN2eApZr6BgenIvLGh0AckaYxHQfHk5w/edit?gid=1122098062" TargetMode="External"/><Relationship Id="rId939" Type="http://schemas.openxmlformats.org/officeDocument/2006/relationships/hyperlink" Target="https://docs.google.com/spreadsheets/d/1EI7qusa674eJhuaw-nWWtWMEHVSYMQv7HLsInEZTWpE/edit?gid=1445477701" TargetMode="External"/><Relationship Id="rId938" Type="http://schemas.openxmlformats.org/officeDocument/2006/relationships/hyperlink" Target="https://docs.google.com/spreadsheets/d/1EI7qusa674eJhuaw-nWWtWMEHVSYMQv7HLsInEZTWpE/edit?gid=1295237501" TargetMode="External"/><Relationship Id="rId937" Type="http://schemas.openxmlformats.org/officeDocument/2006/relationships/hyperlink" Target="https://docs.google.com/spreadsheets/d/1H1MjbG2y0oC0hhID4do1G0_gfyI1jag72lQd7nL3WDQ/edit?gid=2058620396" TargetMode="External"/><Relationship Id="rId71" Type="http://schemas.openxmlformats.org/officeDocument/2006/relationships/hyperlink" Target="https://docs.google.com/spreadsheets/d/1jonEGMB3UFHiUZpltF1zURon8gYN7jGSHu-k9t5TXnA/edit?gid=1601148863" TargetMode="External"/><Relationship Id="rId70" Type="http://schemas.openxmlformats.org/officeDocument/2006/relationships/hyperlink" Target="https://docs.google.com/spreadsheets/d/1MW8OIVEKRJEaLcG-KS0zwZPEQ0eRUWE2y9Gj77rgoxo/edit?gid=1323324485" TargetMode="External"/><Relationship Id="rId932" Type="http://schemas.openxmlformats.org/officeDocument/2006/relationships/hyperlink" Target="https://docs.google.com/spreadsheets/d/1H1MjbG2y0oC0hhID4do1G0_gfyI1jag72lQd7nL3WDQ/edit?gid=1207523393" TargetMode="External"/><Relationship Id="rId931" Type="http://schemas.openxmlformats.org/officeDocument/2006/relationships/hyperlink" Target="https://docs.google.com/spreadsheets/d/1EI7qusa674eJhuaw-nWWtWMEHVSYMQv7HLsInEZTWpE/edit?gid=706983585" TargetMode="External"/><Relationship Id="rId930" Type="http://schemas.openxmlformats.org/officeDocument/2006/relationships/hyperlink" Target="https://disk.yandex.ru/client/disk/%D0%9E%D1%81%D0%BC%D0%BE%D1%82%D1%80%D1%8B%20%D0%BE%D0%B1%D1%8A%D0%B5%D0%BA%D1%82%D0%BE%D0%B2%20%D0%90%D0%9D%D0%9E%20%D0%A1%D0%9C%D0%93/1269.%20%D0%96%D0%9A%20%D0%9C%D0%B0%D1%80%D1%83%D1%88%D0%BA%D0%B8%D0%BD%D0%BE%2C%20%D1%83%D0%BB.%20%D0%A1%D0%B5%D0%B2%D0%B5%D1%80%D0%BD%D0%B0%D1%8F%2C%20%D0%B4.%2021%2C%20%D0%BA.%201-4" TargetMode="External"/><Relationship Id="rId936" Type="http://schemas.openxmlformats.org/officeDocument/2006/relationships/hyperlink" Target="https://docs.google.com/spreadsheets/d/1H1MjbG2y0oC0hhID4do1G0_gfyI1jag72lQd7nL3WDQ/edit?gid=305005516" TargetMode="External"/><Relationship Id="rId935" Type="http://schemas.openxmlformats.org/officeDocument/2006/relationships/hyperlink" Target="https://docs.google.com/spreadsheets/d/1EI7qusa674eJhuaw-nWWtWMEHVSYMQv7HLsInEZTWpE/edit?gid=1454177438" TargetMode="External"/><Relationship Id="rId934" Type="http://schemas.openxmlformats.org/officeDocument/2006/relationships/hyperlink" Target="https://docs.google.com/spreadsheets/d/1H1MjbG2y0oC0hhID4do1G0_gfyI1jag72lQd7nL3WDQ/edit?gid=64389007" TargetMode="External"/><Relationship Id="rId933" Type="http://schemas.openxmlformats.org/officeDocument/2006/relationships/hyperlink" Target="https://docs.google.com/spreadsheets/d/1EI7qusa674eJhuaw-nWWtWMEHVSYMQv7HLsInEZTWpE/edit?gid=1499291407" TargetMode="External"/><Relationship Id="rId62" Type="http://schemas.openxmlformats.org/officeDocument/2006/relationships/hyperlink" Target="https://docs.google.com/spreadsheets/d/19THEBTE9q0fhN2eApZr6BgenIvLGh0AckaYxHQfHk5w/edit?gid=1851450243" TargetMode="External"/><Relationship Id="rId61" Type="http://schemas.openxmlformats.org/officeDocument/2006/relationships/hyperlink" Target="https://docs.google.com/spreadsheets/d/19THEBTE9q0fhN2eApZr6BgenIvLGh0AckaYxHQfHk5w/edit?gid=1462059153" TargetMode="External"/><Relationship Id="rId64" Type="http://schemas.openxmlformats.org/officeDocument/2006/relationships/hyperlink" Target="https://docs.google.com/spreadsheets/d/19THEBTE9q0fhN2eApZr6BgenIvLGh0AckaYxHQfHk5w/edit?gid=1930019775" TargetMode="External"/><Relationship Id="rId63" Type="http://schemas.openxmlformats.org/officeDocument/2006/relationships/hyperlink" Target="https://docs.google.com/spreadsheets/d/19THEBTE9q0fhN2eApZr6BgenIvLGh0AckaYxHQfHk5w/edit?gid=809581458" TargetMode="External"/><Relationship Id="rId66" Type="http://schemas.openxmlformats.org/officeDocument/2006/relationships/hyperlink" Target="https://docs.google.com/spreadsheets/d/19THEBTE9q0fhN2eApZr6BgenIvLGh0AckaYxHQfHk5w/edit?gid=779020277" TargetMode="External"/><Relationship Id="rId65" Type="http://schemas.openxmlformats.org/officeDocument/2006/relationships/hyperlink" Target="https://docs.google.com/spreadsheets/d/1EI7qusa674eJhuaw-nWWtWMEHVSYMQv7HLsInEZTWpE/edit?gid=1466023727" TargetMode="External"/><Relationship Id="rId68" Type="http://schemas.openxmlformats.org/officeDocument/2006/relationships/hyperlink" Target="https://docs.google.com/spreadsheets/d/19THEBTE9q0fhN2eApZr6BgenIvLGh0AckaYxHQfHk5w/edit?gid=493360007" TargetMode="External"/><Relationship Id="rId67" Type="http://schemas.openxmlformats.org/officeDocument/2006/relationships/hyperlink" Target="https://docs.google.com/spreadsheets/d/19THEBTE9q0fhN2eApZr6BgenIvLGh0AckaYxHQfHk5w/edit?gid=1995746861" TargetMode="External"/><Relationship Id="rId729" Type="http://schemas.openxmlformats.org/officeDocument/2006/relationships/hyperlink" Target="https://docs.google.com/spreadsheets/d/1lEcUd4exxkr5Za3IYZ0vdFNfMubnuMOOMXfmF3GYC9I/edit?gid=1826826370" TargetMode="External"/><Relationship Id="rId728" Type="http://schemas.openxmlformats.org/officeDocument/2006/relationships/hyperlink" Target="https://docs.google.com/spreadsheets/d/1lEcUd4exxkr5Za3IYZ0vdFNfMubnuMOOMXfmF3GYC9I/edit?gid=65622672" TargetMode="External"/><Relationship Id="rId60" Type="http://schemas.openxmlformats.org/officeDocument/2006/relationships/hyperlink" Target="https://docs.google.com/spreadsheets/d/19THEBTE9q0fhN2eApZr6BgenIvLGh0AckaYxHQfHk5w/edit?gid=944368290" TargetMode="External"/><Relationship Id="rId723" Type="http://schemas.openxmlformats.org/officeDocument/2006/relationships/hyperlink" Target="https://docs.google.com/spreadsheets/d/1lEcUd4exxkr5Za3IYZ0vdFNfMubnuMOOMXfmF3GYC9I/edit?gid=545670814" TargetMode="External"/><Relationship Id="rId965" Type="http://schemas.openxmlformats.org/officeDocument/2006/relationships/hyperlink" Target="https://disk.yandex.ru/client/disk/%D0%9E%D1%81%D0%BC%D0%BE%D1%82%D1%80%D1%8B%20%D0%BE%D0%B1%D1%8A%D0%B5%D0%BA%D1%82%D0%BE%D0%B2%20%D0%90%D0%9D%D0%9E%20%D0%A1%D0%9C%D0%93/1261%20%D1%83%D0%BB.%20%D0%92%D0%B0%D1%81%D0%B8%D0%BB%D0%B8%D1%81%D1%8B%20%D0%9A%D0%BE%D0%B6%D0%B8%D0%BD%D0%BE%D0%B9%2C%20%D0%B2%D0%BB.%2025%20%D0%B4%D1%80%D0%BE%D0%B1%D1%8C%201.%20%D0%9C%D0%BD%D0%BE%D0%B3%D0%BE%D1%84%D1%83%D0%BD%D0%BA%D1%86%D0%B8%D0%BE%D0%BD%D0%B0%D0%BB%D1%8C%D0%BD%D1%8B%D0%B9%20%D0%B4%D0%B5%D0%BB%D0%BE%D0%B2%D0%BE%D0%B9%20%D0%BA%D0%BE%D0%BC%D0%BF%D0%B5%D0%BA%D1%81%20%D1%81%20%D0%B3%D0%BE%D1%81%D1%82%D0%B8%D0%BD%D0%B8%D1%87%D0%BD%D1%8B%D0%BC%D0%B8%20%D0%BD%D0%BE%D0%BC%D0%B5%D1%80%D0%B0%D0%BC%D0%B8%20%D0%B8%20%D0%BF%D0%BE%D0%B4%D0%B7%D0%B5%D0%BC%D0%BD%D0%BE%D0%B9%20%D0%BF%D0%B0%D1%80%D0%BA%D0%BE%D0%B2%D0%BA%D0%BE%D0%B9" TargetMode="External"/><Relationship Id="rId722" Type="http://schemas.openxmlformats.org/officeDocument/2006/relationships/hyperlink" Target="https://docs.google.com/spreadsheets/d/1lEcUd4exxkr5Za3IYZ0vdFNfMubnuMOOMXfmF3GYC9I/edit?gid=452615283" TargetMode="External"/><Relationship Id="rId964" Type="http://schemas.openxmlformats.org/officeDocument/2006/relationships/hyperlink" Target="https://docs.google.com/spreadsheets/d/1EI7qusa674eJhuaw-nWWtWMEHVSYMQv7HLsInEZTWpE/edit?gid=1420606721" TargetMode="External"/><Relationship Id="rId721" Type="http://schemas.openxmlformats.org/officeDocument/2006/relationships/hyperlink" Target="https://docs.google.com/spreadsheets/d/1lEcUd4exxkr5Za3IYZ0vdFNfMubnuMOOMXfmF3GYC9I/edit?gid=226391427" TargetMode="External"/><Relationship Id="rId963" Type="http://schemas.openxmlformats.org/officeDocument/2006/relationships/hyperlink" Target="https://disk.yandex.ru/client/disk/%D0%9E%D1%81%D0%BC%D0%BE%D1%82%D1%80%D1%8B%20%D0%BE%D0%B1%D1%8A%D0%B5%D0%BA%D1%82%D0%BE%D0%B2%20%D0%90%D0%9D%D0%9E%20%D0%A1%D0%9C%D0%93/1260%20%D0%96%D0%B8%D0%BB%D0%B0%D1%8F%20%D0%B8%20%D0%BE%D1%84%D0%B8%D1%81%D0%BD%D0%B0%D1%8F%20%D0%B7%D0%B0%D1%81%D1%82%D1%80%D0%BE%D0%B9%D0%BA%D0%B0.%20%D0%91%D0%B8%D0%B7%D0%BD%D0%B5%D1%81-%D1%86%D0%B5%D0%BD%D1%82%D1%80.%20%D0%AD%D1%82%D0%B0%D0%BF2%20%D0%9C%D0%BE%D1%81%D0%BA%D0%B2%D0%B0%2C%20%D0%94%D0%B5%D1%80%D0%B1%D0%B5%D0%BD%D0%B5%D0%B2%D1%81%D0%BA%D0%B0%D1%8F%20%D1%83%D0%BB%D0%B8%D1%86%D0%B0%2C%20%D0%B2%D0%BB1" TargetMode="External"/><Relationship Id="rId720" Type="http://schemas.openxmlformats.org/officeDocument/2006/relationships/hyperlink" Target="https://docs.google.com/spreadsheets/d/1lEcUd4exxkr5Za3IYZ0vdFNfMubnuMOOMXfmF3GYC9I/edit?gid=1777508564" TargetMode="External"/><Relationship Id="rId962" Type="http://schemas.openxmlformats.org/officeDocument/2006/relationships/hyperlink" Target="https://docs.google.com/spreadsheets/d/1EI7qusa674eJhuaw-nWWtWMEHVSYMQv7HLsInEZTWpE/edit?gid=1924857156" TargetMode="External"/><Relationship Id="rId727" Type="http://schemas.openxmlformats.org/officeDocument/2006/relationships/hyperlink" Target="https://docs.google.com/spreadsheets/d/1lEcUd4exxkr5Za3IYZ0vdFNfMubnuMOOMXfmF3GYC9I/edit?gid=569403802" TargetMode="External"/><Relationship Id="rId969" Type="http://schemas.openxmlformats.org/officeDocument/2006/relationships/hyperlink" Target="https://disk.yandex.ru/client/disk/%D0%9E%D1%81%D0%BC%D0%BE%D1%82%D1%80%D1%8B%20%D0%BE%D0%B1%D1%8A%D0%B5%D0%BA%D1%82%D0%BE%D0%B2%20%D0%90%D0%9D%D0%9E%20%D0%A1%D0%9C%D0%93/1263%20%D0%9E%D1%84%D0%B8%D1%81%D0%BD%D0%BE-%D0%B4%D0%B5%D0%BB%D0%BE%D0%B2%D0%BE%D0%B9%20%D1%86%D0%B5%D0%BD%D1%82%D1%80.%20%D0%96%D1%83%D0%BA%D0%BE%D0%B2%D0%B0%20%D0%BC%D1%80.%2C%20%D0%B2%D0%BB.%208" TargetMode="External"/><Relationship Id="rId726" Type="http://schemas.openxmlformats.org/officeDocument/2006/relationships/hyperlink" Target="https://docs.google.com/spreadsheets/d/1lEcUd4exxkr5Za3IYZ0vdFNfMubnuMOOMXfmF3GYC9I/edit?gid=1377038117" TargetMode="External"/><Relationship Id="rId968" Type="http://schemas.openxmlformats.org/officeDocument/2006/relationships/hyperlink" Target="https://docs.google.com/spreadsheets/d/1EI7qusa674eJhuaw-nWWtWMEHVSYMQv7HLsInEZTWpE/edit?gid=407138877" TargetMode="External"/><Relationship Id="rId725" Type="http://schemas.openxmlformats.org/officeDocument/2006/relationships/hyperlink" Target="https://docs.google.com/spreadsheets/d/1lEcUd4exxkr5Za3IYZ0vdFNfMubnuMOOMXfmF3GYC9I/edit?gid=1860586350" TargetMode="External"/><Relationship Id="rId967" Type="http://schemas.openxmlformats.org/officeDocument/2006/relationships/hyperlink" Target="https://disk.yandex.ru/client/disk/%D0%9E%D1%81%D0%BC%D0%BE%D1%82%D1%80%D1%8B%20%D0%BE%D0%B1%D1%8A%D0%B5%D0%BA%D1%82%D0%BE%D0%B2%20%D0%90%D0%9D%D0%9E%20%D0%A1%D0%9C%D0%93/1262.%20%D0%9E%D1%84%D0%B8%D1%81%D0%BD%D0%BE%D0%B5%20%D0%B7%D0%B4%D0%B0%D0%BD%D0%B8%D0%B5%2C%20%D0%BA.%2012.1%2C%20%D0%9E%D0%B7%D1%91%D1%80%D0%BD%D0%B0%D1%8F%20%D1%83%D0%BB.%2C%20%D0%B2%D0%BB.%2042" TargetMode="External"/><Relationship Id="rId724" Type="http://schemas.openxmlformats.org/officeDocument/2006/relationships/hyperlink" Target="https://docs.google.com/spreadsheets/d/1lEcUd4exxkr5Za3IYZ0vdFNfMubnuMOOMXfmF3GYC9I/edit?gid=1723281280" TargetMode="External"/><Relationship Id="rId966" Type="http://schemas.openxmlformats.org/officeDocument/2006/relationships/hyperlink" Target="https://docs.google.com/spreadsheets/d/1EI7qusa674eJhuaw-nWWtWMEHVSYMQv7HLsInEZTWpE/edit?gid=1959905549" TargetMode="External"/><Relationship Id="rId69" Type="http://schemas.openxmlformats.org/officeDocument/2006/relationships/hyperlink" Target="https://disk.yandex.ru/client/disk/%D0%9E%D1%81%D0%BC%D0%BE%D1%82%D1%80%D1%8B%20%D0%BE%D0%B1%D1%8A%D0%B5%D0%BA%D1%82%D0%BE%D0%B2%20%D0%90%D0%9D%D0%9E%20%D0%A1%D0%9C%D0%93/019.%20%D0%A0%D0%B5%D0%BA%D0%BE%D0%BD%D1%81%D1%82%D1%80%D1%83%D0%BA%D1%86%D0%B8%D1%8F%20%D1%81%D1%83%D1%89%D0%B5%D1%81%D1%82%D0%B2%D1%83%D1%8E%D1%89%D0%B5%D0%B3%D0%BE%20%D0%B7%D0%B4%D0%B0%D0%BD%D0%B8%D1%8F%20%C2%AB%D0%93%D0%91%D0%9E%D0%A3%20%C2%AB%D0%A8%D0%BA%D0%BE%D0%BB%D0%B0%20%E2%84%96%202073%C2%BB%2C%201-%D0%B9%20%D1%8D%D1%82%D0%B0%D0%BF%20%C2%A0%D0%A2%D0%90%D0%9E%2C%20%D0%BF%D0%BE%D1%81.%20%D0%9A%D0%BB%D0%B5%D0%BD%D0%BE%D0%B2%D1%81%D0%BA%D0%BE%D0%B5%2C%20%D1%81.%20%D0%9A%D0%BB%D0%B5%D0%BD%D0%BE%D0%B2%D0%BE%2C%20%D0%A3%D0%BB.%20%D0%A6%D0%B5%D0%BD%D1%82%D1%80%D0%B0%D0%BB%D1%8C%D0%BD%D0%B0%D1%8F%2C%202%2C%20%D1%81%D1%82%D1%80.%201%20(%D0%AD%D1%82%D0%B0%D0%BF%201)" TargetMode="External"/><Relationship Id="rId961" Type="http://schemas.openxmlformats.org/officeDocument/2006/relationships/hyperlink" Target="https://disk.yandex.ru/client/disk/%D0%9E%D1%81%D0%BC%D0%BE%D1%82%D1%80%D1%8B%20%D0%BE%D0%B1%D1%8A%D0%B5%D0%BA%D1%82%D0%BE%D0%B2%20%D0%90%D0%9D%D0%9E%20%D0%A1%D0%9C%D0%93/1259.%20%D1%82%D0%B5%D1%80.%20%D0%A1%D0%BA%D0%BE%D0%BB%D0%BA%D0%BE%D0%B2%D0%BE%2C%20%D0%A2%D0%B2%D0%BE%D1%80%D1%87%D0%B5%D1%81%D0%BA%D0%B8%D0%B9%20%D0%BA%D0%B2%D0%B0%D1%80%D1%82%D0%B0%D0%BB%2C%20%D0%BA%D0%BE%D1%80%D0%BF.%203%2C%207%2C%208%2C%209%2C%2010" TargetMode="External"/><Relationship Id="rId960" Type="http://schemas.openxmlformats.org/officeDocument/2006/relationships/hyperlink" Target="https://docs.google.com/spreadsheets/d/1EI7qusa674eJhuaw-nWWtWMEHVSYMQv7HLsInEZTWpE/edit?gid=394346053" TargetMode="External"/><Relationship Id="rId51" Type="http://schemas.openxmlformats.org/officeDocument/2006/relationships/hyperlink" Target="https://docs.google.com/spreadsheets/d/19THEBTE9q0fhN2eApZr6BgenIvLGh0AckaYxHQfHk5w/edit?gid=2057787589" TargetMode="External"/><Relationship Id="rId50" Type="http://schemas.openxmlformats.org/officeDocument/2006/relationships/hyperlink" Target="https://docs.google.com/spreadsheets/d/19THEBTE9q0fhN2eApZr6BgenIvLGh0AckaYxHQfHk5w/edit?gid=1005264754" TargetMode="External"/><Relationship Id="rId53" Type="http://schemas.openxmlformats.org/officeDocument/2006/relationships/hyperlink" Target="https://docs.google.com/spreadsheets/d/19THEBTE9q0fhN2eApZr6BgenIvLGh0AckaYxHQfHk5w/edit?gid=1755627096" TargetMode="External"/><Relationship Id="rId52" Type="http://schemas.openxmlformats.org/officeDocument/2006/relationships/hyperlink" Target="https://docs.google.com/spreadsheets/d/19THEBTE9q0fhN2eApZr6BgenIvLGh0AckaYxHQfHk5w/edit?gid=566495818" TargetMode="External"/><Relationship Id="rId55" Type="http://schemas.openxmlformats.org/officeDocument/2006/relationships/hyperlink" Target="https://docs.google.com/spreadsheets/d/1EI7qusa674eJhuaw-nWWtWMEHVSYMQv7HLsInEZTWpE/edit?gid=1724951288" TargetMode="External"/><Relationship Id="rId54" Type="http://schemas.openxmlformats.org/officeDocument/2006/relationships/hyperlink" Target="https://docs.google.com/spreadsheets/d/19THEBTE9q0fhN2eApZr6BgenIvLGh0AckaYxHQfHk5w/edit?gid=1460101979" TargetMode="External"/><Relationship Id="rId57" Type="http://schemas.openxmlformats.org/officeDocument/2006/relationships/hyperlink" Target="https://docs.google.com/spreadsheets/d/19THEBTE9q0fhN2eApZr6BgenIvLGh0AckaYxHQfHk5w/edit?gid=649028784" TargetMode="External"/><Relationship Id="rId56" Type="http://schemas.openxmlformats.org/officeDocument/2006/relationships/hyperlink" Target="https://docs.google.com/spreadsheets/d/19THEBTE9q0fhN2eApZr6BgenIvLGh0AckaYxHQfHk5w/edit?gid=1645222765" TargetMode="External"/><Relationship Id="rId719" Type="http://schemas.openxmlformats.org/officeDocument/2006/relationships/hyperlink" Target="https://docs.google.com/spreadsheets/d/1lEcUd4exxkr5Za3IYZ0vdFNfMubnuMOOMXfmF3GYC9I/edit?gid=961840138" TargetMode="External"/><Relationship Id="rId718" Type="http://schemas.openxmlformats.org/officeDocument/2006/relationships/hyperlink" Target="https://docs.google.com/spreadsheets/d/1lEcUd4exxkr5Za3IYZ0vdFNfMubnuMOOMXfmF3GYC9I/edit?gid=644664004" TargetMode="External"/><Relationship Id="rId717" Type="http://schemas.openxmlformats.org/officeDocument/2006/relationships/hyperlink" Target="https://docs.google.com/spreadsheets/d/1lEcUd4exxkr5Za3IYZ0vdFNfMubnuMOOMXfmF3GYC9I/edit?gid=770240622" TargetMode="External"/><Relationship Id="rId959" Type="http://schemas.openxmlformats.org/officeDocument/2006/relationships/hyperlink" Target="https://disk.yandex.ru/client/disk/%D0%9E%D1%81%D0%BC%D0%BE%D1%82%D1%80%D1%8B%20%D0%BE%D0%B1%D1%8A%D0%B5%D0%BA%D1%82%D0%BE%D0%B2%20%D0%90%D0%9D%D0%9E%20%D0%A1%D0%9C%D0%93/1258.%20%D0%9C%D0%BD%D0%BE%D0%B3%D0%BE%D1%84%D1%83%D0%BD%D0%BA%D1%86%D0%B8%D0%BE%D0%BD%D0%B0%D0%BB%D1%8C%D0%BD%D1%8B%D0%B9%20%D0%BA%D0%BE%D0%BC%D0%BF%D0%BB%D0%B5%D0%BA%D1%81%2C%20%D0%BA.%204-5%2C%20%D0%9D%D0%B8%D0%BA%D1%83%D0%BB%D0%B8%D0%BD%D1%81%D0%BA%D0%B0%D1%8F%2C%20%D0%B2%D0%BB.%2011%D0%B3" TargetMode="External"/><Relationship Id="rId712" Type="http://schemas.openxmlformats.org/officeDocument/2006/relationships/hyperlink" Target="https://disk.yandex.ru/client/disk/%D0%9E%D1%81%D0%BC%D0%BE%D1%82%D1%80%D1%8B%20%D0%BE%D0%B1%D1%8A%D0%B5%D0%BA%D1%82%D0%BE%D0%B2%20%D0%90%D0%9D%D0%9E%20%D0%A1%D0%9C%D0%93/972%20%D0%97%D0%B5%D0%BB%D0%B5%D0%BD%D1%8B%D0%B9%20%D0%BF%D1%80%D0%BE%D1%81%D0%BF%D0%B5%D0%BA%D1%82%20%D0%97%D0%A3%2093%20" TargetMode="External"/><Relationship Id="rId954" Type="http://schemas.openxmlformats.org/officeDocument/2006/relationships/hyperlink" Target="https://disk.yandex.ru/client/disk/%D0%9E%D1%81%D0%BC%D0%BE%D1%82%D1%80%D1%8B%20%D0%BE%D0%B1%D1%8A%D0%B5%D0%BA%D1%82%D0%BE%D0%B2%20%D0%90%D0%9D%D0%9E%20%D0%A1%D0%9C%D0%93/1255%20%D0%9F%D0%B5%D1%80%D0%B5%D1%81%D0%B5%D1%87%D0%B5%D0%BD%D0%B8%D0%B5%20%D0%9A%D1%83%D1%82%D1%83%D0%B7%D0%BE%D0%B2%D1%81%D0%BA%D0%BE%D0%B3%D0%BE%20%D0%BF%D1%80%D0%BE%D1%81%D0%BF%D0%B5%D0%BA%D1%82%D0%B0%20%D0%B8%20%D1%83%D0%BB%D0%B8%D1%86%D1%8B%20%D0%9A%D1%83%D0%BB%D1%8C%D0%BD%D0%B5%D0%B2%D0%B0.%20%D0%90%D0%B4%D0%BC%D0%B8%D0%BD%D0%B8%D1%81%D1%82%D1%80%D0%B0%D1%82%D0%B8%D0%B2%D0%BD%D0%BE-%D1%82%D0%BE%D1%80%D0%B3%D0%BE%D0%B2%D1%8B%D0%B9%20%D0%BA%D0%BE%D0%BC%D0%BF%D0%BB%D0%B5%D0%BA%D1%81%20%D1%81%20%D0%BF%D0%BE%D0%B4%D0%B7%D0%B5%D0%BC%D0%BD%D0%BE%D0%B9%20%D0%B0%D0%B2%D1%82%D0%BE%D1%81%D1%82%D0%BE%D1%8F%D0%BD%D0%BA%D0%BE%D0%B9%2C%20%D0%BA%D0%BE%D1%80%D0%BF%D1%83%D1%81%20%D0%92%20%D0%B8%20%D0%93." TargetMode="External"/><Relationship Id="rId711" Type="http://schemas.openxmlformats.org/officeDocument/2006/relationships/hyperlink" Target="https://docs.google.com/spreadsheets/d/1lEcUd4exxkr5Za3IYZ0vdFNfMubnuMOOMXfmF3GYC9I/edit?gid=1644112833" TargetMode="External"/><Relationship Id="rId953" Type="http://schemas.openxmlformats.org/officeDocument/2006/relationships/hyperlink" Target="https://docs.google.com/spreadsheets/d/1EI7qusa674eJhuaw-nWWtWMEHVSYMQv7HLsInEZTWpE/edit?gid=2128549332" TargetMode="External"/><Relationship Id="rId710" Type="http://schemas.openxmlformats.org/officeDocument/2006/relationships/hyperlink" Target="https://disk.yandex.ru/client/disk/%D0%9E%D1%81%D0%BC%D0%BE%D1%82%D1%80%D1%8B%20%D0%BE%D0%B1%D1%8A%D0%B5%D0%BA%D1%82%D0%BE%D0%B2%20%D0%90%D0%9D%D0%9E%20%D0%A1%D0%9C%D0%93/967%20%D0%A0%D1%8F%D0%B7%D0%B0%D0%BD%D1%81%D0%BA%D0%B8%D0%B9%20%D0%BF%D1%80-%D1%82%2C%20%D0%B2%D0%BB.%2017" TargetMode="External"/><Relationship Id="rId952" Type="http://schemas.openxmlformats.org/officeDocument/2006/relationships/hyperlink" Target="https://disk.yandex.ru/client/disk/%D0%9E%D1%81%D0%BC%D0%BE%D1%82%D1%80%D1%8B%20%D0%BE%D0%B1%D1%8A%D0%B5%D0%BA%D1%82%D0%BE%D0%B2%20%D0%90%D0%9D%D0%9E%20%D0%A1%D0%9C%D0%93/1254%20%D0%9F%D1%80%D0%BE%D0%BC%D1%8B%D1%88%D0%BB%D0%B5%D0%BD%D0%BD%D1%8B%D0%B9%20%D0%BF%D1%80%D0%BE%D0%B5%D0%B7%D0%B4%2C%20%D0%B2%D0%BB.%205.%20%D0%90%D0%B4%D0%BC%D0%B8%D0%BD%D0%B8%D1%81%D1%82%D1%80%D0%B0%D1%82%D0%B8%D0%B2%D0%BD%D0%BE%D0%B5%20%D0%B7%D0%B4%D0%B0%D0%BD%D0%B8%D0%B5%20%D1%81%20%D0%BF%D0%BE%D0%B4%D0%B7%D0%B5%D0%BC%D0%BD%D0%BE%D0%B9%20%D0%B0%D0%B2%D1%82%D0%BE%D1%81%D1%82%D0%BE%D1%8F%D0%BD%D0%BA%D0%BE%D0%B9." TargetMode="External"/><Relationship Id="rId951" Type="http://schemas.openxmlformats.org/officeDocument/2006/relationships/hyperlink" Target="https://docs.google.com/spreadsheets/d/1EI7qusa674eJhuaw-nWWtWMEHVSYMQv7HLsInEZTWpE/edit?gid=1656230982" TargetMode="External"/><Relationship Id="rId716" Type="http://schemas.openxmlformats.org/officeDocument/2006/relationships/hyperlink" Target="https://docs.google.com/spreadsheets/d/1lEcUd4exxkr5Za3IYZ0vdFNfMubnuMOOMXfmF3GYC9I/edit?gid=135078699" TargetMode="External"/><Relationship Id="rId958" Type="http://schemas.openxmlformats.org/officeDocument/2006/relationships/hyperlink" Target="https://docs.google.com/spreadsheets/d/1EI7qusa674eJhuaw-nWWtWMEHVSYMQv7HLsInEZTWpE/edit?gid=1050204202" TargetMode="External"/><Relationship Id="rId715" Type="http://schemas.openxmlformats.org/officeDocument/2006/relationships/hyperlink" Target="https://docs.google.com/spreadsheets/d/1lEcUd4exxkr5Za3IYZ0vdFNfMubnuMOOMXfmF3GYC9I/edit?gid=1363194216" TargetMode="External"/><Relationship Id="rId957" Type="http://schemas.openxmlformats.org/officeDocument/2006/relationships/hyperlink" Target="https://docs.google.com/spreadsheets/d/1EI7qusa674eJhuaw-nWWtWMEHVSYMQv7HLsInEZTWpE/edit?gid=1028732980" TargetMode="External"/><Relationship Id="rId714" Type="http://schemas.openxmlformats.org/officeDocument/2006/relationships/hyperlink" Target="https://disk.yandex.ru/client/disk/%D0%9E%D1%81%D0%BC%D0%BE%D1%82%D1%80%D1%8B%20%D0%BE%D0%B1%D1%8A%D0%B5%D0%BA%D1%82%D0%BE%D0%B2%20%D0%90%D0%9D%D0%9E%20%D0%A1%D0%9C%D0%93/973%20%D0%9F%D1%80-%D0%B4%20%D0%A1%D0%B0%D0%BF%D0%B5%D1%80%D0%BD%D1%8B%D0%B9%20%D0%97%D0%A3%2014%20" TargetMode="External"/><Relationship Id="rId956" Type="http://schemas.openxmlformats.org/officeDocument/2006/relationships/hyperlink" Target="https://disk.yandex.ru/client/disk/%D0%9E%D1%81%D0%BC%D0%BE%D1%82%D1%80%D1%8B%20%D0%BE%D0%B1%D1%8A%D0%B5%D0%BA%D1%82%D0%BE%D0%B2%20%D0%90%D0%9D%D0%9E%20%D0%A1%D0%9C%D0%93/1256.%20%D0%A6%D0%B5%D0%BD%D1%82%D1%80%20%D0%BE%D0%B1%D1%80%D0%B0%D0%B1%D0%BE%D1%82%D0%BA%D0%B8%20%D0%B4%D0%B0%D0%BD%D0%BD%D1%8B%D1%85(%D0%9C%D0%B5%D0%B3%D0%B0%D0%A6%D0%9E%D0%94-3)%D0%9C%D0%BE%D1%81%D0%BA%D0%B2%D0%B0%2C%202-%D0%B9%20%D0%AE%D0%B6%D0%BD%D0%BE%D0%BF%D0%BE%D1%80%D1%82%D0%BE%D0%B2%D1%8B%D0%B9%20%D0%BF%D1%80%D0%BE%D0%B5%D0%B7%D0%B4%2C%2012%20%D0%90" TargetMode="External"/><Relationship Id="rId713" Type="http://schemas.openxmlformats.org/officeDocument/2006/relationships/hyperlink" Target="https://docs.google.com/spreadsheets/d/1lEcUd4exxkr5Za3IYZ0vdFNfMubnuMOOMXfmF3GYC9I/edit?gid=2083513887" TargetMode="External"/><Relationship Id="rId955" Type="http://schemas.openxmlformats.org/officeDocument/2006/relationships/hyperlink" Target="https://docs.google.com/spreadsheets/d/1EI7qusa674eJhuaw-nWWtWMEHVSYMQv7HLsInEZTWpE/edit?gid=721503388" TargetMode="External"/><Relationship Id="rId59" Type="http://schemas.openxmlformats.org/officeDocument/2006/relationships/hyperlink" Target="https://docs.google.com/spreadsheets/d/19THEBTE9q0fhN2eApZr6BgenIvLGh0AckaYxHQfHk5w/edit?gid=1434066436" TargetMode="External"/><Relationship Id="rId58" Type="http://schemas.openxmlformats.org/officeDocument/2006/relationships/hyperlink" Target="https://docs.google.com/spreadsheets/d/19THEBTE9q0fhN2eApZr6BgenIvLGh0AckaYxHQfHk5w/edit?gid=1519561806" TargetMode="External"/><Relationship Id="rId950" Type="http://schemas.openxmlformats.org/officeDocument/2006/relationships/hyperlink" Target="https://disk.yandex.ru/client/disk/%D0%9E%D1%81%D0%BC%D0%BE%D1%82%D1%80%D1%8B%20%D0%BE%D0%B1%D1%8A%D0%B5%D0%BA%D1%82%D0%BE%D0%B2%20%D0%90%D0%9D%D0%9E%20%D0%A1%D0%9C%D0%93/1253%20%D1%83%D0%BB.%20%D0%97%D0%B0%D1%80%D0%B5%D1%87%D0%BD%D0%B0%D1%8F%2C%20%D0%B2%D0%BB.%202%20%D0%B4%D1%80%D0%BE%D0%B1%D1%8C%201.%20%D0%9E%D1%84%D0%B8%D1%81%D0%BD%D0%BE%D0%B5%20%D0%B7%D0%B4%D0%B0%D0%BD%D0%B8%D0%B5." TargetMode="External"/><Relationship Id="rId590" Type="http://schemas.openxmlformats.org/officeDocument/2006/relationships/hyperlink" Target="https://docs.google.com/spreadsheets/d/1rbCD10ySi4YZEkJW2_Slmn9z7AI1WEsGsZaIJmnnT18/edit?gid=151666570" TargetMode="External"/><Relationship Id="rId107" Type="http://schemas.openxmlformats.org/officeDocument/2006/relationships/hyperlink" Target="https://docs.google.com/spreadsheets/d/1jonEGMB3UFHiUZpltF1zURon8gYN7jGSHu-k9t5TXnA/edit?gid=821057082" TargetMode="External"/><Relationship Id="rId349" Type="http://schemas.openxmlformats.org/officeDocument/2006/relationships/hyperlink" Target="https://docs.google.com/spreadsheets/d/1H1MjbG2y0oC0hhID4do1G0_gfyI1jag72lQd7nL3WDQ/edit?gid=656187579" TargetMode="External"/><Relationship Id="rId106" Type="http://schemas.openxmlformats.org/officeDocument/2006/relationships/hyperlink" Target="https://docs.google.com/spreadsheets/d/1jonEGMB3UFHiUZpltF1zURon8gYN7jGSHu-k9t5TXnA/edit?gid=1442718959" TargetMode="External"/><Relationship Id="rId348" Type="http://schemas.openxmlformats.org/officeDocument/2006/relationships/hyperlink" Target="https://docs.google.com/spreadsheets/d/1H1MjbG2y0oC0hhID4do1G0_gfyI1jag72lQd7nL3WDQ/edit?gid=765483752" TargetMode="External"/><Relationship Id="rId105" Type="http://schemas.openxmlformats.org/officeDocument/2006/relationships/hyperlink" Target="https://docs.google.com/spreadsheets/d/1jonEGMB3UFHiUZpltF1zURon8gYN7jGSHu-k9t5TXnA/edit?gid=2067153840" TargetMode="External"/><Relationship Id="rId347" Type="http://schemas.openxmlformats.org/officeDocument/2006/relationships/hyperlink" Target="https://docs.google.com/spreadsheets/d/1H1MjbG2y0oC0hhID4do1G0_gfyI1jag72lQd7nL3WDQ/edit?gid=1409357007" TargetMode="External"/><Relationship Id="rId589" Type="http://schemas.openxmlformats.org/officeDocument/2006/relationships/hyperlink" Target="https://docs.google.com/spreadsheets/d/1rbCD10ySi4YZEkJW2_Slmn9z7AI1WEsGsZaIJmnnT18/edit?gid=667094303" TargetMode="External"/><Relationship Id="rId104" Type="http://schemas.openxmlformats.org/officeDocument/2006/relationships/hyperlink" Target="https://docs.google.com/spreadsheets/d/1jonEGMB3UFHiUZpltF1zURon8gYN7jGSHu-k9t5TXnA/edit?gid=1809572747" TargetMode="External"/><Relationship Id="rId346" Type="http://schemas.openxmlformats.org/officeDocument/2006/relationships/hyperlink" Target="https://docs.google.com/spreadsheets/d/1H1MjbG2y0oC0hhID4do1G0_gfyI1jag72lQd7nL3WDQ/edit?gid=632665949" TargetMode="External"/><Relationship Id="rId588" Type="http://schemas.openxmlformats.org/officeDocument/2006/relationships/hyperlink" Target="https://docs.google.com/spreadsheets/d/1rbCD10ySi4YZEkJW2_Slmn9z7AI1WEsGsZaIJmnnT18/edit?gid=667094303" TargetMode="External"/><Relationship Id="rId109" Type="http://schemas.openxmlformats.org/officeDocument/2006/relationships/hyperlink" Target="https://docs.google.com/spreadsheets/d/1jonEGMB3UFHiUZpltF1zURon8gYN7jGSHu-k9t5TXnA/edit?gid=1288909819" TargetMode="External"/><Relationship Id="rId108" Type="http://schemas.openxmlformats.org/officeDocument/2006/relationships/hyperlink" Target="https://docs.google.com/spreadsheets/d/1jonEGMB3UFHiUZpltF1zURon8gYN7jGSHu-k9t5TXnA/edit?gid=577400276" TargetMode="External"/><Relationship Id="rId341" Type="http://schemas.openxmlformats.org/officeDocument/2006/relationships/hyperlink" Target="https://docs.google.com/spreadsheets/d/1H1MjbG2y0oC0hhID4do1G0_gfyI1jag72lQd7nL3WDQ/edit?gid=1589045795" TargetMode="External"/><Relationship Id="rId583" Type="http://schemas.openxmlformats.org/officeDocument/2006/relationships/hyperlink" Target="https://docs.google.com/spreadsheets/d/1rbCD10ySi4YZEkJW2_Slmn9z7AI1WEsGsZaIJmnnT18/edit?gid=1108501275" TargetMode="External"/><Relationship Id="rId340" Type="http://schemas.openxmlformats.org/officeDocument/2006/relationships/hyperlink" Target="https://docs.google.com/spreadsheets/d/1H1MjbG2y0oC0hhID4do1G0_gfyI1jag72lQd7nL3WDQ/edit?gid=1927985373" TargetMode="External"/><Relationship Id="rId582" Type="http://schemas.openxmlformats.org/officeDocument/2006/relationships/hyperlink" Target="https://docs.google.com/spreadsheets/d/1rbCD10ySi4YZEkJW2_Slmn9z7AI1WEsGsZaIJmnnT18/edit?gid=918222638" TargetMode="External"/><Relationship Id="rId581" Type="http://schemas.openxmlformats.org/officeDocument/2006/relationships/hyperlink" Target="https://docs.google.com/spreadsheets/d/1rbCD10ySi4YZEkJW2_Slmn9z7AI1WEsGsZaIJmnnT18/edit?gid=632308495" TargetMode="External"/><Relationship Id="rId580" Type="http://schemas.openxmlformats.org/officeDocument/2006/relationships/hyperlink" Target="https://docs.google.com/spreadsheets/d/1rbCD10ySi4YZEkJW2_Slmn9z7AI1WEsGsZaIJmnnT18/edit?gid=625147630" TargetMode="External"/><Relationship Id="rId103"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45" Type="http://schemas.openxmlformats.org/officeDocument/2006/relationships/hyperlink" Target="https://docs.google.com/spreadsheets/d/1H1MjbG2y0oC0hhID4do1G0_gfyI1jag72lQd7nL3WDQ/edit?gid=1217417878" TargetMode="External"/><Relationship Id="rId587" Type="http://schemas.openxmlformats.org/officeDocument/2006/relationships/hyperlink" Target="https://docs.google.com/spreadsheets/d/1rbCD10ySi4YZEkJW2_Slmn9z7AI1WEsGsZaIJmnnT18/edit?gid=667094303" TargetMode="External"/><Relationship Id="rId102" Type="http://schemas.openxmlformats.org/officeDocument/2006/relationships/hyperlink" Target="https://docs.google.com/spreadsheets/d/1jonEGMB3UFHiUZpltF1zURon8gYN7jGSHu-k9t5TXnA/edit?gid=886266246" TargetMode="External"/><Relationship Id="rId344" Type="http://schemas.openxmlformats.org/officeDocument/2006/relationships/hyperlink" Target="https://docs.google.com/spreadsheets/d/1H1MjbG2y0oC0hhID4do1G0_gfyI1jag72lQd7nL3WDQ/edit?gid=84528393" TargetMode="External"/><Relationship Id="rId586" Type="http://schemas.openxmlformats.org/officeDocument/2006/relationships/hyperlink" Target="https://docs.google.com/spreadsheets/d/1rbCD10ySi4YZEkJW2_Slmn9z7AI1WEsGsZaIJmnnT18/edit?gid=1315766169" TargetMode="External"/><Relationship Id="rId101"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43" Type="http://schemas.openxmlformats.org/officeDocument/2006/relationships/hyperlink" Target="https://docs.google.com/spreadsheets/d/1H1MjbG2y0oC0hhID4do1G0_gfyI1jag72lQd7nL3WDQ/edit?gid=397817205" TargetMode="External"/><Relationship Id="rId585" Type="http://schemas.openxmlformats.org/officeDocument/2006/relationships/hyperlink" Target="https://docs.google.com/spreadsheets/d/1rbCD10ySi4YZEkJW2_Slmn9z7AI1WEsGsZaIJmnnT18/edit?gid=679741287" TargetMode="External"/><Relationship Id="rId100" Type="http://schemas.openxmlformats.org/officeDocument/2006/relationships/hyperlink" Target="https://docs.google.com/spreadsheets/d/1jonEGMB3UFHiUZpltF1zURon8gYN7jGSHu-k9t5TXnA/edit?gid=1014561501" TargetMode="External"/><Relationship Id="rId342" Type="http://schemas.openxmlformats.org/officeDocument/2006/relationships/hyperlink" Target="https://disk.yandex.ru/client/disk/%D0%9E%D1%81%D0%BC%D0%BE%D1%82%D1%80%D1%8B%20%D0%BE%D0%B1%D1%8A%D0%B5%D0%BA%D1%82%D0%BE%D0%B2%20%D0%90%D0%9D%D0%9E%20%D0%A1%D0%9C%D0%93/562.%20%D1%80%D0%B0%D0%B9%D0%BE%D0%BD%20%D0%9A%D1%83%D0%B7%D1%8C%D0%BC%D0%B8%D0%BD%D0%BA%D0%B8%2C%20%D0%96%D0%B8%D0%B3%D1%83%D0%BB%D0%B5%D0%B2%D1%81%D0%BA%D0%B0%D1%8F%20%D1%83%D0%BB.%2C12.6.1%20%D0%B7%D0%BE%D0%BD%D0%B0%205.1%20(%D0%96%D0%B8%D0%BB%D0%BE%D0%B9%20%D0%B4%D0%BE%D0%BC%20%D0%9A.5%20(%D0%BC%D0%BA%D1%80.115)%20" TargetMode="External"/><Relationship Id="rId584" Type="http://schemas.openxmlformats.org/officeDocument/2006/relationships/hyperlink" Target="https://docs.google.com/spreadsheets/d/1rbCD10ySi4YZEkJW2_Slmn9z7AI1WEsGsZaIJmnnT18/edit?gid=900983135" TargetMode="External"/><Relationship Id="rId338" Type="http://schemas.openxmlformats.org/officeDocument/2006/relationships/hyperlink" Target="https://docs.google.com/spreadsheets/d/1H1MjbG2y0oC0hhID4do1G0_gfyI1jag72lQd7nL3WDQ/edit?gid=1300457232" TargetMode="External"/><Relationship Id="rId337" Type="http://schemas.openxmlformats.org/officeDocument/2006/relationships/hyperlink" Target="https://docs.google.com/spreadsheets/d/1H1MjbG2y0oC0hhID4do1G0_gfyI1jag72lQd7nL3WDQ/edit?gid=1870096044" TargetMode="External"/><Relationship Id="rId579" Type="http://schemas.openxmlformats.org/officeDocument/2006/relationships/hyperlink" Target="https://docs.google.com/spreadsheets/d/1rbCD10ySi4YZEkJW2_Slmn9z7AI1WEsGsZaIJmnnT18/edit?gid=858056712" TargetMode="External"/><Relationship Id="rId336" Type="http://schemas.openxmlformats.org/officeDocument/2006/relationships/hyperlink" Target="https://docs.google.com/spreadsheets/d/1H1MjbG2y0oC0hhID4do1G0_gfyI1jag72lQd7nL3WDQ/edit?gid=1191711449" TargetMode="External"/><Relationship Id="rId578" Type="http://schemas.openxmlformats.org/officeDocument/2006/relationships/hyperlink" Target="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 TargetMode="External"/><Relationship Id="rId335" Type="http://schemas.openxmlformats.org/officeDocument/2006/relationships/hyperlink" Target="https://docs.google.com/spreadsheets/d/1H1MjbG2y0oC0hhID4do1G0_gfyI1jag72lQd7nL3WDQ/edit?gid=1677110935" TargetMode="External"/><Relationship Id="rId577" Type="http://schemas.openxmlformats.org/officeDocument/2006/relationships/hyperlink" Target="https://docs.google.com/spreadsheets/d/1rbCD10ySi4YZEkJW2_Slmn9z7AI1WEsGsZaIJmnnT18/edit?gid=1294085884" TargetMode="External"/><Relationship Id="rId339" Type="http://schemas.openxmlformats.org/officeDocument/2006/relationships/hyperlink" Target="https://docs.google.com/spreadsheets/d/1H1MjbG2y0oC0hhID4do1G0_gfyI1jag72lQd7nL3WDQ/edit?gid=815627436" TargetMode="External"/><Relationship Id="rId330" Type="http://schemas.openxmlformats.org/officeDocument/2006/relationships/hyperlink" Target="https://docs.google.com/spreadsheets/d/1H1MjbG2y0oC0hhID4do1G0_gfyI1jag72lQd7nL3WDQ/edit?gid=1578036964" TargetMode="External"/><Relationship Id="rId572" Type="http://schemas.openxmlformats.org/officeDocument/2006/relationships/hyperlink" Target="https://docs.google.com/spreadsheets/d/1rbCD10ySi4YZEkJW2_Slmn9z7AI1WEsGsZaIJmnnT18/edit?gid=49686517" TargetMode="External"/><Relationship Id="rId571" Type="http://schemas.openxmlformats.org/officeDocument/2006/relationships/hyperlink" Target="https://docs.google.com/spreadsheets/d/1rbCD10ySi4YZEkJW2_Slmn9z7AI1WEsGsZaIJmnnT18/edit?gid=1534601072" TargetMode="External"/><Relationship Id="rId570" Type="http://schemas.openxmlformats.org/officeDocument/2006/relationships/hyperlink" Target="https://docs.google.com/spreadsheets/d/1rbCD10ySi4YZEkJW2_Slmn9z7AI1WEsGsZaIJmnnT18/edit?gid=509147488" TargetMode="External"/><Relationship Id="rId334" Type="http://schemas.openxmlformats.org/officeDocument/2006/relationships/hyperlink" Target="https://docs.google.com/spreadsheets/d/1H1MjbG2y0oC0hhID4do1G0_gfyI1jag72lQd7nL3WDQ/edit?gid=2120381921" TargetMode="External"/><Relationship Id="rId576" Type="http://schemas.openxmlformats.org/officeDocument/2006/relationships/hyperlink" Target="https://docs.google.com/spreadsheets/d/1rbCD10ySi4YZEkJW2_Slmn9z7AI1WEsGsZaIJmnnT18/edit?gid=1347270596" TargetMode="External"/><Relationship Id="rId333" Type="http://schemas.openxmlformats.org/officeDocument/2006/relationships/hyperlink" Target="https://docs.google.com/spreadsheets/d/1H1MjbG2y0oC0hhID4do1G0_gfyI1jag72lQd7nL3WDQ/edit?gid=604357555" TargetMode="External"/><Relationship Id="rId575" Type="http://schemas.openxmlformats.org/officeDocument/2006/relationships/hyperlink" Target="https://docs.google.com/spreadsheets/d/1rbCD10ySi4YZEkJW2_Slmn9z7AI1WEsGsZaIJmnnT18/edit?gid=1886195207" TargetMode="External"/><Relationship Id="rId332" Type="http://schemas.openxmlformats.org/officeDocument/2006/relationships/hyperlink" Target="https://docs.google.com/spreadsheets/d/1H1MjbG2y0oC0hhID4do1G0_gfyI1jag72lQd7nL3WDQ/edit?gid=1413674534" TargetMode="External"/><Relationship Id="rId574" Type="http://schemas.openxmlformats.org/officeDocument/2006/relationships/hyperlink" Target="https://docs.google.com/spreadsheets/d/1rbCD10ySi4YZEkJW2_Slmn9z7AI1WEsGsZaIJmnnT18/edit?gid=1956094116" TargetMode="External"/><Relationship Id="rId331" Type="http://schemas.openxmlformats.org/officeDocument/2006/relationships/hyperlink" Target="https://docs.google.com/spreadsheets/d/1H1MjbG2y0oC0hhID4do1G0_gfyI1jag72lQd7nL3WDQ/edit?gid=1517123869" TargetMode="External"/><Relationship Id="rId573" Type="http://schemas.openxmlformats.org/officeDocument/2006/relationships/hyperlink" Target="https://docs.google.com/spreadsheets/d/1rbCD10ySi4YZEkJW2_Slmn9z7AI1WEsGsZaIJmnnT18/edit?gid=9074212" TargetMode="External"/><Relationship Id="rId370" Type="http://schemas.openxmlformats.org/officeDocument/2006/relationships/hyperlink" Target="https://docs.google.com/spreadsheets/d/1H1MjbG2y0oC0hhID4do1G0_gfyI1jag72lQd7nL3WDQ/edit?gid=1141531368" TargetMode="External"/><Relationship Id="rId129" Type="http://schemas.openxmlformats.org/officeDocument/2006/relationships/hyperlink" Target="https://docs.google.com/spreadsheets/d/19THEBTE9q0fhN2eApZr6BgenIvLGh0AckaYxHQfHk5w/edit?gid=1037526455" TargetMode="External"/><Relationship Id="rId128" Type="http://schemas.openxmlformats.org/officeDocument/2006/relationships/hyperlink" Target="https://docs.google.com/spreadsheets/d/19THEBTE9q0fhN2eApZr6BgenIvLGh0AckaYxHQfHk5w/edit?gid=2126809757" TargetMode="External"/><Relationship Id="rId127"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369" Type="http://schemas.openxmlformats.org/officeDocument/2006/relationships/hyperlink" Target="https://docs.google.com/spreadsheets/d/1H1MjbG2y0oC0hhID4do1G0_gfyI1jag72lQd7nL3WDQ/edit?gid=1430842581" TargetMode="External"/><Relationship Id="rId126" Type="http://schemas.openxmlformats.org/officeDocument/2006/relationships/hyperlink" Target="https://docs.google.com/spreadsheets/d/1jonEGMB3UFHiUZpltF1zURon8gYN7jGSHu-k9t5TXnA/edit?gid=1312683414" TargetMode="External"/><Relationship Id="rId368" Type="http://schemas.openxmlformats.org/officeDocument/2006/relationships/hyperlink" Target="https://docs.google.com/spreadsheets/d/1H1MjbG2y0oC0hhID4do1G0_gfyI1jag72lQd7nL3WDQ/edit?gid=888939104" TargetMode="External"/><Relationship Id="rId121" Type="http://schemas.openxmlformats.org/officeDocument/2006/relationships/hyperlink" Target="https://docs.google.com/spreadsheets/d/19THEBTE9q0fhN2eApZr6BgenIvLGh0AckaYxHQfHk5w/edit?gid=2006507373" TargetMode="External"/><Relationship Id="rId363" Type="http://schemas.openxmlformats.org/officeDocument/2006/relationships/hyperlink" Target="https://disk.yandex.ru/client/disk/%D0%9E%D1%81%D0%BC%D0%BE%D1%82%D1%80%D1%8B%20%D0%BE%D0%B1%D1%8A%D0%B5%D0%BA%D1%82%D0%BE%D0%B2%20%D0%90%D0%9D%D0%9E%20%D0%A1%D0%9C%D0%93/568.%20%D0%9A%D0%B0%D1%80%D0%B5%D0%BB%D1%8C%D1%81%D0%BA%D0%B8%D0%B9%20%D0%B1%D1%83%D0%BB%D1%8C%D0%B2%D0%B0%D1%80%2C%20%D0%B7%D1%83%2014-16" TargetMode="External"/><Relationship Id="rId120" Type="http://schemas.openxmlformats.org/officeDocument/2006/relationships/hyperlink" Target="https://docs.google.com/spreadsheets/d/19THEBTE9q0fhN2eApZr6BgenIvLGh0AckaYxHQfHk5w/edit?gid=462766492" TargetMode="External"/><Relationship Id="rId362" Type="http://schemas.openxmlformats.org/officeDocument/2006/relationships/hyperlink" Target="https://docs.google.com/spreadsheets/d/1H1MjbG2y0oC0hhID4do1G0_gfyI1jag72lQd7nL3WDQ/edit?gid=33336285" TargetMode="External"/><Relationship Id="rId361" Type="http://schemas.openxmlformats.org/officeDocument/2006/relationships/hyperlink" Target="https://disk.yandex.ru/client/disk/%D0%9E%D1%81%D0%BC%D0%BE%D1%82%D1%80%D1%8B%20%D0%BE%D0%B1%D1%8A%D0%B5%D0%BA%D1%82%D0%BE%D0%B2%20%D0%90%D0%9D%D0%9E%20%D0%A1%D0%9C%D0%93/536.%20%D0%BF%D1%80%D0%BE%D0%B5%D0%B7%D0%B4%20%D0%9D%D0%B0%D0%BD%D1%81%D0%B5%D0%BD%D0%B0%2C%20%D0%B2%D0%BB%D0%B4.%208" TargetMode="External"/><Relationship Id="rId360" Type="http://schemas.openxmlformats.org/officeDocument/2006/relationships/hyperlink" Target="https://docs.google.com/spreadsheets/d/1H1MjbG2y0oC0hhID4do1G0_gfyI1jag72lQd7nL3WDQ/edit?gid=1956651299" TargetMode="External"/><Relationship Id="rId125"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67" Type="http://schemas.openxmlformats.org/officeDocument/2006/relationships/hyperlink" Target="https://docs.google.com/spreadsheets/d/1H1MjbG2y0oC0hhID4do1G0_gfyI1jag72lQd7nL3WDQ/edit?gid=17563487" TargetMode="External"/><Relationship Id="rId124" Type="http://schemas.openxmlformats.org/officeDocument/2006/relationships/hyperlink" Target="https://docs.google.com/spreadsheets/d/1jonEGMB3UFHiUZpltF1zURon8gYN7jGSHu-k9t5TXnA/edit?gid=276277917" TargetMode="External"/><Relationship Id="rId366" Type="http://schemas.openxmlformats.org/officeDocument/2006/relationships/hyperlink" Target="https://disk.yandex.ru/client/disk/%D0%9E%D1%81%D0%BC%D0%BE%D1%82%D1%80%D1%8B%20%D0%BE%D0%B1%D1%8A%D0%B5%D0%BA%D1%82%D0%BE%D0%B2%20%D0%90%D0%9D%D0%9E%20%D0%A1%D0%9C%D0%93/591.%20%D0%94%D0%BE%D0%BB%D0%B3%D0%BE%D0%BF%D1%80%D1%83%D0%B4%D0%BD%D0%B0%D1%8F%20%D1%83%D0%BB.%2C%20%D0%B7%D1%83%203-5" TargetMode="External"/><Relationship Id="rId123" Type="http://schemas.openxmlformats.org/officeDocument/2006/relationships/hyperlink" Target="https://docs.google.com/spreadsheets/d/1jonEGMB3UFHiUZpltF1zURon8gYN7jGSHu-k9t5TXnA/edit?gid=224508896" TargetMode="External"/><Relationship Id="rId365" Type="http://schemas.openxmlformats.org/officeDocument/2006/relationships/hyperlink" Target="https://docs.google.com/spreadsheets/d/1H1MjbG2y0oC0hhID4do1G0_gfyI1jag72lQd7nL3WDQ/edit?gid=683523839" TargetMode="External"/><Relationship Id="rId122" Type="http://schemas.openxmlformats.org/officeDocument/2006/relationships/hyperlink" Target="https://docs.google.com/spreadsheets/d/19THEBTE9q0fhN2eApZr6BgenIvLGh0AckaYxHQfHk5w/edit?gid=1232103407" TargetMode="External"/><Relationship Id="rId364" Type="http://schemas.openxmlformats.org/officeDocument/2006/relationships/hyperlink" Target="https://docs.google.com/spreadsheets/d/1H1MjbG2y0oC0hhID4do1G0_gfyI1jag72lQd7nL3WDQ/edit?gid=1791563527" TargetMode="External"/><Relationship Id="rId95"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94" Type="http://schemas.openxmlformats.org/officeDocument/2006/relationships/hyperlink" Target="https://docs.google.com/spreadsheets/d/1jonEGMB3UFHiUZpltF1zURon8gYN7jGSHu-k9t5TXnA/edit?gid=1300135145" TargetMode="External"/><Relationship Id="rId97"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96" Type="http://schemas.openxmlformats.org/officeDocument/2006/relationships/hyperlink" Target="https://docs.google.com/spreadsheets/d/1jonEGMB3UFHiUZpltF1zURon8gYN7jGSHu-k9t5TXnA/edit?gid=2011759996" TargetMode="External"/><Relationship Id="rId99"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98" Type="http://schemas.openxmlformats.org/officeDocument/2006/relationships/hyperlink" Target="https://docs.google.com/spreadsheets/d/1jonEGMB3UFHiUZpltF1zURon8gYN7jGSHu-k9t5TXnA/edit?gid=1566731730" TargetMode="External"/><Relationship Id="rId91" Type="http://schemas.openxmlformats.org/officeDocument/2006/relationships/hyperlink" Target="https://docs.google.com/spreadsheets/d/1jonEGMB3UFHiUZpltF1zURon8gYN7jGSHu-k9t5TXnA/edit?gid=2116230963" TargetMode="External"/><Relationship Id="rId90" Type="http://schemas.openxmlformats.org/officeDocument/2006/relationships/hyperlink" Target="https://docs.google.com/spreadsheets/d/1jonEGMB3UFHiUZpltF1zURon8gYN7jGSHu-k9t5TXnA/edit?gid=1671517751" TargetMode="External"/><Relationship Id="rId93" Type="http://schemas.openxmlformats.org/officeDocument/2006/relationships/hyperlink" Target="https://docs.google.com/spreadsheets/d/1jonEGMB3UFHiUZpltF1zURon8gYN7jGSHu-k9t5TXnA/edit?gid=1483169462" TargetMode="External"/><Relationship Id="rId92" Type="http://schemas.openxmlformats.org/officeDocument/2006/relationships/hyperlink" Target="https://docs.google.com/spreadsheets/d/1jonEGMB3UFHiUZpltF1zURon8gYN7jGSHu-k9t5TXnA/edit?gid=745287457" TargetMode="External"/><Relationship Id="rId118" Type="http://schemas.openxmlformats.org/officeDocument/2006/relationships/hyperlink" Target="https://docs.google.com/spreadsheets/d/19THEBTE9q0fhN2eApZr6BgenIvLGh0AckaYxHQfHk5w/edit?gid=242811066" TargetMode="External"/><Relationship Id="rId117" Type="http://schemas.openxmlformats.org/officeDocument/2006/relationships/hyperlink" Target="https://docs.google.com/spreadsheets/d/19THEBTE9q0fhN2eApZr6BgenIvLGh0AckaYxHQfHk5w/edit?gid=1311899156" TargetMode="External"/><Relationship Id="rId359" Type="http://schemas.openxmlformats.org/officeDocument/2006/relationships/hyperlink" Target="https://docs.google.com/spreadsheets/d/1H1MjbG2y0oC0hhID4do1G0_gfyI1jag72lQd7nL3WDQ/edit?gid=2089213196" TargetMode="External"/><Relationship Id="rId116" Type="http://schemas.openxmlformats.org/officeDocument/2006/relationships/hyperlink" Target="https://docs.google.com/spreadsheets/d/19THEBTE9q0fhN2eApZr6BgenIvLGh0AckaYxHQfHk5w/edit?gid=908182805" TargetMode="External"/><Relationship Id="rId358" Type="http://schemas.openxmlformats.org/officeDocument/2006/relationships/hyperlink" Target="https://docs.google.com/spreadsheets/d/1H1MjbG2y0oC0hhID4do1G0_gfyI1jag72lQd7nL3WDQ/edit?gid=1880476815" TargetMode="External"/><Relationship Id="rId115" Type="http://schemas.openxmlformats.org/officeDocument/2006/relationships/hyperlink" Target="https://docs.google.com/spreadsheets/d/19THEBTE9q0fhN2eApZr6BgenIvLGh0AckaYxHQfHk5w/edit?gid=920768533" TargetMode="External"/><Relationship Id="rId357" Type="http://schemas.openxmlformats.org/officeDocument/2006/relationships/hyperlink" Target="https://docs.google.com/spreadsheets/d/1H1MjbG2y0oC0hhID4do1G0_gfyI1jag72lQd7nL3WDQ/edit?gid=1879792750" TargetMode="External"/><Relationship Id="rId599" Type="http://schemas.openxmlformats.org/officeDocument/2006/relationships/hyperlink" Target="https://docs.google.com/spreadsheets/d/1rbCD10ySi4YZEkJW2_Slmn9z7AI1WEsGsZaIJmnnT18/edit?gid=1956863227" TargetMode="External"/><Relationship Id="rId119" Type="http://schemas.openxmlformats.org/officeDocument/2006/relationships/hyperlink" Target="https://docs.google.com/spreadsheets/d/19THEBTE9q0fhN2eApZr6BgenIvLGh0AckaYxHQfHk5w/edit?gid=1798082760" TargetMode="External"/><Relationship Id="rId110" Type="http://schemas.openxmlformats.org/officeDocument/2006/relationships/hyperlink" Target="https://docs.google.com/spreadsheets/d/1jonEGMB3UFHiUZpltF1zURon8gYN7jGSHu-k9t5TXnA/edit?gid=1628703806" TargetMode="External"/><Relationship Id="rId352" Type="http://schemas.openxmlformats.org/officeDocument/2006/relationships/hyperlink" Target="https://docs.google.com/spreadsheets/d/1H1MjbG2y0oC0hhID4do1G0_gfyI1jag72lQd7nL3WDQ/edit?gid=36908310" TargetMode="External"/><Relationship Id="rId594" Type="http://schemas.openxmlformats.org/officeDocument/2006/relationships/hyperlink" Target="https://docs.google.com/spreadsheets/d/1rbCD10ySi4YZEkJW2_Slmn9z7AI1WEsGsZaIJmnnT18/edit?gid=105663629" TargetMode="External"/><Relationship Id="rId351" Type="http://schemas.openxmlformats.org/officeDocument/2006/relationships/hyperlink" Target="https://docs.google.com/spreadsheets/d/1H1MjbG2y0oC0hhID4do1G0_gfyI1jag72lQd7nL3WDQ/edit?gid=255089364" TargetMode="External"/><Relationship Id="rId593" Type="http://schemas.openxmlformats.org/officeDocument/2006/relationships/hyperlink" Target="https://docs.google.com/spreadsheets/d/1rbCD10ySi4YZEkJW2_Slmn9z7AI1WEsGsZaIJmnnT18/edit?gid=238290316" TargetMode="External"/><Relationship Id="rId350" Type="http://schemas.openxmlformats.org/officeDocument/2006/relationships/hyperlink" Target="https://docs.google.com/spreadsheets/d/1H1MjbG2y0oC0hhID4do1G0_gfyI1jag72lQd7nL3WDQ/edit?gid=1057256122" TargetMode="External"/><Relationship Id="rId592" Type="http://schemas.openxmlformats.org/officeDocument/2006/relationships/hyperlink" Target="https://docs.google.com/spreadsheets/d/1rbCD10ySi4YZEkJW2_Slmn9z7AI1WEsGsZaIJmnnT18/edit?gid=590835051" TargetMode="External"/><Relationship Id="rId591" Type="http://schemas.openxmlformats.org/officeDocument/2006/relationships/hyperlink" Target="https://docs.google.com/spreadsheets/d/1rbCD10ySi4YZEkJW2_Slmn9z7AI1WEsGsZaIJmnnT18/edit?gid=1853936778" TargetMode="External"/><Relationship Id="rId114" Type="http://schemas.openxmlformats.org/officeDocument/2006/relationships/hyperlink" Target="https://docs.google.com/spreadsheets/d/19THEBTE9q0fhN2eApZr6BgenIvLGh0AckaYxHQfHk5w/edit?gid=1120669271" TargetMode="External"/><Relationship Id="rId356" Type="http://schemas.openxmlformats.org/officeDocument/2006/relationships/hyperlink" Target="https://docs.google.com/spreadsheets/d/1H1MjbG2y0oC0hhID4do1G0_gfyI1jag72lQd7nL3WDQ/edit?gid=1984564802" TargetMode="External"/><Relationship Id="rId598" Type="http://schemas.openxmlformats.org/officeDocument/2006/relationships/hyperlink" Target="https://docs.google.com/spreadsheets/d/1rbCD10ySi4YZEkJW2_Slmn9z7AI1WEsGsZaIJmnnT18/edit?gid=1715786875" TargetMode="External"/><Relationship Id="rId113" Type="http://schemas.openxmlformats.org/officeDocument/2006/relationships/hyperlink" Target="https://docs.google.com/spreadsheets/d/19THEBTE9q0fhN2eApZr6BgenIvLGh0AckaYxHQfHk5w/edit?gid=392359480" TargetMode="External"/><Relationship Id="rId355" Type="http://schemas.openxmlformats.org/officeDocument/2006/relationships/hyperlink" Target="https://docs.google.com/spreadsheets/d/1H1MjbG2y0oC0hhID4do1G0_gfyI1jag72lQd7nL3WDQ/edit?gid=788221100" TargetMode="External"/><Relationship Id="rId597" Type="http://schemas.openxmlformats.org/officeDocument/2006/relationships/hyperlink" Target="https://docs.google.com/spreadsheets/d/1rbCD10ySi4YZEkJW2_Slmn9z7AI1WEsGsZaIJmnnT18/edit?gid=795869723" TargetMode="External"/><Relationship Id="rId112" Type="http://schemas.openxmlformats.org/officeDocument/2006/relationships/hyperlink" Target="https://docs.google.com/spreadsheets/d/1jonEGMB3UFHiUZpltF1zURon8gYN7jGSHu-k9t5TXnA/edit?gid=1305358292" TargetMode="External"/><Relationship Id="rId354" Type="http://schemas.openxmlformats.org/officeDocument/2006/relationships/hyperlink" Target="https://docs.google.com/spreadsheets/d/1H1MjbG2y0oC0hhID4do1G0_gfyI1jag72lQd7nL3WDQ/edit?gid=747557076" TargetMode="External"/><Relationship Id="rId596" Type="http://schemas.openxmlformats.org/officeDocument/2006/relationships/hyperlink" Target="https://docs.google.com/spreadsheets/d/1rbCD10ySi4YZEkJW2_Slmn9z7AI1WEsGsZaIJmnnT18/edit?gid=783421015" TargetMode="External"/><Relationship Id="rId111" Type="http://schemas.openxmlformats.org/officeDocument/2006/relationships/hyperlink" Target="https://docs.google.com/spreadsheets/d/1jonEGMB3UFHiUZpltF1zURon8gYN7jGSHu-k9t5TXnA/edit?gid=1845109853" TargetMode="External"/><Relationship Id="rId353" Type="http://schemas.openxmlformats.org/officeDocument/2006/relationships/hyperlink" Target="https://docs.google.com/spreadsheets/d/1H1MjbG2y0oC0hhID4do1G0_gfyI1jag72lQd7nL3WDQ/edit?gid=947386880" TargetMode="External"/><Relationship Id="rId595" Type="http://schemas.openxmlformats.org/officeDocument/2006/relationships/hyperlink" Target="https://docs.google.com/spreadsheets/d/1rbCD10ySi4YZEkJW2_Slmn9z7AI1WEsGsZaIJmnnT18/edit?gid=583489484" TargetMode="External"/><Relationship Id="rId305" Type="http://schemas.openxmlformats.org/officeDocument/2006/relationships/hyperlink" Target="https://docs.google.com/spreadsheets/d/1H1MjbG2y0oC0hhID4do1G0_gfyI1jag72lQd7nL3WDQ/edit?gid=955881279" TargetMode="External"/><Relationship Id="rId547" Type="http://schemas.openxmlformats.org/officeDocument/2006/relationships/hyperlink" Target="https://docs.google.com/spreadsheets/d/1rbCD10ySi4YZEkJW2_Slmn9z7AI1WEsGsZaIJmnnT18/edit?gid=733134081" TargetMode="External"/><Relationship Id="rId789" Type="http://schemas.openxmlformats.org/officeDocument/2006/relationships/hyperlink" Target="https://docs.google.com/spreadsheets/d/1EI7qusa674eJhuaw-nWWtWMEHVSYMQv7HLsInEZTWpE/edit?gid=469869658" TargetMode="External"/><Relationship Id="rId304" Type="http://schemas.openxmlformats.org/officeDocument/2006/relationships/hyperlink" Target="https://docs.google.com/spreadsheets/d/1H1MjbG2y0oC0hhID4do1G0_gfyI1jag72lQd7nL3WDQ/edit?gid=2123184099" TargetMode="External"/><Relationship Id="rId546" Type="http://schemas.openxmlformats.org/officeDocument/2006/relationships/hyperlink" Target="https://docs.google.com/spreadsheets/d/1rbCD10ySi4YZEkJW2_Slmn9z7AI1WEsGsZaIJmnnT18/edit?gid=657849366" TargetMode="External"/><Relationship Id="rId788"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4.%20%D0%9F%D0%BE%D0%BB%D0%B8%D0%BA%D0%BB%D0%B8%D0%BD%D0%B8%D0%BA%D0%B0%20%D0%BD%D0%B0%20560%20%D0%BF%D0%BE%D1%81%D0%B5%D1%89%D0%B5%D0%BD%D0%B8%D0%B9%20%D0%B2%20%D1%81%D0%BC%D0%B5%D0%BD%D1%83%20%D0%AE%D0%90%D0%9E%2C%20%D1%80%D0%B0%D0%B9%D0%BE%D0%BD%20%D0%9B%D1%8E%D0%B1%D0%BB%D0%B8%D0%BD%D0%BE%2C%20%D1%83%D0%BB.%20%D0%9B%D1%8E%D0%B1%D0%BB%D0%B8%D0%BD%D1%81%D0%BA%D0%B0%D1%8F%2C%20%D0%B2%D0%BB.%2072%2C%20" TargetMode="External"/><Relationship Id="rId303" Type="http://schemas.openxmlformats.org/officeDocument/2006/relationships/hyperlink" Target="https://docs.google.com/spreadsheets/d/1H1MjbG2y0oC0hhID4do1G0_gfyI1jag72lQd7nL3WDQ/edit?gid=1582876076" TargetMode="External"/><Relationship Id="rId545" Type="http://schemas.openxmlformats.org/officeDocument/2006/relationships/hyperlink" Target="https://docs.google.com/spreadsheets/d/1rbCD10ySi4YZEkJW2_Slmn9z7AI1WEsGsZaIJmnnT18/edit?gid=581565940" TargetMode="External"/><Relationship Id="rId787" Type="http://schemas.openxmlformats.org/officeDocument/2006/relationships/hyperlink" Target="https://docs.google.com/spreadsheets/d/1EI7qusa674eJhuaw-nWWtWMEHVSYMQv7HLsInEZTWpE/edit?gid=1990935127" TargetMode="External"/><Relationship Id="rId302" Type="http://schemas.openxmlformats.org/officeDocument/2006/relationships/hyperlink" Target="https://docs.google.com/spreadsheets/d/1H1MjbG2y0oC0hhID4do1G0_gfyI1jag72lQd7nL3WDQ/edit?gid=1490545737" TargetMode="External"/><Relationship Id="rId544" Type="http://schemas.openxmlformats.org/officeDocument/2006/relationships/hyperlink" Target="https://docs.google.com/spreadsheets/d/1rbCD10ySi4YZEkJW2_Slmn9z7AI1WEsGsZaIJmnnT18/edit?gid=1131436691" TargetMode="External"/><Relationship Id="rId786" Type="http://schemas.openxmlformats.org/officeDocument/2006/relationships/hyperlink" Target="https://docs.google.com/spreadsheets/d/1EI7qusa674eJhuaw-nWWtWMEHVSYMQv7HLsInEZTWpE/edit?gid=1548843983" TargetMode="External"/><Relationship Id="rId309" Type="http://schemas.openxmlformats.org/officeDocument/2006/relationships/hyperlink" Target="https://docs.google.com/spreadsheets/d/1H1MjbG2y0oC0hhID4do1G0_gfyI1jag72lQd7nL3WDQ/edit?gid=881100781" TargetMode="External"/><Relationship Id="rId308" Type="http://schemas.openxmlformats.org/officeDocument/2006/relationships/hyperlink" Target="https://docs.google.com/spreadsheets/d/1H1MjbG2y0oC0hhID4do1G0_gfyI1jag72lQd7nL3WDQ/edit?gid=335429819" TargetMode="External"/><Relationship Id="rId307" Type="http://schemas.openxmlformats.org/officeDocument/2006/relationships/hyperlink" Target="https://docs.google.com/spreadsheets/d/1H1MjbG2y0oC0hhID4do1G0_gfyI1jag72lQd7nL3WDQ/edit?gid=32132627" TargetMode="External"/><Relationship Id="rId549" Type="http://schemas.openxmlformats.org/officeDocument/2006/relationships/hyperlink" Target="https://disk.yandex.ru/client/disk/%D0%9E%D1%81%D0%BC%D0%BE%D1%82%D1%80%D1%8B%20%D0%BE%D0%B1%D1%8A%D0%B5%D0%BA%D1%82%D0%BE%D0%B2%20%D0%90%D0%9D%D0%9E%20%D0%A1%D0%9C%D0%93/699.%20%D0%92%D0%B0%D1%80%D1%88%D0%B0%D0%B2%D1%81%D0%BA%D0%BE%D0%B5%20%D1%88.%20%D0%B7.%D1%83.%2090.1%20(%D1%83%D1%87%D0%B0%D1%81%D1%82%D0%BE%D0%BA%205.1)" TargetMode="External"/><Relationship Id="rId306" Type="http://schemas.openxmlformats.org/officeDocument/2006/relationships/hyperlink" Target="https://docs.google.com/spreadsheets/d/1H1MjbG2y0oC0hhID4do1G0_gfyI1jag72lQd7nL3WDQ/edit?gid=607862402" TargetMode="External"/><Relationship Id="rId548" Type="http://schemas.openxmlformats.org/officeDocument/2006/relationships/hyperlink" Target="https://docs.google.com/spreadsheets/d/1rbCD10ySi4YZEkJW2_Slmn9z7AI1WEsGsZaIJmnnT18/edit?gid=1868311876" TargetMode="External"/><Relationship Id="rId781" Type="http://schemas.openxmlformats.org/officeDocument/2006/relationships/hyperlink" Target="https://docs.google.com/spreadsheets/d/1EI7qusa674eJhuaw-nWWtWMEHVSYMQv7HLsInEZTWpE/edit?gid=646496469" TargetMode="External"/><Relationship Id="rId780" Type="http://schemas.openxmlformats.org/officeDocument/2006/relationships/hyperlink" Target="https://docs.google.com/spreadsheets/d/1H1MjbG2y0oC0hhID4do1G0_gfyI1jag72lQd7nL3WDQ/edit?gid=2140039738" TargetMode="External"/><Relationship Id="rId301" Type="http://schemas.openxmlformats.org/officeDocument/2006/relationships/hyperlink" Target="https://docs.google.com/spreadsheets/d/1H1MjbG2y0oC0hhID4do1G0_gfyI1jag72lQd7nL3WDQ/edit?gid=1094415968" TargetMode="External"/><Relationship Id="rId543" Type="http://schemas.openxmlformats.org/officeDocument/2006/relationships/hyperlink" Target="https://docs.google.com/spreadsheets/d/1rbCD10ySi4YZEkJW2_Slmn9z7AI1WEsGsZaIJmnnT18/edit?gid=889119319" TargetMode="External"/><Relationship Id="rId785" Type="http://schemas.openxmlformats.org/officeDocument/2006/relationships/hyperlink" Target="https://docs.google.com/spreadsheets/d/1EI7qusa674eJhuaw-nWWtWMEHVSYMQv7HLsInEZTWpE/edit?gid=314696825" TargetMode="External"/><Relationship Id="rId300" Type="http://schemas.openxmlformats.org/officeDocument/2006/relationships/hyperlink" Target="https://docs.google.com/spreadsheets/d/1H1MjbG2y0oC0hhID4do1G0_gfyI1jag72lQd7nL3WDQ/edit?gid=1742187453" TargetMode="External"/><Relationship Id="rId542" Type="http://schemas.openxmlformats.org/officeDocument/2006/relationships/hyperlink" Target="https://docs.google.com/spreadsheets/d/1rbCD10ySi4YZEkJW2_Slmn9z7AI1WEsGsZaIJmnnT18/edit?gid=263399188" TargetMode="External"/><Relationship Id="rId784" Type="http://schemas.openxmlformats.org/officeDocument/2006/relationships/hyperlink" Target="https://docs.google.com/spreadsheets/d/1EI7qusa674eJhuaw-nWWtWMEHVSYMQv7HLsInEZTWpE/edit?gid=1947907600" TargetMode="External"/><Relationship Id="rId541" Type="http://schemas.openxmlformats.org/officeDocument/2006/relationships/hyperlink" Target="https://docs.google.com/spreadsheets/d/1rbCD10ySi4YZEkJW2_Slmn9z7AI1WEsGsZaIJmnnT18/edit?gid=953902791" TargetMode="External"/><Relationship Id="rId783" Type="http://schemas.openxmlformats.org/officeDocument/2006/relationships/hyperlink" Target="https://docs.google.com/spreadsheets/d/1EI7qusa674eJhuaw-nWWtWMEHVSYMQv7HLsInEZTWpE/edit?gid=623093467" TargetMode="External"/><Relationship Id="rId540" Type="http://schemas.openxmlformats.org/officeDocument/2006/relationships/hyperlink" Target="https://docs.google.com/spreadsheets/d/1rbCD10ySi4YZEkJW2_Slmn9z7AI1WEsGsZaIJmnnT18/edit?gid=1071202217" TargetMode="External"/><Relationship Id="rId782" Type="http://schemas.openxmlformats.org/officeDocument/2006/relationships/hyperlink" Target="https://docs.google.com/spreadsheets/d/1EI7qusa674eJhuaw-nWWtWMEHVSYMQv7HLsInEZTWpE/edit?gid=60135188" TargetMode="External"/><Relationship Id="rId536" Type="http://schemas.openxmlformats.org/officeDocument/2006/relationships/hyperlink" Target="https://docs.google.com/spreadsheets/d/1rbCD10ySi4YZEkJW2_Slmn9z7AI1WEsGsZaIJmnnT18/edit?gid=188482008" TargetMode="External"/><Relationship Id="rId778" Type="http://schemas.openxmlformats.org/officeDocument/2006/relationships/hyperlink" Target="https://docs.google.com/spreadsheets/d/1H1MjbG2y0oC0hhID4do1G0_gfyI1jag72lQd7nL3WDQ/edit?gid=1897641801" TargetMode="External"/><Relationship Id="rId535" Type="http://schemas.openxmlformats.org/officeDocument/2006/relationships/hyperlink" Target="https://docs.google.com/spreadsheets/d/1rbCD10ySi4YZEkJW2_Slmn9z7AI1WEsGsZaIJmnnT18/edit?gid=2138822298" TargetMode="External"/><Relationship Id="rId777" Type="http://schemas.openxmlformats.org/officeDocument/2006/relationships/hyperlink" Target="https://docs.google.com/spreadsheets/d/1lEcUd4exxkr5Za3IYZ0vdFNfMubnuMOOMXfmF3GYC9I/edit?gid=273382735" TargetMode="External"/><Relationship Id="rId534" Type="http://schemas.openxmlformats.org/officeDocument/2006/relationships/hyperlink" Target="https://docs.google.com/spreadsheets/d/1rbCD10ySi4YZEkJW2_Slmn9z7AI1WEsGsZaIJmnnT18/edit?gid=1937947971" TargetMode="External"/><Relationship Id="rId776" Type="http://schemas.openxmlformats.org/officeDocument/2006/relationships/hyperlink" Target="https://docs.google.com/spreadsheets/d/1lEcUd4exxkr5Za3IYZ0vdFNfMubnuMOOMXfmF3GYC9I/edit?gid=857788374" TargetMode="External"/><Relationship Id="rId533" Type="http://schemas.openxmlformats.org/officeDocument/2006/relationships/hyperlink" Target="https://docs.google.com/spreadsheets/d/1rbCD10ySi4YZEkJW2_Slmn9z7AI1WEsGsZaIJmnnT18/edit?gid=676192549" TargetMode="External"/><Relationship Id="rId775" Type="http://schemas.openxmlformats.org/officeDocument/2006/relationships/hyperlink" Target="https://docs.google.com/spreadsheets/d/1lEcUd4exxkr5Za3IYZ0vdFNfMubnuMOOMXfmF3GYC9I/edit?gid=551597288" TargetMode="External"/><Relationship Id="rId539" Type="http://schemas.openxmlformats.org/officeDocument/2006/relationships/hyperlink" Target="https://docs.google.com/spreadsheets/d/1rbCD10ySi4YZEkJW2_Slmn9z7AI1WEsGsZaIJmnnT18/edit?gid=370993780" TargetMode="External"/><Relationship Id="rId538" Type="http://schemas.openxmlformats.org/officeDocument/2006/relationships/hyperlink" Target="https://docs.google.com/spreadsheets/d/1rbCD10ySi4YZEkJW2_Slmn9z7AI1WEsGsZaIJmnnT18/edit?gid=1480745629" TargetMode="External"/><Relationship Id="rId537" Type="http://schemas.openxmlformats.org/officeDocument/2006/relationships/hyperlink" Target="https://docs.google.com/spreadsheets/d/1rbCD10ySi4YZEkJW2_Slmn9z7AI1WEsGsZaIJmnnT18/edit?gid=1984267459" TargetMode="External"/><Relationship Id="rId779" Type="http://schemas.openxmlformats.org/officeDocument/2006/relationships/hyperlink" Target="https://docs.google.com/spreadsheets/d/1EI7qusa674eJhuaw-nWWtWMEHVSYMQv7HLsInEZTWpE/edit?gid=1475893528" TargetMode="External"/><Relationship Id="rId770" Type="http://schemas.openxmlformats.org/officeDocument/2006/relationships/hyperlink" Target="https://docs.google.com/spreadsheets/d/1lEcUd4exxkr5Za3IYZ0vdFNfMubnuMOOMXfmF3GYC9I/edit?gid=1854195509" TargetMode="External"/><Relationship Id="rId532" Type="http://schemas.openxmlformats.org/officeDocument/2006/relationships/hyperlink" Target="https://docs.google.com/spreadsheets/d/1rbCD10ySi4YZEkJW2_Slmn9z7AI1WEsGsZaIJmnnT18/edit?gid=2130356176" TargetMode="External"/><Relationship Id="rId774" Type="http://schemas.openxmlformats.org/officeDocument/2006/relationships/hyperlink" Target="https://docs.google.com/spreadsheets/d/1lEcUd4exxkr5Za3IYZ0vdFNfMubnuMOOMXfmF3GYC9I/edit?gid=211546180" TargetMode="External"/><Relationship Id="rId531" Type="http://schemas.openxmlformats.org/officeDocument/2006/relationships/hyperlink" Target="https://docs.google.com/spreadsheets/d/1rbCD10ySi4YZEkJW2_Slmn9z7AI1WEsGsZaIJmnnT18/edit?gid=1530580258" TargetMode="External"/><Relationship Id="rId773" Type="http://schemas.openxmlformats.org/officeDocument/2006/relationships/hyperlink" Target="https://docs.google.com/spreadsheets/d/1lEcUd4exxkr5Za3IYZ0vdFNfMubnuMOOMXfmF3GYC9I/edit?gid=1173519257" TargetMode="External"/><Relationship Id="rId530" Type="http://schemas.openxmlformats.org/officeDocument/2006/relationships/hyperlink" Target="https://docs.google.com/spreadsheets/d/1rbCD10ySi4YZEkJW2_Slmn9z7AI1WEsGsZaIJmnnT18/edit?gid=1949585083" TargetMode="External"/><Relationship Id="rId772" Type="http://schemas.openxmlformats.org/officeDocument/2006/relationships/hyperlink" Target="https://docs.google.com/spreadsheets/d/1lEcUd4exxkr5Za3IYZ0vdFNfMubnuMOOMXfmF3GYC9I/edit?gid=299633943" TargetMode="External"/><Relationship Id="rId771" Type="http://schemas.openxmlformats.org/officeDocument/2006/relationships/hyperlink" Target="https://docs.google.com/spreadsheets/d/1lEcUd4exxkr5Za3IYZ0vdFNfMubnuMOOMXfmF3GYC9I/edit?gid=1106564511" TargetMode="External"/><Relationship Id="rId327" Type="http://schemas.openxmlformats.org/officeDocument/2006/relationships/hyperlink" Target="https://docs.google.com/spreadsheets/d/1H1MjbG2y0oC0hhID4do1G0_gfyI1jag72lQd7nL3WDQ/edit?gid=2042348028" TargetMode="External"/><Relationship Id="rId569" Type="http://schemas.openxmlformats.org/officeDocument/2006/relationships/hyperlink" Target="https://docs.google.com/spreadsheets/d/1rbCD10ySi4YZEkJW2_Slmn9z7AI1WEsGsZaIJmnnT18/edit?gid=1353187353" TargetMode="External"/><Relationship Id="rId326" Type="http://schemas.openxmlformats.org/officeDocument/2006/relationships/hyperlink" Target="https://docs.google.com/spreadsheets/d/1H1MjbG2y0oC0hhID4do1G0_gfyI1jag72lQd7nL3WDQ/edit?gid=328082788" TargetMode="External"/><Relationship Id="rId568" Type="http://schemas.openxmlformats.org/officeDocument/2006/relationships/hyperlink" Target="https://docs.google.com/spreadsheets/d/1rbCD10ySi4YZEkJW2_Slmn9z7AI1WEsGsZaIJmnnT18/edit?gid=877224124" TargetMode="External"/><Relationship Id="rId325" Type="http://schemas.openxmlformats.org/officeDocument/2006/relationships/hyperlink" Target="https://docs.google.com/spreadsheets/d/1H1MjbG2y0oC0hhID4do1G0_gfyI1jag72lQd7nL3WDQ/edit?gid=969218818" TargetMode="External"/><Relationship Id="rId567" Type="http://schemas.openxmlformats.org/officeDocument/2006/relationships/hyperlink" Target="https://docs.google.com/spreadsheets/d/1rbCD10ySi4YZEkJW2_Slmn9z7AI1WEsGsZaIJmnnT18/edit?gid=601045685" TargetMode="External"/><Relationship Id="rId324" Type="http://schemas.openxmlformats.org/officeDocument/2006/relationships/hyperlink" Target="https://docs.google.com/spreadsheets/d/1H1MjbG2y0oC0hhID4do1G0_gfyI1jag72lQd7nL3WDQ/edit?gid=55726116" TargetMode="External"/><Relationship Id="rId566" Type="http://schemas.openxmlformats.org/officeDocument/2006/relationships/hyperlink" Target="https://docs.google.com/spreadsheets/d/1rbCD10ySi4YZEkJW2_Slmn9z7AI1WEsGsZaIJmnnT18/edit?gid=231842022" TargetMode="External"/><Relationship Id="rId329" Type="http://schemas.openxmlformats.org/officeDocument/2006/relationships/hyperlink" Target="https://docs.google.com/spreadsheets/d/1H1MjbG2y0oC0hhID4do1G0_gfyI1jag72lQd7nL3WDQ/edit?gid=1325450813" TargetMode="External"/><Relationship Id="rId328" Type="http://schemas.openxmlformats.org/officeDocument/2006/relationships/hyperlink" Target="https://docs.google.com/spreadsheets/d/1H1MjbG2y0oC0hhID4do1G0_gfyI1jag72lQd7nL3WDQ/edit?gid=1202640333" TargetMode="External"/><Relationship Id="rId561" Type="http://schemas.openxmlformats.org/officeDocument/2006/relationships/hyperlink" Target="https://docs.google.com/spreadsheets/d/1rbCD10ySi4YZEkJW2_Slmn9z7AI1WEsGsZaIJmnnT18/edit?gid=521259843" TargetMode="External"/><Relationship Id="rId560" Type="http://schemas.openxmlformats.org/officeDocument/2006/relationships/hyperlink" Target="https://docs.google.com/spreadsheets/d/1rbCD10ySi4YZEkJW2_Slmn9z7AI1WEsGsZaIJmnnT18/edit?gid=1349297378" TargetMode="External"/><Relationship Id="rId323" Type="http://schemas.openxmlformats.org/officeDocument/2006/relationships/hyperlink" Target="https://docs.google.com/spreadsheets/d/1H1MjbG2y0oC0hhID4do1G0_gfyI1jag72lQd7nL3WDQ/edit?gid=1298340576" TargetMode="External"/><Relationship Id="rId565" Type="http://schemas.openxmlformats.org/officeDocument/2006/relationships/hyperlink" Target="https://docs.google.com/spreadsheets/d/1rbCD10ySi4YZEkJW2_Slmn9z7AI1WEsGsZaIJmnnT18/edit?gid=1863257249" TargetMode="External"/><Relationship Id="rId322" Type="http://schemas.openxmlformats.org/officeDocument/2006/relationships/hyperlink" Target="https://disk.yandex.ru/client/disk/%D0%9E%D1%81%D0%BC%D0%BE%D1%82%D1%80%D1%8B%20%D0%BE%D0%B1%D1%8A%D0%B5%D0%BA%D1%82%D0%BE%D0%B2%20%D0%90%D0%9D%D0%9E%20%D0%A1%D0%9C%D0%93/455.%20%D1%83%D0%BB.%20%D0%A4%D1%80%D0%B5%D0%B7%D0%B5%D1%80%20%D0%B7%D1%83%2017%20%D0%A4%D0%A0%20" TargetMode="External"/><Relationship Id="rId564" Type="http://schemas.openxmlformats.org/officeDocument/2006/relationships/hyperlink" Target="https://docs.google.com/spreadsheets/d/1rbCD10ySi4YZEkJW2_Slmn9z7AI1WEsGsZaIJmnnT18/edit?gid=1573037531" TargetMode="External"/><Relationship Id="rId321" Type="http://schemas.openxmlformats.org/officeDocument/2006/relationships/hyperlink" Target="https://docs.google.com/spreadsheets/d/1H1MjbG2y0oC0hhID4do1G0_gfyI1jag72lQd7nL3WDQ/edit?gid=1051331619" TargetMode="External"/><Relationship Id="rId563" Type="http://schemas.openxmlformats.org/officeDocument/2006/relationships/hyperlink" Target="https://docs.google.com/spreadsheets/d/1rbCD10ySi4YZEkJW2_Slmn9z7AI1WEsGsZaIJmnnT18/edit?gid=1910790925" TargetMode="External"/><Relationship Id="rId320" Type="http://schemas.openxmlformats.org/officeDocument/2006/relationships/hyperlink" Target="https://docs.google.com/spreadsheets/d/1H1MjbG2y0oC0hhID4do1G0_gfyI1jag72lQd7nL3WDQ/edit?gid=1000508457" TargetMode="External"/><Relationship Id="rId562" Type="http://schemas.openxmlformats.org/officeDocument/2006/relationships/hyperlink" Target="https://docs.google.com/spreadsheets/d/1rbCD10ySi4YZEkJW2_Slmn9z7AI1WEsGsZaIJmnnT18/edit?gid=1611612481" TargetMode="External"/><Relationship Id="rId316" Type="http://schemas.openxmlformats.org/officeDocument/2006/relationships/hyperlink" Target="https://docs.google.com/spreadsheets/d/1H1MjbG2y0oC0hhID4do1G0_gfyI1jag72lQd7nL3WDQ/edit?gid=168468884" TargetMode="External"/><Relationship Id="rId558" Type="http://schemas.openxmlformats.org/officeDocument/2006/relationships/hyperlink" Target="https://docs.google.com/spreadsheets/d/1rbCD10ySi4YZEkJW2_Slmn9z7AI1WEsGsZaIJmnnT18/edit?gid=1617286788" TargetMode="External"/><Relationship Id="rId315" Type="http://schemas.openxmlformats.org/officeDocument/2006/relationships/hyperlink" Target="https://docs.google.com/spreadsheets/d/1H1MjbG2y0oC0hhID4do1G0_gfyI1jag72lQd7nL3WDQ/edit?gid=1012385907" TargetMode="External"/><Relationship Id="rId557" Type="http://schemas.openxmlformats.org/officeDocument/2006/relationships/hyperlink" Target="https://docs.google.com/spreadsheets/d/1rbCD10ySi4YZEkJW2_Slmn9z7AI1WEsGsZaIJmnnT18/edit?gid=24415394" TargetMode="External"/><Relationship Id="rId799" Type="http://schemas.openxmlformats.org/officeDocument/2006/relationships/hyperlink" Target="https://docs.google.com/spreadsheets/d/1EI7qusa674eJhuaw-nWWtWMEHVSYMQv7HLsInEZTWpE/edit?gid=1658272252" TargetMode="External"/><Relationship Id="rId314" Type="http://schemas.openxmlformats.org/officeDocument/2006/relationships/hyperlink" Target="https://docs.google.com/spreadsheets/d/1H1MjbG2y0oC0hhID4do1G0_gfyI1jag72lQd7nL3WDQ/edit?gid=1858152678" TargetMode="External"/><Relationship Id="rId556" Type="http://schemas.openxmlformats.org/officeDocument/2006/relationships/hyperlink" Target="https://docs.google.com/spreadsheets/d/1rbCD10ySi4YZEkJW2_Slmn9z7AI1WEsGsZaIJmnnT18/edit?gid=1343620006" TargetMode="External"/><Relationship Id="rId798" Type="http://schemas.openxmlformats.org/officeDocument/2006/relationships/hyperlink" Target="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 TargetMode="External"/><Relationship Id="rId313" Type="http://schemas.openxmlformats.org/officeDocument/2006/relationships/hyperlink" Target="https://docs.google.com/spreadsheets/d/1H1MjbG2y0oC0hhID4do1G0_gfyI1jag72lQd7nL3WDQ/edit?gid=90787826" TargetMode="External"/><Relationship Id="rId555" Type="http://schemas.openxmlformats.org/officeDocument/2006/relationships/hyperlink" Target="https://docs.google.com/spreadsheets/d/1rbCD10ySi4YZEkJW2_Slmn9z7AI1WEsGsZaIJmnnT18/edit?gid=989193180" TargetMode="External"/><Relationship Id="rId797" Type="http://schemas.openxmlformats.org/officeDocument/2006/relationships/hyperlink" Target="https://docs.google.com/spreadsheets/d/1EI7qusa674eJhuaw-nWWtWMEHVSYMQv7HLsInEZTWpE/edit?gid=1745739766" TargetMode="External"/><Relationship Id="rId319" Type="http://schemas.openxmlformats.org/officeDocument/2006/relationships/hyperlink" Target="https://docs.google.com/spreadsheets/d/1H1MjbG2y0oC0hhID4do1G0_gfyI1jag72lQd7nL3WDQ/edit?gid=466795514" TargetMode="External"/><Relationship Id="rId318" Type="http://schemas.openxmlformats.org/officeDocument/2006/relationships/hyperlink" Target="https://docs.google.com/spreadsheets/d/1H1MjbG2y0oC0hhID4do1G0_gfyI1jag72lQd7nL3WDQ/edit?gid=1554437241" TargetMode="External"/><Relationship Id="rId317" Type="http://schemas.openxmlformats.org/officeDocument/2006/relationships/hyperlink" Target="https://docs.google.com/spreadsheets/d/1H1MjbG2y0oC0hhID4do1G0_gfyI1jag72lQd7nL3WDQ/edit?gid=1713147169" TargetMode="External"/><Relationship Id="rId559" Type="http://schemas.openxmlformats.org/officeDocument/2006/relationships/hyperlink" Target="https://docs.google.com/spreadsheets/d/1rbCD10ySi4YZEkJW2_Slmn9z7AI1WEsGsZaIJmnnT18/edit?gid=1885071932" TargetMode="External"/><Relationship Id="rId550" Type="http://schemas.openxmlformats.org/officeDocument/2006/relationships/hyperlink" Target="https://docs.google.com/spreadsheets/d/1rbCD10ySi4YZEkJW2_Slmn9z7AI1WEsGsZaIJmnnT18/edit?gid=1509093390" TargetMode="External"/><Relationship Id="rId792" Type="http://schemas.openxmlformats.org/officeDocument/2006/relationships/hyperlink" Target="https://docs.google.com/spreadsheets/d/1EI7qusa674eJhuaw-nWWtWMEHVSYMQv7HLsInEZTWpE/edit?gid=189831964" TargetMode="External"/><Relationship Id="rId791" Type="http://schemas.openxmlformats.org/officeDocument/2006/relationships/hyperlink" Target="https://disk.yandex.ru/client/disk/%D0%9E%D1%81%D0%BC%D0%BE%D1%82%D1%80%D1%8B%20%D0%BE%D0%B1%D1%8A%D0%B5%D0%BA%D1%82%D0%BE%D0%B2%20%D0%90%D0%9D%D0%9E%20%D0%A1%D0%9C%D0%93/059.%20%D0%9E%D0%B1%D1%80%D0%B0%D0%B7%D0%BE%D0%B2%D0%B0%D1%82%D0%B5%D0%BB%D1%8C%D0%BD%D1%8B%D0%B9%20%D0%BA%D0%BE%D0%BC%D0%BF%D0%BB%D0%B5%D0%BA%D1%81%20(%D0%A1%D0%9E%D0%A8%201350%2C%20%D0%94%D0%9E%D0%A3%20350)%20%D0%9D%D0%90%D0%9E%2C%20%D0%BF.%20%D0%94%D0%B5%D1%81%D0%B5%D0%BD%D0%BE%D0%B2%D1%81%D0%BA%D0%BE%D0%B5%2C%20%D0%96%D0%9A%20%C2%AB%D0%9D%D0%BE%D0%B2%D1%8B%D0%B5%20%D0%92%D0%B0%D1%82%D1%83%D1%82%D0%B8%D0%BD%D0%BA%D0%B8%C2%BB%20(%D0%BC%D0%BA%D1%80.%20%C2%AB%D0%94%D0%B5%D1%81%D0%BD%D0%B0%C2%BB)" TargetMode="External"/><Relationship Id="rId790" Type="http://schemas.openxmlformats.org/officeDocument/2006/relationships/hyperlink" Target="https://docs.google.com/spreadsheets/d/1EI7qusa674eJhuaw-nWWtWMEHVSYMQv7HLsInEZTWpE/edit?gid=1873773807" TargetMode="External"/><Relationship Id="rId312" Type="http://schemas.openxmlformats.org/officeDocument/2006/relationships/hyperlink" Target="https://docs.google.com/spreadsheets/d/1H1MjbG2y0oC0hhID4do1G0_gfyI1jag72lQd7nL3WDQ/edit?gid=575501291" TargetMode="External"/><Relationship Id="rId554" Type="http://schemas.openxmlformats.org/officeDocument/2006/relationships/hyperlink" Target="https://docs.google.com/spreadsheets/d/1rbCD10ySi4YZEkJW2_Slmn9z7AI1WEsGsZaIJmnnT18/edit?gid=1797830857" TargetMode="External"/><Relationship Id="rId796" Type="http://schemas.openxmlformats.org/officeDocument/2006/relationships/hyperlink" Target="https://disk.yandex.ru/client/disk/%D0%9E%D1%81%D0%BC%D0%BE%D1%82%D1%80%D1%8B%20%D0%BE%D0%B1%D1%8A%D0%B5%D0%BA%D1%82%D0%BE%D0%B2%20%D0%90%D0%9D%D0%9E%20%D0%A1%D0%9C%D0%93/1227.%20%D0%A4%D0%93%D0%91%D0%A3%D0%9A%20%C2%AB%D0%9F%D0%BE%D0%BB%D0%B8%D1%82%D0%B5%D1%85%D0%BD%D0%B8%D1%87%D0%B5%D1%81%D0%BA%D0%B8%D0%B9%20%D0%BC%D1%83%D0%B7%D0%B5%D0%B9%C2%BB" TargetMode="External"/><Relationship Id="rId311" Type="http://schemas.openxmlformats.org/officeDocument/2006/relationships/hyperlink" Target="https://docs.google.com/spreadsheets/d/1H1MjbG2y0oC0hhID4do1G0_gfyI1jag72lQd7nL3WDQ/edit?gid=1947915664" TargetMode="External"/><Relationship Id="rId553" Type="http://schemas.openxmlformats.org/officeDocument/2006/relationships/hyperlink" Target="https://docs.google.com/spreadsheets/d/1rbCD10ySi4YZEkJW2_Slmn9z7AI1WEsGsZaIJmnnT18/edit?gid=303416269" TargetMode="External"/><Relationship Id="rId795" Type="http://schemas.openxmlformats.org/officeDocument/2006/relationships/hyperlink" Target="https://disk.yandex.ru/client/disk/%D0%9E%D1%81%D0%BC%D0%BE%D1%82%D1%80%D1%8B%20%D0%BE%D0%B1%D1%8A%D0%B5%D0%BA%D1%82%D0%BE%D0%B2%20%D0%90%D0%9D%D0%9E%20%D0%A1%D0%9C%D0%93/1227.%20%D0%A4%D0%93%D0%91%D0%A3%D0%9A%20%C2%AB%D0%9F%D0%BE%D0%BB%D0%B8%D1%82%D0%B5%D1%85%D0%BD%D0%B8%D1%87%D0%B5%D1%81%D0%BA%D0%B8%D0%B9%20%D0%BC%D1%83%D0%B7%D0%B5%D0%B9%C2%BB" TargetMode="External"/><Relationship Id="rId310" Type="http://schemas.openxmlformats.org/officeDocument/2006/relationships/hyperlink" Target="https://docs.google.com/spreadsheets/d/1H1MjbG2y0oC0hhID4do1G0_gfyI1jag72lQd7nL3WDQ/edit?gid=1303982691" TargetMode="External"/><Relationship Id="rId552" Type="http://schemas.openxmlformats.org/officeDocument/2006/relationships/hyperlink" Target="https://docs.google.com/spreadsheets/d/1rbCD10ySi4YZEkJW2_Slmn9z7AI1WEsGsZaIJmnnT18/edit?gid=44169429" TargetMode="External"/><Relationship Id="rId794" Type="http://schemas.openxmlformats.org/officeDocument/2006/relationships/hyperlink" Target="https://docs.google.com/spreadsheets/d/1EI7qusa674eJhuaw-nWWtWMEHVSYMQv7HLsInEZTWpE/edit?gid=379079889" TargetMode="External"/><Relationship Id="rId551" Type="http://schemas.openxmlformats.org/officeDocument/2006/relationships/hyperlink" Target="https://docs.google.com/spreadsheets/d/1rbCD10ySi4YZEkJW2_Slmn9z7AI1WEsGsZaIJmnnT18/edit?gid=2115012790" TargetMode="External"/><Relationship Id="rId793"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 TargetMode="External"/><Relationship Id="rId297" Type="http://schemas.openxmlformats.org/officeDocument/2006/relationships/hyperlink" Target="https://docs.google.com/spreadsheets/d/1H1MjbG2y0oC0hhID4do1G0_gfyI1jag72lQd7nL3WDQ/edit?gid=803822262" TargetMode="External"/><Relationship Id="rId296" Type="http://schemas.openxmlformats.org/officeDocument/2006/relationships/hyperlink" Target="https://docs.google.com/spreadsheets/d/1H1MjbG2y0oC0hhID4do1G0_gfyI1jag72lQd7nL3WDQ/edit?gid=1722375014" TargetMode="External"/><Relationship Id="rId295" Type="http://schemas.openxmlformats.org/officeDocument/2006/relationships/hyperlink" Target="https://docs.google.com/spreadsheets/d/1H1MjbG2y0oC0hhID4do1G0_gfyI1jag72lQd7nL3WDQ/edit?gid=828728965" TargetMode="External"/><Relationship Id="rId294" Type="http://schemas.openxmlformats.org/officeDocument/2006/relationships/hyperlink" Target="https://docs.google.com/spreadsheets/d/1H1MjbG2y0oC0hhID4do1G0_gfyI1jag72lQd7nL3WDQ/edit?gid=1190352531" TargetMode="External"/><Relationship Id="rId299" Type="http://schemas.openxmlformats.org/officeDocument/2006/relationships/hyperlink" Target="https://docs.google.com/spreadsheets/d/1H1MjbG2y0oC0hhID4do1G0_gfyI1jag72lQd7nL3WDQ/edit?gid=372650495" TargetMode="External"/><Relationship Id="rId298" Type="http://schemas.openxmlformats.org/officeDocument/2006/relationships/hyperlink" Target="https://docs.google.com/spreadsheets/d/1H1MjbG2y0oC0hhID4do1G0_gfyI1jag72lQd7nL3WDQ/edit?gid=1973217010" TargetMode="External"/><Relationship Id="rId271" Type="http://schemas.openxmlformats.org/officeDocument/2006/relationships/hyperlink" Target="https://docs.google.com/spreadsheets/d/19THEBTE9q0fhN2eApZr6BgenIvLGh0AckaYxHQfHk5w/edit?gid=2057403759" TargetMode="External"/><Relationship Id="rId270" Type="http://schemas.openxmlformats.org/officeDocument/2006/relationships/hyperlink" Target="https://docs.google.com/spreadsheets/d/19THEBTE9q0fhN2eApZr6BgenIvLGh0AckaYxHQfHk5w/edit?gid=290660546" TargetMode="External"/><Relationship Id="rId269" Type="http://schemas.openxmlformats.org/officeDocument/2006/relationships/hyperlink" Target="https://docs.google.com/spreadsheets/d/19THEBTE9q0fhN2eApZr6BgenIvLGh0AckaYxHQfHk5w/edit?gid=2126809757" TargetMode="External"/><Relationship Id="rId264" Type="http://schemas.openxmlformats.org/officeDocument/2006/relationships/hyperlink" Target="https://docs.google.com/spreadsheets/d/1jonEGMB3UFHiUZpltF1zURon8gYN7jGSHu-k9t5TXnA/edit?gid=867799308" TargetMode="External"/><Relationship Id="rId263" Type="http://schemas.openxmlformats.org/officeDocument/2006/relationships/hyperlink" Target="https://docs.google.com/spreadsheets/d/1jonEGMB3UFHiUZpltF1zURon8gYN7jGSHu-k9t5TXnA/edit?gid=1179595420" TargetMode="External"/><Relationship Id="rId262" Type="http://schemas.openxmlformats.org/officeDocument/2006/relationships/hyperlink" Target="https://docs.google.com/spreadsheets/d/1EI7qusa674eJhuaw-nWWtWMEHVSYMQv7HLsInEZTWpE/edit?gid=501610529" TargetMode="External"/><Relationship Id="rId261" Type="http://schemas.openxmlformats.org/officeDocument/2006/relationships/hyperlink" Target="https://docs.google.com/spreadsheets/d/1jonEGMB3UFHiUZpltF1zURon8gYN7jGSHu-k9t5TXnA/edit?gid=654238193" TargetMode="External"/><Relationship Id="rId268" Type="http://schemas.openxmlformats.org/officeDocument/2006/relationships/hyperlink" Target="https://docs.google.com/spreadsheets/d/19THEBTE9q0fhN2eApZr6BgenIvLGh0AckaYxHQfHk5w/edit?gid=373423726" TargetMode="External"/><Relationship Id="rId267" Type="http://schemas.openxmlformats.org/officeDocument/2006/relationships/hyperlink" Target="https://docs.google.com/spreadsheets/d/19THEBTE9q0fhN2eApZr6BgenIvLGh0AckaYxHQfHk5w/edit?gid=1607211749" TargetMode="External"/><Relationship Id="rId266" Type="http://schemas.openxmlformats.org/officeDocument/2006/relationships/hyperlink" Target="https://docs.google.com/spreadsheets/d/19THEBTE9q0fhN2eApZr6BgenIvLGh0AckaYxHQfHk5w/edit?gid=1232288908" TargetMode="External"/><Relationship Id="rId265" Type="http://schemas.openxmlformats.org/officeDocument/2006/relationships/hyperlink" Target="https://docs.google.com/spreadsheets/d/1EI7qusa674eJhuaw-nWWtWMEHVSYMQv7HLsInEZTWpE/edit?gid=181219872" TargetMode="External"/><Relationship Id="rId260" Type="http://schemas.openxmlformats.org/officeDocument/2006/relationships/hyperlink" Target="https://docs.google.com/spreadsheets/d/19THEBTE9q0fhN2eApZr6BgenIvLGh0AckaYxHQfHk5w/edit?gid=42376877" TargetMode="External"/><Relationship Id="rId259" Type="http://schemas.openxmlformats.org/officeDocument/2006/relationships/hyperlink" Target="https://docs.google.com/spreadsheets/d/19THEBTE9q0fhN2eApZr6BgenIvLGh0AckaYxHQfHk5w/edit?gid=227683737" TargetMode="External"/><Relationship Id="rId258" Type="http://schemas.openxmlformats.org/officeDocument/2006/relationships/hyperlink" Target="https://docs.google.com/spreadsheets/d/19THEBTE9q0fhN2eApZr6BgenIvLGh0AckaYxHQfHk5w/edit?gid=1872010035" TargetMode="External"/><Relationship Id="rId253" Type="http://schemas.openxmlformats.org/officeDocument/2006/relationships/hyperlink" Target="https://docs.google.com/spreadsheets/d/19THEBTE9q0fhN2eApZr6BgenIvLGh0AckaYxHQfHk5w/edit?gid=1184026835" TargetMode="External"/><Relationship Id="rId495" Type="http://schemas.openxmlformats.org/officeDocument/2006/relationships/hyperlink" Target="https://docs.google.com/spreadsheets/d/1rbCD10ySi4YZEkJW2_Slmn9z7AI1WEsGsZaIJmnnT18/edit?gid=864849570" TargetMode="External"/><Relationship Id="rId252" Type="http://schemas.openxmlformats.org/officeDocument/2006/relationships/hyperlink" Target="https://docs.google.com/spreadsheets/d/19THEBTE9q0fhN2eApZr6BgenIvLGh0AckaYxHQfHk5w/edit?gid=117335017" TargetMode="External"/><Relationship Id="rId494" Type="http://schemas.openxmlformats.org/officeDocument/2006/relationships/hyperlink" Target="https://docs.google.com/spreadsheets/d/1rbCD10ySi4YZEkJW2_Slmn9z7AI1WEsGsZaIJmnnT18/edit?gid=113121864" TargetMode="External"/><Relationship Id="rId251" Type="http://schemas.openxmlformats.org/officeDocument/2006/relationships/hyperlink" Target="https://docs.google.com/spreadsheets/d/19THEBTE9q0fhN2eApZr6BgenIvLGh0AckaYxHQfHk5w/edit?gid=1599271911" TargetMode="External"/><Relationship Id="rId493" Type="http://schemas.openxmlformats.org/officeDocument/2006/relationships/hyperlink" Target="https://disk.yandex.ru/client/disk/%D0%9E%D1%81%D0%BC%D0%BE%D1%82%D1%80%D1%8B%20%D0%BE%D0%B1%D1%8A%D0%B5%D0%BA%D1%82%D0%BE%D0%B2%20%D0%90%D0%9D%D0%9E%20%D0%A1%D0%9C%D0%93/847.%203-%D1%8F%20%D0%9F%D1%80%D1%8F%D0%B4%D0%B8%D0%BB%D1%8C%D0%BD%D0%B0%D1%8F%20%D1%83%D0%BB.%2C%20%D0%B7%D1%83%201" TargetMode="External"/><Relationship Id="rId250" Type="http://schemas.openxmlformats.org/officeDocument/2006/relationships/hyperlink" Target="https://docs.google.com/spreadsheets/d/19THEBTE9q0fhN2eApZr6BgenIvLGh0AckaYxHQfHk5w/edit?gid=1762521778" TargetMode="External"/><Relationship Id="rId492" Type="http://schemas.openxmlformats.org/officeDocument/2006/relationships/hyperlink" Target="https://docs.google.com/spreadsheets/d/1rbCD10ySi4YZEkJW2_Slmn9z7AI1WEsGsZaIJmnnT18/edit?gid=187611865" TargetMode="External"/><Relationship Id="rId257" Type="http://schemas.openxmlformats.org/officeDocument/2006/relationships/hyperlink" Target="https://docs.google.com/spreadsheets/d/19THEBTE9q0fhN2eApZr6BgenIvLGh0AckaYxHQfHk5w/edit?gid=630818188" TargetMode="External"/><Relationship Id="rId499" Type="http://schemas.openxmlformats.org/officeDocument/2006/relationships/hyperlink" Target="https://disk.yandex.ru/client/disk/%D0%9E%D1%81%D0%BC%D0%BE%D1%82%D1%80%D1%8B%20%D0%BE%D0%B1%D1%8A%D0%B5%D0%BA%D1%82%D0%BE%D0%B2%20%D0%90%D0%9D%D0%9E%20%D0%A1%D0%9C%D0%93/667%2016-%D1%8F%20%D0%9F%D0%B0%D1%80%D0%BA%D0%BE%D0%B2%D0%B0%D1%8F%20%D0%B7%D1%83%2029%20%D0%90%20%D0%BA1%2C2%20" TargetMode="External"/><Relationship Id="rId256" Type="http://schemas.openxmlformats.org/officeDocument/2006/relationships/hyperlink" Target="https://docs.google.com/spreadsheets/d/19THEBTE9q0fhN2eApZr6BgenIvLGh0AckaYxHQfHk5w/edit?gid=1343159930" TargetMode="External"/><Relationship Id="rId498" Type="http://schemas.openxmlformats.org/officeDocument/2006/relationships/hyperlink" Target="https://docs.google.com/spreadsheets/d/1rbCD10ySi4YZEkJW2_Slmn9z7AI1WEsGsZaIJmnnT18/edit?gid=1285905712" TargetMode="External"/><Relationship Id="rId255" Type="http://schemas.openxmlformats.org/officeDocument/2006/relationships/hyperlink" Target="https://docs.google.com/spreadsheets/d/19THEBTE9q0fhN2eApZr6BgenIvLGh0AckaYxHQfHk5w/edit?gid=428469808" TargetMode="External"/><Relationship Id="rId497" Type="http://schemas.openxmlformats.org/officeDocument/2006/relationships/hyperlink" Target="https://docs.google.com/spreadsheets/d/1rbCD10ySi4YZEkJW2_Slmn9z7AI1WEsGsZaIJmnnT18/edit?gid=590422305" TargetMode="External"/><Relationship Id="rId254" Type="http://schemas.openxmlformats.org/officeDocument/2006/relationships/hyperlink" Target="https://docs.google.com/spreadsheets/d/19THEBTE9q0fhN2eApZr6BgenIvLGh0AckaYxHQfHk5w/edit?gid=39413399" TargetMode="External"/><Relationship Id="rId496" Type="http://schemas.openxmlformats.org/officeDocument/2006/relationships/hyperlink" Target="https://docs.google.com/spreadsheets/d/1rbCD10ySi4YZEkJW2_Slmn9z7AI1WEsGsZaIJmnnT18/edit?gid=1493713747" TargetMode="External"/><Relationship Id="rId293" Type="http://schemas.openxmlformats.org/officeDocument/2006/relationships/hyperlink" Target="https://docs.google.com/spreadsheets/d/1H1MjbG2y0oC0hhID4do1G0_gfyI1jag72lQd7nL3WDQ/edit?gid=1390124130" TargetMode="External"/><Relationship Id="rId292" Type="http://schemas.openxmlformats.org/officeDocument/2006/relationships/hyperlink" Target="https://docs.google.com/spreadsheets/d/1H1MjbG2y0oC0hhID4do1G0_gfyI1jag72lQd7nL3WDQ/edit?gid=1608828847" TargetMode="External"/><Relationship Id="rId291" Type="http://schemas.openxmlformats.org/officeDocument/2006/relationships/hyperlink" Target="https://docs.google.com/spreadsheets/d/1H1MjbG2y0oC0hhID4do1G0_gfyI1jag72lQd7nL3WDQ/edit?gid=1334279003" TargetMode="External"/><Relationship Id="rId290" Type="http://schemas.openxmlformats.org/officeDocument/2006/relationships/hyperlink" Target="https://docs.google.com/spreadsheets/d/1H1MjbG2y0oC0hhID4do1G0_gfyI1jag72lQd7nL3WDQ/edit?gid=1610263298" TargetMode="External"/><Relationship Id="rId286" Type="http://schemas.openxmlformats.org/officeDocument/2006/relationships/hyperlink" Target="https://docs.google.com/spreadsheets/d/1H1MjbG2y0oC0hhID4do1G0_gfyI1jag72lQd7nL3WDQ/edit?gid=173783422" TargetMode="External"/><Relationship Id="rId285" Type="http://schemas.openxmlformats.org/officeDocument/2006/relationships/hyperlink" Target="https://docs.google.com/spreadsheets/d/1H1MjbG2y0oC0hhID4do1G0_gfyI1jag72lQd7nL3WDQ/edit?gid=1165883041" TargetMode="External"/><Relationship Id="rId284" Type="http://schemas.openxmlformats.org/officeDocument/2006/relationships/hyperlink" Target="https://docs.google.com/spreadsheets/d/1H1MjbG2y0oC0hhID4do1G0_gfyI1jag72lQd7nL3WDQ/edit?gid=363768853" TargetMode="External"/><Relationship Id="rId283" Type="http://schemas.openxmlformats.org/officeDocument/2006/relationships/hyperlink" Target="https://docs.google.com/spreadsheets/d/1H1MjbG2y0oC0hhID4do1G0_gfyI1jag72lQd7nL3WDQ/edit?gid=238235358" TargetMode="External"/><Relationship Id="rId289" Type="http://schemas.openxmlformats.org/officeDocument/2006/relationships/hyperlink" Target="https://docs.google.com/spreadsheets/d/1H1MjbG2y0oC0hhID4do1G0_gfyI1jag72lQd7nL3WDQ/edit?gid=291002696" TargetMode="External"/><Relationship Id="rId288" Type="http://schemas.openxmlformats.org/officeDocument/2006/relationships/hyperlink" Target="https://docs.google.com/spreadsheets/d/1H1MjbG2y0oC0hhID4do1G0_gfyI1jag72lQd7nL3WDQ/edit?gid=325961003" TargetMode="External"/><Relationship Id="rId287" Type="http://schemas.openxmlformats.org/officeDocument/2006/relationships/hyperlink" Target="https://docs.google.com/spreadsheets/d/1H1MjbG2y0oC0hhID4do1G0_gfyI1jag72lQd7nL3WDQ/edit?gid=1413670863" TargetMode="External"/><Relationship Id="rId282" Type="http://schemas.openxmlformats.org/officeDocument/2006/relationships/hyperlink" Target="https://docs.google.com/spreadsheets/d/1H1MjbG2y0oC0hhID4do1G0_gfyI1jag72lQd7nL3WDQ/edit?gid=598220388" TargetMode="External"/><Relationship Id="rId281" Type="http://schemas.openxmlformats.org/officeDocument/2006/relationships/hyperlink" Target="https://docs.google.com/spreadsheets/d/1H1MjbG2y0oC0hhID4do1G0_gfyI1jag72lQd7nL3WDQ/edit?gid=1943197822" TargetMode="External"/><Relationship Id="rId280" Type="http://schemas.openxmlformats.org/officeDocument/2006/relationships/hyperlink" Target="https://docs.google.com/spreadsheets/d/1H1MjbG2y0oC0hhID4do1G0_gfyI1jag72lQd7nL3WDQ/edit?gid=1086247611" TargetMode="External"/><Relationship Id="rId275" Type="http://schemas.openxmlformats.org/officeDocument/2006/relationships/hyperlink" Target="https://docs.google.com/spreadsheets/d/1H1MjbG2y0oC0hhID4do1G0_gfyI1jag72lQd7nL3WDQ/edit?gid=56472241" TargetMode="External"/><Relationship Id="rId274" Type="http://schemas.openxmlformats.org/officeDocument/2006/relationships/hyperlink" Target="https://docs.google.com/spreadsheets/d/1H1MjbG2y0oC0hhID4do1G0_gfyI1jag72lQd7nL3WDQ/edit?gid=1593101561" TargetMode="External"/><Relationship Id="rId273" Type="http://schemas.openxmlformats.org/officeDocument/2006/relationships/hyperlink" Target="https://docs.google.com/spreadsheets/d/1H1MjbG2y0oC0hhID4do1G0_gfyI1jag72lQd7nL3WDQ/edit?gid=1062247251" TargetMode="External"/><Relationship Id="rId272" Type="http://schemas.openxmlformats.org/officeDocument/2006/relationships/hyperlink" Target="https://docs.google.com/spreadsheets/d/1H1MjbG2y0oC0hhID4do1G0_gfyI1jag72lQd7nL3WDQ/edit?gid=1354888420" TargetMode="External"/><Relationship Id="rId279" Type="http://schemas.openxmlformats.org/officeDocument/2006/relationships/hyperlink" Target="https://docs.google.com/spreadsheets/d/1H1MjbG2y0oC0hhID4do1G0_gfyI1jag72lQd7nL3WDQ/edit?gid=257429727" TargetMode="External"/><Relationship Id="rId278" Type="http://schemas.openxmlformats.org/officeDocument/2006/relationships/hyperlink" Target="https://docs.google.com/spreadsheets/d/19THEBTE9q0fhN2eApZr6BgenIvLGh0AckaYxHQfHk5w/edit?gid=923737212" TargetMode="External"/><Relationship Id="rId277" Type="http://schemas.openxmlformats.org/officeDocument/2006/relationships/hyperlink" Target="https://docs.google.com/spreadsheets/d/1H1MjbG2y0oC0hhID4do1G0_gfyI1jag72lQd7nL3WDQ/edit?gid=1217957109" TargetMode="External"/><Relationship Id="rId276" Type="http://schemas.openxmlformats.org/officeDocument/2006/relationships/hyperlink" Target="https://docs.google.com/spreadsheets/d/1H1MjbG2y0oC0hhID4do1G0_gfyI1jag72lQd7nL3WDQ/edit?gid=994638175" TargetMode="External"/><Relationship Id="rId907" Type="http://schemas.openxmlformats.org/officeDocument/2006/relationships/hyperlink" Target="https://docs.google.com/spreadsheets/d/1EI7qusa674eJhuaw-nWWtWMEHVSYMQv7HLsInEZTWpE/edit?gid=380520667" TargetMode="External"/><Relationship Id="rId906" Type="http://schemas.openxmlformats.org/officeDocument/2006/relationships/hyperlink" Target="https://docs.google.com/spreadsheets/d/1EI7qusa674eJhuaw-nWWtWMEHVSYMQv7HLsInEZTWpE/edit?gid=233188902" TargetMode="External"/><Relationship Id="rId905" Type="http://schemas.openxmlformats.org/officeDocument/2006/relationships/hyperlink" Target="https://docs.google.com/spreadsheets/d/1EI7qusa674eJhuaw-nWWtWMEHVSYMQv7HLsInEZTWpE/edit?gid=186003248" TargetMode="External"/><Relationship Id="rId904" Type="http://schemas.openxmlformats.org/officeDocument/2006/relationships/hyperlink" Target="https://docs.google.com/spreadsheets/d/1EI7qusa674eJhuaw-nWWtWMEHVSYMQv7HLsInEZTWpE/edit?gid=1756552387" TargetMode="External"/><Relationship Id="rId909" Type="http://schemas.openxmlformats.org/officeDocument/2006/relationships/hyperlink" Target="https://disk.yandex.ru/client/disk/%D0%9E%D1%81%D0%BC%D0%BE%D1%82%D1%80%D1%8B%20%D0%BE%D0%B1%D1%8A%D0%B5%D0%BA%D1%82%D0%BE%D0%B2%20%D0%90%D0%9D%D0%9E%20%D0%A1%D0%9C%D0%93/1220%20%D0%9A%D1%80%D0%B0%D1%81%D0%BD%D0%BE%D0%BA%D0%B0%D0%B7%D0%B0%D1%80%D0%BC%D0%B5%D0%BD%D0%BD%D0%B0%D1%8F%2015%20%D0%94%D0%9E%D0%9E%20%D0%BD%D0%B0%20110%20%D0%BC%D0%B5%D1%81%D1%82%20" TargetMode="External"/><Relationship Id="rId908" Type="http://schemas.openxmlformats.org/officeDocument/2006/relationships/hyperlink" Target="https://docs.google.com/spreadsheets/d/1EI7qusa674eJhuaw-nWWtWMEHVSYMQv7HLsInEZTWpE/edit?gid=813124693" TargetMode="External"/><Relationship Id="rId903" Type="http://schemas.openxmlformats.org/officeDocument/2006/relationships/hyperlink" Target="https://docs.google.com/spreadsheets/d/1EI7qusa674eJhuaw-nWWtWMEHVSYMQv7HLsInEZTWpE/edit?gid=1542653489" TargetMode="External"/><Relationship Id="rId902" Type="http://schemas.openxmlformats.org/officeDocument/2006/relationships/hyperlink" Target="https://disk.yandex.ru/client/disk/%D0%9E%D1%81%D0%BC%D0%BE%D1%82%D1%80%D1%8B%20%D0%BE%D0%B1%D1%8A%D0%B5%D0%BA%D1%82%D0%BE%D0%B2%20%D0%90%D0%9D%D0%9E%20%D0%A1%D0%9C%D0%93/1207%20%D0%94%D0%9E%D0%A3%20150%20%D0%9A%D0%BE%D1%80%D0%BE%D0%B2%D0%B8%D0%BD%D1%81%D0%BA%D0%BE%D0%B5%20%D1%88%D0%BE%D1%81%D1%81%D0%B5" TargetMode="External"/><Relationship Id="rId901" Type="http://schemas.openxmlformats.org/officeDocument/2006/relationships/hyperlink" Target="https://docs.google.com/spreadsheets/d/1EI7qusa674eJhuaw-nWWtWMEHVSYMQv7HLsInEZTWpE/edit?gid=32220211" TargetMode="External"/><Relationship Id="rId900" Type="http://schemas.openxmlformats.org/officeDocument/2006/relationships/hyperlink" Target="https://docs.google.com/spreadsheets/d/1EI7qusa674eJhuaw-nWWtWMEHVSYMQv7HLsInEZTWpE/edit?gid=388114595" TargetMode="External"/><Relationship Id="rId929" Type="http://schemas.openxmlformats.org/officeDocument/2006/relationships/hyperlink" Target="https://docs.google.com/spreadsheets/d/1EI7qusa674eJhuaw-nWWtWMEHVSYMQv7HLsInEZTWpE/edit?gid=1718528248" TargetMode="External"/><Relationship Id="rId928" Type="http://schemas.openxmlformats.org/officeDocument/2006/relationships/hyperlink" Target="https://disk.yandex.ru/d/Ty3YtVPOrmVJ6A" TargetMode="External"/><Relationship Id="rId927" Type="http://schemas.openxmlformats.org/officeDocument/2006/relationships/hyperlink" Target="https://docs.google.com/spreadsheets/d/1EI7qusa674eJhuaw-nWWtWMEHVSYMQv7HLsInEZTWpE/edit?gid=625849428" TargetMode="External"/><Relationship Id="rId926" Type="http://schemas.openxmlformats.org/officeDocument/2006/relationships/hyperlink" Target="https://docs.google.com/spreadsheets/d/1EI7qusa674eJhuaw-nWWtWMEHVSYMQv7HLsInEZTWpE/edit?gid=284186374" TargetMode="External"/><Relationship Id="rId921" Type="http://schemas.openxmlformats.org/officeDocument/2006/relationships/hyperlink" Target="https://docs.google.com/spreadsheets/d/1EI7qusa674eJhuaw-nWWtWMEHVSYMQv7HLsInEZTWpE/edit?gid=1777992828" TargetMode="External"/><Relationship Id="rId920" Type="http://schemas.openxmlformats.org/officeDocument/2006/relationships/hyperlink" Target="https://docs.google.com/spreadsheets/d/1EI7qusa674eJhuaw-nWWtWMEHVSYMQv7HLsInEZTWpE/edit?gid=1258137078" TargetMode="External"/><Relationship Id="rId925" Type="http://schemas.openxmlformats.org/officeDocument/2006/relationships/hyperlink" Target="https://docs.google.com/spreadsheets/d/1EI7qusa674eJhuaw-nWWtWMEHVSYMQv7HLsInEZTWpE/edit?gid=1920949313" TargetMode="External"/><Relationship Id="rId924" Type="http://schemas.openxmlformats.org/officeDocument/2006/relationships/hyperlink" Target="https://docs.google.com/spreadsheets/d/1EI7qusa674eJhuaw-nWWtWMEHVSYMQv7HLsInEZTWpE/edit?gid=250650053" TargetMode="External"/><Relationship Id="rId923" Type="http://schemas.openxmlformats.org/officeDocument/2006/relationships/hyperlink" Target="https://docs.google.com/spreadsheets/d/1EI7qusa674eJhuaw-nWWtWMEHVSYMQv7HLsInEZTWpE/edit?gid=1902497282" TargetMode="External"/><Relationship Id="rId922" Type="http://schemas.openxmlformats.org/officeDocument/2006/relationships/hyperlink" Target="https://docs.google.com/spreadsheets/d/1EI7qusa674eJhuaw-nWWtWMEHVSYMQv7HLsInEZTWpE/edit?gid=1173454533" TargetMode="External"/><Relationship Id="rId918" Type="http://schemas.openxmlformats.org/officeDocument/2006/relationships/hyperlink" Target="https://docs.google.com/spreadsheets/d/1H1MjbG2y0oC0hhID4do1G0_gfyI1jag72lQd7nL3WDQ/edit?gid=1483885127" TargetMode="External"/><Relationship Id="rId917" Type="http://schemas.openxmlformats.org/officeDocument/2006/relationships/hyperlink" Target="https://docs.google.com/spreadsheets/d/1EI7qusa674eJhuaw-nWWtWMEHVSYMQv7HLsInEZTWpE/edit?gid=370620314" TargetMode="External"/><Relationship Id="rId916" Type="http://schemas.openxmlformats.org/officeDocument/2006/relationships/hyperlink" Target="https://docs.google.com/spreadsheets/d/1EI7qusa674eJhuaw-nWWtWMEHVSYMQv7HLsInEZTWpE/edit?gid=336437889" TargetMode="External"/><Relationship Id="rId915" Type="http://schemas.openxmlformats.org/officeDocument/2006/relationships/hyperlink" Target="https://docs.google.com/spreadsheets/d/1EI7qusa674eJhuaw-nWWtWMEHVSYMQv7HLsInEZTWpE/edit?gid=82996176" TargetMode="External"/><Relationship Id="rId919" Type="http://schemas.openxmlformats.org/officeDocument/2006/relationships/hyperlink" Target="https://docs.google.com/spreadsheets/d/1H1MjbG2y0oC0hhID4do1G0_gfyI1jag72lQd7nL3WDQ/edit?gid=1483885127" TargetMode="External"/><Relationship Id="rId910" Type="http://schemas.openxmlformats.org/officeDocument/2006/relationships/hyperlink" Target="https://docs.google.com/spreadsheets/d/1EI7qusa674eJhuaw-nWWtWMEHVSYMQv7HLsInEZTWpE/edit?gid=482272231" TargetMode="External"/><Relationship Id="rId914" Type="http://schemas.openxmlformats.org/officeDocument/2006/relationships/hyperlink" Target="https://docs.google.com/spreadsheets/d/1EI7qusa674eJhuaw-nWWtWMEHVSYMQv7HLsInEZTWpE/edit?gid=1822571783" TargetMode="External"/><Relationship Id="rId913" Type="http://schemas.openxmlformats.org/officeDocument/2006/relationships/hyperlink" Target="https://docs.google.com/spreadsheets/d/1EI7qusa674eJhuaw-nWWtWMEHVSYMQv7HLsInEZTWpE/edit?gid=1550603494" TargetMode="External"/><Relationship Id="rId912" Type="http://schemas.openxmlformats.org/officeDocument/2006/relationships/hyperlink" Target="https://docs.google.com/spreadsheets/d/1EI7qusa674eJhuaw-nWWtWMEHVSYMQv7HLsInEZTWpE/edit?gid=975659733" TargetMode="External"/><Relationship Id="rId911" Type="http://schemas.openxmlformats.org/officeDocument/2006/relationships/hyperlink" Target="https://disk.yandex.ru/client/disk/%D0%9E%D1%81%D0%BC%D0%BE%D1%82%D1%80%D1%8B%20%D0%BE%D0%B1%D1%8A%D0%B5%D0%BA%D1%82%D0%BE%D0%B2%20%D0%90%D0%9D%D0%9E%20%D0%A1%D0%9C%D0%93/053.%20%D0%94%D0%9E%D0%A3%20%D0%BD%D0%B0%20225%20%D0%BC%D0%B5%D1%81%D1%82.%20%D0%A1%D0%BE%D1%81%D0%B5%D0%BD%D1%81%D0%BA%D0%BE%D0%B5%2C%20%D0%BF%D0%BE%D1%81.%20%D0%93%D0%B0%D0%B7%D0%BE%D0%BF%D1%80%D0%BE%D0%B2%D0%BE%D0%B4.%20%D0%96%D0%9A%20%D0%9D%D0%BE%D0%B2%D0%B0%D1%8F%20%D0%97%D0%B2%D0%B5%D0%B7%D0%B4%D0%B0" TargetMode="External"/><Relationship Id="rId629" Type="http://schemas.openxmlformats.org/officeDocument/2006/relationships/hyperlink" Target="https://docs.google.com/spreadsheets/d/1rbCD10ySi4YZEkJW2_Slmn9z7AI1WEsGsZaIJmnnT18/edit?gid=199700122" TargetMode="External"/><Relationship Id="rId624" Type="http://schemas.openxmlformats.org/officeDocument/2006/relationships/hyperlink" Target="https://docs.google.com/spreadsheets/d/1rbCD10ySi4YZEkJW2_Slmn9z7AI1WEsGsZaIJmnnT18/edit?gid=80972844" TargetMode="External"/><Relationship Id="rId866" Type="http://schemas.openxmlformats.org/officeDocument/2006/relationships/hyperlink" Target="https://disk.yandex.ru/client/disk/%D0%9E%D1%81%D0%BC%D0%BE%D1%82%D1%80%D1%8B%20%D0%BE%D0%B1%D1%8A%D0%B5%D0%BA%D1%82%D0%BE%D0%B2%20%D0%90%D0%9D%D0%9E%20%D0%A1%D0%9C%D0%93/1191.%20%D0%A3%D1%87%D0%B5%D0%B1%D0%BD%D1%8B%D0%B9%20%D0%BA%D0%BE%D0%BC%D0%BF%D0%BB%D0%B5%D0%BA%D1%81%20%D1%81%20%D0%B1%D0%BB%D0%BE%D0%BA%D0%BE%D0%BC%20%D0%BD%D0%B0%D1%87%D0%B0%D0%BB%D1%8C%D0%BD%D1%8B%D1%85%20%D0%BA%D0%BB%D0%B0%D1%81%D1%81%D0%BE%D0%B2%20%D0%BD%D0%B0%20225%20%D0%BC%D0%B5%D1%81%D1%82%20%D0%B8%20%D0%94%D0%9E%D0%9E%20%D0%BD%D0%B0%20125%20%D0%BC%D0%B5%D1%81%D1%82%20(4%20%D1%8D%D1%82%D0%B0%D0%BF)" TargetMode="External"/><Relationship Id="rId623" Type="http://schemas.openxmlformats.org/officeDocument/2006/relationships/hyperlink" Target="https://docs.google.com/spreadsheets/d/1rbCD10ySi4YZEkJW2_Slmn9z7AI1WEsGsZaIJmnnT18/edit?gid=138432593" TargetMode="External"/><Relationship Id="rId865" Type="http://schemas.openxmlformats.org/officeDocument/2006/relationships/hyperlink" Target="https://docs.google.com/spreadsheets/d/1EI7qusa674eJhuaw-nWWtWMEHVSYMQv7HLsInEZTWpE/edit?gid=194199893" TargetMode="External"/><Relationship Id="rId622" Type="http://schemas.openxmlformats.org/officeDocument/2006/relationships/hyperlink" Target="https://docs.google.com/spreadsheets/d/1rbCD10ySi4YZEkJW2_Slmn9z7AI1WEsGsZaIJmnnT18/edit?gid=1234676505" TargetMode="External"/><Relationship Id="rId864" Type="http://schemas.openxmlformats.org/officeDocument/2006/relationships/hyperlink" Target="https://disk.yandex.ru/client/disk/%D0%9E%D1%81%D0%BC%D0%BE%D1%82%D1%80%D1%8B%20%D0%BE%D0%B1%D1%8A%D0%B5%D0%BA%D1%82%D0%BE%D0%B2%20%D0%90%D0%9D%D0%9E%20%D0%A1%D0%9C%D0%93/1194.%20%D0%9F%D0%B5%D1%80%D0%BE%D0%B2%D1%81%D0%BA%D0%BE%D0%B5%20%D1%88%D0%BE%D1%81%D1%81%D0%B5%2C%202.%20%D0%A3%D1%87%D0%B5%D0%B1%D0%BD%D1%8B%D0%B9%20%D0%BA%D0%BE%D1%80%D0%BF%D1%83%D1%81%20%D0%BD%D0%B0%20200%20%D1%88%D0%BA%D0%BE%D0%BB%D1%8C%D0%BD%D1%8B%D1%85%20%D0%BC%D0%B5%D1%81%D1%82%20%D0%B8%20200%20%D0%B4%D0%BE%D1%88%D0%BA%D0%BE%D0%BB%D1%8C%D0%BD%D1%8B%D1%85%20%D0%BC%D0%B5%D1%81%D1%82" TargetMode="External"/><Relationship Id="rId621" Type="http://schemas.openxmlformats.org/officeDocument/2006/relationships/hyperlink" Target="https://docs.google.com/spreadsheets/d/1rbCD10ySi4YZEkJW2_Slmn9z7AI1WEsGsZaIJmnnT18/edit?gid=1242332740" TargetMode="External"/><Relationship Id="rId863" Type="http://schemas.openxmlformats.org/officeDocument/2006/relationships/hyperlink" Target="https://docs.google.com/spreadsheets/d/1EI7qusa674eJhuaw-nWWtWMEHVSYMQv7HLsInEZTWpE/edit?gid=1206342730" TargetMode="External"/><Relationship Id="rId628" Type="http://schemas.openxmlformats.org/officeDocument/2006/relationships/hyperlink" Target="https://docs.google.com/spreadsheets/d/1rbCD10ySi4YZEkJW2_Slmn9z7AI1WEsGsZaIJmnnT18/edit?gid=482221305" TargetMode="External"/><Relationship Id="rId627" Type="http://schemas.openxmlformats.org/officeDocument/2006/relationships/hyperlink" Target="https://docs.google.com/spreadsheets/d/1rbCD10ySi4YZEkJW2_Slmn9z7AI1WEsGsZaIJmnnT18/edit?gid=868904483" TargetMode="External"/><Relationship Id="rId869" Type="http://schemas.openxmlformats.org/officeDocument/2006/relationships/hyperlink" Target="https://docs.google.com/spreadsheets/d/1EI7qusa674eJhuaw-nWWtWMEHVSYMQv7HLsInEZTWpE/edit?gid=44399105" TargetMode="External"/><Relationship Id="rId626" Type="http://schemas.openxmlformats.org/officeDocument/2006/relationships/hyperlink" Target="https://docs.google.com/spreadsheets/d/1rbCD10ySi4YZEkJW2_Slmn9z7AI1WEsGsZaIJmnnT18/edit?gid=196703328" TargetMode="External"/><Relationship Id="rId868" Type="http://schemas.openxmlformats.org/officeDocument/2006/relationships/hyperlink" Target="https://disk.yandex.ru/client/disk/%D0%9E%D1%81%D0%BC%D0%BE%D1%82%D1%80%D1%8B%20%D0%BE%D0%B1%D1%8A%D0%B5%D0%BA%D1%82%D0%BE%D0%B2%20%D0%90%D0%9D%D0%9E%20%D0%A1%D0%9C%D0%93/1197%20%D0%BB%D1%8E%D0%B1%D0%BB%D0%B8%D0%BD%D1%81%D0%BA%D0%B0%D1%8F%2072%20%D0%A8%D0%BA%D0%BE%D0%BB%D0%B0%20%D0%BD%D0%B0%202200%20%D0%BC%D0%B5%D1%81%D1%82%20" TargetMode="External"/><Relationship Id="rId625" Type="http://schemas.openxmlformats.org/officeDocument/2006/relationships/hyperlink" Target="https://docs.google.com/spreadsheets/d/1rbCD10ySi4YZEkJW2_Slmn9z7AI1WEsGsZaIJmnnT18/edit?gid=2108967906" TargetMode="External"/><Relationship Id="rId867" Type="http://schemas.openxmlformats.org/officeDocument/2006/relationships/hyperlink" Target="https://docs.google.com/spreadsheets/d/1EI7qusa674eJhuaw-nWWtWMEHVSYMQv7HLsInEZTWpE/edit?gid=1736090729" TargetMode="External"/><Relationship Id="rId620" Type="http://schemas.openxmlformats.org/officeDocument/2006/relationships/hyperlink" Target="https://docs.google.com/spreadsheets/d/1rbCD10ySi4YZEkJW2_Slmn9z7AI1WEsGsZaIJmnnT18/edit?gid=1472127211" TargetMode="External"/><Relationship Id="rId862" Type="http://schemas.openxmlformats.org/officeDocument/2006/relationships/hyperlink" Target="https://disk.yandex.ru/client/disk/%D0%9E%D1%81%D0%BC%D0%BE%D1%82%D1%80%D1%8B%20%D0%BE%D0%B1%D1%8A%D0%B5%D0%BA%D1%82%D0%BE%D0%B2%20%D0%90%D0%9D%D0%9E%20%D0%A1%D0%9C%D0%93/1189.%20%D0%A3%D1%87%D0%B5%D0%B1%D0%BD%D1%8B%D0%B9%20%D0%BA%D0%BE%D0%BC%D0%BF%D0%BB%D0%B5%D0%BA%D1%81%20%D1%81%20%D0%B1%D0%BB%D0%BE%D0%BA%D0%BE%D0%BC%20%D0%BD%D0%B0%D1%87%D0%B0%D0%BB%D1%8C%D0%BD%D1%8B%D1%85%20%D0%BA%D0%BB%D0%B0%D1%81%D1%81%D0%BE%D0%B2%20%D0%BD%D0%B0%20300%20%D0%BC%D0%B5%D1%81%D1%82%20%D0%B8%20%D0%94%D0%9E%D0%9E%20%D0%BD%D0%B0%20150%20%D0%BC%D0%B5%D1%81%D1%82%2C%20%D0%9A%D1%80%D0%BE%D0%BD%D1%88%D1%82%D0%B0%D0%B4%D1%82%D1%81%D0%BA%D0%B8%D0%B9%20%D0%B1%D1%83%D0%BB%D1%8C%D0%B2%D0%B0%D1%80%2C%20%D0%B2%D0%BB.%2014%20" TargetMode="External"/><Relationship Id="rId861" Type="http://schemas.openxmlformats.org/officeDocument/2006/relationships/hyperlink" Target="https://docs.google.com/spreadsheets/d/1EI7qusa674eJhuaw-nWWtWMEHVSYMQv7HLsInEZTWpE/edit?gid=1752517199" TargetMode="External"/><Relationship Id="rId860" Type="http://schemas.openxmlformats.org/officeDocument/2006/relationships/hyperlink" Target="https://docs.google.com/spreadsheets/d/1EI7qusa674eJhuaw-nWWtWMEHVSYMQv7HLsInEZTWpE/edit?gid=1927186728" TargetMode="External"/><Relationship Id="rId619" Type="http://schemas.openxmlformats.org/officeDocument/2006/relationships/hyperlink" Target="https://docs.google.com/spreadsheets/d/1rbCD10ySi4YZEkJW2_Slmn9z7AI1WEsGsZaIJmnnT18/edit?gid=1832052773" TargetMode="External"/><Relationship Id="rId618" Type="http://schemas.openxmlformats.org/officeDocument/2006/relationships/hyperlink" Target="https://docs.google.com/spreadsheets/d/1rbCD10ySi4YZEkJW2_Slmn9z7AI1WEsGsZaIJmnnT18/edit?gid=865770584" TargetMode="External"/><Relationship Id="rId613" Type="http://schemas.openxmlformats.org/officeDocument/2006/relationships/hyperlink" Target="https://docs.google.com/spreadsheets/d/1rbCD10ySi4YZEkJW2_Slmn9z7AI1WEsGsZaIJmnnT18/edit?gid=2057992272" TargetMode="External"/><Relationship Id="rId855" Type="http://schemas.openxmlformats.org/officeDocument/2006/relationships/hyperlink" Target="https://docs.google.com/spreadsheets/d/1EI7qusa674eJhuaw-nWWtWMEHVSYMQv7HLsInEZTWpE/edit?gid=321356533" TargetMode="External"/><Relationship Id="rId612" Type="http://schemas.openxmlformats.org/officeDocument/2006/relationships/hyperlink" Target="https://docs.google.com/spreadsheets/d/1rbCD10ySi4YZEkJW2_Slmn9z7AI1WEsGsZaIJmnnT18/edit?gid=1262206675" TargetMode="External"/><Relationship Id="rId854" Type="http://schemas.openxmlformats.org/officeDocument/2006/relationships/hyperlink" Target="https://docs.google.com/spreadsheets/d/1EI7qusa674eJhuaw-nWWtWMEHVSYMQv7HLsInEZTWpE/edit?gid=2077416738" TargetMode="External"/><Relationship Id="rId611" Type="http://schemas.openxmlformats.org/officeDocument/2006/relationships/hyperlink" Target="https://docs.google.com/spreadsheets/d/1rbCD10ySi4YZEkJW2_Slmn9z7AI1WEsGsZaIJmnnT18/edit?gid=1676819339" TargetMode="External"/><Relationship Id="rId853" Type="http://schemas.openxmlformats.org/officeDocument/2006/relationships/hyperlink" Target="https://docs.google.com/spreadsheets/d/1EI7qusa674eJhuaw-nWWtWMEHVSYMQv7HLsInEZTWpE/edit?gid=413594252" TargetMode="External"/><Relationship Id="rId610" Type="http://schemas.openxmlformats.org/officeDocument/2006/relationships/hyperlink" Target="https://docs.google.com/spreadsheets/d/1rbCD10ySi4YZEkJW2_Slmn9z7AI1WEsGsZaIJmnnT18/edit?gid=445422518" TargetMode="External"/><Relationship Id="rId852" Type="http://schemas.openxmlformats.org/officeDocument/2006/relationships/hyperlink" Target="https://disk.yandex.ru/client/disk/%D0%9E%D1%81%D0%BC%D0%BE%D1%82%D1%80%D1%8B%20%D0%BE%D0%B1%D1%8A%D0%B5%D0%BA%D1%82%D0%BE%D0%B2%20%D0%90%D0%9D%D0%9E%20%D0%A1%D0%9C%D0%93/1188.%20%D0%9E%D0%B1%D1%89%D0%B5%D0%BE%D0%B1%D1%80%D0%B0%D0%B7%D0%BE%D0%B2%D0%B0%D1%82%D0%B5%D0%BB%D1%8C%D0%BD%D0%B0%D1%8F%20%D0%BE%D1%80%D0%B3%D0%B0%D0%BD%D0%B8%D0%B7%D0%B0%D1%86%D0%B8%D1%8F%20%D0%BD%D0%B0%201100%20%D0%BC%D0%B5%D1%81%D1%82%20%D0%BA%D0%BE%D1%80%D0%BF%D1%83%D1%81%207%2C%20%D0%9F%D0%BE%D0%BB%D1%8F%D1%80%D0%BD%D0%B0%D1%8F%20%D1%83%D0%BB.%20%D0%B2%D0%BB.%2025%20" TargetMode="External"/><Relationship Id="rId617" Type="http://schemas.openxmlformats.org/officeDocument/2006/relationships/hyperlink" Target="https://docs.google.com/spreadsheets/d/1rbCD10ySi4YZEkJW2_Slmn9z7AI1WEsGsZaIJmnnT18/edit?gid=1009116353" TargetMode="External"/><Relationship Id="rId859" Type="http://schemas.openxmlformats.org/officeDocument/2006/relationships/hyperlink" Target="https://docs.google.com/spreadsheets/d/1EI7qusa674eJhuaw-nWWtWMEHVSYMQv7HLsInEZTWpE/edit?gid=1381599542" TargetMode="External"/><Relationship Id="rId616" Type="http://schemas.openxmlformats.org/officeDocument/2006/relationships/hyperlink" Target="https://docs.google.com/spreadsheets/d/1rbCD10ySi4YZEkJW2_Slmn9z7AI1WEsGsZaIJmnnT18/edit?gid=558650933" TargetMode="External"/><Relationship Id="rId858" Type="http://schemas.openxmlformats.org/officeDocument/2006/relationships/hyperlink" Target="https://docs.google.com/spreadsheets/d/1EI7qusa674eJhuaw-nWWtWMEHVSYMQv7HLsInEZTWpE/edit?gid=234009661" TargetMode="External"/><Relationship Id="rId615" Type="http://schemas.openxmlformats.org/officeDocument/2006/relationships/hyperlink" Target="https://disk.yandex.ru/client/disk/%D0%9E%D1%81%D0%BC%D0%BE%D1%82%D1%80%D1%8B%20%D0%BE%D0%B1%D1%8A%D0%B5%D0%BA%D1%82%D0%BE%D0%B2%20%D0%90%D0%9D%D0%9E%20%D0%A1%D0%9C%D0%93/662%20%D0%A1%D0%B2%D0%BE%D0%B1%D0%BE%D0%B4%D0%BD%D1%8B%D0%B9%20%D0%BF%D1%80-%D0%BA%D1%82%2C%20%D0%B2%D0%BB.%206%20%D0%BA1%20" TargetMode="External"/><Relationship Id="rId857" Type="http://schemas.openxmlformats.org/officeDocument/2006/relationships/hyperlink" Target="https://docs.google.com/spreadsheets/d/1EI7qusa674eJhuaw-nWWtWMEHVSYMQv7HLsInEZTWpE/edit?gid=989349893" TargetMode="External"/><Relationship Id="rId614" Type="http://schemas.openxmlformats.org/officeDocument/2006/relationships/hyperlink" Target="https://docs.google.com/spreadsheets/d/1rbCD10ySi4YZEkJW2_Slmn9z7AI1WEsGsZaIJmnnT18/edit?gid=1007518382" TargetMode="External"/><Relationship Id="rId856" Type="http://schemas.openxmlformats.org/officeDocument/2006/relationships/hyperlink" Target="https://docs.google.com/spreadsheets/d/1EI7qusa674eJhuaw-nWWtWMEHVSYMQv7HLsInEZTWpE/edit?gid=1984759556" TargetMode="External"/><Relationship Id="rId851" Type="http://schemas.openxmlformats.org/officeDocument/2006/relationships/hyperlink" Target="https://docs.google.com/spreadsheets/d/1EI7qusa674eJhuaw-nWWtWMEHVSYMQv7HLsInEZTWpE/edit?gid=473932196" TargetMode="External"/><Relationship Id="rId850" Type="http://schemas.openxmlformats.org/officeDocument/2006/relationships/hyperlink" Target="https://docs.google.com/spreadsheets/d/1EI7qusa674eJhuaw-nWWtWMEHVSYMQv7HLsInEZTWpE/edit?gid=270470148" TargetMode="External"/><Relationship Id="rId409" Type="http://schemas.openxmlformats.org/officeDocument/2006/relationships/hyperlink" Target="https://docs.google.com/spreadsheets/d/1H1MjbG2y0oC0hhID4do1G0_gfyI1jag72lQd7nL3WDQ/edit?gid=945188652" TargetMode="External"/><Relationship Id="rId404" Type="http://schemas.openxmlformats.org/officeDocument/2006/relationships/hyperlink" Target="https://docs.google.com/spreadsheets/d/1H1MjbG2y0oC0hhID4do1G0_gfyI1jag72lQd7nL3WDQ/edit?gid=540934155" TargetMode="External"/><Relationship Id="rId646" Type="http://schemas.openxmlformats.org/officeDocument/2006/relationships/hyperlink" Target="https://docs.google.com/spreadsheets/d/1rbCD10ySi4YZEkJW2_Slmn9z7AI1WEsGsZaIJmnnT18/edit?gid=829089146" TargetMode="External"/><Relationship Id="rId888" Type="http://schemas.openxmlformats.org/officeDocument/2006/relationships/hyperlink" Target="https://docs.google.com/spreadsheets/d/1EI7qusa674eJhuaw-nWWtWMEHVSYMQv7HLsInEZTWpE/edit?gid=1726026331" TargetMode="External"/><Relationship Id="rId403" Type="http://schemas.openxmlformats.org/officeDocument/2006/relationships/hyperlink" Target="https://docs.google.com/spreadsheets/d/1H1MjbG2y0oC0hhID4do1G0_gfyI1jag72lQd7nL3WDQ/edit?gid=617262299" TargetMode="External"/><Relationship Id="rId645" Type="http://schemas.openxmlformats.org/officeDocument/2006/relationships/hyperlink" Target="https://docs.google.com/spreadsheets/d/1rbCD10ySi4YZEkJW2_Slmn9z7AI1WEsGsZaIJmnnT18/edit?gid=607897783" TargetMode="External"/><Relationship Id="rId887" Type="http://schemas.openxmlformats.org/officeDocument/2006/relationships/hyperlink" Target="https://docs.google.com/spreadsheets/d/1EI7qusa674eJhuaw-nWWtWMEHVSYMQv7HLsInEZTWpE/edit?gid=2131274545" TargetMode="External"/><Relationship Id="rId402" Type="http://schemas.openxmlformats.org/officeDocument/2006/relationships/hyperlink" Target="https://docs.google.com/spreadsheets/d/1H1MjbG2y0oC0hhID4do1G0_gfyI1jag72lQd7nL3WDQ/edit?gid=418314272" TargetMode="External"/><Relationship Id="rId644" Type="http://schemas.openxmlformats.org/officeDocument/2006/relationships/hyperlink" Target="https://docs.google.com/spreadsheets/d/1rbCD10ySi4YZEkJW2_Slmn9z7AI1WEsGsZaIJmnnT18/edit?gid=178347413" TargetMode="External"/><Relationship Id="rId886" Type="http://schemas.openxmlformats.org/officeDocument/2006/relationships/hyperlink" Target="https://docs.google.com/spreadsheets/d/1EI7qusa674eJhuaw-nWWtWMEHVSYMQv7HLsInEZTWpE/edit?gid=1992128330" TargetMode="External"/><Relationship Id="rId401" Type="http://schemas.openxmlformats.org/officeDocument/2006/relationships/hyperlink" Target="https://docs.google.com/spreadsheets/d/1H1MjbG2y0oC0hhID4do1G0_gfyI1jag72lQd7nL3WDQ/edit?gid=998835814" TargetMode="External"/><Relationship Id="rId643" Type="http://schemas.openxmlformats.org/officeDocument/2006/relationships/hyperlink" Target="https://docs.google.com/spreadsheets/d/1rbCD10ySi4YZEkJW2_Slmn9z7AI1WEsGsZaIJmnnT18/edit?gid=172452372" TargetMode="External"/><Relationship Id="rId885" Type="http://schemas.openxmlformats.org/officeDocument/2006/relationships/hyperlink" Target="https://docs.google.com/spreadsheets/d/1EI7qusa674eJhuaw-nWWtWMEHVSYMQv7HLsInEZTWpE/edit?gid=675585882" TargetMode="External"/><Relationship Id="rId408" Type="http://schemas.openxmlformats.org/officeDocument/2006/relationships/hyperlink" Target="https://docs.google.com/spreadsheets/d/1H1MjbG2y0oC0hhID4do1G0_gfyI1jag72lQd7nL3WDQ/edit?gid=232049031" TargetMode="External"/><Relationship Id="rId407" Type="http://schemas.openxmlformats.org/officeDocument/2006/relationships/hyperlink" Target="https://docs.google.com/spreadsheets/d/1H1MjbG2y0oC0hhID4do1G0_gfyI1jag72lQd7nL3WDQ/edit?gid=537197080" TargetMode="External"/><Relationship Id="rId649" Type="http://schemas.openxmlformats.org/officeDocument/2006/relationships/hyperlink" Target="https://docs.google.com/spreadsheets/d/1rbCD10ySi4YZEkJW2_Slmn9z7AI1WEsGsZaIJmnnT18/edit?gid=1103531360" TargetMode="External"/><Relationship Id="rId406" Type="http://schemas.openxmlformats.org/officeDocument/2006/relationships/hyperlink" Target="https://docs.google.com/spreadsheets/d/1H1MjbG2y0oC0hhID4do1G0_gfyI1jag72lQd7nL3WDQ/edit?gid=363267103" TargetMode="External"/><Relationship Id="rId648" Type="http://schemas.openxmlformats.org/officeDocument/2006/relationships/hyperlink" Target="https://docs.google.com/spreadsheets/d/1rbCD10ySi4YZEkJW2_Slmn9z7AI1WEsGsZaIJmnnT18/edit?gid=23356464" TargetMode="External"/><Relationship Id="rId405" Type="http://schemas.openxmlformats.org/officeDocument/2006/relationships/hyperlink" Target="https://docs.google.com/spreadsheets/d/1H1MjbG2y0oC0hhID4do1G0_gfyI1jag72lQd7nL3WDQ/edit?gid=984031511" TargetMode="External"/><Relationship Id="rId647" Type="http://schemas.openxmlformats.org/officeDocument/2006/relationships/hyperlink" Target="https://docs.google.com/spreadsheets/d/1rbCD10ySi4YZEkJW2_Slmn9z7AI1WEsGsZaIJmnnT18/edit?gid=1528623731" TargetMode="External"/><Relationship Id="rId889" Type="http://schemas.openxmlformats.org/officeDocument/2006/relationships/hyperlink" Target="https://docs.google.com/spreadsheets/d/1EI7qusa674eJhuaw-nWWtWMEHVSYMQv7HLsInEZTWpE/edit?gid=1351279015" TargetMode="External"/><Relationship Id="rId880" Type="http://schemas.openxmlformats.org/officeDocument/2006/relationships/hyperlink" Target="https://docs.google.com/spreadsheets/d/1EI7qusa674eJhuaw-nWWtWMEHVSYMQv7HLsInEZTWpE/edit?gid=58875188" TargetMode="External"/><Relationship Id="rId400" Type="http://schemas.openxmlformats.org/officeDocument/2006/relationships/hyperlink" Target="https://docs.google.com/spreadsheets/d/1H1MjbG2y0oC0hhID4do1G0_gfyI1jag72lQd7nL3WDQ/edit?gid=1252296860" TargetMode="External"/><Relationship Id="rId642" Type="http://schemas.openxmlformats.org/officeDocument/2006/relationships/hyperlink" Target="https://docs.google.com/spreadsheets/d/1rbCD10ySi4YZEkJW2_Slmn9z7AI1WEsGsZaIJmnnT18/edit?gid=1598315264" TargetMode="External"/><Relationship Id="rId884" Type="http://schemas.openxmlformats.org/officeDocument/2006/relationships/hyperlink" Target="https://docs.google.com/spreadsheets/d/1EI7qusa674eJhuaw-nWWtWMEHVSYMQv7HLsInEZTWpE/edit?gid=565397007" TargetMode="External"/><Relationship Id="rId641" Type="http://schemas.openxmlformats.org/officeDocument/2006/relationships/hyperlink" Target="https://docs.google.com/spreadsheets/d/1rbCD10ySi4YZEkJW2_Slmn9z7AI1WEsGsZaIJmnnT18/edit?gid=439341807" TargetMode="External"/><Relationship Id="rId883" Type="http://schemas.openxmlformats.org/officeDocument/2006/relationships/hyperlink" Target="https://docs.google.com/spreadsheets/d/1EI7qusa674eJhuaw-nWWtWMEHVSYMQv7HLsInEZTWpE/edit?gid=701601389" TargetMode="External"/><Relationship Id="rId640" Type="http://schemas.openxmlformats.org/officeDocument/2006/relationships/hyperlink" Target="https://docs.google.com/spreadsheets/d/1rbCD10ySi4YZEkJW2_Slmn9z7AI1WEsGsZaIJmnnT18/edit?gid=1287118524" TargetMode="External"/><Relationship Id="rId882" Type="http://schemas.openxmlformats.org/officeDocument/2006/relationships/hyperlink" Target="https://docs.google.com/spreadsheets/d/1EI7qusa674eJhuaw-nWWtWMEHVSYMQv7HLsInEZTWpE/edit?gid=900012262" TargetMode="External"/><Relationship Id="rId881" Type="http://schemas.openxmlformats.org/officeDocument/2006/relationships/hyperlink" Target="https://docs.google.com/spreadsheets/d/1EI7qusa674eJhuaw-nWWtWMEHVSYMQv7HLsInEZTWpE/edit?gid=1628808837" TargetMode="External"/><Relationship Id="rId635" Type="http://schemas.openxmlformats.org/officeDocument/2006/relationships/hyperlink" Target="https://docs.google.com/spreadsheets/d/1rbCD10ySi4YZEkJW2_Slmn9z7AI1WEsGsZaIJmnnT18/edit?gid=915615615" TargetMode="External"/><Relationship Id="rId877" Type="http://schemas.openxmlformats.org/officeDocument/2006/relationships/hyperlink" Target="https://docs.google.com/spreadsheets/d/1EI7qusa674eJhuaw-nWWtWMEHVSYMQv7HLsInEZTWpE/edit?gid=1656884297" TargetMode="External"/><Relationship Id="rId634" Type="http://schemas.openxmlformats.org/officeDocument/2006/relationships/hyperlink" Target="https://docs.google.com/spreadsheets/d/1rbCD10ySi4YZEkJW2_Slmn9z7AI1WEsGsZaIJmnnT18/edit?gid=1222438904" TargetMode="External"/><Relationship Id="rId876" Type="http://schemas.openxmlformats.org/officeDocument/2006/relationships/hyperlink" Target="https://docs.google.com/spreadsheets/d/1EI7qusa674eJhuaw-nWWtWMEHVSYMQv7HLsInEZTWpE/edit?gid=338449454" TargetMode="External"/><Relationship Id="rId633" Type="http://schemas.openxmlformats.org/officeDocument/2006/relationships/hyperlink" Target="https://docs.google.com/spreadsheets/d/1rbCD10ySi4YZEkJW2_Slmn9z7AI1WEsGsZaIJmnnT18/edit?gid=919062062" TargetMode="External"/><Relationship Id="rId875" Type="http://schemas.openxmlformats.org/officeDocument/2006/relationships/hyperlink" Target="https://docs.google.com/spreadsheets/d/1EI7qusa674eJhuaw-nWWtWMEHVSYMQv7HLsInEZTWpE/edit?gid=368087767" TargetMode="External"/><Relationship Id="rId632" Type="http://schemas.openxmlformats.org/officeDocument/2006/relationships/hyperlink" Target="https://docs.google.com/spreadsheets/d/1rbCD10ySi4YZEkJW2_Slmn9z7AI1WEsGsZaIJmnnT18/edit?gid=465508892" TargetMode="External"/><Relationship Id="rId874" Type="http://schemas.openxmlformats.org/officeDocument/2006/relationships/hyperlink" Target="https://docs.google.com/spreadsheets/d/1EI7qusa674eJhuaw-nWWtWMEHVSYMQv7HLsInEZTWpE/edit?gid=527260036" TargetMode="External"/><Relationship Id="rId639" Type="http://schemas.openxmlformats.org/officeDocument/2006/relationships/hyperlink" Target="https://docs.google.com/spreadsheets/d/1rbCD10ySi4YZEkJW2_Slmn9z7AI1WEsGsZaIJmnnT18/edit?gid=501983142" TargetMode="External"/><Relationship Id="rId638" Type="http://schemas.openxmlformats.org/officeDocument/2006/relationships/hyperlink" Target="https://docs.google.com/spreadsheets/d/1rbCD10ySi4YZEkJW2_Slmn9z7AI1WEsGsZaIJmnnT18/edit?gid=654604347" TargetMode="External"/><Relationship Id="rId637" Type="http://schemas.openxmlformats.org/officeDocument/2006/relationships/hyperlink" Target="https://docs.google.com/spreadsheets/d/1rbCD10ySi4YZEkJW2_Slmn9z7AI1WEsGsZaIJmnnT18/edit?gid=64186922" TargetMode="External"/><Relationship Id="rId879" Type="http://schemas.openxmlformats.org/officeDocument/2006/relationships/hyperlink" Target="https://docs.google.com/spreadsheets/d/1EI7qusa674eJhuaw-nWWtWMEHVSYMQv7HLsInEZTWpE/edit?gid=1198270379" TargetMode="External"/><Relationship Id="rId636" Type="http://schemas.openxmlformats.org/officeDocument/2006/relationships/hyperlink" Target="https://docs.google.com/spreadsheets/d/1rbCD10ySi4YZEkJW2_Slmn9z7AI1WEsGsZaIJmnnT18/edit?gid=1583073307" TargetMode="External"/><Relationship Id="rId878" Type="http://schemas.openxmlformats.org/officeDocument/2006/relationships/hyperlink" Target="https://disk.yandex.ru/client/disk/%D0%9E%D1%81%D0%BC%D0%BE%D1%82%D1%80%D1%8B%20%D0%BE%D0%B1%D1%8A%D0%B5%D0%BA%D1%82%D0%BE%D0%B2%20%D0%90%D0%9D%D0%9E%20%D0%A1%D0%9C%D0%93/12211-%D0%B9%20%D0%93%D1%80%D0%B0%D0%B9%D0%B2%D0%BE%D1%80%D0%BE%D0%BD%D0%BE%D0%B2%D1%81%D0%BA%D0%B8%D0%B9%20%D0%BF%D1%80%D0%BE%D0%B5%D0%B7%D0%B4%2C%203%20%D0%96%D0%9A%20%22%D0%92%D0%BE%D0%BB%D0%B6%D1%81%D0%BA%D0%B8%D0%B9%20%D0%BF%D0%B0%D1%80%D0%BA%22%20%D0%94%D0%9E%D0%9E%20%D0%BD%D0%B0%20300%20%D0%BC%D0%B5%D1%81%D1%82%20%D1%81%20%D0%B1%D0%B0%D1%81%D1%81%D0%B5%D0%B9%D0%BD%D0%BE%D0%BC%20" TargetMode="External"/><Relationship Id="rId631" Type="http://schemas.openxmlformats.org/officeDocument/2006/relationships/hyperlink" Target="https://docs.google.com/spreadsheets/d/1rbCD10ySi4YZEkJW2_Slmn9z7AI1WEsGsZaIJmnnT18/edit?gid=1943180572" TargetMode="External"/><Relationship Id="rId873" Type="http://schemas.openxmlformats.org/officeDocument/2006/relationships/hyperlink" Target="https://docs.google.com/spreadsheets/d/1EI7qusa674eJhuaw-nWWtWMEHVSYMQv7HLsInEZTWpE/edit?gid=2002546597" TargetMode="External"/><Relationship Id="rId630" Type="http://schemas.openxmlformats.org/officeDocument/2006/relationships/hyperlink" Target="https://docs.google.com/spreadsheets/d/1rbCD10ySi4YZEkJW2_Slmn9z7AI1WEsGsZaIJmnnT18/edit?gid=1703617430" TargetMode="External"/><Relationship Id="rId872" Type="http://schemas.openxmlformats.org/officeDocument/2006/relationships/hyperlink" Target="https://docs.google.com/spreadsheets/d/1EI7qusa674eJhuaw-nWWtWMEHVSYMQv7HLsInEZTWpE/edit?gid=930912850" TargetMode="External"/><Relationship Id="rId871" Type="http://schemas.openxmlformats.org/officeDocument/2006/relationships/hyperlink" Target="https://docs.google.com/spreadsheets/d/1EI7qusa674eJhuaw-nWWtWMEHVSYMQv7HLsInEZTWpE/edit?gid=1853146413" TargetMode="External"/><Relationship Id="rId870" Type="http://schemas.openxmlformats.org/officeDocument/2006/relationships/hyperlink" Target="https://docs.google.com/spreadsheets/d/1EI7qusa674eJhuaw-nWWtWMEHVSYMQv7HLsInEZTWpE/edit?gid=694232256" TargetMode="External"/><Relationship Id="rId829" Type="http://schemas.openxmlformats.org/officeDocument/2006/relationships/hyperlink" Target="https://docs.google.com/spreadsheets/d/1EI7qusa674eJhuaw-nWWtWMEHVSYMQv7HLsInEZTWpE/edit?gid=1410705697" TargetMode="External"/><Relationship Id="rId828" Type="http://schemas.openxmlformats.org/officeDocument/2006/relationships/hyperlink" Target="https://docs.google.com/spreadsheets/d/1EI7qusa674eJhuaw-nWWtWMEHVSYMQv7HLsInEZTWpE/edit?gid=1204838295" TargetMode="External"/><Relationship Id="rId827" Type="http://schemas.openxmlformats.org/officeDocument/2006/relationships/hyperlink" Target="https://docs.google.com/spreadsheets/d/1EI7qusa674eJhuaw-nWWtWMEHVSYMQv7HLsInEZTWpE/edit?gid=1768479973" TargetMode="External"/><Relationship Id="rId822" Type="http://schemas.openxmlformats.org/officeDocument/2006/relationships/hyperlink" Target="https://docs.google.com/spreadsheets/d/1EI7qusa674eJhuaw-nWWtWMEHVSYMQv7HLsInEZTWpE/edit?gid=2141463724" TargetMode="External"/><Relationship Id="rId821" Type="http://schemas.openxmlformats.org/officeDocument/2006/relationships/hyperlink" Target="https://docs.google.com/spreadsheets/d/1EI7qusa674eJhuaw-nWWtWMEHVSYMQv7HLsInEZTWpE/edit?gid=893741995" TargetMode="External"/><Relationship Id="rId820" Type="http://schemas.openxmlformats.org/officeDocument/2006/relationships/hyperlink" Target="https://disk.yandex.ru/client/disk/%D0%9E%D1%81%D0%BC%D0%BE%D1%82%D1%80%D1%8B%20%D0%BE%D0%B1%D1%8A%D0%B5%D0%BA%D1%82%D0%BE%D0%B2%20%D0%90%D0%9D%D0%9E%20%D0%A1%D0%9C%D0%93/129%203-%D1%8F%20%D0%9C%D1%8B%D1%82%D0%B8%D1%89%D0%B8%D0%BD%D1%81%D0%BA%D0%B0%D1%8F%20%D1%83%D0%BB%D0%B8%D1%86%D0%B0%2C%205%D1%811" TargetMode="External"/><Relationship Id="rId826" Type="http://schemas.openxmlformats.org/officeDocument/2006/relationships/hyperlink" Target="https://docs.google.com/spreadsheets/d/1EI7qusa674eJhuaw-nWWtWMEHVSYMQv7HLsInEZTWpE/edit?gid=346643288" TargetMode="External"/><Relationship Id="rId825" Type="http://schemas.openxmlformats.org/officeDocument/2006/relationships/hyperlink" Target="https://docs.google.com/spreadsheets/d/1EI7qusa674eJhuaw-nWWtWMEHVSYMQv7HLsInEZTWpE/edit?gid=904343582" TargetMode="External"/><Relationship Id="rId824" Type="http://schemas.openxmlformats.org/officeDocument/2006/relationships/hyperlink" Target="https://docs.google.com/spreadsheets/d/1EI7qusa674eJhuaw-nWWtWMEHVSYMQv7HLsInEZTWpE/edit?gid=191758898" TargetMode="External"/><Relationship Id="rId823" Type="http://schemas.openxmlformats.org/officeDocument/2006/relationships/hyperlink" Target="https://docs.google.com/spreadsheets/d/1EI7qusa674eJhuaw-nWWtWMEHVSYMQv7HLsInEZTWpE/edit?gid=1656513014" TargetMode="External"/><Relationship Id="rId819" Type="http://schemas.openxmlformats.org/officeDocument/2006/relationships/hyperlink" Target="https://docs.google.com/spreadsheets/d/1EI7qusa674eJhuaw-nWWtWMEHVSYMQv7HLsInEZTWpE/edit?gid=800886527" TargetMode="External"/><Relationship Id="rId818" Type="http://schemas.openxmlformats.org/officeDocument/2006/relationships/hyperlink" Target="https://docs.google.com/spreadsheets/d/1EI7qusa674eJhuaw-nWWtWMEHVSYMQv7HLsInEZTWpE/edit?gid=1721100499" TargetMode="External"/><Relationship Id="rId817" Type="http://schemas.openxmlformats.org/officeDocument/2006/relationships/hyperlink" Target="https://docs.google.com/spreadsheets/d/1EI7qusa674eJhuaw-nWWtWMEHVSYMQv7HLsInEZTWpE/edit?gid=340433280" TargetMode="External"/><Relationship Id="rId816" Type="http://schemas.openxmlformats.org/officeDocument/2006/relationships/hyperlink" Target="https://docs.google.com/spreadsheets/d/1EI7qusa674eJhuaw-nWWtWMEHVSYMQv7HLsInEZTWpE/edit?gid=204053805" TargetMode="External"/><Relationship Id="rId811" Type="http://schemas.openxmlformats.org/officeDocument/2006/relationships/hyperlink" Target="https://docs.google.com/spreadsheets/d/1EI7qusa674eJhuaw-nWWtWMEHVSYMQv7HLsInEZTWpE/edit?gid=1022242891" TargetMode="External"/><Relationship Id="rId810" Type="http://schemas.openxmlformats.org/officeDocument/2006/relationships/hyperlink" Target="https://docs.google.com/spreadsheets/d/1EI7qusa674eJhuaw-nWWtWMEHVSYMQv7HLsInEZTWpE/edit?gid=1026471419" TargetMode="External"/><Relationship Id="rId815" Type="http://schemas.openxmlformats.org/officeDocument/2006/relationships/hyperlink" Target="https://docs.google.com/spreadsheets/d/1EI7qusa674eJhuaw-nWWtWMEHVSYMQv7HLsInEZTWpE/edit?gid=1476336114" TargetMode="External"/><Relationship Id="rId814" Type="http://schemas.openxmlformats.org/officeDocument/2006/relationships/hyperlink" Target="https://docs.google.com/spreadsheets/d/1EI7qusa674eJhuaw-nWWtWMEHVSYMQv7HLsInEZTWpE/edit?gid=1477675576" TargetMode="External"/><Relationship Id="rId813" Type="http://schemas.openxmlformats.org/officeDocument/2006/relationships/hyperlink" Target="https://docs.google.com/spreadsheets/d/1EI7qusa674eJhuaw-nWWtWMEHVSYMQv7HLsInEZTWpE/edit?gid=1836431147" TargetMode="External"/><Relationship Id="rId812" Type="http://schemas.openxmlformats.org/officeDocument/2006/relationships/hyperlink" Target="https://docs.google.com/spreadsheets/d/1EI7qusa674eJhuaw-nWWtWMEHVSYMQv7HLsInEZTWpE/edit?gid=376178489" TargetMode="External"/><Relationship Id="rId609" Type="http://schemas.openxmlformats.org/officeDocument/2006/relationships/hyperlink" Target="https://docs.google.com/spreadsheets/d/1rbCD10ySi4YZEkJW2_Slmn9z7AI1WEsGsZaIJmnnT18/edit?gid=1264505014" TargetMode="External"/><Relationship Id="rId608" Type="http://schemas.openxmlformats.org/officeDocument/2006/relationships/hyperlink" Target="https://docs.google.com/spreadsheets/d/1rbCD10ySi4YZEkJW2_Slmn9z7AI1WEsGsZaIJmnnT18/edit?gid=1792641255" TargetMode="External"/><Relationship Id="rId607" Type="http://schemas.openxmlformats.org/officeDocument/2006/relationships/hyperlink" Target="https://docs.google.com/spreadsheets/d/1rbCD10ySi4YZEkJW2_Slmn9z7AI1WEsGsZaIJmnnT18/edit?gid=1920719356" TargetMode="External"/><Relationship Id="rId849" Type="http://schemas.openxmlformats.org/officeDocument/2006/relationships/hyperlink" Target="https://docs.google.com/spreadsheets/d/1EI7qusa674eJhuaw-nWWtWMEHVSYMQv7HLsInEZTWpE/edit?gid=1434119046" TargetMode="External"/><Relationship Id="rId602" Type="http://schemas.openxmlformats.org/officeDocument/2006/relationships/hyperlink" Target="https://docs.google.com/spreadsheets/d/1rbCD10ySi4YZEkJW2_Slmn9z7AI1WEsGsZaIJmnnT18/edit?gid=1084360480" TargetMode="External"/><Relationship Id="rId844" Type="http://schemas.openxmlformats.org/officeDocument/2006/relationships/hyperlink" Target="https://docs.google.com/spreadsheets/d/1EI7qusa674eJhuaw-nWWtWMEHVSYMQv7HLsInEZTWpE/edit?gid=852795389" TargetMode="External"/><Relationship Id="rId601" Type="http://schemas.openxmlformats.org/officeDocument/2006/relationships/hyperlink" Target="https://docs.google.com/spreadsheets/d/1rbCD10ySi4YZEkJW2_Slmn9z7AI1WEsGsZaIJmnnT18/edit?gid=1407510683" TargetMode="External"/><Relationship Id="rId843" Type="http://schemas.openxmlformats.org/officeDocument/2006/relationships/hyperlink" Target="https://docs.google.com/spreadsheets/d/1EI7qusa674eJhuaw-nWWtWMEHVSYMQv7HLsInEZTWpE/edit?gid=2009717462" TargetMode="External"/><Relationship Id="rId600" Type="http://schemas.openxmlformats.org/officeDocument/2006/relationships/hyperlink" Target="https://docs.google.com/spreadsheets/d/1rbCD10ySi4YZEkJW2_Slmn9z7AI1WEsGsZaIJmnnT18/edit?gid=1068599727" TargetMode="External"/><Relationship Id="rId842" Type="http://schemas.openxmlformats.org/officeDocument/2006/relationships/hyperlink" Target="https://docs.google.com/spreadsheets/d/1EI7qusa674eJhuaw-nWWtWMEHVSYMQv7HLsInEZTWpE/edit?gid=318719186" TargetMode="External"/><Relationship Id="rId841" Type="http://schemas.openxmlformats.org/officeDocument/2006/relationships/hyperlink" Target="https://docs.google.com/spreadsheets/d/1EI7qusa674eJhuaw-nWWtWMEHVSYMQv7HLsInEZTWpE/edit?gid=1025924228" TargetMode="External"/><Relationship Id="rId606" Type="http://schemas.openxmlformats.org/officeDocument/2006/relationships/hyperlink" Target="https://docs.google.com/spreadsheets/d/1rbCD10ySi4YZEkJW2_Slmn9z7AI1WEsGsZaIJmnnT18/edit?gid=814332945" TargetMode="External"/><Relationship Id="rId848" Type="http://schemas.openxmlformats.org/officeDocument/2006/relationships/hyperlink" Target="https://docs.google.com/spreadsheets/d/1H1MjbG2y0oC0hhID4do1G0_gfyI1jag72lQd7nL3WDQ/edit?gid=1877547333" TargetMode="External"/><Relationship Id="rId605" Type="http://schemas.openxmlformats.org/officeDocument/2006/relationships/hyperlink" Target="https://docs.google.com/spreadsheets/d/1rbCD10ySi4YZEkJW2_Slmn9z7AI1WEsGsZaIJmnnT18/edit?gid=482146990" TargetMode="External"/><Relationship Id="rId847" Type="http://schemas.openxmlformats.org/officeDocument/2006/relationships/hyperlink" Target="https://docs.google.com/spreadsheets/d/1EI7qusa674eJhuaw-nWWtWMEHVSYMQv7HLsInEZTWpE/edit?gid=1381479506" TargetMode="External"/><Relationship Id="rId604" Type="http://schemas.openxmlformats.org/officeDocument/2006/relationships/hyperlink" Target="https://docs.google.com/spreadsheets/d/1rbCD10ySi4YZEkJW2_Slmn9z7AI1WEsGsZaIJmnnT18/edit?gid=1877394014" TargetMode="External"/><Relationship Id="rId846" Type="http://schemas.openxmlformats.org/officeDocument/2006/relationships/hyperlink" Target="https://docs.google.com/spreadsheets/d/1EI7qusa674eJhuaw-nWWtWMEHVSYMQv7HLsInEZTWpE/edit?gid=1343663490" TargetMode="External"/><Relationship Id="rId603" Type="http://schemas.openxmlformats.org/officeDocument/2006/relationships/hyperlink" Target="https://docs.google.com/spreadsheets/d/1rbCD10ySi4YZEkJW2_Slmn9z7AI1WEsGsZaIJmnnT18/edit?gid=43981398" TargetMode="External"/><Relationship Id="rId845" Type="http://schemas.openxmlformats.org/officeDocument/2006/relationships/hyperlink" Target="https://docs.google.com/spreadsheets/d/1EI7qusa674eJhuaw-nWWtWMEHVSYMQv7HLsInEZTWpE/edit?gid=1610184965" TargetMode="External"/><Relationship Id="rId840" Type="http://schemas.openxmlformats.org/officeDocument/2006/relationships/hyperlink" Target="https://docs.google.com/spreadsheets/d/1EI7qusa674eJhuaw-nWWtWMEHVSYMQv7HLsInEZTWpE/edit?gid=360147993" TargetMode="External"/><Relationship Id="rId839" Type="http://schemas.openxmlformats.org/officeDocument/2006/relationships/hyperlink" Target="https://disk.yandex.ru/client/disk/%D0%9E%D1%81%D0%BC%D0%BE%D1%82%D1%80%D1%8B%20%D0%BE%D0%B1%D1%8A%D0%B5%D0%BA%D1%82%D0%BE%D0%B2%20%D0%90%D0%9D%D0%9E%20%D0%A1%D0%9C%D0%93/1115%20%D0%96%D0%9A%20%D0%A1%D0%B2%D0%B5%D1%82%D0%BB%D1%8B%D0%B9%20%D0%BC%D0%B8%D1%80%20(%D0%A1%D0%BA%D0%B0%D0%B7%D0%BE%D1%87%D0%BD%D1%8B%D0%B9%20%D0%BB%D0%B5%D1%81)%20%D0%9B%D0%BE%D1%81%D0%B8%D0%BD%D0%BE%D0%BE%D1%81%D1%82%D1%80%D0%BE%D0%B2%D1%81%D0%BA%D0%B0%D1%8F%20%D0%B2%D0%BB%2045%20" TargetMode="External"/><Relationship Id="rId838" Type="http://schemas.openxmlformats.org/officeDocument/2006/relationships/hyperlink" Target="https://docs.google.com/spreadsheets/d/1EI7qusa674eJhuaw-nWWtWMEHVSYMQv7HLsInEZTWpE/edit?gid=1635120281" TargetMode="External"/><Relationship Id="rId833" Type="http://schemas.openxmlformats.org/officeDocument/2006/relationships/hyperlink" Target="https://docs.google.com/spreadsheets/d/1EI7qusa674eJhuaw-nWWtWMEHVSYMQv7HLsInEZTWpE/edit?gid=972545165" TargetMode="External"/><Relationship Id="rId832" Type="http://schemas.openxmlformats.org/officeDocument/2006/relationships/hyperlink" Target="https://docs.google.com/spreadsheets/d/1H1MjbG2y0oC0hhID4do1G0_gfyI1jag72lQd7nL3WDQ/edit?gid=882317293" TargetMode="External"/><Relationship Id="rId831" Type="http://schemas.openxmlformats.org/officeDocument/2006/relationships/hyperlink" Target="https://disk.yandex.ru/client/disk/%D0%9E%D1%81%D0%BC%D0%BE%D1%82%D1%80%D1%8B%20%D0%BE%D0%B1%D1%8A%D0%B5%D0%BA%D1%82%D0%BE%D0%B2%20%D0%90%D0%9D%D0%9E%20%D0%A1%D0%9C%D0%93/397.%20%D0%92%D0%BE%D0%BB%D0%BE%D0%BA%D0%BE%D0%BB%D0%B0%D0%BC%D1%81%D0%BA%D0%BE%D0%B5%20%D1%88.75%D0%92%2C%20%D0%A8%D0%BA.%22Alia%22" TargetMode="External"/><Relationship Id="rId830" Type="http://schemas.openxmlformats.org/officeDocument/2006/relationships/hyperlink" Target="https://docs.google.com/spreadsheets/d/1EI7qusa674eJhuaw-nWWtWMEHVSYMQv7HLsInEZTWpE/edit?gid=912086412" TargetMode="External"/><Relationship Id="rId837" Type="http://schemas.openxmlformats.org/officeDocument/2006/relationships/hyperlink" Target="https://docs.google.com/spreadsheets/d/1EI7qusa674eJhuaw-nWWtWMEHVSYMQv7HLsInEZTWpE/edit?gid=1977634202" TargetMode="External"/><Relationship Id="rId836" Type="http://schemas.openxmlformats.org/officeDocument/2006/relationships/hyperlink" Target="https://docs.google.com/spreadsheets/d/1EI7qusa674eJhuaw-nWWtWMEHVSYMQv7HLsInEZTWpE/edit?gid=1822763133" TargetMode="External"/><Relationship Id="rId835" Type="http://schemas.openxmlformats.org/officeDocument/2006/relationships/hyperlink" Target="https://docs.google.com/spreadsheets/d/1EI7qusa674eJhuaw-nWWtWMEHVSYMQv7HLsInEZTWpE/edit?gid=1366886932" TargetMode="External"/><Relationship Id="rId834" Type="http://schemas.openxmlformats.org/officeDocument/2006/relationships/hyperlink" Target="https://docs.google.com/spreadsheets/d/1EI7qusa674eJhuaw-nWWtWMEHVSYMQv7HLsInEZTWpE/edit?gid=486432300" TargetMode="External"/><Relationship Id="rId1059" Type="http://schemas.openxmlformats.org/officeDocument/2006/relationships/hyperlink" Target="https://docs.google.com/spreadsheets/d/1rbCD10ySi4YZEkJW2_Slmn9z7AI1WEsGsZaIJmnnT18/edit?gid=665598290" TargetMode="External"/><Relationship Id="rId228" Type="http://schemas.openxmlformats.org/officeDocument/2006/relationships/hyperlink" Target="https://docs.google.com/spreadsheets/d/19THEBTE9q0fhN2eApZr6BgenIvLGh0AckaYxHQfHk5w/edit?gid=1882277180" TargetMode="External"/><Relationship Id="rId227" Type="http://schemas.openxmlformats.org/officeDocument/2006/relationships/hyperlink" Target="https://docs.google.com/spreadsheets/d/19THEBTE9q0fhN2eApZr6BgenIvLGh0AckaYxHQfHk5w/edit?gid=670602752" TargetMode="External"/><Relationship Id="rId469" Type="http://schemas.openxmlformats.org/officeDocument/2006/relationships/hyperlink" Target="https://docs.google.com/spreadsheets/d/1rbCD10ySi4YZEkJW2_Slmn9z7AI1WEsGsZaIJmnnT18/edit?gid=1787224258" TargetMode="External"/><Relationship Id="rId226" Type="http://schemas.openxmlformats.org/officeDocument/2006/relationships/hyperlink" Target="https://docs.google.com/spreadsheets/d/19THEBTE9q0fhN2eApZr6BgenIvLGh0AckaYxHQfHk5w/edit?gid=481187794" TargetMode="External"/><Relationship Id="rId468" Type="http://schemas.openxmlformats.org/officeDocument/2006/relationships/hyperlink" Target="https://docs.google.com/spreadsheets/d/1rbCD10ySi4YZEkJW2_Slmn9z7AI1WEsGsZaIJmnnT18/edit?gid=772910058" TargetMode="External"/><Relationship Id="rId225" Type="http://schemas.openxmlformats.org/officeDocument/2006/relationships/hyperlink" Target="https://docs.google.com/spreadsheets/d/1jonEGMB3UFHiUZpltF1zURon8gYN7jGSHu-k9t5TXnA/edit?gid=1179595420" TargetMode="External"/><Relationship Id="rId467" Type="http://schemas.openxmlformats.org/officeDocument/2006/relationships/hyperlink" Target="https://docs.google.com/spreadsheets/d/1rbCD10ySi4YZEkJW2_Slmn9z7AI1WEsGsZaIJmnnT18/edit?gid=830671407" TargetMode="External"/><Relationship Id="rId229" Type="http://schemas.openxmlformats.org/officeDocument/2006/relationships/hyperlink" Target="https://docs.google.com/spreadsheets/d/19THEBTE9q0fhN2eApZr6BgenIvLGh0AckaYxHQfHk5w/edit?gid=678589478" TargetMode="External"/><Relationship Id="rId1050" Type="http://schemas.openxmlformats.org/officeDocument/2006/relationships/hyperlink" Target="https://docs.google.com/spreadsheets/d/1EI7qusa674eJhuaw-nWWtWMEHVSYMQv7HLsInEZTWpE/edit?gid=230773618" TargetMode="External"/><Relationship Id="rId220" Type="http://schemas.openxmlformats.org/officeDocument/2006/relationships/hyperlink" Target="https://docs.google.com/spreadsheets/d/19THEBTE9q0fhN2eApZr6BgenIvLGh0AckaYxHQfHk5w/edit?gid=48405114" TargetMode="External"/><Relationship Id="rId462" Type="http://schemas.openxmlformats.org/officeDocument/2006/relationships/hyperlink" Target="https://docs.google.com/spreadsheets/d/1rbCD10ySi4YZEkJW2_Slmn9z7AI1WEsGsZaIJmnnT18/edit?gid=1114468550" TargetMode="External"/><Relationship Id="rId1051" Type="http://schemas.openxmlformats.org/officeDocument/2006/relationships/hyperlink" Target="https://disk.yandex.ru/d/RQWYI5lREkHOFg" TargetMode="External"/><Relationship Id="rId461" Type="http://schemas.openxmlformats.org/officeDocument/2006/relationships/hyperlink" Target="https://docs.google.com/spreadsheets/d/1rbCD10ySi4YZEkJW2_Slmn9z7AI1WEsGsZaIJmnnT18/edit?gid=1402918255" TargetMode="External"/><Relationship Id="rId1052" Type="http://schemas.openxmlformats.org/officeDocument/2006/relationships/hyperlink" Target="https://docs.google.com/spreadsheets/d/1EI7qusa674eJhuaw-nWWtWMEHVSYMQv7HLsInEZTWpE/edit?gid=1568412544" TargetMode="External"/><Relationship Id="rId460" Type="http://schemas.openxmlformats.org/officeDocument/2006/relationships/hyperlink" Target="https://docs.google.com/spreadsheets/d/1rbCD10ySi4YZEkJW2_Slmn9z7AI1WEsGsZaIJmnnT18/edit?gid=1103814472" TargetMode="External"/><Relationship Id="rId1053" Type="http://schemas.openxmlformats.org/officeDocument/2006/relationships/hyperlink" Target="https://disk.yandex.ru/d/yUPiYApIyIk7Ag" TargetMode="External"/><Relationship Id="rId1054" Type="http://schemas.openxmlformats.org/officeDocument/2006/relationships/hyperlink" Target="https://docs.google.com/spreadsheets/d/1EI7qusa674eJhuaw-nWWtWMEHVSYMQv7HLsInEZTWpE/edit?gid=2065488739" TargetMode="External"/><Relationship Id="rId224" Type="http://schemas.openxmlformats.org/officeDocument/2006/relationships/hyperlink" Target="https://docs.google.com/spreadsheets/d/1jonEGMB3UFHiUZpltF1zURon8gYN7jGSHu-k9t5TXnA/edit?gid=1179595420" TargetMode="External"/><Relationship Id="rId466" Type="http://schemas.openxmlformats.org/officeDocument/2006/relationships/hyperlink" Target="https://docs.google.com/spreadsheets/d/1rbCD10ySi4YZEkJW2_Slmn9z7AI1WEsGsZaIJmnnT18/edit?gid=1538306210" TargetMode="External"/><Relationship Id="rId1055" Type="http://schemas.openxmlformats.org/officeDocument/2006/relationships/hyperlink" Target="https://disk.yandex.ru/d/s17WL0GFDbRVkw" TargetMode="External"/><Relationship Id="rId223" Type="http://schemas.openxmlformats.org/officeDocument/2006/relationships/hyperlink" Target="https://docs.google.com/spreadsheets/d/1jonEGMB3UFHiUZpltF1zURon8gYN7jGSHu-k9t5TXnA/edit?gid=1179595420" TargetMode="External"/><Relationship Id="rId465" Type="http://schemas.openxmlformats.org/officeDocument/2006/relationships/hyperlink" Target="https://docs.google.com/spreadsheets/d/1rbCD10ySi4YZEkJW2_Slmn9z7AI1WEsGsZaIJmnnT18/edit?gid=479418730" TargetMode="External"/><Relationship Id="rId1056" Type="http://schemas.openxmlformats.org/officeDocument/2006/relationships/hyperlink" Target="https://docs.google.com/spreadsheets/d/1EI7qusa674eJhuaw-nWWtWMEHVSYMQv7HLsInEZTWpE/edit?gid=680394849" TargetMode="External"/><Relationship Id="rId222" Type="http://schemas.openxmlformats.org/officeDocument/2006/relationships/hyperlink" Target="https://docs.google.com/spreadsheets/d/1jonEGMB3UFHiUZpltF1zURon8gYN7jGSHu-k9t5TXnA/edit?gid=1469752331" TargetMode="External"/><Relationship Id="rId464" Type="http://schemas.openxmlformats.org/officeDocument/2006/relationships/hyperlink" Target="https://docs.google.com/spreadsheets/d/1rbCD10ySi4YZEkJW2_Slmn9z7AI1WEsGsZaIJmnnT18/edit?gid=1305190320" TargetMode="External"/><Relationship Id="rId1057" Type="http://schemas.openxmlformats.org/officeDocument/2006/relationships/hyperlink" Target="https://docs.google.com/spreadsheets/d/1EI7qusa674eJhuaw-nWWtWMEHVSYMQv7HLsInEZTWpE/edit?gid=410419708" TargetMode="External"/><Relationship Id="rId221" Type="http://schemas.openxmlformats.org/officeDocument/2006/relationships/hyperlink" Target="https://docs.google.com/spreadsheets/d/1jonEGMB3UFHiUZpltF1zURon8gYN7jGSHu-k9t5TXnA/edit?gid=1469752331" TargetMode="External"/><Relationship Id="rId463" Type="http://schemas.openxmlformats.org/officeDocument/2006/relationships/hyperlink" Target="https://docs.google.com/spreadsheets/d/1rbCD10ySi4YZEkJW2_Slmn9z7AI1WEsGsZaIJmnnT18/edit?gid=198115662" TargetMode="External"/><Relationship Id="rId1058" Type="http://schemas.openxmlformats.org/officeDocument/2006/relationships/hyperlink" Target="https://docs.google.com/spreadsheets/d/19THEBTE9q0fhN2eApZr6BgenIvLGh0AckaYxHQfHk5w/edit?gid=1835030913" TargetMode="External"/><Relationship Id="rId1048" Type="http://schemas.openxmlformats.org/officeDocument/2006/relationships/hyperlink" Target="https://disk.yandex.ru/d/E7sE4Ci74fL9Sw" TargetMode="External"/><Relationship Id="rId1049" Type="http://schemas.openxmlformats.org/officeDocument/2006/relationships/hyperlink" Target="https://docs.google.com/spreadsheets/d/1EI7qusa674eJhuaw-nWWtWMEHVSYMQv7HLsInEZTWpE/edit?gid=1550603494" TargetMode="External"/><Relationship Id="rId217" Type="http://schemas.openxmlformats.org/officeDocument/2006/relationships/hyperlink" Target="https://docs.google.com/spreadsheets/d/19THEBTE9q0fhN2eApZr6BgenIvLGh0AckaYxHQfHk5w/edit?gid=1327731705" TargetMode="External"/><Relationship Id="rId459" Type="http://schemas.openxmlformats.org/officeDocument/2006/relationships/hyperlink" Target="https://docs.google.com/spreadsheets/d/1rbCD10ySi4YZEkJW2_Slmn9z7AI1WEsGsZaIJmnnT18/edit?gid=1872184030" TargetMode="External"/><Relationship Id="rId216" Type="http://schemas.openxmlformats.org/officeDocument/2006/relationships/hyperlink" Target="https://docs.google.com/spreadsheets/d/19THEBTE9q0fhN2eApZr6BgenIvLGh0AckaYxHQfHk5w/edit?gid=251201264" TargetMode="External"/><Relationship Id="rId458" Type="http://schemas.openxmlformats.org/officeDocument/2006/relationships/hyperlink" Target="https://docs.google.com/spreadsheets/d/1rbCD10ySi4YZEkJW2_Slmn9z7AI1WEsGsZaIJmnnT18/edit?gid=573547240" TargetMode="External"/><Relationship Id="rId215" Type="http://schemas.openxmlformats.org/officeDocument/2006/relationships/hyperlink" Target="https://docs.google.com/spreadsheets/d/19THEBTE9q0fhN2eApZr6BgenIvLGh0AckaYxHQfHk5w/edit?gid=1201519029" TargetMode="External"/><Relationship Id="rId457" Type="http://schemas.openxmlformats.org/officeDocument/2006/relationships/hyperlink" Target="https://docs.google.com/spreadsheets/d/1rbCD10ySi4YZEkJW2_Slmn9z7AI1WEsGsZaIJmnnT18/edit?gid=673551977" TargetMode="External"/><Relationship Id="rId699" Type="http://schemas.openxmlformats.org/officeDocument/2006/relationships/hyperlink" Target="https://docs.google.com/spreadsheets/d/1lEcUd4exxkr5Za3IYZ0vdFNfMubnuMOOMXfmF3GYC9I/edit?gid=797603561" TargetMode="External"/><Relationship Id="rId214" Type="http://schemas.openxmlformats.org/officeDocument/2006/relationships/hyperlink" Target="https://docs.google.com/spreadsheets/d/19THEBTE9q0fhN2eApZr6BgenIvLGh0AckaYxHQfHk5w/edit?gid=734388632" TargetMode="External"/><Relationship Id="rId456" Type="http://schemas.openxmlformats.org/officeDocument/2006/relationships/hyperlink" Target="https://docs.google.com/spreadsheets/d/1rbCD10ySi4YZEkJW2_Slmn9z7AI1WEsGsZaIJmnnT18/edit?gid=1509964288" TargetMode="External"/><Relationship Id="rId698" Type="http://schemas.openxmlformats.org/officeDocument/2006/relationships/hyperlink" Target="https://docs.google.com/spreadsheets/d/1lEcUd4exxkr5Za3IYZ0vdFNfMubnuMOOMXfmF3GYC9I/edit?gid=1425191616" TargetMode="External"/><Relationship Id="rId219" Type="http://schemas.openxmlformats.org/officeDocument/2006/relationships/hyperlink" Target="https://docs.google.com/spreadsheets/d/19THEBTE9q0fhN2eApZr6BgenIvLGh0AckaYxHQfHk5w/edit?gid=1562121210" TargetMode="External"/><Relationship Id="rId218" Type="http://schemas.openxmlformats.org/officeDocument/2006/relationships/hyperlink" Target="https://docs.google.com/spreadsheets/d/19THEBTE9q0fhN2eApZr6BgenIvLGh0AckaYxHQfHk5w/edit?gid=969577696" TargetMode="External"/><Relationship Id="rId451" Type="http://schemas.openxmlformats.org/officeDocument/2006/relationships/hyperlink" Target="https://docs.google.com/spreadsheets/d/1rbCD10ySi4YZEkJW2_Slmn9z7AI1WEsGsZaIJmnnT18/edit?gid=1429286292" TargetMode="External"/><Relationship Id="rId693" Type="http://schemas.openxmlformats.org/officeDocument/2006/relationships/hyperlink" Target="https://docs.google.com/spreadsheets/d/1lEcUd4exxkr5Za3IYZ0vdFNfMubnuMOOMXfmF3GYC9I/edit?gid=1260602750" TargetMode="External"/><Relationship Id="rId1040" Type="http://schemas.openxmlformats.org/officeDocument/2006/relationships/hyperlink" Target="https://disk.yandex.ru/d/62QctWfFhXPyrA" TargetMode="External"/><Relationship Id="rId450" Type="http://schemas.openxmlformats.org/officeDocument/2006/relationships/hyperlink" Target="https://docs.google.com/spreadsheets/d/1rbCD10ySi4YZEkJW2_Slmn9z7AI1WEsGsZaIJmnnT18/edit?gid=1637195585" TargetMode="External"/><Relationship Id="rId692" Type="http://schemas.openxmlformats.org/officeDocument/2006/relationships/hyperlink" Target="https://docs.google.com/spreadsheets/d/1lEcUd4exxkr5Za3IYZ0vdFNfMubnuMOOMXfmF3GYC9I/edit?gid=1238624487" TargetMode="External"/><Relationship Id="rId1041" Type="http://schemas.openxmlformats.org/officeDocument/2006/relationships/hyperlink" Target="https://docs.google.com/spreadsheets/d/1EI7qusa674eJhuaw-nWWtWMEHVSYMQv7HLsInEZTWpE/edit?gid=102494064" TargetMode="External"/><Relationship Id="rId691" Type="http://schemas.openxmlformats.org/officeDocument/2006/relationships/hyperlink" Target="https://docs.google.com/spreadsheets/d/1lEcUd4exxkr5Za3IYZ0vdFNfMubnuMOOMXfmF3GYC9I/edit?gid=953512789" TargetMode="External"/><Relationship Id="rId1042" Type="http://schemas.openxmlformats.org/officeDocument/2006/relationships/hyperlink" Target="https://disk.yandex.ru/d/veFo8KaC1wzOSA" TargetMode="External"/><Relationship Id="rId690" Type="http://schemas.openxmlformats.org/officeDocument/2006/relationships/hyperlink" Target="https://docs.google.com/spreadsheets/d/1lEcUd4exxkr5Za3IYZ0vdFNfMubnuMOOMXfmF3GYC9I/edit?gid=546209828" TargetMode="External"/><Relationship Id="rId1043" Type="http://schemas.openxmlformats.org/officeDocument/2006/relationships/hyperlink" Target="https://docs.google.com/spreadsheets/d/1EI7qusa674eJhuaw-nWWtWMEHVSYMQv7HLsInEZTWpE/edit?gid=2011623621" TargetMode="External"/><Relationship Id="rId213" Type="http://schemas.openxmlformats.org/officeDocument/2006/relationships/hyperlink" Target="https://docs.google.com/spreadsheets/d/19THEBTE9q0fhN2eApZr6BgenIvLGh0AckaYxHQfHk5w/edit?gid=1703085430" TargetMode="External"/><Relationship Id="rId455" Type="http://schemas.openxmlformats.org/officeDocument/2006/relationships/hyperlink" Target="https://docs.google.com/spreadsheets/d/1rbCD10ySi4YZEkJW2_Slmn9z7AI1WEsGsZaIJmnnT18/edit?gid=3034090" TargetMode="External"/><Relationship Id="rId697" Type="http://schemas.openxmlformats.org/officeDocument/2006/relationships/hyperlink" Target="https://docs.google.com/spreadsheets/d/1lEcUd4exxkr5Za3IYZ0vdFNfMubnuMOOMXfmF3GYC9I/edit?gid=661362059" TargetMode="External"/><Relationship Id="rId1044" Type="http://schemas.openxmlformats.org/officeDocument/2006/relationships/hyperlink" Target="https://disk.yandex.ru/d/88XgQg4nvRX-Fg" TargetMode="External"/><Relationship Id="rId212" Type="http://schemas.openxmlformats.org/officeDocument/2006/relationships/hyperlink" Target="https://docs.google.com/spreadsheets/d/19THEBTE9q0fhN2eApZr6BgenIvLGh0AckaYxHQfHk5w/edit?gid=950438285" TargetMode="External"/><Relationship Id="rId454" Type="http://schemas.openxmlformats.org/officeDocument/2006/relationships/hyperlink" Target="https://docs.google.com/spreadsheets/d/1rbCD10ySi4YZEkJW2_Slmn9z7AI1WEsGsZaIJmnnT18/edit?gid=2096121583" TargetMode="External"/><Relationship Id="rId696" Type="http://schemas.openxmlformats.org/officeDocument/2006/relationships/hyperlink" Target="https://docs.google.com/spreadsheets/d/1lEcUd4exxkr5Za3IYZ0vdFNfMubnuMOOMXfmF3GYC9I/edit?gid=2050581417" TargetMode="External"/><Relationship Id="rId1045" Type="http://schemas.openxmlformats.org/officeDocument/2006/relationships/hyperlink" Target="https://docs.google.com/spreadsheets/d/1EI7qusa674eJhuaw-nWWtWMEHVSYMQv7HLsInEZTWpE/edit?gid=1412429298" TargetMode="External"/><Relationship Id="rId211" Type="http://schemas.openxmlformats.org/officeDocument/2006/relationships/hyperlink" Target="https://docs.google.com/spreadsheets/d/19THEBTE9q0fhN2eApZr6BgenIvLGh0AckaYxHQfHk5w/edit?gid=330165580" TargetMode="External"/><Relationship Id="rId453" Type="http://schemas.openxmlformats.org/officeDocument/2006/relationships/hyperlink" Target="https://docs.google.com/spreadsheets/d/1rbCD10ySi4YZEkJW2_Slmn9z7AI1WEsGsZaIJmnnT18/edit?gid=989644917" TargetMode="External"/><Relationship Id="rId695" Type="http://schemas.openxmlformats.org/officeDocument/2006/relationships/hyperlink" Target="https://docs.google.com/spreadsheets/d/1lEcUd4exxkr5Za3IYZ0vdFNfMubnuMOOMXfmF3GYC9I/edit?gid=1465150080" TargetMode="External"/><Relationship Id="rId1046" Type="http://schemas.openxmlformats.org/officeDocument/2006/relationships/hyperlink" Target="https://disk.yandex.ru/d/q3xDbj1lGRqG7w" TargetMode="External"/><Relationship Id="rId210" Type="http://schemas.openxmlformats.org/officeDocument/2006/relationships/hyperlink" Target="https://docs.google.com/spreadsheets/d/19THEBTE9q0fhN2eApZr6BgenIvLGh0AckaYxHQfHk5w/edit?gid=1251606175" TargetMode="External"/><Relationship Id="rId452" Type="http://schemas.openxmlformats.org/officeDocument/2006/relationships/hyperlink" Target="https://docs.google.com/spreadsheets/d/1rbCD10ySi4YZEkJW2_Slmn9z7AI1WEsGsZaIJmnnT18/edit?gid=1239547160" TargetMode="External"/><Relationship Id="rId694" Type="http://schemas.openxmlformats.org/officeDocument/2006/relationships/hyperlink" Target="https://docs.google.com/spreadsheets/d/1lEcUd4exxkr5Za3IYZ0vdFNfMubnuMOOMXfmF3GYC9I/edit?gid=2065426247" TargetMode="External"/><Relationship Id="rId1047" Type="http://schemas.openxmlformats.org/officeDocument/2006/relationships/hyperlink" Target="https://docs.google.com/spreadsheets/d/1EI7qusa674eJhuaw-nWWtWMEHVSYMQv7HLsInEZTWpE/edit?gid=2032019827" TargetMode="External"/><Relationship Id="rId491" Type="http://schemas.openxmlformats.org/officeDocument/2006/relationships/hyperlink" Target="https://docs.google.com/spreadsheets/d/1rbCD10ySi4YZEkJW2_Slmn9z7AI1WEsGsZaIJmnnT18/edit?gid=771281495" TargetMode="External"/><Relationship Id="rId490" Type="http://schemas.openxmlformats.org/officeDocument/2006/relationships/hyperlink" Target="https://docs.google.com/spreadsheets/d/1rbCD10ySi4YZEkJW2_Slmn9z7AI1WEsGsZaIJmnnT18/edit?gid=1340012708" TargetMode="External"/><Relationship Id="rId249" Type="http://schemas.openxmlformats.org/officeDocument/2006/relationships/hyperlink" Target="https://docs.google.com/spreadsheets/d/19THEBTE9q0fhN2eApZr6BgenIvLGh0AckaYxHQfHk5w/edit?gid=323323731" TargetMode="External"/><Relationship Id="rId248" Type="http://schemas.openxmlformats.org/officeDocument/2006/relationships/hyperlink" Target="https://docs.google.com/spreadsheets/d/19THEBTE9q0fhN2eApZr6BgenIvLGh0AckaYxHQfHk5w/edit?gid=1720182899" TargetMode="External"/><Relationship Id="rId247" Type="http://schemas.openxmlformats.org/officeDocument/2006/relationships/hyperlink" Target="https://docs.google.com/spreadsheets/d/19THEBTE9q0fhN2eApZr6BgenIvLGh0AckaYxHQfHk5w/edit?gid=1484428884" TargetMode="External"/><Relationship Id="rId489" Type="http://schemas.openxmlformats.org/officeDocument/2006/relationships/hyperlink" Target="https://docs.google.com/spreadsheets/d/1rbCD10ySi4YZEkJW2_Slmn9z7AI1WEsGsZaIJmnnT18/edit?gid=415706414" TargetMode="External"/><Relationship Id="rId242" Type="http://schemas.openxmlformats.org/officeDocument/2006/relationships/hyperlink" Target="https://docs.google.com/spreadsheets/d/19THEBTE9q0fhN2eApZr6BgenIvLGh0AckaYxHQfHk5w/edit?gid=1788417276" TargetMode="External"/><Relationship Id="rId484" Type="http://schemas.openxmlformats.org/officeDocument/2006/relationships/hyperlink" Target="https://docs.google.com/spreadsheets/d/1rbCD10ySi4YZEkJW2_Slmn9z7AI1WEsGsZaIJmnnT18/edit?gid=1656095741" TargetMode="External"/><Relationship Id="rId241" Type="http://schemas.openxmlformats.org/officeDocument/2006/relationships/hyperlink" Target="https://docs.google.com/spreadsheets/d/1jonEGMB3UFHiUZpltF1zURon8gYN7jGSHu-k9t5TXnA/edit?gid=1024106965" TargetMode="External"/><Relationship Id="rId483" Type="http://schemas.openxmlformats.org/officeDocument/2006/relationships/hyperlink" Target="https://docs.google.com/spreadsheets/d/1rbCD10ySi4YZEkJW2_Slmn9z7AI1WEsGsZaIJmnnT18/edit?gid=511980375" TargetMode="External"/><Relationship Id="rId240" Type="http://schemas.openxmlformats.org/officeDocument/2006/relationships/hyperlink" Target="https://docs.google.com/spreadsheets/d/1jonEGMB3UFHiUZpltF1zURon8gYN7jGSHu-k9t5TXnA/edit?gid=9028693" TargetMode="External"/><Relationship Id="rId482" Type="http://schemas.openxmlformats.org/officeDocument/2006/relationships/hyperlink" Target="https://docs.google.com/spreadsheets/d/1rbCD10ySi4YZEkJW2_Slmn9z7AI1WEsGsZaIJmnnT18/edit?gid=1402094174" TargetMode="External"/><Relationship Id="rId481" Type="http://schemas.openxmlformats.org/officeDocument/2006/relationships/hyperlink" Target="https://docs.google.com/spreadsheets/d/1rbCD10ySi4YZEkJW2_Slmn9z7AI1WEsGsZaIJmnnT18/edit?gid=372457040" TargetMode="External"/><Relationship Id="rId246" Type="http://schemas.openxmlformats.org/officeDocument/2006/relationships/hyperlink" Target="https://docs.google.com/spreadsheets/d/19THEBTE9q0fhN2eApZr6BgenIvLGh0AckaYxHQfHk5w/edit?gid=1676523530" TargetMode="External"/><Relationship Id="rId488" Type="http://schemas.openxmlformats.org/officeDocument/2006/relationships/hyperlink" Target="https://docs.google.com/spreadsheets/d/1rbCD10ySi4YZEkJW2_Slmn9z7AI1WEsGsZaIJmnnT18/edit?gid=152190080" TargetMode="External"/><Relationship Id="rId245" Type="http://schemas.openxmlformats.org/officeDocument/2006/relationships/hyperlink" Target="https://docs.google.com/spreadsheets/d/19THEBTE9q0fhN2eApZr6BgenIvLGh0AckaYxHQfHk5w/edit?gid=612628733" TargetMode="External"/><Relationship Id="rId487" Type="http://schemas.openxmlformats.org/officeDocument/2006/relationships/hyperlink" Target="https://docs.google.com/spreadsheets/d/1rbCD10ySi4YZEkJW2_Slmn9z7AI1WEsGsZaIJmnnT18/edit?gid=532286662" TargetMode="External"/><Relationship Id="rId244" Type="http://schemas.openxmlformats.org/officeDocument/2006/relationships/hyperlink" Target="https://docs.google.com/spreadsheets/d/19THEBTE9q0fhN2eApZr6BgenIvLGh0AckaYxHQfHk5w/edit?gid=373322802" TargetMode="External"/><Relationship Id="rId486" Type="http://schemas.openxmlformats.org/officeDocument/2006/relationships/hyperlink" Target="https://docs.google.com/spreadsheets/d/1rbCD10ySi4YZEkJW2_Slmn9z7AI1WEsGsZaIJmnnT18/edit?gid=1203948268" TargetMode="External"/><Relationship Id="rId243" Type="http://schemas.openxmlformats.org/officeDocument/2006/relationships/hyperlink" Target="https://docs.google.com/spreadsheets/d/19THEBTE9q0fhN2eApZr6BgenIvLGh0AckaYxHQfHk5w/edit?gid=241258397" TargetMode="External"/><Relationship Id="rId485" Type="http://schemas.openxmlformats.org/officeDocument/2006/relationships/hyperlink" Target="https://docs.google.com/spreadsheets/d/1rbCD10ySi4YZEkJW2_Slmn9z7AI1WEsGsZaIJmnnT18/edit?gid=1394380200" TargetMode="External"/><Relationship Id="rId480" Type="http://schemas.openxmlformats.org/officeDocument/2006/relationships/hyperlink" Target="https://docs.google.com/spreadsheets/d/1rbCD10ySi4YZEkJW2_Slmn9z7AI1WEsGsZaIJmnnT18/edit?gid=580229704" TargetMode="External"/><Relationship Id="rId239" Type="http://schemas.openxmlformats.org/officeDocument/2006/relationships/hyperlink" Target="https://docs.google.com/spreadsheets/d/1jonEGMB3UFHiUZpltF1zURon8gYN7jGSHu-k9t5TXnA/edit?gid=1284874728" TargetMode="External"/><Relationship Id="rId238" Type="http://schemas.openxmlformats.org/officeDocument/2006/relationships/hyperlink" Target="https://docs.google.com/spreadsheets/d/1jonEGMB3UFHiUZpltF1zURon8gYN7jGSHu-k9t5TXnA/edit?gid=1027797639" TargetMode="External"/><Relationship Id="rId237" Type="http://schemas.openxmlformats.org/officeDocument/2006/relationships/hyperlink" Target="https://disk.yandex.ru/d/iRTb6x-s7u0Bcw" TargetMode="External"/><Relationship Id="rId479" Type="http://schemas.openxmlformats.org/officeDocument/2006/relationships/hyperlink" Target="https://docs.google.com/spreadsheets/d/1rbCD10ySi4YZEkJW2_Slmn9z7AI1WEsGsZaIJmnnT18/edit?gid=256251800" TargetMode="External"/><Relationship Id="rId236" Type="http://schemas.openxmlformats.org/officeDocument/2006/relationships/hyperlink" Target="https://docs.google.com/spreadsheets/d/19THEBTE9q0fhN2eApZr6BgenIvLGh0AckaYxHQfHk5w/edit?gid=76672550" TargetMode="External"/><Relationship Id="rId478" Type="http://schemas.openxmlformats.org/officeDocument/2006/relationships/hyperlink" Target="https://docs.google.com/spreadsheets/d/1rbCD10ySi4YZEkJW2_Slmn9z7AI1WEsGsZaIJmnnT18/edit?gid=798053940" TargetMode="External"/><Relationship Id="rId1060" Type="http://schemas.openxmlformats.org/officeDocument/2006/relationships/hyperlink" Target="https://docs.google.com/spreadsheets/d/1lEcUd4exxkr5Za3IYZ0vdFNfMubnuMOOMXfmF3GYC9I/edit?gid=364805079" TargetMode="External"/><Relationship Id="rId1061" Type="http://schemas.openxmlformats.org/officeDocument/2006/relationships/hyperlink" Target="https://docs.google.com/spreadsheets/d/1EI7qusa674eJhuaw-nWWtWMEHVSYMQv7HLsInEZTWpE/edit?gid=1464012172" TargetMode="External"/><Relationship Id="rId231" Type="http://schemas.openxmlformats.org/officeDocument/2006/relationships/hyperlink" Target="https://docs.google.com/spreadsheets/d/19THEBTE9q0fhN2eApZr6BgenIvLGh0AckaYxHQfHk5w/edit?gid=908346785" TargetMode="External"/><Relationship Id="rId473" Type="http://schemas.openxmlformats.org/officeDocument/2006/relationships/hyperlink" Target="https://docs.google.com/spreadsheets/d/1rbCD10ySi4YZEkJW2_Slmn9z7AI1WEsGsZaIJmnnT18/edit?gid=1455430518" TargetMode="External"/><Relationship Id="rId1062" Type="http://schemas.openxmlformats.org/officeDocument/2006/relationships/hyperlink" Target="https://docs.google.com/spreadsheets/d/1EI7qusa674eJhuaw-nWWtWMEHVSYMQv7HLsInEZTWpE/edit?gid=1212683090" TargetMode="External"/><Relationship Id="rId230" Type="http://schemas.openxmlformats.org/officeDocument/2006/relationships/hyperlink" Target="https://docs.google.com/spreadsheets/d/19THEBTE9q0fhN2eApZr6BgenIvLGh0AckaYxHQfHk5w/edit?gid=481187794" TargetMode="External"/><Relationship Id="rId472" Type="http://schemas.openxmlformats.org/officeDocument/2006/relationships/hyperlink" Target="https://disk.yandex.ru/client/disk/%D0%9E%D1%81%D0%BC%D0%BE%D1%82%D1%80%D1%8B%20%D0%BE%D0%B1%D1%8A%D0%B5%D0%BA%D1%82%D0%BE%D0%B2%20%D0%90%D0%9D%D0%9E%20%D0%A1%D0%9C%D0%93/714%20%D0%97%D0%B0%D1%80%D0%B0%D0%B9%D1%81%D0%BA%D0%B0%D1%8F%20%D0%B2%D0%BB%2046.1%20%2C%20%D0%A8%D0%B0%D1%82%D1%83%D1%80%D1%81%D0%BA%D0%B0%D1%8F%20%D1%83%D0%BB%20%D0%B2%D0%BB.%2039%20" TargetMode="External"/><Relationship Id="rId1063" Type="http://schemas.openxmlformats.org/officeDocument/2006/relationships/drawing" Target="../drawings/drawing3.xml"/><Relationship Id="rId471" Type="http://schemas.openxmlformats.org/officeDocument/2006/relationships/hyperlink" Target="https://docs.google.com/spreadsheets/d/1rbCD10ySi4YZEkJW2_Slmn9z7AI1WEsGsZaIJmnnT18/edit?gid=1644784685" TargetMode="External"/><Relationship Id="rId470" Type="http://schemas.openxmlformats.org/officeDocument/2006/relationships/hyperlink" Target="https://docs.google.com/spreadsheets/d/1rbCD10ySi4YZEkJW2_Slmn9z7AI1WEsGsZaIJmnnT18/edit?gid=2069894648" TargetMode="External"/><Relationship Id="rId235" Type="http://schemas.openxmlformats.org/officeDocument/2006/relationships/hyperlink" Target="https://docs.google.com/spreadsheets/d/19THEBTE9q0fhN2eApZr6BgenIvLGh0AckaYxHQfHk5w/edit?gid=307470456" TargetMode="External"/><Relationship Id="rId477" Type="http://schemas.openxmlformats.org/officeDocument/2006/relationships/hyperlink" Target="https://docs.google.com/spreadsheets/d/1rbCD10ySi4YZEkJW2_Slmn9z7AI1WEsGsZaIJmnnT18/edit?gid=252316906" TargetMode="External"/><Relationship Id="rId234" Type="http://schemas.openxmlformats.org/officeDocument/2006/relationships/hyperlink" Target="https://docs.google.com/spreadsheets/d/19THEBTE9q0fhN2eApZr6BgenIvLGh0AckaYxHQfHk5w/edit?gid=2080968173" TargetMode="External"/><Relationship Id="rId476" Type="http://schemas.openxmlformats.org/officeDocument/2006/relationships/hyperlink" Target="https://docs.google.com/spreadsheets/d/1rbCD10ySi4YZEkJW2_Slmn9z7AI1WEsGsZaIJmnnT18/edit?gid=1553204611" TargetMode="External"/><Relationship Id="rId233" Type="http://schemas.openxmlformats.org/officeDocument/2006/relationships/hyperlink" Target="https://disk.yandex.ru/client/disk/%D0%9E%D1%81%D0%BC%D0%BE%D1%82%D1%80%D1%8B%20%D0%BE%D0%B1%D1%8A%D0%B5%D0%BA%D1%82%D0%BE%D0%B2%20%D0%90%D0%9D%D0%9E%20%D0%A1%D0%9C%D0%93/300.%20%D0%A4%D0%B5%D1%80%D0%B3%D0%B0%D0%BD%D1%81%D0%BA%D0%B8%D0%B9%20%D0%BF%D1%80%D0%BE%D0%B5%D0%B7%D0%B4%20%D0%B4.6%20(%D0%B4.6%20%D1%81%D1%82%D1%80.%202)" TargetMode="External"/><Relationship Id="rId475" Type="http://schemas.openxmlformats.org/officeDocument/2006/relationships/hyperlink" Target="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 TargetMode="External"/><Relationship Id="rId232" Type="http://schemas.openxmlformats.org/officeDocument/2006/relationships/hyperlink" Target="https://docs.google.com/spreadsheets/d/19THEBTE9q0fhN2eApZr6BgenIvLGh0AckaYxHQfHk5w/edit?gid=952023246" TargetMode="External"/><Relationship Id="rId474" Type="http://schemas.openxmlformats.org/officeDocument/2006/relationships/hyperlink" Target="https://docs.google.com/spreadsheets/d/1rbCD10ySi4YZEkJW2_Slmn9z7AI1WEsGsZaIJmnnT18/edit?gid=617058408" TargetMode="External"/><Relationship Id="rId1015" Type="http://schemas.openxmlformats.org/officeDocument/2006/relationships/hyperlink" Target="https://docs.google.com/spreadsheets/d/1EI7qusa674eJhuaw-nWWtWMEHVSYMQv7HLsInEZTWpE/edit?gid=1201892812" TargetMode="External"/><Relationship Id="rId1016" Type="http://schemas.openxmlformats.org/officeDocument/2006/relationships/hyperlink" Target="https://docs.google.com/spreadsheets/d/1EI7qusa674eJhuaw-nWWtWMEHVSYMQv7HLsInEZTWpE/edit?gid=1513915226" TargetMode="External"/><Relationship Id="rId1017" Type="http://schemas.openxmlformats.org/officeDocument/2006/relationships/hyperlink" Target="https://docs.google.com/spreadsheets/d/1EI7qusa674eJhuaw-nWWtWMEHVSYMQv7HLsInEZTWpE/edit?gid=1698914895" TargetMode="External"/><Relationship Id="rId1018" Type="http://schemas.openxmlformats.org/officeDocument/2006/relationships/hyperlink" Target="https://docs.google.com/spreadsheets/d/1EI7qusa674eJhuaw-nWWtWMEHVSYMQv7HLsInEZTWpE/edit?gid=239550778" TargetMode="External"/><Relationship Id="rId1019" Type="http://schemas.openxmlformats.org/officeDocument/2006/relationships/hyperlink" Target="https://docs.google.com/spreadsheets/d/1EI7qusa674eJhuaw-nWWtWMEHVSYMQv7HLsInEZTWpE/edit?gid=1264665053" TargetMode="External"/><Relationship Id="rId426" Type="http://schemas.openxmlformats.org/officeDocument/2006/relationships/hyperlink" Target="https://docs.google.com/spreadsheets/d/1rbCD10ySi4YZEkJW2_Slmn9z7AI1WEsGsZaIJmnnT18/edit?gid=1331480544" TargetMode="External"/><Relationship Id="rId668" Type="http://schemas.openxmlformats.org/officeDocument/2006/relationships/hyperlink" Target="https://docs.google.com/spreadsheets/d/1rbCD10ySi4YZEkJW2_Slmn9z7AI1WEsGsZaIJmnnT18/edit?gid=131438467" TargetMode="External"/><Relationship Id="rId425" Type="http://schemas.openxmlformats.org/officeDocument/2006/relationships/hyperlink" Target="https://docs.google.com/spreadsheets/d/1rbCD10ySi4YZEkJW2_Slmn9z7AI1WEsGsZaIJmnnT18/edit?gid=2092914415" TargetMode="External"/><Relationship Id="rId667" Type="http://schemas.openxmlformats.org/officeDocument/2006/relationships/hyperlink" Target="https://docs.google.com/spreadsheets/d/1rbCD10ySi4YZEkJW2_Slmn9z7AI1WEsGsZaIJmnnT18/edit?gid=1472341941" TargetMode="External"/><Relationship Id="rId424" Type="http://schemas.openxmlformats.org/officeDocument/2006/relationships/hyperlink" Target="https://docs.google.com/spreadsheets/d/1rbCD10ySi4YZEkJW2_Slmn9z7AI1WEsGsZaIJmnnT18/edit?gid=563761401" TargetMode="External"/><Relationship Id="rId666" Type="http://schemas.openxmlformats.org/officeDocument/2006/relationships/hyperlink" Target="https://docs.google.com/spreadsheets/d/1rbCD10ySi4YZEkJW2_Slmn9z7AI1WEsGsZaIJmnnT18/edit?gid=409879207" TargetMode="External"/><Relationship Id="rId423" Type="http://schemas.openxmlformats.org/officeDocument/2006/relationships/hyperlink" Target="https://docs.google.com/spreadsheets/d/1rbCD10ySi4YZEkJW2_Slmn9z7AI1WEsGsZaIJmnnT18/edit?gid=1665166606" TargetMode="External"/><Relationship Id="rId665" Type="http://schemas.openxmlformats.org/officeDocument/2006/relationships/hyperlink" Target="https://docs.google.com/spreadsheets/d/1rbCD10ySi4YZEkJW2_Slmn9z7AI1WEsGsZaIJmnnT18/edit?gid=867879144" TargetMode="External"/><Relationship Id="rId429" Type="http://schemas.openxmlformats.org/officeDocument/2006/relationships/hyperlink" Target="https://docs.google.com/spreadsheets/d/1rbCD10ySi4YZEkJW2_Slmn9z7AI1WEsGsZaIJmnnT18/edit?gid=79728110" TargetMode="External"/><Relationship Id="rId428" Type="http://schemas.openxmlformats.org/officeDocument/2006/relationships/hyperlink" Target="https://docs.google.com/spreadsheets/d/1rbCD10ySi4YZEkJW2_Slmn9z7AI1WEsGsZaIJmnnT18/edit?gid=1997450648" TargetMode="External"/><Relationship Id="rId427" Type="http://schemas.openxmlformats.org/officeDocument/2006/relationships/hyperlink" Target="https://docs.google.com/spreadsheets/d/1rbCD10ySi4YZEkJW2_Slmn9z7AI1WEsGsZaIJmnnT18/edit?gid=1102875556" TargetMode="External"/><Relationship Id="rId669" Type="http://schemas.openxmlformats.org/officeDocument/2006/relationships/hyperlink" Target="https://docs.google.com/spreadsheets/d/1rbCD10ySi4YZEkJW2_Slmn9z7AI1WEsGsZaIJmnnT18/edit?gid=131438467" TargetMode="External"/><Relationship Id="rId660" Type="http://schemas.openxmlformats.org/officeDocument/2006/relationships/hyperlink" Target="https://docs.google.com/spreadsheets/d/1rbCD10ySi4YZEkJW2_Slmn9z7AI1WEsGsZaIJmnnT18/edit?gid=1609219828" TargetMode="External"/><Relationship Id="rId1010" Type="http://schemas.openxmlformats.org/officeDocument/2006/relationships/hyperlink" Target="https://docs.google.com/spreadsheets/d/1EI7qusa674eJhuaw-nWWtWMEHVSYMQv7HLsInEZTWpE/edit?gid=2138110336" TargetMode="External"/><Relationship Id="rId422" Type="http://schemas.openxmlformats.org/officeDocument/2006/relationships/hyperlink" Target="https://docs.google.com/spreadsheets/d/1rbCD10ySi4YZEkJW2_Slmn9z7AI1WEsGsZaIJmnnT18/edit?gid=988598667" TargetMode="External"/><Relationship Id="rId664" Type="http://schemas.openxmlformats.org/officeDocument/2006/relationships/hyperlink" Target="https://docs.google.com/spreadsheets/d/1rbCD10ySi4YZEkJW2_Slmn9z7AI1WEsGsZaIJmnnT18/edit?gid=982286629" TargetMode="External"/><Relationship Id="rId1011" Type="http://schemas.openxmlformats.org/officeDocument/2006/relationships/hyperlink" Target="https://docs.google.com/spreadsheets/d/1EI7qusa674eJhuaw-nWWtWMEHVSYMQv7HLsInEZTWpE/edit?gid=1064274892" TargetMode="External"/><Relationship Id="rId421" Type="http://schemas.openxmlformats.org/officeDocument/2006/relationships/hyperlink" Target="https://docs.google.com/spreadsheets/d/1rbCD10ySi4YZEkJW2_Slmn9z7AI1WEsGsZaIJmnnT18/edit?gid=1195206502" TargetMode="External"/><Relationship Id="rId663" Type="http://schemas.openxmlformats.org/officeDocument/2006/relationships/hyperlink" Target="https://docs.google.com/spreadsheets/d/1rbCD10ySi4YZEkJW2_Slmn9z7AI1WEsGsZaIJmnnT18/edit?gid=1209159022" TargetMode="External"/><Relationship Id="rId1012" Type="http://schemas.openxmlformats.org/officeDocument/2006/relationships/hyperlink" Target="https://docs.google.com/spreadsheets/d/1EI7qusa674eJhuaw-nWWtWMEHVSYMQv7HLsInEZTWpE/edit?gid=188255576" TargetMode="External"/><Relationship Id="rId420" Type="http://schemas.openxmlformats.org/officeDocument/2006/relationships/hyperlink" Target="https://disk.yandex.ru/client/disk/%D0%9E%D1%81%D0%BC%D0%BE%D1%82%D1%80%D1%8B%20%D0%BE%D0%B1%D1%8A%D0%B5%D0%BA%D1%82%D0%BE%D0%B2%20%D0%90%D0%9D%D0%9E%20%D0%A1%D0%9C%D0%93/738.%20%D0%A8%D0%B5%D0%BF%D0%B5%D0%BB%D1%8E%D0%B3%D0%B8%D0%BD%D1%81%D0%BA%D0%B0%D1%8F%20%D0%B2%D0%BB%2014%20" TargetMode="External"/><Relationship Id="rId662" Type="http://schemas.openxmlformats.org/officeDocument/2006/relationships/hyperlink" Target="https://docs.google.com/spreadsheets/d/1rbCD10ySi4YZEkJW2_Slmn9z7AI1WEsGsZaIJmnnT18/edit?gid=410405920" TargetMode="External"/><Relationship Id="rId1013" Type="http://schemas.openxmlformats.org/officeDocument/2006/relationships/hyperlink" Target="https://docs.google.com/spreadsheets/d/1EI7qusa674eJhuaw-nWWtWMEHVSYMQv7HLsInEZTWpE/edit?gid=1237877981" TargetMode="External"/><Relationship Id="rId661" Type="http://schemas.openxmlformats.org/officeDocument/2006/relationships/hyperlink" Target="https://docs.google.com/spreadsheets/d/1rbCD10ySi4YZEkJW2_Slmn9z7AI1WEsGsZaIJmnnT18/edit?gid=991695454" TargetMode="External"/><Relationship Id="rId1014" Type="http://schemas.openxmlformats.org/officeDocument/2006/relationships/hyperlink" Target="https://docs.google.com/spreadsheets/d/1EI7qusa674eJhuaw-nWWtWMEHVSYMQv7HLsInEZTWpE/edit?gid=1217792882" TargetMode="External"/><Relationship Id="rId1004" Type="http://schemas.openxmlformats.org/officeDocument/2006/relationships/hyperlink" Target="https://docs.google.com/spreadsheets/d/1EI7qusa674eJhuaw-nWWtWMEHVSYMQv7HLsInEZTWpE/edit?gid=532300797" TargetMode="External"/><Relationship Id="rId1005" Type="http://schemas.openxmlformats.org/officeDocument/2006/relationships/hyperlink" Target="https://docs.google.com/spreadsheets/d/1EI7qusa674eJhuaw-nWWtWMEHVSYMQv7HLsInEZTWpE/edit?gid=259875385" TargetMode="External"/><Relationship Id="rId1006" Type="http://schemas.openxmlformats.org/officeDocument/2006/relationships/hyperlink" Target="https://disk.yandex.ru/d/k7Rlj_WUN9ArOQ" TargetMode="External"/><Relationship Id="rId1007" Type="http://schemas.openxmlformats.org/officeDocument/2006/relationships/hyperlink" Target="https://docs.google.com/spreadsheets/d/1EI7qusa674eJhuaw-nWWtWMEHVSYMQv7HLsInEZTWpE/edit?gid=1779752983" TargetMode="External"/><Relationship Id="rId1008" Type="http://schemas.openxmlformats.org/officeDocument/2006/relationships/hyperlink" Target="https://docs.google.com/spreadsheets/d/1EI7qusa674eJhuaw-nWWtWMEHVSYMQv7HLsInEZTWpE/edit?gid=255205459" TargetMode="External"/><Relationship Id="rId1009" Type="http://schemas.openxmlformats.org/officeDocument/2006/relationships/hyperlink" Target="https://docs.google.com/spreadsheets/d/1EI7qusa674eJhuaw-nWWtWMEHVSYMQv7HLsInEZTWpE/edit?gid=254963674" TargetMode="External"/><Relationship Id="rId415" Type="http://schemas.openxmlformats.org/officeDocument/2006/relationships/hyperlink" Target="https://docs.google.com/spreadsheets/d/1rbCD10ySi4YZEkJW2_Slmn9z7AI1WEsGsZaIJmnnT18/edit?gid=478234873" TargetMode="External"/><Relationship Id="rId657" Type="http://schemas.openxmlformats.org/officeDocument/2006/relationships/hyperlink" Target="https://docs.google.com/spreadsheets/d/1rbCD10ySi4YZEkJW2_Slmn9z7AI1WEsGsZaIJmnnT18/edit?gid=314292055" TargetMode="External"/><Relationship Id="rId899" Type="http://schemas.openxmlformats.org/officeDocument/2006/relationships/hyperlink" Target="https://docs.google.com/spreadsheets/d/1EI7qusa674eJhuaw-nWWtWMEHVSYMQv7HLsInEZTWpE/edit?gid=428989507" TargetMode="External"/><Relationship Id="rId414" Type="http://schemas.openxmlformats.org/officeDocument/2006/relationships/hyperlink" Target="https://docs.google.com/spreadsheets/d/1rbCD10ySi4YZEkJW2_Slmn9z7AI1WEsGsZaIJmnnT18/edit?gid=1754531219" TargetMode="External"/><Relationship Id="rId656" Type="http://schemas.openxmlformats.org/officeDocument/2006/relationships/hyperlink" Target="https://docs.google.com/spreadsheets/d/1rbCD10ySi4YZEkJW2_Slmn9z7AI1WEsGsZaIJmnnT18/edit?gid=223359966" TargetMode="External"/><Relationship Id="rId898" Type="http://schemas.openxmlformats.org/officeDocument/2006/relationships/hyperlink" Target="https://docs.google.com/spreadsheets/d/1EI7qusa674eJhuaw-nWWtWMEHVSYMQv7HLsInEZTWpE/edit?gid=118234582" TargetMode="External"/><Relationship Id="rId413" Type="http://schemas.openxmlformats.org/officeDocument/2006/relationships/hyperlink" Target="https://docs.google.com/spreadsheets/d/1H1MjbG2y0oC0hhID4do1G0_gfyI1jag72lQd7nL3WDQ/edit?gid=1320846516" TargetMode="External"/><Relationship Id="rId655" Type="http://schemas.openxmlformats.org/officeDocument/2006/relationships/hyperlink" Target="https://docs.google.com/spreadsheets/d/1rbCD10ySi4YZEkJW2_Slmn9z7AI1WEsGsZaIJmnnT18/edit?gid=402405412" TargetMode="External"/><Relationship Id="rId897" Type="http://schemas.openxmlformats.org/officeDocument/2006/relationships/hyperlink" Target="https://docs.google.com/spreadsheets/d/1EI7qusa674eJhuaw-nWWtWMEHVSYMQv7HLsInEZTWpE/edit?gid=2022013037" TargetMode="External"/><Relationship Id="rId412" Type="http://schemas.openxmlformats.org/officeDocument/2006/relationships/hyperlink" Target="https://docs.google.com/spreadsheets/d/1H1MjbG2y0oC0hhID4do1G0_gfyI1jag72lQd7nL3WDQ/edit?gid=1988948543" TargetMode="External"/><Relationship Id="rId654" Type="http://schemas.openxmlformats.org/officeDocument/2006/relationships/hyperlink" Target="https://docs.google.com/spreadsheets/d/1rbCD10ySi4YZEkJW2_Slmn9z7AI1WEsGsZaIJmnnT18/edit?gid=1226682620" TargetMode="External"/><Relationship Id="rId896" Type="http://schemas.openxmlformats.org/officeDocument/2006/relationships/hyperlink" Target="https://docs.google.com/spreadsheets/d/1EI7qusa674eJhuaw-nWWtWMEHVSYMQv7HLsInEZTWpE/edit?gid=1256869366" TargetMode="External"/><Relationship Id="rId419" Type="http://schemas.openxmlformats.org/officeDocument/2006/relationships/hyperlink" Target="https://docs.google.com/spreadsheets/d/1rbCD10ySi4YZEkJW2_Slmn9z7AI1WEsGsZaIJmnnT18/edit?gid=2128103220" TargetMode="External"/><Relationship Id="rId418" Type="http://schemas.openxmlformats.org/officeDocument/2006/relationships/hyperlink" Target="https://docs.google.com/spreadsheets/d/1rbCD10ySi4YZEkJW2_Slmn9z7AI1WEsGsZaIJmnnT18/edit?gid=932084254" TargetMode="External"/><Relationship Id="rId417" Type="http://schemas.openxmlformats.org/officeDocument/2006/relationships/hyperlink" Target="https://docs.google.com/spreadsheets/d/1rbCD10ySi4YZEkJW2_Slmn9z7AI1WEsGsZaIJmnnT18/edit?gid=732973558" TargetMode="External"/><Relationship Id="rId659" Type="http://schemas.openxmlformats.org/officeDocument/2006/relationships/hyperlink" Target="https://docs.google.com/spreadsheets/d/1rbCD10ySi4YZEkJW2_Slmn9z7AI1WEsGsZaIJmnnT18/edit?gid=1110910026" TargetMode="External"/><Relationship Id="rId416" Type="http://schemas.openxmlformats.org/officeDocument/2006/relationships/hyperlink" Target="https://docs.google.com/spreadsheets/d/1rbCD10ySi4YZEkJW2_Slmn9z7AI1WEsGsZaIJmnnT18/edit?gid=235307605" TargetMode="External"/><Relationship Id="rId658" Type="http://schemas.openxmlformats.org/officeDocument/2006/relationships/hyperlink" Target="https://docs.google.com/spreadsheets/d/1rbCD10ySi4YZEkJW2_Slmn9z7AI1WEsGsZaIJmnnT18/edit?gid=1044392559" TargetMode="External"/><Relationship Id="rId891" Type="http://schemas.openxmlformats.org/officeDocument/2006/relationships/hyperlink" Target="https://docs.google.com/spreadsheets/d/1EI7qusa674eJhuaw-nWWtWMEHVSYMQv7HLsInEZTWpE/edit?gid=1074412945" TargetMode="External"/><Relationship Id="rId890" Type="http://schemas.openxmlformats.org/officeDocument/2006/relationships/hyperlink" Target="https://docs.google.com/spreadsheets/d/1EI7qusa674eJhuaw-nWWtWMEHVSYMQv7HLsInEZTWpE/edit?gid=1438023663" TargetMode="External"/><Relationship Id="rId411" Type="http://schemas.openxmlformats.org/officeDocument/2006/relationships/hyperlink" Target="https://docs.google.com/spreadsheets/d/1H1MjbG2y0oC0hhID4do1G0_gfyI1jag72lQd7nL3WDQ/edit?gid=444310098" TargetMode="External"/><Relationship Id="rId653" Type="http://schemas.openxmlformats.org/officeDocument/2006/relationships/hyperlink" Target="https://docs.google.com/spreadsheets/d/1rbCD10ySi4YZEkJW2_Slmn9z7AI1WEsGsZaIJmnnT18/edit?gid=1380549667" TargetMode="External"/><Relationship Id="rId895" Type="http://schemas.openxmlformats.org/officeDocument/2006/relationships/hyperlink" Target="https://docs.google.com/spreadsheets/d/1EI7qusa674eJhuaw-nWWtWMEHVSYMQv7HLsInEZTWpE/edit?gid=1325521747" TargetMode="External"/><Relationship Id="rId1000" Type="http://schemas.openxmlformats.org/officeDocument/2006/relationships/hyperlink" Target="https://disk.yandex.ru/d/BmVvbN_-KVryzA" TargetMode="External"/><Relationship Id="rId410" Type="http://schemas.openxmlformats.org/officeDocument/2006/relationships/hyperlink" Target="https://docs.google.com/spreadsheets/d/1H1MjbG2y0oC0hhID4do1G0_gfyI1jag72lQd7nL3WDQ/edit?gid=1715541541" TargetMode="External"/><Relationship Id="rId652" Type="http://schemas.openxmlformats.org/officeDocument/2006/relationships/hyperlink" Target="https://docs.google.com/spreadsheets/d/1rbCD10ySi4YZEkJW2_Slmn9z7AI1WEsGsZaIJmnnT18/edit?gid=641020956" TargetMode="External"/><Relationship Id="rId894" Type="http://schemas.openxmlformats.org/officeDocument/2006/relationships/hyperlink" Target="https://docs.google.com/spreadsheets/d/1EI7qusa674eJhuaw-nWWtWMEHVSYMQv7HLsInEZTWpE/edit?gid=373541859" TargetMode="External"/><Relationship Id="rId1001" Type="http://schemas.openxmlformats.org/officeDocument/2006/relationships/hyperlink" Target="https://docs.google.com/spreadsheets/d/19THEBTE9q0fhN2eApZr6BgenIvLGh0AckaYxHQfHk5w/edit?gid=555355320" TargetMode="External"/><Relationship Id="rId651" Type="http://schemas.openxmlformats.org/officeDocument/2006/relationships/hyperlink" Target="https://docs.google.com/spreadsheets/d/1rbCD10ySi4YZEkJW2_Slmn9z7AI1WEsGsZaIJmnnT18/edit?gid=1861315460" TargetMode="External"/><Relationship Id="rId893" Type="http://schemas.openxmlformats.org/officeDocument/2006/relationships/hyperlink" Target="https://docs.google.com/spreadsheets/d/1EI7qusa674eJhuaw-nWWtWMEHVSYMQv7HLsInEZTWpE/edit?gid=1482027373" TargetMode="External"/><Relationship Id="rId1002" Type="http://schemas.openxmlformats.org/officeDocument/2006/relationships/hyperlink" Target="https://docs.google.com/spreadsheets/d/1EI7qusa674eJhuaw-nWWtWMEHVSYMQv7HLsInEZTWpE/edit?gid=1395505896" TargetMode="External"/><Relationship Id="rId650" Type="http://schemas.openxmlformats.org/officeDocument/2006/relationships/hyperlink" Target="https://docs.google.com/spreadsheets/d/1rbCD10ySi4YZEkJW2_Slmn9z7AI1WEsGsZaIJmnnT18/edit?gid=622576410" TargetMode="External"/><Relationship Id="rId892" Type="http://schemas.openxmlformats.org/officeDocument/2006/relationships/hyperlink" Target="https://docs.google.com/spreadsheets/d/1EI7qusa674eJhuaw-nWWtWMEHVSYMQv7HLsInEZTWpE/edit?gid=2082838360" TargetMode="External"/><Relationship Id="rId1003" Type="http://schemas.openxmlformats.org/officeDocument/2006/relationships/hyperlink" Target="https://docs.google.com/spreadsheets/d/1EI7qusa674eJhuaw-nWWtWMEHVSYMQv7HLsInEZTWpE/edit?gid=1378814711" TargetMode="External"/><Relationship Id="rId1037" Type="http://schemas.openxmlformats.org/officeDocument/2006/relationships/hyperlink" Target="https://docs.google.com/spreadsheets/d/1jonEGMB3UFHiUZpltF1zURon8gYN7jGSHu-k9t5TXnA/edit?gid=804949431" TargetMode="External"/><Relationship Id="rId1038" Type="http://schemas.openxmlformats.org/officeDocument/2006/relationships/hyperlink" Target="https://docs.google.com/spreadsheets/d/1jonEGMB3UFHiUZpltF1zURon8gYN7jGSHu-k9t5TXnA/edit?gid=1604017750" TargetMode="External"/><Relationship Id="rId1039" Type="http://schemas.openxmlformats.org/officeDocument/2006/relationships/hyperlink" Target="https://docs.google.com/spreadsheets/d/1EI7qusa674eJhuaw-nWWtWMEHVSYMQv7HLsInEZTWpE/edit?gid=1216643821" TargetMode="External"/><Relationship Id="rId206" Type="http://schemas.openxmlformats.org/officeDocument/2006/relationships/hyperlink" Target="https://docs.google.com/spreadsheets/d/19THEBTE9q0fhN2eApZr6BgenIvLGh0AckaYxHQfHk5w/edit?gid=274135139" TargetMode="External"/><Relationship Id="rId448" Type="http://schemas.openxmlformats.org/officeDocument/2006/relationships/hyperlink" Target="https://docs.google.com/spreadsheets/d/1rbCD10ySi4YZEkJW2_Slmn9z7AI1WEsGsZaIJmnnT18/edit?gid=1721879742" TargetMode="External"/><Relationship Id="rId205" Type="http://schemas.openxmlformats.org/officeDocument/2006/relationships/hyperlink" Target="https://docs.google.com/spreadsheets/d/19THEBTE9q0fhN2eApZr6BgenIvLGh0AckaYxHQfHk5w/edit?gid=274135139" TargetMode="External"/><Relationship Id="rId447" Type="http://schemas.openxmlformats.org/officeDocument/2006/relationships/hyperlink" Target="https://docs.google.com/spreadsheets/d/1rbCD10ySi4YZEkJW2_Slmn9z7AI1WEsGsZaIJmnnT18/edit?gid=1525507838" TargetMode="External"/><Relationship Id="rId689" Type="http://schemas.openxmlformats.org/officeDocument/2006/relationships/hyperlink" Target="https://docs.google.com/spreadsheets/d/1rbCD10ySi4YZEkJW2_Slmn9z7AI1WEsGsZaIJmnnT18/edit?gid=1435558213" TargetMode="External"/><Relationship Id="rId204" Type="http://schemas.openxmlformats.org/officeDocument/2006/relationships/hyperlink" Target="https://docs.google.com/spreadsheets/d/19THEBTE9q0fhN2eApZr6BgenIvLGh0AckaYxHQfHk5w/edit?gid=1771081492" TargetMode="External"/><Relationship Id="rId446" Type="http://schemas.openxmlformats.org/officeDocument/2006/relationships/hyperlink" Target="https://docs.google.com/spreadsheets/d/1rbCD10ySi4YZEkJW2_Slmn9z7AI1WEsGsZaIJmnnT18/edit?gid=1300345470" TargetMode="External"/><Relationship Id="rId688" Type="http://schemas.openxmlformats.org/officeDocument/2006/relationships/hyperlink" Target="https://docs.google.com/spreadsheets/d/1rbCD10ySi4YZEkJW2_Slmn9z7AI1WEsGsZaIJmnnT18/edit?gid=422760194" TargetMode="External"/><Relationship Id="rId203" Type="http://schemas.openxmlformats.org/officeDocument/2006/relationships/hyperlink" Target="https://docs.google.com/spreadsheets/d/19THEBTE9q0fhN2eApZr6BgenIvLGh0AckaYxHQfHk5w/edit?gid=343288429" TargetMode="External"/><Relationship Id="rId445" Type="http://schemas.openxmlformats.org/officeDocument/2006/relationships/hyperlink" Target="https://docs.google.com/spreadsheets/d/1rbCD10ySi4YZEkJW2_Slmn9z7AI1WEsGsZaIJmnnT18/edit?gid=811633138" TargetMode="External"/><Relationship Id="rId687" Type="http://schemas.openxmlformats.org/officeDocument/2006/relationships/hyperlink" Target="https://docs.google.com/spreadsheets/d/1rbCD10ySi4YZEkJW2_Slmn9z7AI1WEsGsZaIJmnnT18/edit?gid=1127542232" TargetMode="External"/><Relationship Id="rId209" Type="http://schemas.openxmlformats.org/officeDocument/2006/relationships/hyperlink" Target="https://disk.yandex.ru/client/disk/%D0%9E%D1%81%D0%BC%D0%BE%D1%82%D1%80%D1%8B%20%D0%BE%D0%B1%D1%8A%D0%B5%D0%BA%D1%82%D0%BE%D0%B2%20%D0%90%D0%9D%D0%9E%20%D0%A1%D0%9C%D0%93/1151%20(%D1%8D%D1%82%D0%B0%D0%BF%202).%20%D0%B3.%20%D0%9C%D0%BE%D1%81%D0%BA%D0%B2%D0%B0%2C%20%D1%80%D0%B0%D0%B9%D0%BE%D0%BD%20%D0%A1%D0%BE%D0%BB%D0%BD%D1%86%D0%B5%D0%B2%D0%BE%2C%20%D0%A2%D1%80%D0%BE%D0%BF%D0%B0%D1%80%D0%B5%D0%B2%D0%BE-%20%D0%9D%D0%B8%D0%BA%D1%83%D0%BB%D0%B8%D0%BD%D0%BE%2C%20%D0%BF%D1%80-%D1%82%2C%20%D0%92%D0%B5%D1%80%D0%BD%D0%B0%D0%B4%D1%81%D0%BA%D0%BE%D0%B3%D0%BE" TargetMode="External"/><Relationship Id="rId208" Type="http://schemas.openxmlformats.org/officeDocument/2006/relationships/hyperlink" Target="https://docs.google.com/spreadsheets/d/19THEBTE9q0fhN2eApZr6BgenIvLGh0AckaYxHQfHk5w/edit?gid=2098961178" TargetMode="External"/><Relationship Id="rId207" Type="http://schemas.openxmlformats.org/officeDocument/2006/relationships/hyperlink" Target="https://docs.google.com/spreadsheets/d/19THEBTE9q0fhN2eApZr6BgenIvLGh0AckaYxHQfHk5w/edit?gid=274135139" TargetMode="External"/><Relationship Id="rId449" Type="http://schemas.openxmlformats.org/officeDocument/2006/relationships/hyperlink" Target="https://docs.google.com/spreadsheets/d/1rbCD10ySi4YZEkJW2_Slmn9z7AI1WEsGsZaIJmnnT18/edit?gid=1735599010" TargetMode="External"/><Relationship Id="rId440" Type="http://schemas.openxmlformats.org/officeDocument/2006/relationships/hyperlink" Target="https://docs.google.com/spreadsheets/d/1rbCD10ySi4YZEkJW2_Slmn9z7AI1WEsGsZaIJmnnT18/edit?gid=1407262521" TargetMode="External"/><Relationship Id="rId682" Type="http://schemas.openxmlformats.org/officeDocument/2006/relationships/hyperlink" Target="https://docs.google.com/spreadsheets/d/1rbCD10ySi4YZEkJW2_Slmn9z7AI1WEsGsZaIJmnnT18/edit?gid=1182179184" TargetMode="External"/><Relationship Id="rId681" Type="http://schemas.openxmlformats.org/officeDocument/2006/relationships/hyperlink" Target="https://docs.google.com/spreadsheets/d/1rbCD10ySi4YZEkJW2_Slmn9z7AI1WEsGsZaIJmnnT18/edit?gid=382946439" TargetMode="External"/><Relationship Id="rId1030" Type="http://schemas.openxmlformats.org/officeDocument/2006/relationships/hyperlink" Target="https://docs.google.com/spreadsheets/d/1jonEGMB3UFHiUZpltF1zURon8gYN7jGSHu-k9t5TXnA/edit?gid=2025902554" TargetMode="External"/><Relationship Id="rId680" Type="http://schemas.openxmlformats.org/officeDocument/2006/relationships/hyperlink" Target="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 TargetMode="External"/><Relationship Id="rId1031" Type="http://schemas.openxmlformats.org/officeDocument/2006/relationships/hyperlink" Target="https://docs.google.com/spreadsheets/d/1jonEGMB3UFHiUZpltF1zURon8gYN7jGSHu-k9t5TXnA/edit?gid=1885490900" TargetMode="External"/><Relationship Id="rId1032" Type="http://schemas.openxmlformats.org/officeDocument/2006/relationships/hyperlink" Target="https://docs.google.com/spreadsheets/d/1jonEGMB3UFHiUZpltF1zURon8gYN7jGSHu-k9t5TXnA/edit?gid=1197282762" TargetMode="External"/><Relationship Id="rId202" Type="http://schemas.openxmlformats.org/officeDocument/2006/relationships/hyperlink" Target="https://docs.google.com/spreadsheets/d/19THEBTE9q0fhN2eApZr6BgenIvLGh0AckaYxHQfHk5w/edit?gid=662134191" TargetMode="External"/><Relationship Id="rId444" Type="http://schemas.openxmlformats.org/officeDocument/2006/relationships/hyperlink" Target="https://docs.google.com/spreadsheets/d/1rbCD10ySi4YZEkJW2_Slmn9z7AI1WEsGsZaIJmnnT18/edit?gid=1455966079" TargetMode="External"/><Relationship Id="rId686" Type="http://schemas.openxmlformats.org/officeDocument/2006/relationships/hyperlink" Target="https://docs.google.com/spreadsheets/d/1rbCD10ySi4YZEkJW2_Slmn9z7AI1WEsGsZaIJmnnT18/edit?gid=1281115522" TargetMode="External"/><Relationship Id="rId1033" Type="http://schemas.openxmlformats.org/officeDocument/2006/relationships/hyperlink" Target="https://docs.google.com/spreadsheets/d/1jonEGMB3UFHiUZpltF1zURon8gYN7jGSHu-k9t5TXnA/edit?gid=1276297244" TargetMode="External"/><Relationship Id="rId201" Type="http://schemas.openxmlformats.org/officeDocument/2006/relationships/hyperlink" Target="https://docs.google.com/spreadsheets/d/19THEBTE9q0fhN2eApZr6BgenIvLGh0AckaYxHQfHk5w/edit?gid=2114429362" TargetMode="External"/><Relationship Id="rId443" Type="http://schemas.openxmlformats.org/officeDocument/2006/relationships/hyperlink" Target="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 TargetMode="External"/><Relationship Id="rId685" Type="http://schemas.openxmlformats.org/officeDocument/2006/relationships/hyperlink" Target="https://docs.google.com/spreadsheets/d/1rbCD10ySi4YZEkJW2_Slmn9z7AI1WEsGsZaIJmnnT18/edit?gid=1589688669" TargetMode="External"/><Relationship Id="rId1034" Type="http://schemas.openxmlformats.org/officeDocument/2006/relationships/hyperlink" Target="https://docs.google.com/spreadsheets/d/1EI7qusa674eJhuaw-nWWtWMEHVSYMQv7HLsInEZTWpE/edit?gid=757624793" TargetMode="External"/><Relationship Id="rId200" Type="http://schemas.openxmlformats.org/officeDocument/2006/relationships/hyperlink" Target="https://docs.google.com/spreadsheets/d/19THEBTE9q0fhN2eApZr6BgenIvLGh0AckaYxHQfHk5w/edit?gid=613124997" TargetMode="External"/><Relationship Id="rId442" Type="http://schemas.openxmlformats.org/officeDocument/2006/relationships/hyperlink" Target="https://docs.google.com/spreadsheets/d/1rbCD10ySi4YZEkJW2_Slmn9z7AI1WEsGsZaIJmnnT18/edit?gid=1401788865" TargetMode="External"/><Relationship Id="rId684" Type="http://schemas.openxmlformats.org/officeDocument/2006/relationships/hyperlink" Target="https://docs.google.com/spreadsheets/d/1rbCD10ySi4YZEkJW2_Slmn9z7AI1WEsGsZaIJmnnT18/edit?gid=1161001794" TargetMode="External"/><Relationship Id="rId1035" Type="http://schemas.openxmlformats.org/officeDocument/2006/relationships/hyperlink" Target="https://docs.google.com/spreadsheets/d/1EI7qusa674eJhuaw-nWWtWMEHVSYMQv7HLsInEZTWpE/edit?gid=757624793" TargetMode="External"/><Relationship Id="rId441" Type="http://schemas.openxmlformats.org/officeDocument/2006/relationships/hyperlink" Target="https://disk.yandex.ru/client/disk/%D0%9E%D1%81%D0%BC%D0%BE%D1%82%D1%80%D1%8B%20%D0%BE%D0%B1%D1%8A%D0%B5%D0%BA%D1%82%D0%BE%D0%B2%20%D0%90%D0%9D%D0%9E%20%D0%A1%D0%9C%D0%93/672.%202-%D1%8F%20%D0%94%D1%83%D0%B1%D1%80%D0%BE%D0%B2%D1%81%D0%BA%D0%B0%D1%8F%20%D0%B4.1" TargetMode="External"/><Relationship Id="rId683" Type="http://schemas.openxmlformats.org/officeDocument/2006/relationships/hyperlink" Target="https://docs.google.com/spreadsheets/d/1rbCD10ySi4YZEkJW2_Slmn9z7AI1WEsGsZaIJmnnT18/edit?gid=691407697" TargetMode="External"/><Relationship Id="rId1036" Type="http://schemas.openxmlformats.org/officeDocument/2006/relationships/hyperlink" Target="https://docs.google.com/spreadsheets/d/19THEBTE9q0fhN2eApZr6BgenIvLGh0AckaYxHQfHk5w/edit?gid=549577801" TargetMode="External"/><Relationship Id="rId1026" Type="http://schemas.openxmlformats.org/officeDocument/2006/relationships/hyperlink" Target="https://docs.google.com/spreadsheets/d/1EI7qusa674eJhuaw-nWWtWMEHVSYMQv7HLsInEZTWpE/edit?gid=1360222736" TargetMode="External"/><Relationship Id="rId1027" Type="http://schemas.openxmlformats.org/officeDocument/2006/relationships/hyperlink" Target="https://docs.google.com/spreadsheets/d/1EI7qusa674eJhuaw-nWWtWMEHVSYMQv7HLsInEZTWpE/edit?gid=1360222736" TargetMode="External"/><Relationship Id="rId1028" Type="http://schemas.openxmlformats.org/officeDocument/2006/relationships/hyperlink" Target="https://docs.google.com/spreadsheets/d/1EI7qusa674eJhuaw-nWWtWMEHVSYMQv7HLsInEZTWpE/edit?gid=874601105" TargetMode="External"/><Relationship Id="rId1029" Type="http://schemas.openxmlformats.org/officeDocument/2006/relationships/hyperlink" Target="https://docs.google.com/spreadsheets/d/1jonEGMB3UFHiUZpltF1zURon8gYN7jGSHu-k9t5TXnA/edit?gid=658853919" TargetMode="External"/><Relationship Id="rId437" Type="http://schemas.openxmlformats.org/officeDocument/2006/relationships/hyperlink" Target="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 TargetMode="External"/><Relationship Id="rId679" Type="http://schemas.openxmlformats.org/officeDocument/2006/relationships/hyperlink" Target="https://docs.google.com/spreadsheets/d/1rbCD10ySi4YZEkJW2_Slmn9z7AI1WEsGsZaIJmnnT18/edit?gid=553643075" TargetMode="External"/><Relationship Id="rId436" Type="http://schemas.openxmlformats.org/officeDocument/2006/relationships/hyperlink" Target="https://docs.google.com/spreadsheets/d/1rbCD10ySi4YZEkJW2_Slmn9z7AI1WEsGsZaIJmnnT18/edit?gid=943458292" TargetMode="External"/><Relationship Id="rId678" Type="http://schemas.openxmlformats.org/officeDocument/2006/relationships/hyperlink" Target="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 TargetMode="External"/><Relationship Id="rId435" Type="http://schemas.openxmlformats.org/officeDocument/2006/relationships/hyperlink" Target="https://docs.google.com/spreadsheets/d/1rbCD10ySi4YZEkJW2_Slmn9z7AI1WEsGsZaIJmnnT18/edit?gid=847490134" TargetMode="External"/><Relationship Id="rId677" Type="http://schemas.openxmlformats.org/officeDocument/2006/relationships/hyperlink" Target="https://docs.google.com/spreadsheets/d/1rbCD10ySi4YZEkJW2_Slmn9z7AI1WEsGsZaIJmnnT18/edit?gid=553643075" TargetMode="External"/><Relationship Id="rId434" Type="http://schemas.openxmlformats.org/officeDocument/2006/relationships/hyperlink" Target="https://disk.yandex.ru/client/disk/%D0%9E%D1%81%D0%BC%D0%BE%D1%82%D1%80%D1%8B%20%D0%BE%D0%B1%D1%8A%D0%B5%D0%BA%D1%82%D0%BE%D0%B2%20%D0%90%D0%9D%D0%9E%20%D0%A1%D0%9C%D0%93/644%20%D0%A3%D0%BB.%209%20%D0%9C%D0%B0%D1%8F%20%D0%B2%D0%BB%2024%20%D1%80-%D0%BD%20%D0%92%D0%BE%D1%81%D1%82%D0%BE%D1%87%D0%BD%D1%8B%D0%B9%2C%20%D1%81%D0%BE%20%D1%81%D0%BD%D0%BE%D1%81%D0%BE%D0%BC%20%D0%96.%D0%A1.%20%20" TargetMode="External"/><Relationship Id="rId676" Type="http://schemas.openxmlformats.org/officeDocument/2006/relationships/hyperlink" Target="https://docs.google.com/spreadsheets/d/1rbCD10ySi4YZEkJW2_Slmn9z7AI1WEsGsZaIJmnnT18/edit?gid=2079091831" TargetMode="External"/><Relationship Id="rId439" Type="http://schemas.openxmlformats.org/officeDocument/2006/relationships/hyperlink" Target="https://disk.yandex.ru/client/disk/%D0%9E%D1%81%D0%BC%D0%BE%D1%82%D1%80%D1%8B%20%D0%BE%D0%B1%D1%8A%D0%B5%D0%BA%D1%82%D0%BE%D0%B2%20%D0%90%D0%9D%D0%9E%20%D0%A1%D0%9C%D0%93/645.%20%D0%A9%D0%B5%D1%80%D0%B1%D0%B0%D0%BA%D0%BE%D0%B2%D1%81%D0%BA%D0%B0%D1%8F%20%D0%B7%D1%83%205%D0%90%20" TargetMode="External"/><Relationship Id="rId438" Type="http://schemas.openxmlformats.org/officeDocument/2006/relationships/hyperlink" Target="https://docs.google.com/spreadsheets/d/1rbCD10ySi4YZEkJW2_Slmn9z7AI1WEsGsZaIJmnnT18/edit?gid=1166394533" TargetMode="External"/><Relationship Id="rId671" Type="http://schemas.openxmlformats.org/officeDocument/2006/relationships/hyperlink" Target="https://docs.google.com/spreadsheets/d/1rbCD10ySi4YZEkJW2_Slmn9z7AI1WEsGsZaIJmnnT18/edit?gid=1195287561" TargetMode="External"/><Relationship Id="rId670" Type="http://schemas.openxmlformats.org/officeDocument/2006/relationships/hyperlink" Target="https://docs.google.com/spreadsheets/d/1rbCD10ySi4YZEkJW2_Slmn9z7AI1WEsGsZaIJmnnT18/edit?gid=131438467" TargetMode="External"/><Relationship Id="rId1020" Type="http://schemas.openxmlformats.org/officeDocument/2006/relationships/hyperlink" Target="https://docs.google.com/spreadsheets/d/1EI7qusa674eJhuaw-nWWtWMEHVSYMQv7HLsInEZTWpE/edit?gid=5854245" TargetMode="External"/><Relationship Id="rId1021" Type="http://schemas.openxmlformats.org/officeDocument/2006/relationships/hyperlink" Target="https://docs.google.com/spreadsheets/d/1EI7qusa674eJhuaw-nWWtWMEHVSYMQv7HLsInEZTWpE/edit?gid=547129883" TargetMode="External"/><Relationship Id="rId433" Type="http://schemas.openxmlformats.org/officeDocument/2006/relationships/hyperlink" Target="https://docs.google.com/spreadsheets/d/1rbCD10ySi4YZEkJW2_Slmn9z7AI1WEsGsZaIJmnnT18/edit?gid=692135392" TargetMode="External"/><Relationship Id="rId675" Type="http://schemas.openxmlformats.org/officeDocument/2006/relationships/hyperlink" Target="https://docs.google.com/spreadsheets/d/1rbCD10ySi4YZEkJW2_Slmn9z7AI1WEsGsZaIJmnnT18/edit?gid=1807719464" TargetMode="External"/><Relationship Id="rId1022" Type="http://schemas.openxmlformats.org/officeDocument/2006/relationships/hyperlink" Target="https://docs.google.com/spreadsheets/d/1MW8OIVEKRJEaLcG-KS0zwZPEQ0eRUWE2y9Gj77rgoxo/edit?gid=641965304" TargetMode="External"/><Relationship Id="rId432" Type="http://schemas.openxmlformats.org/officeDocument/2006/relationships/hyperlink" Target="https://docs.google.com/spreadsheets/d/1rbCD10ySi4YZEkJW2_Slmn9z7AI1WEsGsZaIJmnnT18/edit?gid=387655725" TargetMode="External"/><Relationship Id="rId674" Type="http://schemas.openxmlformats.org/officeDocument/2006/relationships/hyperlink" Target="https://docs.google.com/spreadsheets/d/1rbCD10ySi4YZEkJW2_Slmn9z7AI1WEsGsZaIJmnnT18/edit?gid=911478854" TargetMode="External"/><Relationship Id="rId1023" Type="http://schemas.openxmlformats.org/officeDocument/2006/relationships/hyperlink" Target="https://docs.google.com/spreadsheets/d/1MW8OIVEKRJEaLcG-KS0zwZPEQ0eRUWE2y9Gj77rgoxo/edit?gid=641965304" TargetMode="External"/><Relationship Id="rId431" Type="http://schemas.openxmlformats.org/officeDocument/2006/relationships/hyperlink" Target="https://docs.google.com/spreadsheets/d/1rbCD10ySi4YZEkJW2_Slmn9z7AI1WEsGsZaIJmnnT18/edit?gid=1504466944" TargetMode="External"/><Relationship Id="rId673" Type="http://schemas.openxmlformats.org/officeDocument/2006/relationships/hyperlink" Target="https://docs.google.com/spreadsheets/d/1rbCD10ySi4YZEkJW2_Slmn9z7AI1WEsGsZaIJmnnT18/edit?gid=1549482775" TargetMode="External"/><Relationship Id="rId1024" Type="http://schemas.openxmlformats.org/officeDocument/2006/relationships/hyperlink" Target="https://docs.google.com/spreadsheets/d/1EI7qusa674eJhuaw-nWWtWMEHVSYMQv7HLsInEZTWpE/edit?gid=1075878373" TargetMode="External"/><Relationship Id="rId430" Type="http://schemas.openxmlformats.org/officeDocument/2006/relationships/hyperlink" Target="https://docs.google.com/spreadsheets/d/1rbCD10ySi4YZEkJW2_Slmn9z7AI1WEsGsZaIJmnnT18/edit?gid=1527817991" TargetMode="External"/><Relationship Id="rId672" Type="http://schemas.openxmlformats.org/officeDocument/2006/relationships/hyperlink" Target="https://docs.google.com/spreadsheets/d/1rbCD10ySi4YZEkJW2_Slmn9z7AI1WEsGsZaIJmnnT18/edit?gid=584190358" TargetMode="External"/><Relationship Id="rId1025" Type="http://schemas.openxmlformats.org/officeDocument/2006/relationships/hyperlink" Target="https://docs.google.com/spreadsheets/d/1EI7qusa674eJhuaw-nWWtWMEHVSYMQv7HLsInEZTWpE/edit?gid=1502613642"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4" Type="http://schemas.openxmlformats.org/officeDocument/2006/relationships/hyperlink" Target="https://docs.google.com/spreadsheets/d/19THEBTE9q0fhN2eApZr6BgenIvLGh0AckaYxHQfHk5w/edit?gid=141428453" TargetMode="External"/><Relationship Id="rId193"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2"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91" Type="http://schemas.openxmlformats.org/officeDocument/2006/relationships/hyperlink" Target="https://docs.google.com/spreadsheets/d/1jonEGMB3UFHiUZpltF1zURon8gYN7jGSHu-k9t5TXnA/edit?gid=1435875576" TargetMode="External"/><Relationship Id="rId187" Type="http://schemas.openxmlformats.org/officeDocument/2006/relationships/hyperlink" Target="https://docs.google.com/spreadsheets/d/1jonEGMB3UFHiUZpltF1zURon8gYN7jGSHu-k9t5TXnA/edit?gid=489526164" TargetMode="External"/><Relationship Id="rId186" Type="http://schemas.openxmlformats.org/officeDocument/2006/relationships/hyperlink" Target="https://docs.google.com/spreadsheets/d/19THEBTE9q0fhN2eApZr6BgenIvLGh0AckaYxHQfHk5w/edit?gid=1064873250" TargetMode="External"/><Relationship Id="rId185" Type="http://schemas.openxmlformats.org/officeDocument/2006/relationships/hyperlink" Target="https://docs.google.com/spreadsheets/d/19THEBTE9q0fhN2eApZr6BgenIvLGh0AckaYxHQfHk5w/edit?gid=411584618" TargetMode="External"/><Relationship Id="rId184" Type="http://schemas.openxmlformats.org/officeDocument/2006/relationships/hyperlink" Target="https://docs.google.com/spreadsheets/d/19THEBTE9q0fhN2eApZr6BgenIvLGh0AckaYxHQfHk5w/edit?gid=799259912" TargetMode="External"/><Relationship Id="rId189" Type="http://schemas.openxmlformats.org/officeDocument/2006/relationships/hyperlink" Target="https://docs.google.com/spreadsheets/d/1jonEGMB3UFHiUZpltF1zURon8gYN7jGSHu-k9t5TXnA/edit?gid=337450969" TargetMode="External"/><Relationship Id="rId188"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183" Type="http://schemas.openxmlformats.org/officeDocument/2006/relationships/hyperlink" Target="https://docs.google.com/spreadsheets/d/19THEBTE9q0fhN2eApZr6BgenIvLGh0AckaYxHQfHk5w/edit?gid=363363152" TargetMode="External"/><Relationship Id="rId182" Type="http://schemas.openxmlformats.org/officeDocument/2006/relationships/hyperlink" Target="https://docs.google.com/spreadsheets/d/19THEBTE9q0fhN2eApZr6BgenIvLGh0AckaYxHQfHk5w/edit?gid=913968712" TargetMode="External"/><Relationship Id="rId181" Type="http://schemas.openxmlformats.org/officeDocument/2006/relationships/hyperlink" Target="https://docs.google.com/spreadsheets/d/19THEBTE9q0fhN2eApZr6BgenIvLGh0AckaYxHQfHk5w/edit?gid=2022377090" TargetMode="External"/><Relationship Id="rId180" Type="http://schemas.openxmlformats.org/officeDocument/2006/relationships/hyperlink" Target="https://docs.google.com/spreadsheets/d/19THEBTE9q0fhN2eApZr6BgenIvLGh0AckaYxHQfHk5w/edit?gid=697664258" TargetMode="External"/><Relationship Id="rId176" Type="http://schemas.openxmlformats.org/officeDocument/2006/relationships/hyperlink" Target="https://docs.google.com/spreadsheets/d/19THEBTE9q0fhN2eApZr6BgenIvLGh0AckaYxHQfHk5w/edit?gid=862186919" TargetMode="External"/><Relationship Id="rId175" Type="http://schemas.openxmlformats.org/officeDocument/2006/relationships/hyperlink" Target="https://docs.google.com/spreadsheets/d/19THEBTE9q0fhN2eApZr6BgenIvLGh0AckaYxHQfHk5w/edit?gid=68210689" TargetMode="External"/><Relationship Id="rId174" Type="http://schemas.openxmlformats.org/officeDocument/2006/relationships/hyperlink" Target="https://docs.google.com/spreadsheets/d/19THEBTE9q0fhN2eApZr6BgenIvLGh0AckaYxHQfHk5w/edit?gid=1318424610" TargetMode="External"/><Relationship Id="rId173" Type="http://schemas.openxmlformats.org/officeDocument/2006/relationships/hyperlink" Target="https://docs.google.com/spreadsheets/d/19THEBTE9q0fhN2eApZr6BgenIvLGh0AckaYxHQfHk5w/edit?gid=540806573" TargetMode="External"/><Relationship Id="rId179" Type="http://schemas.openxmlformats.org/officeDocument/2006/relationships/hyperlink" Target="https://docs.google.com/spreadsheets/d/1jonEGMB3UFHiUZpltF1zURon8gYN7jGSHu-k9t5TXnA/edit?gid=123308300" TargetMode="External"/><Relationship Id="rId178" Type="http://schemas.openxmlformats.org/officeDocument/2006/relationships/hyperlink" Target="https://docs.google.com/spreadsheets/d/1jonEGMB3UFHiUZpltF1zURon8gYN7jGSHu-k9t5TXnA/edit?gid=1539095406" TargetMode="External"/><Relationship Id="rId177" Type="http://schemas.openxmlformats.org/officeDocument/2006/relationships/hyperlink" Target="https://docs.google.com/spreadsheets/d/19THEBTE9q0fhN2eApZr6BgenIvLGh0AckaYxHQfHk5w/edit?gid=80969039" TargetMode="External"/><Relationship Id="rId198" Type="http://schemas.openxmlformats.org/officeDocument/2006/relationships/hyperlink" Target="https://docs.google.com/spreadsheets/d/19THEBTE9q0fhN2eApZr6BgenIvLGh0AckaYxHQfHk5w/edit?gid=1145227752" TargetMode="External"/><Relationship Id="rId197" Type="http://schemas.openxmlformats.org/officeDocument/2006/relationships/hyperlink" Target="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 TargetMode="External"/><Relationship Id="rId196" Type="http://schemas.openxmlformats.org/officeDocument/2006/relationships/hyperlink" Target="https://docs.google.com/spreadsheets/d/19THEBTE9q0fhN2eApZr6BgenIvLGh0AckaYxHQfHk5w/edit?gid=310058684" TargetMode="External"/><Relationship Id="rId195" Type="http://schemas.openxmlformats.org/officeDocument/2006/relationships/hyperlink" Target="https://docs.google.com/spreadsheets/d/19THEBTE9q0fhN2eApZr6BgenIvLGh0AckaYxHQfHk5w/edit?gid=140939233" TargetMode="External"/><Relationship Id="rId199" Type="http://schemas.openxmlformats.org/officeDocument/2006/relationships/hyperlink" Target="https://docs.google.com/spreadsheets/d/19THEBTE9q0fhN2eApZr6BgenIvLGh0AckaYxHQfHk5w/edit?gid=1109188996" TargetMode="External"/><Relationship Id="rId150" Type="http://schemas.openxmlformats.org/officeDocument/2006/relationships/hyperlink" Target="https://docs.google.com/spreadsheets/d/19THEBTE9q0fhN2eApZr6BgenIvLGh0AckaYxHQfHk5w/edit?gid=1355578633" TargetMode="External"/><Relationship Id="rId392" Type="http://schemas.openxmlformats.org/officeDocument/2006/relationships/hyperlink" Target="https://docs.google.com/spreadsheets/d/1H1MjbG2y0oC0hhID4do1G0_gfyI1jag72lQd7nL3WDQ/edit?gid=1599124365" TargetMode="External"/><Relationship Id="rId391" Type="http://schemas.openxmlformats.org/officeDocument/2006/relationships/hyperlink" Target="https://docs.google.com/spreadsheets/d/1H1MjbG2y0oC0hhID4do1G0_gfyI1jag72lQd7nL3WDQ/edit?gid=763040175" TargetMode="External"/><Relationship Id="rId390" Type="http://schemas.openxmlformats.org/officeDocument/2006/relationships/hyperlink" Target="https://docs.google.com/spreadsheets/d/1H1MjbG2y0oC0hhID4do1G0_gfyI1jag72lQd7nL3WDQ/edit?gid=864081677" TargetMode="External"/><Relationship Id="rId1" Type="http://schemas.openxmlformats.org/officeDocument/2006/relationships/hyperlink" Target="https://docs.google.com/spreadsheets/d/1h7Zyn53eByFA_Wa7EnuJEIn9QqPaz6kDse3SZgRdd5g/edit?gid=0" TargetMode="External"/><Relationship Id="rId2" Type="http://schemas.openxmlformats.org/officeDocument/2006/relationships/hyperlink" Target="https://docs.google.com/spreadsheets/d/1MW8OIVEKRJEaLcG-KS0zwZPEQ0eRUWE2y9Gj77rgoxo/edit?gid=796994001" TargetMode="External"/><Relationship Id="rId3" Type="http://schemas.openxmlformats.org/officeDocument/2006/relationships/hyperlink" Target="https://docs.google.com/spreadsheets/d/19THEBTE9q0fhN2eApZr6BgenIvLGh0AckaYxHQfHk5w/edit?gid=0" TargetMode="External"/><Relationship Id="rId149" Type="http://schemas.openxmlformats.org/officeDocument/2006/relationships/hyperlink" Target="https://docs.google.com/spreadsheets/d/1jonEGMB3UFHiUZpltF1zURon8gYN7jGSHu-k9t5TXnA/edit?gid=488139747" TargetMode="External"/><Relationship Id="rId4" Type="http://schemas.openxmlformats.org/officeDocument/2006/relationships/hyperlink" Target="https://docs.google.com/spreadsheets/d/1jonEGMB3UFHiUZpltF1zURon8gYN7jGSHu-k9t5TXnA/edit?gid=0" TargetMode="External"/><Relationship Id="rId148" Type="http://schemas.openxmlformats.org/officeDocument/2006/relationships/hyperlink" Target="https://docs.google.com/spreadsheets/d/1jonEGMB3UFHiUZpltF1zURon8gYN7jGSHu-k9t5TXnA/edit?gid=2082220203" TargetMode="External"/><Relationship Id="rId9" Type="http://schemas.openxmlformats.org/officeDocument/2006/relationships/hyperlink" Target="https://docs.google.com/spreadsheets/d/19THEBTE9q0fhN2eApZr6BgenIvLGh0AckaYxHQfHk5w/edit?gid=1222968113" TargetMode="External"/><Relationship Id="rId143" Type="http://schemas.openxmlformats.org/officeDocument/2006/relationships/hyperlink" Target="https://docs.google.com/spreadsheets/d/19THEBTE9q0fhN2eApZr6BgenIvLGh0AckaYxHQfHk5w/edit?gid=425127641" TargetMode="External"/><Relationship Id="rId385" Type="http://schemas.openxmlformats.org/officeDocument/2006/relationships/hyperlink" Target="https://docs.google.com/spreadsheets/d/1H1MjbG2y0oC0hhID4do1G0_gfyI1jag72lQd7nL3WDQ/edit?gid=432585965" TargetMode="External"/><Relationship Id="rId142" Type="http://schemas.openxmlformats.org/officeDocument/2006/relationships/hyperlink" Target="https://docs.google.com/spreadsheets/d/19THEBTE9q0fhN2eApZr6BgenIvLGh0AckaYxHQfHk5w/edit?gid=962200403" TargetMode="External"/><Relationship Id="rId384" Type="http://schemas.openxmlformats.org/officeDocument/2006/relationships/hyperlink" Target="https://docs.google.com/spreadsheets/d/1H1MjbG2y0oC0hhID4do1G0_gfyI1jag72lQd7nL3WDQ/edit?gid=139795987" TargetMode="External"/><Relationship Id="rId141" Type="http://schemas.openxmlformats.org/officeDocument/2006/relationships/hyperlink" Target="https://docs.google.com/spreadsheets/d/19THEBTE9q0fhN2eApZr6BgenIvLGh0AckaYxHQfHk5w/edit?gid=894458513" TargetMode="External"/><Relationship Id="rId383" Type="http://schemas.openxmlformats.org/officeDocument/2006/relationships/hyperlink" Target="https://docs.google.com/spreadsheets/d/1H1MjbG2y0oC0hhID4do1G0_gfyI1jag72lQd7nL3WDQ/edit?gid=1021209176" TargetMode="External"/><Relationship Id="rId140" Type="http://schemas.openxmlformats.org/officeDocument/2006/relationships/hyperlink" Target="https://docs.google.com/spreadsheets/d/1MW8OIVEKRJEaLcG-KS0zwZPEQ0eRUWE2y9Gj77rgoxo/edit?gid=1015756216" TargetMode="External"/><Relationship Id="rId382" Type="http://schemas.openxmlformats.org/officeDocument/2006/relationships/hyperlink" Target="https://docs.google.com/spreadsheets/d/1H1MjbG2y0oC0hhID4do1G0_gfyI1jag72lQd7nL3WDQ/edit?gid=1407301391" TargetMode="External"/><Relationship Id="rId5" Type="http://schemas.openxmlformats.org/officeDocument/2006/relationships/hyperlink" Target="https://docs.google.com/spreadsheets/d/1H1MjbG2y0oC0hhID4do1G0_gfyI1jag72lQd7nL3WDQ/edit?gid=0" TargetMode="External"/><Relationship Id="rId147" Type="http://schemas.openxmlformats.org/officeDocument/2006/relationships/hyperlink" Target="https://docs.google.com/spreadsheets/d/1jonEGMB3UFHiUZpltF1zURon8gYN7jGSHu-k9t5TXnA/edit?gid=869183546" TargetMode="External"/><Relationship Id="rId389" Type="http://schemas.openxmlformats.org/officeDocument/2006/relationships/hyperlink" Target="https://docs.google.com/spreadsheets/d/1H1MjbG2y0oC0hhID4do1G0_gfyI1jag72lQd7nL3WDQ/edit?gid=2107770933" TargetMode="External"/><Relationship Id="rId6" Type="http://schemas.openxmlformats.org/officeDocument/2006/relationships/hyperlink" Target="https://docs.google.com/spreadsheets/d/1rbCD10ySi4YZEkJW2_Slmn9z7AI1WEsGsZaIJmnnT18/edit?gid=0" TargetMode="External"/><Relationship Id="rId146" Type="http://schemas.openxmlformats.org/officeDocument/2006/relationships/hyperlink" Target="https://docs.google.com/spreadsheets/d/1jonEGMB3UFHiUZpltF1zURon8gYN7jGSHu-k9t5TXnA/edit?gid=272480543" TargetMode="External"/><Relationship Id="rId388" Type="http://schemas.openxmlformats.org/officeDocument/2006/relationships/hyperlink" Target="https://docs.google.com/spreadsheets/d/1H1MjbG2y0oC0hhID4do1G0_gfyI1jag72lQd7nL3WDQ/edit?gid=640523369" TargetMode="External"/><Relationship Id="rId7" Type="http://schemas.openxmlformats.org/officeDocument/2006/relationships/hyperlink" Target="https://docs.google.com/spreadsheets/d/1lEcUd4exxkr5Za3IYZ0vdFNfMubnuMOOMXfmF3GYC9I/edit?gid=0" TargetMode="External"/><Relationship Id="rId145" Type="http://schemas.openxmlformats.org/officeDocument/2006/relationships/hyperlink" Target="https://docs.google.com/spreadsheets/d/1jonEGMB3UFHiUZpltF1zURon8gYN7jGSHu-k9t5TXnA/edit?gid=1665960639" TargetMode="External"/><Relationship Id="rId387" Type="http://schemas.openxmlformats.org/officeDocument/2006/relationships/hyperlink" Target="https://docs.google.com/spreadsheets/d/1H1MjbG2y0oC0hhID4do1G0_gfyI1jag72lQd7nL3WDQ/edit?gid=1916178969" TargetMode="External"/><Relationship Id="rId8" Type="http://schemas.openxmlformats.org/officeDocument/2006/relationships/hyperlink" Target="https://docs.google.com/spreadsheets/d/1EI7qusa674eJhuaw-nWWtWMEHVSYMQv7HLsInEZTWpE/edit?gid=0" TargetMode="External"/><Relationship Id="rId144" Type="http://schemas.openxmlformats.org/officeDocument/2006/relationships/hyperlink" Target="https://docs.google.com/spreadsheets/d/1jonEGMB3UFHiUZpltF1zURon8gYN7jGSHu-k9t5TXnA/edit?gid=632356132" TargetMode="External"/><Relationship Id="rId386" Type="http://schemas.openxmlformats.org/officeDocument/2006/relationships/hyperlink" Target="https://docs.google.com/spreadsheets/d/1H1MjbG2y0oC0hhID4do1G0_gfyI1jag72lQd7nL3WDQ/edit?gid=1835376342" TargetMode="External"/><Relationship Id="rId381" Type="http://schemas.openxmlformats.org/officeDocument/2006/relationships/hyperlink" Target="https://docs.google.com/spreadsheets/d/1H1MjbG2y0oC0hhID4do1G0_gfyI1jag72lQd7nL3WDQ/edit?gid=1609263203" TargetMode="External"/><Relationship Id="rId380" Type="http://schemas.openxmlformats.org/officeDocument/2006/relationships/hyperlink" Target="https://docs.google.com/spreadsheets/d/1H1MjbG2y0oC0hhID4do1G0_gfyI1jag72lQd7nL3WDQ/edit?gid=1181793870" TargetMode="External"/><Relationship Id="rId139" Type="http://schemas.openxmlformats.org/officeDocument/2006/relationships/hyperlink" Target="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 TargetMode="External"/><Relationship Id="rId138" Type="http://schemas.openxmlformats.org/officeDocument/2006/relationships/hyperlink" Target="https://docs.google.com/spreadsheets/d/19THEBTE9q0fhN2eApZr6BgenIvLGh0AckaYxHQfHk5w/edit?gid=901281284" TargetMode="External"/><Relationship Id="rId137" Type="http://schemas.openxmlformats.org/officeDocument/2006/relationships/hyperlink" Target="https://docs.google.com/spreadsheets/d/1jonEGMB3UFHiUZpltF1zURon8gYN7jGSHu-k9t5TXnA/edit?gid=1357245149" TargetMode="External"/><Relationship Id="rId379" Type="http://schemas.openxmlformats.org/officeDocument/2006/relationships/hyperlink" Target="https://docs.google.com/spreadsheets/d/1H1MjbG2y0oC0hhID4do1G0_gfyI1jag72lQd7nL3WDQ/edit?gid=249071120" TargetMode="External"/><Relationship Id="rId132" Type="http://schemas.openxmlformats.org/officeDocument/2006/relationships/hyperlink" Target="https://docs.google.com/spreadsheets/d/19THEBTE9q0fhN2eApZr6BgenIvLGh0AckaYxHQfHk5w/edit?gid=1127401829" TargetMode="External"/><Relationship Id="rId374" Type="http://schemas.openxmlformats.org/officeDocument/2006/relationships/hyperlink" Target="https://docs.google.com/spreadsheets/d/1H1MjbG2y0oC0hhID4do1G0_gfyI1jag72lQd7nL3WDQ/edit?gid=964974032" TargetMode="External"/><Relationship Id="rId131" Type="http://schemas.openxmlformats.org/officeDocument/2006/relationships/hyperlink" Target="https://docs.google.com/spreadsheets/d/19THEBTE9q0fhN2eApZr6BgenIvLGh0AckaYxHQfHk5w/edit?gid=1429092860" TargetMode="External"/><Relationship Id="rId373" Type="http://schemas.openxmlformats.org/officeDocument/2006/relationships/hyperlink" Target="https://docs.google.com/spreadsheets/d/1H1MjbG2y0oC0hhID4do1G0_gfyI1jag72lQd7nL3WDQ/edit?gid=1248381323" TargetMode="External"/><Relationship Id="rId130" Type="http://schemas.openxmlformats.org/officeDocument/2006/relationships/hyperlink" Target="https://docs.google.com/spreadsheets/d/1EI7qusa674eJhuaw-nWWtWMEHVSYMQv7HLsInEZTWpE/edit?gid=1593340955" TargetMode="External"/><Relationship Id="rId372" Type="http://schemas.openxmlformats.org/officeDocument/2006/relationships/hyperlink" Target="https://docs.google.com/spreadsheets/d/1H1MjbG2y0oC0hhID4do1G0_gfyI1jag72lQd7nL3WDQ/edit?gid=1107137504" TargetMode="External"/><Relationship Id="rId371" Type="http://schemas.openxmlformats.org/officeDocument/2006/relationships/hyperlink" Target="https://docs.google.com/spreadsheets/d/1H1MjbG2y0oC0hhID4do1G0_gfyI1jag72lQd7nL3WDQ/edit?gid=751430157" TargetMode="External"/><Relationship Id="rId136" Type="http://schemas.openxmlformats.org/officeDocument/2006/relationships/hyperlink" Target="https://docs.google.com/spreadsheets/d/1H1MjbG2y0oC0hhID4do1G0_gfyI1jag72lQd7nL3WDQ/edit?gid=1648385259" TargetMode="External"/><Relationship Id="rId378" Type="http://schemas.openxmlformats.org/officeDocument/2006/relationships/hyperlink" Target="https://docs.google.com/spreadsheets/d/1H1MjbG2y0oC0hhID4do1G0_gfyI1jag72lQd7nL3WDQ/edit?gid=1000032786" TargetMode="External"/><Relationship Id="rId135" Type="http://schemas.openxmlformats.org/officeDocument/2006/relationships/hyperlink" Target="https://docs.google.com/spreadsheets/d/19THEBTE9q0fhN2eApZr6BgenIvLGh0AckaYxHQfHk5w/edit?gid=440902567" TargetMode="External"/><Relationship Id="rId377" Type="http://schemas.openxmlformats.org/officeDocument/2006/relationships/hyperlink" Target="https://docs.google.com/spreadsheets/d/1H1MjbG2y0oC0hhID4do1G0_gfyI1jag72lQd7nL3WDQ/edit?gid=1900542966" TargetMode="External"/><Relationship Id="rId134" Type="http://schemas.openxmlformats.org/officeDocument/2006/relationships/hyperlink" Target="https://docs.google.com/spreadsheets/d/19THEBTE9q0fhN2eApZr6BgenIvLGh0AckaYxHQfHk5w/edit?gid=38060356" TargetMode="External"/><Relationship Id="rId376" Type="http://schemas.openxmlformats.org/officeDocument/2006/relationships/hyperlink" Target="https://docs.google.com/spreadsheets/d/1H1MjbG2y0oC0hhID4do1G0_gfyI1jag72lQd7nL3WDQ/edit?gid=1086511131" TargetMode="External"/><Relationship Id="rId133" Type="http://schemas.openxmlformats.org/officeDocument/2006/relationships/hyperlink" Target="https://disk.yandex.ru/client/disk/%D0%9E%D1%81%D0%BC%D0%BE%D1%82%D1%80%D1%8B%20%D0%BE%D0%B1%D1%8A%D0%B5%D0%BA%D1%82%D0%BE%D0%B2%20%D0%90%D0%9D%D0%9E%20%D0%A1%D0%9C%D0%93/016.%20%D0%9F%D1%82%D0%B8%D1%87%D0%BD%D0%BE%D0%B5%20%D0%BF%D0%BE%D0%BB%D0%B8%D0%BA%D0%BB%D0%B8%D0%BD%D0%B8%D0%BA%D0%B0%20750" TargetMode="External"/><Relationship Id="rId375" Type="http://schemas.openxmlformats.org/officeDocument/2006/relationships/hyperlink" Target="https://docs.google.com/spreadsheets/d/1H1MjbG2y0oC0hhID4do1G0_gfyI1jag72lQd7nL3WDQ/edit?gid=1426054658" TargetMode="External"/><Relationship Id="rId172" Type="http://schemas.openxmlformats.org/officeDocument/2006/relationships/hyperlink" Target="https://disk.yandex.ru/client/disk/%D0%9E%D1%81%D0%BC%D0%BE%D1%82%D1%80%D1%8B%20%D0%BE%D0%B1%D1%8A%D0%B5%D0%BA%D1%82%D0%BE%D0%B2%20%D0%90%D0%9D%D0%9E%20%D0%A1%D0%9C%D0%93/288.%206-%D1%8F%20%D0%A0%D0%B0%D0%B4%D0%B8%D0%B0%D0%BB%D1%8C%D0%BD%D0%B0%D1%8F%20%D0%B2%D0%BB%D0%B4.7%20%D1%83%D1%87%D0%B0%D1%81%D1%82%D0%BE%D0%BA%2018%20%D0%A8%D0%BA%D0%BE%D0%BB%D0%B0%20%D0%BD%D0%B0%20825%20%D0%BC%D0%B5%D1%81%D1%82" TargetMode="External"/><Relationship Id="rId171" Type="http://schemas.openxmlformats.org/officeDocument/2006/relationships/hyperlink" Target="https://docs.google.com/spreadsheets/d/19THEBTE9q0fhN2eApZr6BgenIvLGh0AckaYxHQfHk5w/edit?gid=1865118876" TargetMode="External"/><Relationship Id="rId170" Type="http://schemas.openxmlformats.org/officeDocument/2006/relationships/hyperlink" Target="https://docs.google.com/spreadsheets/d/19THEBTE9q0fhN2eApZr6BgenIvLGh0AckaYxHQfHk5w/edit?gid=1314726953" TargetMode="External"/><Relationship Id="rId165" Type="http://schemas.openxmlformats.org/officeDocument/2006/relationships/hyperlink" Target="https://disk.yandex.ru/client/disk/%D0%9E%D1%81%D0%BC%D0%BE%D1%82%D1%80%D1%8B%20%D0%BE%D0%B1%D1%8A%D0%B5%D0%BA%D1%82%D0%BE%D0%B2%20%D0%90%D0%9D%D0%9E%20%D0%A1%D0%9C%D0%93/184.%20%D0%A3%D1%87%D0%B5%D0%B1%D0%BD%D1%8B%D0%B9%20%D0%BA%D0%BE%D1%80%D0%BF%D1%83%D1%81%20%D0%BD%D0%B0%20400%20%D0%BC%D0%B5%D1%81%D1%82%202-%D1%8F%20%D0%93%D1%80%D0%B0%D0%B6%D0%B4%D0%B0%D0%BD%D1%81%D0%BA%D0%B0%D1%8F%2C%20%D0%B4.%208" TargetMode="External"/><Relationship Id="rId164" Type="http://schemas.openxmlformats.org/officeDocument/2006/relationships/hyperlink" Target="https://docs.google.com/spreadsheets/d/19THEBTE9q0fhN2eApZr6BgenIvLGh0AckaYxHQfHk5w/edit?gid=808158041" TargetMode="External"/><Relationship Id="rId163" Type="http://schemas.openxmlformats.org/officeDocument/2006/relationships/hyperlink" Target="https://disk.yandex.ru/client/disk/%D0%9E%D1%81%D0%BC%D0%BE%D1%82%D1%80%D1%8B%20%D0%BE%D0%B1%D1%8A%D0%B5%D0%BA%D1%82%D0%BE%D0%B2%20%D0%90%D0%9D%D0%9E%20%D0%A1%D0%9C%D0%93/290.%20%D0%97%D0%BE%D0%BB%D0%BE%D1%82%D0%BE%D1%80%D0%BE%D0%B6%D1%81%D0%BA%D0%B8%D0%B9%20%D0%B2%D0%B0%D0%BB%20%D0%B2%D0%BB%D0%B4%2011%20%D0%A8%D0%BA%D0%BE%D0%BB%D0%B0%20%D0%BD%D0%B0%201150%20%D0%BC%D0%B5%D1%81%D1%82%20" TargetMode="External"/><Relationship Id="rId162" Type="http://schemas.openxmlformats.org/officeDocument/2006/relationships/hyperlink" Target="https://docs.google.com/spreadsheets/d/19THEBTE9q0fhN2eApZr6BgenIvLGh0AckaYxHQfHk5w/edit?gid=1261418769" TargetMode="External"/><Relationship Id="rId169" Type="http://schemas.openxmlformats.org/officeDocument/2006/relationships/hyperlink" Target="https://docs.google.com/spreadsheets/d/19THEBTE9q0fhN2eApZr6BgenIvLGh0AckaYxHQfHk5w/edit?gid=921189634" TargetMode="External"/><Relationship Id="rId168" Type="http://schemas.openxmlformats.org/officeDocument/2006/relationships/hyperlink" Target="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 TargetMode="External"/><Relationship Id="rId167" Type="http://schemas.openxmlformats.org/officeDocument/2006/relationships/hyperlink" Target="https://docs.google.com/spreadsheets/d/19THEBTE9q0fhN2eApZr6BgenIvLGh0AckaYxHQfHk5w/edit?gid=1430585638" TargetMode="External"/><Relationship Id="rId166" Type="http://schemas.openxmlformats.org/officeDocument/2006/relationships/hyperlink" Target="https://docs.google.com/spreadsheets/d/19THEBTE9q0fhN2eApZr6BgenIvLGh0AckaYxHQfHk5w/edit?gid=1559792467" TargetMode="External"/><Relationship Id="rId161" Type="http://schemas.openxmlformats.org/officeDocument/2006/relationships/hyperlink" Target="https://docs.google.com/spreadsheets/d/19THEBTE9q0fhN2eApZr6BgenIvLGh0AckaYxHQfHk5w/edit?gid=444385228" TargetMode="External"/><Relationship Id="rId160" Type="http://schemas.openxmlformats.org/officeDocument/2006/relationships/hyperlink" Target="https://docs.google.com/spreadsheets/d/19THEBTE9q0fhN2eApZr6BgenIvLGh0AckaYxHQfHk5w/edit?gid=1666294966" TargetMode="External"/><Relationship Id="rId159" Type="http://schemas.openxmlformats.org/officeDocument/2006/relationships/hyperlink" Target="https://docs.google.com/spreadsheets/d/19THEBTE9q0fhN2eApZr6BgenIvLGh0AckaYxHQfHk5w/edit?gid=876314098" TargetMode="External"/><Relationship Id="rId154" Type="http://schemas.openxmlformats.org/officeDocument/2006/relationships/hyperlink" Target="https://docs.google.com/spreadsheets/d/19THEBTE9q0fhN2eApZr6BgenIvLGh0AckaYxHQfHk5w/edit?gid=1652446948" TargetMode="External"/><Relationship Id="rId396" Type="http://schemas.openxmlformats.org/officeDocument/2006/relationships/hyperlink" Target="https://docs.google.com/spreadsheets/d/1H1MjbG2y0oC0hhID4do1G0_gfyI1jag72lQd7nL3WDQ/edit?gid=760560062" TargetMode="External"/><Relationship Id="rId153" Type="http://schemas.openxmlformats.org/officeDocument/2006/relationships/hyperlink" Target="https://docs.google.com/spreadsheets/d/19THEBTE9q0fhN2eApZr6BgenIvLGh0AckaYxHQfHk5w/edit?gid=1697091636" TargetMode="External"/><Relationship Id="rId395" Type="http://schemas.openxmlformats.org/officeDocument/2006/relationships/hyperlink" Target="https://docs.google.com/spreadsheets/d/1H1MjbG2y0oC0hhID4do1G0_gfyI1jag72lQd7nL3WDQ/edit?gid=833062955" TargetMode="External"/><Relationship Id="rId152" Type="http://schemas.openxmlformats.org/officeDocument/2006/relationships/hyperlink" Target="https://docs.google.com/spreadsheets/d/19THEBTE9q0fhN2eApZr6BgenIvLGh0AckaYxHQfHk5w/edit?gid=1849856896" TargetMode="External"/><Relationship Id="rId394" Type="http://schemas.openxmlformats.org/officeDocument/2006/relationships/hyperlink" Target="https://docs.google.com/spreadsheets/d/1H1MjbG2y0oC0hhID4do1G0_gfyI1jag72lQd7nL3WDQ/edit?gid=1587877211" TargetMode="External"/><Relationship Id="rId151" Type="http://schemas.openxmlformats.org/officeDocument/2006/relationships/hyperlink" Target="https://docs.google.com/spreadsheets/d/19THEBTE9q0fhN2eApZr6BgenIvLGh0AckaYxHQfHk5w/edit?gid=288749714" TargetMode="External"/><Relationship Id="rId393" Type="http://schemas.openxmlformats.org/officeDocument/2006/relationships/hyperlink" Target="https://docs.google.com/spreadsheets/d/1H1MjbG2y0oC0hhID4do1G0_gfyI1jag72lQd7nL3WDQ/edit?gid=1268803659" TargetMode="External"/><Relationship Id="rId158" Type="http://schemas.openxmlformats.org/officeDocument/2006/relationships/hyperlink" Target="https://docs.google.com/spreadsheets/d/19THEBTE9q0fhN2eApZr6BgenIvLGh0AckaYxHQfHk5w/edit?gid=1529981182" TargetMode="External"/><Relationship Id="rId157" Type="http://schemas.openxmlformats.org/officeDocument/2006/relationships/hyperlink" Target="https://docs.google.com/spreadsheets/d/19THEBTE9q0fhN2eApZr6BgenIvLGh0AckaYxHQfHk5w/edit?gid=1377920249" TargetMode="External"/><Relationship Id="rId399" Type="http://schemas.openxmlformats.org/officeDocument/2006/relationships/hyperlink" Target="https://docs.google.com/spreadsheets/d/1H1MjbG2y0oC0hhID4do1G0_gfyI1jag72lQd7nL3WDQ/edit?gid=1180712542" TargetMode="External"/><Relationship Id="rId156" Type="http://schemas.openxmlformats.org/officeDocument/2006/relationships/hyperlink" Target="https://docs.google.com/spreadsheets/d/19THEBTE9q0fhN2eApZr6BgenIvLGh0AckaYxHQfHk5w/edit?gid=955409547" TargetMode="External"/><Relationship Id="rId398" Type="http://schemas.openxmlformats.org/officeDocument/2006/relationships/hyperlink" Target="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 TargetMode="External"/><Relationship Id="rId155" Type="http://schemas.openxmlformats.org/officeDocument/2006/relationships/hyperlink" Target="https://docs.google.com/spreadsheets/d/19THEBTE9q0fhN2eApZr6BgenIvLGh0AckaYxHQfHk5w/edit?gid=981800361" TargetMode="External"/><Relationship Id="rId397" Type="http://schemas.openxmlformats.org/officeDocument/2006/relationships/hyperlink" Target="https://docs.google.com/spreadsheets/d/1H1MjbG2y0oC0hhID4do1G0_gfyI1jag72lQd7nL3WDQ/edit?gid=471133046" TargetMode="External"/><Relationship Id="rId808" Type="http://schemas.openxmlformats.org/officeDocument/2006/relationships/hyperlink" Target="https://docs.google.com/spreadsheets/d/19THEBTE9q0fhN2eApZr6BgenIvLGh0AckaYxHQfHk5w/edit?gid=1825170573" TargetMode="External"/><Relationship Id="rId807" Type="http://schemas.openxmlformats.org/officeDocument/2006/relationships/hyperlink" Target="https://docs.google.com/spreadsheets/d/1EI7qusa674eJhuaw-nWWtWMEHVSYMQv7HLsInEZTWpE/edit?gid=1285680643" TargetMode="External"/><Relationship Id="rId806" Type="http://schemas.openxmlformats.org/officeDocument/2006/relationships/hyperlink" Target="https://docs.google.com/spreadsheets/d/19THEBTE9q0fhN2eApZr6BgenIvLGh0AckaYxHQfHk5w/edit?gid=1246380027" TargetMode="External"/><Relationship Id="rId805" Type="http://schemas.openxmlformats.org/officeDocument/2006/relationships/hyperlink" Target="https://docs.google.com/spreadsheets/d/1EI7qusa674eJhuaw-nWWtWMEHVSYMQv7HLsInEZTWpE/edit?gid=831042065" TargetMode="External"/><Relationship Id="rId809" Type="http://schemas.openxmlformats.org/officeDocument/2006/relationships/hyperlink" Target="https://docs.google.com/spreadsheets/d/1EI7qusa674eJhuaw-nWWtWMEHVSYMQv7HLsInEZTWpE/edit?gid=446883211" TargetMode="External"/><Relationship Id="rId800"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29.%20%D0%9A%D1%80%D1%83%D0%B3%D0%BE%D0%B2%D0%BE%D0%B5%20%D0%B4%D0%B5%D0%BF%D0%BE" TargetMode="External"/><Relationship Id="rId804" Type="http://schemas.openxmlformats.org/officeDocument/2006/relationships/hyperlink" Target="https://docs.google.com/spreadsheets/d/1EI7qusa674eJhuaw-nWWtWMEHVSYMQv7HLsInEZTWpE/edit?gid=1612889621" TargetMode="External"/><Relationship Id="rId803" Type="http://schemas.openxmlformats.org/officeDocument/2006/relationships/hyperlink" Target="https://disk.yandex.ru/client/disk/%D0%9E%D1%81%D0%BC%D0%BE%D1%82%D1%80%D1%8B%20%D0%BE%D0%B1%D1%8A%D0%B5%D0%BA%D1%82%D0%BE%D0%B2%20%D0%90%D0%9D%D0%9E%20%D0%A1%D0%9C%D0%93/1230%20%22%D0%9C%D0%BD%D0%BE%D0%B3%D0%BE%D1%84%D1%83%D0%BD%D0%BA%D1%86%D0%B8%D0%BE%D0%BD%D0%B0%D0%BB%D1%8C%D0%BD%D1%8B%D0%B9%20%D0%BA%D0%BE%D0%BC%D0%BF%D0%BB%D0%B5%D0%BA%D1%81%20%E2%80%9C%D0%92%D0%B5%D0%BD%D0%B5%D1%86%D0%B8%D1%8F%E2%80%9D%0A%D0%93%D0%9A%20%D0%9A%D0%B8%D0%B5%D0%B2%D1%81%D0%BA%D0%B0%D1%8F%20%D0%BF%D0%BB%D0%BE%D1%89%D0%B0%D0%B4%D1%8C%22.%20%D0%9C%D0%B0%D0%BD%D1%82%D1%83%D0%BB%D0%B8%D0%BD%D1%81%D0%BA%D0%B0%D1%8F%20%D1%83%D0%BB.%20%D0%B2%D0%BB.%205%20%D0%A6%D0%90%D0%9E%2C%20%D0%9F%D1%80%D0%B5%D1%81%D0%BD%D0%B5%D0%BD%D1%81%D0%BA%D0%B8%D0%B9%20%D1%80%D0%B0%D0%B9%D0%BE%D0%BD" TargetMode="External"/><Relationship Id="rId802" Type="http://schemas.openxmlformats.org/officeDocument/2006/relationships/hyperlink" Target="https://docs.google.com/spreadsheets/d/1EI7qusa674eJhuaw-nWWtWMEHVSYMQv7HLsInEZTWpE/edit?gid=38649977" TargetMode="External"/><Relationship Id="rId801" Type="http://schemas.openxmlformats.org/officeDocument/2006/relationships/hyperlink" Target="https://docs.google.com/spreadsheets/d/1EI7qusa674eJhuaw-nWWtWMEHVSYMQv7HLsInEZTWpE/edit?gid=1002976972" TargetMode="External"/><Relationship Id="rId40" Type="http://schemas.openxmlformats.org/officeDocument/2006/relationships/hyperlink" Target="https://docs.google.com/spreadsheets/d/19THEBTE9q0fhN2eApZr6BgenIvLGh0AckaYxHQfHk5w/edit?gid=700032418" TargetMode="External"/><Relationship Id="rId42" Type="http://schemas.openxmlformats.org/officeDocument/2006/relationships/hyperlink" Target="https://docs.google.com/spreadsheets/d/19THEBTE9q0fhN2eApZr6BgenIvLGh0AckaYxHQfHk5w/edit?gid=987830810" TargetMode="External"/><Relationship Id="rId41" Type="http://schemas.openxmlformats.org/officeDocument/2006/relationships/hyperlink" Target="https://docs.google.com/spreadsheets/d/19THEBTE9q0fhN2eApZr6BgenIvLGh0AckaYxHQfHk5w/edit?gid=1830744104" TargetMode="External"/><Relationship Id="rId44" Type="http://schemas.openxmlformats.org/officeDocument/2006/relationships/hyperlink" Target="https://docs.google.com/spreadsheets/d/19THEBTE9q0fhN2eApZr6BgenIvLGh0AckaYxHQfHk5w/edit?gid=2074952134" TargetMode="External"/><Relationship Id="rId43" Type="http://schemas.openxmlformats.org/officeDocument/2006/relationships/hyperlink" Target="https://docs.google.com/spreadsheets/d/19THEBTE9q0fhN2eApZr6BgenIvLGh0AckaYxHQfHk5w/edit?gid=1592533153" TargetMode="External"/><Relationship Id="rId46" Type="http://schemas.openxmlformats.org/officeDocument/2006/relationships/hyperlink" Target="https://docs.google.com/spreadsheets/d/1MW8OIVEKRJEaLcG-KS0zwZPEQ0eRUWE2y9Gj77rgoxo/edit?gid=1838546198" TargetMode="External"/><Relationship Id="rId45" Type="http://schemas.openxmlformats.org/officeDocument/2006/relationships/hyperlink" Target="https://docs.google.com/spreadsheets/d/19THEBTE9q0fhN2eApZr6BgenIvLGh0AckaYxHQfHk5w/edit?gid=1089584377" TargetMode="External"/><Relationship Id="rId509" Type="http://schemas.openxmlformats.org/officeDocument/2006/relationships/hyperlink" Target="https://disk.yandex.ru/client/disk/%D0%9E%D1%81%D0%BC%D0%BE%D1%82%D1%80%D1%8B%20%D0%BE%D0%B1%D1%8A%D0%B5%D0%BA%D1%82%D0%BE%D0%B2%20%D0%90%D0%9D%D0%9E%20%D0%A1%D0%9C%D0%93/874%20%D1%83%D0%BB%205-%D1%8F%20%D0%BF%D0%B0%D1%80%D0%BA%D0%BE%D0%B2%D0%B0%D1%8F%2039.3%20" TargetMode="External"/><Relationship Id="rId508" Type="http://schemas.openxmlformats.org/officeDocument/2006/relationships/hyperlink" Target="https://docs.google.com/spreadsheets/d/1rbCD10ySi4YZEkJW2_Slmn9z7AI1WEsGsZaIJmnnT18/edit?gid=1439077148" TargetMode="External"/><Relationship Id="rId503" Type="http://schemas.openxmlformats.org/officeDocument/2006/relationships/hyperlink" Target="https://docs.google.com/spreadsheets/d/1rbCD10ySi4YZEkJW2_Slmn9z7AI1WEsGsZaIJmnnT18/edit?gid=641183458" TargetMode="External"/><Relationship Id="rId745" Type="http://schemas.openxmlformats.org/officeDocument/2006/relationships/hyperlink" Target="https://docs.google.com/spreadsheets/d/1lEcUd4exxkr5Za3IYZ0vdFNfMubnuMOOMXfmF3GYC9I/edit?gid=1130285298" TargetMode="External"/><Relationship Id="rId987" Type="http://schemas.openxmlformats.org/officeDocument/2006/relationships/hyperlink" Target="https://disk.yandex.ru/client/disk/%D0%9E%D1%81%D0%BC%D0%BE%D1%82%D1%80%D1%8B%20%D0%BE%D0%B1%D1%8A%D0%B5%D0%BA%D1%82%D0%BE%D0%B2%20%D0%90%D0%9D%D0%9E%20%D0%A1%D0%9C%D0%93/1276.%20%D0%9A%D0%BE%D0%BB%D0%BB%D0%B5%D0%B4%D0%B6%20%D0%9F%D0%BE%D1%85%D0%BE%D0%B4%D0%BD%D1%8B%D0%B9%20%D0%BF%D1%80%D0%BE%D0%B5%D0%B7%D0%B4%20%D0%B2%D0%BB6" TargetMode="External"/><Relationship Id="rId502" Type="http://schemas.openxmlformats.org/officeDocument/2006/relationships/hyperlink" Target="https://docs.google.com/spreadsheets/d/1rbCD10ySi4YZEkJW2_Slmn9z7AI1WEsGsZaIJmnnT18/edit?gid=282401999" TargetMode="External"/><Relationship Id="rId744" Type="http://schemas.openxmlformats.org/officeDocument/2006/relationships/hyperlink" Target="https://disk.yandex.ru/client/disk/%D0%9E%D1%81%D0%BC%D0%BE%D1%82%D1%80%D1%8B%20%D0%BE%D0%B1%D1%8A%D0%B5%D0%BA%D1%82%D0%BE%D0%B2%20%D0%90%D0%9D%D0%9E%20%D0%A1%D0%9C%D0%93/766.%20%D0%9D%D0%BE%D0%B2%D0%BE%D1%89%D1%83%D0%BA%D0%B8%D0%BD%D1%81%D0%BA%D0%B0%D1%8F%20%D0%B7%D1%83%206" TargetMode="External"/><Relationship Id="rId986" Type="http://schemas.openxmlformats.org/officeDocument/2006/relationships/hyperlink" Target="https://docs.google.com/spreadsheets/d/1EI7qusa674eJhuaw-nWWtWMEHVSYMQv7HLsInEZTWpE/edit?gid=411393776" TargetMode="External"/><Relationship Id="rId501" Type="http://schemas.openxmlformats.org/officeDocument/2006/relationships/hyperlink" Target="https://disk.yandex.ru/client/disk/%D0%9E%D1%81%D0%BC%D0%BE%D1%82%D1%80%D1%8B%20%D0%BE%D0%B1%D1%8A%D0%B5%D0%BA%D1%82%D0%BE%D0%B2%20%D0%90%D0%9D%D0%9E%20%D0%A1%D0%9C%D0%93/859%20%D0%A1%D0%B8%D1%80%D0%B5%D0%BD%D0%B5%D0%B2%D1%8B%D0%B9%20%D0%B1%D1%83%D0%BB%D1%8C%D0%B2%D0%B0%D1%80%2029%20%D0%BA1%20" TargetMode="External"/><Relationship Id="rId743" Type="http://schemas.openxmlformats.org/officeDocument/2006/relationships/hyperlink" Target="https://docs.google.com/spreadsheets/d/1lEcUd4exxkr5Za3IYZ0vdFNfMubnuMOOMXfmF3GYC9I/edit?gid=50364907" TargetMode="External"/><Relationship Id="rId985" Type="http://schemas.openxmlformats.org/officeDocument/2006/relationships/hyperlink" Target="https://disk.yandex.ru/client/disk/%D0%9E%D1%81%D0%BC%D0%BE%D1%82%D1%80%D1%8B%20%D0%BE%D0%B1%D1%8A%D0%B5%D0%BA%D1%82%D0%BE%D0%B2%20%D0%90%D0%9D%D0%9E%20%D0%A1%D0%9C%D0%93/1275.%20%D0%A8%D0%B0%D1%80%D0%B8%D0%BA%D0%BE%D0%BF%D0%BE%D0%B4%D1%88%D0%B8%D0%BF%D0%BD%D0%B8%D0%BA%D0%BE%D0%B2%D1%81%D0%BA%D0%B0%D1%8F%20%D0%B2%D0%BB.%2013%2C%20%D1%81%D1%82%D1%802" TargetMode="External"/><Relationship Id="rId500" Type="http://schemas.openxmlformats.org/officeDocument/2006/relationships/hyperlink" Target="https://docs.google.com/spreadsheets/d/1rbCD10ySi4YZEkJW2_Slmn9z7AI1WEsGsZaIJmnnT18/edit?gid=575728674" TargetMode="External"/><Relationship Id="rId742" Type="http://schemas.openxmlformats.org/officeDocument/2006/relationships/hyperlink" Target="https://docs.google.com/spreadsheets/d/1lEcUd4exxkr5Za3IYZ0vdFNfMubnuMOOMXfmF3GYC9I/edit?gid=125387875" TargetMode="External"/><Relationship Id="rId984" Type="http://schemas.openxmlformats.org/officeDocument/2006/relationships/hyperlink" Target="https://docs.google.com/spreadsheets/d/1EI7qusa674eJhuaw-nWWtWMEHVSYMQv7HLsInEZTWpE/edit?gid=948129229" TargetMode="External"/><Relationship Id="rId507" Type="http://schemas.openxmlformats.org/officeDocument/2006/relationships/hyperlink" Target="https://disk.yandex.ru/client/disk/%D0%9E%D1%81%D0%BC%D0%BE%D1%82%D1%80%D1%8B%20%D0%BE%D0%B1%D1%8A%D0%B5%D0%BA%D1%82%D0%BE%D0%B2%20%D0%90%D0%9D%D0%9E%20%D0%A1%D0%9C%D0%93/871%20%D0%A3%D0%BB.%20%D0%9A%D1%83%D1%81%D0%BA%D0%BE%D0%B2%D1%81%D0%BA%D0%B0%D1%8F%20%D0%B2%D0%BB%2035%20" TargetMode="External"/><Relationship Id="rId749" Type="http://schemas.openxmlformats.org/officeDocument/2006/relationships/hyperlink" Target="https://docs.google.com/spreadsheets/d/1lEcUd4exxkr5Za3IYZ0vdFNfMubnuMOOMXfmF3GYC9I/edit?gid=2095889728" TargetMode="External"/><Relationship Id="rId506" Type="http://schemas.openxmlformats.org/officeDocument/2006/relationships/hyperlink" Target="https://docs.google.com/spreadsheets/d/1rbCD10ySi4YZEkJW2_Slmn9z7AI1WEsGsZaIJmnnT18/edit?gid=2017311436" TargetMode="External"/><Relationship Id="rId748" Type="http://schemas.openxmlformats.org/officeDocument/2006/relationships/hyperlink" Target="https://docs.google.com/spreadsheets/d/1lEcUd4exxkr5Za3IYZ0vdFNfMubnuMOOMXfmF3GYC9I/edit?gid=88636317" TargetMode="External"/><Relationship Id="rId505" Type="http://schemas.openxmlformats.org/officeDocument/2006/relationships/hyperlink" Target="https://disk.yandex.ru/client/disk/%D0%9E%D1%81%D0%BC%D0%BE%D1%82%D1%80%D1%8B%20%D0%BE%D0%B1%D1%8A%D0%B5%D0%BA%D1%82%D0%BE%D0%B2%20%D0%90%D0%9D%D0%9E%20%D0%A1%D0%9C%D0%93/958.%20%D1%80%D0%B0%D0%B9%D0%BE%D0%BD%20%D0%92%D0%BE%D1%81%D1%82%D0%BE%D1%87%D0%BD%D1%8B%D0%B9%2C%209-%D0%B3%D0%BE%20%D0%BC%D0%B0%D1%8F%2C%20%D0%B2%D0%BB%2018-24" TargetMode="External"/><Relationship Id="rId747" Type="http://schemas.openxmlformats.org/officeDocument/2006/relationships/hyperlink" Target="https://docs.google.com/spreadsheets/d/1lEcUd4exxkr5Za3IYZ0vdFNfMubnuMOOMXfmF3GYC9I/edit?gid=1431643406" TargetMode="External"/><Relationship Id="rId989" Type="http://schemas.openxmlformats.org/officeDocument/2006/relationships/hyperlink" Target="https://disk.yandex.ru/client/disk/%D0%9E%D1%81%D0%BC%D0%BE%D1%82%D1%80%D1%8B%20%D0%BE%D0%B1%D1%8A%D0%B5%D0%BA%D1%82%D0%BE%D0%B2%20%D0%90%D0%9D%D0%9E%20%D0%A1%D0%9C%D0%93/1277%20%D1%80-%D0%BD%20%D0%A2%D1%80%D0%BE%D0%B8%D1%86%D0%BA%2C%20%D1%82%D0%B5%D1%80.%20%D0%A1%D0%9D%D0%A2%20%22%D0%92%D0%B5%D1%82%D0%B5%D1%80%D0%B0%D0%BD-1%22%20%D0%BA%D0%BE%D1%80%D0%BF.%201" TargetMode="External"/><Relationship Id="rId504" Type="http://schemas.openxmlformats.org/officeDocument/2006/relationships/hyperlink" Target="https://docs.google.com/spreadsheets/d/1rbCD10ySi4YZEkJW2_Slmn9z7AI1WEsGsZaIJmnnT18/edit?gid=598456710" TargetMode="External"/><Relationship Id="rId746" Type="http://schemas.openxmlformats.org/officeDocument/2006/relationships/hyperlink" Target="https://docs.google.com/spreadsheets/d/1lEcUd4exxkr5Za3IYZ0vdFNfMubnuMOOMXfmF3GYC9I/edit?gid=1910743713" TargetMode="External"/><Relationship Id="rId988" Type="http://schemas.openxmlformats.org/officeDocument/2006/relationships/hyperlink" Target="https://docs.google.com/spreadsheets/d/1rbCD10ySi4YZEkJW2_Slmn9z7AI1WEsGsZaIJmnnT18/edit?gid=1030101240" TargetMode="External"/><Relationship Id="rId48" Type="http://schemas.openxmlformats.org/officeDocument/2006/relationships/hyperlink" Target="https://docs.google.com/spreadsheets/d/19THEBTE9q0fhN2eApZr6BgenIvLGh0AckaYxHQfHk5w/edit?gid=673886496" TargetMode="External"/><Relationship Id="rId47" Type="http://schemas.openxmlformats.org/officeDocument/2006/relationships/hyperlink" Target="https://docs.google.com/spreadsheets/d/1MW8OIVEKRJEaLcG-KS0zwZPEQ0eRUWE2y9Gj77rgoxo/edit?gid=406504917" TargetMode="External"/><Relationship Id="rId49" Type="http://schemas.openxmlformats.org/officeDocument/2006/relationships/hyperlink" Target="https://disk.yandex.ru/client/disk/%D0%9E%D1%81%D0%BC%D0%BE%D1%82%D1%80%D1%8B%20%D0%BE%D0%B1%D1%8A%D0%B5%D0%BA%D1%82%D0%BE%D0%B2%20%D0%90%D0%9D%D0%9E%20%D0%A1%D0%9C%D0%93/202.%20%D0%91.%20%D0%A2%D0%B8%D1%88%D0%B8%D0%BD%D1%81%D0%BA%D0%B8%D0%B9%20%D0%BF%D0%B5%D1%80.%20%D0%B4.39%20" TargetMode="External"/><Relationship Id="rId741" Type="http://schemas.openxmlformats.org/officeDocument/2006/relationships/hyperlink" Target="https://docs.google.com/spreadsheets/d/1lEcUd4exxkr5Za3IYZ0vdFNfMubnuMOOMXfmF3GYC9I/edit?gid=1345934331" TargetMode="External"/><Relationship Id="rId983"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740" Type="http://schemas.openxmlformats.org/officeDocument/2006/relationships/hyperlink" Target="https://disk.yandex.ru/client/disk/%D0%9E%D1%81%D0%BC%D0%BE%D1%82%D1%80%D1%8B%20%D0%BE%D0%B1%D1%8A%D0%B5%D0%BA%D1%82%D0%BE%D0%B2%20%D0%90%D0%9D%D0%9E%20%D0%A1%D0%9C%D0%93/922.%20%D0%9A%D0%B0%D0%B2%D0%BA%D0%B0%D0%B7%D1%81%D0%BA%D0%B8%D0%B9%20%D0%B1%D1%83%D0%BB-%D1%80%2C%20%D0%B7-%D1%83%2018.%20%D0%96%D0%B8%D0%BB%D0%BE%D0%B9%20%D0%B4%D0%BE%D0%BC" TargetMode="External"/><Relationship Id="rId982" Type="http://schemas.openxmlformats.org/officeDocument/2006/relationships/hyperlink" Target="https://docs.google.com/spreadsheets/d/1EI7qusa674eJhuaw-nWWtWMEHVSYMQv7HLsInEZTWpE/edit?gid=322677971" TargetMode="External"/><Relationship Id="rId981"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980" Type="http://schemas.openxmlformats.org/officeDocument/2006/relationships/hyperlink" Target="https://docs.google.com/spreadsheets/d/1EI7qusa674eJhuaw-nWWtWMEHVSYMQv7HLsInEZTWpE/edit?gid=944669618" TargetMode="External"/><Relationship Id="rId31" Type="http://schemas.openxmlformats.org/officeDocument/2006/relationships/hyperlink" Target="https://docs.google.com/spreadsheets/d/19THEBTE9q0fhN2eApZr6BgenIvLGh0AckaYxHQfHk5w/edit?gid=1857713469" TargetMode="External"/><Relationship Id="rId30" Type="http://schemas.openxmlformats.org/officeDocument/2006/relationships/hyperlink" Target="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 TargetMode="External"/><Relationship Id="rId33" Type="http://schemas.openxmlformats.org/officeDocument/2006/relationships/hyperlink" Target="https://docs.google.com/spreadsheets/d/19THEBTE9q0fhN2eApZr6BgenIvLGh0AckaYxHQfHk5w/edit?gid=570396026" TargetMode="External"/><Relationship Id="rId32" Type="http://schemas.openxmlformats.org/officeDocument/2006/relationships/hyperlink" Target="https://docs.google.com/spreadsheets/d/19THEBTE9q0fhN2eApZr6BgenIvLGh0AckaYxHQfHk5w/edit?gid=234638124" TargetMode="External"/><Relationship Id="rId35" Type="http://schemas.openxmlformats.org/officeDocument/2006/relationships/hyperlink" Target="https://docs.google.com/spreadsheets/d/19THEBTE9q0fhN2eApZr6BgenIvLGh0AckaYxHQfHk5w/edit?gid=1447691158" TargetMode="External"/><Relationship Id="rId34" Type="http://schemas.openxmlformats.org/officeDocument/2006/relationships/hyperlink" Target="https://docs.google.com/spreadsheets/d/19THEBTE9q0fhN2eApZr6BgenIvLGh0AckaYxHQfHk5w/edit?gid=418899370" TargetMode="External"/><Relationship Id="rId739" Type="http://schemas.openxmlformats.org/officeDocument/2006/relationships/hyperlink" Target="https://docs.google.com/spreadsheets/d/1lEcUd4exxkr5Za3IYZ0vdFNfMubnuMOOMXfmF3GYC9I/edit?gid=558334865" TargetMode="External"/><Relationship Id="rId734" Type="http://schemas.openxmlformats.org/officeDocument/2006/relationships/hyperlink" Target="https://docs.google.com/spreadsheets/d/1lEcUd4exxkr5Za3IYZ0vdFNfMubnuMOOMXfmF3GYC9I/edit?gid=688262507" TargetMode="External"/><Relationship Id="rId976" Type="http://schemas.openxmlformats.org/officeDocument/2006/relationships/hyperlink" Target="https://docs.google.com/spreadsheets/d/1EI7qusa674eJhuaw-nWWtWMEHVSYMQv7HLsInEZTWpE/edit?gid=1470173465" TargetMode="External"/><Relationship Id="rId733" Type="http://schemas.openxmlformats.org/officeDocument/2006/relationships/hyperlink" Target="https://docs.google.com/spreadsheets/d/1lEcUd4exxkr5Za3IYZ0vdFNfMubnuMOOMXfmF3GYC9I/edit?gid=898826045" TargetMode="External"/><Relationship Id="rId975" Type="http://schemas.openxmlformats.org/officeDocument/2006/relationships/hyperlink" Target="https://disk.yandex.ru/client/disk/%D0%9E%D1%81%D0%BC%D0%BE%D1%82%D1%80%D1%8B%20%D0%BE%D0%B1%D1%8A%D0%B5%D0%BA%D1%82%D0%BE%D0%B2%20%D0%90%D0%9D%D0%9E%20%D0%A1%D0%9C%D0%93/1266.%20%D0%A6%D0%B5%D0%BD%D1%82%D1%80%20%D0%BE%D0%B1%D1%80%D0%B0%D0%B1%D0%BE%D1%82%D0%BA%D0%B8%20%D0%B4%D0%B0%D0%BD%D0%BD%D1%8B%D1%85%20%D0%A1%D0%B1%D0%B5%D1%80%D0%B1%D0%B0%D0%BD%D0%BA%D0%B0%2C%20%D1%84%D0%B0%D0%B7%D0%B0%204" TargetMode="External"/><Relationship Id="rId732" Type="http://schemas.openxmlformats.org/officeDocument/2006/relationships/hyperlink" Target="https://docs.google.com/spreadsheets/d/1lEcUd4exxkr5Za3IYZ0vdFNfMubnuMOOMXfmF3GYC9I/edit?gid=1088429623" TargetMode="External"/><Relationship Id="rId974" Type="http://schemas.openxmlformats.org/officeDocument/2006/relationships/hyperlink" Target="https://docs.google.com/spreadsheets/d/1EI7qusa674eJhuaw-nWWtWMEHVSYMQv7HLsInEZTWpE/edit?gid=51775177" TargetMode="External"/><Relationship Id="rId731" Type="http://schemas.openxmlformats.org/officeDocument/2006/relationships/hyperlink" Target="https://docs.google.com/spreadsheets/d/1lEcUd4exxkr5Za3IYZ0vdFNfMubnuMOOMXfmF3GYC9I/edit?gid=1982116441" TargetMode="External"/><Relationship Id="rId973" Type="http://schemas.openxmlformats.org/officeDocument/2006/relationships/hyperlink" Target="https://disk.yandex.ru/client/disk/%D0%9E%D1%81%D0%BC%D0%BE%D1%82%D1%80%D1%8B%20%D0%BE%D0%B1%D1%8A%D0%B5%D0%BA%D1%82%D0%BE%D0%B2%20%D0%90%D0%9D%D0%9E%20%D0%A1%D0%9C%D0%93/1265%20%D0%97%D0%B0%D1%80%D0%B5%D1%87%D0%BD%D0%B0%D1%8F%20%D1%83%D0%BB.%20%D0%B2%D0%BB.%206%2C%20%D0%B7.%D1%83.%201.%20%D0%9C%D0%BD%D0%BE%D0%B3%D0%BE%D1%84%D1%83%D0%BD%D0%BA%D1%86%D0%B8%D0%BE%D0%BD%D0%B0%D0%BB%D1%8C%D0%BD%D0%BE%D0%B5%20%D0%B7%D0%B4%D0%B0%D0%BD%D0%B8%D0%B5." TargetMode="External"/><Relationship Id="rId738" Type="http://schemas.openxmlformats.org/officeDocument/2006/relationships/hyperlink" Target="https://docs.google.com/spreadsheets/d/1lEcUd4exxkr5Za3IYZ0vdFNfMubnuMOOMXfmF3GYC9I/edit?gid=601138165" TargetMode="External"/><Relationship Id="rId737" Type="http://schemas.openxmlformats.org/officeDocument/2006/relationships/hyperlink" Target="https://docs.google.com/spreadsheets/d/1lEcUd4exxkr5Za3IYZ0vdFNfMubnuMOOMXfmF3GYC9I/edit?gid=1602079335" TargetMode="External"/><Relationship Id="rId979"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736" Type="http://schemas.openxmlformats.org/officeDocument/2006/relationships/hyperlink" Target="https://docs.google.com/spreadsheets/d/1lEcUd4exxkr5Za3IYZ0vdFNfMubnuMOOMXfmF3GYC9I/edit?gid=1382770733" TargetMode="External"/><Relationship Id="rId978" Type="http://schemas.openxmlformats.org/officeDocument/2006/relationships/hyperlink" Target="https://docs.google.com/spreadsheets/d/1EI7qusa674eJhuaw-nWWtWMEHVSYMQv7HLsInEZTWpE/edit?gid=1866713504" TargetMode="External"/><Relationship Id="rId735" Type="http://schemas.openxmlformats.org/officeDocument/2006/relationships/hyperlink" Target="https://docs.google.com/spreadsheets/d/1lEcUd4exxkr5Za3IYZ0vdFNfMubnuMOOMXfmF3GYC9I/edit?gid=366207882" TargetMode="External"/><Relationship Id="rId977" Type="http://schemas.openxmlformats.org/officeDocument/2006/relationships/hyperlink" Target="https://disk.yandex.ru/client/disk/%D0%9E%D1%81%D0%BC%D0%BE%D1%82%D1%80%D1%8B%20%D0%BE%D0%B1%D1%8A%D0%B5%D0%BA%D1%82%D0%BE%D0%B2%20%D0%90%D0%9D%D0%9E%20%D0%A1%D0%9C%D0%93/1271-1274%20%D0%96%D0%9A%20%D0%9B%D0%B5%D0%B3%D0%B5%D0%BD%D0%B4%D0%B0%20%D0%BA%D0%BE%D1%80%D0%BF%D1%83%D1%81%D0%B0%201%2C2%2C3%2C4%2C7" TargetMode="External"/><Relationship Id="rId37" Type="http://schemas.openxmlformats.org/officeDocument/2006/relationships/hyperlink" Target="https://docs.google.com/spreadsheets/d/19THEBTE9q0fhN2eApZr6BgenIvLGh0AckaYxHQfHk5w/edit?gid=465129833" TargetMode="External"/><Relationship Id="rId36" Type="http://schemas.openxmlformats.org/officeDocument/2006/relationships/hyperlink" Target="https://docs.google.com/spreadsheets/d/19THEBTE9q0fhN2eApZr6BgenIvLGh0AckaYxHQfHk5w/edit?gid=1447691158" TargetMode="External"/><Relationship Id="rId39" Type="http://schemas.openxmlformats.org/officeDocument/2006/relationships/hyperlink" Target="https://docs.google.com/spreadsheets/d/19THEBTE9q0fhN2eApZr6BgenIvLGh0AckaYxHQfHk5w/edit?gid=1190089568" TargetMode="External"/><Relationship Id="rId38" Type="http://schemas.openxmlformats.org/officeDocument/2006/relationships/hyperlink" Target="https://docs.google.com/spreadsheets/d/1MW8OIVEKRJEaLcG-KS0zwZPEQ0eRUWE2y9Gj77rgoxo/edit?gid=1454312032" TargetMode="External"/><Relationship Id="rId730" Type="http://schemas.openxmlformats.org/officeDocument/2006/relationships/hyperlink" Target="https://docs.google.com/spreadsheets/d/1lEcUd4exxkr5Za3IYZ0vdFNfMubnuMOOMXfmF3GYC9I/edit?gid=955853431" TargetMode="External"/><Relationship Id="rId972" Type="http://schemas.openxmlformats.org/officeDocument/2006/relationships/hyperlink" Target="https://docs.google.com/spreadsheets/d/1EI7qusa674eJhuaw-nWWtWMEHVSYMQv7HLsInEZTWpE/edit?gid=969432712" TargetMode="External"/><Relationship Id="rId971" Type="http://schemas.openxmlformats.org/officeDocument/2006/relationships/hyperlink" Target="https://disk.yandex.ru/client/disk/%D0%9E%D1%81%D0%BC%D0%BE%D1%82%D1%80%D1%8B%20%D0%BE%D0%B1%D1%8A%D0%B5%D0%BA%D1%82%D0%BE%D0%B2%20%D0%90%D0%9D%D0%9E%20%D0%A1%D0%9C%D0%93/1264.%20%D0%90%D0%B4%D0%BC%D0%B8%D0%BD%D0%B8%D1%81%D1%82%D1%80%D0%B0%D1%82%D0%B8%D0%B2%D0%BD%D0%BE-%D0%B4%D0%B5%D0%BB%D0%BE%D0%B2%D0%BE%D0%B9%20%D0%BA%D0%BE%D0%BC%D0%BF%D0%BB%D0%B5%D0%BA%D1%81%2C%20%D0%BC%D0%BD%D0%BE%D0%B3%D0%BE%D1%83%D1%80%D0%BE%D0%B2%D0%BD%D0%B5%D0%B2%D0%B0%D1%8F%20%D1%81%D1%82%D0%BE%D1%8F%D0%BD%D0%BA%D0%B0%20%D0%B0%D0%B2%D1%82%D0%BE%D0%BC%D0%BE%D0%B1%D0%B8%D0%BB%D0%B5%D0%B9.%20%D0%90%D0%B4%D0%BC%D0%B8%D0%BD%D0%B8%D1%81%D1%82%D1%80%D0%B0%D1%82%D0%B8%D0%B2%D0%BD%D0%BE-%D0%B4%D0%B5%D0%BB%D0%BE%D0%B2%D0%BE%D0%B9%20%D1%86%D0%B5%D0%BD%D1%82%D1%80.%20%D0%9C%D0%BE%D1%81%D0%BA%D0%B2%D0%B0%2C%20%D1%83%D0%BB%D0%B8%D1%86%D0%B0%20%D0%94%D0%B2%D0%B8%D0%BD%D1%86%D0%B5%D0%B2%2C%20%D0%B2%D0%BB.%203" TargetMode="External"/><Relationship Id="rId970" Type="http://schemas.openxmlformats.org/officeDocument/2006/relationships/hyperlink" Target="https://docs.google.com/spreadsheets/d/1EI7qusa674eJhuaw-nWWtWMEHVSYMQv7HLsInEZTWpE/edit?gid=493919396" TargetMode="External"/><Relationship Id="rId20" Type="http://schemas.openxmlformats.org/officeDocument/2006/relationships/hyperlink" Target="https://docs.google.com/spreadsheets/d/1jonEGMB3UFHiUZpltF1zURon8gYN7jGSHu-k9t5TXnA/edit?gid=1039816960" TargetMode="External"/><Relationship Id="rId22" Type="http://schemas.openxmlformats.org/officeDocument/2006/relationships/hyperlink" Target="https://docs.google.com/spreadsheets/d/1jonEGMB3UFHiUZpltF1zURon8gYN7jGSHu-k9t5TXnA/edit?gid=77612996" TargetMode="External"/><Relationship Id="rId21" Type="http://schemas.openxmlformats.org/officeDocument/2006/relationships/hyperlink" Target="https://docs.google.com/spreadsheets/d/1jonEGMB3UFHiUZpltF1zURon8gYN7jGSHu-k9t5TXnA/edit?gid=1117601488" TargetMode="External"/><Relationship Id="rId24" Type="http://schemas.openxmlformats.org/officeDocument/2006/relationships/hyperlink" Target="https://docs.google.com/spreadsheets/d/1jonEGMB3UFHiUZpltF1zURon8gYN7jGSHu-k9t5TXnA/edit?gid=1143459343" TargetMode="External"/><Relationship Id="rId23" Type="http://schemas.openxmlformats.org/officeDocument/2006/relationships/hyperlink" Target="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 TargetMode="External"/><Relationship Id="rId525" Type="http://schemas.openxmlformats.org/officeDocument/2006/relationships/hyperlink" Target="https://docs.google.com/spreadsheets/d/1rbCD10ySi4YZEkJW2_Slmn9z7AI1WEsGsZaIJmnnT18/edit?gid=1127937852" TargetMode="External"/><Relationship Id="rId767" Type="http://schemas.openxmlformats.org/officeDocument/2006/relationships/hyperlink" Target="https://docs.google.com/spreadsheets/d/1lEcUd4exxkr5Za3IYZ0vdFNfMubnuMOOMXfmF3GYC9I/edit?gid=2115153164" TargetMode="External"/><Relationship Id="rId524" Type="http://schemas.openxmlformats.org/officeDocument/2006/relationships/hyperlink" Target="https://docs.google.com/spreadsheets/d/1rbCD10ySi4YZEkJW2_Slmn9z7AI1WEsGsZaIJmnnT18/edit?gid=226411409" TargetMode="External"/><Relationship Id="rId766" Type="http://schemas.openxmlformats.org/officeDocument/2006/relationships/hyperlink" Target="https://docs.google.com/spreadsheets/d/1lEcUd4exxkr5Za3IYZ0vdFNfMubnuMOOMXfmF3GYC9I/edit?gid=1589597012" TargetMode="External"/><Relationship Id="rId523" Type="http://schemas.openxmlformats.org/officeDocument/2006/relationships/hyperlink" Target="https://docs.google.com/spreadsheets/d/1rbCD10ySi4YZEkJW2_Slmn9z7AI1WEsGsZaIJmnnT18/edit?gid=3373357" TargetMode="External"/><Relationship Id="rId765" Type="http://schemas.openxmlformats.org/officeDocument/2006/relationships/hyperlink" Target="https://docs.google.com/spreadsheets/d/1lEcUd4exxkr5Za3IYZ0vdFNfMubnuMOOMXfmF3GYC9I/edit?gid=163574073" TargetMode="External"/><Relationship Id="rId522" Type="http://schemas.openxmlformats.org/officeDocument/2006/relationships/hyperlink" Target="https://docs.google.com/spreadsheets/d/1rbCD10ySi4YZEkJW2_Slmn9z7AI1WEsGsZaIJmnnT18/edit?gid=1726616701" TargetMode="External"/><Relationship Id="rId764" Type="http://schemas.openxmlformats.org/officeDocument/2006/relationships/hyperlink" Target="https://docs.google.com/spreadsheets/d/1lEcUd4exxkr5Za3IYZ0vdFNfMubnuMOOMXfmF3GYC9I/edit?gid=541136391" TargetMode="External"/><Relationship Id="rId529" Type="http://schemas.openxmlformats.org/officeDocument/2006/relationships/hyperlink" Target="https://disk.yandex.ru/client/disk/%D0%9E%D1%81%D0%BC%D0%BE%D1%82%D1%80%D1%8B%20%D0%BE%D0%B1%D1%8A%D0%B5%D0%BA%D1%82%D0%BE%D0%B2%20%D0%90%D0%9D%D0%9E%20%D0%A1%D0%9C%D0%93/789.%20%D1%83%D0%BB%20%D0%9D%D0%B8%D0%BA%D0%B8%D1%82%D0%B8%D0%BD%D1%81%D0%BA%D0%B0%D1%8F%20%D0%B2%D0%BB%2015%20" TargetMode="External"/><Relationship Id="rId528" Type="http://schemas.openxmlformats.org/officeDocument/2006/relationships/hyperlink" Target="https://docs.google.com/spreadsheets/d/1rbCD10ySi4YZEkJW2_Slmn9z7AI1WEsGsZaIJmnnT18/edit?gid=1734112233" TargetMode="External"/><Relationship Id="rId527" Type="http://schemas.openxmlformats.org/officeDocument/2006/relationships/hyperlink" Target="https://disk.yandex.ru/client/disk/%D0%9E%D1%81%D0%BC%D0%BE%D1%82%D1%80%D1%8B%20%D0%BE%D0%B1%D1%8A%D0%B5%D0%BA%D1%82%D0%BE%D0%B2%20%D0%90%D0%9D%D0%9E%20%D0%A1%D0%9C%D0%93/788.%20%D1%83%D0%BB%20%D0%90%D0%B2%D0%B8%D0%B0%D0%BC%D0%BE%D1%82%D0%BE%D1%80%D0%BD%D0%B0%D1%8F%20%D0%B2%D0%BB%205%20" TargetMode="External"/><Relationship Id="rId769" Type="http://schemas.openxmlformats.org/officeDocument/2006/relationships/hyperlink" Target="https://docs.google.com/spreadsheets/d/1lEcUd4exxkr5Za3IYZ0vdFNfMubnuMOOMXfmF3GYC9I/edit?gid=424075145" TargetMode="External"/><Relationship Id="rId526" Type="http://schemas.openxmlformats.org/officeDocument/2006/relationships/hyperlink" Target="https://docs.google.com/spreadsheets/d/1rbCD10ySi4YZEkJW2_Slmn9z7AI1WEsGsZaIJmnnT18/edit?gid=602775546" TargetMode="External"/><Relationship Id="rId768" Type="http://schemas.openxmlformats.org/officeDocument/2006/relationships/hyperlink" Target="https://docs.google.com/spreadsheets/d/1lEcUd4exxkr5Za3IYZ0vdFNfMubnuMOOMXfmF3GYC9I/edit?gid=496407740" TargetMode="External"/><Relationship Id="rId26" Type="http://schemas.openxmlformats.org/officeDocument/2006/relationships/hyperlink" Target="https://docs.google.com/spreadsheets/d/19THEBTE9q0fhN2eApZr6BgenIvLGh0AckaYxHQfHk5w/edit?gid=1098291501" TargetMode="External"/><Relationship Id="rId25" Type="http://schemas.openxmlformats.org/officeDocument/2006/relationships/hyperlink" Target="https://docs.google.com/spreadsheets/d/19THEBTE9q0fhN2eApZr6BgenIvLGh0AckaYxHQfHk5w/edit?gid=1112644991" TargetMode="External"/><Relationship Id="rId28" Type="http://schemas.openxmlformats.org/officeDocument/2006/relationships/hyperlink" Target="https://docs.google.com/spreadsheets/d/19THEBTE9q0fhN2eApZr6BgenIvLGh0AckaYxHQfHk5w/edit?gid=1094262803" TargetMode="External"/><Relationship Id="rId27" Type="http://schemas.openxmlformats.org/officeDocument/2006/relationships/hyperlink" Target="https://docs.google.com/spreadsheets/d/19THEBTE9q0fhN2eApZr6BgenIvLGh0AckaYxHQfHk5w/edit?gid=2086114011" TargetMode="External"/><Relationship Id="rId521" Type="http://schemas.openxmlformats.org/officeDocument/2006/relationships/hyperlink" Target="https://docs.google.com/spreadsheets/d/1rbCD10ySi4YZEkJW2_Slmn9z7AI1WEsGsZaIJmnnT18/edit?gid=326389439" TargetMode="External"/><Relationship Id="rId763" Type="http://schemas.openxmlformats.org/officeDocument/2006/relationships/hyperlink" Target="https://docs.google.com/spreadsheets/d/1lEcUd4exxkr5Za3IYZ0vdFNfMubnuMOOMXfmF3GYC9I/edit?gid=784814979" TargetMode="External"/><Relationship Id="rId29" Type="http://schemas.openxmlformats.org/officeDocument/2006/relationships/hyperlink" Target="https://docs.google.com/spreadsheets/d/19THEBTE9q0fhN2eApZr6BgenIvLGh0AckaYxHQfHk5w/edit?gid=2132720371" TargetMode="External"/><Relationship Id="rId520" Type="http://schemas.openxmlformats.org/officeDocument/2006/relationships/hyperlink" Target="https://docs.google.com/spreadsheets/d/1rbCD10ySi4YZEkJW2_Slmn9z7AI1WEsGsZaIJmnnT18/edit?gid=808253211" TargetMode="External"/><Relationship Id="rId762" Type="http://schemas.openxmlformats.org/officeDocument/2006/relationships/hyperlink" Target="https://docs.google.com/spreadsheets/d/1lEcUd4exxkr5Za3IYZ0vdFNfMubnuMOOMXfmF3GYC9I/edit?gid=36677912" TargetMode="External"/><Relationship Id="rId761" Type="http://schemas.openxmlformats.org/officeDocument/2006/relationships/hyperlink" Target="https://docs.google.com/spreadsheets/d/1lEcUd4exxkr5Za3IYZ0vdFNfMubnuMOOMXfmF3GYC9I/edit?gid=640034925" TargetMode="External"/><Relationship Id="rId760" Type="http://schemas.openxmlformats.org/officeDocument/2006/relationships/hyperlink" Target="https://docs.google.com/spreadsheets/d/1lEcUd4exxkr5Za3IYZ0vdFNfMubnuMOOMXfmF3GYC9I/edit?gid=103624122" TargetMode="External"/><Relationship Id="rId11" Type="http://schemas.openxmlformats.org/officeDocument/2006/relationships/hyperlink" Target="https://docs.google.com/spreadsheets/d/19THEBTE9q0fhN2eApZr6BgenIvLGh0AckaYxHQfHk5w/edit?gid=717172873" TargetMode="External"/><Relationship Id="rId10" Type="http://schemas.openxmlformats.org/officeDocument/2006/relationships/hyperlink" Target="https://docs.google.com/spreadsheets/d/19THEBTE9q0fhN2eApZr6BgenIvLGh0AckaYxHQfHk5w/edit?gid=1038633275" TargetMode="External"/><Relationship Id="rId13" Type="http://schemas.openxmlformats.org/officeDocument/2006/relationships/hyperlink" Target="https://docs.google.com/spreadsheets/d/19THEBTE9q0fhN2eApZr6BgenIvLGh0AckaYxHQfHk5w/edit?gid=600337697" TargetMode="External"/><Relationship Id="rId12" Type="http://schemas.openxmlformats.org/officeDocument/2006/relationships/hyperlink" Target="https://docs.google.com/spreadsheets/d/19THEBTE9q0fhN2eApZr6BgenIvLGh0AckaYxHQfHk5w/edit?gid=2058696561" TargetMode="External"/><Relationship Id="rId519" Type="http://schemas.openxmlformats.org/officeDocument/2006/relationships/hyperlink" Target="https://docs.google.com/spreadsheets/d/1rbCD10ySi4YZEkJW2_Slmn9z7AI1WEsGsZaIJmnnT18/edit?gid=39049871" TargetMode="External"/><Relationship Id="rId514" Type="http://schemas.openxmlformats.org/officeDocument/2006/relationships/hyperlink" Target="https://docs.google.com/spreadsheets/d/1rbCD10ySi4YZEkJW2_Slmn9z7AI1WEsGsZaIJmnnT18/edit?gid=2030780082" TargetMode="External"/><Relationship Id="rId756" Type="http://schemas.openxmlformats.org/officeDocument/2006/relationships/hyperlink" Target="https://docs.google.com/spreadsheets/d/1lEcUd4exxkr5Za3IYZ0vdFNfMubnuMOOMXfmF3GYC9I/edit?gid=1276650860" TargetMode="External"/><Relationship Id="rId998" Type="http://schemas.openxmlformats.org/officeDocument/2006/relationships/hyperlink" Target="https://docs.google.com/spreadsheets/d/1EI7qusa674eJhuaw-nWWtWMEHVSYMQv7HLsInEZTWpE/edit?gid=481612285" TargetMode="External"/><Relationship Id="rId513" Type="http://schemas.openxmlformats.org/officeDocument/2006/relationships/hyperlink" Target="https://docs.google.com/spreadsheets/d/1rbCD10ySi4YZEkJW2_Slmn9z7AI1WEsGsZaIJmnnT18/edit?gid=756416994" TargetMode="External"/><Relationship Id="rId755" Type="http://schemas.openxmlformats.org/officeDocument/2006/relationships/hyperlink" Target="https://docs.google.com/spreadsheets/d/1lEcUd4exxkr5Za3IYZ0vdFNfMubnuMOOMXfmF3GYC9I/edit?gid=179520414" TargetMode="External"/><Relationship Id="rId997" Type="http://schemas.openxmlformats.org/officeDocument/2006/relationships/hyperlink" Target="https://disk.yandex.ru/client/disk/%D0%9E%D1%81%D0%BC%D0%BE%D1%82%D1%80%D1%8B%20%D0%BE%D0%B1%D1%8A%D0%B5%D0%BA%D1%82%D0%BE%D0%B2%20%D0%90%D0%9D%D0%9E%20%D0%A1%D0%9C%D0%93/1281.%20%D0%98%D0%9D%D0%A2%D0%A6%20%D0%9C%D0%93%D0%A3%20%D0%92%D0%BE%D1%80%D0%BE%D0%B1%D1%8C%D0%B5%D0%B2%D1%8B%20%D0%B3%D0%BE%D1%80%D1%8B%20(%D0%BA%D0%BE%D1%81%D0%BC%D0%BE%D1%81%2C%20%D0%B8%D0%BD%D1%84%D0%BE%D1%82%D0%B5%D1%85%2C%20%D0%B8%D0%BD%D0%B6%D0%B8%D0%BD%D0%B8%D1%80%D0%B8%D0%BD%D0%B3%2C%20%D0%B3%D0%B5%D0%BE%D1%82%D0%B5%D1%85%2C%20%D0%BD%D0%B0%D0%BD%D0%BE%D1%82%D0%B5%D1%85%2C%20%D0%B1%D0%B8%D0%BE%D0%BC%D0%B5%D0%B4)" TargetMode="External"/><Relationship Id="rId512" Type="http://schemas.openxmlformats.org/officeDocument/2006/relationships/hyperlink" Target="https://docs.google.com/spreadsheets/d/1rbCD10ySi4YZEkJW2_Slmn9z7AI1WEsGsZaIJmnnT18/edit?gid=672785947" TargetMode="External"/><Relationship Id="rId754" Type="http://schemas.openxmlformats.org/officeDocument/2006/relationships/hyperlink" Target="https://docs.google.com/spreadsheets/d/1lEcUd4exxkr5Za3IYZ0vdFNfMubnuMOOMXfmF3GYC9I/edit?gid=415599181" TargetMode="External"/><Relationship Id="rId996" Type="http://schemas.openxmlformats.org/officeDocument/2006/relationships/hyperlink" Target="https://docs.google.com/spreadsheets/d/1EI7qusa674eJhuaw-nWWtWMEHVSYMQv7HLsInEZTWpE/edit?gid=1740138408" TargetMode="External"/><Relationship Id="rId511" Type="http://schemas.openxmlformats.org/officeDocument/2006/relationships/hyperlink" Target="https://docs.google.com/spreadsheets/d/1rbCD10ySi4YZEkJW2_Slmn9z7AI1WEsGsZaIJmnnT18/edit?gid=1451563730" TargetMode="External"/><Relationship Id="rId753" Type="http://schemas.openxmlformats.org/officeDocument/2006/relationships/hyperlink" Target="https://docs.google.com/spreadsheets/d/1lEcUd4exxkr5Za3IYZ0vdFNfMubnuMOOMXfmF3GYC9I/edit?gid=1299542947" TargetMode="External"/><Relationship Id="rId995" Type="http://schemas.openxmlformats.org/officeDocument/2006/relationships/hyperlink" Target="https://docs.google.com/spreadsheets/d/1EI7qusa674eJhuaw-nWWtWMEHVSYMQv7HLsInEZTWpE/edit?gid=741067591" TargetMode="External"/><Relationship Id="rId518" Type="http://schemas.openxmlformats.org/officeDocument/2006/relationships/hyperlink" Target="https://docs.google.com/spreadsheets/d/1rbCD10ySi4YZEkJW2_Slmn9z7AI1WEsGsZaIJmnnT18/edit?gid=829836669" TargetMode="External"/><Relationship Id="rId517" Type="http://schemas.openxmlformats.org/officeDocument/2006/relationships/hyperlink" Target="https://docs.google.com/spreadsheets/d/1rbCD10ySi4YZEkJW2_Slmn9z7AI1WEsGsZaIJmnnT18/edit?gid=1949661648" TargetMode="External"/><Relationship Id="rId759" Type="http://schemas.openxmlformats.org/officeDocument/2006/relationships/hyperlink" Target="https://docs.google.com/spreadsheets/d/1lEcUd4exxkr5Za3IYZ0vdFNfMubnuMOOMXfmF3GYC9I/edit?gid=1026140704" TargetMode="External"/><Relationship Id="rId516" Type="http://schemas.openxmlformats.org/officeDocument/2006/relationships/hyperlink" Target="https://docs.google.com/spreadsheets/d/1rbCD10ySi4YZEkJW2_Slmn9z7AI1WEsGsZaIJmnnT18/edit?gid=383847574" TargetMode="External"/><Relationship Id="rId758" Type="http://schemas.openxmlformats.org/officeDocument/2006/relationships/hyperlink" Target="https://docs.google.com/spreadsheets/d/1lEcUd4exxkr5Za3IYZ0vdFNfMubnuMOOMXfmF3GYC9I/edit?gid=1237255389" TargetMode="External"/><Relationship Id="rId515" Type="http://schemas.openxmlformats.org/officeDocument/2006/relationships/hyperlink" Target="https://docs.google.com/spreadsheets/d/1rbCD10ySi4YZEkJW2_Slmn9z7AI1WEsGsZaIJmnnT18/edit?gid=1207675584" TargetMode="External"/><Relationship Id="rId757" Type="http://schemas.openxmlformats.org/officeDocument/2006/relationships/hyperlink" Target="https://docs.google.com/spreadsheets/d/1lEcUd4exxkr5Za3IYZ0vdFNfMubnuMOOMXfmF3GYC9I/edit?gid=466314675" TargetMode="External"/><Relationship Id="rId999" Type="http://schemas.openxmlformats.org/officeDocument/2006/relationships/hyperlink" Target="https://docs.google.com/spreadsheets/d/1EI7qusa674eJhuaw-nWWtWMEHVSYMQv7HLsInEZTWpE/edit?gid=1944955293" TargetMode="External"/><Relationship Id="rId15" Type="http://schemas.openxmlformats.org/officeDocument/2006/relationships/hyperlink" Target="https://docs.google.com/spreadsheets/d/19THEBTE9q0fhN2eApZr6BgenIvLGh0AckaYxHQfHk5w/edit?gid=1122822598" TargetMode="External"/><Relationship Id="rId990" Type="http://schemas.openxmlformats.org/officeDocument/2006/relationships/hyperlink" Target="https://docs.google.com/spreadsheets/d/1EI7qusa674eJhuaw-nWWtWMEHVSYMQv7HLsInEZTWpE/edit?gid=594480118" TargetMode="External"/><Relationship Id="rId14" Type="http://schemas.openxmlformats.org/officeDocument/2006/relationships/hyperlink" Target="https://docs.google.com/spreadsheets/d/19THEBTE9q0fhN2eApZr6BgenIvLGh0AckaYxHQfHk5w/edit?gid=23825357" TargetMode="External"/><Relationship Id="rId17" Type="http://schemas.openxmlformats.org/officeDocument/2006/relationships/hyperlink" Target="https://docs.google.com/spreadsheets/d/19THEBTE9q0fhN2eApZr6BgenIvLGh0AckaYxHQfHk5w/edit?gid=739392640" TargetMode="External"/><Relationship Id="rId16" Type="http://schemas.openxmlformats.org/officeDocument/2006/relationships/hyperlink" Target="https://docs.google.com/spreadsheets/d/19THEBTE9q0fhN2eApZr6BgenIvLGh0AckaYxHQfHk5w/edit?gid=326698304" TargetMode="External"/><Relationship Id="rId19" Type="http://schemas.openxmlformats.org/officeDocument/2006/relationships/hyperlink" Target="https://docs.google.com/spreadsheets/d/1jonEGMB3UFHiUZpltF1zURon8gYN7jGSHu-k9t5TXnA/edit?gid=808640473" TargetMode="External"/><Relationship Id="rId510" Type="http://schemas.openxmlformats.org/officeDocument/2006/relationships/hyperlink" Target="https://docs.google.com/spreadsheets/d/1rbCD10ySi4YZEkJW2_Slmn9z7AI1WEsGsZaIJmnnT18/edit?gid=1846163124" TargetMode="External"/><Relationship Id="rId752" Type="http://schemas.openxmlformats.org/officeDocument/2006/relationships/hyperlink" Target="https://docs.google.com/spreadsheets/d/1lEcUd4exxkr5Za3IYZ0vdFNfMubnuMOOMXfmF3GYC9I/edit?gid=1356730824" TargetMode="External"/><Relationship Id="rId994" Type="http://schemas.openxmlformats.org/officeDocument/2006/relationships/hyperlink" Target="https://disk.yandex.ru/client/disk/%D0%9E%D1%81%D0%BC%D0%BE%D1%82%D1%80%D1%8B%20%D0%BE%D0%B1%D1%8A%D0%B5%D0%BA%D1%82%D0%BE%D0%B2%20%D0%90%D0%9D%D0%9E%20%D0%A1%D0%9C%D0%93/315.%20%D0%9E%D0%BD%D0%B5%D0%B6%D1%81%D0%BA%D0%B0%D1%8F%2C%20%D0%B2%D0%BB%D0%B4.%2014%D0%91" TargetMode="External"/><Relationship Id="rId18" Type="http://schemas.openxmlformats.org/officeDocument/2006/relationships/hyperlink" Target="https://docs.google.com/spreadsheets/d/19THEBTE9q0fhN2eApZr6BgenIvLGh0AckaYxHQfHk5w/edit?gid=891835937" TargetMode="External"/><Relationship Id="rId751" Type="http://schemas.openxmlformats.org/officeDocument/2006/relationships/hyperlink" Target="https://docs.google.com/spreadsheets/d/1lEcUd4exxkr5Za3IYZ0vdFNfMubnuMOOMXfmF3GYC9I/edit?gid=1139784984" TargetMode="External"/><Relationship Id="rId993" Type="http://schemas.openxmlformats.org/officeDocument/2006/relationships/hyperlink" Target="https://docs.google.com/spreadsheets/d/1EI7qusa674eJhuaw-nWWtWMEHVSYMQv7HLsInEZTWpE/edit?gid=849348771" TargetMode="External"/><Relationship Id="rId750" Type="http://schemas.openxmlformats.org/officeDocument/2006/relationships/hyperlink" Target="https://docs.google.com/spreadsheets/d/1lEcUd4exxkr5Za3IYZ0vdFNfMubnuMOOMXfmF3GYC9I/edit?gid=1395855804" TargetMode="External"/><Relationship Id="rId992" Type="http://schemas.openxmlformats.org/officeDocument/2006/relationships/hyperlink" Target="https://docs.google.com/spreadsheets/d/1EI7qusa674eJhuaw-nWWtWMEHVSYMQv7HLsInEZTWpE/edit?gid=1880951633" TargetMode="External"/><Relationship Id="rId991" Type="http://schemas.openxmlformats.org/officeDocument/2006/relationships/hyperlink" Target="https://disk.yandex.ru/client/disk/%D0%9E%D1%81%D0%BC%D0%BE%D1%82%D1%80%D1%8B%20%D0%BE%D0%B1%D1%8A%D0%B5%D0%BA%D1%82%D0%BE%D0%B2%20%D0%90%D0%9D%D0%9E%20%D0%A1%D0%9C%D0%93/1278.%20%D0%A4%D1%83%D1%82%D0%B1%D0%BE%D0%BB%D1%8C%D0%BD%D1%8B%D0%B9%20%D0%BC%D0%B0%D0%BD%D0%B5%D0%B6.%20%D1%83%D0%BB.%20%D0%9C%D0%B0%D1%80%D1%88%D0%B0%D0%BB%D0%B0%20%D0%9A%D0%B0%D1%82%D1%83%D0%BA%D0%BE%D0%B2%D0%B0%2C%20%D0%B4.%2026" TargetMode="External"/><Relationship Id="rId84" Type="http://schemas.openxmlformats.org/officeDocument/2006/relationships/hyperlink" Target="https://docs.google.com/spreadsheets/d/19THEBTE9q0fhN2eApZr6BgenIvLGh0AckaYxHQfHk5w/edit?gid=1264375992" TargetMode="External"/><Relationship Id="rId83" Type="http://schemas.openxmlformats.org/officeDocument/2006/relationships/hyperlink" Target="https://docs.google.com/spreadsheets/d/19THEBTE9q0fhN2eApZr6BgenIvLGh0AckaYxHQfHk5w/edit?gid=1728236412" TargetMode="External"/><Relationship Id="rId86" Type="http://schemas.openxmlformats.org/officeDocument/2006/relationships/hyperlink" Target="https://docs.google.com/spreadsheets/d/1EI7qusa674eJhuaw-nWWtWMEHVSYMQv7HLsInEZTWpE/edit?gid=994703710" TargetMode="External"/><Relationship Id="rId85" Type="http://schemas.openxmlformats.org/officeDocument/2006/relationships/hyperlink" Target="https://docs.google.com/spreadsheets/d/19THEBTE9q0fhN2eApZr6BgenIvLGh0AckaYxHQfHk5w/edit?gid=1223406646" TargetMode="External"/><Relationship Id="rId88" Type="http://schemas.openxmlformats.org/officeDocument/2006/relationships/hyperlink" Target="https://docs.google.com/spreadsheets/d/19THEBTE9q0fhN2eApZr6BgenIvLGh0AckaYxHQfHk5w/edit?gid=1230967250" TargetMode="External"/><Relationship Id="rId87" Type="http://schemas.openxmlformats.org/officeDocument/2006/relationships/hyperlink" Target="https://docs.google.com/spreadsheets/d/19THEBTE9q0fhN2eApZr6BgenIvLGh0AckaYxHQfHk5w/edit?gid=178055917" TargetMode="External"/><Relationship Id="rId89" Type="http://schemas.openxmlformats.org/officeDocument/2006/relationships/hyperlink" Target="https://docs.google.com/spreadsheets/d/1jonEGMB3UFHiUZpltF1zURon8gYN7jGSHu-k9t5TXnA/edit?gid=1070135596" TargetMode="External"/><Relationship Id="rId709" Type="http://schemas.openxmlformats.org/officeDocument/2006/relationships/hyperlink" Target="https://docs.google.com/spreadsheets/d/1lEcUd4exxkr5Za3IYZ0vdFNfMubnuMOOMXfmF3GYC9I/edit?gid=1759169591" TargetMode="External"/><Relationship Id="rId708" Type="http://schemas.openxmlformats.org/officeDocument/2006/relationships/hyperlink" Target="https://docs.google.com/spreadsheets/d/1lEcUd4exxkr5Za3IYZ0vdFNfMubnuMOOMXfmF3GYC9I/edit?gid=1079458308" TargetMode="External"/><Relationship Id="rId707" Type="http://schemas.openxmlformats.org/officeDocument/2006/relationships/hyperlink" Target="https://docs.google.com/spreadsheets/d/1lEcUd4exxkr5Za3IYZ0vdFNfMubnuMOOMXfmF3GYC9I/edit?gid=1609158785" TargetMode="External"/><Relationship Id="rId949" Type="http://schemas.openxmlformats.org/officeDocument/2006/relationships/hyperlink" Target="https://docs.google.com/spreadsheets/d/1EI7qusa674eJhuaw-nWWtWMEHVSYMQv7HLsInEZTWpE/edit?gid=1488450314" TargetMode="External"/><Relationship Id="rId706" Type="http://schemas.openxmlformats.org/officeDocument/2006/relationships/hyperlink" Target="https://docs.google.com/spreadsheets/d/1lEcUd4exxkr5Za3IYZ0vdFNfMubnuMOOMXfmF3GYC9I/edit?gid=729528967" TargetMode="External"/><Relationship Id="rId948" Type="http://schemas.openxmlformats.org/officeDocument/2006/relationships/hyperlink" Target="https://docs.google.com/spreadsheets/d/1EI7qusa674eJhuaw-nWWtWMEHVSYMQv7HLsInEZTWpE/edit?gid=1963162360" TargetMode="External"/><Relationship Id="rId80" Type="http://schemas.openxmlformats.org/officeDocument/2006/relationships/hyperlink" Target="https://docs.google.com/spreadsheets/d/19THEBTE9q0fhN2eApZr6BgenIvLGh0AckaYxHQfHk5w/edit?gid=1094262803" TargetMode="External"/><Relationship Id="rId82" Type="http://schemas.openxmlformats.org/officeDocument/2006/relationships/hyperlink" Target="https://docs.google.com/spreadsheets/d/19THEBTE9q0fhN2eApZr6BgenIvLGh0AckaYxHQfHk5w/edit?gid=1404088730" TargetMode="External"/><Relationship Id="rId81" Type="http://schemas.openxmlformats.org/officeDocument/2006/relationships/hyperlink" Target="https://docs.google.com/spreadsheets/d/1H1MjbG2y0oC0hhID4do1G0_gfyI1jag72lQd7nL3WDQ/edit?gid=1295057076" TargetMode="External"/><Relationship Id="rId701" Type="http://schemas.openxmlformats.org/officeDocument/2006/relationships/hyperlink" Target="https://docs.google.com/spreadsheets/d/1lEcUd4exxkr5Za3IYZ0vdFNfMubnuMOOMXfmF3GYC9I/edit?gid=1435485307" TargetMode="External"/><Relationship Id="rId943" Type="http://schemas.openxmlformats.org/officeDocument/2006/relationships/hyperlink" Target="https://docs.google.com/spreadsheets/d/1EI7qusa674eJhuaw-nWWtWMEHVSYMQv7HLsInEZTWpE/edit?gid=1823447590" TargetMode="External"/><Relationship Id="rId700" Type="http://schemas.openxmlformats.org/officeDocument/2006/relationships/hyperlink" Target="https://docs.google.com/spreadsheets/d/1lEcUd4exxkr5Za3IYZ0vdFNfMubnuMOOMXfmF3GYC9I/edit?gid=1117044536" TargetMode="External"/><Relationship Id="rId942" Type="http://schemas.openxmlformats.org/officeDocument/2006/relationships/hyperlink" Target="https://docs.google.com/spreadsheets/d/1EI7qusa674eJhuaw-nWWtWMEHVSYMQv7HLsInEZTWpE/edit?gid=316384092" TargetMode="External"/><Relationship Id="rId941" Type="http://schemas.openxmlformats.org/officeDocument/2006/relationships/hyperlink" Target="https://docs.google.com/spreadsheets/d/1EI7qusa674eJhuaw-nWWtWMEHVSYMQv7HLsInEZTWpE/edit?gid=166966295" TargetMode="External"/><Relationship Id="rId940" Type="http://schemas.openxmlformats.org/officeDocument/2006/relationships/hyperlink" Target="https://docs.google.com/spreadsheets/d/1EI7qusa674eJhuaw-nWWtWMEHVSYMQv7HLsInEZTWpE/edit?gid=789970235" TargetMode="External"/><Relationship Id="rId705" Type="http://schemas.openxmlformats.org/officeDocument/2006/relationships/hyperlink" Target="https://docs.google.com/spreadsheets/d/1lEcUd4exxkr5Za3IYZ0vdFNfMubnuMOOMXfmF3GYC9I/edit?gid=88187945" TargetMode="External"/><Relationship Id="rId947" Type="http://schemas.openxmlformats.org/officeDocument/2006/relationships/hyperlink" Target="https://docs.google.com/spreadsheets/d/1EI7qusa674eJhuaw-nWWtWMEHVSYMQv7HLsInEZTWpE/edit?gid=1431037231" TargetMode="External"/><Relationship Id="rId704" Type="http://schemas.openxmlformats.org/officeDocument/2006/relationships/hyperlink" Target="https://docs.google.com/spreadsheets/d/1lEcUd4exxkr5Za3IYZ0vdFNfMubnuMOOMXfmF3GYC9I/edit?gid=815985378" TargetMode="External"/><Relationship Id="rId946" Type="http://schemas.openxmlformats.org/officeDocument/2006/relationships/hyperlink" Target="https://docs.google.com/spreadsheets/d/1EI7qusa674eJhuaw-nWWtWMEHVSYMQv7HLsInEZTWpE/edit?gid=371216580" TargetMode="External"/><Relationship Id="rId703" Type="http://schemas.openxmlformats.org/officeDocument/2006/relationships/hyperlink" Target="https://docs.google.com/spreadsheets/d/1lEcUd4exxkr5Za3IYZ0vdFNfMubnuMOOMXfmF3GYC9I/edit?gid=282111024" TargetMode="External"/><Relationship Id="rId945" Type="http://schemas.openxmlformats.org/officeDocument/2006/relationships/hyperlink" Target="https://docs.google.com/spreadsheets/d/1EI7qusa674eJhuaw-nWWtWMEHVSYMQv7HLsInEZTWpE/edit?gid=104937382" TargetMode="External"/><Relationship Id="rId702" Type="http://schemas.openxmlformats.org/officeDocument/2006/relationships/hyperlink" Target="https://docs.google.com/spreadsheets/d/1lEcUd4exxkr5Za3IYZ0vdFNfMubnuMOOMXfmF3GYC9I/edit?gid=679792885" TargetMode="External"/><Relationship Id="rId944" Type="http://schemas.openxmlformats.org/officeDocument/2006/relationships/hyperlink" Target="https://docs.google.com/spreadsheets/d/1EI7qusa674eJhuaw-nWWtWMEHVSYMQv7HLsInEZTWpE/edit?gid=1839942165" TargetMode="External"/><Relationship Id="rId73" Type="http://schemas.openxmlformats.org/officeDocument/2006/relationships/hyperlink" Target="https://docs.google.com/spreadsheets/d/1jonEGMB3UFHiUZpltF1zURon8gYN7jGSHu-k9t5TXnA/edit?gid=678601315" TargetMode="External"/><Relationship Id="rId72" Type="http://schemas.openxmlformats.org/officeDocument/2006/relationships/hyperlink" Target="https://docs.google.com/spreadsheets/d/1jonEGMB3UFHiUZpltF1zURon8gYN7jGSHu-k9t5TXnA/edit?gid=483786929" TargetMode="External"/><Relationship Id="rId75" Type="http://schemas.openxmlformats.org/officeDocument/2006/relationships/hyperlink" Target="https://docs.google.com/spreadsheets/d/1jonEGMB3UFHiUZpltF1zURon8gYN7jGSHu-k9t5TXnA/edit?gid=963444236" TargetMode="External"/><Relationship Id="rId74" Type="http://schemas.openxmlformats.org/officeDocument/2006/relationships/hyperlink" Target="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 TargetMode="External"/><Relationship Id="rId77" Type="http://schemas.openxmlformats.org/officeDocument/2006/relationships/hyperlink" Target="https://docs.google.com/spreadsheets/d/1jonEGMB3UFHiUZpltF1zURon8gYN7jGSHu-k9t5TXnA/edit?gid=867799308" TargetMode="External"/><Relationship Id="rId76" Type="http://schemas.openxmlformats.org/officeDocument/2006/relationships/hyperlink" Target="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 TargetMode="External"/><Relationship Id="rId79" Type="http://schemas.openxmlformats.org/officeDocument/2006/relationships/hyperlink" Target="https://docs.google.com/spreadsheets/d/19THEBTE9q0fhN2eApZr6BgenIvLGh0AckaYxHQfHk5w/edit?gid=1703085430" TargetMode="External"/><Relationship Id="rId78" Type="http://schemas.openxmlformats.org/officeDocument/2006/relationships/hyperlink" Target="https://docs.google.com/spreadsheets/d/19THEBTE9q0fhN2eApZr6BgenIvLGh0AckaYxHQfHk5w/edit?gid=1122098062" TargetMode="External"/><Relationship Id="rId939" Type="http://schemas.openxmlformats.org/officeDocument/2006/relationships/hyperlink" Target="https://docs.google.com/spreadsheets/d/1EI7qusa674eJhuaw-nWWtWMEHVSYMQv7HLsInEZTWpE/edit?gid=1445477701" TargetMode="External"/><Relationship Id="rId938" Type="http://schemas.openxmlformats.org/officeDocument/2006/relationships/hyperlink" Target="https://docs.google.com/spreadsheets/d/1EI7qusa674eJhuaw-nWWtWMEHVSYMQv7HLsInEZTWpE/edit?gid=1295237501" TargetMode="External"/><Relationship Id="rId937" Type="http://schemas.openxmlformats.org/officeDocument/2006/relationships/hyperlink" Target="https://docs.google.com/spreadsheets/d/1H1MjbG2y0oC0hhID4do1G0_gfyI1jag72lQd7nL3WDQ/edit?gid=2058620396" TargetMode="External"/><Relationship Id="rId71" Type="http://schemas.openxmlformats.org/officeDocument/2006/relationships/hyperlink" Target="https://docs.google.com/spreadsheets/d/1jonEGMB3UFHiUZpltF1zURon8gYN7jGSHu-k9t5TXnA/edit?gid=1601148863" TargetMode="External"/><Relationship Id="rId70" Type="http://schemas.openxmlformats.org/officeDocument/2006/relationships/hyperlink" Target="https://docs.google.com/spreadsheets/d/1MW8OIVEKRJEaLcG-KS0zwZPEQ0eRUWE2y9Gj77rgoxo/edit?gid=1323324485" TargetMode="External"/><Relationship Id="rId932" Type="http://schemas.openxmlformats.org/officeDocument/2006/relationships/hyperlink" Target="https://docs.google.com/spreadsheets/d/1H1MjbG2y0oC0hhID4do1G0_gfyI1jag72lQd7nL3WDQ/edit?gid=1207523393" TargetMode="External"/><Relationship Id="rId931" Type="http://schemas.openxmlformats.org/officeDocument/2006/relationships/hyperlink" Target="https://docs.google.com/spreadsheets/d/1EI7qusa674eJhuaw-nWWtWMEHVSYMQv7HLsInEZTWpE/edit?gid=706983585" TargetMode="External"/><Relationship Id="rId930" Type="http://schemas.openxmlformats.org/officeDocument/2006/relationships/hyperlink" Target="https://disk.yandex.ru/client/disk/%D0%9E%D1%81%D0%BC%D0%BE%D1%82%D1%80%D1%8B%20%D0%BE%D0%B1%D1%8A%D0%B5%D0%BA%D1%82%D0%BE%D0%B2%20%D0%90%D0%9D%D0%9E%20%D0%A1%D0%9C%D0%93/1269.%20%D0%96%D0%9A%20%D0%9C%D0%B0%D1%80%D1%83%D1%88%D0%BA%D0%B8%D0%BD%D0%BE%2C%20%D1%83%D0%BB.%20%D0%A1%D0%B5%D0%B2%D0%B5%D1%80%D0%BD%D0%B0%D1%8F%2C%20%D0%B4.%2021%2C%20%D0%BA.%201-4" TargetMode="External"/><Relationship Id="rId936" Type="http://schemas.openxmlformats.org/officeDocument/2006/relationships/hyperlink" Target="https://docs.google.com/spreadsheets/d/1H1MjbG2y0oC0hhID4do1G0_gfyI1jag72lQd7nL3WDQ/edit?gid=305005516" TargetMode="External"/><Relationship Id="rId935" Type="http://schemas.openxmlformats.org/officeDocument/2006/relationships/hyperlink" Target="https://docs.google.com/spreadsheets/d/1EI7qusa674eJhuaw-nWWtWMEHVSYMQv7HLsInEZTWpE/edit?gid=1454177438" TargetMode="External"/><Relationship Id="rId934" Type="http://schemas.openxmlformats.org/officeDocument/2006/relationships/hyperlink" Target="https://docs.google.com/spreadsheets/d/1H1MjbG2y0oC0hhID4do1G0_gfyI1jag72lQd7nL3WDQ/edit?gid=64389007" TargetMode="External"/><Relationship Id="rId933" Type="http://schemas.openxmlformats.org/officeDocument/2006/relationships/hyperlink" Target="https://docs.google.com/spreadsheets/d/1EI7qusa674eJhuaw-nWWtWMEHVSYMQv7HLsInEZTWpE/edit?gid=1499291407" TargetMode="External"/><Relationship Id="rId62" Type="http://schemas.openxmlformats.org/officeDocument/2006/relationships/hyperlink" Target="https://docs.google.com/spreadsheets/d/19THEBTE9q0fhN2eApZr6BgenIvLGh0AckaYxHQfHk5w/edit?gid=1851450243" TargetMode="External"/><Relationship Id="rId61" Type="http://schemas.openxmlformats.org/officeDocument/2006/relationships/hyperlink" Target="https://docs.google.com/spreadsheets/d/19THEBTE9q0fhN2eApZr6BgenIvLGh0AckaYxHQfHk5w/edit?gid=1462059153" TargetMode="External"/><Relationship Id="rId64" Type="http://schemas.openxmlformats.org/officeDocument/2006/relationships/hyperlink" Target="https://docs.google.com/spreadsheets/d/19THEBTE9q0fhN2eApZr6BgenIvLGh0AckaYxHQfHk5w/edit?gid=1930019775" TargetMode="External"/><Relationship Id="rId63" Type="http://schemas.openxmlformats.org/officeDocument/2006/relationships/hyperlink" Target="https://docs.google.com/spreadsheets/d/19THEBTE9q0fhN2eApZr6BgenIvLGh0AckaYxHQfHk5w/edit?gid=809581458" TargetMode="External"/><Relationship Id="rId66" Type="http://schemas.openxmlformats.org/officeDocument/2006/relationships/hyperlink" Target="https://docs.google.com/spreadsheets/d/19THEBTE9q0fhN2eApZr6BgenIvLGh0AckaYxHQfHk5w/edit?gid=779020277" TargetMode="External"/><Relationship Id="rId65" Type="http://schemas.openxmlformats.org/officeDocument/2006/relationships/hyperlink" Target="https://docs.google.com/spreadsheets/d/1EI7qusa674eJhuaw-nWWtWMEHVSYMQv7HLsInEZTWpE/edit?gid=1466023727" TargetMode="External"/><Relationship Id="rId68" Type="http://schemas.openxmlformats.org/officeDocument/2006/relationships/hyperlink" Target="https://docs.google.com/spreadsheets/d/19THEBTE9q0fhN2eApZr6BgenIvLGh0AckaYxHQfHk5w/edit?gid=493360007" TargetMode="External"/><Relationship Id="rId67" Type="http://schemas.openxmlformats.org/officeDocument/2006/relationships/hyperlink" Target="https://docs.google.com/spreadsheets/d/19THEBTE9q0fhN2eApZr6BgenIvLGh0AckaYxHQfHk5w/edit?gid=1995746861" TargetMode="External"/><Relationship Id="rId729" Type="http://schemas.openxmlformats.org/officeDocument/2006/relationships/hyperlink" Target="https://docs.google.com/spreadsheets/d/1lEcUd4exxkr5Za3IYZ0vdFNfMubnuMOOMXfmF3GYC9I/edit?gid=1826826370" TargetMode="External"/><Relationship Id="rId728" Type="http://schemas.openxmlformats.org/officeDocument/2006/relationships/hyperlink" Target="https://docs.google.com/spreadsheets/d/1lEcUd4exxkr5Za3IYZ0vdFNfMubnuMOOMXfmF3GYC9I/edit?gid=65622672" TargetMode="External"/><Relationship Id="rId60" Type="http://schemas.openxmlformats.org/officeDocument/2006/relationships/hyperlink" Target="https://docs.google.com/spreadsheets/d/19THEBTE9q0fhN2eApZr6BgenIvLGh0AckaYxHQfHk5w/edit?gid=944368290" TargetMode="External"/><Relationship Id="rId723" Type="http://schemas.openxmlformats.org/officeDocument/2006/relationships/hyperlink" Target="https://docs.google.com/spreadsheets/d/1lEcUd4exxkr5Za3IYZ0vdFNfMubnuMOOMXfmF3GYC9I/edit?gid=545670814" TargetMode="External"/><Relationship Id="rId965" Type="http://schemas.openxmlformats.org/officeDocument/2006/relationships/hyperlink" Target="https://disk.yandex.ru/client/disk/%D0%9E%D1%81%D0%BC%D0%BE%D1%82%D1%80%D1%8B%20%D0%BE%D0%B1%D1%8A%D0%B5%D0%BA%D1%82%D0%BE%D0%B2%20%D0%90%D0%9D%D0%9E%20%D0%A1%D0%9C%D0%93/1261%20%D1%83%D0%BB.%20%D0%92%D0%B0%D1%81%D0%B8%D0%BB%D0%B8%D1%81%D1%8B%20%D0%9A%D0%BE%D0%B6%D0%B8%D0%BD%D0%BE%D0%B9%2C%20%D0%B2%D0%BB.%2025%20%D0%B4%D1%80%D0%BE%D0%B1%D1%8C%201.%20%D0%9C%D0%BD%D0%BE%D0%B3%D0%BE%D1%84%D1%83%D0%BD%D0%BA%D1%86%D0%B8%D0%BE%D0%BD%D0%B0%D0%BB%D1%8C%D0%BD%D1%8B%D0%B9%20%D0%B4%D0%B5%D0%BB%D0%BE%D0%B2%D0%BE%D0%B9%20%D0%BA%D0%BE%D0%BC%D0%BF%D0%B5%D0%BA%D1%81%20%D1%81%20%D0%B3%D0%BE%D1%81%D1%82%D0%B8%D0%BD%D0%B8%D1%87%D0%BD%D1%8B%D0%BC%D0%B8%20%D0%BD%D0%BE%D0%BC%D0%B5%D1%80%D0%B0%D0%BC%D0%B8%20%D0%B8%20%D0%BF%D0%BE%D0%B4%D0%B7%D0%B5%D0%BC%D0%BD%D0%BE%D0%B9%20%D0%BF%D0%B0%D1%80%D0%BA%D0%BE%D0%B2%D0%BA%D0%BE%D0%B9" TargetMode="External"/><Relationship Id="rId722" Type="http://schemas.openxmlformats.org/officeDocument/2006/relationships/hyperlink" Target="https://docs.google.com/spreadsheets/d/1lEcUd4exxkr5Za3IYZ0vdFNfMubnuMOOMXfmF3GYC9I/edit?gid=452615283" TargetMode="External"/><Relationship Id="rId964" Type="http://schemas.openxmlformats.org/officeDocument/2006/relationships/hyperlink" Target="https://docs.google.com/spreadsheets/d/1EI7qusa674eJhuaw-nWWtWMEHVSYMQv7HLsInEZTWpE/edit?gid=1420606721" TargetMode="External"/><Relationship Id="rId721" Type="http://schemas.openxmlformats.org/officeDocument/2006/relationships/hyperlink" Target="https://docs.google.com/spreadsheets/d/1lEcUd4exxkr5Za3IYZ0vdFNfMubnuMOOMXfmF3GYC9I/edit?gid=226391427" TargetMode="External"/><Relationship Id="rId963" Type="http://schemas.openxmlformats.org/officeDocument/2006/relationships/hyperlink" Target="https://disk.yandex.ru/client/disk/%D0%9E%D1%81%D0%BC%D0%BE%D1%82%D1%80%D1%8B%20%D0%BE%D0%B1%D1%8A%D0%B5%D0%BA%D1%82%D0%BE%D0%B2%20%D0%90%D0%9D%D0%9E%20%D0%A1%D0%9C%D0%93/1260%20%D0%96%D0%B8%D0%BB%D0%B0%D1%8F%20%D0%B8%20%D0%BE%D1%84%D0%B8%D1%81%D0%BD%D0%B0%D1%8F%20%D0%B7%D0%B0%D1%81%D1%82%D1%80%D0%BE%D0%B9%D0%BA%D0%B0.%20%D0%91%D0%B8%D0%B7%D0%BD%D0%B5%D1%81-%D1%86%D0%B5%D0%BD%D1%82%D1%80.%20%D0%AD%D1%82%D0%B0%D0%BF2%20%D0%9C%D0%BE%D1%81%D0%BA%D0%B2%D0%B0%2C%20%D0%94%D0%B5%D1%80%D0%B1%D0%B5%D0%BD%D0%B5%D0%B2%D1%81%D0%BA%D0%B0%D1%8F%20%D1%83%D0%BB%D0%B8%D1%86%D0%B0%2C%20%D0%B2%D0%BB1" TargetMode="External"/><Relationship Id="rId720" Type="http://schemas.openxmlformats.org/officeDocument/2006/relationships/hyperlink" Target="https://docs.google.com/spreadsheets/d/1lEcUd4exxkr5Za3IYZ0vdFNfMubnuMOOMXfmF3GYC9I/edit?gid=1777508564" TargetMode="External"/><Relationship Id="rId962" Type="http://schemas.openxmlformats.org/officeDocument/2006/relationships/hyperlink" Target="https://docs.google.com/spreadsheets/d/1EI7qusa674eJhuaw-nWWtWMEHVSYMQv7HLsInEZTWpE/edit?gid=1924857156" TargetMode="External"/><Relationship Id="rId727" Type="http://schemas.openxmlformats.org/officeDocument/2006/relationships/hyperlink" Target="https://docs.google.com/spreadsheets/d/1lEcUd4exxkr5Za3IYZ0vdFNfMubnuMOOMXfmF3GYC9I/edit?gid=569403802" TargetMode="External"/><Relationship Id="rId969" Type="http://schemas.openxmlformats.org/officeDocument/2006/relationships/hyperlink" Target="https://disk.yandex.ru/client/disk/%D0%9E%D1%81%D0%BC%D0%BE%D1%82%D1%80%D1%8B%20%D0%BE%D0%B1%D1%8A%D0%B5%D0%BA%D1%82%D0%BE%D0%B2%20%D0%90%D0%9D%D0%9E%20%D0%A1%D0%9C%D0%93/1263%20%D0%9E%D1%84%D0%B8%D1%81%D0%BD%D0%BE-%D0%B4%D0%B5%D0%BB%D0%BE%D0%B2%D0%BE%D0%B9%20%D1%86%D0%B5%D0%BD%D1%82%D1%80.%20%D0%96%D1%83%D0%BA%D0%BE%D0%B2%D0%B0%20%D0%BC%D1%80.%2C%20%D0%B2%D0%BB.%208" TargetMode="External"/><Relationship Id="rId726" Type="http://schemas.openxmlformats.org/officeDocument/2006/relationships/hyperlink" Target="https://docs.google.com/spreadsheets/d/1lEcUd4exxkr5Za3IYZ0vdFNfMubnuMOOMXfmF3GYC9I/edit?gid=1377038117" TargetMode="External"/><Relationship Id="rId968" Type="http://schemas.openxmlformats.org/officeDocument/2006/relationships/hyperlink" Target="https://docs.google.com/spreadsheets/d/1EI7qusa674eJhuaw-nWWtWMEHVSYMQv7HLsInEZTWpE/edit?gid=407138877" TargetMode="External"/><Relationship Id="rId725" Type="http://schemas.openxmlformats.org/officeDocument/2006/relationships/hyperlink" Target="https://docs.google.com/spreadsheets/d/1lEcUd4exxkr5Za3IYZ0vdFNfMubnuMOOMXfmF3GYC9I/edit?gid=1860586350" TargetMode="External"/><Relationship Id="rId967" Type="http://schemas.openxmlformats.org/officeDocument/2006/relationships/hyperlink" Target="https://disk.yandex.ru/client/disk/%D0%9E%D1%81%D0%BC%D0%BE%D1%82%D1%80%D1%8B%20%D0%BE%D0%B1%D1%8A%D0%B5%D0%BA%D1%82%D0%BE%D0%B2%20%D0%90%D0%9D%D0%9E%20%D0%A1%D0%9C%D0%93/1262.%20%D0%9E%D1%84%D0%B8%D1%81%D0%BD%D0%BE%D0%B5%20%D0%B7%D0%B4%D0%B0%D0%BD%D0%B8%D0%B5%2C%20%D0%BA.%2012.1%2C%20%D0%9E%D0%B7%D1%91%D1%80%D0%BD%D0%B0%D1%8F%20%D1%83%D0%BB.%2C%20%D0%B2%D0%BB.%2042" TargetMode="External"/><Relationship Id="rId724" Type="http://schemas.openxmlformats.org/officeDocument/2006/relationships/hyperlink" Target="https://docs.google.com/spreadsheets/d/1lEcUd4exxkr5Za3IYZ0vdFNfMubnuMOOMXfmF3GYC9I/edit?gid=1723281280" TargetMode="External"/><Relationship Id="rId966" Type="http://schemas.openxmlformats.org/officeDocument/2006/relationships/hyperlink" Target="https://docs.google.com/spreadsheets/d/1EI7qusa674eJhuaw-nWWtWMEHVSYMQv7HLsInEZTWpE/edit?gid=1959905549" TargetMode="External"/><Relationship Id="rId69" Type="http://schemas.openxmlformats.org/officeDocument/2006/relationships/hyperlink" Target="https://disk.yandex.ru/client/disk/%D0%9E%D1%81%D0%BC%D0%BE%D1%82%D1%80%D1%8B%20%D0%BE%D0%B1%D1%8A%D0%B5%D0%BA%D1%82%D0%BE%D0%B2%20%D0%90%D0%9D%D0%9E%20%D0%A1%D0%9C%D0%93/019.%20%D0%A0%D0%B5%D0%BA%D0%BE%D0%BD%D1%81%D1%82%D1%80%D1%83%D0%BA%D1%86%D0%B8%D1%8F%20%D1%81%D1%83%D1%89%D0%B5%D1%81%D1%82%D0%B2%D1%83%D1%8E%D1%89%D0%B5%D0%B3%D0%BE%20%D0%B7%D0%B4%D0%B0%D0%BD%D0%B8%D1%8F%20%C2%AB%D0%93%D0%91%D0%9E%D0%A3%20%C2%AB%D0%A8%D0%BA%D0%BE%D0%BB%D0%B0%20%E2%84%96%202073%C2%BB%2C%201-%D0%B9%20%D1%8D%D1%82%D0%B0%D0%BF%20%C2%A0%D0%A2%D0%90%D0%9E%2C%20%D0%BF%D0%BE%D1%81.%20%D0%9A%D0%BB%D0%B5%D0%BD%D0%BE%D0%B2%D1%81%D0%BA%D0%BE%D0%B5%2C%20%D1%81.%20%D0%9A%D0%BB%D0%B5%D0%BD%D0%BE%D0%B2%D0%BE%2C%20%D0%A3%D0%BB.%20%D0%A6%D0%B5%D0%BD%D1%82%D1%80%D0%B0%D0%BB%D1%8C%D0%BD%D0%B0%D1%8F%2C%202%2C%20%D1%81%D1%82%D1%80.%201%20(%D0%AD%D1%82%D0%B0%D0%BF%201)" TargetMode="External"/><Relationship Id="rId961" Type="http://schemas.openxmlformats.org/officeDocument/2006/relationships/hyperlink" Target="https://disk.yandex.ru/client/disk/%D0%9E%D1%81%D0%BC%D0%BE%D1%82%D1%80%D1%8B%20%D0%BE%D0%B1%D1%8A%D0%B5%D0%BA%D1%82%D0%BE%D0%B2%20%D0%90%D0%9D%D0%9E%20%D0%A1%D0%9C%D0%93/1259.%20%D1%82%D0%B5%D1%80.%20%D0%A1%D0%BA%D0%BE%D0%BB%D0%BA%D0%BE%D0%B2%D0%BE%2C%20%D0%A2%D0%B2%D0%BE%D1%80%D1%87%D0%B5%D1%81%D0%BA%D0%B8%D0%B9%20%D0%BA%D0%B2%D0%B0%D1%80%D1%82%D0%B0%D0%BB%2C%20%D0%BA%D0%BE%D1%80%D0%BF.%203%2C%207%2C%208%2C%209%2C%2010" TargetMode="External"/><Relationship Id="rId960" Type="http://schemas.openxmlformats.org/officeDocument/2006/relationships/hyperlink" Target="https://docs.google.com/spreadsheets/d/1EI7qusa674eJhuaw-nWWtWMEHVSYMQv7HLsInEZTWpE/edit?gid=394346053" TargetMode="External"/><Relationship Id="rId51" Type="http://schemas.openxmlformats.org/officeDocument/2006/relationships/hyperlink" Target="https://docs.google.com/spreadsheets/d/19THEBTE9q0fhN2eApZr6BgenIvLGh0AckaYxHQfHk5w/edit?gid=2057787589" TargetMode="External"/><Relationship Id="rId50" Type="http://schemas.openxmlformats.org/officeDocument/2006/relationships/hyperlink" Target="https://docs.google.com/spreadsheets/d/19THEBTE9q0fhN2eApZr6BgenIvLGh0AckaYxHQfHk5w/edit?gid=1005264754" TargetMode="External"/><Relationship Id="rId53" Type="http://schemas.openxmlformats.org/officeDocument/2006/relationships/hyperlink" Target="https://docs.google.com/spreadsheets/d/19THEBTE9q0fhN2eApZr6BgenIvLGh0AckaYxHQfHk5w/edit?gid=1755627096" TargetMode="External"/><Relationship Id="rId52" Type="http://schemas.openxmlformats.org/officeDocument/2006/relationships/hyperlink" Target="https://docs.google.com/spreadsheets/d/19THEBTE9q0fhN2eApZr6BgenIvLGh0AckaYxHQfHk5w/edit?gid=566495818" TargetMode="External"/><Relationship Id="rId55" Type="http://schemas.openxmlformats.org/officeDocument/2006/relationships/hyperlink" Target="https://docs.google.com/spreadsheets/d/1EI7qusa674eJhuaw-nWWtWMEHVSYMQv7HLsInEZTWpE/edit?gid=1724951288" TargetMode="External"/><Relationship Id="rId54" Type="http://schemas.openxmlformats.org/officeDocument/2006/relationships/hyperlink" Target="https://docs.google.com/spreadsheets/d/19THEBTE9q0fhN2eApZr6BgenIvLGh0AckaYxHQfHk5w/edit?gid=1460101979" TargetMode="External"/><Relationship Id="rId57" Type="http://schemas.openxmlformats.org/officeDocument/2006/relationships/hyperlink" Target="https://docs.google.com/spreadsheets/d/19THEBTE9q0fhN2eApZr6BgenIvLGh0AckaYxHQfHk5w/edit?gid=649028784" TargetMode="External"/><Relationship Id="rId56" Type="http://schemas.openxmlformats.org/officeDocument/2006/relationships/hyperlink" Target="https://docs.google.com/spreadsheets/d/19THEBTE9q0fhN2eApZr6BgenIvLGh0AckaYxHQfHk5w/edit?gid=1645222765" TargetMode="External"/><Relationship Id="rId719" Type="http://schemas.openxmlformats.org/officeDocument/2006/relationships/hyperlink" Target="https://docs.google.com/spreadsheets/d/1lEcUd4exxkr5Za3IYZ0vdFNfMubnuMOOMXfmF3GYC9I/edit?gid=961840138" TargetMode="External"/><Relationship Id="rId718" Type="http://schemas.openxmlformats.org/officeDocument/2006/relationships/hyperlink" Target="https://docs.google.com/spreadsheets/d/1lEcUd4exxkr5Za3IYZ0vdFNfMubnuMOOMXfmF3GYC9I/edit?gid=644664004" TargetMode="External"/><Relationship Id="rId717" Type="http://schemas.openxmlformats.org/officeDocument/2006/relationships/hyperlink" Target="https://docs.google.com/spreadsheets/d/1lEcUd4exxkr5Za3IYZ0vdFNfMubnuMOOMXfmF3GYC9I/edit?gid=770240622" TargetMode="External"/><Relationship Id="rId959" Type="http://schemas.openxmlformats.org/officeDocument/2006/relationships/hyperlink" Target="https://disk.yandex.ru/client/disk/%D0%9E%D1%81%D0%BC%D0%BE%D1%82%D1%80%D1%8B%20%D0%BE%D0%B1%D1%8A%D0%B5%D0%BA%D1%82%D0%BE%D0%B2%20%D0%90%D0%9D%D0%9E%20%D0%A1%D0%9C%D0%93/1258.%20%D0%9C%D0%BD%D0%BE%D0%B3%D0%BE%D1%84%D1%83%D0%BD%D0%BA%D1%86%D0%B8%D0%BE%D0%BD%D0%B0%D0%BB%D1%8C%D0%BD%D1%8B%D0%B9%20%D0%BA%D0%BE%D0%BC%D0%BF%D0%BB%D0%B5%D0%BA%D1%81%2C%20%D0%BA.%204-5%2C%20%D0%9D%D0%B8%D0%BA%D1%83%D0%BB%D0%B8%D0%BD%D1%81%D0%BA%D0%B0%D1%8F%2C%20%D0%B2%D0%BB.%2011%D0%B3" TargetMode="External"/><Relationship Id="rId712" Type="http://schemas.openxmlformats.org/officeDocument/2006/relationships/hyperlink" Target="https://disk.yandex.ru/client/disk/%D0%9E%D1%81%D0%BC%D0%BE%D1%82%D1%80%D1%8B%20%D0%BE%D0%B1%D1%8A%D0%B5%D0%BA%D1%82%D0%BE%D0%B2%20%D0%90%D0%9D%D0%9E%20%D0%A1%D0%9C%D0%93/972%20%D0%97%D0%B5%D0%BB%D0%B5%D0%BD%D1%8B%D0%B9%20%D0%BF%D1%80%D0%BE%D1%81%D0%BF%D0%B5%D0%BA%D1%82%20%D0%97%D0%A3%2093%20" TargetMode="External"/><Relationship Id="rId954" Type="http://schemas.openxmlformats.org/officeDocument/2006/relationships/hyperlink" Target="https://disk.yandex.ru/client/disk/%D0%9E%D1%81%D0%BC%D0%BE%D1%82%D1%80%D1%8B%20%D0%BE%D0%B1%D1%8A%D0%B5%D0%BA%D1%82%D0%BE%D0%B2%20%D0%90%D0%9D%D0%9E%20%D0%A1%D0%9C%D0%93/1255%20%D0%9F%D0%B5%D1%80%D0%B5%D1%81%D0%B5%D1%87%D0%B5%D0%BD%D0%B8%D0%B5%20%D0%9A%D1%83%D1%82%D1%83%D0%B7%D0%BE%D0%B2%D1%81%D0%BA%D0%BE%D0%B3%D0%BE%20%D0%BF%D1%80%D0%BE%D1%81%D0%BF%D0%B5%D0%BA%D1%82%D0%B0%20%D0%B8%20%D1%83%D0%BB%D0%B8%D1%86%D1%8B%20%D0%9A%D1%83%D0%BB%D1%8C%D0%BD%D0%B5%D0%B2%D0%B0.%20%D0%90%D0%B4%D0%BC%D0%B8%D0%BD%D0%B8%D1%81%D1%82%D1%80%D0%B0%D1%82%D0%B8%D0%B2%D0%BD%D0%BE-%D1%82%D0%BE%D1%80%D0%B3%D0%BE%D0%B2%D1%8B%D0%B9%20%D0%BA%D0%BE%D0%BC%D0%BF%D0%BB%D0%B5%D0%BA%D1%81%20%D1%81%20%D0%BF%D0%BE%D0%B4%D0%B7%D0%B5%D0%BC%D0%BD%D0%BE%D0%B9%20%D0%B0%D0%B2%D1%82%D0%BE%D1%81%D1%82%D0%BE%D1%8F%D0%BD%D0%BA%D0%BE%D0%B9%2C%20%D0%BA%D0%BE%D1%80%D0%BF%D1%83%D1%81%20%D0%92%20%D0%B8%20%D0%93." TargetMode="External"/><Relationship Id="rId711" Type="http://schemas.openxmlformats.org/officeDocument/2006/relationships/hyperlink" Target="https://docs.google.com/spreadsheets/d/1lEcUd4exxkr5Za3IYZ0vdFNfMubnuMOOMXfmF3GYC9I/edit?gid=1644112833" TargetMode="External"/><Relationship Id="rId953" Type="http://schemas.openxmlformats.org/officeDocument/2006/relationships/hyperlink" Target="https://docs.google.com/spreadsheets/d/1EI7qusa674eJhuaw-nWWtWMEHVSYMQv7HLsInEZTWpE/edit?gid=2128549332" TargetMode="External"/><Relationship Id="rId710" Type="http://schemas.openxmlformats.org/officeDocument/2006/relationships/hyperlink" Target="https://disk.yandex.ru/client/disk/%D0%9E%D1%81%D0%BC%D0%BE%D1%82%D1%80%D1%8B%20%D0%BE%D0%B1%D1%8A%D0%B5%D0%BA%D1%82%D0%BE%D0%B2%20%D0%90%D0%9D%D0%9E%20%D0%A1%D0%9C%D0%93/967%20%D0%A0%D1%8F%D0%B7%D0%B0%D0%BD%D1%81%D0%BA%D0%B8%D0%B9%20%D0%BF%D1%80-%D1%82%2C%20%D0%B2%D0%BB.%2017" TargetMode="External"/><Relationship Id="rId952" Type="http://schemas.openxmlformats.org/officeDocument/2006/relationships/hyperlink" Target="https://disk.yandex.ru/client/disk/%D0%9E%D1%81%D0%BC%D0%BE%D1%82%D1%80%D1%8B%20%D0%BE%D0%B1%D1%8A%D0%B5%D0%BA%D1%82%D0%BE%D0%B2%20%D0%90%D0%9D%D0%9E%20%D0%A1%D0%9C%D0%93/1254%20%D0%9F%D1%80%D0%BE%D0%BC%D1%8B%D1%88%D0%BB%D0%B5%D0%BD%D0%BD%D1%8B%D0%B9%20%D0%BF%D1%80%D0%BE%D0%B5%D0%B7%D0%B4%2C%20%D0%B2%D0%BB.%205.%20%D0%90%D0%B4%D0%BC%D0%B8%D0%BD%D0%B8%D1%81%D1%82%D1%80%D0%B0%D1%82%D0%B8%D0%B2%D0%BD%D0%BE%D0%B5%20%D0%B7%D0%B4%D0%B0%D0%BD%D0%B8%D0%B5%20%D1%81%20%D0%BF%D0%BE%D0%B4%D0%B7%D0%B5%D0%BC%D0%BD%D0%BE%D0%B9%20%D0%B0%D0%B2%D1%82%D0%BE%D1%81%D1%82%D0%BE%D1%8F%D0%BD%D0%BA%D0%BE%D0%B9." TargetMode="External"/><Relationship Id="rId951" Type="http://schemas.openxmlformats.org/officeDocument/2006/relationships/hyperlink" Target="https://docs.google.com/spreadsheets/d/1EI7qusa674eJhuaw-nWWtWMEHVSYMQv7HLsInEZTWpE/edit?gid=1656230982" TargetMode="External"/><Relationship Id="rId716" Type="http://schemas.openxmlformats.org/officeDocument/2006/relationships/hyperlink" Target="https://docs.google.com/spreadsheets/d/1lEcUd4exxkr5Za3IYZ0vdFNfMubnuMOOMXfmF3GYC9I/edit?gid=135078699" TargetMode="External"/><Relationship Id="rId958" Type="http://schemas.openxmlformats.org/officeDocument/2006/relationships/hyperlink" Target="https://docs.google.com/spreadsheets/d/1EI7qusa674eJhuaw-nWWtWMEHVSYMQv7HLsInEZTWpE/edit?gid=1050204202" TargetMode="External"/><Relationship Id="rId715" Type="http://schemas.openxmlformats.org/officeDocument/2006/relationships/hyperlink" Target="https://docs.google.com/spreadsheets/d/1lEcUd4exxkr5Za3IYZ0vdFNfMubnuMOOMXfmF3GYC9I/edit?gid=1363194216" TargetMode="External"/><Relationship Id="rId957" Type="http://schemas.openxmlformats.org/officeDocument/2006/relationships/hyperlink" Target="https://docs.google.com/spreadsheets/d/1EI7qusa674eJhuaw-nWWtWMEHVSYMQv7HLsInEZTWpE/edit?gid=1028732980" TargetMode="External"/><Relationship Id="rId714" Type="http://schemas.openxmlformats.org/officeDocument/2006/relationships/hyperlink" Target="https://disk.yandex.ru/client/disk/%D0%9E%D1%81%D0%BC%D0%BE%D1%82%D1%80%D1%8B%20%D0%BE%D0%B1%D1%8A%D0%B5%D0%BA%D1%82%D0%BE%D0%B2%20%D0%90%D0%9D%D0%9E%20%D0%A1%D0%9C%D0%93/973%20%D0%9F%D1%80-%D0%B4%20%D0%A1%D0%B0%D0%BF%D0%B5%D1%80%D0%BD%D1%8B%D0%B9%20%D0%97%D0%A3%2014%20" TargetMode="External"/><Relationship Id="rId956" Type="http://schemas.openxmlformats.org/officeDocument/2006/relationships/hyperlink" Target="https://disk.yandex.ru/client/disk/%D0%9E%D1%81%D0%BC%D0%BE%D1%82%D1%80%D1%8B%20%D0%BE%D0%B1%D1%8A%D0%B5%D0%BA%D1%82%D0%BE%D0%B2%20%D0%90%D0%9D%D0%9E%20%D0%A1%D0%9C%D0%93/1256.%20%D0%A6%D0%B5%D0%BD%D1%82%D1%80%20%D0%BE%D0%B1%D1%80%D0%B0%D0%B1%D0%BE%D1%82%D0%BA%D0%B8%20%D0%B4%D0%B0%D0%BD%D0%BD%D1%8B%D1%85(%D0%9C%D0%B5%D0%B3%D0%B0%D0%A6%D0%9E%D0%94-3)%D0%9C%D0%BE%D1%81%D0%BA%D0%B2%D0%B0%2C%202-%D0%B9%20%D0%AE%D0%B6%D0%BD%D0%BE%D0%BF%D0%BE%D1%80%D1%82%D0%BE%D0%B2%D1%8B%D0%B9%20%D0%BF%D1%80%D0%BE%D0%B5%D0%B7%D0%B4%2C%2012%20%D0%90" TargetMode="External"/><Relationship Id="rId713" Type="http://schemas.openxmlformats.org/officeDocument/2006/relationships/hyperlink" Target="https://docs.google.com/spreadsheets/d/1lEcUd4exxkr5Za3IYZ0vdFNfMubnuMOOMXfmF3GYC9I/edit?gid=2083513887" TargetMode="External"/><Relationship Id="rId955" Type="http://schemas.openxmlformats.org/officeDocument/2006/relationships/hyperlink" Target="https://docs.google.com/spreadsheets/d/1EI7qusa674eJhuaw-nWWtWMEHVSYMQv7HLsInEZTWpE/edit?gid=721503388" TargetMode="External"/><Relationship Id="rId59" Type="http://schemas.openxmlformats.org/officeDocument/2006/relationships/hyperlink" Target="https://docs.google.com/spreadsheets/d/19THEBTE9q0fhN2eApZr6BgenIvLGh0AckaYxHQfHk5w/edit?gid=1434066436" TargetMode="External"/><Relationship Id="rId58" Type="http://schemas.openxmlformats.org/officeDocument/2006/relationships/hyperlink" Target="https://docs.google.com/spreadsheets/d/19THEBTE9q0fhN2eApZr6BgenIvLGh0AckaYxHQfHk5w/edit?gid=1519561806" TargetMode="External"/><Relationship Id="rId950" Type="http://schemas.openxmlformats.org/officeDocument/2006/relationships/hyperlink" Target="https://disk.yandex.ru/client/disk/%D0%9E%D1%81%D0%BC%D0%BE%D1%82%D1%80%D1%8B%20%D0%BE%D0%B1%D1%8A%D0%B5%D0%BA%D1%82%D0%BE%D0%B2%20%D0%90%D0%9D%D0%9E%20%D0%A1%D0%9C%D0%93/1253%20%D1%83%D0%BB.%20%D0%97%D0%B0%D1%80%D0%B5%D1%87%D0%BD%D0%B0%D1%8F%2C%20%D0%B2%D0%BB.%202%20%D0%B4%D1%80%D0%BE%D0%B1%D1%8C%201.%20%D0%9E%D1%84%D0%B8%D1%81%D0%BD%D0%BE%D0%B5%20%D0%B7%D0%B4%D0%B0%D0%BD%D0%B8%D0%B5." TargetMode="External"/><Relationship Id="rId590" Type="http://schemas.openxmlformats.org/officeDocument/2006/relationships/hyperlink" Target="https://docs.google.com/spreadsheets/d/1rbCD10ySi4YZEkJW2_Slmn9z7AI1WEsGsZaIJmnnT18/edit?gid=151666570" TargetMode="External"/><Relationship Id="rId107" Type="http://schemas.openxmlformats.org/officeDocument/2006/relationships/hyperlink" Target="https://docs.google.com/spreadsheets/d/1jonEGMB3UFHiUZpltF1zURon8gYN7jGSHu-k9t5TXnA/edit?gid=821057082" TargetMode="External"/><Relationship Id="rId349" Type="http://schemas.openxmlformats.org/officeDocument/2006/relationships/hyperlink" Target="https://docs.google.com/spreadsheets/d/1H1MjbG2y0oC0hhID4do1G0_gfyI1jag72lQd7nL3WDQ/edit?gid=656187579" TargetMode="External"/><Relationship Id="rId106" Type="http://schemas.openxmlformats.org/officeDocument/2006/relationships/hyperlink" Target="https://docs.google.com/spreadsheets/d/1jonEGMB3UFHiUZpltF1zURon8gYN7jGSHu-k9t5TXnA/edit?gid=1442718959" TargetMode="External"/><Relationship Id="rId348" Type="http://schemas.openxmlformats.org/officeDocument/2006/relationships/hyperlink" Target="https://docs.google.com/spreadsheets/d/1H1MjbG2y0oC0hhID4do1G0_gfyI1jag72lQd7nL3WDQ/edit?gid=765483752" TargetMode="External"/><Relationship Id="rId105" Type="http://schemas.openxmlformats.org/officeDocument/2006/relationships/hyperlink" Target="https://docs.google.com/spreadsheets/d/1jonEGMB3UFHiUZpltF1zURon8gYN7jGSHu-k9t5TXnA/edit?gid=2067153840" TargetMode="External"/><Relationship Id="rId347" Type="http://schemas.openxmlformats.org/officeDocument/2006/relationships/hyperlink" Target="https://docs.google.com/spreadsheets/d/1H1MjbG2y0oC0hhID4do1G0_gfyI1jag72lQd7nL3WDQ/edit?gid=1409357007" TargetMode="External"/><Relationship Id="rId589" Type="http://schemas.openxmlformats.org/officeDocument/2006/relationships/hyperlink" Target="https://docs.google.com/spreadsheets/d/1rbCD10ySi4YZEkJW2_Slmn9z7AI1WEsGsZaIJmnnT18/edit?gid=667094303" TargetMode="External"/><Relationship Id="rId104" Type="http://schemas.openxmlformats.org/officeDocument/2006/relationships/hyperlink" Target="https://docs.google.com/spreadsheets/d/1jonEGMB3UFHiUZpltF1zURon8gYN7jGSHu-k9t5TXnA/edit?gid=1809572747" TargetMode="External"/><Relationship Id="rId346" Type="http://schemas.openxmlformats.org/officeDocument/2006/relationships/hyperlink" Target="https://docs.google.com/spreadsheets/d/1H1MjbG2y0oC0hhID4do1G0_gfyI1jag72lQd7nL3WDQ/edit?gid=632665949" TargetMode="External"/><Relationship Id="rId588" Type="http://schemas.openxmlformats.org/officeDocument/2006/relationships/hyperlink" Target="https://docs.google.com/spreadsheets/d/1rbCD10ySi4YZEkJW2_Slmn9z7AI1WEsGsZaIJmnnT18/edit?gid=667094303" TargetMode="External"/><Relationship Id="rId109" Type="http://schemas.openxmlformats.org/officeDocument/2006/relationships/hyperlink" Target="https://docs.google.com/spreadsheets/d/1jonEGMB3UFHiUZpltF1zURon8gYN7jGSHu-k9t5TXnA/edit?gid=1288909819" TargetMode="External"/><Relationship Id="rId108" Type="http://schemas.openxmlformats.org/officeDocument/2006/relationships/hyperlink" Target="https://docs.google.com/spreadsheets/d/1jonEGMB3UFHiUZpltF1zURon8gYN7jGSHu-k9t5TXnA/edit?gid=577400276" TargetMode="External"/><Relationship Id="rId341" Type="http://schemas.openxmlformats.org/officeDocument/2006/relationships/hyperlink" Target="https://docs.google.com/spreadsheets/d/1H1MjbG2y0oC0hhID4do1G0_gfyI1jag72lQd7nL3WDQ/edit?gid=1589045795" TargetMode="External"/><Relationship Id="rId583" Type="http://schemas.openxmlformats.org/officeDocument/2006/relationships/hyperlink" Target="https://docs.google.com/spreadsheets/d/1rbCD10ySi4YZEkJW2_Slmn9z7AI1WEsGsZaIJmnnT18/edit?gid=1108501275" TargetMode="External"/><Relationship Id="rId340" Type="http://schemas.openxmlformats.org/officeDocument/2006/relationships/hyperlink" Target="https://docs.google.com/spreadsheets/d/1H1MjbG2y0oC0hhID4do1G0_gfyI1jag72lQd7nL3WDQ/edit?gid=1927985373" TargetMode="External"/><Relationship Id="rId582" Type="http://schemas.openxmlformats.org/officeDocument/2006/relationships/hyperlink" Target="https://docs.google.com/spreadsheets/d/1rbCD10ySi4YZEkJW2_Slmn9z7AI1WEsGsZaIJmnnT18/edit?gid=918222638" TargetMode="External"/><Relationship Id="rId581" Type="http://schemas.openxmlformats.org/officeDocument/2006/relationships/hyperlink" Target="https://docs.google.com/spreadsheets/d/1rbCD10ySi4YZEkJW2_Slmn9z7AI1WEsGsZaIJmnnT18/edit?gid=632308495" TargetMode="External"/><Relationship Id="rId580" Type="http://schemas.openxmlformats.org/officeDocument/2006/relationships/hyperlink" Target="https://docs.google.com/spreadsheets/d/1rbCD10ySi4YZEkJW2_Slmn9z7AI1WEsGsZaIJmnnT18/edit?gid=625147630" TargetMode="External"/><Relationship Id="rId103"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45" Type="http://schemas.openxmlformats.org/officeDocument/2006/relationships/hyperlink" Target="https://docs.google.com/spreadsheets/d/1H1MjbG2y0oC0hhID4do1G0_gfyI1jag72lQd7nL3WDQ/edit?gid=1217417878" TargetMode="External"/><Relationship Id="rId587" Type="http://schemas.openxmlformats.org/officeDocument/2006/relationships/hyperlink" Target="https://docs.google.com/spreadsheets/d/1rbCD10ySi4YZEkJW2_Slmn9z7AI1WEsGsZaIJmnnT18/edit?gid=667094303" TargetMode="External"/><Relationship Id="rId102" Type="http://schemas.openxmlformats.org/officeDocument/2006/relationships/hyperlink" Target="https://docs.google.com/spreadsheets/d/1jonEGMB3UFHiUZpltF1zURon8gYN7jGSHu-k9t5TXnA/edit?gid=886266246" TargetMode="External"/><Relationship Id="rId344" Type="http://schemas.openxmlformats.org/officeDocument/2006/relationships/hyperlink" Target="https://docs.google.com/spreadsheets/d/1H1MjbG2y0oC0hhID4do1G0_gfyI1jag72lQd7nL3WDQ/edit?gid=84528393" TargetMode="External"/><Relationship Id="rId586" Type="http://schemas.openxmlformats.org/officeDocument/2006/relationships/hyperlink" Target="https://docs.google.com/spreadsheets/d/1rbCD10ySi4YZEkJW2_Slmn9z7AI1WEsGsZaIJmnnT18/edit?gid=1315766169" TargetMode="External"/><Relationship Id="rId101"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43" Type="http://schemas.openxmlformats.org/officeDocument/2006/relationships/hyperlink" Target="https://docs.google.com/spreadsheets/d/1H1MjbG2y0oC0hhID4do1G0_gfyI1jag72lQd7nL3WDQ/edit?gid=397817205" TargetMode="External"/><Relationship Id="rId585" Type="http://schemas.openxmlformats.org/officeDocument/2006/relationships/hyperlink" Target="https://docs.google.com/spreadsheets/d/1rbCD10ySi4YZEkJW2_Slmn9z7AI1WEsGsZaIJmnnT18/edit?gid=679741287" TargetMode="External"/><Relationship Id="rId100" Type="http://schemas.openxmlformats.org/officeDocument/2006/relationships/hyperlink" Target="https://docs.google.com/spreadsheets/d/1jonEGMB3UFHiUZpltF1zURon8gYN7jGSHu-k9t5TXnA/edit?gid=1014561501" TargetMode="External"/><Relationship Id="rId342" Type="http://schemas.openxmlformats.org/officeDocument/2006/relationships/hyperlink" Target="https://disk.yandex.ru/client/disk/%D0%9E%D1%81%D0%BC%D0%BE%D1%82%D1%80%D1%8B%20%D0%BE%D0%B1%D1%8A%D0%B5%D0%BA%D1%82%D0%BE%D0%B2%20%D0%90%D0%9D%D0%9E%20%D0%A1%D0%9C%D0%93/562.%20%D1%80%D0%B0%D0%B9%D0%BE%D0%BD%20%D0%9A%D1%83%D0%B7%D1%8C%D0%BC%D0%B8%D0%BD%D0%BA%D0%B8%2C%20%D0%96%D0%B8%D0%B3%D1%83%D0%BB%D0%B5%D0%B2%D1%81%D0%BA%D0%B0%D1%8F%20%D1%83%D0%BB.%2C12.6.1%20%D0%B7%D0%BE%D0%BD%D0%B0%205.1%20(%D0%96%D0%B8%D0%BB%D0%BE%D0%B9%20%D0%B4%D0%BE%D0%BC%20%D0%9A.5%20(%D0%BC%D0%BA%D1%80.115)%20" TargetMode="External"/><Relationship Id="rId584" Type="http://schemas.openxmlformats.org/officeDocument/2006/relationships/hyperlink" Target="https://docs.google.com/spreadsheets/d/1rbCD10ySi4YZEkJW2_Slmn9z7AI1WEsGsZaIJmnnT18/edit?gid=900983135" TargetMode="External"/><Relationship Id="rId338" Type="http://schemas.openxmlformats.org/officeDocument/2006/relationships/hyperlink" Target="https://docs.google.com/spreadsheets/d/1H1MjbG2y0oC0hhID4do1G0_gfyI1jag72lQd7nL3WDQ/edit?gid=1300457232" TargetMode="External"/><Relationship Id="rId337" Type="http://schemas.openxmlformats.org/officeDocument/2006/relationships/hyperlink" Target="https://docs.google.com/spreadsheets/d/1H1MjbG2y0oC0hhID4do1G0_gfyI1jag72lQd7nL3WDQ/edit?gid=1870096044" TargetMode="External"/><Relationship Id="rId579" Type="http://schemas.openxmlformats.org/officeDocument/2006/relationships/hyperlink" Target="https://docs.google.com/spreadsheets/d/1rbCD10ySi4YZEkJW2_Slmn9z7AI1WEsGsZaIJmnnT18/edit?gid=858056712" TargetMode="External"/><Relationship Id="rId336" Type="http://schemas.openxmlformats.org/officeDocument/2006/relationships/hyperlink" Target="https://docs.google.com/spreadsheets/d/1H1MjbG2y0oC0hhID4do1G0_gfyI1jag72lQd7nL3WDQ/edit?gid=1191711449" TargetMode="External"/><Relationship Id="rId578" Type="http://schemas.openxmlformats.org/officeDocument/2006/relationships/hyperlink" Target="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 TargetMode="External"/><Relationship Id="rId335" Type="http://schemas.openxmlformats.org/officeDocument/2006/relationships/hyperlink" Target="https://docs.google.com/spreadsheets/d/1H1MjbG2y0oC0hhID4do1G0_gfyI1jag72lQd7nL3WDQ/edit?gid=1677110935" TargetMode="External"/><Relationship Id="rId577" Type="http://schemas.openxmlformats.org/officeDocument/2006/relationships/hyperlink" Target="https://docs.google.com/spreadsheets/d/1rbCD10ySi4YZEkJW2_Slmn9z7AI1WEsGsZaIJmnnT18/edit?gid=1294085884" TargetMode="External"/><Relationship Id="rId339" Type="http://schemas.openxmlformats.org/officeDocument/2006/relationships/hyperlink" Target="https://docs.google.com/spreadsheets/d/1H1MjbG2y0oC0hhID4do1G0_gfyI1jag72lQd7nL3WDQ/edit?gid=815627436" TargetMode="External"/><Relationship Id="rId330" Type="http://schemas.openxmlformats.org/officeDocument/2006/relationships/hyperlink" Target="https://docs.google.com/spreadsheets/d/1H1MjbG2y0oC0hhID4do1G0_gfyI1jag72lQd7nL3WDQ/edit?gid=1578036964" TargetMode="External"/><Relationship Id="rId572" Type="http://schemas.openxmlformats.org/officeDocument/2006/relationships/hyperlink" Target="https://docs.google.com/spreadsheets/d/1rbCD10ySi4YZEkJW2_Slmn9z7AI1WEsGsZaIJmnnT18/edit?gid=49686517" TargetMode="External"/><Relationship Id="rId571" Type="http://schemas.openxmlformats.org/officeDocument/2006/relationships/hyperlink" Target="https://docs.google.com/spreadsheets/d/1rbCD10ySi4YZEkJW2_Slmn9z7AI1WEsGsZaIJmnnT18/edit?gid=1534601072" TargetMode="External"/><Relationship Id="rId570" Type="http://schemas.openxmlformats.org/officeDocument/2006/relationships/hyperlink" Target="https://docs.google.com/spreadsheets/d/1rbCD10ySi4YZEkJW2_Slmn9z7AI1WEsGsZaIJmnnT18/edit?gid=509147488" TargetMode="External"/><Relationship Id="rId334" Type="http://schemas.openxmlformats.org/officeDocument/2006/relationships/hyperlink" Target="https://docs.google.com/spreadsheets/d/1H1MjbG2y0oC0hhID4do1G0_gfyI1jag72lQd7nL3WDQ/edit?gid=2120381921" TargetMode="External"/><Relationship Id="rId576" Type="http://schemas.openxmlformats.org/officeDocument/2006/relationships/hyperlink" Target="https://docs.google.com/spreadsheets/d/1rbCD10ySi4YZEkJW2_Slmn9z7AI1WEsGsZaIJmnnT18/edit?gid=1347270596" TargetMode="External"/><Relationship Id="rId333" Type="http://schemas.openxmlformats.org/officeDocument/2006/relationships/hyperlink" Target="https://docs.google.com/spreadsheets/d/1H1MjbG2y0oC0hhID4do1G0_gfyI1jag72lQd7nL3WDQ/edit?gid=604357555" TargetMode="External"/><Relationship Id="rId575" Type="http://schemas.openxmlformats.org/officeDocument/2006/relationships/hyperlink" Target="https://docs.google.com/spreadsheets/d/1rbCD10ySi4YZEkJW2_Slmn9z7AI1WEsGsZaIJmnnT18/edit?gid=1886195207" TargetMode="External"/><Relationship Id="rId332" Type="http://schemas.openxmlformats.org/officeDocument/2006/relationships/hyperlink" Target="https://docs.google.com/spreadsheets/d/1H1MjbG2y0oC0hhID4do1G0_gfyI1jag72lQd7nL3WDQ/edit?gid=1413674534" TargetMode="External"/><Relationship Id="rId574" Type="http://schemas.openxmlformats.org/officeDocument/2006/relationships/hyperlink" Target="https://docs.google.com/spreadsheets/d/1rbCD10ySi4YZEkJW2_Slmn9z7AI1WEsGsZaIJmnnT18/edit?gid=1956094116" TargetMode="External"/><Relationship Id="rId331" Type="http://schemas.openxmlformats.org/officeDocument/2006/relationships/hyperlink" Target="https://docs.google.com/spreadsheets/d/1H1MjbG2y0oC0hhID4do1G0_gfyI1jag72lQd7nL3WDQ/edit?gid=1517123869" TargetMode="External"/><Relationship Id="rId573" Type="http://schemas.openxmlformats.org/officeDocument/2006/relationships/hyperlink" Target="https://docs.google.com/spreadsheets/d/1rbCD10ySi4YZEkJW2_Slmn9z7AI1WEsGsZaIJmnnT18/edit?gid=9074212" TargetMode="External"/><Relationship Id="rId370" Type="http://schemas.openxmlformats.org/officeDocument/2006/relationships/hyperlink" Target="https://docs.google.com/spreadsheets/d/1H1MjbG2y0oC0hhID4do1G0_gfyI1jag72lQd7nL3WDQ/edit?gid=1141531368" TargetMode="External"/><Relationship Id="rId129" Type="http://schemas.openxmlformats.org/officeDocument/2006/relationships/hyperlink" Target="https://docs.google.com/spreadsheets/d/19THEBTE9q0fhN2eApZr6BgenIvLGh0AckaYxHQfHk5w/edit?gid=1037526455" TargetMode="External"/><Relationship Id="rId128" Type="http://schemas.openxmlformats.org/officeDocument/2006/relationships/hyperlink" Target="https://docs.google.com/spreadsheets/d/19THEBTE9q0fhN2eApZr6BgenIvLGh0AckaYxHQfHk5w/edit?gid=2126809757" TargetMode="External"/><Relationship Id="rId127"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369" Type="http://schemas.openxmlformats.org/officeDocument/2006/relationships/hyperlink" Target="https://docs.google.com/spreadsheets/d/1H1MjbG2y0oC0hhID4do1G0_gfyI1jag72lQd7nL3WDQ/edit?gid=1430842581" TargetMode="External"/><Relationship Id="rId126" Type="http://schemas.openxmlformats.org/officeDocument/2006/relationships/hyperlink" Target="https://docs.google.com/spreadsheets/d/1jonEGMB3UFHiUZpltF1zURon8gYN7jGSHu-k9t5TXnA/edit?gid=1312683414" TargetMode="External"/><Relationship Id="rId368" Type="http://schemas.openxmlformats.org/officeDocument/2006/relationships/hyperlink" Target="https://docs.google.com/spreadsheets/d/1H1MjbG2y0oC0hhID4do1G0_gfyI1jag72lQd7nL3WDQ/edit?gid=888939104" TargetMode="External"/><Relationship Id="rId121" Type="http://schemas.openxmlformats.org/officeDocument/2006/relationships/hyperlink" Target="https://docs.google.com/spreadsheets/d/19THEBTE9q0fhN2eApZr6BgenIvLGh0AckaYxHQfHk5w/edit?gid=2006507373" TargetMode="External"/><Relationship Id="rId363" Type="http://schemas.openxmlformats.org/officeDocument/2006/relationships/hyperlink" Target="https://disk.yandex.ru/client/disk/%D0%9E%D1%81%D0%BC%D0%BE%D1%82%D1%80%D1%8B%20%D0%BE%D0%B1%D1%8A%D0%B5%D0%BA%D1%82%D0%BE%D0%B2%20%D0%90%D0%9D%D0%9E%20%D0%A1%D0%9C%D0%93/568.%20%D0%9A%D0%B0%D1%80%D0%B5%D0%BB%D1%8C%D1%81%D0%BA%D0%B8%D0%B9%20%D0%B1%D1%83%D0%BB%D1%8C%D0%B2%D0%B0%D1%80%2C%20%D0%B7%D1%83%2014-16" TargetMode="External"/><Relationship Id="rId120" Type="http://schemas.openxmlformats.org/officeDocument/2006/relationships/hyperlink" Target="https://docs.google.com/spreadsheets/d/19THEBTE9q0fhN2eApZr6BgenIvLGh0AckaYxHQfHk5w/edit?gid=462766492" TargetMode="External"/><Relationship Id="rId362" Type="http://schemas.openxmlformats.org/officeDocument/2006/relationships/hyperlink" Target="https://docs.google.com/spreadsheets/d/1H1MjbG2y0oC0hhID4do1G0_gfyI1jag72lQd7nL3WDQ/edit?gid=33336285" TargetMode="External"/><Relationship Id="rId361" Type="http://schemas.openxmlformats.org/officeDocument/2006/relationships/hyperlink" Target="https://disk.yandex.ru/client/disk/%D0%9E%D1%81%D0%BC%D0%BE%D1%82%D1%80%D1%8B%20%D0%BE%D0%B1%D1%8A%D0%B5%D0%BA%D1%82%D0%BE%D0%B2%20%D0%90%D0%9D%D0%9E%20%D0%A1%D0%9C%D0%93/536.%20%D0%BF%D1%80%D0%BE%D0%B5%D0%B7%D0%B4%20%D0%9D%D0%B0%D0%BD%D1%81%D0%B5%D0%BD%D0%B0%2C%20%D0%B2%D0%BB%D0%B4.%208" TargetMode="External"/><Relationship Id="rId360" Type="http://schemas.openxmlformats.org/officeDocument/2006/relationships/hyperlink" Target="https://docs.google.com/spreadsheets/d/1H1MjbG2y0oC0hhID4do1G0_gfyI1jag72lQd7nL3WDQ/edit?gid=1956651299" TargetMode="External"/><Relationship Id="rId125"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367" Type="http://schemas.openxmlformats.org/officeDocument/2006/relationships/hyperlink" Target="https://docs.google.com/spreadsheets/d/1H1MjbG2y0oC0hhID4do1G0_gfyI1jag72lQd7nL3WDQ/edit?gid=17563487" TargetMode="External"/><Relationship Id="rId124" Type="http://schemas.openxmlformats.org/officeDocument/2006/relationships/hyperlink" Target="https://docs.google.com/spreadsheets/d/1jonEGMB3UFHiUZpltF1zURon8gYN7jGSHu-k9t5TXnA/edit?gid=276277917" TargetMode="External"/><Relationship Id="rId366" Type="http://schemas.openxmlformats.org/officeDocument/2006/relationships/hyperlink" Target="https://disk.yandex.ru/client/disk/%D0%9E%D1%81%D0%BC%D0%BE%D1%82%D1%80%D1%8B%20%D0%BE%D0%B1%D1%8A%D0%B5%D0%BA%D1%82%D0%BE%D0%B2%20%D0%90%D0%9D%D0%9E%20%D0%A1%D0%9C%D0%93/591.%20%D0%94%D0%BE%D0%BB%D0%B3%D0%BE%D0%BF%D1%80%D1%83%D0%B4%D0%BD%D0%B0%D1%8F%20%D1%83%D0%BB.%2C%20%D0%B7%D1%83%203-5" TargetMode="External"/><Relationship Id="rId123" Type="http://schemas.openxmlformats.org/officeDocument/2006/relationships/hyperlink" Target="https://docs.google.com/spreadsheets/d/1jonEGMB3UFHiUZpltF1zURon8gYN7jGSHu-k9t5TXnA/edit?gid=224508896" TargetMode="External"/><Relationship Id="rId365" Type="http://schemas.openxmlformats.org/officeDocument/2006/relationships/hyperlink" Target="https://docs.google.com/spreadsheets/d/1H1MjbG2y0oC0hhID4do1G0_gfyI1jag72lQd7nL3WDQ/edit?gid=683523839" TargetMode="External"/><Relationship Id="rId122" Type="http://schemas.openxmlformats.org/officeDocument/2006/relationships/hyperlink" Target="https://docs.google.com/spreadsheets/d/19THEBTE9q0fhN2eApZr6BgenIvLGh0AckaYxHQfHk5w/edit?gid=1232103407" TargetMode="External"/><Relationship Id="rId364" Type="http://schemas.openxmlformats.org/officeDocument/2006/relationships/hyperlink" Target="https://docs.google.com/spreadsheets/d/1H1MjbG2y0oC0hhID4do1G0_gfyI1jag72lQd7nL3WDQ/edit?gid=1791563527" TargetMode="External"/><Relationship Id="rId95"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94" Type="http://schemas.openxmlformats.org/officeDocument/2006/relationships/hyperlink" Target="https://docs.google.com/spreadsheets/d/1jonEGMB3UFHiUZpltF1zURon8gYN7jGSHu-k9t5TXnA/edit?gid=1300135145" TargetMode="External"/><Relationship Id="rId97" Type="http://schemas.openxmlformats.org/officeDocument/2006/relationships/hyperlink" Target="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 TargetMode="External"/><Relationship Id="rId96" Type="http://schemas.openxmlformats.org/officeDocument/2006/relationships/hyperlink" Target="https://docs.google.com/spreadsheets/d/1jonEGMB3UFHiUZpltF1zURon8gYN7jGSHu-k9t5TXnA/edit?gid=2011759996" TargetMode="External"/><Relationship Id="rId99" Type="http://schemas.openxmlformats.org/officeDocument/2006/relationships/hyperlink" Target="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 TargetMode="External"/><Relationship Id="rId98" Type="http://schemas.openxmlformats.org/officeDocument/2006/relationships/hyperlink" Target="https://docs.google.com/spreadsheets/d/1jonEGMB3UFHiUZpltF1zURon8gYN7jGSHu-k9t5TXnA/edit?gid=1566731730" TargetMode="External"/><Relationship Id="rId91" Type="http://schemas.openxmlformats.org/officeDocument/2006/relationships/hyperlink" Target="https://docs.google.com/spreadsheets/d/1jonEGMB3UFHiUZpltF1zURon8gYN7jGSHu-k9t5TXnA/edit?gid=2116230963" TargetMode="External"/><Relationship Id="rId90" Type="http://schemas.openxmlformats.org/officeDocument/2006/relationships/hyperlink" Target="https://docs.google.com/spreadsheets/d/1jonEGMB3UFHiUZpltF1zURon8gYN7jGSHu-k9t5TXnA/edit?gid=1671517751" TargetMode="External"/><Relationship Id="rId93" Type="http://schemas.openxmlformats.org/officeDocument/2006/relationships/hyperlink" Target="https://docs.google.com/spreadsheets/d/1jonEGMB3UFHiUZpltF1zURon8gYN7jGSHu-k9t5TXnA/edit?gid=1483169462" TargetMode="External"/><Relationship Id="rId92" Type="http://schemas.openxmlformats.org/officeDocument/2006/relationships/hyperlink" Target="https://docs.google.com/spreadsheets/d/1jonEGMB3UFHiUZpltF1zURon8gYN7jGSHu-k9t5TXnA/edit?gid=745287457" TargetMode="External"/><Relationship Id="rId118" Type="http://schemas.openxmlformats.org/officeDocument/2006/relationships/hyperlink" Target="https://docs.google.com/spreadsheets/d/19THEBTE9q0fhN2eApZr6BgenIvLGh0AckaYxHQfHk5w/edit?gid=242811066" TargetMode="External"/><Relationship Id="rId117" Type="http://schemas.openxmlformats.org/officeDocument/2006/relationships/hyperlink" Target="https://docs.google.com/spreadsheets/d/19THEBTE9q0fhN2eApZr6BgenIvLGh0AckaYxHQfHk5w/edit?gid=1311899156" TargetMode="External"/><Relationship Id="rId359" Type="http://schemas.openxmlformats.org/officeDocument/2006/relationships/hyperlink" Target="https://docs.google.com/spreadsheets/d/1H1MjbG2y0oC0hhID4do1G0_gfyI1jag72lQd7nL3WDQ/edit?gid=2089213196" TargetMode="External"/><Relationship Id="rId116" Type="http://schemas.openxmlformats.org/officeDocument/2006/relationships/hyperlink" Target="https://docs.google.com/spreadsheets/d/19THEBTE9q0fhN2eApZr6BgenIvLGh0AckaYxHQfHk5w/edit?gid=908182805" TargetMode="External"/><Relationship Id="rId358" Type="http://schemas.openxmlformats.org/officeDocument/2006/relationships/hyperlink" Target="https://docs.google.com/spreadsheets/d/1H1MjbG2y0oC0hhID4do1G0_gfyI1jag72lQd7nL3WDQ/edit?gid=1880476815" TargetMode="External"/><Relationship Id="rId115" Type="http://schemas.openxmlformats.org/officeDocument/2006/relationships/hyperlink" Target="https://docs.google.com/spreadsheets/d/19THEBTE9q0fhN2eApZr6BgenIvLGh0AckaYxHQfHk5w/edit?gid=920768533" TargetMode="External"/><Relationship Id="rId357" Type="http://schemas.openxmlformats.org/officeDocument/2006/relationships/hyperlink" Target="https://docs.google.com/spreadsheets/d/1H1MjbG2y0oC0hhID4do1G0_gfyI1jag72lQd7nL3WDQ/edit?gid=1879792750" TargetMode="External"/><Relationship Id="rId599" Type="http://schemas.openxmlformats.org/officeDocument/2006/relationships/hyperlink" Target="https://docs.google.com/spreadsheets/d/1rbCD10ySi4YZEkJW2_Slmn9z7AI1WEsGsZaIJmnnT18/edit?gid=1956863227" TargetMode="External"/><Relationship Id="rId119" Type="http://schemas.openxmlformats.org/officeDocument/2006/relationships/hyperlink" Target="https://docs.google.com/spreadsheets/d/19THEBTE9q0fhN2eApZr6BgenIvLGh0AckaYxHQfHk5w/edit?gid=1798082760" TargetMode="External"/><Relationship Id="rId110" Type="http://schemas.openxmlformats.org/officeDocument/2006/relationships/hyperlink" Target="https://docs.google.com/spreadsheets/d/1jonEGMB3UFHiUZpltF1zURon8gYN7jGSHu-k9t5TXnA/edit?gid=1628703806" TargetMode="External"/><Relationship Id="rId352" Type="http://schemas.openxmlformats.org/officeDocument/2006/relationships/hyperlink" Target="https://docs.google.com/spreadsheets/d/1H1MjbG2y0oC0hhID4do1G0_gfyI1jag72lQd7nL3WDQ/edit?gid=36908310" TargetMode="External"/><Relationship Id="rId594" Type="http://schemas.openxmlformats.org/officeDocument/2006/relationships/hyperlink" Target="https://docs.google.com/spreadsheets/d/1rbCD10ySi4YZEkJW2_Slmn9z7AI1WEsGsZaIJmnnT18/edit?gid=105663629" TargetMode="External"/><Relationship Id="rId351" Type="http://schemas.openxmlformats.org/officeDocument/2006/relationships/hyperlink" Target="https://docs.google.com/spreadsheets/d/1H1MjbG2y0oC0hhID4do1G0_gfyI1jag72lQd7nL3WDQ/edit?gid=255089364" TargetMode="External"/><Relationship Id="rId593" Type="http://schemas.openxmlformats.org/officeDocument/2006/relationships/hyperlink" Target="https://docs.google.com/spreadsheets/d/1rbCD10ySi4YZEkJW2_Slmn9z7AI1WEsGsZaIJmnnT18/edit?gid=238290316" TargetMode="External"/><Relationship Id="rId350" Type="http://schemas.openxmlformats.org/officeDocument/2006/relationships/hyperlink" Target="https://docs.google.com/spreadsheets/d/1H1MjbG2y0oC0hhID4do1G0_gfyI1jag72lQd7nL3WDQ/edit?gid=1057256122" TargetMode="External"/><Relationship Id="rId592" Type="http://schemas.openxmlformats.org/officeDocument/2006/relationships/hyperlink" Target="https://docs.google.com/spreadsheets/d/1rbCD10ySi4YZEkJW2_Slmn9z7AI1WEsGsZaIJmnnT18/edit?gid=590835051" TargetMode="External"/><Relationship Id="rId591" Type="http://schemas.openxmlformats.org/officeDocument/2006/relationships/hyperlink" Target="https://docs.google.com/spreadsheets/d/1rbCD10ySi4YZEkJW2_Slmn9z7AI1WEsGsZaIJmnnT18/edit?gid=1853936778" TargetMode="External"/><Relationship Id="rId114" Type="http://schemas.openxmlformats.org/officeDocument/2006/relationships/hyperlink" Target="https://docs.google.com/spreadsheets/d/19THEBTE9q0fhN2eApZr6BgenIvLGh0AckaYxHQfHk5w/edit?gid=1120669271" TargetMode="External"/><Relationship Id="rId356" Type="http://schemas.openxmlformats.org/officeDocument/2006/relationships/hyperlink" Target="https://docs.google.com/spreadsheets/d/1H1MjbG2y0oC0hhID4do1G0_gfyI1jag72lQd7nL3WDQ/edit?gid=1984564802" TargetMode="External"/><Relationship Id="rId598" Type="http://schemas.openxmlformats.org/officeDocument/2006/relationships/hyperlink" Target="https://docs.google.com/spreadsheets/d/1rbCD10ySi4YZEkJW2_Slmn9z7AI1WEsGsZaIJmnnT18/edit?gid=1715786875" TargetMode="External"/><Relationship Id="rId113" Type="http://schemas.openxmlformats.org/officeDocument/2006/relationships/hyperlink" Target="https://docs.google.com/spreadsheets/d/19THEBTE9q0fhN2eApZr6BgenIvLGh0AckaYxHQfHk5w/edit?gid=392359480" TargetMode="External"/><Relationship Id="rId355" Type="http://schemas.openxmlformats.org/officeDocument/2006/relationships/hyperlink" Target="https://docs.google.com/spreadsheets/d/1H1MjbG2y0oC0hhID4do1G0_gfyI1jag72lQd7nL3WDQ/edit?gid=788221100" TargetMode="External"/><Relationship Id="rId597" Type="http://schemas.openxmlformats.org/officeDocument/2006/relationships/hyperlink" Target="https://docs.google.com/spreadsheets/d/1rbCD10ySi4YZEkJW2_Slmn9z7AI1WEsGsZaIJmnnT18/edit?gid=795869723" TargetMode="External"/><Relationship Id="rId112" Type="http://schemas.openxmlformats.org/officeDocument/2006/relationships/hyperlink" Target="https://docs.google.com/spreadsheets/d/1jonEGMB3UFHiUZpltF1zURon8gYN7jGSHu-k9t5TXnA/edit?gid=1305358292" TargetMode="External"/><Relationship Id="rId354" Type="http://schemas.openxmlformats.org/officeDocument/2006/relationships/hyperlink" Target="https://docs.google.com/spreadsheets/d/1H1MjbG2y0oC0hhID4do1G0_gfyI1jag72lQd7nL3WDQ/edit?gid=747557076" TargetMode="External"/><Relationship Id="rId596" Type="http://schemas.openxmlformats.org/officeDocument/2006/relationships/hyperlink" Target="https://docs.google.com/spreadsheets/d/1rbCD10ySi4YZEkJW2_Slmn9z7AI1WEsGsZaIJmnnT18/edit?gid=783421015" TargetMode="External"/><Relationship Id="rId111" Type="http://schemas.openxmlformats.org/officeDocument/2006/relationships/hyperlink" Target="https://docs.google.com/spreadsheets/d/1jonEGMB3UFHiUZpltF1zURon8gYN7jGSHu-k9t5TXnA/edit?gid=1845109853" TargetMode="External"/><Relationship Id="rId353" Type="http://schemas.openxmlformats.org/officeDocument/2006/relationships/hyperlink" Target="https://docs.google.com/spreadsheets/d/1H1MjbG2y0oC0hhID4do1G0_gfyI1jag72lQd7nL3WDQ/edit?gid=947386880" TargetMode="External"/><Relationship Id="rId595" Type="http://schemas.openxmlformats.org/officeDocument/2006/relationships/hyperlink" Target="https://docs.google.com/spreadsheets/d/1rbCD10ySi4YZEkJW2_Slmn9z7AI1WEsGsZaIJmnnT18/edit?gid=583489484" TargetMode="External"/><Relationship Id="rId305" Type="http://schemas.openxmlformats.org/officeDocument/2006/relationships/hyperlink" Target="https://docs.google.com/spreadsheets/d/1H1MjbG2y0oC0hhID4do1G0_gfyI1jag72lQd7nL3WDQ/edit?gid=955881279" TargetMode="External"/><Relationship Id="rId547" Type="http://schemas.openxmlformats.org/officeDocument/2006/relationships/hyperlink" Target="https://docs.google.com/spreadsheets/d/1rbCD10ySi4YZEkJW2_Slmn9z7AI1WEsGsZaIJmnnT18/edit?gid=733134081" TargetMode="External"/><Relationship Id="rId789" Type="http://schemas.openxmlformats.org/officeDocument/2006/relationships/hyperlink" Target="https://docs.google.com/spreadsheets/d/1EI7qusa674eJhuaw-nWWtWMEHVSYMQv7HLsInEZTWpE/edit?gid=469869658" TargetMode="External"/><Relationship Id="rId304" Type="http://schemas.openxmlformats.org/officeDocument/2006/relationships/hyperlink" Target="https://docs.google.com/spreadsheets/d/1H1MjbG2y0oC0hhID4do1G0_gfyI1jag72lQd7nL3WDQ/edit?gid=2123184099" TargetMode="External"/><Relationship Id="rId546" Type="http://schemas.openxmlformats.org/officeDocument/2006/relationships/hyperlink" Target="https://docs.google.com/spreadsheets/d/1rbCD10ySi4YZEkJW2_Slmn9z7AI1WEsGsZaIJmnnT18/edit?gid=657849366" TargetMode="External"/><Relationship Id="rId788"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4.%20%D0%9F%D0%BE%D0%BB%D0%B8%D0%BA%D0%BB%D0%B8%D0%BD%D0%B8%D0%BA%D0%B0%20%D0%BD%D0%B0%20560%20%D0%BF%D0%BE%D1%81%D0%B5%D1%89%D0%B5%D0%BD%D0%B8%D0%B9%20%D0%B2%20%D1%81%D0%BC%D0%B5%D0%BD%D1%83%20%D0%AE%D0%90%D0%9E%2C%20%D1%80%D0%B0%D0%B9%D0%BE%D0%BD%20%D0%9B%D1%8E%D0%B1%D0%BB%D0%B8%D0%BD%D0%BE%2C%20%D1%83%D0%BB.%20%D0%9B%D1%8E%D0%B1%D0%BB%D0%B8%D0%BD%D1%81%D0%BA%D0%B0%D1%8F%2C%20%D0%B2%D0%BB.%2072%2C%20" TargetMode="External"/><Relationship Id="rId303" Type="http://schemas.openxmlformats.org/officeDocument/2006/relationships/hyperlink" Target="https://docs.google.com/spreadsheets/d/1H1MjbG2y0oC0hhID4do1G0_gfyI1jag72lQd7nL3WDQ/edit?gid=1582876076" TargetMode="External"/><Relationship Id="rId545" Type="http://schemas.openxmlformats.org/officeDocument/2006/relationships/hyperlink" Target="https://docs.google.com/spreadsheets/d/1rbCD10ySi4YZEkJW2_Slmn9z7AI1WEsGsZaIJmnnT18/edit?gid=581565940" TargetMode="External"/><Relationship Id="rId787" Type="http://schemas.openxmlformats.org/officeDocument/2006/relationships/hyperlink" Target="https://docs.google.com/spreadsheets/d/1EI7qusa674eJhuaw-nWWtWMEHVSYMQv7HLsInEZTWpE/edit?gid=1990935127" TargetMode="External"/><Relationship Id="rId302" Type="http://schemas.openxmlformats.org/officeDocument/2006/relationships/hyperlink" Target="https://docs.google.com/spreadsheets/d/1H1MjbG2y0oC0hhID4do1G0_gfyI1jag72lQd7nL3WDQ/edit?gid=1490545737" TargetMode="External"/><Relationship Id="rId544" Type="http://schemas.openxmlformats.org/officeDocument/2006/relationships/hyperlink" Target="https://docs.google.com/spreadsheets/d/1rbCD10ySi4YZEkJW2_Slmn9z7AI1WEsGsZaIJmnnT18/edit?gid=1131436691" TargetMode="External"/><Relationship Id="rId786" Type="http://schemas.openxmlformats.org/officeDocument/2006/relationships/hyperlink" Target="https://docs.google.com/spreadsheets/d/1EI7qusa674eJhuaw-nWWtWMEHVSYMQv7HLsInEZTWpE/edit?gid=1548843983" TargetMode="External"/><Relationship Id="rId309" Type="http://schemas.openxmlformats.org/officeDocument/2006/relationships/hyperlink" Target="https://docs.google.com/spreadsheets/d/1H1MjbG2y0oC0hhID4do1G0_gfyI1jag72lQd7nL3WDQ/edit?gid=881100781" TargetMode="External"/><Relationship Id="rId308" Type="http://schemas.openxmlformats.org/officeDocument/2006/relationships/hyperlink" Target="https://docs.google.com/spreadsheets/d/1H1MjbG2y0oC0hhID4do1G0_gfyI1jag72lQd7nL3WDQ/edit?gid=335429819" TargetMode="External"/><Relationship Id="rId307" Type="http://schemas.openxmlformats.org/officeDocument/2006/relationships/hyperlink" Target="https://docs.google.com/spreadsheets/d/1H1MjbG2y0oC0hhID4do1G0_gfyI1jag72lQd7nL3WDQ/edit?gid=32132627" TargetMode="External"/><Relationship Id="rId549" Type="http://schemas.openxmlformats.org/officeDocument/2006/relationships/hyperlink" Target="https://disk.yandex.ru/client/disk/%D0%9E%D1%81%D0%BC%D0%BE%D1%82%D1%80%D1%8B%20%D0%BE%D0%B1%D1%8A%D0%B5%D0%BA%D1%82%D0%BE%D0%B2%20%D0%90%D0%9D%D0%9E%20%D0%A1%D0%9C%D0%93/699.%20%D0%92%D0%B0%D1%80%D1%88%D0%B0%D0%B2%D1%81%D0%BA%D0%BE%D0%B5%20%D1%88.%20%D0%B7.%D1%83.%2090.1%20(%D1%83%D1%87%D0%B0%D1%81%D1%82%D0%BE%D0%BA%205.1)" TargetMode="External"/><Relationship Id="rId306" Type="http://schemas.openxmlformats.org/officeDocument/2006/relationships/hyperlink" Target="https://docs.google.com/spreadsheets/d/1H1MjbG2y0oC0hhID4do1G0_gfyI1jag72lQd7nL3WDQ/edit?gid=607862402" TargetMode="External"/><Relationship Id="rId548" Type="http://schemas.openxmlformats.org/officeDocument/2006/relationships/hyperlink" Target="https://docs.google.com/spreadsheets/d/1rbCD10ySi4YZEkJW2_Slmn9z7AI1WEsGsZaIJmnnT18/edit?gid=1868311876" TargetMode="External"/><Relationship Id="rId781" Type="http://schemas.openxmlformats.org/officeDocument/2006/relationships/hyperlink" Target="https://docs.google.com/spreadsheets/d/1EI7qusa674eJhuaw-nWWtWMEHVSYMQv7HLsInEZTWpE/edit?gid=646496469" TargetMode="External"/><Relationship Id="rId780" Type="http://schemas.openxmlformats.org/officeDocument/2006/relationships/hyperlink" Target="https://docs.google.com/spreadsheets/d/1H1MjbG2y0oC0hhID4do1G0_gfyI1jag72lQd7nL3WDQ/edit?gid=2140039738" TargetMode="External"/><Relationship Id="rId301" Type="http://schemas.openxmlformats.org/officeDocument/2006/relationships/hyperlink" Target="https://docs.google.com/spreadsheets/d/1H1MjbG2y0oC0hhID4do1G0_gfyI1jag72lQd7nL3WDQ/edit?gid=1094415968" TargetMode="External"/><Relationship Id="rId543" Type="http://schemas.openxmlformats.org/officeDocument/2006/relationships/hyperlink" Target="https://docs.google.com/spreadsheets/d/1rbCD10ySi4YZEkJW2_Slmn9z7AI1WEsGsZaIJmnnT18/edit?gid=889119319" TargetMode="External"/><Relationship Id="rId785" Type="http://schemas.openxmlformats.org/officeDocument/2006/relationships/hyperlink" Target="https://docs.google.com/spreadsheets/d/1EI7qusa674eJhuaw-nWWtWMEHVSYMQv7HLsInEZTWpE/edit?gid=314696825" TargetMode="External"/><Relationship Id="rId300" Type="http://schemas.openxmlformats.org/officeDocument/2006/relationships/hyperlink" Target="https://docs.google.com/spreadsheets/d/1H1MjbG2y0oC0hhID4do1G0_gfyI1jag72lQd7nL3WDQ/edit?gid=1742187453" TargetMode="External"/><Relationship Id="rId542" Type="http://schemas.openxmlformats.org/officeDocument/2006/relationships/hyperlink" Target="https://docs.google.com/spreadsheets/d/1rbCD10ySi4YZEkJW2_Slmn9z7AI1WEsGsZaIJmnnT18/edit?gid=263399188" TargetMode="External"/><Relationship Id="rId784" Type="http://schemas.openxmlformats.org/officeDocument/2006/relationships/hyperlink" Target="https://docs.google.com/spreadsheets/d/1EI7qusa674eJhuaw-nWWtWMEHVSYMQv7HLsInEZTWpE/edit?gid=1947907600" TargetMode="External"/><Relationship Id="rId541" Type="http://schemas.openxmlformats.org/officeDocument/2006/relationships/hyperlink" Target="https://docs.google.com/spreadsheets/d/1rbCD10ySi4YZEkJW2_Slmn9z7AI1WEsGsZaIJmnnT18/edit?gid=953902791" TargetMode="External"/><Relationship Id="rId783" Type="http://schemas.openxmlformats.org/officeDocument/2006/relationships/hyperlink" Target="https://docs.google.com/spreadsheets/d/1EI7qusa674eJhuaw-nWWtWMEHVSYMQv7HLsInEZTWpE/edit?gid=623093467" TargetMode="External"/><Relationship Id="rId540" Type="http://schemas.openxmlformats.org/officeDocument/2006/relationships/hyperlink" Target="https://docs.google.com/spreadsheets/d/1rbCD10ySi4YZEkJW2_Slmn9z7AI1WEsGsZaIJmnnT18/edit?gid=1071202217" TargetMode="External"/><Relationship Id="rId782" Type="http://schemas.openxmlformats.org/officeDocument/2006/relationships/hyperlink" Target="https://docs.google.com/spreadsheets/d/1EI7qusa674eJhuaw-nWWtWMEHVSYMQv7HLsInEZTWpE/edit?gid=60135188" TargetMode="External"/><Relationship Id="rId536" Type="http://schemas.openxmlformats.org/officeDocument/2006/relationships/hyperlink" Target="https://docs.google.com/spreadsheets/d/1rbCD10ySi4YZEkJW2_Slmn9z7AI1WEsGsZaIJmnnT18/edit?gid=188482008" TargetMode="External"/><Relationship Id="rId778" Type="http://schemas.openxmlformats.org/officeDocument/2006/relationships/hyperlink" Target="https://docs.google.com/spreadsheets/d/1H1MjbG2y0oC0hhID4do1G0_gfyI1jag72lQd7nL3WDQ/edit?gid=1897641801" TargetMode="External"/><Relationship Id="rId535" Type="http://schemas.openxmlformats.org/officeDocument/2006/relationships/hyperlink" Target="https://docs.google.com/spreadsheets/d/1rbCD10ySi4YZEkJW2_Slmn9z7AI1WEsGsZaIJmnnT18/edit?gid=2138822298" TargetMode="External"/><Relationship Id="rId777" Type="http://schemas.openxmlformats.org/officeDocument/2006/relationships/hyperlink" Target="https://docs.google.com/spreadsheets/d/1lEcUd4exxkr5Za3IYZ0vdFNfMubnuMOOMXfmF3GYC9I/edit?gid=273382735" TargetMode="External"/><Relationship Id="rId534" Type="http://schemas.openxmlformats.org/officeDocument/2006/relationships/hyperlink" Target="https://docs.google.com/spreadsheets/d/1rbCD10ySi4YZEkJW2_Slmn9z7AI1WEsGsZaIJmnnT18/edit?gid=1937947971" TargetMode="External"/><Relationship Id="rId776" Type="http://schemas.openxmlformats.org/officeDocument/2006/relationships/hyperlink" Target="https://docs.google.com/spreadsheets/d/1lEcUd4exxkr5Za3IYZ0vdFNfMubnuMOOMXfmF3GYC9I/edit?gid=857788374" TargetMode="External"/><Relationship Id="rId533" Type="http://schemas.openxmlformats.org/officeDocument/2006/relationships/hyperlink" Target="https://docs.google.com/spreadsheets/d/1rbCD10ySi4YZEkJW2_Slmn9z7AI1WEsGsZaIJmnnT18/edit?gid=676192549" TargetMode="External"/><Relationship Id="rId775" Type="http://schemas.openxmlformats.org/officeDocument/2006/relationships/hyperlink" Target="https://docs.google.com/spreadsheets/d/1lEcUd4exxkr5Za3IYZ0vdFNfMubnuMOOMXfmF3GYC9I/edit?gid=551597288" TargetMode="External"/><Relationship Id="rId539" Type="http://schemas.openxmlformats.org/officeDocument/2006/relationships/hyperlink" Target="https://docs.google.com/spreadsheets/d/1rbCD10ySi4YZEkJW2_Slmn9z7AI1WEsGsZaIJmnnT18/edit?gid=370993780" TargetMode="External"/><Relationship Id="rId538" Type="http://schemas.openxmlformats.org/officeDocument/2006/relationships/hyperlink" Target="https://docs.google.com/spreadsheets/d/1rbCD10ySi4YZEkJW2_Slmn9z7AI1WEsGsZaIJmnnT18/edit?gid=1480745629" TargetMode="External"/><Relationship Id="rId537" Type="http://schemas.openxmlformats.org/officeDocument/2006/relationships/hyperlink" Target="https://docs.google.com/spreadsheets/d/1rbCD10ySi4YZEkJW2_Slmn9z7AI1WEsGsZaIJmnnT18/edit?gid=1984267459" TargetMode="External"/><Relationship Id="rId779" Type="http://schemas.openxmlformats.org/officeDocument/2006/relationships/hyperlink" Target="https://docs.google.com/spreadsheets/d/1EI7qusa674eJhuaw-nWWtWMEHVSYMQv7HLsInEZTWpE/edit?gid=1475893528" TargetMode="External"/><Relationship Id="rId770" Type="http://schemas.openxmlformats.org/officeDocument/2006/relationships/hyperlink" Target="https://docs.google.com/spreadsheets/d/1lEcUd4exxkr5Za3IYZ0vdFNfMubnuMOOMXfmF3GYC9I/edit?gid=1854195509" TargetMode="External"/><Relationship Id="rId532" Type="http://schemas.openxmlformats.org/officeDocument/2006/relationships/hyperlink" Target="https://docs.google.com/spreadsheets/d/1rbCD10ySi4YZEkJW2_Slmn9z7AI1WEsGsZaIJmnnT18/edit?gid=2130356176" TargetMode="External"/><Relationship Id="rId774" Type="http://schemas.openxmlformats.org/officeDocument/2006/relationships/hyperlink" Target="https://docs.google.com/spreadsheets/d/1lEcUd4exxkr5Za3IYZ0vdFNfMubnuMOOMXfmF3GYC9I/edit?gid=211546180" TargetMode="External"/><Relationship Id="rId531" Type="http://schemas.openxmlformats.org/officeDocument/2006/relationships/hyperlink" Target="https://docs.google.com/spreadsheets/d/1rbCD10ySi4YZEkJW2_Slmn9z7AI1WEsGsZaIJmnnT18/edit?gid=1530580258" TargetMode="External"/><Relationship Id="rId773" Type="http://schemas.openxmlformats.org/officeDocument/2006/relationships/hyperlink" Target="https://docs.google.com/spreadsheets/d/1lEcUd4exxkr5Za3IYZ0vdFNfMubnuMOOMXfmF3GYC9I/edit?gid=1173519257" TargetMode="External"/><Relationship Id="rId530" Type="http://schemas.openxmlformats.org/officeDocument/2006/relationships/hyperlink" Target="https://docs.google.com/spreadsheets/d/1rbCD10ySi4YZEkJW2_Slmn9z7AI1WEsGsZaIJmnnT18/edit?gid=1949585083" TargetMode="External"/><Relationship Id="rId772" Type="http://schemas.openxmlformats.org/officeDocument/2006/relationships/hyperlink" Target="https://docs.google.com/spreadsheets/d/1lEcUd4exxkr5Za3IYZ0vdFNfMubnuMOOMXfmF3GYC9I/edit?gid=299633943" TargetMode="External"/><Relationship Id="rId771" Type="http://schemas.openxmlformats.org/officeDocument/2006/relationships/hyperlink" Target="https://docs.google.com/spreadsheets/d/1lEcUd4exxkr5Za3IYZ0vdFNfMubnuMOOMXfmF3GYC9I/edit?gid=1106564511" TargetMode="External"/><Relationship Id="rId327" Type="http://schemas.openxmlformats.org/officeDocument/2006/relationships/hyperlink" Target="https://docs.google.com/spreadsheets/d/1H1MjbG2y0oC0hhID4do1G0_gfyI1jag72lQd7nL3WDQ/edit?gid=2042348028" TargetMode="External"/><Relationship Id="rId569" Type="http://schemas.openxmlformats.org/officeDocument/2006/relationships/hyperlink" Target="https://docs.google.com/spreadsheets/d/1rbCD10ySi4YZEkJW2_Slmn9z7AI1WEsGsZaIJmnnT18/edit?gid=1353187353" TargetMode="External"/><Relationship Id="rId326" Type="http://schemas.openxmlformats.org/officeDocument/2006/relationships/hyperlink" Target="https://docs.google.com/spreadsheets/d/1H1MjbG2y0oC0hhID4do1G0_gfyI1jag72lQd7nL3WDQ/edit?gid=328082788" TargetMode="External"/><Relationship Id="rId568" Type="http://schemas.openxmlformats.org/officeDocument/2006/relationships/hyperlink" Target="https://docs.google.com/spreadsheets/d/1rbCD10ySi4YZEkJW2_Slmn9z7AI1WEsGsZaIJmnnT18/edit?gid=877224124" TargetMode="External"/><Relationship Id="rId325" Type="http://schemas.openxmlformats.org/officeDocument/2006/relationships/hyperlink" Target="https://docs.google.com/spreadsheets/d/1H1MjbG2y0oC0hhID4do1G0_gfyI1jag72lQd7nL3WDQ/edit?gid=969218818" TargetMode="External"/><Relationship Id="rId567" Type="http://schemas.openxmlformats.org/officeDocument/2006/relationships/hyperlink" Target="https://docs.google.com/spreadsheets/d/1rbCD10ySi4YZEkJW2_Slmn9z7AI1WEsGsZaIJmnnT18/edit?gid=601045685" TargetMode="External"/><Relationship Id="rId324" Type="http://schemas.openxmlformats.org/officeDocument/2006/relationships/hyperlink" Target="https://docs.google.com/spreadsheets/d/1H1MjbG2y0oC0hhID4do1G0_gfyI1jag72lQd7nL3WDQ/edit?gid=55726116" TargetMode="External"/><Relationship Id="rId566" Type="http://schemas.openxmlformats.org/officeDocument/2006/relationships/hyperlink" Target="https://docs.google.com/spreadsheets/d/1rbCD10ySi4YZEkJW2_Slmn9z7AI1WEsGsZaIJmnnT18/edit?gid=231842022" TargetMode="External"/><Relationship Id="rId329" Type="http://schemas.openxmlformats.org/officeDocument/2006/relationships/hyperlink" Target="https://docs.google.com/spreadsheets/d/1H1MjbG2y0oC0hhID4do1G0_gfyI1jag72lQd7nL3WDQ/edit?gid=1325450813" TargetMode="External"/><Relationship Id="rId328" Type="http://schemas.openxmlformats.org/officeDocument/2006/relationships/hyperlink" Target="https://docs.google.com/spreadsheets/d/1H1MjbG2y0oC0hhID4do1G0_gfyI1jag72lQd7nL3WDQ/edit?gid=1202640333" TargetMode="External"/><Relationship Id="rId561" Type="http://schemas.openxmlformats.org/officeDocument/2006/relationships/hyperlink" Target="https://docs.google.com/spreadsheets/d/1rbCD10ySi4YZEkJW2_Slmn9z7AI1WEsGsZaIJmnnT18/edit?gid=521259843" TargetMode="External"/><Relationship Id="rId560" Type="http://schemas.openxmlformats.org/officeDocument/2006/relationships/hyperlink" Target="https://docs.google.com/spreadsheets/d/1rbCD10ySi4YZEkJW2_Slmn9z7AI1WEsGsZaIJmnnT18/edit?gid=1349297378" TargetMode="External"/><Relationship Id="rId323" Type="http://schemas.openxmlformats.org/officeDocument/2006/relationships/hyperlink" Target="https://docs.google.com/spreadsheets/d/1H1MjbG2y0oC0hhID4do1G0_gfyI1jag72lQd7nL3WDQ/edit?gid=1298340576" TargetMode="External"/><Relationship Id="rId565" Type="http://schemas.openxmlformats.org/officeDocument/2006/relationships/hyperlink" Target="https://docs.google.com/spreadsheets/d/1rbCD10ySi4YZEkJW2_Slmn9z7AI1WEsGsZaIJmnnT18/edit?gid=1863257249" TargetMode="External"/><Relationship Id="rId322" Type="http://schemas.openxmlformats.org/officeDocument/2006/relationships/hyperlink" Target="https://disk.yandex.ru/client/disk/%D0%9E%D1%81%D0%BC%D0%BE%D1%82%D1%80%D1%8B%20%D0%BE%D0%B1%D1%8A%D0%B5%D0%BA%D1%82%D0%BE%D0%B2%20%D0%90%D0%9D%D0%9E%20%D0%A1%D0%9C%D0%93/455.%20%D1%83%D0%BB.%20%D0%A4%D1%80%D0%B5%D0%B7%D0%B5%D1%80%20%D0%B7%D1%83%2017%20%D0%A4%D0%A0%20" TargetMode="External"/><Relationship Id="rId564" Type="http://schemas.openxmlformats.org/officeDocument/2006/relationships/hyperlink" Target="https://docs.google.com/spreadsheets/d/1rbCD10ySi4YZEkJW2_Slmn9z7AI1WEsGsZaIJmnnT18/edit?gid=1573037531" TargetMode="External"/><Relationship Id="rId321" Type="http://schemas.openxmlformats.org/officeDocument/2006/relationships/hyperlink" Target="https://docs.google.com/spreadsheets/d/1H1MjbG2y0oC0hhID4do1G0_gfyI1jag72lQd7nL3WDQ/edit?gid=1051331619" TargetMode="External"/><Relationship Id="rId563" Type="http://schemas.openxmlformats.org/officeDocument/2006/relationships/hyperlink" Target="https://docs.google.com/spreadsheets/d/1rbCD10ySi4YZEkJW2_Slmn9z7AI1WEsGsZaIJmnnT18/edit?gid=1910790925" TargetMode="External"/><Relationship Id="rId320" Type="http://schemas.openxmlformats.org/officeDocument/2006/relationships/hyperlink" Target="https://docs.google.com/spreadsheets/d/1H1MjbG2y0oC0hhID4do1G0_gfyI1jag72lQd7nL3WDQ/edit?gid=1000508457" TargetMode="External"/><Relationship Id="rId562" Type="http://schemas.openxmlformats.org/officeDocument/2006/relationships/hyperlink" Target="https://docs.google.com/spreadsheets/d/1rbCD10ySi4YZEkJW2_Slmn9z7AI1WEsGsZaIJmnnT18/edit?gid=1611612481" TargetMode="External"/><Relationship Id="rId316" Type="http://schemas.openxmlformats.org/officeDocument/2006/relationships/hyperlink" Target="https://docs.google.com/spreadsheets/d/1H1MjbG2y0oC0hhID4do1G0_gfyI1jag72lQd7nL3WDQ/edit?gid=168468884" TargetMode="External"/><Relationship Id="rId558" Type="http://schemas.openxmlformats.org/officeDocument/2006/relationships/hyperlink" Target="https://docs.google.com/spreadsheets/d/1rbCD10ySi4YZEkJW2_Slmn9z7AI1WEsGsZaIJmnnT18/edit?gid=1617286788" TargetMode="External"/><Relationship Id="rId315" Type="http://schemas.openxmlformats.org/officeDocument/2006/relationships/hyperlink" Target="https://docs.google.com/spreadsheets/d/1H1MjbG2y0oC0hhID4do1G0_gfyI1jag72lQd7nL3WDQ/edit?gid=1012385907" TargetMode="External"/><Relationship Id="rId557" Type="http://schemas.openxmlformats.org/officeDocument/2006/relationships/hyperlink" Target="https://docs.google.com/spreadsheets/d/1rbCD10ySi4YZEkJW2_Slmn9z7AI1WEsGsZaIJmnnT18/edit?gid=24415394" TargetMode="External"/><Relationship Id="rId799" Type="http://schemas.openxmlformats.org/officeDocument/2006/relationships/hyperlink" Target="https://docs.google.com/spreadsheets/d/1EI7qusa674eJhuaw-nWWtWMEHVSYMQv7HLsInEZTWpE/edit?gid=1658272252" TargetMode="External"/><Relationship Id="rId314" Type="http://schemas.openxmlformats.org/officeDocument/2006/relationships/hyperlink" Target="https://docs.google.com/spreadsheets/d/1H1MjbG2y0oC0hhID4do1G0_gfyI1jag72lQd7nL3WDQ/edit?gid=1858152678" TargetMode="External"/><Relationship Id="rId556" Type="http://schemas.openxmlformats.org/officeDocument/2006/relationships/hyperlink" Target="https://docs.google.com/spreadsheets/d/1rbCD10ySi4YZEkJW2_Slmn9z7AI1WEsGsZaIJmnnT18/edit?gid=1343620006" TargetMode="External"/><Relationship Id="rId798" Type="http://schemas.openxmlformats.org/officeDocument/2006/relationships/hyperlink" Target="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 TargetMode="External"/><Relationship Id="rId313" Type="http://schemas.openxmlformats.org/officeDocument/2006/relationships/hyperlink" Target="https://docs.google.com/spreadsheets/d/1H1MjbG2y0oC0hhID4do1G0_gfyI1jag72lQd7nL3WDQ/edit?gid=90787826" TargetMode="External"/><Relationship Id="rId555" Type="http://schemas.openxmlformats.org/officeDocument/2006/relationships/hyperlink" Target="https://docs.google.com/spreadsheets/d/1rbCD10ySi4YZEkJW2_Slmn9z7AI1WEsGsZaIJmnnT18/edit?gid=989193180" TargetMode="External"/><Relationship Id="rId797" Type="http://schemas.openxmlformats.org/officeDocument/2006/relationships/hyperlink" Target="https://docs.google.com/spreadsheets/d/1EI7qusa674eJhuaw-nWWtWMEHVSYMQv7HLsInEZTWpE/edit?gid=1745739766" TargetMode="External"/><Relationship Id="rId319" Type="http://schemas.openxmlformats.org/officeDocument/2006/relationships/hyperlink" Target="https://docs.google.com/spreadsheets/d/1H1MjbG2y0oC0hhID4do1G0_gfyI1jag72lQd7nL3WDQ/edit?gid=466795514" TargetMode="External"/><Relationship Id="rId318" Type="http://schemas.openxmlformats.org/officeDocument/2006/relationships/hyperlink" Target="https://docs.google.com/spreadsheets/d/1H1MjbG2y0oC0hhID4do1G0_gfyI1jag72lQd7nL3WDQ/edit?gid=1554437241" TargetMode="External"/><Relationship Id="rId317" Type="http://schemas.openxmlformats.org/officeDocument/2006/relationships/hyperlink" Target="https://docs.google.com/spreadsheets/d/1H1MjbG2y0oC0hhID4do1G0_gfyI1jag72lQd7nL3WDQ/edit?gid=1713147169" TargetMode="External"/><Relationship Id="rId559" Type="http://schemas.openxmlformats.org/officeDocument/2006/relationships/hyperlink" Target="https://docs.google.com/spreadsheets/d/1rbCD10ySi4YZEkJW2_Slmn9z7AI1WEsGsZaIJmnnT18/edit?gid=1885071932" TargetMode="External"/><Relationship Id="rId550" Type="http://schemas.openxmlformats.org/officeDocument/2006/relationships/hyperlink" Target="https://docs.google.com/spreadsheets/d/1rbCD10ySi4YZEkJW2_Slmn9z7AI1WEsGsZaIJmnnT18/edit?gid=1509093390" TargetMode="External"/><Relationship Id="rId792" Type="http://schemas.openxmlformats.org/officeDocument/2006/relationships/hyperlink" Target="https://docs.google.com/spreadsheets/d/1EI7qusa674eJhuaw-nWWtWMEHVSYMQv7HLsInEZTWpE/edit?gid=189831964" TargetMode="External"/><Relationship Id="rId791" Type="http://schemas.openxmlformats.org/officeDocument/2006/relationships/hyperlink" Target="https://disk.yandex.ru/client/disk/%D0%9E%D1%81%D0%BC%D0%BE%D1%82%D1%80%D1%8B%20%D0%BE%D0%B1%D1%8A%D0%B5%D0%BA%D1%82%D0%BE%D0%B2%20%D0%90%D0%9D%D0%9E%20%D0%A1%D0%9C%D0%93/059.%20%D0%9E%D0%B1%D1%80%D0%B0%D0%B7%D0%BE%D0%B2%D0%B0%D1%82%D0%B5%D0%BB%D1%8C%D0%BD%D1%8B%D0%B9%20%D0%BA%D0%BE%D0%BC%D0%BF%D0%BB%D0%B5%D0%BA%D1%81%20(%D0%A1%D0%9E%D0%A8%201350%2C%20%D0%94%D0%9E%D0%A3%20350)%20%D0%9D%D0%90%D0%9E%2C%20%D0%BF.%20%D0%94%D0%B5%D1%81%D0%B5%D0%BD%D0%BE%D0%B2%D1%81%D0%BA%D0%BE%D0%B5%2C%20%D0%96%D0%9A%20%C2%AB%D0%9D%D0%BE%D0%B2%D1%8B%D0%B5%20%D0%92%D0%B0%D1%82%D1%83%D1%82%D0%B8%D0%BD%D0%BA%D0%B8%C2%BB%20(%D0%BC%D0%BA%D1%80.%20%C2%AB%D0%94%D0%B5%D1%81%D0%BD%D0%B0%C2%BB)" TargetMode="External"/><Relationship Id="rId790" Type="http://schemas.openxmlformats.org/officeDocument/2006/relationships/hyperlink" Target="https://docs.google.com/spreadsheets/d/1EI7qusa674eJhuaw-nWWtWMEHVSYMQv7HLsInEZTWpE/edit?gid=1873773807" TargetMode="External"/><Relationship Id="rId312" Type="http://schemas.openxmlformats.org/officeDocument/2006/relationships/hyperlink" Target="https://docs.google.com/spreadsheets/d/1H1MjbG2y0oC0hhID4do1G0_gfyI1jag72lQd7nL3WDQ/edit?gid=575501291" TargetMode="External"/><Relationship Id="rId554" Type="http://schemas.openxmlformats.org/officeDocument/2006/relationships/hyperlink" Target="https://docs.google.com/spreadsheets/d/1rbCD10ySi4YZEkJW2_Slmn9z7AI1WEsGsZaIJmnnT18/edit?gid=1797830857" TargetMode="External"/><Relationship Id="rId796" Type="http://schemas.openxmlformats.org/officeDocument/2006/relationships/hyperlink" Target="https://disk.yandex.ru/client/disk/%D0%9E%D1%81%D0%BC%D0%BE%D1%82%D1%80%D1%8B%20%D0%BE%D0%B1%D1%8A%D0%B5%D0%BA%D1%82%D0%BE%D0%B2%20%D0%90%D0%9D%D0%9E%20%D0%A1%D0%9C%D0%93/1227.%20%D0%A4%D0%93%D0%91%D0%A3%D0%9A%20%C2%AB%D0%9F%D0%BE%D0%BB%D0%B8%D1%82%D0%B5%D1%85%D0%BD%D0%B8%D1%87%D0%B5%D1%81%D0%BA%D0%B8%D0%B9%20%D0%BC%D1%83%D0%B7%D0%B5%D0%B9%C2%BB" TargetMode="External"/><Relationship Id="rId311" Type="http://schemas.openxmlformats.org/officeDocument/2006/relationships/hyperlink" Target="https://docs.google.com/spreadsheets/d/1H1MjbG2y0oC0hhID4do1G0_gfyI1jag72lQd7nL3WDQ/edit?gid=1947915664" TargetMode="External"/><Relationship Id="rId553" Type="http://schemas.openxmlformats.org/officeDocument/2006/relationships/hyperlink" Target="https://docs.google.com/spreadsheets/d/1rbCD10ySi4YZEkJW2_Slmn9z7AI1WEsGsZaIJmnnT18/edit?gid=303416269" TargetMode="External"/><Relationship Id="rId795" Type="http://schemas.openxmlformats.org/officeDocument/2006/relationships/hyperlink" Target="https://disk.yandex.ru/client/disk/%D0%9E%D1%81%D0%BC%D0%BE%D1%82%D1%80%D1%8B%20%D0%BE%D0%B1%D1%8A%D0%B5%D0%BA%D1%82%D0%BE%D0%B2%20%D0%90%D0%9D%D0%9E%20%D0%A1%D0%9C%D0%93/1227.%20%D0%A4%D0%93%D0%91%D0%A3%D0%9A%20%C2%AB%D0%9F%D0%BE%D0%BB%D0%B8%D1%82%D0%B5%D1%85%D0%BD%D0%B8%D1%87%D0%B5%D1%81%D0%BA%D0%B8%D0%B9%20%D0%BC%D1%83%D0%B7%D0%B5%D0%B9%C2%BB" TargetMode="External"/><Relationship Id="rId310" Type="http://schemas.openxmlformats.org/officeDocument/2006/relationships/hyperlink" Target="https://docs.google.com/spreadsheets/d/1H1MjbG2y0oC0hhID4do1G0_gfyI1jag72lQd7nL3WDQ/edit?gid=1303982691" TargetMode="External"/><Relationship Id="rId552" Type="http://schemas.openxmlformats.org/officeDocument/2006/relationships/hyperlink" Target="https://docs.google.com/spreadsheets/d/1rbCD10ySi4YZEkJW2_Slmn9z7AI1WEsGsZaIJmnnT18/edit?gid=44169429" TargetMode="External"/><Relationship Id="rId794" Type="http://schemas.openxmlformats.org/officeDocument/2006/relationships/hyperlink" Target="https://docs.google.com/spreadsheets/d/1EI7qusa674eJhuaw-nWWtWMEHVSYMQv7HLsInEZTWpE/edit?gid=379079889" TargetMode="External"/><Relationship Id="rId551" Type="http://schemas.openxmlformats.org/officeDocument/2006/relationships/hyperlink" Target="https://docs.google.com/spreadsheets/d/1rbCD10ySi4YZEkJW2_Slmn9z7AI1WEsGsZaIJmnnT18/edit?gid=2115012790" TargetMode="External"/><Relationship Id="rId793"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 TargetMode="External"/><Relationship Id="rId297" Type="http://schemas.openxmlformats.org/officeDocument/2006/relationships/hyperlink" Target="https://docs.google.com/spreadsheets/d/1H1MjbG2y0oC0hhID4do1G0_gfyI1jag72lQd7nL3WDQ/edit?gid=803822262" TargetMode="External"/><Relationship Id="rId296" Type="http://schemas.openxmlformats.org/officeDocument/2006/relationships/hyperlink" Target="https://docs.google.com/spreadsheets/d/1H1MjbG2y0oC0hhID4do1G0_gfyI1jag72lQd7nL3WDQ/edit?gid=1722375014" TargetMode="External"/><Relationship Id="rId295" Type="http://schemas.openxmlformats.org/officeDocument/2006/relationships/hyperlink" Target="https://docs.google.com/spreadsheets/d/1H1MjbG2y0oC0hhID4do1G0_gfyI1jag72lQd7nL3WDQ/edit?gid=828728965" TargetMode="External"/><Relationship Id="rId294" Type="http://schemas.openxmlformats.org/officeDocument/2006/relationships/hyperlink" Target="https://docs.google.com/spreadsheets/d/1H1MjbG2y0oC0hhID4do1G0_gfyI1jag72lQd7nL3WDQ/edit?gid=1190352531" TargetMode="External"/><Relationship Id="rId299" Type="http://schemas.openxmlformats.org/officeDocument/2006/relationships/hyperlink" Target="https://docs.google.com/spreadsheets/d/1H1MjbG2y0oC0hhID4do1G0_gfyI1jag72lQd7nL3WDQ/edit?gid=372650495" TargetMode="External"/><Relationship Id="rId298" Type="http://schemas.openxmlformats.org/officeDocument/2006/relationships/hyperlink" Target="https://docs.google.com/spreadsheets/d/1H1MjbG2y0oC0hhID4do1G0_gfyI1jag72lQd7nL3WDQ/edit?gid=1973217010" TargetMode="External"/><Relationship Id="rId271" Type="http://schemas.openxmlformats.org/officeDocument/2006/relationships/hyperlink" Target="https://docs.google.com/spreadsheets/d/19THEBTE9q0fhN2eApZr6BgenIvLGh0AckaYxHQfHk5w/edit?gid=2057403759" TargetMode="External"/><Relationship Id="rId270" Type="http://schemas.openxmlformats.org/officeDocument/2006/relationships/hyperlink" Target="https://docs.google.com/spreadsheets/d/19THEBTE9q0fhN2eApZr6BgenIvLGh0AckaYxHQfHk5w/edit?gid=290660546" TargetMode="External"/><Relationship Id="rId269" Type="http://schemas.openxmlformats.org/officeDocument/2006/relationships/hyperlink" Target="https://docs.google.com/spreadsheets/d/19THEBTE9q0fhN2eApZr6BgenIvLGh0AckaYxHQfHk5w/edit?gid=2126809757" TargetMode="External"/><Relationship Id="rId264" Type="http://schemas.openxmlformats.org/officeDocument/2006/relationships/hyperlink" Target="https://docs.google.com/spreadsheets/d/1jonEGMB3UFHiUZpltF1zURon8gYN7jGSHu-k9t5TXnA/edit?gid=867799308" TargetMode="External"/><Relationship Id="rId263" Type="http://schemas.openxmlformats.org/officeDocument/2006/relationships/hyperlink" Target="https://docs.google.com/spreadsheets/d/1jonEGMB3UFHiUZpltF1zURon8gYN7jGSHu-k9t5TXnA/edit?gid=1179595420" TargetMode="External"/><Relationship Id="rId262" Type="http://schemas.openxmlformats.org/officeDocument/2006/relationships/hyperlink" Target="https://docs.google.com/spreadsheets/d/1EI7qusa674eJhuaw-nWWtWMEHVSYMQv7HLsInEZTWpE/edit?gid=501610529" TargetMode="External"/><Relationship Id="rId261" Type="http://schemas.openxmlformats.org/officeDocument/2006/relationships/hyperlink" Target="https://docs.google.com/spreadsheets/d/1jonEGMB3UFHiUZpltF1zURon8gYN7jGSHu-k9t5TXnA/edit?gid=654238193" TargetMode="External"/><Relationship Id="rId268" Type="http://schemas.openxmlformats.org/officeDocument/2006/relationships/hyperlink" Target="https://docs.google.com/spreadsheets/d/19THEBTE9q0fhN2eApZr6BgenIvLGh0AckaYxHQfHk5w/edit?gid=373423726" TargetMode="External"/><Relationship Id="rId267" Type="http://schemas.openxmlformats.org/officeDocument/2006/relationships/hyperlink" Target="https://docs.google.com/spreadsheets/d/19THEBTE9q0fhN2eApZr6BgenIvLGh0AckaYxHQfHk5w/edit?gid=1607211749" TargetMode="External"/><Relationship Id="rId266" Type="http://schemas.openxmlformats.org/officeDocument/2006/relationships/hyperlink" Target="https://docs.google.com/spreadsheets/d/19THEBTE9q0fhN2eApZr6BgenIvLGh0AckaYxHQfHk5w/edit?gid=1232288908" TargetMode="External"/><Relationship Id="rId265" Type="http://schemas.openxmlformats.org/officeDocument/2006/relationships/hyperlink" Target="https://docs.google.com/spreadsheets/d/1EI7qusa674eJhuaw-nWWtWMEHVSYMQv7HLsInEZTWpE/edit?gid=181219872" TargetMode="External"/><Relationship Id="rId260" Type="http://schemas.openxmlformats.org/officeDocument/2006/relationships/hyperlink" Target="https://docs.google.com/spreadsheets/d/19THEBTE9q0fhN2eApZr6BgenIvLGh0AckaYxHQfHk5w/edit?gid=42376877" TargetMode="External"/><Relationship Id="rId259" Type="http://schemas.openxmlformats.org/officeDocument/2006/relationships/hyperlink" Target="https://docs.google.com/spreadsheets/d/19THEBTE9q0fhN2eApZr6BgenIvLGh0AckaYxHQfHk5w/edit?gid=227683737" TargetMode="External"/><Relationship Id="rId258" Type="http://schemas.openxmlformats.org/officeDocument/2006/relationships/hyperlink" Target="https://docs.google.com/spreadsheets/d/19THEBTE9q0fhN2eApZr6BgenIvLGh0AckaYxHQfHk5w/edit?gid=1872010035" TargetMode="External"/><Relationship Id="rId253" Type="http://schemas.openxmlformats.org/officeDocument/2006/relationships/hyperlink" Target="https://docs.google.com/spreadsheets/d/19THEBTE9q0fhN2eApZr6BgenIvLGh0AckaYxHQfHk5w/edit?gid=1184026835" TargetMode="External"/><Relationship Id="rId495" Type="http://schemas.openxmlformats.org/officeDocument/2006/relationships/hyperlink" Target="https://docs.google.com/spreadsheets/d/1rbCD10ySi4YZEkJW2_Slmn9z7AI1WEsGsZaIJmnnT18/edit?gid=864849570" TargetMode="External"/><Relationship Id="rId252" Type="http://schemas.openxmlformats.org/officeDocument/2006/relationships/hyperlink" Target="https://docs.google.com/spreadsheets/d/19THEBTE9q0fhN2eApZr6BgenIvLGh0AckaYxHQfHk5w/edit?gid=117335017" TargetMode="External"/><Relationship Id="rId494" Type="http://schemas.openxmlformats.org/officeDocument/2006/relationships/hyperlink" Target="https://docs.google.com/spreadsheets/d/1rbCD10ySi4YZEkJW2_Slmn9z7AI1WEsGsZaIJmnnT18/edit?gid=113121864" TargetMode="External"/><Relationship Id="rId251" Type="http://schemas.openxmlformats.org/officeDocument/2006/relationships/hyperlink" Target="https://docs.google.com/spreadsheets/d/19THEBTE9q0fhN2eApZr6BgenIvLGh0AckaYxHQfHk5w/edit?gid=1599271911" TargetMode="External"/><Relationship Id="rId493" Type="http://schemas.openxmlformats.org/officeDocument/2006/relationships/hyperlink" Target="https://disk.yandex.ru/client/disk/%D0%9E%D1%81%D0%BC%D0%BE%D1%82%D1%80%D1%8B%20%D0%BE%D0%B1%D1%8A%D0%B5%D0%BA%D1%82%D0%BE%D0%B2%20%D0%90%D0%9D%D0%9E%20%D0%A1%D0%9C%D0%93/847.%203-%D1%8F%20%D0%9F%D1%80%D1%8F%D0%B4%D0%B8%D0%BB%D1%8C%D0%BD%D0%B0%D1%8F%20%D1%83%D0%BB.%2C%20%D0%B7%D1%83%201" TargetMode="External"/><Relationship Id="rId250" Type="http://schemas.openxmlformats.org/officeDocument/2006/relationships/hyperlink" Target="https://docs.google.com/spreadsheets/d/19THEBTE9q0fhN2eApZr6BgenIvLGh0AckaYxHQfHk5w/edit?gid=1762521778" TargetMode="External"/><Relationship Id="rId492" Type="http://schemas.openxmlformats.org/officeDocument/2006/relationships/hyperlink" Target="https://docs.google.com/spreadsheets/d/1rbCD10ySi4YZEkJW2_Slmn9z7AI1WEsGsZaIJmnnT18/edit?gid=187611865" TargetMode="External"/><Relationship Id="rId257" Type="http://schemas.openxmlformats.org/officeDocument/2006/relationships/hyperlink" Target="https://docs.google.com/spreadsheets/d/19THEBTE9q0fhN2eApZr6BgenIvLGh0AckaYxHQfHk5w/edit?gid=630818188" TargetMode="External"/><Relationship Id="rId499" Type="http://schemas.openxmlformats.org/officeDocument/2006/relationships/hyperlink" Target="https://disk.yandex.ru/client/disk/%D0%9E%D1%81%D0%BC%D0%BE%D1%82%D1%80%D1%8B%20%D0%BE%D0%B1%D1%8A%D0%B5%D0%BA%D1%82%D0%BE%D0%B2%20%D0%90%D0%9D%D0%9E%20%D0%A1%D0%9C%D0%93/667%2016-%D1%8F%20%D0%9F%D0%B0%D1%80%D0%BA%D0%BE%D0%B2%D0%B0%D1%8F%20%D0%B7%D1%83%2029%20%D0%90%20%D0%BA1%2C2%20" TargetMode="External"/><Relationship Id="rId256" Type="http://schemas.openxmlformats.org/officeDocument/2006/relationships/hyperlink" Target="https://docs.google.com/spreadsheets/d/19THEBTE9q0fhN2eApZr6BgenIvLGh0AckaYxHQfHk5w/edit?gid=1343159930" TargetMode="External"/><Relationship Id="rId498" Type="http://schemas.openxmlformats.org/officeDocument/2006/relationships/hyperlink" Target="https://docs.google.com/spreadsheets/d/1rbCD10ySi4YZEkJW2_Slmn9z7AI1WEsGsZaIJmnnT18/edit?gid=1285905712" TargetMode="External"/><Relationship Id="rId255" Type="http://schemas.openxmlformats.org/officeDocument/2006/relationships/hyperlink" Target="https://docs.google.com/spreadsheets/d/19THEBTE9q0fhN2eApZr6BgenIvLGh0AckaYxHQfHk5w/edit?gid=428469808" TargetMode="External"/><Relationship Id="rId497" Type="http://schemas.openxmlformats.org/officeDocument/2006/relationships/hyperlink" Target="https://docs.google.com/spreadsheets/d/1rbCD10ySi4YZEkJW2_Slmn9z7AI1WEsGsZaIJmnnT18/edit?gid=590422305" TargetMode="External"/><Relationship Id="rId254" Type="http://schemas.openxmlformats.org/officeDocument/2006/relationships/hyperlink" Target="https://docs.google.com/spreadsheets/d/19THEBTE9q0fhN2eApZr6BgenIvLGh0AckaYxHQfHk5w/edit?gid=39413399" TargetMode="External"/><Relationship Id="rId496" Type="http://schemas.openxmlformats.org/officeDocument/2006/relationships/hyperlink" Target="https://docs.google.com/spreadsheets/d/1rbCD10ySi4YZEkJW2_Slmn9z7AI1WEsGsZaIJmnnT18/edit?gid=1493713747" TargetMode="External"/><Relationship Id="rId293" Type="http://schemas.openxmlformats.org/officeDocument/2006/relationships/hyperlink" Target="https://docs.google.com/spreadsheets/d/1H1MjbG2y0oC0hhID4do1G0_gfyI1jag72lQd7nL3WDQ/edit?gid=1390124130" TargetMode="External"/><Relationship Id="rId292" Type="http://schemas.openxmlformats.org/officeDocument/2006/relationships/hyperlink" Target="https://docs.google.com/spreadsheets/d/1H1MjbG2y0oC0hhID4do1G0_gfyI1jag72lQd7nL3WDQ/edit?gid=1608828847" TargetMode="External"/><Relationship Id="rId291" Type="http://schemas.openxmlformats.org/officeDocument/2006/relationships/hyperlink" Target="https://docs.google.com/spreadsheets/d/1H1MjbG2y0oC0hhID4do1G0_gfyI1jag72lQd7nL3WDQ/edit?gid=1334279003" TargetMode="External"/><Relationship Id="rId290" Type="http://schemas.openxmlformats.org/officeDocument/2006/relationships/hyperlink" Target="https://docs.google.com/spreadsheets/d/1H1MjbG2y0oC0hhID4do1G0_gfyI1jag72lQd7nL3WDQ/edit?gid=1610263298" TargetMode="External"/><Relationship Id="rId286" Type="http://schemas.openxmlformats.org/officeDocument/2006/relationships/hyperlink" Target="https://docs.google.com/spreadsheets/d/1H1MjbG2y0oC0hhID4do1G0_gfyI1jag72lQd7nL3WDQ/edit?gid=173783422" TargetMode="External"/><Relationship Id="rId285" Type="http://schemas.openxmlformats.org/officeDocument/2006/relationships/hyperlink" Target="https://docs.google.com/spreadsheets/d/1H1MjbG2y0oC0hhID4do1G0_gfyI1jag72lQd7nL3WDQ/edit?gid=1165883041" TargetMode="External"/><Relationship Id="rId284" Type="http://schemas.openxmlformats.org/officeDocument/2006/relationships/hyperlink" Target="https://docs.google.com/spreadsheets/d/1H1MjbG2y0oC0hhID4do1G0_gfyI1jag72lQd7nL3WDQ/edit?gid=363768853" TargetMode="External"/><Relationship Id="rId283" Type="http://schemas.openxmlformats.org/officeDocument/2006/relationships/hyperlink" Target="https://docs.google.com/spreadsheets/d/1H1MjbG2y0oC0hhID4do1G0_gfyI1jag72lQd7nL3WDQ/edit?gid=238235358" TargetMode="External"/><Relationship Id="rId289" Type="http://schemas.openxmlformats.org/officeDocument/2006/relationships/hyperlink" Target="https://docs.google.com/spreadsheets/d/1H1MjbG2y0oC0hhID4do1G0_gfyI1jag72lQd7nL3WDQ/edit?gid=291002696" TargetMode="External"/><Relationship Id="rId288" Type="http://schemas.openxmlformats.org/officeDocument/2006/relationships/hyperlink" Target="https://docs.google.com/spreadsheets/d/1H1MjbG2y0oC0hhID4do1G0_gfyI1jag72lQd7nL3WDQ/edit?gid=325961003" TargetMode="External"/><Relationship Id="rId287" Type="http://schemas.openxmlformats.org/officeDocument/2006/relationships/hyperlink" Target="https://docs.google.com/spreadsheets/d/1H1MjbG2y0oC0hhID4do1G0_gfyI1jag72lQd7nL3WDQ/edit?gid=1413670863" TargetMode="External"/><Relationship Id="rId282" Type="http://schemas.openxmlformats.org/officeDocument/2006/relationships/hyperlink" Target="https://docs.google.com/spreadsheets/d/1H1MjbG2y0oC0hhID4do1G0_gfyI1jag72lQd7nL3WDQ/edit?gid=598220388" TargetMode="External"/><Relationship Id="rId281" Type="http://schemas.openxmlformats.org/officeDocument/2006/relationships/hyperlink" Target="https://docs.google.com/spreadsheets/d/1H1MjbG2y0oC0hhID4do1G0_gfyI1jag72lQd7nL3WDQ/edit?gid=1943197822" TargetMode="External"/><Relationship Id="rId280" Type="http://schemas.openxmlformats.org/officeDocument/2006/relationships/hyperlink" Target="https://docs.google.com/spreadsheets/d/1H1MjbG2y0oC0hhID4do1G0_gfyI1jag72lQd7nL3WDQ/edit?gid=1086247611" TargetMode="External"/><Relationship Id="rId275" Type="http://schemas.openxmlformats.org/officeDocument/2006/relationships/hyperlink" Target="https://docs.google.com/spreadsheets/d/1H1MjbG2y0oC0hhID4do1G0_gfyI1jag72lQd7nL3WDQ/edit?gid=56472241" TargetMode="External"/><Relationship Id="rId274" Type="http://schemas.openxmlformats.org/officeDocument/2006/relationships/hyperlink" Target="https://docs.google.com/spreadsheets/d/1H1MjbG2y0oC0hhID4do1G0_gfyI1jag72lQd7nL3WDQ/edit?gid=1593101561" TargetMode="External"/><Relationship Id="rId273" Type="http://schemas.openxmlformats.org/officeDocument/2006/relationships/hyperlink" Target="https://docs.google.com/spreadsheets/d/1H1MjbG2y0oC0hhID4do1G0_gfyI1jag72lQd7nL3WDQ/edit?gid=1062247251" TargetMode="External"/><Relationship Id="rId272" Type="http://schemas.openxmlformats.org/officeDocument/2006/relationships/hyperlink" Target="https://docs.google.com/spreadsheets/d/1H1MjbG2y0oC0hhID4do1G0_gfyI1jag72lQd7nL3WDQ/edit?gid=1354888420" TargetMode="External"/><Relationship Id="rId279" Type="http://schemas.openxmlformats.org/officeDocument/2006/relationships/hyperlink" Target="https://docs.google.com/spreadsheets/d/1H1MjbG2y0oC0hhID4do1G0_gfyI1jag72lQd7nL3WDQ/edit?gid=257429727" TargetMode="External"/><Relationship Id="rId278" Type="http://schemas.openxmlformats.org/officeDocument/2006/relationships/hyperlink" Target="https://docs.google.com/spreadsheets/d/19THEBTE9q0fhN2eApZr6BgenIvLGh0AckaYxHQfHk5w/edit?gid=923737212" TargetMode="External"/><Relationship Id="rId277" Type="http://schemas.openxmlformats.org/officeDocument/2006/relationships/hyperlink" Target="https://docs.google.com/spreadsheets/d/1H1MjbG2y0oC0hhID4do1G0_gfyI1jag72lQd7nL3WDQ/edit?gid=1217957109" TargetMode="External"/><Relationship Id="rId276" Type="http://schemas.openxmlformats.org/officeDocument/2006/relationships/hyperlink" Target="https://docs.google.com/spreadsheets/d/1H1MjbG2y0oC0hhID4do1G0_gfyI1jag72lQd7nL3WDQ/edit?gid=994638175" TargetMode="External"/><Relationship Id="rId907" Type="http://schemas.openxmlformats.org/officeDocument/2006/relationships/hyperlink" Target="https://docs.google.com/spreadsheets/d/1EI7qusa674eJhuaw-nWWtWMEHVSYMQv7HLsInEZTWpE/edit?gid=380520667" TargetMode="External"/><Relationship Id="rId906" Type="http://schemas.openxmlformats.org/officeDocument/2006/relationships/hyperlink" Target="https://docs.google.com/spreadsheets/d/1EI7qusa674eJhuaw-nWWtWMEHVSYMQv7HLsInEZTWpE/edit?gid=233188902" TargetMode="External"/><Relationship Id="rId905" Type="http://schemas.openxmlformats.org/officeDocument/2006/relationships/hyperlink" Target="https://docs.google.com/spreadsheets/d/1EI7qusa674eJhuaw-nWWtWMEHVSYMQv7HLsInEZTWpE/edit?gid=186003248" TargetMode="External"/><Relationship Id="rId904" Type="http://schemas.openxmlformats.org/officeDocument/2006/relationships/hyperlink" Target="https://docs.google.com/spreadsheets/d/1EI7qusa674eJhuaw-nWWtWMEHVSYMQv7HLsInEZTWpE/edit?gid=1756552387" TargetMode="External"/><Relationship Id="rId909" Type="http://schemas.openxmlformats.org/officeDocument/2006/relationships/hyperlink" Target="https://disk.yandex.ru/client/disk/%D0%9E%D1%81%D0%BC%D0%BE%D1%82%D1%80%D1%8B%20%D0%BE%D0%B1%D1%8A%D0%B5%D0%BA%D1%82%D0%BE%D0%B2%20%D0%90%D0%9D%D0%9E%20%D0%A1%D0%9C%D0%93/1220%20%D0%9A%D1%80%D0%B0%D1%81%D0%BD%D0%BE%D0%BA%D0%B0%D0%B7%D0%B0%D1%80%D0%BC%D0%B5%D0%BD%D0%BD%D0%B0%D1%8F%2015%20%D0%94%D0%9E%D0%9E%20%D0%BD%D0%B0%20110%20%D0%BC%D0%B5%D1%81%D1%82%20" TargetMode="External"/><Relationship Id="rId908" Type="http://schemas.openxmlformats.org/officeDocument/2006/relationships/hyperlink" Target="https://docs.google.com/spreadsheets/d/1EI7qusa674eJhuaw-nWWtWMEHVSYMQv7HLsInEZTWpE/edit?gid=813124693" TargetMode="External"/><Relationship Id="rId903" Type="http://schemas.openxmlformats.org/officeDocument/2006/relationships/hyperlink" Target="https://docs.google.com/spreadsheets/d/1EI7qusa674eJhuaw-nWWtWMEHVSYMQv7HLsInEZTWpE/edit?gid=1542653489" TargetMode="External"/><Relationship Id="rId902" Type="http://schemas.openxmlformats.org/officeDocument/2006/relationships/hyperlink" Target="https://disk.yandex.ru/client/disk/%D0%9E%D1%81%D0%BC%D0%BE%D1%82%D1%80%D1%8B%20%D0%BE%D0%B1%D1%8A%D0%B5%D0%BA%D1%82%D0%BE%D0%B2%20%D0%90%D0%9D%D0%9E%20%D0%A1%D0%9C%D0%93/1207%20%D0%94%D0%9E%D0%A3%20150%20%D0%9A%D0%BE%D1%80%D0%BE%D0%B2%D0%B8%D0%BD%D1%81%D0%BA%D0%BE%D0%B5%20%D1%88%D0%BE%D1%81%D1%81%D0%B5" TargetMode="External"/><Relationship Id="rId901" Type="http://schemas.openxmlformats.org/officeDocument/2006/relationships/hyperlink" Target="https://docs.google.com/spreadsheets/d/1EI7qusa674eJhuaw-nWWtWMEHVSYMQv7HLsInEZTWpE/edit?gid=32220211" TargetMode="External"/><Relationship Id="rId900" Type="http://schemas.openxmlformats.org/officeDocument/2006/relationships/hyperlink" Target="https://docs.google.com/spreadsheets/d/1EI7qusa674eJhuaw-nWWtWMEHVSYMQv7HLsInEZTWpE/edit?gid=388114595" TargetMode="External"/><Relationship Id="rId929" Type="http://schemas.openxmlformats.org/officeDocument/2006/relationships/hyperlink" Target="https://docs.google.com/spreadsheets/d/1EI7qusa674eJhuaw-nWWtWMEHVSYMQv7HLsInEZTWpE/edit?gid=1718528248" TargetMode="External"/><Relationship Id="rId928" Type="http://schemas.openxmlformats.org/officeDocument/2006/relationships/hyperlink" Target="https://disk.yandex.ru/d/Ty3YtVPOrmVJ6A" TargetMode="External"/><Relationship Id="rId927" Type="http://schemas.openxmlformats.org/officeDocument/2006/relationships/hyperlink" Target="https://docs.google.com/spreadsheets/d/1EI7qusa674eJhuaw-nWWtWMEHVSYMQv7HLsInEZTWpE/edit?gid=625849428" TargetMode="External"/><Relationship Id="rId926" Type="http://schemas.openxmlformats.org/officeDocument/2006/relationships/hyperlink" Target="https://docs.google.com/spreadsheets/d/1EI7qusa674eJhuaw-nWWtWMEHVSYMQv7HLsInEZTWpE/edit?gid=284186374" TargetMode="External"/><Relationship Id="rId921" Type="http://schemas.openxmlformats.org/officeDocument/2006/relationships/hyperlink" Target="https://docs.google.com/spreadsheets/d/1EI7qusa674eJhuaw-nWWtWMEHVSYMQv7HLsInEZTWpE/edit?gid=1777992828" TargetMode="External"/><Relationship Id="rId920" Type="http://schemas.openxmlformats.org/officeDocument/2006/relationships/hyperlink" Target="https://docs.google.com/spreadsheets/d/1EI7qusa674eJhuaw-nWWtWMEHVSYMQv7HLsInEZTWpE/edit?gid=1258137078" TargetMode="External"/><Relationship Id="rId925" Type="http://schemas.openxmlformats.org/officeDocument/2006/relationships/hyperlink" Target="https://docs.google.com/spreadsheets/d/1EI7qusa674eJhuaw-nWWtWMEHVSYMQv7HLsInEZTWpE/edit?gid=1920949313" TargetMode="External"/><Relationship Id="rId924" Type="http://schemas.openxmlformats.org/officeDocument/2006/relationships/hyperlink" Target="https://docs.google.com/spreadsheets/d/1EI7qusa674eJhuaw-nWWtWMEHVSYMQv7HLsInEZTWpE/edit?gid=250650053" TargetMode="External"/><Relationship Id="rId923" Type="http://schemas.openxmlformats.org/officeDocument/2006/relationships/hyperlink" Target="https://docs.google.com/spreadsheets/d/1EI7qusa674eJhuaw-nWWtWMEHVSYMQv7HLsInEZTWpE/edit?gid=1902497282" TargetMode="External"/><Relationship Id="rId922" Type="http://schemas.openxmlformats.org/officeDocument/2006/relationships/hyperlink" Target="https://docs.google.com/spreadsheets/d/1EI7qusa674eJhuaw-nWWtWMEHVSYMQv7HLsInEZTWpE/edit?gid=1173454533" TargetMode="External"/><Relationship Id="rId918" Type="http://schemas.openxmlformats.org/officeDocument/2006/relationships/hyperlink" Target="https://docs.google.com/spreadsheets/d/1H1MjbG2y0oC0hhID4do1G0_gfyI1jag72lQd7nL3WDQ/edit?gid=1483885127" TargetMode="External"/><Relationship Id="rId917" Type="http://schemas.openxmlformats.org/officeDocument/2006/relationships/hyperlink" Target="https://docs.google.com/spreadsheets/d/1EI7qusa674eJhuaw-nWWtWMEHVSYMQv7HLsInEZTWpE/edit?gid=370620314" TargetMode="External"/><Relationship Id="rId916" Type="http://schemas.openxmlformats.org/officeDocument/2006/relationships/hyperlink" Target="https://docs.google.com/spreadsheets/d/1EI7qusa674eJhuaw-nWWtWMEHVSYMQv7HLsInEZTWpE/edit?gid=336437889" TargetMode="External"/><Relationship Id="rId915" Type="http://schemas.openxmlformats.org/officeDocument/2006/relationships/hyperlink" Target="https://docs.google.com/spreadsheets/d/1EI7qusa674eJhuaw-nWWtWMEHVSYMQv7HLsInEZTWpE/edit?gid=82996176" TargetMode="External"/><Relationship Id="rId919" Type="http://schemas.openxmlformats.org/officeDocument/2006/relationships/hyperlink" Target="https://docs.google.com/spreadsheets/d/1H1MjbG2y0oC0hhID4do1G0_gfyI1jag72lQd7nL3WDQ/edit?gid=1483885127" TargetMode="External"/><Relationship Id="rId910" Type="http://schemas.openxmlformats.org/officeDocument/2006/relationships/hyperlink" Target="https://docs.google.com/spreadsheets/d/1EI7qusa674eJhuaw-nWWtWMEHVSYMQv7HLsInEZTWpE/edit?gid=482272231" TargetMode="External"/><Relationship Id="rId914" Type="http://schemas.openxmlformats.org/officeDocument/2006/relationships/hyperlink" Target="https://docs.google.com/spreadsheets/d/1EI7qusa674eJhuaw-nWWtWMEHVSYMQv7HLsInEZTWpE/edit?gid=1822571783" TargetMode="External"/><Relationship Id="rId913" Type="http://schemas.openxmlformats.org/officeDocument/2006/relationships/hyperlink" Target="https://docs.google.com/spreadsheets/d/1EI7qusa674eJhuaw-nWWtWMEHVSYMQv7HLsInEZTWpE/edit?gid=1550603494" TargetMode="External"/><Relationship Id="rId912" Type="http://schemas.openxmlformats.org/officeDocument/2006/relationships/hyperlink" Target="https://docs.google.com/spreadsheets/d/1EI7qusa674eJhuaw-nWWtWMEHVSYMQv7HLsInEZTWpE/edit?gid=975659733" TargetMode="External"/><Relationship Id="rId911" Type="http://schemas.openxmlformats.org/officeDocument/2006/relationships/hyperlink" Target="https://disk.yandex.ru/client/disk/%D0%9E%D1%81%D0%BC%D0%BE%D1%82%D1%80%D1%8B%20%D0%BE%D0%B1%D1%8A%D0%B5%D0%BA%D1%82%D0%BE%D0%B2%20%D0%90%D0%9D%D0%9E%20%D0%A1%D0%9C%D0%93/053.%20%D0%94%D0%9E%D0%A3%20%D0%BD%D0%B0%20225%20%D0%BC%D0%B5%D1%81%D1%82.%20%D0%A1%D0%BE%D1%81%D0%B5%D0%BD%D1%81%D0%BA%D0%BE%D0%B5%2C%20%D0%BF%D0%BE%D1%81.%20%D0%93%D0%B0%D0%B7%D0%BE%D0%BF%D1%80%D0%BE%D0%B2%D0%BE%D0%B4.%20%D0%96%D0%9A%20%D0%9D%D0%BE%D0%B2%D0%B0%D1%8F%20%D0%97%D0%B2%D0%B5%D0%B7%D0%B4%D0%B0" TargetMode="External"/><Relationship Id="rId629" Type="http://schemas.openxmlformats.org/officeDocument/2006/relationships/hyperlink" Target="https://docs.google.com/spreadsheets/d/1rbCD10ySi4YZEkJW2_Slmn9z7AI1WEsGsZaIJmnnT18/edit?gid=199700122" TargetMode="External"/><Relationship Id="rId624" Type="http://schemas.openxmlformats.org/officeDocument/2006/relationships/hyperlink" Target="https://docs.google.com/spreadsheets/d/1rbCD10ySi4YZEkJW2_Slmn9z7AI1WEsGsZaIJmnnT18/edit?gid=80972844" TargetMode="External"/><Relationship Id="rId866" Type="http://schemas.openxmlformats.org/officeDocument/2006/relationships/hyperlink" Target="https://disk.yandex.ru/client/disk/%D0%9E%D1%81%D0%BC%D0%BE%D1%82%D1%80%D1%8B%20%D0%BE%D0%B1%D1%8A%D0%B5%D0%BA%D1%82%D0%BE%D0%B2%20%D0%90%D0%9D%D0%9E%20%D0%A1%D0%9C%D0%93/1191.%20%D0%A3%D1%87%D0%B5%D0%B1%D0%BD%D1%8B%D0%B9%20%D0%BA%D0%BE%D0%BC%D0%BF%D0%BB%D0%B5%D0%BA%D1%81%20%D1%81%20%D0%B1%D0%BB%D0%BE%D0%BA%D0%BE%D0%BC%20%D0%BD%D0%B0%D1%87%D0%B0%D0%BB%D1%8C%D0%BD%D1%8B%D1%85%20%D0%BA%D0%BB%D0%B0%D1%81%D1%81%D0%BE%D0%B2%20%D0%BD%D0%B0%20225%20%D0%BC%D0%B5%D1%81%D1%82%20%D0%B8%20%D0%94%D0%9E%D0%9E%20%D0%BD%D0%B0%20125%20%D0%BC%D0%B5%D1%81%D1%82%20(4%20%D1%8D%D1%82%D0%B0%D0%BF)" TargetMode="External"/><Relationship Id="rId623" Type="http://schemas.openxmlformats.org/officeDocument/2006/relationships/hyperlink" Target="https://docs.google.com/spreadsheets/d/1rbCD10ySi4YZEkJW2_Slmn9z7AI1WEsGsZaIJmnnT18/edit?gid=138432593" TargetMode="External"/><Relationship Id="rId865" Type="http://schemas.openxmlformats.org/officeDocument/2006/relationships/hyperlink" Target="https://docs.google.com/spreadsheets/d/1EI7qusa674eJhuaw-nWWtWMEHVSYMQv7HLsInEZTWpE/edit?gid=194199893" TargetMode="External"/><Relationship Id="rId622" Type="http://schemas.openxmlformats.org/officeDocument/2006/relationships/hyperlink" Target="https://docs.google.com/spreadsheets/d/1rbCD10ySi4YZEkJW2_Slmn9z7AI1WEsGsZaIJmnnT18/edit?gid=1234676505" TargetMode="External"/><Relationship Id="rId864" Type="http://schemas.openxmlformats.org/officeDocument/2006/relationships/hyperlink" Target="https://disk.yandex.ru/client/disk/%D0%9E%D1%81%D0%BC%D0%BE%D1%82%D1%80%D1%8B%20%D0%BE%D0%B1%D1%8A%D0%B5%D0%BA%D1%82%D0%BE%D0%B2%20%D0%90%D0%9D%D0%9E%20%D0%A1%D0%9C%D0%93/1194.%20%D0%9F%D0%B5%D1%80%D0%BE%D0%B2%D1%81%D0%BA%D0%BE%D0%B5%20%D1%88%D0%BE%D1%81%D1%81%D0%B5%2C%202.%20%D0%A3%D1%87%D0%B5%D0%B1%D0%BD%D1%8B%D0%B9%20%D0%BA%D0%BE%D1%80%D0%BF%D1%83%D1%81%20%D0%BD%D0%B0%20200%20%D1%88%D0%BA%D0%BE%D0%BB%D1%8C%D0%BD%D1%8B%D1%85%20%D0%BC%D0%B5%D1%81%D1%82%20%D0%B8%20200%20%D0%B4%D0%BE%D1%88%D0%BA%D0%BE%D0%BB%D1%8C%D0%BD%D1%8B%D1%85%20%D0%BC%D0%B5%D1%81%D1%82" TargetMode="External"/><Relationship Id="rId621" Type="http://schemas.openxmlformats.org/officeDocument/2006/relationships/hyperlink" Target="https://docs.google.com/spreadsheets/d/1rbCD10ySi4YZEkJW2_Slmn9z7AI1WEsGsZaIJmnnT18/edit?gid=1242332740" TargetMode="External"/><Relationship Id="rId863" Type="http://schemas.openxmlformats.org/officeDocument/2006/relationships/hyperlink" Target="https://docs.google.com/spreadsheets/d/1EI7qusa674eJhuaw-nWWtWMEHVSYMQv7HLsInEZTWpE/edit?gid=1206342730" TargetMode="External"/><Relationship Id="rId628" Type="http://schemas.openxmlformats.org/officeDocument/2006/relationships/hyperlink" Target="https://docs.google.com/spreadsheets/d/1rbCD10ySi4YZEkJW2_Slmn9z7AI1WEsGsZaIJmnnT18/edit?gid=482221305" TargetMode="External"/><Relationship Id="rId627" Type="http://schemas.openxmlformats.org/officeDocument/2006/relationships/hyperlink" Target="https://docs.google.com/spreadsheets/d/1rbCD10ySi4YZEkJW2_Slmn9z7AI1WEsGsZaIJmnnT18/edit?gid=868904483" TargetMode="External"/><Relationship Id="rId869" Type="http://schemas.openxmlformats.org/officeDocument/2006/relationships/hyperlink" Target="https://docs.google.com/spreadsheets/d/1EI7qusa674eJhuaw-nWWtWMEHVSYMQv7HLsInEZTWpE/edit?gid=44399105" TargetMode="External"/><Relationship Id="rId626" Type="http://schemas.openxmlformats.org/officeDocument/2006/relationships/hyperlink" Target="https://docs.google.com/spreadsheets/d/1rbCD10ySi4YZEkJW2_Slmn9z7AI1WEsGsZaIJmnnT18/edit?gid=196703328" TargetMode="External"/><Relationship Id="rId868" Type="http://schemas.openxmlformats.org/officeDocument/2006/relationships/hyperlink" Target="https://disk.yandex.ru/client/disk/%D0%9E%D1%81%D0%BC%D0%BE%D1%82%D1%80%D1%8B%20%D0%BE%D0%B1%D1%8A%D0%B5%D0%BA%D1%82%D0%BE%D0%B2%20%D0%90%D0%9D%D0%9E%20%D0%A1%D0%9C%D0%93/1197%20%D0%BB%D1%8E%D0%B1%D0%BB%D0%B8%D0%BD%D1%81%D0%BA%D0%B0%D1%8F%2072%20%D0%A8%D0%BA%D0%BE%D0%BB%D0%B0%20%D0%BD%D0%B0%202200%20%D0%BC%D0%B5%D1%81%D1%82%20" TargetMode="External"/><Relationship Id="rId625" Type="http://schemas.openxmlformats.org/officeDocument/2006/relationships/hyperlink" Target="https://docs.google.com/spreadsheets/d/1rbCD10ySi4YZEkJW2_Slmn9z7AI1WEsGsZaIJmnnT18/edit?gid=2108967906" TargetMode="External"/><Relationship Id="rId867" Type="http://schemas.openxmlformats.org/officeDocument/2006/relationships/hyperlink" Target="https://docs.google.com/spreadsheets/d/1EI7qusa674eJhuaw-nWWtWMEHVSYMQv7HLsInEZTWpE/edit?gid=1736090729" TargetMode="External"/><Relationship Id="rId620" Type="http://schemas.openxmlformats.org/officeDocument/2006/relationships/hyperlink" Target="https://docs.google.com/spreadsheets/d/1rbCD10ySi4YZEkJW2_Slmn9z7AI1WEsGsZaIJmnnT18/edit?gid=1472127211" TargetMode="External"/><Relationship Id="rId862" Type="http://schemas.openxmlformats.org/officeDocument/2006/relationships/hyperlink" Target="https://disk.yandex.ru/client/disk/%D0%9E%D1%81%D0%BC%D0%BE%D1%82%D1%80%D1%8B%20%D0%BE%D0%B1%D1%8A%D0%B5%D0%BA%D1%82%D0%BE%D0%B2%20%D0%90%D0%9D%D0%9E%20%D0%A1%D0%9C%D0%93/1189.%20%D0%A3%D1%87%D0%B5%D0%B1%D0%BD%D1%8B%D0%B9%20%D0%BA%D0%BE%D0%BC%D0%BF%D0%BB%D0%B5%D0%BA%D1%81%20%D1%81%20%D0%B1%D0%BB%D0%BE%D0%BA%D0%BE%D0%BC%20%D0%BD%D0%B0%D1%87%D0%B0%D0%BB%D1%8C%D0%BD%D1%8B%D1%85%20%D0%BA%D0%BB%D0%B0%D1%81%D1%81%D0%BE%D0%B2%20%D0%BD%D0%B0%20300%20%D0%BC%D0%B5%D1%81%D1%82%20%D0%B8%20%D0%94%D0%9E%D0%9E%20%D0%BD%D0%B0%20150%20%D0%BC%D0%B5%D1%81%D1%82%2C%20%D0%9A%D1%80%D0%BE%D0%BD%D1%88%D1%82%D0%B0%D0%B4%D1%82%D1%81%D0%BA%D0%B8%D0%B9%20%D0%B1%D1%83%D0%BB%D1%8C%D0%B2%D0%B0%D1%80%2C%20%D0%B2%D0%BB.%2014%20" TargetMode="External"/><Relationship Id="rId861" Type="http://schemas.openxmlformats.org/officeDocument/2006/relationships/hyperlink" Target="https://docs.google.com/spreadsheets/d/1EI7qusa674eJhuaw-nWWtWMEHVSYMQv7HLsInEZTWpE/edit?gid=1752517199" TargetMode="External"/><Relationship Id="rId860" Type="http://schemas.openxmlformats.org/officeDocument/2006/relationships/hyperlink" Target="https://docs.google.com/spreadsheets/d/1EI7qusa674eJhuaw-nWWtWMEHVSYMQv7HLsInEZTWpE/edit?gid=1927186728" TargetMode="External"/><Relationship Id="rId619" Type="http://schemas.openxmlformats.org/officeDocument/2006/relationships/hyperlink" Target="https://docs.google.com/spreadsheets/d/1rbCD10ySi4YZEkJW2_Slmn9z7AI1WEsGsZaIJmnnT18/edit?gid=1832052773" TargetMode="External"/><Relationship Id="rId618" Type="http://schemas.openxmlformats.org/officeDocument/2006/relationships/hyperlink" Target="https://docs.google.com/spreadsheets/d/1rbCD10ySi4YZEkJW2_Slmn9z7AI1WEsGsZaIJmnnT18/edit?gid=865770584" TargetMode="External"/><Relationship Id="rId613" Type="http://schemas.openxmlformats.org/officeDocument/2006/relationships/hyperlink" Target="https://docs.google.com/spreadsheets/d/1rbCD10ySi4YZEkJW2_Slmn9z7AI1WEsGsZaIJmnnT18/edit?gid=2057992272" TargetMode="External"/><Relationship Id="rId855" Type="http://schemas.openxmlformats.org/officeDocument/2006/relationships/hyperlink" Target="https://docs.google.com/spreadsheets/d/1EI7qusa674eJhuaw-nWWtWMEHVSYMQv7HLsInEZTWpE/edit?gid=321356533" TargetMode="External"/><Relationship Id="rId612" Type="http://schemas.openxmlformats.org/officeDocument/2006/relationships/hyperlink" Target="https://docs.google.com/spreadsheets/d/1rbCD10ySi4YZEkJW2_Slmn9z7AI1WEsGsZaIJmnnT18/edit?gid=1262206675" TargetMode="External"/><Relationship Id="rId854" Type="http://schemas.openxmlformats.org/officeDocument/2006/relationships/hyperlink" Target="https://docs.google.com/spreadsheets/d/1EI7qusa674eJhuaw-nWWtWMEHVSYMQv7HLsInEZTWpE/edit?gid=2077416738" TargetMode="External"/><Relationship Id="rId611" Type="http://schemas.openxmlformats.org/officeDocument/2006/relationships/hyperlink" Target="https://docs.google.com/spreadsheets/d/1rbCD10ySi4YZEkJW2_Slmn9z7AI1WEsGsZaIJmnnT18/edit?gid=1676819339" TargetMode="External"/><Relationship Id="rId853" Type="http://schemas.openxmlformats.org/officeDocument/2006/relationships/hyperlink" Target="https://docs.google.com/spreadsheets/d/1EI7qusa674eJhuaw-nWWtWMEHVSYMQv7HLsInEZTWpE/edit?gid=413594252" TargetMode="External"/><Relationship Id="rId610" Type="http://schemas.openxmlformats.org/officeDocument/2006/relationships/hyperlink" Target="https://docs.google.com/spreadsheets/d/1rbCD10ySi4YZEkJW2_Slmn9z7AI1WEsGsZaIJmnnT18/edit?gid=445422518" TargetMode="External"/><Relationship Id="rId852" Type="http://schemas.openxmlformats.org/officeDocument/2006/relationships/hyperlink" Target="https://disk.yandex.ru/client/disk/%D0%9E%D1%81%D0%BC%D0%BE%D1%82%D1%80%D1%8B%20%D0%BE%D0%B1%D1%8A%D0%B5%D0%BA%D1%82%D0%BE%D0%B2%20%D0%90%D0%9D%D0%9E%20%D0%A1%D0%9C%D0%93/1188.%20%D0%9E%D0%B1%D1%89%D0%B5%D0%BE%D0%B1%D1%80%D0%B0%D0%B7%D0%BE%D0%B2%D0%B0%D1%82%D0%B5%D0%BB%D1%8C%D0%BD%D0%B0%D1%8F%20%D0%BE%D1%80%D0%B3%D0%B0%D0%BD%D0%B8%D0%B7%D0%B0%D1%86%D0%B8%D1%8F%20%D0%BD%D0%B0%201100%20%D0%BC%D0%B5%D1%81%D1%82%20%D0%BA%D0%BE%D1%80%D0%BF%D1%83%D1%81%207%2C%20%D0%9F%D0%BE%D0%BB%D1%8F%D1%80%D0%BD%D0%B0%D1%8F%20%D1%83%D0%BB.%20%D0%B2%D0%BB.%2025%20" TargetMode="External"/><Relationship Id="rId617" Type="http://schemas.openxmlformats.org/officeDocument/2006/relationships/hyperlink" Target="https://docs.google.com/spreadsheets/d/1rbCD10ySi4YZEkJW2_Slmn9z7AI1WEsGsZaIJmnnT18/edit?gid=1009116353" TargetMode="External"/><Relationship Id="rId859" Type="http://schemas.openxmlformats.org/officeDocument/2006/relationships/hyperlink" Target="https://docs.google.com/spreadsheets/d/1EI7qusa674eJhuaw-nWWtWMEHVSYMQv7HLsInEZTWpE/edit?gid=1381599542" TargetMode="External"/><Relationship Id="rId616" Type="http://schemas.openxmlformats.org/officeDocument/2006/relationships/hyperlink" Target="https://docs.google.com/spreadsheets/d/1rbCD10ySi4YZEkJW2_Slmn9z7AI1WEsGsZaIJmnnT18/edit?gid=558650933" TargetMode="External"/><Relationship Id="rId858" Type="http://schemas.openxmlformats.org/officeDocument/2006/relationships/hyperlink" Target="https://docs.google.com/spreadsheets/d/1EI7qusa674eJhuaw-nWWtWMEHVSYMQv7HLsInEZTWpE/edit?gid=234009661" TargetMode="External"/><Relationship Id="rId615" Type="http://schemas.openxmlformats.org/officeDocument/2006/relationships/hyperlink" Target="https://disk.yandex.ru/client/disk/%D0%9E%D1%81%D0%BC%D0%BE%D1%82%D1%80%D1%8B%20%D0%BE%D0%B1%D1%8A%D0%B5%D0%BA%D1%82%D0%BE%D0%B2%20%D0%90%D0%9D%D0%9E%20%D0%A1%D0%9C%D0%93/662%20%D0%A1%D0%B2%D0%BE%D0%B1%D0%BE%D0%B4%D0%BD%D1%8B%D0%B9%20%D0%BF%D1%80-%D0%BA%D1%82%2C%20%D0%B2%D0%BB.%206%20%D0%BA1%20" TargetMode="External"/><Relationship Id="rId857" Type="http://schemas.openxmlformats.org/officeDocument/2006/relationships/hyperlink" Target="https://docs.google.com/spreadsheets/d/1EI7qusa674eJhuaw-nWWtWMEHVSYMQv7HLsInEZTWpE/edit?gid=989349893" TargetMode="External"/><Relationship Id="rId614" Type="http://schemas.openxmlformats.org/officeDocument/2006/relationships/hyperlink" Target="https://docs.google.com/spreadsheets/d/1rbCD10ySi4YZEkJW2_Slmn9z7AI1WEsGsZaIJmnnT18/edit?gid=1007518382" TargetMode="External"/><Relationship Id="rId856" Type="http://schemas.openxmlformats.org/officeDocument/2006/relationships/hyperlink" Target="https://docs.google.com/spreadsheets/d/1EI7qusa674eJhuaw-nWWtWMEHVSYMQv7HLsInEZTWpE/edit?gid=1984759556" TargetMode="External"/><Relationship Id="rId851" Type="http://schemas.openxmlformats.org/officeDocument/2006/relationships/hyperlink" Target="https://docs.google.com/spreadsheets/d/1EI7qusa674eJhuaw-nWWtWMEHVSYMQv7HLsInEZTWpE/edit?gid=473932196" TargetMode="External"/><Relationship Id="rId850" Type="http://schemas.openxmlformats.org/officeDocument/2006/relationships/hyperlink" Target="https://docs.google.com/spreadsheets/d/1EI7qusa674eJhuaw-nWWtWMEHVSYMQv7HLsInEZTWpE/edit?gid=270470148" TargetMode="External"/><Relationship Id="rId409" Type="http://schemas.openxmlformats.org/officeDocument/2006/relationships/hyperlink" Target="https://docs.google.com/spreadsheets/d/1H1MjbG2y0oC0hhID4do1G0_gfyI1jag72lQd7nL3WDQ/edit?gid=945188652" TargetMode="External"/><Relationship Id="rId404" Type="http://schemas.openxmlformats.org/officeDocument/2006/relationships/hyperlink" Target="https://docs.google.com/spreadsheets/d/1H1MjbG2y0oC0hhID4do1G0_gfyI1jag72lQd7nL3WDQ/edit?gid=540934155" TargetMode="External"/><Relationship Id="rId646" Type="http://schemas.openxmlformats.org/officeDocument/2006/relationships/hyperlink" Target="https://docs.google.com/spreadsheets/d/1rbCD10ySi4YZEkJW2_Slmn9z7AI1WEsGsZaIJmnnT18/edit?gid=829089146" TargetMode="External"/><Relationship Id="rId888" Type="http://schemas.openxmlformats.org/officeDocument/2006/relationships/hyperlink" Target="https://docs.google.com/spreadsheets/d/1EI7qusa674eJhuaw-nWWtWMEHVSYMQv7HLsInEZTWpE/edit?gid=1726026331" TargetMode="External"/><Relationship Id="rId403" Type="http://schemas.openxmlformats.org/officeDocument/2006/relationships/hyperlink" Target="https://docs.google.com/spreadsheets/d/1H1MjbG2y0oC0hhID4do1G0_gfyI1jag72lQd7nL3WDQ/edit?gid=617262299" TargetMode="External"/><Relationship Id="rId645" Type="http://schemas.openxmlformats.org/officeDocument/2006/relationships/hyperlink" Target="https://docs.google.com/spreadsheets/d/1rbCD10ySi4YZEkJW2_Slmn9z7AI1WEsGsZaIJmnnT18/edit?gid=607897783" TargetMode="External"/><Relationship Id="rId887" Type="http://schemas.openxmlformats.org/officeDocument/2006/relationships/hyperlink" Target="https://docs.google.com/spreadsheets/d/1EI7qusa674eJhuaw-nWWtWMEHVSYMQv7HLsInEZTWpE/edit?gid=2131274545" TargetMode="External"/><Relationship Id="rId402" Type="http://schemas.openxmlformats.org/officeDocument/2006/relationships/hyperlink" Target="https://docs.google.com/spreadsheets/d/1H1MjbG2y0oC0hhID4do1G0_gfyI1jag72lQd7nL3WDQ/edit?gid=418314272" TargetMode="External"/><Relationship Id="rId644" Type="http://schemas.openxmlformats.org/officeDocument/2006/relationships/hyperlink" Target="https://docs.google.com/spreadsheets/d/1rbCD10ySi4YZEkJW2_Slmn9z7AI1WEsGsZaIJmnnT18/edit?gid=178347413" TargetMode="External"/><Relationship Id="rId886" Type="http://schemas.openxmlformats.org/officeDocument/2006/relationships/hyperlink" Target="https://docs.google.com/spreadsheets/d/1EI7qusa674eJhuaw-nWWtWMEHVSYMQv7HLsInEZTWpE/edit?gid=1992128330" TargetMode="External"/><Relationship Id="rId401" Type="http://schemas.openxmlformats.org/officeDocument/2006/relationships/hyperlink" Target="https://docs.google.com/spreadsheets/d/1H1MjbG2y0oC0hhID4do1G0_gfyI1jag72lQd7nL3WDQ/edit?gid=998835814" TargetMode="External"/><Relationship Id="rId643" Type="http://schemas.openxmlformats.org/officeDocument/2006/relationships/hyperlink" Target="https://docs.google.com/spreadsheets/d/1rbCD10ySi4YZEkJW2_Slmn9z7AI1WEsGsZaIJmnnT18/edit?gid=172452372" TargetMode="External"/><Relationship Id="rId885" Type="http://schemas.openxmlformats.org/officeDocument/2006/relationships/hyperlink" Target="https://docs.google.com/spreadsheets/d/1EI7qusa674eJhuaw-nWWtWMEHVSYMQv7HLsInEZTWpE/edit?gid=675585882" TargetMode="External"/><Relationship Id="rId408" Type="http://schemas.openxmlformats.org/officeDocument/2006/relationships/hyperlink" Target="https://docs.google.com/spreadsheets/d/1H1MjbG2y0oC0hhID4do1G0_gfyI1jag72lQd7nL3WDQ/edit?gid=232049031" TargetMode="External"/><Relationship Id="rId407" Type="http://schemas.openxmlformats.org/officeDocument/2006/relationships/hyperlink" Target="https://docs.google.com/spreadsheets/d/1H1MjbG2y0oC0hhID4do1G0_gfyI1jag72lQd7nL3WDQ/edit?gid=537197080" TargetMode="External"/><Relationship Id="rId649" Type="http://schemas.openxmlformats.org/officeDocument/2006/relationships/hyperlink" Target="https://docs.google.com/spreadsheets/d/1rbCD10ySi4YZEkJW2_Slmn9z7AI1WEsGsZaIJmnnT18/edit?gid=1103531360" TargetMode="External"/><Relationship Id="rId406" Type="http://schemas.openxmlformats.org/officeDocument/2006/relationships/hyperlink" Target="https://docs.google.com/spreadsheets/d/1H1MjbG2y0oC0hhID4do1G0_gfyI1jag72lQd7nL3WDQ/edit?gid=363267103" TargetMode="External"/><Relationship Id="rId648" Type="http://schemas.openxmlformats.org/officeDocument/2006/relationships/hyperlink" Target="https://docs.google.com/spreadsheets/d/1rbCD10ySi4YZEkJW2_Slmn9z7AI1WEsGsZaIJmnnT18/edit?gid=23356464" TargetMode="External"/><Relationship Id="rId405" Type="http://schemas.openxmlformats.org/officeDocument/2006/relationships/hyperlink" Target="https://docs.google.com/spreadsheets/d/1H1MjbG2y0oC0hhID4do1G0_gfyI1jag72lQd7nL3WDQ/edit?gid=984031511" TargetMode="External"/><Relationship Id="rId647" Type="http://schemas.openxmlformats.org/officeDocument/2006/relationships/hyperlink" Target="https://docs.google.com/spreadsheets/d/1rbCD10ySi4YZEkJW2_Slmn9z7AI1WEsGsZaIJmnnT18/edit?gid=1528623731" TargetMode="External"/><Relationship Id="rId889" Type="http://schemas.openxmlformats.org/officeDocument/2006/relationships/hyperlink" Target="https://docs.google.com/spreadsheets/d/1EI7qusa674eJhuaw-nWWtWMEHVSYMQv7HLsInEZTWpE/edit?gid=1351279015" TargetMode="External"/><Relationship Id="rId880" Type="http://schemas.openxmlformats.org/officeDocument/2006/relationships/hyperlink" Target="https://docs.google.com/spreadsheets/d/1EI7qusa674eJhuaw-nWWtWMEHVSYMQv7HLsInEZTWpE/edit?gid=58875188" TargetMode="External"/><Relationship Id="rId400" Type="http://schemas.openxmlformats.org/officeDocument/2006/relationships/hyperlink" Target="https://docs.google.com/spreadsheets/d/1H1MjbG2y0oC0hhID4do1G0_gfyI1jag72lQd7nL3WDQ/edit?gid=1252296860" TargetMode="External"/><Relationship Id="rId642" Type="http://schemas.openxmlformats.org/officeDocument/2006/relationships/hyperlink" Target="https://docs.google.com/spreadsheets/d/1rbCD10ySi4YZEkJW2_Slmn9z7AI1WEsGsZaIJmnnT18/edit?gid=1598315264" TargetMode="External"/><Relationship Id="rId884" Type="http://schemas.openxmlformats.org/officeDocument/2006/relationships/hyperlink" Target="https://docs.google.com/spreadsheets/d/1EI7qusa674eJhuaw-nWWtWMEHVSYMQv7HLsInEZTWpE/edit?gid=565397007" TargetMode="External"/><Relationship Id="rId641" Type="http://schemas.openxmlformats.org/officeDocument/2006/relationships/hyperlink" Target="https://docs.google.com/spreadsheets/d/1rbCD10ySi4YZEkJW2_Slmn9z7AI1WEsGsZaIJmnnT18/edit?gid=439341807" TargetMode="External"/><Relationship Id="rId883" Type="http://schemas.openxmlformats.org/officeDocument/2006/relationships/hyperlink" Target="https://docs.google.com/spreadsheets/d/1EI7qusa674eJhuaw-nWWtWMEHVSYMQv7HLsInEZTWpE/edit?gid=701601389" TargetMode="External"/><Relationship Id="rId640" Type="http://schemas.openxmlformats.org/officeDocument/2006/relationships/hyperlink" Target="https://docs.google.com/spreadsheets/d/1rbCD10ySi4YZEkJW2_Slmn9z7AI1WEsGsZaIJmnnT18/edit?gid=1287118524" TargetMode="External"/><Relationship Id="rId882" Type="http://schemas.openxmlformats.org/officeDocument/2006/relationships/hyperlink" Target="https://docs.google.com/spreadsheets/d/1EI7qusa674eJhuaw-nWWtWMEHVSYMQv7HLsInEZTWpE/edit?gid=900012262" TargetMode="External"/><Relationship Id="rId881" Type="http://schemas.openxmlformats.org/officeDocument/2006/relationships/hyperlink" Target="https://docs.google.com/spreadsheets/d/1EI7qusa674eJhuaw-nWWtWMEHVSYMQv7HLsInEZTWpE/edit?gid=1628808837" TargetMode="External"/><Relationship Id="rId635" Type="http://schemas.openxmlformats.org/officeDocument/2006/relationships/hyperlink" Target="https://docs.google.com/spreadsheets/d/1rbCD10ySi4YZEkJW2_Slmn9z7AI1WEsGsZaIJmnnT18/edit?gid=915615615" TargetMode="External"/><Relationship Id="rId877" Type="http://schemas.openxmlformats.org/officeDocument/2006/relationships/hyperlink" Target="https://docs.google.com/spreadsheets/d/1EI7qusa674eJhuaw-nWWtWMEHVSYMQv7HLsInEZTWpE/edit?gid=1656884297" TargetMode="External"/><Relationship Id="rId634" Type="http://schemas.openxmlformats.org/officeDocument/2006/relationships/hyperlink" Target="https://docs.google.com/spreadsheets/d/1rbCD10ySi4YZEkJW2_Slmn9z7AI1WEsGsZaIJmnnT18/edit?gid=1222438904" TargetMode="External"/><Relationship Id="rId876" Type="http://schemas.openxmlformats.org/officeDocument/2006/relationships/hyperlink" Target="https://docs.google.com/spreadsheets/d/1EI7qusa674eJhuaw-nWWtWMEHVSYMQv7HLsInEZTWpE/edit?gid=338449454" TargetMode="External"/><Relationship Id="rId633" Type="http://schemas.openxmlformats.org/officeDocument/2006/relationships/hyperlink" Target="https://docs.google.com/spreadsheets/d/1rbCD10ySi4YZEkJW2_Slmn9z7AI1WEsGsZaIJmnnT18/edit?gid=919062062" TargetMode="External"/><Relationship Id="rId875" Type="http://schemas.openxmlformats.org/officeDocument/2006/relationships/hyperlink" Target="https://docs.google.com/spreadsheets/d/1EI7qusa674eJhuaw-nWWtWMEHVSYMQv7HLsInEZTWpE/edit?gid=368087767" TargetMode="External"/><Relationship Id="rId632" Type="http://schemas.openxmlformats.org/officeDocument/2006/relationships/hyperlink" Target="https://docs.google.com/spreadsheets/d/1rbCD10ySi4YZEkJW2_Slmn9z7AI1WEsGsZaIJmnnT18/edit?gid=465508892" TargetMode="External"/><Relationship Id="rId874" Type="http://schemas.openxmlformats.org/officeDocument/2006/relationships/hyperlink" Target="https://docs.google.com/spreadsheets/d/1EI7qusa674eJhuaw-nWWtWMEHVSYMQv7HLsInEZTWpE/edit?gid=527260036" TargetMode="External"/><Relationship Id="rId639" Type="http://schemas.openxmlformats.org/officeDocument/2006/relationships/hyperlink" Target="https://docs.google.com/spreadsheets/d/1rbCD10ySi4YZEkJW2_Slmn9z7AI1WEsGsZaIJmnnT18/edit?gid=501983142" TargetMode="External"/><Relationship Id="rId638" Type="http://schemas.openxmlformats.org/officeDocument/2006/relationships/hyperlink" Target="https://docs.google.com/spreadsheets/d/1rbCD10ySi4YZEkJW2_Slmn9z7AI1WEsGsZaIJmnnT18/edit?gid=654604347" TargetMode="External"/><Relationship Id="rId637" Type="http://schemas.openxmlformats.org/officeDocument/2006/relationships/hyperlink" Target="https://docs.google.com/spreadsheets/d/1rbCD10ySi4YZEkJW2_Slmn9z7AI1WEsGsZaIJmnnT18/edit?gid=64186922" TargetMode="External"/><Relationship Id="rId879" Type="http://schemas.openxmlformats.org/officeDocument/2006/relationships/hyperlink" Target="https://docs.google.com/spreadsheets/d/1EI7qusa674eJhuaw-nWWtWMEHVSYMQv7HLsInEZTWpE/edit?gid=1198270379" TargetMode="External"/><Relationship Id="rId636" Type="http://schemas.openxmlformats.org/officeDocument/2006/relationships/hyperlink" Target="https://docs.google.com/spreadsheets/d/1rbCD10ySi4YZEkJW2_Slmn9z7AI1WEsGsZaIJmnnT18/edit?gid=1583073307" TargetMode="External"/><Relationship Id="rId878" Type="http://schemas.openxmlformats.org/officeDocument/2006/relationships/hyperlink" Target="https://disk.yandex.ru/client/disk/%D0%9E%D1%81%D0%BC%D0%BE%D1%82%D1%80%D1%8B%20%D0%BE%D0%B1%D1%8A%D0%B5%D0%BA%D1%82%D0%BE%D0%B2%20%D0%90%D0%9D%D0%9E%20%D0%A1%D0%9C%D0%93/12211-%D0%B9%20%D0%93%D1%80%D0%B0%D0%B9%D0%B2%D0%BE%D1%80%D0%BE%D0%BD%D0%BE%D0%B2%D1%81%D0%BA%D0%B8%D0%B9%20%D0%BF%D1%80%D0%BE%D0%B5%D0%B7%D0%B4%2C%203%20%D0%96%D0%9A%20%22%D0%92%D0%BE%D0%BB%D0%B6%D1%81%D0%BA%D0%B8%D0%B9%20%D0%BF%D0%B0%D1%80%D0%BA%22%20%D0%94%D0%9E%D0%9E%20%D0%BD%D0%B0%20300%20%D0%BC%D0%B5%D1%81%D1%82%20%D1%81%20%D0%B1%D0%B0%D1%81%D1%81%D0%B5%D0%B9%D0%BD%D0%BE%D0%BC%20" TargetMode="External"/><Relationship Id="rId631" Type="http://schemas.openxmlformats.org/officeDocument/2006/relationships/hyperlink" Target="https://docs.google.com/spreadsheets/d/1rbCD10ySi4YZEkJW2_Slmn9z7AI1WEsGsZaIJmnnT18/edit?gid=1943180572" TargetMode="External"/><Relationship Id="rId873" Type="http://schemas.openxmlformats.org/officeDocument/2006/relationships/hyperlink" Target="https://docs.google.com/spreadsheets/d/1EI7qusa674eJhuaw-nWWtWMEHVSYMQv7HLsInEZTWpE/edit?gid=2002546597" TargetMode="External"/><Relationship Id="rId630" Type="http://schemas.openxmlformats.org/officeDocument/2006/relationships/hyperlink" Target="https://docs.google.com/spreadsheets/d/1rbCD10ySi4YZEkJW2_Slmn9z7AI1WEsGsZaIJmnnT18/edit?gid=1703617430" TargetMode="External"/><Relationship Id="rId872" Type="http://schemas.openxmlformats.org/officeDocument/2006/relationships/hyperlink" Target="https://docs.google.com/spreadsheets/d/1EI7qusa674eJhuaw-nWWtWMEHVSYMQv7HLsInEZTWpE/edit?gid=930912850" TargetMode="External"/><Relationship Id="rId871" Type="http://schemas.openxmlformats.org/officeDocument/2006/relationships/hyperlink" Target="https://docs.google.com/spreadsheets/d/1EI7qusa674eJhuaw-nWWtWMEHVSYMQv7HLsInEZTWpE/edit?gid=1853146413" TargetMode="External"/><Relationship Id="rId870" Type="http://schemas.openxmlformats.org/officeDocument/2006/relationships/hyperlink" Target="https://docs.google.com/spreadsheets/d/1EI7qusa674eJhuaw-nWWtWMEHVSYMQv7HLsInEZTWpE/edit?gid=694232256" TargetMode="External"/><Relationship Id="rId829" Type="http://schemas.openxmlformats.org/officeDocument/2006/relationships/hyperlink" Target="https://docs.google.com/spreadsheets/d/1EI7qusa674eJhuaw-nWWtWMEHVSYMQv7HLsInEZTWpE/edit?gid=1410705697" TargetMode="External"/><Relationship Id="rId828" Type="http://schemas.openxmlformats.org/officeDocument/2006/relationships/hyperlink" Target="https://docs.google.com/spreadsheets/d/1EI7qusa674eJhuaw-nWWtWMEHVSYMQv7HLsInEZTWpE/edit?gid=1204838295" TargetMode="External"/><Relationship Id="rId827" Type="http://schemas.openxmlformats.org/officeDocument/2006/relationships/hyperlink" Target="https://docs.google.com/spreadsheets/d/1EI7qusa674eJhuaw-nWWtWMEHVSYMQv7HLsInEZTWpE/edit?gid=1768479973" TargetMode="External"/><Relationship Id="rId822" Type="http://schemas.openxmlformats.org/officeDocument/2006/relationships/hyperlink" Target="https://docs.google.com/spreadsheets/d/1EI7qusa674eJhuaw-nWWtWMEHVSYMQv7HLsInEZTWpE/edit?gid=2141463724" TargetMode="External"/><Relationship Id="rId821" Type="http://schemas.openxmlformats.org/officeDocument/2006/relationships/hyperlink" Target="https://docs.google.com/spreadsheets/d/1EI7qusa674eJhuaw-nWWtWMEHVSYMQv7HLsInEZTWpE/edit?gid=893741995" TargetMode="External"/><Relationship Id="rId820" Type="http://schemas.openxmlformats.org/officeDocument/2006/relationships/hyperlink" Target="https://disk.yandex.ru/client/disk/%D0%9E%D1%81%D0%BC%D0%BE%D1%82%D1%80%D1%8B%20%D0%BE%D0%B1%D1%8A%D0%B5%D0%BA%D1%82%D0%BE%D0%B2%20%D0%90%D0%9D%D0%9E%20%D0%A1%D0%9C%D0%93/129%203-%D1%8F%20%D0%9C%D1%8B%D1%82%D0%B8%D1%89%D0%B8%D0%BD%D1%81%D0%BA%D0%B0%D1%8F%20%D1%83%D0%BB%D0%B8%D1%86%D0%B0%2C%205%D1%811" TargetMode="External"/><Relationship Id="rId826" Type="http://schemas.openxmlformats.org/officeDocument/2006/relationships/hyperlink" Target="https://docs.google.com/spreadsheets/d/1EI7qusa674eJhuaw-nWWtWMEHVSYMQv7HLsInEZTWpE/edit?gid=346643288" TargetMode="External"/><Relationship Id="rId825" Type="http://schemas.openxmlformats.org/officeDocument/2006/relationships/hyperlink" Target="https://docs.google.com/spreadsheets/d/1EI7qusa674eJhuaw-nWWtWMEHVSYMQv7HLsInEZTWpE/edit?gid=904343582" TargetMode="External"/><Relationship Id="rId824" Type="http://schemas.openxmlformats.org/officeDocument/2006/relationships/hyperlink" Target="https://docs.google.com/spreadsheets/d/1EI7qusa674eJhuaw-nWWtWMEHVSYMQv7HLsInEZTWpE/edit?gid=191758898" TargetMode="External"/><Relationship Id="rId823" Type="http://schemas.openxmlformats.org/officeDocument/2006/relationships/hyperlink" Target="https://docs.google.com/spreadsheets/d/1EI7qusa674eJhuaw-nWWtWMEHVSYMQv7HLsInEZTWpE/edit?gid=1656513014" TargetMode="External"/><Relationship Id="rId819" Type="http://schemas.openxmlformats.org/officeDocument/2006/relationships/hyperlink" Target="https://docs.google.com/spreadsheets/d/1EI7qusa674eJhuaw-nWWtWMEHVSYMQv7HLsInEZTWpE/edit?gid=800886527" TargetMode="External"/><Relationship Id="rId818" Type="http://schemas.openxmlformats.org/officeDocument/2006/relationships/hyperlink" Target="https://docs.google.com/spreadsheets/d/1EI7qusa674eJhuaw-nWWtWMEHVSYMQv7HLsInEZTWpE/edit?gid=1721100499" TargetMode="External"/><Relationship Id="rId817" Type="http://schemas.openxmlformats.org/officeDocument/2006/relationships/hyperlink" Target="https://docs.google.com/spreadsheets/d/1EI7qusa674eJhuaw-nWWtWMEHVSYMQv7HLsInEZTWpE/edit?gid=340433280" TargetMode="External"/><Relationship Id="rId816" Type="http://schemas.openxmlformats.org/officeDocument/2006/relationships/hyperlink" Target="https://docs.google.com/spreadsheets/d/1EI7qusa674eJhuaw-nWWtWMEHVSYMQv7HLsInEZTWpE/edit?gid=204053805" TargetMode="External"/><Relationship Id="rId811" Type="http://schemas.openxmlformats.org/officeDocument/2006/relationships/hyperlink" Target="https://docs.google.com/spreadsheets/d/1EI7qusa674eJhuaw-nWWtWMEHVSYMQv7HLsInEZTWpE/edit?gid=1022242891" TargetMode="External"/><Relationship Id="rId810" Type="http://schemas.openxmlformats.org/officeDocument/2006/relationships/hyperlink" Target="https://docs.google.com/spreadsheets/d/1EI7qusa674eJhuaw-nWWtWMEHVSYMQv7HLsInEZTWpE/edit?gid=1026471419" TargetMode="External"/><Relationship Id="rId815" Type="http://schemas.openxmlformats.org/officeDocument/2006/relationships/hyperlink" Target="https://docs.google.com/spreadsheets/d/1EI7qusa674eJhuaw-nWWtWMEHVSYMQv7HLsInEZTWpE/edit?gid=1476336114" TargetMode="External"/><Relationship Id="rId814" Type="http://schemas.openxmlformats.org/officeDocument/2006/relationships/hyperlink" Target="https://docs.google.com/spreadsheets/d/1EI7qusa674eJhuaw-nWWtWMEHVSYMQv7HLsInEZTWpE/edit?gid=1477675576" TargetMode="External"/><Relationship Id="rId813" Type="http://schemas.openxmlformats.org/officeDocument/2006/relationships/hyperlink" Target="https://docs.google.com/spreadsheets/d/1EI7qusa674eJhuaw-nWWtWMEHVSYMQv7HLsInEZTWpE/edit?gid=1836431147" TargetMode="External"/><Relationship Id="rId812" Type="http://schemas.openxmlformats.org/officeDocument/2006/relationships/hyperlink" Target="https://docs.google.com/spreadsheets/d/1EI7qusa674eJhuaw-nWWtWMEHVSYMQv7HLsInEZTWpE/edit?gid=376178489" TargetMode="External"/><Relationship Id="rId609" Type="http://schemas.openxmlformats.org/officeDocument/2006/relationships/hyperlink" Target="https://docs.google.com/spreadsheets/d/1rbCD10ySi4YZEkJW2_Slmn9z7AI1WEsGsZaIJmnnT18/edit?gid=1264505014" TargetMode="External"/><Relationship Id="rId608" Type="http://schemas.openxmlformats.org/officeDocument/2006/relationships/hyperlink" Target="https://docs.google.com/spreadsheets/d/1rbCD10ySi4YZEkJW2_Slmn9z7AI1WEsGsZaIJmnnT18/edit?gid=1792641255" TargetMode="External"/><Relationship Id="rId607" Type="http://schemas.openxmlformats.org/officeDocument/2006/relationships/hyperlink" Target="https://docs.google.com/spreadsheets/d/1rbCD10ySi4YZEkJW2_Slmn9z7AI1WEsGsZaIJmnnT18/edit?gid=1920719356" TargetMode="External"/><Relationship Id="rId849" Type="http://schemas.openxmlformats.org/officeDocument/2006/relationships/hyperlink" Target="https://docs.google.com/spreadsheets/d/1EI7qusa674eJhuaw-nWWtWMEHVSYMQv7HLsInEZTWpE/edit?gid=1434119046" TargetMode="External"/><Relationship Id="rId602" Type="http://schemas.openxmlformats.org/officeDocument/2006/relationships/hyperlink" Target="https://docs.google.com/spreadsheets/d/1rbCD10ySi4YZEkJW2_Slmn9z7AI1WEsGsZaIJmnnT18/edit?gid=1084360480" TargetMode="External"/><Relationship Id="rId844" Type="http://schemas.openxmlformats.org/officeDocument/2006/relationships/hyperlink" Target="https://docs.google.com/spreadsheets/d/1EI7qusa674eJhuaw-nWWtWMEHVSYMQv7HLsInEZTWpE/edit?gid=852795389" TargetMode="External"/><Relationship Id="rId601" Type="http://schemas.openxmlformats.org/officeDocument/2006/relationships/hyperlink" Target="https://docs.google.com/spreadsheets/d/1rbCD10ySi4YZEkJW2_Slmn9z7AI1WEsGsZaIJmnnT18/edit?gid=1407510683" TargetMode="External"/><Relationship Id="rId843" Type="http://schemas.openxmlformats.org/officeDocument/2006/relationships/hyperlink" Target="https://docs.google.com/spreadsheets/d/1EI7qusa674eJhuaw-nWWtWMEHVSYMQv7HLsInEZTWpE/edit?gid=2009717462" TargetMode="External"/><Relationship Id="rId600" Type="http://schemas.openxmlformats.org/officeDocument/2006/relationships/hyperlink" Target="https://docs.google.com/spreadsheets/d/1rbCD10ySi4YZEkJW2_Slmn9z7AI1WEsGsZaIJmnnT18/edit?gid=1068599727" TargetMode="External"/><Relationship Id="rId842" Type="http://schemas.openxmlformats.org/officeDocument/2006/relationships/hyperlink" Target="https://docs.google.com/spreadsheets/d/1EI7qusa674eJhuaw-nWWtWMEHVSYMQv7HLsInEZTWpE/edit?gid=318719186" TargetMode="External"/><Relationship Id="rId841" Type="http://schemas.openxmlformats.org/officeDocument/2006/relationships/hyperlink" Target="https://docs.google.com/spreadsheets/d/1EI7qusa674eJhuaw-nWWtWMEHVSYMQv7HLsInEZTWpE/edit?gid=1025924228" TargetMode="External"/><Relationship Id="rId606" Type="http://schemas.openxmlformats.org/officeDocument/2006/relationships/hyperlink" Target="https://docs.google.com/spreadsheets/d/1rbCD10ySi4YZEkJW2_Slmn9z7AI1WEsGsZaIJmnnT18/edit?gid=814332945" TargetMode="External"/><Relationship Id="rId848" Type="http://schemas.openxmlformats.org/officeDocument/2006/relationships/hyperlink" Target="https://docs.google.com/spreadsheets/d/1H1MjbG2y0oC0hhID4do1G0_gfyI1jag72lQd7nL3WDQ/edit?gid=1877547333" TargetMode="External"/><Relationship Id="rId605" Type="http://schemas.openxmlformats.org/officeDocument/2006/relationships/hyperlink" Target="https://docs.google.com/spreadsheets/d/1rbCD10ySi4YZEkJW2_Slmn9z7AI1WEsGsZaIJmnnT18/edit?gid=482146990" TargetMode="External"/><Relationship Id="rId847" Type="http://schemas.openxmlformats.org/officeDocument/2006/relationships/hyperlink" Target="https://docs.google.com/spreadsheets/d/1EI7qusa674eJhuaw-nWWtWMEHVSYMQv7HLsInEZTWpE/edit?gid=1381479506" TargetMode="External"/><Relationship Id="rId604" Type="http://schemas.openxmlformats.org/officeDocument/2006/relationships/hyperlink" Target="https://docs.google.com/spreadsheets/d/1rbCD10ySi4YZEkJW2_Slmn9z7AI1WEsGsZaIJmnnT18/edit?gid=1877394014" TargetMode="External"/><Relationship Id="rId846" Type="http://schemas.openxmlformats.org/officeDocument/2006/relationships/hyperlink" Target="https://docs.google.com/spreadsheets/d/1EI7qusa674eJhuaw-nWWtWMEHVSYMQv7HLsInEZTWpE/edit?gid=1343663490" TargetMode="External"/><Relationship Id="rId603" Type="http://schemas.openxmlformats.org/officeDocument/2006/relationships/hyperlink" Target="https://docs.google.com/spreadsheets/d/1rbCD10ySi4YZEkJW2_Slmn9z7AI1WEsGsZaIJmnnT18/edit?gid=43981398" TargetMode="External"/><Relationship Id="rId845" Type="http://schemas.openxmlformats.org/officeDocument/2006/relationships/hyperlink" Target="https://docs.google.com/spreadsheets/d/1EI7qusa674eJhuaw-nWWtWMEHVSYMQv7HLsInEZTWpE/edit?gid=1610184965" TargetMode="External"/><Relationship Id="rId840" Type="http://schemas.openxmlformats.org/officeDocument/2006/relationships/hyperlink" Target="https://docs.google.com/spreadsheets/d/1EI7qusa674eJhuaw-nWWtWMEHVSYMQv7HLsInEZTWpE/edit?gid=360147993" TargetMode="External"/><Relationship Id="rId839" Type="http://schemas.openxmlformats.org/officeDocument/2006/relationships/hyperlink" Target="https://disk.yandex.ru/client/disk/%D0%9E%D1%81%D0%BC%D0%BE%D1%82%D1%80%D1%8B%20%D0%BE%D0%B1%D1%8A%D0%B5%D0%BA%D1%82%D0%BE%D0%B2%20%D0%90%D0%9D%D0%9E%20%D0%A1%D0%9C%D0%93/1115%20%D0%96%D0%9A%20%D0%A1%D0%B2%D0%B5%D1%82%D0%BB%D1%8B%D0%B9%20%D0%BC%D0%B8%D1%80%20(%D0%A1%D0%BA%D0%B0%D0%B7%D0%BE%D1%87%D0%BD%D1%8B%D0%B9%20%D0%BB%D0%B5%D1%81)%20%D0%9B%D0%BE%D1%81%D0%B8%D0%BD%D0%BE%D0%BE%D1%81%D1%82%D1%80%D0%BE%D0%B2%D1%81%D0%BA%D0%B0%D1%8F%20%D0%B2%D0%BB%2045%20" TargetMode="External"/><Relationship Id="rId838" Type="http://schemas.openxmlformats.org/officeDocument/2006/relationships/hyperlink" Target="https://docs.google.com/spreadsheets/d/1EI7qusa674eJhuaw-nWWtWMEHVSYMQv7HLsInEZTWpE/edit?gid=1635120281" TargetMode="External"/><Relationship Id="rId833" Type="http://schemas.openxmlformats.org/officeDocument/2006/relationships/hyperlink" Target="https://docs.google.com/spreadsheets/d/1EI7qusa674eJhuaw-nWWtWMEHVSYMQv7HLsInEZTWpE/edit?gid=972545165" TargetMode="External"/><Relationship Id="rId832" Type="http://schemas.openxmlformats.org/officeDocument/2006/relationships/hyperlink" Target="https://docs.google.com/spreadsheets/d/1H1MjbG2y0oC0hhID4do1G0_gfyI1jag72lQd7nL3WDQ/edit?gid=882317293" TargetMode="External"/><Relationship Id="rId831" Type="http://schemas.openxmlformats.org/officeDocument/2006/relationships/hyperlink" Target="https://disk.yandex.ru/client/disk/%D0%9E%D1%81%D0%BC%D0%BE%D1%82%D1%80%D1%8B%20%D0%BE%D0%B1%D1%8A%D0%B5%D0%BA%D1%82%D0%BE%D0%B2%20%D0%90%D0%9D%D0%9E%20%D0%A1%D0%9C%D0%93/397.%20%D0%92%D0%BE%D0%BB%D0%BE%D0%BA%D0%BE%D0%BB%D0%B0%D0%BC%D1%81%D0%BA%D0%BE%D0%B5%20%D1%88.75%D0%92%2C%20%D0%A8%D0%BA.%22Alia%22" TargetMode="External"/><Relationship Id="rId830" Type="http://schemas.openxmlformats.org/officeDocument/2006/relationships/hyperlink" Target="https://docs.google.com/spreadsheets/d/1EI7qusa674eJhuaw-nWWtWMEHVSYMQv7HLsInEZTWpE/edit?gid=912086412" TargetMode="External"/><Relationship Id="rId837" Type="http://schemas.openxmlformats.org/officeDocument/2006/relationships/hyperlink" Target="https://docs.google.com/spreadsheets/d/1EI7qusa674eJhuaw-nWWtWMEHVSYMQv7HLsInEZTWpE/edit?gid=1977634202" TargetMode="External"/><Relationship Id="rId836" Type="http://schemas.openxmlformats.org/officeDocument/2006/relationships/hyperlink" Target="https://docs.google.com/spreadsheets/d/1EI7qusa674eJhuaw-nWWtWMEHVSYMQv7HLsInEZTWpE/edit?gid=1822763133" TargetMode="External"/><Relationship Id="rId835" Type="http://schemas.openxmlformats.org/officeDocument/2006/relationships/hyperlink" Target="https://docs.google.com/spreadsheets/d/1EI7qusa674eJhuaw-nWWtWMEHVSYMQv7HLsInEZTWpE/edit?gid=1366886932" TargetMode="External"/><Relationship Id="rId834" Type="http://schemas.openxmlformats.org/officeDocument/2006/relationships/hyperlink" Target="https://docs.google.com/spreadsheets/d/1EI7qusa674eJhuaw-nWWtWMEHVSYMQv7HLsInEZTWpE/edit?gid=486432300" TargetMode="External"/><Relationship Id="rId1059" Type="http://schemas.openxmlformats.org/officeDocument/2006/relationships/hyperlink" Target="https://docs.google.com/spreadsheets/d/1rbCD10ySi4YZEkJW2_Slmn9z7AI1WEsGsZaIJmnnT18/edit?gid=665598290" TargetMode="External"/><Relationship Id="rId228" Type="http://schemas.openxmlformats.org/officeDocument/2006/relationships/hyperlink" Target="https://docs.google.com/spreadsheets/d/19THEBTE9q0fhN2eApZr6BgenIvLGh0AckaYxHQfHk5w/edit?gid=1882277180" TargetMode="External"/><Relationship Id="rId227" Type="http://schemas.openxmlformats.org/officeDocument/2006/relationships/hyperlink" Target="https://docs.google.com/spreadsheets/d/19THEBTE9q0fhN2eApZr6BgenIvLGh0AckaYxHQfHk5w/edit?gid=670602752" TargetMode="External"/><Relationship Id="rId469" Type="http://schemas.openxmlformats.org/officeDocument/2006/relationships/hyperlink" Target="https://docs.google.com/spreadsheets/d/1rbCD10ySi4YZEkJW2_Slmn9z7AI1WEsGsZaIJmnnT18/edit?gid=1787224258" TargetMode="External"/><Relationship Id="rId226" Type="http://schemas.openxmlformats.org/officeDocument/2006/relationships/hyperlink" Target="https://docs.google.com/spreadsheets/d/19THEBTE9q0fhN2eApZr6BgenIvLGh0AckaYxHQfHk5w/edit?gid=481187794" TargetMode="External"/><Relationship Id="rId468" Type="http://schemas.openxmlformats.org/officeDocument/2006/relationships/hyperlink" Target="https://docs.google.com/spreadsheets/d/1rbCD10ySi4YZEkJW2_Slmn9z7AI1WEsGsZaIJmnnT18/edit?gid=772910058" TargetMode="External"/><Relationship Id="rId225" Type="http://schemas.openxmlformats.org/officeDocument/2006/relationships/hyperlink" Target="https://docs.google.com/spreadsheets/d/1jonEGMB3UFHiUZpltF1zURon8gYN7jGSHu-k9t5TXnA/edit?gid=1179595420" TargetMode="External"/><Relationship Id="rId467" Type="http://schemas.openxmlformats.org/officeDocument/2006/relationships/hyperlink" Target="https://docs.google.com/spreadsheets/d/1rbCD10ySi4YZEkJW2_Slmn9z7AI1WEsGsZaIJmnnT18/edit?gid=830671407" TargetMode="External"/><Relationship Id="rId229" Type="http://schemas.openxmlformats.org/officeDocument/2006/relationships/hyperlink" Target="https://docs.google.com/spreadsheets/d/19THEBTE9q0fhN2eApZr6BgenIvLGh0AckaYxHQfHk5w/edit?gid=678589478" TargetMode="External"/><Relationship Id="rId1050" Type="http://schemas.openxmlformats.org/officeDocument/2006/relationships/hyperlink" Target="https://docs.google.com/spreadsheets/d/1EI7qusa674eJhuaw-nWWtWMEHVSYMQv7HLsInEZTWpE/edit?gid=230773618" TargetMode="External"/><Relationship Id="rId220" Type="http://schemas.openxmlformats.org/officeDocument/2006/relationships/hyperlink" Target="https://docs.google.com/spreadsheets/d/19THEBTE9q0fhN2eApZr6BgenIvLGh0AckaYxHQfHk5w/edit?gid=48405114" TargetMode="External"/><Relationship Id="rId462" Type="http://schemas.openxmlformats.org/officeDocument/2006/relationships/hyperlink" Target="https://docs.google.com/spreadsheets/d/1rbCD10ySi4YZEkJW2_Slmn9z7AI1WEsGsZaIJmnnT18/edit?gid=1114468550" TargetMode="External"/><Relationship Id="rId1051" Type="http://schemas.openxmlformats.org/officeDocument/2006/relationships/hyperlink" Target="https://disk.yandex.ru/d/RQWYI5lREkHOFg" TargetMode="External"/><Relationship Id="rId461" Type="http://schemas.openxmlformats.org/officeDocument/2006/relationships/hyperlink" Target="https://docs.google.com/spreadsheets/d/1rbCD10ySi4YZEkJW2_Slmn9z7AI1WEsGsZaIJmnnT18/edit?gid=1402918255" TargetMode="External"/><Relationship Id="rId1052" Type="http://schemas.openxmlformats.org/officeDocument/2006/relationships/hyperlink" Target="https://docs.google.com/spreadsheets/d/1EI7qusa674eJhuaw-nWWtWMEHVSYMQv7HLsInEZTWpE/edit?gid=1568412544" TargetMode="External"/><Relationship Id="rId460" Type="http://schemas.openxmlformats.org/officeDocument/2006/relationships/hyperlink" Target="https://docs.google.com/spreadsheets/d/1rbCD10ySi4YZEkJW2_Slmn9z7AI1WEsGsZaIJmnnT18/edit?gid=1103814472" TargetMode="External"/><Relationship Id="rId1053" Type="http://schemas.openxmlformats.org/officeDocument/2006/relationships/hyperlink" Target="https://disk.yandex.ru/d/yUPiYApIyIk7Ag" TargetMode="External"/><Relationship Id="rId1054" Type="http://schemas.openxmlformats.org/officeDocument/2006/relationships/hyperlink" Target="https://docs.google.com/spreadsheets/d/1EI7qusa674eJhuaw-nWWtWMEHVSYMQv7HLsInEZTWpE/edit?gid=2065488739" TargetMode="External"/><Relationship Id="rId224" Type="http://schemas.openxmlformats.org/officeDocument/2006/relationships/hyperlink" Target="https://docs.google.com/spreadsheets/d/1jonEGMB3UFHiUZpltF1zURon8gYN7jGSHu-k9t5TXnA/edit?gid=1179595420" TargetMode="External"/><Relationship Id="rId466" Type="http://schemas.openxmlformats.org/officeDocument/2006/relationships/hyperlink" Target="https://docs.google.com/spreadsheets/d/1rbCD10ySi4YZEkJW2_Slmn9z7AI1WEsGsZaIJmnnT18/edit?gid=1538306210" TargetMode="External"/><Relationship Id="rId1055" Type="http://schemas.openxmlformats.org/officeDocument/2006/relationships/hyperlink" Target="https://disk.yandex.ru/d/s17WL0GFDbRVkw" TargetMode="External"/><Relationship Id="rId223" Type="http://schemas.openxmlformats.org/officeDocument/2006/relationships/hyperlink" Target="https://docs.google.com/spreadsheets/d/1jonEGMB3UFHiUZpltF1zURon8gYN7jGSHu-k9t5TXnA/edit?gid=1179595420" TargetMode="External"/><Relationship Id="rId465" Type="http://schemas.openxmlformats.org/officeDocument/2006/relationships/hyperlink" Target="https://docs.google.com/spreadsheets/d/1rbCD10ySi4YZEkJW2_Slmn9z7AI1WEsGsZaIJmnnT18/edit?gid=479418730" TargetMode="External"/><Relationship Id="rId1056" Type="http://schemas.openxmlformats.org/officeDocument/2006/relationships/hyperlink" Target="https://docs.google.com/spreadsheets/d/1EI7qusa674eJhuaw-nWWtWMEHVSYMQv7HLsInEZTWpE/edit?gid=680394849" TargetMode="External"/><Relationship Id="rId222" Type="http://schemas.openxmlformats.org/officeDocument/2006/relationships/hyperlink" Target="https://docs.google.com/spreadsheets/d/1jonEGMB3UFHiUZpltF1zURon8gYN7jGSHu-k9t5TXnA/edit?gid=1469752331" TargetMode="External"/><Relationship Id="rId464" Type="http://schemas.openxmlformats.org/officeDocument/2006/relationships/hyperlink" Target="https://docs.google.com/spreadsheets/d/1rbCD10ySi4YZEkJW2_Slmn9z7AI1WEsGsZaIJmnnT18/edit?gid=1305190320" TargetMode="External"/><Relationship Id="rId1057" Type="http://schemas.openxmlformats.org/officeDocument/2006/relationships/hyperlink" Target="https://docs.google.com/spreadsheets/d/1EI7qusa674eJhuaw-nWWtWMEHVSYMQv7HLsInEZTWpE/edit?gid=410419708" TargetMode="External"/><Relationship Id="rId221" Type="http://schemas.openxmlformats.org/officeDocument/2006/relationships/hyperlink" Target="https://docs.google.com/spreadsheets/d/1jonEGMB3UFHiUZpltF1zURon8gYN7jGSHu-k9t5TXnA/edit?gid=1469752331" TargetMode="External"/><Relationship Id="rId463" Type="http://schemas.openxmlformats.org/officeDocument/2006/relationships/hyperlink" Target="https://docs.google.com/spreadsheets/d/1rbCD10ySi4YZEkJW2_Slmn9z7AI1WEsGsZaIJmnnT18/edit?gid=198115662" TargetMode="External"/><Relationship Id="rId1058" Type="http://schemas.openxmlformats.org/officeDocument/2006/relationships/hyperlink" Target="https://docs.google.com/spreadsheets/d/19THEBTE9q0fhN2eApZr6BgenIvLGh0AckaYxHQfHk5w/edit?gid=1835030913" TargetMode="External"/><Relationship Id="rId1048" Type="http://schemas.openxmlformats.org/officeDocument/2006/relationships/hyperlink" Target="https://disk.yandex.ru/d/E7sE4Ci74fL9Sw" TargetMode="External"/><Relationship Id="rId1049" Type="http://schemas.openxmlformats.org/officeDocument/2006/relationships/hyperlink" Target="https://docs.google.com/spreadsheets/d/1EI7qusa674eJhuaw-nWWtWMEHVSYMQv7HLsInEZTWpE/edit?gid=1550603494" TargetMode="External"/><Relationship Id="rId217" Type="http://schemas.openxmlformats.org/officeDocument/2006/relationships/hyperlink" Target="https://docs.google.com/spreadsheets/d/19THEBTE9q0fhN2eApZr6BgenIvLGh0AckaYxHQfHk5w/edit?gid=1327731705" TargetMode="External"/><Relationship Id="rId459" Type="http://schemas.openxmlformats.org/officeDocument/2006/relationships/hyperlink" Target="https://docs.google.com/spreadsheets/d/1rbCD10ySi4YZEkJW2_Slmn9z7AI1WEsGsZaIJmnnT18/edit?gid=1872184030" TargetMode="External"/><Relationship Id="rId216" Type="http://schemas.openxmlformats.org/officeDocument/2006/relationships/hyperlink" Target="https://docs.google.com/spreadsheets/d/19THEBTE9q0fhN2eApZr6BgenIvLGh0AckaYxHQfHk5w/edit?gid=251201264" TargetMode="External"/><Relationship Id="rId458" Type="http://schemas.openxmlformats.org/officeDocument/2006/relationships/hyperlink" Target="https://docs.google.com/spreadsheets/d/1rbCD10ySi4YZEkJW2_Slmn9z7AI1WEsGsZaIJmnnT18/edit?gid=573547240" TargetMode="External"/><Relationship Id="rId215" Type="http://schemas.openxmlformats.org/officeDocument/2006/relationships/hyperlink" Target="https://docs.google.com/spreadsheets/d/19THEBTE9q0fhN2eApZr6BgenIvLGh0AckaYxHQfHk5w/edit?gid=1201519029" TargetMode="External"/><Relationship Id="rId457" Type="http://schemas.openxmlformats.org/officeDocument/2006/relationships/hyperlink" Target="https://docs.google.com/spreadsheets/d/1rbCD10ySi4YZEkJW2_Slmn9z7AI1WEsGsZaIJmnnT18/edit?gid=673551977" TargetMode="External"/><Relationship Id="rId699" Type="http://schemas.openxmlformats.org/officeDocument/2006/relationships/hyperlink" Target="https://docs.google.com/spreadsheets/d/1lEcUd4exxkr5Za3IYZ0vdFNfMubnuMOOMXfmF3GYC9I/edit?gid=797603561" TargetMode="External"/><Relationship Id="rId214" Type="http://schemas.openxmlformats.org/officeDocument/2006/relationships/hyperlink" Target="https://docs.google.com/spreadsheets/d/19THEBTE9q0fhN2eApZr6BgenIvLGh0AckaYxHQfHk5w/edit?gid=734388632" TargetMode="External"/><Relationship Id="rId456" Type="http://schemas.openxmlformats.org/officeDocument/2006/relationships/hyperlink" Target="https://docs.google.com/spreadsheets/d/1rbCD10ySi4YZEkJW2_Slmn9z7AI1WEsGsZaIJmnnT18/edit?gid=1509964288" TargetMode="External"/><Relationship Id="rId698" Type="http://schemas.openxmlformats.org/officeDocument/2006/relationships/hyperlink" Target="https://docs.google.com/spreadsheets/d/1lEcUd4exxkr5Za3IYZ0vdFNfMubnuMOOMXfmF3GYC9I/edit?gid=1425191616" TargetMode="External"/><Relationship Id="rId219" Type="http://schemas.openxmlformats.org/officeDocument/2006/relationships/hyperlink" Target="https://docs.google.com/spreadsheets/d/19THEBTE9q0fhN2eApZr6BgenIvLGh0AckaYxHQfHk5w/edit?gid=1562121210" TargetMode="External"/><Relationship Id="rId218" Type="http://schemas.openxmlformats.org/officeDocument/2006/relationships/hyperlink" Target="https://docs.google.com/spreadsheets/d/19THEBTE9q0fhN2eApZr6BgenIvLGh0AckaYxHQfHk5w/edit?gid=969577696" TargetMode="External"/><Relationship Id="rId451" Type="http://schemas.openxmlformats.org/officeDocument/2006/relationships/hyperlink" Target="https://docs.google.com/spreadsheets/d/1rbCD10ySi4YZEkJW2_Slmn9z7AI1WEsGsZaIJmnnT18/edit?gid=1429286292" TargetMode="External"/><Relationship Id="rId693" Type="http://schemas.openxmlformats.org/officeDocument/2006/relationships/hyperlink" Target="https://docs.google.com/spreadsheets/d/1lEcUd4exxkr5Za3IYZ0vdFNfMubnuMOOMXfmF3GYC9I/edit?gid=1260602750" TargetMode="External"/><Relationship Id="rId1040" Type="http://schemas.openxmlformats.org/officeDocument/2006/relationships/hyperlink" Target="https://disk.yandex.ru/d/62QctWfFhXPyrA" TargetMode="External"/><Relationship Id="rId450" Type="http://schemas.openxmlformats.org/officeDocument/2006/relationships/hyperlink" Target="https://docs.google.com/spreadsheets/d/1rbCD10ySi4YZEkJW2_Slmn9z7AI1WEsGsZaIJmnnT18/edit?gid=1637195585" TargetMode="External"/><Relationship Id="rId692" Type="http://schemas.openxmlformats.org/officeDocument/2006/relationships/hyperlink" Target="https://docs.google.com/spreadsheets/d/1lEcUd4exxkr5Za3IYZ0vdFNfMubnuMOOMXfmF3GYC9I/edit?gid=1238624487" TargetMode="External"/><Relationship Id="rId1041" Type="http://schemas.openxmlformats.org/officeDocument/2006/relationships/hyperlink" Target="https://docs.google.com/spreadsheets/d/1EI7qusa674eJhuaw-nWWtWMEHVSYMQv7HLsInEZTWpE/edit?gid=102494064" TargetMode="External"/><Relationship Id="rId691" Type="http://schemas.openxmlformats.org/officeDocument/2006/relationships/hyperlink" Target="https://docs.google.com/spreadsheets/d/1lEcUd4exxkr5Za3IYZ0vdFNfMubnuMOOMXfmF3GYC9I/edit?gid=953512789" TargetMode="External"/><Relationship Id="rId1042" Type="http://schemas.openxmlformats.org/officeDocument/2006/relationships/hyperlink" Target="https://disk.yandex.ru/d/veFo8KaC1wzOSA" TargetMode="External"/><Relationship Id="rId690" Type="http://schemas.openxmlformats.org/officeDocument/2006/relationships/hyperlink" Target="https://docs.google.com/spreadsheets/d/1lEcUd4exxkr5Za3IYZ0vdFNfMubnuMOOMXfmF3GYC9I/edit?gid=546209828" TargetMode="External"/><Relationship Id="rId1043" Type="http://schemas.openxmlformats.org/officeDocument/2006/relationships/hyperlink" Target="https://docs.google.com/spreadsheets/d/1EI7qusa674eJhuaw-nWWtWMEHVSYMQv7HLsInEZTWpE/edit?gid=2011623621" TargetMode="External"/><Relationship Id="rId213" Type="http://schemas.openxmlformats.org/officeDocument/2006/relationships/hyperlink" Target="https://docs.google.com/spreadsheets/d/19THEBTE9q0fhN2eApZr6BgenIvLGh0AckaYxHQfHk5w/edit?gid=1703085430" TargetMode="External"/><Relationship Id="rId455" Type="http://schemas.openxmlformats.org/officeDocument/2006/relationships/hyperlink" Target="https://docs.google.com/spreadsheets/d/1rbCD10ySi4YZEkJW2_Slmn9z7AI1WEsGsZaIJmnnT18/edit?gid=3034090" TargetMode="External"/><Relationship Id="rId697" Type="http://schemas.openxmlformats.org/officeDocument/2006/relationships/hyperlink" Target="https://docs.google.com/spreadsheets/d/1lEcUd4exxkr5Za3IYZ0vdFNfMubnuMOOMXfmF3GYC9I/edit?gid=661362059" TargetMode="External"/><Relationship Id="rId1044" Type="http://schemas.openxmlformats.org/officeDocument/2006/relationships/hyperlink" Target="https://disk.yandex.ru/d/88XgQg4nvRX-Fg" TargetMode="External"/><Relationship Id="rId212" Type="http://schemas.openxmlformats.org/officeDocument/2006/relationships/hyperlink" Target="https://docs.google.com/spreadsheets/d/19THEBTE9q0fhN2eApZr6BgenIvLGh0AckaYxHQfHk5w/edit?gid=950438285" TargetMode="External"/><Relationship Id="rId454" Type="http://schemas.openxmlformats.org/officeDocument/2006/relationships/hyperlink" Target="https://docs.google.com/spreadsheets/d/1rbCD10ySi4YZEkJW2_Slmn9z7AI1WEsGsZaIJmnnT18/edit?gid=2096121583" TargetMode="External"/><Relationship Id="rId696" Type="http://schemas.openxmlformats.org/officeDocument/2006/relationships/hyperlink" Target="https://docs.google.com/spreadsheets/d/1lEcUd4exxkr5Za3IYZ0vdFNfMubnuMOOMXfmF3GYC9I/edit?gid=2050581417" TargetMode="External"/><Relationship Id="rId1045" Type="http://schemas.openxmlformats.org/officeDocument/2006/relationships/hyperlink" Target="https://docs.google.com/spreadsheets/d/1EI7qusa674eJhuaw-nWWtWMEHVSYMQv7HLsInEZTWpE/edit?gid=1412429298" TargetMode="External"/><Relationship Id="rId211" Type="http://schemas.openxmlformats.org/officeDocument/2006/relationships/hyperlink" Target="https://docs.google.com/spreadsheets/d/19THEBTE9q0fhN2eApZr6BgenIvLGh0AckaYxHQfHk5w/edit?gid=330165580" TargetMode="External"/><Relationship Id="rId453" Type="http://schemas.openxmlformats.org/officeDocument/2006/relationships/hyperlink" Target="https://docs.google.com/spreadsheets/d/1rbCD10ySi4YZEkJW2_Slmn9z7AI1WEsGsZaIJmnnT18/edit?gid=989644917" TargetMode="External"/><Relationship Id="rId695" Type="http://schemas.openxmlformats.org/officeDocument/2006/relationships/hyperlink" Target="https://docs.google.com/spreadsheets/d/1lEcUd4exxkr5Za3IYZ0vdFNfMubnuMOOMXfmF3GYC9I/edit?gid=1465150080" TargetMode="External"/><Relationship Id="rId1046" Type="http://schemas.openxmlformats.org/officeDocument/2006/relationships/hyperlink" Target="https://disk.yandex.ru/d/q3xDbj1lGRqG7w" TargetMode="External"/><Relationship Id="rId210" Type="http://schemas.openxmlformats.org/officeDocument/2006/relationships/hyperlink" Target="https://docs.google.com/spreadsheets/d/19THEBTE9q0fhN2eApZr6BgenIvLGh0AckaYxHQfHk5w/edit?gid=1251606175" TargetMode="External"/><Relationship Id="rId452" Type="http://schemas.openxmlformats.org/officeDocument/2006/relationships/hyperlink" Target="https://docs.google.com/spreadsheets/d/1rbCD10ySi4YZEkJW2_Slmn9z7AI1WEsGsZaIJmnnT18/edit?gid=1239547160" TargetMode="External"/><Relationship Id="rId694" Type="http://schemas.openxmlformats.org/officeDocument/2006/relationships/hyperlink" Target="https://docs.google.com/spreadsheets/d/1lEcUd4exxkr5Za3IYZ0vdFNfMubnuMOOMXfmF3GYC9I/edit?gid=2065426247" TargetMode="External"/><Relationship Id="rId1047" Type="http://schemas.openxmlformats.org/officeDocument/2006/relationships/hyperlink" Target="https://docs.google.com/spreadsheets/d/1EI7qusa674eJhuaw-nWWtWMEHVSYMQv7HLsInEZTWpE/edit?gid=2032019827" TargetMode="External"/><Relationship Id="rId491" Type="http://schemas.openxmlformats.org/officeDocument/2006/relationships/hyperlink" Target="https://docs.google.com/spreadsheets/d/1rbCD10ySi4YZEkJW2_Slmn9z7AI1WEsGsZaIJmnnT18/edit?gid=771281495" TargetMode="External"/><Relationship Id="rId490" Type="http://schemas.openxmlformats.org/officeDocument/2006/relationships/hyperlink" Target="https://docs.google.com/spreadsheets/d/1rbCD10ySi4YZEkJW2_Slmn9z7AI1WEsGsZaIJmnnT18/edit?gid=1340012708" TargetMode="External"/><Relationship Id="rId249" Type="http://schemas.openxmlformats.org/officeDocument/2006/relationships/hyperlink" Target="https://docs.google.com/spreadsheets/d/19THEBTE9q0fhN2eApZr6BgenIvLGh0AckaYxHQfHk5w/edit?gid=323323731" TargetMode="External"/><Relationship Id="rId248" Type="http://schemas.openxmlformats.org/officeDocument/2006/relationships/hyperlink" Target="https://docs.google.com/spreadsheets/d/19THEBTE9q0fhN2eApZr6BgenIvLGh0AckaYxHQfHk5w/edit?gid=1720182899" TargetMode="External"/><Relationship Id="rId247" Type="http://schemas.openxmlformats.org/officeDocument/2006/relationships/hyperlink" Target="https://docs.google.com/spreadsheets/d/19THEBTE9q0fhN2eApZr6BgenIvLGh0AckaYxHQfHk5w/edit?gid=1484428884" TargetMode="External"/><Relationship Id="rId489" Type="http://schemas.openxmlformats.org/officeDocument/2006/relationships/hyperlink" Target="https://docs.google.com/spreadsheets/d/1rbCD10ySi4YZEkJW2_Slmn9z7AI1WEsGsZaIJmnnT18/edit?gid=415706414" TargetMode="External"/><Relationship Id="rId242" Type="http://schemas.openxmlformats.org/officeDocument/2006/relationships/hyperlink" Target="https://docs.google.com/spreadsheets/d/19THEBTE9q0fhN2eApZr6BgenIvLGh0AckaYxHQfHk5w/edit?gid=1788417276" TargetMode="External"/><Relationship Id="rId484" Type="http://schemas.openxmlformats.org/officeDocument/2006/relationships/hyperlink" Target="https://docs.google.com/spreadsheets/d/1rbCD10ySi4YZEkJW2_Slmn9z7AI1WEsGsZaIJmnnT18/edit?gid=1656095741" TargetMode="External"/><Relationship Id="rId241" Type="http://schemas.openxmlformats.org/officeDocument/2006/relationships/hyperlink" Target="https://docs.google.com/spreadsheets/d/1jonEGMB3UFHiUZpltF1zURon8gYN7jGSHu-k9t5TXnA/edit?gid=1024106965" TargetMode="External"/><Relationship Id="rId483" Type="http://schemas.openxmlformats.org/officeDocument/2006/relationships/hyperlink" Target="https://docs.google.com/spreadsheets/d/1rbCD10ySi4YZEkJW2_Slmn9z7AI1WEsGsZaIJmnnT18/edit?gid=511980375" TargetMode="External"/><Relationship Id="rId240" Type="http://schemas.openxmlformats.org/officeDocument/2006/relationships/hyperlink" Target="https://docs.google.com/spreadsheets/d/1jonEGMB3UFHiUZpltF1zURon8gYN7jGSHu-k9t5TXnA/edit?gid=9028693" TargetMode="External"/><Relationship Id="rId482" Type="http://schemas.openxmlformats.org/officeDocument/2006/relationships/hyperlink" Target="https://docs.google.com/spreadsheets/d/1rbCD10ySi4YZEkJW2_Slmn9z7AI1WEsGsZaIJmnnT18/edit?gid=1402094174" TargetMode="External"/><Relationship Id="rId481" Type="http://schemas.openxmlformats.org/officeDocument/2006/relationships/hyperlink" Target="https://docs.google.com/spreadsheets/d/1rbCD10ySi4YZEkJW2_Slmn9z7AI1WEsGsZaIJmnnT18/edit?gid=372457040" TargetMode="External"/><Relationship Id="rId246" Type="http://schemas.openxmlformats.org/officeDocument/2006/relationships/hyperlink" Target="https://docs.google.com/spreadsheets/d/19THEBTE9q0fhN2eApZr6BgenIvLGh0AckaYxHQfHk5w/edit?gid=1676523530" TargetMode="External"/><Relationship Id="rId488" Type="http://schemas.openxmlformats.org/officeDocument/2006/relationships/hyperlink" Target="https://docs.google.com/spreadsheets/d/1rbCD10ySi4YZEkJW2_Slmn9z7AI1WEsGsZaIJmnnT18/edit?gid=152190080" TargetMode="External"/><Relationship Id="rId245" Type="http://schemas.openxmlformats.org/officeDocument/2006/relationships/hyperlink" Target="https://docs.google.com/spreadsheets/d/19THEBTE9q0fhN2eApZr6BgenIvLGh0AckaYxHQfHk5w/edit?gid=612628733" TargetMode="External"/><Relationship Id="rId487" Type="http://schemas.openxmlformats.org/officeDocument/2006/relationships/hyperlink" Target="https://docs.google.com/spreadsheets/d/1rbCD10ySi4YZEkJW2_Slmn9z7AI1WEsGsZaIJmnnT18/edit?gid=532286662" TargetMode="External"/><Relationship Id="rId244" Type="http://schemas.openxmlformats.org/officeDocument/2006/relationships/hyperlink" Target="https://docs.google.com/spreadsheets/d/19THEBTE9q0fhN2eApZr6BgenIvLGh0AckaYxHQfHk5w/edit?gid=373322802" TargetMode="External"/><Relationship Id="rId486" Type="http://schemas.openxmlformats.org/officeDocument/2006/relationships/hyperlink" Target="https://docs.google.com/spreadsheets/d/1rbCD10ySi4YZEkJW2_Slmn9z7AI1WEsGsZaIJmnnT18/edit?gid=1203948268" TargetMode="External"/><Relationship Id="rId243" Type="http://schemas.openxmlformats.org/officeDocument/2006/relationships/hyperlink" Target="https://docs.google.com/spreadsheets/d/19THEBTE9q0fhN2eApZr6BgenIvLGh0AckaYxHQfHk5w/edit?gid=241258397" TargetMode="External"/><Relationship Id="rId485" Type="http://schemas.openxmlformats.org/officeDocument/2006/relationships/hyperlink" Target="https://docs.google.com/spreadsheets/d/1rbCD10ySi4YZEkJW2_Slmn9z7AI1WEsGsZaIJmnnT18/edit?gid=1394380200" TargetMode="External"/><Relationship Id="rId480" Type="http://schemas.openxmlformats.org/officeDocument/2006/relationships/hyperlink" Target="https://docs.google.com/spreadsheets/d/1rbCD10ySi4YZEkJW2_Slmn9z7AI1WEsGsZaIJmnnT18/edit?gid=580229704" TargetMode="External"/><Relationship Id="rId239" Type="http://schemas.openxmlformats.org/officeDocument/2006/relationships/hyperlink" Target="https://docs.google.com/spreadsheets/d/1jonEGMB3UFHiUZpltF1zURon8gYN7jGSHu-k9t5TXnA/edit?gid=1284874728" TargetMode="External"/><Relationship Id="rId238" Type="http://schemas.openxmlformats.org/officeDocument/2006/relationships/hyperlink" Target="https://docs.google.com/spreadsheets/d/1jonEGMB3UFHiUZpltF1zURon8gYN7jGSHu-k9t5TXnA/edit?gid=1027797639" TargetMode="External"/><Relationship Id="rId237" Type="http://schemas.openxmlformats.org/officeDocument/2006/relationships/hyperlink" Target="https://disk.yandex.ru/d/iRTb6x-s7u0Bcw" TargetMode="External"/><Relationship Id="rId479" Type="http://schemas.openxmlformats.org/officeDocument/2006/relationships/hyperlink" Target="https://docs.google.com/spreadsheets/d/1rbCD10ySi4YZEkJW2_Slmn9z7AI1WEsGsZaIJmnnT18/edit?gid=256251800" TargetMode="External"/><Relationship Id="rId236" Type="http://schemas.openxmlformats.org/officeDocument/2006/relationships/hyperlink" Target="https://docs.google.com/spreadsheets/d/19THEBTE9q0fhN2eApZr6BgenIvLGh0AckaYxHQfHk5w/edit?gid=76672550" TargetMode="External"/><Relationship Id="rId478" Type="http://schemas.openxmlformats.org/officeDocument/2006/relationships/hyperlink" Target="https://docs.google.com/spreadsheets/d/1rbCD10ySi4YZEkJW2_Slmn9z7AI1WEsGsZaIJmnnT18/edit?gid=798053940" TargetMode="External"/><Relationship Id="rId1060" Type="http://schemas.openxmlformats.org/officeDocument/2006/relationships/hyperlink" Target="https://docs.google.com/spreadsheets/d/1lEcUd4exxkr5Za3IYZ0vdFNfMubnuMOOMXfmF3GYC9I/edit?gid=364805079" TargetMode="External"/><Relationship Id="rId1061" Type="http://schemas.openxmlformats.org/officeDocument/2006/relationships/hyperlink" Target="https://docs.google.com/spreadsheets/d/1EI7qusa674eJhuaw-nWWtWMEHVSYMQv7HLsInEZTWpE/edit?gid=1464012172" TargetMode="External"/><Relationship Id="rId231" Type="http://schemas.openxmlformats.org/officeDocument/2006/relationships/hyperlink" Target="https://docs.google.com/spreadsheets/d/19THEBTE9q0fhN2eApZr6BgenIvLGh0AckaYxHQfHk5w/edit?gid=908346785" TargetMode="External"/><Relationship Id="rId473" Type="http://schemas.openxmlformats.org/officeDocument/2006/relationships/hyperlink" Target="https://docs.google.com/spreadsheets/d/1rbCD10ySi4YZEkJW2_Slmn9z7AI1WEsGsZaIJmnnT18/edit?gid=1455430518" TargetMode="External"/><Relationship Id="rId1062" Type="http://schemas.openxmlformats.org/officeDocument/2006/relationships/hyperlink" Target="https://docs.google.com/spreadsheets/d/1EI7qusa674eJhuaw-nWWtWMEHVSYMQv7HLsInEZTWpE/edit?gid=1212683090" TargetMode="External"/><Relationship Id="rId230" Type="http://schemas.openxmlformats.org/officeDocument/2006/relationships/hyperlink" Target="https://docs.google.com/spreadsheets/d/19THEBTE9q0fhN2eApZr6BgenIvLGh0AckaYxHQfHk5w/edit?gid=481187794" TargetMode="External"/><Relationship Id="rId472" Type="http://schemas.openxmlformats.org/officeDocument/2006/relationships/hyperlink" Target="https://disk.yandex.ru/client/disk/%D0%9E%D1%81%D0%BC%D0%BE%D1%82%D1%80%D1%8B%20%D0%BE%D0%B1%D1%8A%D0%B5%D0%BA%D1%82%D0%BE%D0%B2%20%D0%90%D0%9D%D0%9E%20%D0%A1%D0%9C%D0%93/714%20%D0%97%D0%B0%D1%80%D0%B0%D0%B9%D1%81%D0%BA%D0%B0%D1%8F%20%D0%B2%D0%BB%2046.1%20%2C%20%D0%A8%D0%B0%D1%82%D1%83%D1%80%D1%81%D0%BA%D0%B0%D1%8F%20%D1%83%D0%BB%20%D0%B2%D0%BB.%2039%20" TargetMode="External"/><Relationship Id="rId1063" Type="http://schemas.openxmlformats.org/officeDocument/2006/relationships/drawing" Target="../drawings/drawing4.xml"/><Relationship Id="rId471" Type="http://schemas.openxmlformats.org/officeDocument/2006/relationships/hyperlink" Target="https://docs.google.com/spreadsheets/d/1rbCD10ySi4YZEkJW2_Slmn9z7AI1WEsGsZaIJmnnT18/edit?gid=1644784685" TargetMode="External"/><Relationship Id="rId470" Type="http://schemas.openxmlformats.org/officeDocument/2006/relationships/hyperlink" Target="https://docs.google.com/spreadsheets/d/1rbCD10ySi4YZEkJW2_Slmn9z7AI1WEsGsZaIJmnnT18/edit?gid=2069894648" TargetMode="External"/><Relationship Id="rId235" Type="http://schemas.openxmlformats.org/officeDocument/2006/relationships/hyperlink" Target="https://docs.google.com/spreadsheets/d/19THEBTE9q0fhN2eApZr6BgenIvLGh0AckaYxHQfHk5w/edit?gid=307470456" TargetMode="External"/><Relationship Id="rId477" Type="http://schemas.openxmlformats.org/officeDocument/2006/relationships/hyperlink" Target="https://docs.google.com/spreadsheets/d/1rbCD10ySi4YZEkJW2_Slmn9z7AI1WEsGsZaIJmnnT18/edit?gid=252316906" TargetMode="External"/><Relationship Id="rId234" Type="http://schemas.openxmlformats.org/officeDocument/2006/relationships/hyperlink" Target="https://docs.google.com/spreadsheets/d/19THEBTE9q0fhN2eApZr6BgenIvLGh0AckaYxHQfHk5w/edit?gid=2080968173" TargetMode="External"/><Relationship Id="rId476" Type="http://schemas.openxmlformats.org/officeDocument/2006/relationships/hyperlink" Target="https://docs.google.com/spreadsheets/d/1rbCD10ySi4YZEkJW2_Slmn9z7AI1WEsGsZaIJmnnT18/edit?gid=1553204611" TargetMode="External"/><Relationship Id="rId233" Type="http://schemas.openxmlformats.org/officeDocument/2006/relationships/hyperlink" Target="https://disk.yandex.ru/client/disk/%D0%9E%D1%81%D0%BC%D0%BE%D1%82%D1%80%D1%8B%20%D0%BE%D0%B1%D1%8A%D0%B5%D0%BA%D1%82%D0%BE%D0%B2%20%D0%90%D0%9D%D0%9E%20%D0%A1%D0%9C%D0%93/300.%20%D0%A4%D0%B5%D1%80%D0%B3%D0%B0%D0%BD%D1%81%D0%BA%D0%B8%D0%B9%20%D0%BF%D1%80%D0%BE%D0%B5%D0%B7%D0%B4%20%D0%B4.6%20(%D0%B4.6%20%D1%81%D1%82%D1%80.%202)" TargetMode="External"/><Relationship Id="rId475" Type="http://schemas.openxmlformats.org/officeDocument/2006/relationships/hyperlink" Target="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 TargetMode="External"/><Relationship Id="rId232" Type="http://schemas.openxmlformats.org/officeDocument/2006/relationships/hyperlink" Target="https://docs.google.com/spreadsheets/d/19THEBTE9q0fhN2eApZr6BgenIvLGh0AckaYxHQfHk5w/edit?gid=952023246" TargetMode="External"/><Relationship Id="rId474" Type="http://schemas.openxmlformats.org/officeDocument/2006/relationships/hyperlink" Target="https://docs.google.com/spreadsheets/d/1rbCD10ySi4YZEkJW2_Slmn9z7AI1WEsGsZaIJmnnT18/edit?gid=617058408" TargetMode="External"/><Relationship Id="rId1015" Type="http://schemas.openxmlformats.org/officeDocument/2006/relationships/hyperlink" Target="https://docs.google.com/spreadsheets/d/1EI7qusa674eJhuaw-nWWtWMEHVSYMQv7HLsInEZTWpE/edit?gid=1201892812" TargetMode="External"/><Relationship Id="rId1016" Type="http://schemas.openxmlformats.org/officeDocument/2006/relationships/hyperlink" Target="https://docs.google.com/spreadsheets/d/1EI7qusa674eJhuaw-nWWtWMEHVSYMQv7HLsInEZTWpE/edit?gid=1513915226" TargetMode="External"/><Relationship Id="rId1017" Type="http://schemas.openxmlformats.org/officeDocument/2006/relationships/hyperlink" Target="https://docs.google.com/spreadsheets/d/1EI7qusa674eJhuaw-nWWtWMEHVSYMQv7HLsInEZTWpE/edit?gid=1698914895" TargetMode="External"/><Relationship Id="rId1018" Type="http://schemas.openxmlformats.org/officeDocument/2006/relationships/hyperlink" Target="https://docs.google.com/spreadsheets/d/1EI7qusa674eJhuaw-nWWtWMEHVSYMQv7HLsInEZTWpE/edit?gid=239550778" TargetMode="External"/><Relationship Id="rId1019" Type="http://schemas.openxmlformats.org/officeDocument/2006/relationships/hyperlink" Target="https://docs.google.com/spreadsheets/d/1EI7qusa674eJhuaw-nWWtWMEHVSYMQv7HLsInEZTWpE/edit?gid=1264665053" TargetMode="External"/><Relationship Id="rId426" Type="http://schemas.openxmlformats.org/officeDocument/2006/relationships/hyperlink" Target="https://docs.google.com/spreadsheets/d/1rbCD10ySi4YZEkJW2_Slmn9z7AI1WEsGsZaIJmnnT18/edit?gid=1331480544" TargetMode="External"/><Relationship Id="rId668" Type="http://schemas.openxmlformats.org/officeDocument/2006/relationships/hyperlink" Target="https://docs.google.com/spreadsheets/d/1rbCD10ySi4YZEkJW2_Slmn9z7AI1WEsGsZaIJmnnT18/edit?gid=131438467" TargetMode="External"/><Relationship Id="rId425" Type="http://schemas.openxmlformats.org/officeDocument/2006/relationships/hyperlink" Target="https://docs.google.com/spreadsheets/d/1rbCD10ySi4YZEkJW2_Slmn9z7AI1WEsGsZaIJmnnT18/edit?gid=2092914415" TargetMode="External"/><Relationship Id="rId667" Type="http://schemas.openxmlformats.org/officeDocument/2006/relationships/hyperlink" Target="https://docs.google.com/spreadsheets/d/1rbCD10ySi4YZEkJW2_Slmn9z7AI1WEsGsZaIJmnnT18/edit?gid=1472341941" TargetMode="External"/><Relationship Id="rId424" Type="http://schemas.openxmlformats.org/officeDocument/2006/relationships/hyperlink" Target="https://docs.google.com/spreadsheets/d/1rbCD10ySi4YZEkJW2_Slmn9z7AI1WEsGsZaIJmnnT18/edit?gid=563761401" TargetMode="External"/><Relationship Id="rId666" Type="http://schemas.openxmlformats.org/officeDocument/2006/relationships/hyperlink" Target="https://docs.google.com/spreadsheets/d/1rbCD10ySi4YZEkJW2_Slmn9z7AI1WEsGsZaIJmnnT18/edit?gid=409879207" TargetMode="External"/><Relationship Id="rId423" Type="http://schemas.openxmlformats.org/officeDocument/2006/relationships/hyperlink" Target="https://docs.google.com/spreadsheets/d/1rbCD10ySi4YZEkJW2_Slmn9z7AI1WEsGsZaIJmnnT18/edit?gid=1665166606" TargetMode="External"/><Relationship Id="rId665" Type="http://schemas.openxmlformats.org/officeDocument/2006/relationships/hyperlink" Target="https://docs.google.com/spreadsheets/d/1rbCD10ySi4YZEkJW2_Slmn9z7AI1WEsGsZaIJmnnT18/edit?gid=867879144" TargetMode="External"/><Relationship Id="rId429" Type="http://schemas.openxmlformats.org/officeDocument/2006/relationships/hyperlink" Target="https://docs.google.com/spreadsheets/d/1rbCD10ySi4YZEkJW2_Slmn9z7AI1WEsGsZaIJmnnT18/edit?gid=79728110" TargetMode="External"/><Relationship Id="rId428" Type="http://schemas.openxmlformats.org/officeDocument/2006/relationships/hyperlink" Target="https://docs.google.com/spreadsheets/d/1rbCD10ySi4YZEkJW2_Slmn9z7AI1WEsGsZaIJmnnT18/edit?gid=1997450648" TargetMode="External"/><Relationship Id="rId427" Type="http://schemas.openxmlformats.org/officeDocument/2006/relationships/hyperlink" Target="https://docs.google.com/spreadsheets/d/1rbCD10ySi4YZEkJW2_Slmn9z7AI1WEsGsZaIJmnnT18/edit?gid=1102875556" TargetMode="External"/><Relationship Id="rId669" Type="http://schemas.openxmlformats.org/officeDocument/2006/relationships/hyperlink" Target="https://docs.google.com/spreadsheets/d/1rbCD10ySi4YZEkJW2_Slmn9z7AI1WEsGsZaIJmnnT18/edit?gid=131438467" TargetMode="External"/><Relationship Id="rId660" Type="http://schemas.openxmlformats.org/officeDocument/2006/relationships/hyperlink" Target="https://docs.google.com/spreadsheets/d/1rbCD10ySi4YZEkJW2_Slmn9z7AI1WEsGsZaIJmnnT18/edit?gid=1609219828" TargetMode="External"/><Relationship Id="rId1010" Type="http://schemas.openxmlformats.org/officeDocument/2006/relationships/hyperlink" Target="https://docs.google.com/spreadsheets/d/1EI7qusa674eJhuaw-nWWtWMEHVSYMQv7HLsInEZTWpE/edit?gid=2138110336" TargetMode="External"/><Relationship Id="rId422" Type="http://schemas.openxmlformats.org/officeDocument/2006/relationships/hyperlink" Target="https://docs.google.com/spreadsheets/d/1rbCD10ySi4YZEkJW2_Slmn9z7AI1WEsGsZaIJmnnT18/edit?gid=988598667" TargetMode="External"/><Relationship Id="rId664" Type="http://schemas.openxmlformats.org/officeDocument/2006/relationships/hyperlink" Target="https://docs.google.com/spreadsheets/d/1rbCD10ySi4YZEkJW2_Slmn9z7AI1WEsGsZaIJmnnT18/edit?gid=982286629" TargetMode="External"/><Relationship Id="rId1011" Type="http://schemas.openxmlformats.org/officeDocument/2006/relationships/hyperlink" Target="https://docs.google.com/spreadsheets/d/1EI7qusa674eJhuaw-nWWtWMEHVSYMQv7HLsInEZTWpE/edit?gid=1064274892" TargetMode="External"/><Relationship Id="rId421" Type="http://schemas.openxmlformats.org/officeDocument/2006/relationships/hyperlink" Target="https://docs.google.com/spreadsheets/d/1rbCD10ySi4YZEkJW2_Slmn9z7AI1WEsGsZaIJmnnT18/edit?gid=1195206502" TargetMode="External"/><Relationship Id="rId663" Type="http://schemas.openxmlformats.org/officeDocument/2006/relationships/hyperlink" Target="https://docs.google.com/spreadsheets/d/1rbCD10ySi4YZEkJW2_Slmn9z7AI1WEsGsZaIJmnnT18/edit?gid=1209159022" TargetMode="External"/><Relationship Id="rId1012" Type="http://schemas.openxmlformats.org/officeDocument/2006/relationships/hyperlink" Target="https://docs.google.com/spreadsheets/d/1EI7qusa674eJhuaw-nWWtWMEHVSYMQv7HLsInEZTWpE/edit?gid=188255576" TargetMode="External"/><Relationship Id="rId420" Type="http://schemas.openxmlformats.org/officeDocument/2006/relationships/hyperlink" Target="https://disk.yandex.ru/client/disk/%D0%9E%D1%81%D0%BC%D0%BE%D1%82%D1%80%D1%8B%20%D0%BE%D0%B1%D1%8A%D0%B5%D0%BA%D1%82%D0%BE%D0%B2%20%D0%90%D0%9D%D0%9E%20%D0%A1%D0%9C%D0%93/738.%20%D0%A8%D0%B5%D0%BF%D0%B5%D0%BB%D1%8E%D0%B3%D0%B8%D0%BD%D1%81%D0%BA%D0%B0%D1%8F%20%D0%B2%D0%BB%2014%20" TargetMode="External"/><Relationship Id="rId662" Type="http://schemas.openxmlformats.org/officeDocument/2006/relationships/hyperlink" Target="https://docs.google.com/spreadsheets/d/1rbCD10ySi4YZEkJW2_Slmn9z7AI1WEsGsZaIJmnnT18/edit?gid=410405920" TargetMode="External"/><Relationship Id="rId1013" Type="http://schemas.openxmlformats.org/officeDocument/2006/relationships/hyperlink" Target="https://docs.google.com/spreadsheets/d/1EI7qusa674eJhuaw-nWWtWMEHVSYMQv7HLsInEZTWpE/edit?gid=1237877981" TargetMode="External"/><Relationship Id="rId661" Type="http://schemas.openxmlformats.org/officeDocument/2006/relationships/hyperlink" Target="https://docs.google.com/spreadsheets/d/1rbCD10ySi4YZEkJW2_Slmn9z7AI1WEsGsZaIJmnnT18/edit?gid=991695454" TargetMode="External"/><Relationship Id="rId1014" Type="http://schemas.openxmlformats.org/officeDocument/2006/relationships/hyperlink" Target="https://docs.google.com/spreadsheets/d/1EI7qusa674eJhuaw-nWWtWMEHVSYMQv7HLsInEZTWpE/edit?gid=1217792882" TargetMode="External"/><Relationship Id="rId1004" Type="http://schemas.openxmlformats.org/officeDocument/2006/relationships/hyperlink" Target="https://docs.google.com/spreadsheets/d/1EI7qusa674eJhuaw-nWWtWMEHVSYMQv7HLsInEZTWpE/edit?gid=532300797" TargetMode="External"/><Relationship Id="rId1005" Type="http://schemas.openxmlformats.org/officeDocument/2006/relationships/hyperlink" Target="https://docs.google.com/spreadsheets/d/1EI7qusa674eJhuaw-nWWtWMEHVSYMQv7HLsInEZTWpE/edit?gid=259875385" TargetMode="External"/><Relationship Id="rId1006" Type="http://schemas.openxmlformats.org/officeDocument/2006/relationships/hyperlink" Target="https://disk.yandex.ru/d/k7Rlj_WUN9ArOQ" TargetMode="External"/><Relationship Id="rId1007" Type="http://schemas.openxmlformats.org/officeDocument/2006/relationships/hyperlink" Target="https://docs.google.com/spreadsheets/d/1EI7qusa674eJhuaw-nWWtWMEHVSYMQv7HLsInEZTWpE/edit?gid=1779752983" TargetMode="External"/><Relationship Id="rId1008" Type="http://schemas.openxmlformats.org/officeDocument/2006/relationships/hyperlink" Target="https://docs.google.com/spreadsheets/d/1EI7qusa674eJhuaw-nWWtWMEHVSYMQv7HLsInEZTWpE/edit?gid=255205459" TargetMode="External"/><Relationship Id="rId1009" Type="http://schemas.openxmlformats.org/officeDocument/2006/relationships/hyperlink" Target="https://docs.google.com/spreadsheets/d/1EI7qusa674eJhuaw-nWWtWMEHVSYMQv7HLsInEZTWpE/edit?gid=254963674" TargetMode="External"/><Relationship Id="rId415" Type="http://schemas.openxmlformats.org/officeDocument/2006/relationships/hyperlink" Target="https://docs.google.com/spreadsheets/d/1rbCD10ySi4YZEkJW2_Slmn9z7AI1WEsGsZaIJmnnT18/edit?gid=478234873" TargetMode="External"/><Relationship Id="rId657" Type="http://schemas.openxmlformats.org/officeDocument/2006/relationships/hyperlink" Target="https://docs.google.com/spreadsheets/d/1rbCD10ySi4YZEkJW2_Slmn9z7AI1WEsGsZaIJmnnT18/edit?gid=314292055" TargetMode="External"/><Relationship Id="rId899" Type="http://schemas.openxmlformats.org/officeDocument/2006/relationships/hyperlink" Target="https://docs.google.com/spreadsheets/d/1EI7qusa674eJhuaw-nWWtWMEHVSYMQv7HLsInEZTWpE/edit?gid=428989507" TargetMode="External"/><Relationship Id="rId414" Type="http://schemas.openxmlformats.org/officeDocument/2006/relationships/hyperlink" Target="https://docs.google.com/spreadsheets/d/1rbCD10ySi4YZEkJW2_Slmn9z7AI1WEsGsZaIJmnnT18/edit?gid=1754531219" TargetMode="External"/><Relationship Id="rId656" Type="http://schemas.openxmlformats.org/officeDocument/2006/relationships/hyperlink" Target="https://docs.google.com/spreadsheets/d/1rbCD10ySi4YZEkJW2_Slmn9z7AI1WEsGsZaIJmnnT18/edit?gid=223359966" TargetMode="External"/><Relationship Id="rId898" Type="http://schemas.openxmlformats.org/officeDocument/2006/relationships/hyperlink" Target="https://docs.google.com/spreadsheets/d/1EI7qusa674eJhuaw-nWWtWMEHVSYMQv7HLsInEZTWpE/edit?gid=118234582" TargetMode="External"/><Relationship Id="rId413" Type="http://schemas.openxmlformats.org/officeDocument/2006/relationships/hyperlink" Target="https://docs.google.com/spreadsheets/d/1H1MjbG2y0oC0hhID4do1G0_gfyI1jag72lQd7nL3WDQ/edit?gid=1320846516" TargetMode="External"/><Relationship Id="rId655" Type="http://schemas.openxmlformats.org/officeDocument/2006/relationships/hyperlink" Target="https://docs.google.com/spreadsheets/d/1rbCD10ySi4YZEkJW2_Slmn9z7AI1WEsGsZaIJmnnT18/edit?gid=402405412" TargetMode="External"/><Relationship Id="rId897" Type="http://schemas.openxmlformats.org/officeDocument/2006/relationships/hyperlink" Target="https://docs.google.com/spreadsheets/d/1EI7qusa674eJhuaw-nWWtWMEHVSYMQv7HLsInEZTWpE/edit?gid=2022013037" TargetMode="External"/><Relationship Id="rId412" Type="http://schemas.openxmlformats.org/officeDocument/2006/relationships/hyperlink" Target="https://docs.google.com/spreadsheets/d/1H1MjbG2y0oC0hhID4do1G0_gfyI1jag72lQd7nL3WDQ/edit?gid=1988948543" TargetMode="External"/><Relationship Id="rId654" Type="http://schemas.openxmlformats.org/officeDocument/2006/relationships/hyperlink" Target="https://docs.google.com/spreadsheets/d/1rbCD10ySi4YZEkJW2_Slmn9z7AI1WEsGsZaIJmnnT18/edit?gid=1226682620" TargetMode="External"/><Relationship Id="rId896" Type="http://schemas.openxmlformats.org/officeDocument/2006/relationships/hyperlink" Target="https://docs.google.com/spreadsheets/d/1EI7qusa674eJhuaw-nWWtWMEHVSYMQv7HLsInEZTWpE/edit?gid=1256869366" TargetMode="External"/><Relationship Id="rId419" Type="http://schemas.openxmlformats.org/officeDocument/2006/relationships/hyperlink" Target="https://docs.google.com/spreadsheets/d/1rbCD10ySi4YZEkJW2_Slmn9z7AI1WEsGsZaIJmnnT18/edit?gid=2128103220" TargetMode="External"/><Relationship Id="rId418" Type="http://schemas.openxmlformats.org/officeDocument/2006/relationships/hyperlink" Target="https://docs.google.com/spreadsheets/d/1rbCD10ySi4YZEkJW2_Slmn9z7AI1WEsGsZaIJmnnT18/edit?gid=932084254" TargetMode="External"/><Relationship Id="rId417" Type="http://schemas.openxmlformats.org/officeDocument/2006/relationships/hyperlink" Target="https://docs.google.com/spreadsheets/d/1rbCD10ySi4YZEkJW2_Slmn9z7AI1WEsGsZaIJmnnT18/edit?gid=732973558" TargetMode="External"/><Relationship Id="rId659" Type="http://schemas.openxmlformats.org/officeDocument/2006/relationships/hyperlink" Target="https://docs.google.com/spreadsheets/d/1rbCD10ySi4YZEkJW2_Slmn9z7AI1WEsGsZaIJmnnT18/edit?gid=1110910026" TargetMode="External"/><Relationship Id="rId416" Type="http://schemas.openxmlformats.org/officeDocument/2006/relationships/hyperlink" Target="https://docs.google.com/spreadsheets/d/1rbCD10ySi4YZEkJW2_Slmn9z7AI1WEsGsZaIJmnnT18/edit?gid=235307605" TargetMode="External"/><Relationship Id="rId658" Type="http://schemas.openxmlformats.org/officeDocument/2006/relationships/hyperlink" Target="https://docs.google.com/spreadsheets/d/1rbCD10ySi4YZEkJW2_Slmn9z7AI1WEsGsZaIJmnnT18/edit?gid=1044392559" TargetMode="External"/><Relationship Id="rId891" Type="http://schemas.openxmlformats.org/officeDocument/2006/relationships/hyperlink" Target="https://docs.google.com/spreadsheets/d/1EI7qusa674eJhuaw-nWWtWMEHVSYMQv7HLsInEZTWpE/edit?gid=1074412945" TargetMode="External"/><Relationship Id="rId890" Type="http://schemas.openxmlformats.org/officeDocument/2006/relationships/hyperlink" Target="https://docs.google.com/spreadsheets/d/1EI7qusa674eJhuaw-nWWtWMEHVSYMQv7HLsInEZTWpE/edit?gid=1438023663" TargetMode="External"/><Relationship Id="rId411" Type="http://schemas.openxmlformats.org/officeDocument/2006/relationships/hyperlink" Target="https://docs.google.com/spreadsheets/d/1H1MjbG2y0oC0hhID4do1G0_gfyI1jag72lQd7nL3WDQ/edit?gid=444310098" TargetMode="External"/><Relationship Id="rId653" Type="http://schemas.openxmlformats.org/officeDocument/2006/relationships/hyperlink" Target="https://docs.google.com/spreadsheets/d/1rbCD10ySi4YZEkJW2_Slmn9z7AI1WEsGsZaIJmnnT18/edit?gid=1380549667" TargetMode="External"/><Relationship Id="rId895" Type="http://schemas.openxmlformats.org/officeDocument/2006/relationships/hyperlink" Target="https://docs.google.com/spreadsheets/d/1EI7qusa674eJhuaw-nWWtWMEHVSYMQv7HLsInEZTWpE/edit?gid=1325521747" TargetMode="External"/><Relationship Id="rId1000" Type="http://schemas.openxmlformats.org/officeDocument/2006/relationships/hyperlink" Target="https://disk.yandex.ru/d/BmVvbN_-KVryzA" TargetMode="External"/><Relationship Id="rId410" Type="http://schemas.openxmlformats.org/officeDocument/2006/relationships/hyperlink" Target="https://docs.google.com/spreadsheets/d/1H1MjbG2y0oC0hhID4do1G0_gfyI1jag72lQd7nL3WDQ/edit?gid=1715541541" TargetMode="External"/><Relationship Id="rId652" Type="http://schemas.openxmlformats.org/officeDocument/2006/relationships/hyperlink" Target="https://docs.google.com/spreadsheets/d/1rbCD10ySi4YZEkJW2_Slmn9z7AI1WEsGsZaIJmnnT18/edit?gid=641020956" TargetMode="External"/><Relationship Id="rId894" Type="http://schemas.openxmlformats.org/officeDocument/2006/relationships/hyperlink" Target="https://docs.google.com/spreadsheets/d/1EI7qusa674eJhuaw-nWWtWMEHVSYMQv7HLsInEZTWpE/edit?gid=373541859" TargetMode="External"/><Relationship Id="rId1001" Type="http://schemas.openxmlformats.org/officeDocument/2006/relationships/hyperlink" Target="https://docs.google.com/spreadsheets/d/19THEBTE9q0fhN2eApZr6BgenIvLGh0AckaYxHQfHk5w/edit?gid=555355320" TargetMode="External"/><Relationship Id="rId651" Type="http://schemas.openxmlformats.org/officeDocument/2006/relationships/hyperlink" Target="https://docs.google.com/spreadsheets/d/1rbCD10ySi4YZEkJW2_Slmn9z7AI1WEsGsZaIJmnnT18/edit?gid=1861315460" TargetMode="External"/><Relationship Id="rId893" Type="http://schemas.openxmlformats.org/officeDocument/2006/relationships/hyperlink" Target="https://docs.google.com/spreadsheets/d/1EI7qusa674eJhuaw-nWWtWMEHVSYMQv7HLsInEZTWpE/edit?gid=1482027373" TargetMode="External"/><Relationship Id="rId1002" Type="http://schemas.openxmlformats.org/officeDocument/2006/relationships/hyperlink" Target="https://docs.google.com/spreadsheets/d/1EI7qusa674eJhuaw-nWWtWMEHVSYMQv7HLsInEZTWpE/edit?gid=1395505896" TargetMode="External"/><Relationship Id="rId650" Type="http://schemas.openxmlformats.org/officeDocument/2006/relationships/hyperlink" Target="https://docs.google.com/spreadsheets/d/1rbCD10ySi4YZEkJW2_Slmn9z7AI1WEsGsZaIJmnnT18/edit?gid=622576410" TargetMode="External"/><Relationship Id="rId892" Type="http://schemas.openxmlformats.org/officeDocument/2006/relationships/hyperlink" Target="https://docs.google.com/spreadsheets/d/1EI7qusa674eJhuaw-nWWtWMEHVSYMQv7HLsInEZTWpE/edit?gid=2082838360" TargetMode="External"/><Relationship Id="rId1003" Type="http://schemas.openxmlformats.org/officeDocument/2006/relationships/hyperlink" Target="https://docs.google.com/spreadsheets/d/1EI7qusa674eJhuaw-nWWtWMEHVSYMQv7HLsInEZTWpE/edit?gid=1378814711" TargetMode="External"/><Relationship Id="rId1037" Type="http://schemas.openxmlformats.org/officeDocument/2006/relationships/hyperlink" Target="https://docs.google.com/spreadsheets/d/1jonEGMB3UFHiUZpltF1zURon8gYN7jGSHu-k9t5TXnA/edit?gid=804949431" TargetMode="External"/><Relationship Id="rId1038" Type="http://schemas.openxmlformats.org/officeDocument/2006/relationships/hyperlink" Target="https://docs.google.com/spreadsheets/d/1jonEGMB3UFHiUZpltF1zURon8gYN7jGSHu-k9t5TXnA/edit?gid=1604017750" TargetMode="External"/><Relationship Id="rId1039" Type="http://schemas.openxmlformats.org/officeDocument/2006/relationships/hyperlink" Target="https://docs.google.com/spreadsheets/d/1EI7qusa674eJhuaw-nWWtWMEHVSYMQv7HLsInEZTWpE/edit?gid=1216643821" TargetMode="External"/><Relationship Id="rId206" Type="http://schemas.openxmlformats.org/officeDocument/2006/relationships/hyperlink" Target="https://docs.google.com/spreadsheets/d/19THEBTE9q0fhN2eApZr6BgenIvLGh0AckaYxHQfHk5w/edit?gid=274135139" TargetMode="External"/><Relationship Id="rId448" Type="http://schemas.openxmlformats.org/officeDocument/2006/relationships/hyperlink" Target="https://docs.google.com/spreadsheets/d/1rbCD10ySi4YZEkJW2_Slmn9z7AI1WEsGsZaIJmnnT18/edit?gid=1721879742" TargetMode="External"/><Relationship Id="rId205" Type="http://schemas.openxmlformats.org/officeDocument/2006/relationships/hyperlink" Target="https://docs.google.com/spreadsheets/d/19THEBTE9q0fhN2eApZr6BgenIvLGh0AckaYxHQfHk5w/edit?gid=274135139" TargetMode="External"/><Relationship Id="rId447" Type="http://schemas.openxmlformats.org/officeDocument/2006/relationships/hyperlink" Target="https://docs.google.com/spreadsheets/d/1rbCD10ySi4YZEkJW2_Slmn9z7AI1WEsGsZaIJmnnT18/edit?gid=1525507838" TargetMode="External"/><Relationship Id="rId689" Type="http://schemas.openxmlformats.org/officeDocument/2006/relationships/hyperlink" Target="https://docs.google.com/spreadsheets/d/1rbCD10ySi4YZEkJW2_Slmn9z7AI1WEsGsZaIJmnnT18/edit?gid=1435558213" TargetMode="External"/><Relationship Id="rId204" Type="http://schemas.openxmlformats.org/officeDocument/2006/relationships/hyperlink" Target="https://docs.google.com/spreadsheets/d/19THEBTE9q0fhN2eApZr6BgenIvLGh0AckaYxHQfHk5w/edit?gid=1771081492" TargetMode="External"/><Relationship Id="rId446" Type="http://schemas.openxmlformats.org/officeDocument/2006/relationships/hyperlink" Target="https://docs.google.com/spreadsheets/d/1rbCD10ySi4YZEkJW2_Slmn9z7AI1WEsGsZaIJmnnT18/edit?gid=1300345470" TargetMode="External"/><Relationship Id="rId688" Type="http://schemas.openxmlformats.org/officeDocument/2006/relationships/hyperlink" Target="https://docs.google.com/spreadsheets/d/1rbCD10ySi4YZEkJW2_Slmn9z7AI1WEsGsZaIJmnnT18/edit?gid=422760194" TargetMode="External"/><Relationship Id="rId203" Type="http://schemas.openxmlformats.org/officeDocument/2006/relationships/hyperlink" Target="https://docs.google.com/spreadsheets/d/19THEBTE9q0fhN2eApZr6BgenIvLGh0AckaYxHQfHk5w/edit?gid=343288429" TargetMode="External"/><Relationship Id="rId445" Type="http://schemas.openxmlformats.org/officeDocument/2006/relationships/hyperlink" Target="https://docs.google.com/spreadsheets/d/1rbCD10ySi4YZEkJW2_Slmn9z7AI1WEsGsZaIJmnnT18/edit?gid=811633138" TargetMode="External"/><Relationship Id="rId687" Type="http://schemas.openxmlformats.org/officeDocument/2006/relationships/hyperlink" Target="https://docs.google.com/spreadsheets/d/1rbCD10ySi4YZEkJW2_Slmn9z7AI1WEsGsZaIJmnnT18/edit?gid=1127542232" TargetMode="External"/><Relationship Id="rId209" Type="http://schemas.openxmlformats.org/officeDocument/2006/relationships/hyperlink" Target="https://disk.yandex.ru/client/disk/%D0%9E%D1%81%D0%BC%D0%BE%D1%82%D1%80%D1%8B%20%D0%BE%D0%B1%D1%8A%D0%B5%D0%BA%D1%82%D0%BE%D0%B2%20%D0%90%D0%9D%D0%9E%20%D0%A1%D0%9C%D0%93/1151%20(%D1%8D%D1%82%D0%B0%D0%BF%202).%20%D0%B3.%20%D0%9C%D0%BE%D1%81%D0%BA%D0%B2%D0%B0%2C%20%D1%80%D0%B0%D0%B9%D0%BE%D0%BD%20%D0%A1%D0%BE%D0%BB%D0%BD%D1%86%D0%B5%D0%B2%D0%BE%2C%20%D0%A2%D1%80%D0%BE%D0%BF%D0%B0%D1%80%D0%B5%D0%B2%D0%BE-%20%D0%9D%D0%B8%D0%BA%D1%83%D0%BB%D0%B8%D0%BD%D0%BE%2C%20%D0%BF%D1%80-%D1%82%2C%20%D0%92%D0%B5%D1%80%D0%BD%D0%B0%D0%B4%D1%81%D0%BA%D0%BE%D0%B3%D0%BE" TargetMode="External"/><Relationship Id="rId208" Type="http://schemas.openxmlformats.org/officeDocument/2006/relationships/hyperlink" Target="https://docs.google.com/spreadsheets/d/19THEBTE9q0fhN2eApZr6BgenIvLGh0AckaYxHQfHk5w/edit?gid=2098961178" TargetMode="External"/><Relationship Id="rId207" Type="http://schemas.openxmlformats.org/officeDocument/2006/relationships/hyperlink" Target="https://docs.google.com/spreadsheets/d/19THEBTE9q0fhN2eApZr6BgenIvLGh0AckaYxHQfHk5w/edit?gid=274135139" TargetMode="External"/><Relationship Id="rId449" Type="http://schemas.openxmlformats.org/officeDocument/2006/relationships/hyperlink" Target="https://docs.google.com/spreadsheets/d/1rbCD10ySi4YZEkJW2_Slmn9z7AI1WEsGsZaIJmnnT18/edit?gid=1735599010" TargetMode="External"/><Relationship Id="rId440" Type="http://schemas.openxmlformats.org/officeDocument/2006/relationships/hyperlink" Target="https://docs.google.com/spreadsheets/d/1rbCD10ySi4YZEkJW2_Slmn9z7AI1WEsGsZaIJmnnT18/edit?gid=1407262521" TargetMode="External"/><Relationship Id="rId682" Type="http://schemas.openxmlformats.org/officeDocument/2006/relationships/hyperlink" Target="https://docs.google.com/spreadsheets/d/1rbCD10ySi4YZEkJW2_Slmn9z7AI1WEsGsZaIJmnnT18/edit?gid=1182179184" TargetMode="External"/><Relationship Id="rId681" Type="http://schemas.openxmlformats.org/officeDocument/2006/relationships/hyperlink" Target="https://docs.google.com/spreadsheets/d/1rbCD10ySi4YZEkJW2_Slmn9z7AI1WEsGsZaIJmnnT18/edit?gid=382946439" TargetMode="External"/><Relationship Id="rId1030" Type="http://schemas.openxmlformats.org/officeDocument/2006/relationships/hyperlink" Target="https://docs.google.com/spreadsheets/d/1jonEGMB3UFHiUZpltF1zURon8gYN7jGSHu-k9t5TXnA/edit?gid=2025902554" TargetMode="External"/><Relationship Id="rId680" Type="http://schemas.openxmlformats.org/officeDocument/2006/relationships/hyperlink" Target="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 TargetMode="External"/><Relationship Id="rId1031" Type="http://schemas.openxmlformats.org/officeDocument/2006/relationships/hyperlink" Target="https://docs.google.com/spreadsheets/d/1jonEGMB3UFHiUZpltF1zURon8gYN7jGSHu-k9t5TXnA/edit?gid=1885490900" TargetMode="External"/><Relationship Id="rId1032" Type="http://schemas.openxmlformats.org/officeDocument/2006/relationships/hyperlink" Target="https://docs.google.com/spreadsheets/d/1jonEGMB3UFHiUZpltF1zURon8gYN7jGSHu-k9t5TXnA/edit?gid=1197282762" TargetMode="External"/><Relationship Id="rId202" Type="http://schemas.openxmlformats.org/officeDocument/2006/relationships/hyperlink" Target="https://docs.google.com/spreadsheets/d/19THEBTE9q0fhN2eApZr6BgenIvLGh0AckaYxHQfHk5w/edit?gid=662134191" TargetMode="External"/><Relationship Id="rId444" Type="http://schemas.openxmlformats.org/officeDocument/2006/relationships/hyperlink" Target="https://docs.google.com/spreadsheets/d/1rbCD10ySi4YZEkJW2_Slmn9z7AI1WEsGsZaIJmnnT18/edit?gid=1455966079" TargetMode="External"/><Relationship Id="rId686" Type="http://schemas.openxmlformats.org/officeDocument/2006/relationships/hyperlink" Target="https://docs.google.com/spreadsheets/d/1rbCD10ySi4YZEkJW2_Slmn9z7AI1WEsGsZaIJmnnT18/edit?gid=1281115522" TargetMode="External"/><Relationship Id="rId1033" Type="http://schemas.openxmlformats.org/officeDocument/2006/relationships/hyperlink" Target="https://docs.google.com/spreadsheets/d/1jonEGMB3UFHiUZpltF1zURon8gYN7jGSHu-k9t5TXnA/edit?gid=1276297244" TargetMode="External"/><Relationship Id="rId201" Type="http://schemas.openxmlformats.org/officeDocument/2006/relationships/hyperlink" Target="https://docs.google.com/spreadsheets/d/19THEBTE9q0fhN2eApZr6BgenIvLGh0AckaYxHQfHk5w/edit?gid=2114429362" TargetMode="External"/><Relationship Id="rId443" Type="http://schemas.openxmlformats.org/officeDocument/2006/relationships/hyperlink" Target="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 TargetMode="External"/><Relationship Id="rId685" Type="http://schemas.openxmlformats.org/officeDocument/2006/relationships/hyperlink" Target="https://docs.google.com/spreadsheets/d/1rbCD10ySi4YZEkJW2_Slmn9z7AI1WEsGsZaIJmnnT18/edit?gid=1589688669" TargetMode="External"/><Relationship Id="rId1034" Type="http://schemas.openxmlformats.org/officeDocument/2006/relationships/hyperlink" Target="https://docs.google.com/spreadsheets/d/1EI7qusa674eJhuaw-nWWtWMEHVSYMQv7HLsInEZTWpE/edit?gid=757624793" TargetMode="External"/><Relationship Id="rId200" Type="http://schemas.openxmlformats.org/officeDocument/2006/relationships/hyperlink" Target="https://docs.google.com/spreadsheets/d/19THEBTE9q0fhN2eApZr6BgenIvLGh0AckaYxHQfHk5w/edit?gid=613124997" TargetMode="External"/><Relationship Id="rId442" Type="http://schemas.openxmlformats.org/officeDocument/2006/relationships/hyperlink" Target="https://docs.google.com/spreadsheets/d/1rbCD10ySi4YZEkJW2_Slmn9z7AI1WEsGsZaIJmnnT18/edit?gid=1401788865" TargetMode="External"/><Relationship Id="rId684" Type="http://schemas.openxmlformats.org/officeDocument/2006/relationships/hyperlink" Target="https://docs.google.com/spreadsheets/d/1rbCD10ySi4YZEkJW2_Slmn9z7AI1WEsGsZaIJmnnT18/edit?gid=1161001794" TargetMode="External"/><Relationship Id="rId1035" Type="http://schemas.openxmlformats.org/officeDocument/2006/relationships/hyperlink" Target="https://docs.google.com/spreadsheets/d/1EI7qusa674eJhuaw-nWWtWMEHVSYMQv7HLsInEZTWpE/edit?gid=757624793" TargetMode="External"/><Relationship Id="rId441" Type="http://schemas.openxmlformats.org/officeDocument/2006/relationships/hyperlink" Target="https://disk.yandex.ru/client/disk/%D0%9E%D1%81%D0%BC%D0%BE%D1%82%D1%80%D1%8B%20%D0%BE%D0%B1%D1%8A%D0%B5%D0%BA%D1%82%D0%BE%D0%B2%20%D0%90%D0%9D%D0%9E%20%D0%A1%D0%9C%D0%93/672.%202-%D1%8F%20%D0%94%D1%83%D0%B1%D1%80%D0%BE%D0%B2%D1%81%D0%BA%D0%B0%D1%8F%20%D0%B4.1" TargetMode="External"/><Relationship Id="rId683" Type="http://schemas.openxmlformats.org/officeDocument/2006/relationships/hyperlink" Target="https://docs.google.com/spreadsheets/d/1rbCD10ySi4YZEkJW2_Slmn9z7AI1WEsGsZaIJmnnT18/edit?gid=691407697" TargetMode="External"/><Relationship Id="rId1036" Type="http://schemas.openxmlformats.org/officeDocument/2006/relationships/hyperlink" Target="https://docs.google.com/spreadsheets/d/19THEBTE9q0fhN2eApZr6BgenIvLGh0AckaYxHQfHk5w/edit?gid=549577801" TargetMode="External"/><Relationship Id="rId1026" Type="http://schemas.openxmlformats.org/officeDocument/2006/relationships/hyperlink" Target="https://docs.google.com/spreadsheets/d/1EI7qusa674eJhuaw-nWWtWMEHVSYMQv7HLsInEZTWpE/edit?gid=1360222736" TargetMode="External"/><Relationship Id="rId1027" Type="http://schemas.openxmlformats.org/officeDocument/2006/relationships/hyperlink" Target="https://docs.google.com/spreadsheets/d/1EI7qusa674eJhuaw-nWWtWMEHVSYMQv7HLsInEZTWpE/edit?gid=1360222736" TargetMode="External"/><Relationship Id="rId1028" Type="http://schemas.openxmlformats.org/officeDocument/2006/relationships/hyperlink" Target="https://docs.google.com/spreadsheets/d/1EI7qusa674eJhuaw-nWWtWMEHVSYMQv7HLsInEZTWpE/edit?gid=874601105" TargetMode="External"/><Relationship Id="rId1029" Type="http://schemas.openxmlformats.org/officeDocument/2006/relationships/hyperlink" Target="https://docs.google.com/spreadsheets/d/1jonEGMB3UFHiUZpltF1zURon8gYN7jGSHu-k9t5TXnA/edit?gid=658853919" TargetMode="External"/><Relationship Id="rId437" Type="http://schemas.openxmlformats.org/officeDocument/2006/relationships/hyperlink" Target="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 TargetMode="External"/><Relationship Id="rId679" Type="http://schemas.openxmlformats.org/officeDocument/2006/relationships/hyperlink" Target="https://docs.google.com/spreadsheets/d/1rbCD10ySi4YZEkJW2_Slmn9z7AI1WEsGsZaIJmnnT18/edit?gid=553643075" TargetMode="External"/><Relationship Id="rId436" Type="http://schemas.openxmlformats.org/officeDocument/2006/relationships/hyperlink" Target="https://docs.google.com/spreadsheets/d/1rbCD10ySi4YZEkJW2_Slmn9z7AI1WEsGsZaIJmnnT18/edit?gid=943458292" TargetMode="External"/><Relationship Id="rId678" Type="http://schemas.openxmlformats.org/officeDocument/2006/relationships/hyperlink" Target="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 TargetMode="External"/><Relationship Id="rId435" Type="http://schemas.openxmlformats.org/officeDocument/2006/relationships/hyperlink" Target="https://docs.google.com/spreadsheets/d/1rbCD10ySi4YZEkJW2_Slmn9z7AI1WEsGsZaIJmnnT18/edit?gid=847490134" TargetMode="External"/><Relationship Id="rId677" Type="http://schemas.openxmlformats.org/officeDocument/2006/relationships/hyperlink" Target="https://docs.google.com/spreadsheets/d/1rbCD10ySi4YZEkJW2_Slmn9z7AI1WEsGsZaIJmnnT18/edit?gid=553643075" TargetMode="External"/><Relationship Id="rId434" Type="http://schemas.openxmlformats.org/officeDocument/2006/relationships/hyperlink" Target="https://disk.yandex.ru/client/disk/%D0%9E%D1%81%D0%BC%D0%BE%D1%82%D1%80%D1%8B%20%D0%BE%D0%B1%D1%8A%D0%B5%D0%BA%D1%82%D0%BE%D0%B2%20%D0%90%D0%9D%D0%9E%20%D0%A1%D0%9C%D0%93/644%20%D0%A3%D0%BB.%209%20%D0%9C%D0%B0%D1%8F%20%D0%B2%D0%BB%2024%20%D1%80-%D0%BD%20%D0%92%D0%BE%D1%81%D1%82%D0%BE%D1%87%D0%BD%D1%8B%D0%B9%2C%20%D1%81%D0%BE%20%D1%81%D0%BD%D0%BE%D1%81%D0%BE%D0%BC%20%D0%96.%D0%A1.%20%20" TargetMode="External"/><Relationship Id="rId676" Type="http://schemas.openxmlformats.org/officeDocument/2006/relationships/hyperlink" Target="https://docs.google.com/spreadsheets/d/1rbCD10ySi4YZEkJW2_Slmn9z7AI1WEsGsZaIJmnnT18/edit?gid=2079091831" TargetMode="External"/><Relationship Id="rId439" Type="http://schemas.openxmlformats.org/officeDocument/2006/relationships/hyperlink" Target="https://disk.yandex.ru/client/disk/%D0%9E%D1%81%D0%BC%D0%BE%D1%82%D1%80%D1%8B%20%D0%BE%D0%B1%D1%8A%D0%B5%D0%BA%D1%82%D0%BE%D0%B2%20%D0%90%D0%9D%D0%9E%20%D0%A1%D0%9C%D0%93/645.%20%D0%A9%D0%B5%D1%80%D0%B1%D0%B0%D0%BA%D0%BE%D0%B2%D1%81%D0%BA%D0%B0%D1%8F%20%D0%B7%D1%83%205%D0%90%20" TargetMode="External"/><Relationship Id="rId438" Type="http://schemas.openxmlformats.org/officeDocument/2006/relationships/hyperlink" Target="https://docs.google.com/spreadsheets/d/1rbCD10ySi4YZEkJW2_Slmn9z7AI1WEsGsZaIJmnnT18/edit?gid=1166394533" TargetMode="External"/><Relationship Id="rId671" Type="http://schemas.openxmlformats.org/officeDocument/2006/relationships/hyperlink" Target="https://docs.google.com/spreadsheets/d/1rbCD10ySi4YZEkJW2_Slmn9z7AI1WEsGsZaIJmnnT18/edit?gid=1195287561" TargetMode="External"/><Relationship Id="rId670" Type="http://schemas.openxmlformats.org/officeDocument/2006/relationships/hyperlink" Target="https://docs.google.com/spreadsheets/d/1rbCD10ySi4YZEkJW2_Slmn9z7AI1WEsGsZaIJmnnT18/edit?gid=131438467" TargetMode="External"/><Relationship Id="rId1020" Type="http://schemas.openxmlformats.org/officeDocument/2006/relationships/hyperlink" Target="https://docs.google.com/spreadsheets/d/1EI7qusa674eJhuaw-nWWtWMEHVSYMQv7HLsInEZTWpE/edit?gid=5854245" TargetMode="External"/><Relationship Id="rId1021" Type="http://schemas.openxmlformats.org/officeDocument/2006/relationships/hyperlink" Target="https://docs.google.com/spreadsheets/d/1EI7qusa674eJhuaw-nWWtWMEHVSYMQv7HLsInEZTWpE/edit?gid=547129883" TargetMode="External"/><Relationship Id="rId433" Type="http://schemas.openxmlformats.org/officeDocument/2006/relationships/hyperlink" Target="https://docs.google.com/spreadsheets/d/1rbCD10ySi4YZEkJW2_Slmn9z7AI1WEsGsZaIJmnnT18/edit?gid=692135392" TargetMode="External"/><Relationship Id="rId675" Type="http://schemas.openxmlformats.org/officeDocument/2006/relationships/hyperlink" Target="https://docs.google.com/spreadsheets/d/1rbCD10ySi4YZEkJW2_Slmn9z7AI1WEsGsZaIJmnnT18/edit?gid=1807719464" TargetMode="External"/><Relationship Id="rId1022" Type="http://schemas.openxmlformats.org/officeDocument/2006/relationships/hyperlink" Target="https://docs.google.com/spreadsheets/d/1MW8OIVEKRJEaLcG-KS0zwZPEQ0eRUWE2y9Gj77rgoxo/edit?gid=641965304" TargetMode="External"/><Relationship Id="rId432" Type="http://schemas.openxmlformats.org/officeDocument/2006/relationships/hyperlink" Target="https://docs.google.com/spreadsheets/d/1rbCD10ySi4YZEkJW2_Slmn9z7AI1WEsGsZaIJmnnT18/edit?gid=387655725" TargetMode="External"/><Relationship Id="rId674" Type="http://schemas.openxmlformats.org/officeDocument/2006/relationships/hyperlink" Target="https://docs.google.com/spreadsheets/d/1rbCD10ySi4YZEkJW2_Slmn9z7AI1WEsGsZaIJmnnT18/edit?gid=911478854" TargetMode="External"/><Relationship Id="rId1023" Type="http://schemas.openxmlformats.org/officeDocument/2006/relationships/hyperlink" Target="https://docs.google.com/spreadsheets/d/1MW8OIVEKRJEaLcG-KS0zwZPEQ0eRUWE2y9Gj77rgoxo/edit?gid=641965304" TargetMode="External"/><Relationship Id="rId431" Type="http://schemas.openxmlformats.org/officeDocument/2006/relationships/hyperlink" Target="https://docs.google.com/spreadsheets/d/1rbCD10ySi4YZEkJW2_Slmn9z7AI1WEsGsZaIJmnnT18/edit?gid=1504466944" TargetMode="External"/><Relationship Id="rId673" Type="http://schemas.openxmlformats.org/officeDocument/2006/relationships/hyperlink" Target="https://docs.google.com/spreadsheets/d/1rbCD10ySi4YZEkJW2_Slmn9z7AI1WEsGsZaIJmnnT18/edit?gid=1549482775" TargetMode="External"/><Relationship Id="rId1024" Type="http://schemas.openxmlformats.org/officeDocument/2006/relationships/hyperlink" Target="https://docs.google.com/spreadsheets/d/1EI7qusa674eJhuaw-nWWtWMEHVSYMQv7HLsInEZTWpE/edit?gid=1075878373" TargetMode="External"/><Relationship Id="rId430" Type="http://schemas.openxmlformats.org/officeDocument/2006/relationships/hyperlink" Target="https://docs.google.com/spreadsheets/d/1rbCD10ySi4YZEkJW2_Slmn9z7AI1WEsGsZaIJmnnT18/edit?gid=1527817991" TargetMode="External"/><Relationship Id="rId672" Type="http://schemas.openxmlformats.org/officeDocument/2006/relationships/hyperlink" Target="https://docs.google.com/spreadsheets/d/1rbCD10ySi4YZEkJW2_Slmn9z7AI1WEsGsZaIJmnnT18/edit?gid=584190358" TargetMode="External"/><Relationship Id="rId1025" Type="http://schemas.openxmlformats.org/officeDocument/2006/relationships/hyperlink" Target="https://docs.google.com/spreadsheets/d/1EI7qusa674eJhuaw-nWWtWMEHVSYMQv7HLsInEZTWpE/edit?gid=150261364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docs.google.com/spreadsheets/d/1H1MjbG2y0oC0hhID4do1G0_gfyI1jag72lQd7nL3WDQ/edit?gid=1217417878" TargetMode="External"/><Relationship Id="rId194" Type="http://schemas.openxmlformats.org/officeDocument/2006/relationships/hyperlink" Target="https://docs.google.com/spreadsheets/d/1H1MjbG2y0oC0hhID4do1G0_gfyI1jag72lQd7nL3WDQ/edit?gid=640523369" TargetMode="External"/><Relationship Id="rId193" Type="http://schemas.openxmlformats.org/officeDocument/2006/relationships/hyperlink" Target="https://docs.google.com/spreadsheets/d/1H1MjbG2y0oC0hhID4do1G0_gfyI1jag72lQd7nL3WDQ/edit?gid=747557076" TargetMode="External"/><Relationship Id="rId192" Type="http://schemas.openxmlformats.org/officeDocument/2006/relationships/hyperlink" Target="https://docs.google.com/spreadsheets/d/1lEcUd4exxkr5Za3IYZ0vdFNfMubnuMOOMXfmF3GYC9I/edit?gid=961840138" TargetMode="External"/><Relationship Id="rId191" Type="http://schemas.openxmlformats.org/officeDocument/2006/relationships/hyperlink" Target="https://docs.google.com/spreadsheets/d/1rbCD10ySi4YZEkJW2_Slmn9z7AI1WEsGsZaIJmnnT18/edit?gid=1493713747" TargetMode="External"/><Relationship Id="rId187" Type="http://schemas.openxmlformats.org/officeDocument/2006/relationships/hyperlink" Target="https://docs.google.com/spreadsheets/d/1rbCD10ySi4YZEkJW2_Slmn9z7AI1WEsGsZaIJmnnT18/edit?gid=1538306210" TargetMode="External"/><Relationship Id="rId186" Type="http://schemas.openxmlformats.org/officeDocument/2006/relationships/hyperlink" Target="https://docs.google.com/spreadsheets/d/1rbCD10ySi4YZEkJW2_Slmn9z7AI1WEsGsZaIJmnnT18/edit?gid=1853936778" TargetMode="External"/><Relationship Id="rId185" Type="http://schemas.openxmlformats.org/officeDocument/2006/relationships/hyperlink" Target="https://docs.google.com/spreadsheets/d/1rbCD10ySi4YZEkJW2_Slmn9z7AI1WEsGsZaIJmnnT18/edit?gid=672785947" TargetMode="External"/><Relationship Id="rId184" Type="http://schemas.openxmlformats.org/officeDocument/2006/relationships/hyperlink" Target="https://docs.google.com/spreadsheets/d/1rbCD10ySi4YZEkJW2_Slmn9z7AI1WEsGsZaIJmnnT18/edit?gid=1108501275" TargetMode="External"/><Relationship Id="rId189" Type="http://schemas.openxmlformats.org/officeDocument/2006/relationships/hyperlink" Target="https://docs.google.com/spreadsheets/d/1H1MjbG2y0oC0hhID4do1G0_gfyI1jag72lQd7nL3WDQ/edit?gid=1320846516" TargetMode="External"/><Relationship Id="rId188" Type="http://schemas.openxmlformats.org/officeDocument/2006/relationships/hyperlink" Target="https://docs.google.com/spreadsheets/d/1rbCD10ySi4YZEkJW2_Slmn9z7AI1WEsGsZaIJmnnT18/edit?gid=918222638" TargetMode="External"/><Relationship Id="rId183" Type="http://schemas.openxmlformats.org/officeDocument/2006/relationships/hyperlink" Target="https://disk.yandex.ru/client/disk/%D0%9E%D1%81%D0%BC%D0%BE%D1%82%D1%80%D1%8B%20%D0%BE%D0%B1%D1%8A%D0%B5%D0%BA%D1%82%D0%BE%D0%B2%20%D0%90%D0%9D%D0%9E%20%D0%A1%D0%9C%D0%93/874%20%D1%83%D0%BB%205-%D1%8F%20%D0%BF%D0%B0%D1%80%D0%BA%D0%BE%D0%B2%D0%B0%D1%8F%2039.3%20" TargetMode="External"/><Relationship Id="rId182" Type="http://schemas.openxmlformats.org/officeDocument/2006/relationships/hyperlink" Target="https://docs.google.com/spreadsheets/d/1rbCD10ySi4YZEkJW2_Slmn9z7AI1WEsGsZaIJmnnT18/edit?gid=1439077148" TargetMode="External"/><Relationship Id="rId181" Type="http://schemas.openxmlformats.org/officeDocument/2006/relationships/hyperlink" Target="https://docs.google.com/spreadsheets/d/1rbCD10ySi4YZEkJW2_Slmn9z7AI1WEsGsZaIJmnnT18/edit?gid=1877394014" TargetMode="External"/><Relationship Id="rId180" Type="http://schemas.openxmlformats.org/officeDocument/2006/relationships/hyperlink" Target="https://docs.google.com/spreadsheets/d/1H1MjbG2y0oC0hhID4do1G0_gfyI1jag72lQd7nL3WDQ/edit?gid=964974032" TargetMode="External"/><Relationship Id="rId176" Type="http://schemas.openxmlformats.org/officeDocument/2006/relationships/hyperlink" Target="https://docs.google.com/spreadsheets/d/1H1MjbG2y0oC0hhID4do1G0_gfyI1jag72lQd7nL3WDQ/edit?gid=1648385259" TargetMode="External"/><Relationship Id="rId175" Type="http://schemas.openxmlformats.org/officeDocument/2006/relationships/hyperlink" Target="https://docs.google.com/spreadsheets/d/1EI7qusa674eJhuaw-nWWtWMEHVSYMQv7HLsInEZTWpE/edit?gid=413594252" TargetMode="External"/><Relationship Id="rId174" Type="http://schemas.openxmlformats.org/officeDocument/2006/relationships/hyperlink" Target="https://docs.google.com/spreadsheets/d/1H1MjbG2y0oC0hhID4do1G0_gfyI1jag72lQd7nL3WDQ/edit?gid=1916178969" TargetMode="External"/><Relationship Id="rId173" Type="http://schemas.openxmlformats.org/officeDocument/2006/relationships/hyperlink" Target="https://docs.google.com/spreadsheets/d/1EI7qusa674eJhuaw-nWWtWMEHVSYMQv7HLsInEZTWpE/edit?gid=44399105" TargetMode="External"/><Relationship Id="rId179" Type="http://schemas.openxmlformats.org/officeDocument/2006/relationships/hyperlink" Target="https://docs.google.com/spreadsheets/d/19THEBTE9q0fhN2eApZr6BgenIvLGh0AckaYxHQfHk5w/edit?gid=2126809757" TargetMode="External"/><Relationship Id="rId178" Type="http://schemas.openxmlformats.org/officeDocument/2006/relationships/hyperlink" Target="https://docs.google.com/spreadsheets/d/19THEBTE9q0fhN2eApZr6BgenIvLGh0AckaYxHQfHk5w/edit?gid=1314726953" TargetMode="External"/><Relationship Id="rId177" Type="http://schemas.openxmlformats.org/officeDocument/2006/relationships/hyperlink" Target="https://docs.google.com/spreadsheets/d/1H1MjbG2y0oC0hhID4do1G0_gfyI1jag72lQd7nL3WDQ/edit?gid=1021209176" TargetMode="External"/><Relationship Id="rId198" Type="http://schemas.openxmlformats.org/officeDocument/2006/relationships/hyperlink" Target="https://disk.yandex.ru/d/q3xDbj1lGRqG7w" TargetMode="External"/><Relationship Id="rId197" Type="http://schemas.openxmlformats.org/officeDocument/2006/relationships/hyperlink" Target="https://docs.google.com/spreadsheets/d/1EI7qusa674eJhuaw-nWWtWMEHVSYMQv7HLsInEZTWpE/edit?gid=1412429298" TargetMode="External"/><Relationship Id="rId196" Type="http://schemas.openxmlformats.org/officeDocument/2006/relationships/hyperlink" Target="https://docs.google.com/spreadsheets/d/1H1MjbG2y0oC0hhID4do1G0_gfyI1jag72lQd7nL3WDQ/edit?gid=788221100" TargetMode="External"/><Relationship Id="rId195" Type="http://schemas.openxmlformats.org/officeDocument/2006/relationships/hyperlink" Target="https://docs.google.com/spreadsheets/d/1rbCD10ySi4YZEkJW2_Slmn9z7AI1WEsGsZaIJmnnT18/edit?gid=511980375" TargetMode="External"/><Relationship Id="rId199" Type="http://schemas.openxmlformats.org/officeDocument/2006/relationships/hyperlink" Target="https://docs.google.com/spreadsheets/d/1rbCD10ySi4YZEkJW2_Slmn9z7AI1WEsGsZaIJmnnT18/edit?gid=1451563730" TargetMode="External"/><Relationship Id="rId150" Type="http://schemas.openxmlformats.org/officeDocument/2006/relationships/hyperlink" Target="https://docs.google.com/spreadsheets/d/1EI7qusa674eJhuaw-nWWtWMEHVSYMQv7HLsInEZTWpE/edit?gid=1745739766" TargetMode="External"/><Relationship Id="rId1" Type="http://schemas.openxmlformats.org/officeDocument/2006/relationships/hyperlink" Target="https://docs.google.com/spreadsheets/d/1rbCD10ySi4YZEkJW2_Slmn9z7AI1WEsGsZaIJmnnT18/edit?gid=1102875556" TargetMode="External"/><Relationship Id="rId2" Type="http://schemas.openxmlformats.org/officeDocument/2006/relationships/hyperlink" Target="https://docs.google.com/spreadsheets/d/1rbCD10ySi4YZEkJW2_Slmn9z7AI1WEsGsZaIJmnnT18/edit?gid=1509093390" TargetMode="External"/><Relationship Id="rId3" Type="http://schemas.openxmlformats.org/officeDocument/2006/relationships/hyperlink" Target="https://docs.google.com/spreadsheets/d/19THEBTE9q0fhN2eApZr6BgenIvLGh0AckaYxHQfHk5w/edit?gid=2006507373" TargetMode="External"/><Relationship Id="rId149" Type="http://schemas.openxmlformats.org/officeDocument/2006/relationships/hyperlink" Target="https://docs.google.com/spreadsheets/d/1H1MjbG2y0oC0hhID4do1G0_gfyI1jag72lQd7nL3WDQ/edit?gid=945188652" TargetMode="External"/><Relationship Id="rId4" Type="http://schemas.openxmlformats.org/officeDocument/2006/relationships/hyperlink" Target="https://disk.yandex.ru/client/disk/%D0%9E%D1%81%D0%BC%D0%BE%D1%82%D1%80%D1%8B%20%D0%BE%D0%B1%D1%8A%D0%B5%D0%BA%D1%82%D0%BE%D0%B2%20%D0%90%D0%9D%D0%9E%20%D0%A1%D0%9C%D0%93/1077.%20%D0%9A%D0%B0%D0%BD%D0%B0%D0%BB%D0%B8%D0%B7%D0%B0%D1%86%D0%B8%D0%BE%D0%BD%D0%BD%D1%8B%D0%B9%20%D0%BA%D0%BE%D0%BB%D0%BB%D0%B5%D0%BA%D1%82%D0%BE%D1%80%20%D0%9A%D0%9D%D0%A1-%D0%A231%20%D0%B8%20%D0%9A%D0%9D%D0%A1-27.%20II%20%D1%8D%D1%82%D0%B0%D0%BF.%20%D0%A0%D0%B5%D0%BA%D0%BE%D0%BD%D1%81%D1%82%D1%80%D1%83%D0%BA%D1%86%D0%B8%D1%8F" TargetMode="External"/><Relationship Id="rId148" Type="http://schemas.openxmlformats.org/officeDocument/2006/relationships/hyperlink" Target="https://docs.google.com/spreadsheets/d/19THEBTE9q0fhN2eApZr6BgenIvLGh0AckaYxHQfHk5w/edit?gid=1377920249" TargetMode="External"/><Relationship Id="rId9" Type="http://schemas.openxmlformats.org/officeDocument/2006/relationships/hyperlink" Target="https://docs.google.com/spreadsheets/d/1H1MjbG2y0oC0hhID4do1G0_gfyI1jag72lQd7nL3WDQ/edit?gid=444310098" TargetMode="External"/><Relationship Id="rId143" Type="http://schemas.openxmlformats.org/officeDocument/2006/relationships/hyperlink" Target="https://docs.google.com/spreadsheets/d/19THEBTE9q0fhN2eApZr6BgenIvLGh0AckaYxHQfHk5w/edit?gid=570396026" TargetMode="External"/><Relationship Id="rId142" Type="http://schemas.openxmlformats.org/officeDocument/2006/relationships/hyperlink" Target="https://docs.google.com/spreadsheets/d/19THEBTE9q0fhN2eApZr6BgenIvLGh0AckaYxHQfHk5w/edit?gid=987830810" TargetMode="External"/><Relationship Id="rId141" Type="http://schemas.openxmlformats.org/officeDocument/2006/relationships/hyperlink" Target="https://docs.google.com/spreadsheets/d/19THEBTE9q0fhN2eApZr6BgenIvLGh0AckaYxHQfHk5w/edit?gid=908346785" TargetMode="External"/><Relationship Id="rId140" Type="http://schemas.openxmlformats.org/officeDocument/2006/relationships/hyperlink" Target="https://docs.google.com/spreadsheets/d/19THEBTE9q0fhN2eApZr6BgenIvLGh0AckaYxHQfHk5w/edit?gid=1120669271" TargetMode="External"/><Relationship Id="rId5" Type="http://schemas.openxmlformats.org/officeDocument/2006/relationships/hyperlink" Target="https://docs.google.com/spreadsheets/d/1H1MjbG2y0oC0hhID4do1G0_gfyI1jag72lQd7nL3WDQ/edit?gid=1354888420" TargetMode="External"/><Relationship Id="rId147" Type="http://schemas.openxmlformats.org/officeDocument/2006/relationships/hyperlink" Target="https://docs.google.com/spreadsheets/d/1H1MjbG2y0oC0hhID4do1G0_gfyI1jag72lQd7nL3WDQ/edit?gid=1426054658" TargetMode="External"/><Relationship Id="rId6" Type="http://schemas.openxmlformats.org/officeDocument/2006/relationships/hyperlink" Target="https://docs.google.com/spreadsheets/d/19THEBTE9q0fhN2eApZr6BgenIvLGh0AckaYxHQfHk5w/edit?gid=1318424610" TargetMode="External"/><Relationship Id="rId146" Type="http://schemas.openxmlformats.org/officeDocument/2006/relationships/hyperlink" Target="https://docs.google.com/spreadsheets/d/1H1MjbG2y0oC0hhID4do1G0_gfyI1jag72lQd7nL3WDQ/edit?gid=363267103" TargetMode="External"/><Relationship Id="rId7" Type="http://schemas.openxmlformats.org/officeDocument/2006/relationships/hyperlink" Target="https://disk.yandex.ru/client/disk/%D0%9E%D1%81%D0%BC%D0%BE%D1%82%D1%80%D1%8B%20%D0%BE%D0%B1%D1%8A%D0%B5%D0%BA%D1%82%D0%BE%D0%B2%20%D0%90%D0%9D%D0%9E%20%D0%A1%D0%9C%D0%93/289.%206-%D1%8F%20%D0%A0%D0%B0%D0%B4%D0%B8%D0%B0%D0%BB%D1%8C%D0%BD%D0%B0%D1%8F%2C%20%D0%B2%D0%BB%D0%B4.%207%2C%20%D1%83%D1%87%D0%B0%D1%81%D1%82%D0%BE%D0%BA%2020.%20%D0%A8%D0%BA%D0%BE%D0%BB%D0%B0%20%D0%BD%D0%B0%20825%20%D0%BC%D0%B5%D1%81%D1%82" TargetMode="External"/><Relationship Id="rId145" Type="http://schemas.openxmlformats.org/officeDocument/2006/relationships/hyperlink" Target="https://docs.google.com/spreadsheets/d/1EI7qusa674eJhuaw-nWWtWMEHVSYMQv7HLsInEZTWpE/edit?gid=338449454" TargetMode="External"/><Relationship Id="rId8" Type="http://schemas.openxmlformats.org/officeDocument/2006/relationships/hyperlink" Target="https://docs.google.com/spreadsheets/d/1rbCD10ySi4YZEkJW2_Slmn9z7AI1WEsGsZaIJmnnT18/edit?gid=1071202217" TargetMode="External"/><Relationship Id="rId144" Type="http://schemas.openxmlformats.org/officeDocument/2006/relationships/hyperlink" Target="https://docs.google.com/spreadsheets/d/1rbCD10ySi4YZEkJW2_Slmn9z7AI1WEsGsZaIJmnnT18/edit?gid=1455966079" TargetMode="External"/><Relationship Id="rId139" Type="http://schemas.openxmlformats.org/officeDocument/2006/relationships/hyperlink" Target="https://docs.google.com/spreadsheets/d/1H1MjbG2y0oC0hhID4do1G0_gfyI1jag72lQd7nL3WDQ/edit?gid=1715541541" TargetMode="External"/><Relationship Id="rId138" Type="http://schemas.openxmlformats.org/officeDocument/2006/relationships/hyperlink" Target="https://docs.google.com/spreadsheets/d/1H1MjbG2y0oC0hhID4do1G0_gfyI1jag72lQd7nL3WDQ/edit?gid=763040175" TargetMode="External"/><Relationship Id="rId137" Type="http://schemas.openxmlformats.org/officeDocument/2006/relationships/hyperlink" Target="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 TargetMode="External"/><Relationship Id="rId132" Type="http://schemas.openxmlformats.org/officeDocument/2006/relationships/hyperlink" Target="https://docs.google.com/spreadsheets/d/1EI7qusa674eJhuaw-nWWtWMEHVSYMQv7HLsInEZTWpE/edit?gid=60135188" TargetMode="External"/><Relationship Id="rId131" Type="http://schemas.openxmlformats.org/officeDocument/2006/relationships/hyperlink" Target="https://docs.google.com/spreadsheets/d/1EI7qusa674eJhuaw-nWWtWMEHVSYMQv7HLsInEZTWpE/edit?gid=701601389" TargetMode="External"/><Relationship Id="rId130" Type="http://schemas.openxmlformats.org/officeDocument/2006/relationships/hyperlink" Target="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 TargetMode="External"/><Relationship Id="rId136" Type="http://schemas.openxmlformats.org/officeDocument/2006/relationships/hyperlink" Target="https://docs.google.com/spreadsheets/d/19THEBTE9q0fhN2eApZr6BgenIvLGh0AckaYxHQfHk5w/edit?gid=1430585638" TargetMode="External"/><Relationship Id="rId135" Type="http://schemas.openxmlformats.org/officeDocument/2006/relationships/hyperlink" Target="https://docs.google.com/spreadsheets/d/1H1MjbG2y0oC0hhID4do1G0_gfyI1jag72lQd7nL3WDQ/edit?gid=1870096044" TargetMode="External"/><Relationship Id="rId134" Type="http://schemas.openxmlformats.org/officeDocument/2006/relationships/hyperlink" Target="https://docs.google.com/spreadsheets/d/1rbCD10ySi4YZEkJW2_Slmn9z7AI1WEsGsZaIJmnnT18/edit?gid=1735599010" TargetMode="External"/><Relationship Id="rId133" Type="http://schemas.openxmlformats.org/officeDocument/2006/relationships/hyperlink" Target="https://docs.google.com/spreadsheets/d/19THEBTE9q0fhN2eApZr6BgenIvLGh0AckaYxHQfHk5w/edit?gid=48405114" TargetMode="External"/><Relationship Id="rId172" Type="http://schemas.openxmlformats.org/officeDocument/2006/relationships/hyperlink" Target="https://disk.yandex.ru/d/88XgQg4nvRX-Fg" TargetMode="External"/><Relationship Id="rId171" Type="http://schemas.openxmlformats.org/officeDocument/2006/relationships/hyperlink" Target="https://docs.google.com/spreadsheets/d/1EI7qusa674eJhuaw-nWWtWMEHVSYMQv7HLsInEZTWpE/edit?gid=2011623621" TargetMode="External"/><Relationship Id="rId170" Type="http://schemas.openxmlformats.org/officeDocument/2006/relationships/hyperlink" Target="https://docs.google.com/spreadsheets/d/1H1MjbG2y0oC0hhID4do1G0_gfyI1jag72lQd7nL3WDQ/edit?gid=335429819" TargetMode="External"/><Relationship Id="rId165" Type="http://schemas.openxmlformats.org/officeDocument/2006/relationships/hyperlink" Target="https://docs.google.com/spreadsheets/d/19THEBTE9q0fhN2eApZr6BgenIvLGh0AckaYxHQfHk5w/edit?gid=444385228" TargetMode="External"/><Relationship Id="rId164" Type="http://schemas.openxmlformats.org/officeDocument/2006/relationships/hyperlink" Target="https://docs.google.com/spreadsheets/d/1H1MjbG2y0oC0hhID4do1G0_gfyI1jag72lQd7nL3WDQ/edit?gid=17563487" TargetMode="External"/><Relationship Id="rId163" Type="http://schemas.openxmlformats.org/officeDocument/2006/relationships/hyperlink" Target="https://docs.google.com/spreadsheets/d/19THEBTE9q0fhN2eApZr6BgenIvLGh0AckaYxHQfHk5w/edit?gid=1728236412" TargetMode="External"/><Relationship Id="rId162" Type="http://schemas.openxmlformats.org/officeDocument/2006/relationships/hyperlink" Target="https://docs.google.com/spreadsheets/d/19THEBTE9q0fhN2eApZr6BgenIvLGh0AckaYxHQfHk5w/edit?gid=955409547" TargetMode="External"/><Relationship Id="rId169" Type="http://schemas.openxmlformats.org/officeDocument/2006/relationships/hyperlink" Target="https://docs.google.com/spreadsheets/d/1H1MjbG2y0oC0hhID4do1G0_gfyI1jag72lQd7nL3WDQ/edit?gid=1609263203" TargetMode="External"/><Relationship Id="rId168" Type="http://schemas.openxmlformats.org/officeDocument/2006/relationships/hyperlink" Target="https://docs.google.com/spreadsheets/d/1EI7qusa674eJhuaw-nWWtWMEHVSYMQv7HLsInEZTWpE/edit?gid=2077416738" TargetMode="External"/><Relationship Id="rId167" Type="http://schemas.openxmlformats.org/officeDocument/2006/relationships/hyperlink" Target="https://docs.google.com/spreadsheets/d/1rbCD10ySi4YZEkJW2_Slmn9z7AI1WEsGsZaIJmnnT18/edit?gid=1504466944" TargetMode="External"/><Relationship Id="rId166" Type="http://schemas.openxmlformats.org/officeDocument/2006/relationships/hyperlink" Target="https://docs.google.com/spreadsheets/d/1rbCD10ySi4YZEkJW2_Slmn9z7AI1WEsGsZaIJmnnT18/edit?gid=198115662" TargetMode="External"/><Relationship Id="rId161" Type="http://schemas.openxmlformats.org/officeDocument/2006/relationships/hyperlink" Target="https://disk.yandex.ru/d/BmVvbN_-KVryzA" TargetMode="External"/><Relationship Id="rId160" Type="http://schemas.openxmlformats.org/officeDocument/2006/relationships/hyperlink" Target="https://docs.google.com/spreadsheets/d/1EI7qusa674eJhuaw-nWWtWMEHVSYMQv7HLsInEZTWpE/edit?gid=1944955293" TargetMode="External"/><Relationship Id="rId159" Type="http://schemas.openxmlformats.org/officeDocument/2006/relationships/hyperlink" Target="https://docs.google.com/spreadsheets/d/19THEBTE9q0fhN2eApZr6BgenIvLGh0AckaYxHQfHk5w/edit?gid=1666294966" TargetMode="External"/><Relationship Id="rId154"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 TargetMode="External"/><Relationship Id="rId153" Type="http://schemas.openxmlformats.org/officeDocument/2006/relationships/hyperlink" Target="https://docs.google.com/spreadsheets/d/1EI7qusa674eJhuaw-nWWtWMEHVSYMQv7HLsInEZTWpE/edit?gid=189831964" TargetMode="External"/><Relationship Id="rId152" Type="http://schemas.openxmlformats.org/officeDocument/2006/relationships/hyperlink" Target="https://docs.google.com/spreadsheets/d/1EI7qusa674eJhuaw-nWWtWMEHVSYMQv7HLsInEZTWpE/edit?gid=1593340955" TargetMode="External"/><Relationship Id="rId151" Type="http://schemas.openxmlformats.org/officeDocument/2006/relationships/hyperlink" Target="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 TargetMode="External"/><Relationship Id="rId158" Type="http://schemas.openxmlformats.org/officeDocument/2006/relationships/hyperlink" Target="https://docs.google.com/spreadsheets/d/1EI7qusa674eJhuaw-nWWtWMEHVSYMQv7HLsInEZTWpE/edit?gid=930912850" TargetMode="External"/><Relationship Id="rId157" Type="http://schemas.openxmlformats.org/officeDocument/2006/relationships/hyperlink" Target="https://disk.yandex.ru/client/disk/%D0%9E%D1%81%D0%BC%D0%BE%D1%82%D1%80%D1%8B%20%D0%BE%D0%B1%D1%8A%D0%B5%D0%BA%D1%82%D0%BE%D0%B2%20%D0%90%D0%9D%D0%9E%20%D0%A1%D0%9C%D0%93/288.%206-%D1%8F%20%D0%A0%D0%B0%D0%B4%D0%B8%D0%B0%D0%BB%D1%8C%D0%BD%D0%B0%D1%8F%20%D0%B2%D0%BB%D0%B4.7%20%D1%83%D1%87%D0%B0%D1%81%D1%82%D0%BE%D0%BA%2018%20%D0%A8%D0%BA%D0%BE%D0%BB%D0%B0%20%D0%BD%D0%B0%20825%20%D0%BC%D0%B5%D1%81%D1%82" TargetMode="External"/><Relationship Id="rId156" Type="http://schemas.openxmlformats.org/officeDocument/2006/relationships/hyperlink" Target="https://docs.google.com/spreadsheets/d/19THEBTE9q0fhN2eApZr6BgenIvLGh0AckaYxHQfHk5w/edit?gid=1865118876" TargetMode="External"/><Relationship Id="rId155" Type="http://schemas.openxmlformats.org/officeDocument/2006/relationships/hyperlink" Target="https://docs.google.com/spreadsheets/d/1rbCD10ySi4YZEkJW2_Slmn9z7AI1WEsGsZaIJmnnT18/edit?gid=673551977" TargetMode="External"/><Relationship Id="rId40" Type="http://schemas.openxmlformats.org/officeDocument/2006/relationships/hyperlink" Target="https://docs.google.com/spreadsheets/d/1rbCD10ySi4YZEkJW2_Slmn9z7AI1WEsGsZaIJmnnT18/edit?gid=252316906" TargetMode="External"/><Relationship Id="rId42" Type="http://schemas.openxmlformats.org/officeDocument/2006/relationships/hyperlink" Target="https://docs.google.com/spreadsheets/d/1H1MjbG2y0oC0hhID4do1G0_gfyI1jag72lQd7nL3WDQ/edit?gid=1835376342" TargetMode="External"/><Relationship Id="rId41" Type="http://schemas.openxmlformats.org/officeDocument/2006/relationships/hyperlink" Target="https://docs.google.com/spreadsheets/d/1rbCD10ySi4YZEkJW2_Slmn9z7AI1WEsGsZaIJmnnT18/edit?gid=1315766169" TargetMode="External"/><Relationship Id="rId44" Type="http://schemas.openxmlformats.org/officeDocument/2006/relationships/hyperlink" Target="https://docs.google.com/spreadsheets/d/1rbCD10ySi4YZEkJW2_Slmn9z7AI1WEsGsZaIJmnnT18/edit?gid=1380549667" TargetMode="External"/><Relationship Id="rId43" Type="http://schemas.openxmlformats.org/officeDocument/2006/relationships/hyperlink" Target="https://docs.google.com/spreadsheets/d/1rbCD10ySi4YZEkJW2_Slmn9z7AI1WEsGsZaIJmnnT18/edit?gid=314292055" TargetMode="External"/><Relationship Id="rId46" Type="http://schemas.openxmlformats.org/officeDocument/2006/relationships/hyperlink" Target="https://docs.google.com/spreadsheets/d/1rbCD10ySi4YZEkJW2_Slmn9z7AI1WEsGsZaIJmnnT18/edit?gid=590835051" TargetMode="External"/><Relationship Id="rId45" Type="http://schemas.openxmlformats.org/officeDocument/2006/relationships/hyperlink" Target="https://docs.google.com/spreadsheets/d/1rbCD10ySi4YZEkJW2_Slmn9z7AI1WEsGsZaIJmnnT18/edit?gid=830671407" TargetMode="External"/><Relationship Id="rId48" Type="http://schemas.openxmlformats.org/officeDocument/2006/relationships/hyperlink" Target="https://docs.google.com/spreadsheets/d/1rbCD10ySi4YZEkJW2_Slmn9z7AI1WEsGsZaIJmnnT18/edit?gid=1127542232" TargetMode="External"/><Relationship Id="rId47" Type="http://schemas.openxmlformats.org/officeDocument/2006/relationships/hyperlink" Target="https://docs.google.com/spreadsheets/d/1rbCD10ySi4YZEkJW2_Slmn9z7AI1WEsGsZaIJmnnT18/edit?gid=1589688669" TargetMode="External"/><Relationship Id="rId49" Type="http://schemas.openxmlformats.org/officeDocument/2006/relationships/hyperlink" Target="https://docs.google.com/spreadsheets/d/1rbCD10ySi4YZEkJW2_Slmn9z7AI1WEsGsZaIJmnnT18/edit?gid=1161001794" TargetMode="External"/><Relationship Id="rId31" Type="http://schemas.openxmlformats.org/officeDocument/2006/relationships/hyperlink" Target="https://docs.google.com/spreadsheets/d/1rbCD10ySi4YZEkJW2_Slmn9z7AI1WEsGsZaIJmnnT18/edit?gid=187611865" TargetMode="External"/><Relationship Id="rId30" Type="http://schemas.openxmlformats.org/officeDocument/2006/relationships/hyperlink" Target="https://docs.google.com/spreadsheets/d/1rbCD10ySi4YZEkJW2_Slmn9z7AI1WEsGsZaIJmnnT18/edit?gid=1340012708" TargetMode="External"/><Relationship Id="rId33" Type="http://schemas.openxmlformats.org/officeDocument/2006/relationships/hyperlink" Target="https://docs.google.com/spreadsheets/d/1rbCD10ySi4YZEkJW2_Slmn9z7AI1WEsGsZaIJmnnT18/edit?gid=771281495" TargetMode="External"/><Relationship Id="rId32" Type="http://schemas.openxmlformats.org/officeDocument/2006/relationships/hyperlink" Target="https://disk.yandex.ru/client/disk/%D0%9E%D1%81%D0%BC%D0%BE%D1%82%D1%80%D1%8B%20%D0%BE%D0%B1%D1%8A%D0%B5%D0%BA%D1%82%D0%BE%D0%B2%20%D0%90%D0%9D%D0%9E%20%D0%A1%D0%9C%D0%93/847.%203-%D1%8F%20%D0%9F%D1%80%D1%8F%D0%B4%D0%B8%D0%BB%D1%8C%D0%BD%D0%B0%D1%8F%20%D1%83%D0%BB.%2C%20%D0%B7%D1%83%201" TargetMode="External"/><Relationship Id="rId35" Type="http://schemas.openxmlformats.org/officeDocument/2006/relationships/hyperlink" Target="https://docs.google.com/spreadsheets/d/1H1MjbG2y0oC0hhID4do1G0_gfyI1jag72lQd7nL3WDQ/edit?gid=1791563527" TargetMode="External"/><Relationship Id="rId34" Type="http://schemas.openxmlformats.org/officeDocument/2006/relationships/hyperlink" Target="https://docs.google.com/spreadsheets/d/1H1MjbG2y0oC0hhID4do1G0_gfyI1jag72lQd7nL3WDQ/edit?gid=1943197822" TargetMode="External"/><Relationship Id="rId37" Type="http://schemas.openxmlformats.org/officeDocument/2006/relationships/hyperlink" Target="https://docs.google.com/spreadsheets/d/19THEBTE9q0fhN2eApZr6BgenIvLGh0AckaYxHQfHk5w/edit?gid=1404088730" TargetMode="External"/><Relationship Id="rId36" Type="http://schemas.openxmlformats.org/officeDocument/2006/relationships/hyperlink" Target="https://docs.google.com/spreadsheets/d/1rbCD10ySi4YZEkJW2_Slmn9z7AI1WEsGsZaIJmnnT18/edit?gid=387655725" TargetMode="External"/><Relationship Id="rId39" Type="http://schemas.openxmlformats.org/officeDocument/2006/relationships/hyperlink" Target="https://docs.google.com/spreadsheets/d/1rbCD10ySi4YZEkJW2_Slmn9z7AI1WEsGsZaIJmnnT18/edit?gid=1009116353" TargetMode="External"/><Relationship Id="rId38" Type="http://schemas.openxmlformats.org/officeDocument/2006/relationships/hyperlink" Target="https://disk.yandex.ru/client/disk/%D0%9E%D1%81%D0%BC%D0%BE%D1%82%D1%80%D1%8B%20%D0%BE%D0%B1%D1%8A%D0%B5%D0%BA%D1%82%D0%BE%D0%B2%20%D0%90%D0%9D%D0%9E%20%D0%A1%D0%9C%D0%93/258.%20%D0%A1%D0%90%D0%9E%2C%20%D1%83%D0%BB.%20%D0%90%D1%81%D1%82%D1%80%D0%B0%D0%B4%D0%B0%D0%BC%D1%81%D0%BA%D0%B0%D1%8F%2C%20%D0%B4.%2015%2C%20%D0%BA.%202%20%D0%94%D0%9E%D0%A3%20150%20%D0%BC%D0%B5%D1%81%D1%82" TargetMode="External"/><Relationship Id="rId20" Type="http://schemas.openxmlformats.org/officeDocument/2006/relationships/hyperlink" Target="https://docs.google.com/spreadsheets/d/1rbCD10ySi4YZEkJW2_Slmn9z7AI1WEsGsZaIJmnnT18/edit?gid=1455430518" TargetMode="External"/><Relationship Id="rId22" Type="http://schemas.openxmlformats.org/officeDocument/2006/relationships/hyperlink" Target="https://disk.yandex.ru/d/URXW-XqAO1EmSQ" TargetMode="External"/><Relationship Id="rId21" Type="http://schemas.openxmlformats.org/officeDocument/2006/relationships/hyperlink" Target="https://docs.google.com/spreadsheets/d/19THEBTE9q0fhN2eApZr6BgenIvLGh0AckaYxHQfHk5w/edit?gid=363363152" TargetMode="External"/><Relationship Id="rId24" Type="http://schemas.openxmlformats.org/officeDocument/2006/relationships/hyperlink" Target="https://disk.yandex.ru/client/disk/%D0%9E%D1%81%D0%BC%D0%BE%D1%82%D1%80%D1%8B%20%D0%BE%D0%B1%D1%8A%D0%B5%D0%BA%D1%82%D0%BE%D0%B2%20%D0%90%D0%9D%D0%9E%20%D0%A1%D0%9C%D0%93/1078.%20%D0%9A%D0%B0%D0%BD%D0%B0%D0%BB%D0%B8%D0%B7%D0%B0%D1%86%D0%B8%D0%BE%D0%BD%D0%BD%D1%8B%D0%B9%20%D0%BA%D0%BE%D0%BB%D0%BB%D0%B5%D0%BA%D1%82%D0%BE%D1%80%20%D0%9A%D0%9D%D0%A1-%D0%A231%20%D0%B8%20%D0%9A%D0%9D%D0%A1-27.%20IV%20%D1%8D%D1%82%D0%B0%D0%BF.%20%D0%A0%D0%B5%D0%BA%D0%BE%D0%BD%D1%81%D1%82%D1%80%D1%83%D0%BA%D1%86%D0%B8%D1%8F" TargetMode="External"/><Relationship Id="rId23" Type="http://schemas.openxmlformats.org/officeDocument/2006/relationships/hyperlink" Target="https://docs.google.com/spreadsheets/d/19THEBTE9q0fhN2eApZr6BgenIvLGh0AckaYxHQfHk5w/edit?gid=1232103407" TargetMode="External"/><Relationship Id="rId26" Type="http://schemas.openxmlformats.org/officeDocument/2006/relationships/hyperlink" Target="https://docs.google.com/spreadsheets/d/1rbCD10ySi4YZEkJW2_Slmn9z7AI1WEsGsZaIJmnnT18/edit?gid=1734112233" TargetMode="External"/><Relationship Id="rId25" Type="http://schemas.openxmlformats.org/officeDocument/2006/relationships/hyperlink" Target="https://docs.google.com/spreadsheets/d/1H1MjbG2y0oC0hhID4do1G0_gfyI1jag72lQd7nL3WDQ/edit?gid=257429727" TargetMode="External"/><Relationship Id="rId28" Type="http://schemas.openxmlformats.org/officeDocument/2006/relationships/hyperlink" Target="https://docs.google.com/spreadsheets/d/1H1MjbG2y0oC0hhID4do1G0_gfyI1jag72lQd7nL3WDQ/edit?gid=984031511" TargetMode="External"/><Relationship Id="rId27" Type="http://schemas.openxmlformats.org/officeDocument/2006/relationships/hyperlink" Target="https://disk.yandex.ru/client/disk/%D0%9E%D1%81%D0%BC%D0%BE%D1%82%D1%80%D1%8B%20%D0%BE%D0%B1%D1%8A%D0%B5%D0%BA%D1%82%D0%BE%D0%B2%20%D0%90%D0%9D%D0%9E%20%D0%A1%D0%9C%D0%93/789.%20%D1%83%D0%BB%20%D0%9D%D0%B8%D0%BA%D0%B8%D1%82%D0%B8%D0%BD%D1%81%D0%BA%D0%B0%D1%8F%20%D0%B2%D0%BB%2015%20" TargetMode="External"/><Relationship Id="rId29" Type="http://schemas.openxmlformats.org/officeDocument/2006/relationships/hyperlink" Target="https://docs.google.com/spreadsheets/d/1rbCD10ySi4YZEkJW2_Slmn9z7AI1WEsGsZaIJmnnT18/edit?gid=811633138" TargetMode="External"/><Relationship Id="rId11" Type="http://schemas.openxmlformats.org/officeDocument/2006/relationships/hyperlink" Target="https://docs.google.com/spreadsheets/d/1H1MjbG2y0oC0hhID4do1G0_gfyI1jag72lQd7nL3WDQ/edit?gid=833062955" TargetMode="External"/><Relationship Id="rId10" Type="http://schemas.openxmlformats.org/officeDocument/2006/relationships/hyperlink" Target="https://docs.google.com/spreadsheets/d/1H1MjbG2y0oC0hhID4do1G0_gfyI1jag72lQd7nL3WDQ/edit?gid=55726116" TargetMode="External"/><Relationship Id="rId13" Type="http://schemas.openxmlformats.org/officeDocument/2006/relationships/hyperlink" Target="https://docs.google.com/spreadsheets/d/19THEBTE9q0fhN2eApZr6BgenIvLGh0AckaYxHQfHk5w/edit?gid=920768533" TargetMode="External"/><Relationship Id="rId12" Type="http://schemas.openxmlformats.org/officeDocument/2006/relationships/hyperlink" Target="https://docs.google.com/spreadsheets/d/1H1MjbG2y0oC0hhID4do1G0_gfyI1jag72lQd7nL3WDQ/edit?gid=249071120" TargetMode="External"/><Relationship Id="rId15" Type="http://schemas.openxmlformats.org/officeDocument/2006/relationships/hyperlink" Target="https://docs.google.com/spreadsheets/d/1H1MjbG2y0oC0hhID4do1G0_gfyI1jag72lQd7nL3WDQ/edit?gid=328082788" TargetMode="External"/><Relationship Id="rId14" Type="http://schemas.openxmlformats.org/officeDocument/2006/relationships/hyperlink" Target="https://disk.yandex.ru/client/disk/%D0%9E%D1%81%D0%BC%D0%BE%D1%82%D1%80%D1%8B%20%D0%BE%D0%B1%D1%8A%D0%B5%D0%BA%D1%82%D0%BE%D0%B2%20%D0%90%D0%9D%D0%9E%20%D0%A1%D0%9C%D0%93/236.%20%D0%BF%D1%80-%D1%82%20%D0%92%D0%B5%D1%80%D0%BD%D0%B0%D0%B4%D1%81%D0%BA%D0%BE%D0%B3%D0%BE%2012%D0%B1%20%D0%96%D0%B8%D0%BB%D0%B0%D1%8F%20%D0%B7%D0%B0%D1%81%D1%82%D1%80%D0%BE%D0%B9%D0%BA%D0%B0%20%D0%9A%D0%BE%D1%80%D0%BF.6-9" TargetMode="External"/><Relationship Id="rId17" Type="http://schemas.openxmlformats.org/officeDocument/2006/relationships/hyperlink" Target="https://disk.yandex.ru/client/disk/%D0%9E%D1%81%D0%BC%D0%BE%D1%82%D1%80%D1%8B%20%D0%BE%D0%B1%D1%8A%D0%B5%D0%BA%D1%82%D0%BE%D0%B2%20%D0%90%D0%9D%D0%9E%20%D0%A1%D0%9C%D0%93/248.%206-%D1%8F%20%D0%A0%D0%B0%D0%B4%D0%B8%D0%B0%D0%BB%D1%8C%D0%BD%D0%B0%D1%8F%20%D1%83%D0%BB.%2C%20%D0%B2%D0%BB%D0%B4.7%2C%20%D1%83%D1%87%D0%B0%D1%81%D1%82%D0%BE%D0%BA%2021.%20%D0%94%D0%9E%D0%A3%20%D0%BD%D0%B0%20320%20%D0%BC%D0%B5%D1%81%D1%82" TargetMode="External"/><Relationship Id="rId16" Type="http://schemas.openxmlformats.org/officeDocument/2006/relationships/hyperlink" Target="https://docs.google.com/spreadsheets/d/19THEBTE9q0fhN2eApZr6BgenIvLGh0AckaYxHQfHk5w/edit?gid=894458513" TargetMode="External"/><Relationship Id="rId19" Type="http://schemas.openxmlformats.org/officeDocument/2006/relationships/hyperlink" Target="https://docs.google.com/spreadsheets/d/1H1MjbG2y0oC0hhID4do1G0_gfyI1jag72lQd7nL3WDQ/edit?gid=1202640333" TargetMode="External"/><Relationship Id="rId18" Type="http://schemas.openxmlformats.org/officeDocument/2006/relationships/hyperlink" Target="https://docs.google.com/spreadsheets/d/1H1MjbG2y0oC0hhID4do1G0_gfyI1jag72lQd7nL3WDQ/edit?gid=1180712542" TargetMode="External"/><Relationship Id="rId84" Type="http://schemas.openxmlformats.org/officeDocument/2006/relationships/hyperlink" Target="https://docs.google.com/spreadsheets/d/1EI7qusa674eJhuaw-nWWtWMEHVSYMQv7HLsInEZTWpE/edit?gid=1477675576" TargetMode="External"/><Relationship Id="rId83" Type="http://schemas.openxmlformats.org/officeDocument/2006/relationships/hyperlink" Target="https://disk.yandex.ru/d/yUPiYApIyIk7Ag" TargetMode="External"/><Relationship Id="rId86" Type="http://schemas.openxmlformats.org/officeDocument/2006/relationships/hyperlink" Target="https://docs.google.com/spreadsheets/d/1H1MjbG2y0oC0hhID4do1G0_gfyI1jag72lQd7nL3WDQ/edit?gid=1191711449" TargetMode="External"/><Relationship Id="rId85" Type="http://schemas.openxmlformats.org/officeDocument/2006/relationships/hyperlink" Target="https://docs.google.com/spreadsheets/d/19THEBTE9q0fhN2eApZr6BgenIvLGh0AckaYxHQfHk5w/edit?gid=1645222765" TargetMode="External"/><Relationship Id="rId88" Type="http://schemas.openxmlformats.org/officeDocument/2006/relationships/hyperlink" Target="https://docs.google.com/spreadsheets/d/19THEBTE9q0fhN2eApZr6BgenIvLGh0AckaYxHQfHk5w/edit?gid=1429092860" TargetMode="External"/><Relationship Id="rId87" Type="http://schemas.openxmlformats.org/officeDocument/2006/relationships/hyperlink" Target="https://docs.google.com/spreadsheets/d/1EI7qusa674eJhuaw-nWWtWMEHVSYMQv7HLsInEZTWpE/edit?gid=191758898" TargetMode="External"/><Relationship Id="rId89" Type="http://schemas.openxmlformats.org/officeDocument/2006/relationships/hyperlink" Target="https://docs.google.com/spreadsheets/d/19THEBTE9q0fhN2eApZr6BgenIvLGh0AckaYxHQfHk5w/edit?gid=1311899156" TargetMode="External"/><Relationship Id="rId80" Type="http://schemas.openxmlformats.org/officeDocument/2006/relationships/hyperlink" Target="https://docs.google.com/spreadsheets/d/1H1MjbG2y0oC0hhID4do1G0_gfyI1jag72lQd7nL3WDQ/edit?gid=1578036964" TargetMode="External"/><Relationship Id="rId82" Type="http://schemas.openxmlformats.org/officeDocument/2006/relationships/hyperlink" Target="https://docs.google.com/spreadsheets/d/1EI7qusa674eJhuaw-nWWtWMEHVSYMQv7HLsInEZTWpE/edit?gid=1568412544" TargetMode="External"/><Relationship Id="rId81" Type="http://schemas.openxmlformats.org/officeDocument/2006/relationships/hyperlink" Target="https://docs.google.com/spreadsheets/d/1rbCD10ySi4YZEkJW2_Slmn9z7AI1WEsGsZaIJmnnT18/edit?gid=1242332740" TargetMode="External"/><Relationship Id="rId73" Type="http://schemas.openxmlformats.org/officeDocument/2006/relationships/hyperlink" Target="https://docs.google.com/spreadsheets/d/19THEBTE9q0fhN2eApZr6BgenIvLGh0AckaYxHQfHk5w/edit?gid=1127401829" TargetMode="External"/><Relationship Id="rId72" Type="http://schemas.openxmlformats.org/officeDocument/2006/relationships/hyperlink" Target="https://docs.google.com/spreadsheets/d/1rbCD10ySi4YZEkJW2_Slmn9z7AI1WEsGsZaIJmnnT18/edit?gid=900983135" TargetMode="External"/><Relationship Id="rId75" Type="http://schemas.openxmlformats.org/officeDocument/2006/relationships/hyperlink" Target="https://docs.google.com/spreadsheets/d/19THEBTE9q0fhN2eApZr6BgenIvLGh0AckaYxHQfHk5w/edit?gid=1529981182" TargetMode="External"/><Relationship Id="rId74" Type="http://schemas.openxmlformats.org/officeDocument/2006/relationships/hyperlink" Target="https://disk.yandex.ru/client/disk/%D0%9E%D1%81%D0%BC%D0%BE%D1%82%D1%80%D1%8B%20%D0%BE%D0%B1%D1%8A%D0%B5%D0%BA%D1%82%D0%BE%D0%B2%20%D0%90%D0%9D%D0%9E%20%D0%A1%D0%9C%D0%93/016.%20%D0%9F%D1%82%D0%B8%D1%87%D0%BD%D0%BE%D0%B5%20%D0%BF%D0%BE%D0%BB%D0%B8%D0%BA%D0%BB%D0%B8%D0%BD%D0%B8%D0%BA%D0%B0%20750" TargetMode="External"/><Relationship Id="rId77" Type="http://schemas.openxmlformats.org/officeDocument/2006/relationships/hyperlink" Target="https://docs.google.com/spreadsheets/d/1H1MjbG2y0oC0hhID4do1G0_gfyI1jag72lQd7nL3WDQ/edit?gid=1390124130" TargetMode="External"/><Relationship Id="rId76" Type="http://schemas.openxmlformats.org/officeDocument/2006/relationships/hyperlink" Target="https://disk.yandex.ru/client/disk/%D0%9E%D1%81%D0%BC%D0%BE%D1%82%D1%80%D1%8B%20%D0%BE%D0%B1%D1%8A%D0%B5%D0%BA%D1%82%D0%BE%D0%B2%20%D0%90%D0%9D%D0%9E%20%D0%A1%D0%9C%D0%93/1183.%20%D0%A1%D1%82%D1%80%D0%BE%D0%B8%D1%82%D0%B5%D0%BB%D1%8C%D1%81%D1%82%D0%B2%D0%BE%20%D1%81%D0%B5%D1%82%D0%B5%D0%B9%20%D0%BA%D0%B0%D0%BD%D0%B0%D0%BB%D0%B8%D0%B7%D0%B0%D1%86%D0%B8%D0%B8.%20%D0%9E%D1%81%D1%82%D0%B0%D1%84%D1%8C%D0%B5%D0%B2%D0%BE%202%20%D1%8D%D1%82%D0%B0%D0%BF%20%D0%9A%D0%9D%D0%A1" TargetMode="External"/><Relationship Id="rId79" Type="http://schemas.openxmlformats.org/officeDocument/2006/relationships/hyperlink" Target="https://disk.yandex.ru/client/disk/%D0%9E%D1%81%D0%BC%D0%BE%D1%82%D1%80%D1%8B%20%D0%BE%D0%B1%D1%8A%D0%B5%D0%BA%D1%82%D0%BE%D0%B2%20%D0%90%D0%9D%D0%9E%20%D0%A1%D0%9C%D0%93/662%20%D0%A1%D0%B2%D0%BE%D0%B1%D0%BE%D0%B4%D0%BD%D1%8B%D0%B9%20%D0%BF%D1%80-%D0%BA%D1%82%2C%20%D0%B2%D0%BB.%206%20%D0%BA1%20" TargetMode="External"/><Relationship Id="rId78" Type="http://schemas.openxmlformats.org/officeDocument/2006/relationships/hyperlink" Target="https://docs.google.com/spreadsheets/d/1rbCD10ySi4YZEkJW2_Slmn9z7AI1WEsGsZaIJmnnT18/edit?gid=1007518382" TargetMode="External"/><Relationship Id="rId71" Type="http://schemas.openxmlformats.org/officeDocument/2006/relationships/hyperlink" Target="https://docs.google.com/spreadsheets/d/1rbCD10ySi4YZEkJW2_Slmn9z7AI1WEsGsZaIJmnnT18/edit?gid=1525507838" TargetMode="External"/><Relationship Id="rId70" Type="http://schemas.openxmlformats.org/officeDocument/2006/relationships/hyperlink" Target="https://docs.google.com/spreadsheets/d/1H1MjbG2y0oC0hhID4do1G0_gfyI1jag72lQd7nL3WDQ/edit?gid=747557076" TargetMode="External"/><Relationship Id="rId62" Type="http://schemas.openxmlformats.org/officeDocument/2006/relationships/hyperlink" Target="https://docs.google.com/spreadsheets/d/1rbCD10ySi4YZEkJW2_Slmn9z7AI1WEsGsZaIJmnnT18/edit?gid=1195287561" TargetMode="External"/><Relationship Id="rId61" Type="http://schemas.openxmlformats.org/officeDocument/2006/relationships/hyperlink" Target="https://docs.google.com/spreadsheets/d/1rbCD10ySi4YZEkJW2_Slmn9z7AI1WEsGsZaIJmnnT18/edit?gid=223359966" TargetMode="External"/><Relationship Id="rId64" Type="http://schemas.openxmlformats.org/officeDocument/2006/relationships/hyperlink" Target="https://docs.google.com/spreadsheets/d/1H1MjbG2y0oC0hhID4do1G0_gfyI1jag72lQd7nL3WDQ/edit?gid=1587877211" TargetMode="External"/><Relationship Id="rId63" Type="http://schemas.openxmlformats.org/officeDocument/2006/relationships/hyperlink" Target="https://docs.google.com/spreadsheets/d/1H1MjbG2y0oC0hhID4do1G0_gfyI1jag72lQd7nL3WDQ/edit?gid=325961003" TargetMode="External"/><Relationship Id="rId66" Type="http://schemas.openxmlformats.org/officeDocument/2006/relationships/hyperlink" Target="https://docs.google.com/spreadsheets/d/1rbCD10ySi4YZEkJW2_Slmn9z7AI1WEsGsZaIJmnnT18/edit?gid=43981398" TargetMode="External"/><Relationship Id="rId65" Type="http://schemas.openxmlformats.org/officeDocument/2006/relationships/hyperlink" Target="https://docs.google.com/spreadsheets/d/1rbCD10ySi4YZEkJW2_Slmn9z7AI1WEsGsZaIJmnnT18/edit?gid=1721879742" TargetMode="External"/><Relationship Id="rId68" Type="http://schemas.openxmlformats.org/officeDocument/2006/relationships/hyperlink" Target="https://docs.google.com/spreadsheets/d/1EI7qusa674eJhuaw-nWWtWMEHVSYMQv7HLsInEZTWpE/edit?gid=1721100499" TargetMode="External"/><Relationship Id="rId67" Type="http://schemas.openxmlformats.org/officeDocument/2006/relationships/hyperlink" Target="https://docs.google.com/spreadsheets/d/1rbCD10ySi4YZEkJW2_Slmn9z7AI1WEsGsZaIJmnnT18/edit?gid=39049871" TargetMode="External"/><Relationship Id="rId60" Type="http://schemas.openxmlformats.org/officeDocument/2006/relationships/hyperlink" Target="https://disk.yandex.ru/client/disk/%D0%9E%D1%81%D0%BC%D0%BE%D1%82%D1%80%D1%8B%20%D0%BE%D0%B1%D1%8A%D0%B5%D0%BA%D1%82%D0%BE%D0%B2%20%D0%90%D0%9D%D0%9E%20%D0%A1%D0%9C%D0%93/210.%20%D0%96%D0%B8%D0%BB%D0%BE%D0%B9%20%D0%B4%D0%BE%D0%BC%20%D1%81%20%D0%B8%D0%BD%D0%B6%D0%B5%D0%BD%D0%B5%D1%80%D0%BD%D1%8B%D0%BC%D0%B8%20%D0%BA%D0%BE%D0%BC%D0%BC%D1%83%D0%BD%D0%B8%D0%BA%D0%B0%D1%86%D0%B8%D1%8F%D0%BC%D0%B8%20%D0%B8%0A%D0%B1%D0%BB%D0%B0%D0%B3%D0%BE%D1%83%D1%81%D1%82%D1%80%D0%BE%D0%B9%D1%81%D1%82%D0%B2%D0%BE%D0%BC%20%D0%BF%D0%BE%20%D0%B0%D0%B4%D1%80%D0%B5%D1%81%D1%83%3A%20%D0%93%D0%BB%D0%B0%D0%B2%D0%BC%D0%BE%D1%81%D1%81%D1%82%D1%80%D0%BE%D1%8F%20%D1%83%D0%BB.%2C%20%D0%B2%D0%BB%D0%B4.1" TargetMode="External"/><Relationship Id="rId69" Type="http://schemas.openxmlformats.org/officeDocument/2006/relationships/hyperlink" Target="https://disk.yandex.ru/client/disk/%D0%9E%D1%81%D0%BC%D0%BE%D1%82%D1%80%D1%8B%20%D0%BE%D0%B1%D1%8A%D0%B5%D0%BA%D1%82%D0%BE%D0%B2%20%D0%90%D0%9D%D0%9E%20%D0%A1%D0%9C%D0%93/316.%20%D0%A1%D0%BA%D0%BB%D0%B8%D1%84%D0%BE%D1%81%D0%BE%D0%B2%D1%81%D0%BA%D0%BE%D0%B3%D0%BE%20%D0%B1%D0%BE%D0%BB%D1%8C%D0%BD.%20%D0%91.%20%D0%A1%D1%83%D1%85%D0%B0%D1%80%D0%B5%D0%B2%D1%81%D0%BA%D0%B0%D1%8F%20%D0%BF%D0%BB.%203" TargetMode="External"/><Relationship Id="rId51" Type="http://schemas.openxmlformats.org/officeDocument/2006/relationships/hyperlink" Target="https://disk.yandex.ru/client/disk/%D0%9E%D1%81%D0%BC%D0%BE%D1%82%D1%80%D1%8B%20%D0%BE%D0%B1%D1%8A%D0%B5%D0%BA%D1%82%D0%BE%D0%B2%20%D0%90%D0%9D%D0%9E%20%D0%A1%D0%9C%D0%93/017.%20%D0%A8%D0%B8%D1%88%D0%BA%D0%B8%D0%BD%20%D0%BB%D0%B5%D1%81%20%D0%9A%D0%94%D0%A6" TargetMode="External"/><Relationship Id="rId50" Type="http://schemas.openxmlformats.org/officeDocument/2006/relationships/hyperlink" Target="https://docs.google.com/spreadsheets/d/19THEBTE9q0fhN2eApZr6BgenIvLGh0AckaYxHQfHk5w/edit?gid=1089584377" TargetMode="External"/><Relationship Id="rId53" Type="http://schemas.openxmlformats.org/officeDocument/2006/relationships/hyperlink" Target="https://disk.yandex.ru/client/disk/%D0%9E%D1%81%D0%BC%D0%BE%D1%82%D1%80%D1%8B%20%D0%BE%D0%B1%D1%8A%D0%B5%D0%BA%D1%82%D0%BE%D0%B2%20%D0%90%D0%9D%D0%9E%20%D0%A1%D0%9C%D0%93/190.%20%D0%AE%D0%B6%D0%BD%D0%BE%D0%B5%20%D0%91%D1%83%D1%82%D0%BE%D0%B2%D0%BE%2C%20%D0%A7%D0%B5%D1%87%C3%AB%D1%80%D1%81%D0%BA%D0%B8%D0%B9%20%D0%BF%D1%80-%D0%B4%2C%20%D0%B2%D0%BB.%2028%2C%20%D1%83%D1%87.%201." TargetMode="External"/><Relationship Id="rId52" Type="http://schemas.openxmlformats.org/officeDocument/2006/relationships/hyperlink" Target="https://docs.google.com/spreadsheets/d/1H1MjbG2y0oC0hhID4do1G0_gfyI1jag72lQd7nL3WDQ/edit?gid=1295057076" TargetMode="External"/><Relationship Id="rId55" Type="http://schemas.openxmlformats.org/officeDocument/2006/relationships/hyperlink" Target="https://docs.google.com/spreadsheets/d/1rbCD10ySi4YZEkJW2_Slmn9z7AI1WEsGsZaIJmnnT18/edit?gid=953902791" TargetMode="External"/><Relationship Id="rId54" Type="http://schemas.openxmlformats.org/officeDocument/2006/relationships/hyperlink" Target="https://docs.google.com/spreadsheets/d/1H1MjbG2y0oC0hhID4do1G0_gfyI1jag72lQd7nL3WDQ/edit?gid=168468884" TargetMode="External"/><Relationship Id="rId57" Type="http://schemas.openxmlformats.org/officeDocument/2006/relationships/hyperlink" Target="https://docs.google.com/spreadsheets/d/1rbCD10ySi4YZEkJW2_Slmn9z7AI1WEsGsZaIJmnnT18/edit?gid=932084254" TargetMode="External"/><Relationship Id="rId56" Type="http://schemas.openxmlformats.org/officeDocument/2006/relationships/hyperlink" Target="https://docs.google.com/spreadsheets/d/1rbCD10ySi4YZEkJW2_Slmn9z7AI1WEsGsZaIJmnnT18/edit?gid=238290316" TargetMode="External"/><Relationship Id="rId59" Type="http://schemas.openxmlformats.org/officeDocument/2006/relationships/hyperlink" Target="https://docs.google.com/spreadsheets/d/19THEBTE9q0fhN2eApZr6BgenIvLGh0AckaYxHQfHk5w/edit?gid=1697091636" TargetMode="External"/><Relationship Id="rId58" Type="http://schemas.openxmlformats.org/officeDocument/2006/relationships/hyperlink" Target="https://docs.google.com/spreadsheets/d/1H1MjbG2y0oC0hhID4do1G0_gfyI1jag72lQd7nL3WDQ/edit?gid=998835814" TargetMode="External"/><Relationship Id="rId107" Type="http://schemas.openxmlformats.org/officeDocument/2006/relationships/hyperlink" Target="https://docs.google.com/spreadsheets/d/19THEBTE9q0fhN2eApZr6BgenIvLGh0AckaYxHQfHk5w/edit?gid=68210689" TargetMode="External"/><Relationship Id="rId106" Type="http://schemas.openxmlformats.org/officeDocument/2006/relationships/hyperlink" Target="https://docs.google.com/spreadsheets/d/19THEBTE9q0fhN2eApZr6BgenIvLGh0AckaYxHQfHk5w/edit?gid=425127641" TargetMode="External"/><Relationship Id="rId105" Type="http://schemas.openxmlformats.org/officeDocument/2006/relationships/hyperlink" Target="https://docs.google.com/spreadsheets/d/1H1MjbG2y0oC0hhID4do1G0_gfyI1jag72lQd7nL3WDQ/edit?gid=815627436" TargetMode="External"/><Relationship Id="rId104" Type="http://schemas.openxmlformats.org/officeDocument/2006/relationships/hyperlink" Target="https://docs.google.com/spreadsheets/d/19THEBTE9q0fhN2eApZr6BgenIvLGh0AckaYxHQfHk5w/edit?gid=141428453" TargetMode="External"/><Relationship Id="rId109" Type="http://schemas.openxmlformats.org/officeDocument/2006/relationships/hyperlink" Target="https://docs.google.com/spreadsheets/d/1EI7qusa674eJhuaw-nWWtWMEHVSYMQv7HLsInEZTWpE/edit?gid=204053805" TargetMode="External"/><Relationship Id="rId108" Type="http://schemas.openxmlformats.org/officeDocument/2006/relationships/hyperlink" Target="https://docs.google.com/spreadsheets/d/1H1MjbG2y0oC0hhID4do1G0_gfyI1jag72lQd7nL3WDQ/edit?gid=2120381921" TargetMode="External"/><Relationship Id="rId103" Type="http://schemas.openxmlformats.org/officeDocument/2006/relationships/hyperlink" Target="https://docs.google.com/spreadsheets/d/1EI7qusa674eJhuaw-nWWtWMEHVSYMQv7HLsInEZTWpE/edit?gid=1366886932" TargetMode="External"/><Relationship Id="rId102" Type="http://schemas.openxmlformats.org/officeDocument/2006/relationships/hyperlink" Target="https://docs.google.com/spreadsheets/d/19THEBTE9q0fhN2eApZr6BgenIvLGh0AckaYxHQfHk5w/edit?gid=799259912" TargetMode="External"/><Relationship Id="rId101" Type="http://schemas.openxmlformats.org/officeDocument/2006/relationships/hyperlink" Target="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 TargetMode="External"/><Relationship Id="rId100" Type="http://schemas.openxmlformats.org/officeDocument/2006/relationships/hyperlink" Target="https://docs.google.com/spreadsheets/d/19THEBTE9q0fhN2eApZr6BgenIvLGh0AckaYxHQfHk5w/edit?gid=310058684" TargetMode="External"/><Relationship Id="rId129" Type="http://schemas.openxmlformats.org/officeDocument/2006/relationships/hyperlink" Target="https://docs.google.com/spreadsheets/d/19THEBTE9q0fhN2eApZr6BgenIvLGh0AckaYxHQfHk5w/edit?gid=2132720371" TargetMode="External"/><Relationship Id="rId128" Type="http://schemas.openxmlformats.org/officeDocument/2006/relationships/hyperlink" Target="https://docs.google.com/spreadsheets/d/1EI7qusa674eJhuaw-nWWtWMEHVSYMQv7HLsInEZTWpE/edit?gid=1656513014" TargetMode="External"/><Relationship Id="rId127" Type="http://schemas.openxmlformats.org/officeDocument/2006/relationships/hyperlink" Target="https://docs.google.com/spreadsheets/d/19THEBTE9q0fhN2eApZr6BgenIvLGh0AckaYxHQfHk5w/edit?gid=1849856896" TargetMode="External"/><Relationship Id="rId126" Type="http://schemas.openxmlformats.org/officeDocument/2006/relationships/hyperlink" Target="https://docs.google.com/spreadsheets/d/19THEBTE9q0fhN2eApZr6BgenIvLGh0AckaYxHQfHk5w/edit?gid=779020277" TargetMode="External"/><Relationship Id="rId121" Type="http://schemas.openxmlformats.org/officeDocument/2006/relationships/hyperlink" Target="https://docs.google.com/spreadsheets/d/1EI7qusa674eJhuaw-nWWtWMEHVSYMQv7HLsInEZTWpE/edit?gid=2065488739" TargetMode="External"/><Relationship Id="rId120" Type="http://schemas.openxmlformats.org/officeDocument/2006/relationships/hyperlink" Target="https://disk.yandex.ru/client/disk/%D0%9E%D1%81%D0%BC%D0%BE%D1%82%D1%80%D1%8B%20%D0%BE%D0%B1%D1%8A%D0%B5%D0%BA%D1%82%D0%BE%D0%B2%20%D0%90%D0%9D%D0%9E%20%D0%A1%D0%9C%D0%93/672.%202-%D1%8F%20%D0%94%D1%83%D0%B1%D1%80%D0%BE%D0%B2%D1%81%D0%BA%D0%B0%D1%8F%20%D0%B4.1" TargetMode="External"/><Relationship Id="rId125" Type="http://schemas.openxmlformats.org/officeDocument/2006/relationships/hyperlink" Target="https://docs.google.com/spreadsheets/d/19THEBTE9q0fhN2eApZr6BgenIvLGh0AckaYxHQfHk5w/edit?gid=1995746861" TargetMode="External"/><Relationship Id="rId124" Type="http://schemas.openxmlformats.org/officeDocument/2006/relationships/hyperlink" Target="https://docs.google.com/spreadsheets/d/1EI7qusa674eJhuaw-nWWtWMEHVSYMQv7HLsInEZTWpE/edit?gid=340433280" TargetMode="External"/><Relationship Id="rId123" Type="http://schemas.openxmlformats.org/officeDocument/2006/relationships/hyperlink" Target="https://docs.google.com/spreadsheets/d/19THEBTE9q0fhN2eApZr6BgenIvLGh0AckaYxHQfHk5w/edit?gid=1830744104" TargetMode="External"/><Relationship Id="rId122" Type="http://schemas.openxmlformats.org/officeDocument/2006/relationships/hyperlink" Target="https://disk.yandex.ru/d/s17WL0GFDbRVkw" TargetMode="External"/><Relationship Id="rId95" Type="http://schemas.openxmlformats.org/officeDocument/2006/relationships/hyperlink" Target="https://disk.yandex.ru/d/4p9gUDqZ_aogQQ" TargetMode="External"/><Relationship Id="rId94" Type="http://schemas.openxmlformats.org/officeDocument/2006/relationships/hyperlink" Target="https://docs.google.com/spreadsheets/d/19THEBTE9q0fhN2eApZr6BgenIvLGh0AckaYxHQfHk5w/edit?gid=613124997" TargetMode="External"/><Relationship Id="rId97" Type="http://schemas.openxmlformats.org/officeDocument/2006/relationships/hyperlink" Target="https://docs.google.com/spreadsheets/d/19THEBTE9q0fhN2eApZr6BgenIvLGh0AckaYxHQfHk5w/edit?gid=242811066" TargetMode="External"/><Relationship Id="rId96" Type="http://schemas.openxmlformats.org/officeDocument/2006/relationships/hyperlink" Target="https://docs.google.com/spreadsheets/d/19THEBTE9q0fhN2eApZr6BgenIvLGh0AckaYxHQfHk5w/edit?gid=140939233" TargetMode="External"/><Relationship Id="rId99" Type="http://schemas.openxmlformats.org/officeDocument/2006/relationships/hyperlink" Target="https://docs.google.com/spreadsheets/d/19THEBTE9q0fhN2eApZr6BgenIvLGh0AckaYxHQfHk5w/edit?gid=1145227752" TargetMode="External"/><Relationship Id="rId98" Type="http://schemas.openxmlformats.org/officeDocument/2006/relationships/hyperlink" Target="https://docs.google.com/spreadsheets/d/19THEBTE9q0fhN2eApZr6BgenIvLGh0AckaYxHQfHk5w/edit?gid=908182805" TargetMode="External"/><Relationship Id="rId91" Type="http://schemas.openxmlformats.org/officeDocument/2006/relationships/hyperlink" Target="https://docs.google.com/spreadsheets/d/19THEBTE9q0fhN2eApZr6BgenIvLGh0AckaYxHQfHk5w/edit?gid=80969039" TargetMode="External"/><Relationship Id="rId90" Type="http://schemas.openxmlformats.org/officeDocument/2006/relationships/hyperlink" Target="https://docs.google.com/spreadsheets/d/1H1MjbG2y0oC0hhID4do1G0_gfyI1jag72lQd7nL3WDQ/edit?gid=864081677" TargetMode="External"/><Relationship Id="rId93" Type="http://schemas.openxmlformats.org/officeDocument/2006/relationships/hyperlink" Target="https://docs.google.com/spreadsheets/d/19THEBTE9q0fhN2eApZr6BgenIvLGh0AckaYxHQfHk5w/edit?gid=1230967250" TargetMode="External"/><Relationship Id="rId92" Type="http://schemas.openxmlformats.org/officeDocument/2006/relationships/hyperlink" Target="https://docs.google.com/spreadsheets/d/1rbCD10ySi4YZEkJW2_Slmn9z7AI1WEsGsZaIJmnnT18/edit?gid=509147488" TargetMode="External"/><Relationship Id="rId118" Type="http://schemas.openxmlformats.org/officeDocument/2006/relationships/hyperlink" Target="https://docs.google.com/spreadsheets/d/19THEBTE9q0fhN2eApZr6BgenIvLGh0AckaYxHQfHk5w/edit?gid=1676523530" TargetMode="External"/><Relationship Id="rId117" Type="http://schemas.openxmlformats.org/officeDocument/2006/relationships/hyperlink" Target="https://docs.google.com/spreadsheets/d/1EI7qusa674eJhuaw-nWWtWMEHVSYMQv7HLsInEZTWpE/edit?gid=1476336114" TargetMode="External"/><Relationship Id="rId116" Type="http://schemas.openxmlformats.org/officeDocument/2006/relationships/hyperlink" Target="https://docs.google.com/spreadsheets/d/1EI7qusa674eJhuaw-nWWtWMEHVSYMQv7HLsInEZTWpE/edit?gid=1721100499" TargetMode="External"/><Relationship Id="rId115" Type="http://schemas.openxmlformats.org/officeDocument/2006/relationships/hyperlink" Target="https://disk.yandex.ru/client/disk/%D0%9E%D1%81%D0%BC%D0%BE%D1%82%D1%80%D1%8B%20%D0%BE%D0%B1%D1%8A%D0%B5%D0%BA%D1%82%D0%BE%D0%B2%20%D0%90%D0%9D%D0%9E%20%D0%A1%D0%9C%D0%93/184.%20%D0%A3%D1%87%D0%B5%D0%B1%D0%BD%D1%8B%D0%B9%20%D0%BA%D0%BE%D1%80%D0%BF%D1%83%D1%81%20%D0%BD%D0%B0%20400%20%D0%BC%D0%B5%D1%81%D1%82%202-%D1%8F%20%D0%93%D1%80%D0%B0%D0%B6%D0%B4%D0%B0%D0%BD%D1%81%D0%BA%D0%B0%D1%8F%2C%20%D0%B4.%208" TargetMode="External"/><Relationship Id="rId119" Type="http://schemas.openxmlformats.org/officeDocument/2006/relationships/hyperlink" Target="https://docs.google.com/spreadsheets/d/1rbCD10ySi4YZEkJW2_Slmn9z7AI1WEsGsZaIJmnnT18/edit?gid=1407262521" TargetMode="External"/><Relationship Id="rId110" Type="http://schemas.openxmlformats.org/officeDocument/2006/relationships/hyperlink" Target="https://docs.google.com/spreadsheets/d/1rbCD10ySi4YZEkJW2_Slmn9z7AI1WEsGsZaIJmnnT18/edit?gid=2096121583" TargetMode="External"/><Relationship Id="rId114" Type="http://schemas.openxmlformats.org/officeDocument/2006/relationships/hyperlink" Target="https://docs.google.com/spreadsheets/d/19THEBTE9q0fhN2eApZr6BgenIvLGh0AckaYxHQfHk5w/edit?gid=808158041" TargetMode="External"/><Relationship Id="rId113" Type="http://schemas.openxmlformats.org/officeDocument/2006/relationships/hyperlink" Target="https://docs.google.com/spreadsheets/d/1EI7qusa674eJhuaw-nWWtWMEHVSYMQv7HLsInEZTWpE/edit?gid=1026471419" TargetMode="External"/><Relationship Id="rId112" Type="http://schemas.openxmlformats.org/officeDocument/2006/relationships/hyperlink" Target="https://docs.google.com/spreadsheets/d/1rbCD10ySi4YZEkJW2_Slmn9z7AI1WEsGsZaIJmnnT18/edit?gid=989193180" TargetMode="External"/><Relationship Id="rId111" Type="http://schemas.openxmlformats.org/officeDocument/2006/relationships/hyperlink" Target="https://docs.google.com/spreadsheets/d/19THEBTE9q0fhN2eApZr6BgenIvLGh0AckaYxHQfHk5w/edit?gid=493360007" TargetMode="External"/><Relationship Id="rId297" Type="http://schemas.openxmlformats.org/officeDocument/2006/relationships/hyperlink" Target="https://docs.google.com/spreadsheets/d/1H1MjbG2y0oC0hhID4do1G0_gfyI1jag72lQd7nL3WDQ/edit?gid=1587877211" TargetMode="External"/><Relationship Id="rId296" Type="http://schemas.openxmlformats.org/officeDocument/2006/relationships/hyperlink" Target="https://docs.google.com/spreadsheets/d/1H1MjbG2y0oC0hhID4do1G0_gfyI1jag72lQd7nL3WDQ/edit?gid=1900542966" TargetMode="External"/><Relationship Id="rId295" Type="http://schemas.openxmlformats.org/officeDocument/2006/relationships/hyperlink" Target="https://docs.google.com/spreadsheets/d/1H1MjbG2y0oC0hhID4do1G0_gfyI1jag72lQd7nL3WDQ/edit?gid=1791563527" TargetMode="External"/><Relationship Id="rId294" Type="http://schemas.openxmlformats.org/officeDocument/2006/relationships/hyperlink" Target="https://docs.google.com/spreadsheets/d/1rbCD10ySi4YZEkJW2_Slmn9z7AI1WEsGsZaIJmnnT18/edit?gid=3373357" TargetMode="External"/><Relationship Id="rId298" Type="http://schemas.openxmlformats.org/officeDocument/2006/relationships/drawing" Target="../drawings/drawing6.xml"/><Relationship Id="rId271" Type="http://schemas.openxmlformats.org/officeDocument/2006/relationships/hyperlink" Target="https://docs.google.com/spreadsheets/d/1rbCD10ySi4YZEkJW2_Slmn9z7AI1WEsGsZaIJmnnT18/edit?gid=932084254" TargetMode="External"/><Relationship Id="rId270" Type="http://schemas.openxmlformats.org/officeDocument/2006/relationships/hyperlink" Target="https://docs.google.com/spreadsheets/d/1rbCD10ySi4YZEkJW2_Slmn9z7AI1WEsGsZaIJmnnT18/edit?gid=43981398" TargetMode="External"/><Relationship Id="rId269" Type="http://schemas.openxmlformats.org/officeDocument/2006/relationships/hyperlink" Target="https://docs.google.com/spreadsheets/d/1rbCD10ySi4YZEkJW2_Slmn9z7AI1WEsGsZaIJmnnT18/edit?gid=113121864" TargetMode="External"/><Relationship Id="rId264" Type="http://schemas.openxmlformats.org/officeDocument/2006/relationships/hyperlink" Target="https://docs.google.com/spreadsheets/d/1H1MjbG2y0oC0hhID4do1G0_gfyI1jag72lQd7nL3WDQ/edit?gid=1956651299" TargetMode="External"/><Relationship Id="rId263" Type="http://schemas.openxmlformats.org/officeDocument/2006/relationships/hyperlink" Target="https://docs.google.com/spreadsheets/d/19THEBTE9q0fhN2eApZr6BgenIvLGh0AckaYxHQfHk5w/edit?gid=326698304" TargetMode="External"/><Relationship Id="rId262" Type="http://schemas.openxmlformats.org/officeDocument/2006/relationships/hyperlink" Target="https://docs.google.com/spreadsheets/d/1EI7qusa674eJhuaw-nWWtWMEHVSYMQv7HLsInEZTWpE/edit?gid=623093467" TargetMode="External"/><Relationship Id="rId261" Type="http://schemas.openxmlformats.org/officeDocument/2006/relationships/hyperlink" Target="https://docs.google.com/spreadsheets/d/1H1MjbG2y0oC0hhID4do1G0_gfyI1jag72lQd7nL3WDQ/edit?gid=1835376342" TargetMode="External"/><Relationship Id="rId268" Type="http://schemas.openxmlformats.org/officeDocument/2006/relationships/hyperlink" Target="https://docs.google.com/spreadsheets/d/1H1MjbG2y0oC0hhID4do1G0_gfyI1jag72lQd7nL3WDQ/edit?gid=1252296860" TargetMode="External"/><Relationship Id="rId267" Type="http://schemas.openxmlformats.org/officeDocument/2006/relationships/hyperlink" Target="https://disk.yandex.ru/client/disk/%D0%9E%D1%81%D0%BC%D0%BE%D1%82%D1%80%D1%8B%20%D0%BE%D0%B1%D1%8A%D0%B5%D0%BA%D1%82%D0%BE%D0%B2%20%D0%90%D0%9D%D0%9E%20%D0%A1%D0%9C%D0%93/699.%20%D0%92%D0%B0%D1%80%D1%88%D0%B0%D0%B2%D1%81%D0%BA%D0%BE%D0%B5%20%D1%88.%20%D0%B7.%D1%83.%2090.1%20(%D1%83%D1%87%D0%B0%D1%81%D1%82%D0%BE%D0%BA%205.1)" TargetMode="External"/><Relationship Id="rId266" Type="http://schemas.openxmlformats.org/officeDocument/2006/relationships/hyperlink" Target="https://docs.google.com/spreadsheets/d/1rbCD10ySi4YZEkJW2_Slmn9z7AI1WEsGsZaIJmnnT18/edit?gid=1868311876" TargetMode="External"/><Relationship Id="rId265" Type="http://schemas.openxmlformats.org/officeDocument/2006/relationships/hyperlink" Target="https://disk.yandex.ru/client/disk/%D0%9E%D1%81%D0%BC%D0%BE%D1%82%D1%80%D1%8B%20%D0%BE%D0%B1%D1%8A%D0%B5%D0%BA%D1%82%D0%BE%D0%B2%20%D0%90%D0%9D%D0%9E%20%D0%A1%D0%9C%D0%93/536.%20%D0%BF%D1%80%D0%BE%D0%B5%D0%B7%D0%B4%20%D0%9D%D0%B0%D0%BD%D1%81%D0%B5%D0%BD%D0%B0%2C%20%D0%B2%D0%BB%D0%B4.%208" TargetMode="External"/><Relationship Id="rId260" Type="http://schemas.openxmlformats.org/officeDocument/2006/relationships/hyperlink" Target="https://docs.google.com/spreadsheets/d/1rbCD10ySi4YZEkJW2_Slmn9z7AI1WEsGsZaIJmnnT18/edit?gid=772910058" TargetMode="External"/><Relationship Id="rId259" Type="http://schemas.openxmlformats.org/officeDocument/2006/relationships/hyperlink" Target="https://docs.google.com/spreadsheets/d/1H1MjbG2y0oC0hhID4do1G0_gfyI1jag72lQd7nL3WDQ/edit?gid=947386880" TargetMode="External"/><Relationship Id="rId258" Type="http://schemas.openxmlformats.org/officeDocument/2006/relationships/hyperlink" Target="https://disk.yandex.ru/client/disk/%D0%9E%D1%81%D0%BC%D0%BE%D1%82%D1%80%D1%8B%20%D0%BE%D0%B1%D1%8A%D0%B5%D0%BA%D1%82%D0%BE%D0%B2%20%D0%90%D0%9D%D0%9E%20%D0%A1%D0%9C%D0%93/591.%20%D0%94%D0%BE%D0%BB%D0%B3%D0%BE%D0%BF%D1%80%D1%83%D0%B4%D0%BD%D0%B0%D1%8F%20%D1%83%D0%BB.%2C%20%D0%B7%D1%83%203-5" TargetMode="External"/><Relationship Id="rId253" Type="http://schemas.openxmlformats.org/officeDocument/2006/relationships/hyperlink" Target="https://docs.google.com/spreadsheets/d/1rbCD10ySi4YZEkJW2_Slmn9z7AI1WEsGsZaIJmnnT18/edit?gid=1103814472" TargetMode="External"/><Relationship Id="rId252" Type="http://schemas.openxmlformats.org/officeDocument/2006/relationships/hyperlink" Target="https://docs.google.com/spreadsheets/d/19THEBTE9q0fhN2eApZr6BgenIvLGh0AckaYxHQfHk5w/edit?gid=1460101979" TargetMode="External"/><Relationship Id="rId251" Type="http://schemas.openxmlformats.org/officeDocument/2006/relationships/hyperlink" Target="https://docs.google.com/spreadsheets/d/1rbCD10ySi4YZEkJW2_Slmn9z7AI1WEsGsZaIJmnnT18/edit?gid=583489484" TargetMode="External"/><Relationship Id="rId250" Type="http://schemas.openxmlformats.org/officeDocument/2006/relationships/hyperlink" Target="https://docs.google.com/spreadsheets/d/1rbCD10ySi4YZEkJW2_Slmn9z7AI1WEsGsZaIJmnnT18/edit?gid=783421015" TargetMode="External"/><Relationship Id="rId257" Type="http://schemas.openxmlformats.org/officeDocument/2006/relationships/hyperlink" Target="https://docs.google.com/spreadsheets/d/1H1MjbG2y0oC0hhID4do1G0_gfyI1jag72lQd7nL3WDQ/edit?gid=683523839" TargetMode="External"/><Relationship Id="rId256" Type="http://schemas.openxmlformats.org/officeDocument/2006/relationships/hyperlink" Target="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 TargetMode="External"/><Relationship Id="rId255" Type="http://schemas.openxmlformats.org/officeDocument/2006/relationships/hyperlink" Target="https://docs.google.com/spreadsheets/d/1rbCD10ySi4YZEkJW2_Slmn9z7AI1WEsGsZaIJmnnT18/edit?gid=1294085884" TargetMode="External"/><Relationship Id="rId254" Type="http://schemas.openxmlformats.org/officeDocument/2006/relationships/hyperlink" Target="https://docs.google.com/spreadsheets/d/1H1MjbG2y0oC0hhID4do1G0_gfyI1jag72lQd7nL3WDQ/edit?gid=1599124365" TargetMode="External"/><Relationship Id="rId293" Type="http://schemas.openxmlformats.org/officeDocument/2006/relationships/hyperlink" Target="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 TargetMode="External"/><Relationship Id="rId292" Type="http://schemas.openxmlformats.org/officeDocument/2006/relationships/hyperlink" Target="https://docs.google.com/spreadsheets/d/1rbCD10ySi4YZEkJW2_Slmn9z7AI1WEsGsZaIJmnnT18/edit?gid=1401788865" TargetMode="External"/><Relationship Id="rId291" Type="http://schemas.openxmlformats.org/officeDocument/2006/relationships/hyperlink" Target="https://docs.google.com/spreadsheets/d/1rbCD10ySi4YZEkJW2_Slmn9z7AI1WEsGsZaIJmnnT18/edit?gid=39049871" TargetMode="External"/><Relationship Id="rId290" Type="http://schemas.openxmlformats.org/officeDocument/2006/relationships/hyperlink" Target="https://docs.google.com/spreadsheets/d/1rbCD10ySi4YZEkJW2_Slmn9z7AI1WEsGsZaIJmnnT18/edit?gid=1656095741" TargetMode="External"/><Relationship Id="rId286" Type="http://schemas.openxmlformats.org/officeDocument/2006/relationships/hyperlink" Target="https://docs.google.com/spreadsheets/d/1H1MjbG2y0oC0hhID4do1G0_gfyI1jag72lQd7nL3WDQ/edit?gid=1181793870" TargetMode="External"/><Relationship Id="rId285" Type="http://schemas.openxmlformats.org/officeDocument/2006/relationships/hyperlink" Target="https://docs.google.com/spreadsheets/d/1rbCD10ySi4YZEkJW2_Slmn9z7AI1WEsGsZaIJmnnT18/edit?gid=1480745629" TargetMode="External"/><Relationship Id="rId284" Type="http://schemas.openxmlformats.org/officeDocument/2006/relationships/hyperlink" Target="https://disk.yandex.ru/client/disk/%D0%9E%D1%81%D0%BC%D0%BE%D1%82%D1%80%D1%8B%20%D0%BE%D0%B1%D1%8A%D0%B5%D0%BA%D1%82%D0%BE%D0%B2%20%D0%90%D0%9D%D0%9E%20%D0%A1%D0%9C%D0%93/568.%20%D0%9A%D0%B0%D1%80%D0%B5%D0%BB%D1%8C%D1%81%D0%BA%D0%B8%D0%B9%20%D0%B1%D1%83%D0%BB%D1%8C%D0%B2%D0%B0%D1%80%2C%20%D0%B7%D1%83%2014-16" TargetMode="External"/><Relationship Id="rId283" Type="http://schemas.openxmlformats.org/officeDocument/2006/relationships/hyperlink" Target="https://docs.google.com/spreadsheets/d/1H1MjbG2y0oC0hhID4do1G0_gfyI1jag72lQd7nL3WDQ/edit?gid=33336285" TargetMode="External"/><Relationship Id="rId289" Type="http://schemas.openxmlformats.org/officeDocument/2006/relationships/hyperlink" Target="https://docs.google.com/spreadsheets/d/1rbCD10ySi4YZEkJW2_Slmn9z7AI1WEsGsZaIJmnnT18/edit?gid=2115012790" TargetMode="External"/><Relationship Id="rId288" Type="http://schemas.openxmlformats.org/officeDocument/2006/relationships/hyperlink" Target="https://docs.google.com/spreadsheets/d/1rbCD10ySi4YZEkJW2_Slmn9z7AI1WEsGsZaIJmnnT18/edit?gid=372457040" TargetMode="External"/><Relationship Id="rId287" Type="http://schemas.openxmlformats.org/officeDocument/2006/relationships/hyperlink" Target="https://docs.google.com/spreadsheets/d/1rbCD10ySi4YZEkJW2_Slmn9z7AI1WEsGsZaIJmnnT18/edit?gid=580229704" TargetMode="External"/><Relationship Id="rId282" Type="http://schemas.openxmlformats.org/officeDocument/2006/relationships/hyperlink" Target="https://docs.google.com/spreadsheets/d/1rbCD10ySi4YZEkJW2_Slmn9z7AI1WEsGsZaIJmnnT18/edit?gid=1203948268" TargetMode="External"/><Relationship Id="rId281" Type="http://schemas.openxmlformats.org/officeDocument/2006/relationships/hyperlink" Target="https://docs.google.com/spreadsheets/d/1rbCD10ySi4YZEkJW2_Slmn9z7AI1WEsGsZaIJmnnT18/edit?gid=282401999" TargetMode="External"/><Relationship Id="rId280" Type="http://schemas.openxmlformats.org/officeDocument/2006/relationships/hyperlink" Target="https://docs.google.com/spreadsheets/d/1rbCD10ySi4YZEkJW2_Slmn9z7AI1WEsGsZaIJmnnT18/edit?gid=1984267459" TargetMode="External"/><Relationship Id="rId275" Type="http://schemas.openxmlformats.org/officeDocument/2006/relationships/hyperlink" Target="https://docs.google.com/spreadsheets/d/1rbCD10ySi4YZEkJW2_Slmn9z7AI1WEsGsZaIJmnnT18/edit?gid=415706414" TargetMode="External"/><Relationship Id="rId274" Type="http://schemas.openxmlformats.org/officeDocument/2006/relationships/hyperlink" Target="https://docs.google.com/spreadsheets/d/1rbCD10ySi4YZEkJW2_Slmn9z7AI1WEsGsZaIJmnnT18/edit?gid=573547240" TargetMode="External"/><Relationship Id="rId273" Type="http://schemas.openxmlformats.org/officeDocument/2006/relationships/hyperlink" Target="https://docs.google.com/spreadsheets/d/1rbCD10ySi4YZEkJW2_Slmn9z7AI1WEsGsZaIJmnnT18/edit?gid=1315766169" TargetMode="External"/><Relationship Id="rId272" Type="http://schemas.openxmlformats.org/officeDocument/2006/relationships/hyperlink" Target="https://docs.google.com/spreadsheets/d/1rbCD10ySi4YZEkJW2_Slmn9z7AI1WEsGsZaIJmnnT18/edit?gid=679741287" TargetMode="External"/><Relationship Id="rId279" Type="http://schemas.openxmlformats.org/officeDocument/2006/relationships/hyperlink" Target="https://docs.google.com/spreadsheets/d/1rbCD10ySi4YZEkJW2_Slmn9z7AI1WEsGsZaIJmnnT18/edit?gid=625147630" TargetMode="External"/><Relationship Id="rId278" Type="http://schemas.openxmlformats.org/officeDocument/2006/relationships/hyperlink" Target="https://docs.google.com/spreadsheets/d/1rbCD10ySi4YZEkJW2_Slmn9z7AI1WEsGsZaIJmnnT18/edit?gid=1068599727" TargetMode="External"/><Relationship Id="rId277" Type="http://schemas.openxmlformats.org/officeDocument/2006/relationships/hyperlink" Target="https://docs.google.com/spreadsheets/d/1rbCD10ySi4YZEkJW2_Slmn9z7AI1WEsGsZaIJmnnT18/edit?gid=1509093390" TargetMode="External"/><Relationship Id="rId276" Type="http://schemas.openxmlformats.org/officeDocument/2006/relationships/hyperlink" Target="https://docs.google.com/spreadsheets/d/1rbCD10ySi4YZEkJW2_Slmn9z7AI1WEsGsZaIJmnnT18/edit?gid=733134081" TargetMode="External"/><Relationship Id="rId228" Type="http://schemas.openxmlformats.org/officeDocument/2006/relationships/hyperlink" Target="https://docs.google.com/spreadsheets/d/1H1MjbG2y0oC0hhID4do1G0_gfyI1jag72lQd7nL3WDQ/edit?gid=432585965" TargetMode="External"/><Relationship Id="rId227" Type="http://schemas.openxmlformats.org/officeDocument/2006/relationships/hyperlink" Target="https://docs.google.com/spreadsheets/d/1rbCD10ySi4YZEkJW2_Slmn9z7AI1WEsGsZaIJmnnT18/edit?gid=235307605" TargetMode="External"/><Relationship Id="rId226" Type="http://schemas.openxmlformats.org/officeDocument/2006/relationships/hyperlink" Target="https://docs.google.com/spreadsheets/d/1EI7qusa674eJhuaw-nWWtWMEHVSYMQv7HLsInEZTWpE/edit?gid=376178489" TargetMode="External"/><Relationship Id="rId225" Type="http://schemas.openxmlformats.org/officeDocument/2006/relationships/hyperlink" Target="https://docs.google.com/spreadsheets/d/1rbCD10ySi4YZEkJW2_Slmn9z7AI1WEsGsZaIJmnnT18/edit?gid=2092914415" TargetMode="External"/><Relationship Id="rId229" Type="http://schemas.openxmlformats.org/officeDocument/2006/relationships/hyperlink" Target="https://docs.google.com/spreadsheets/d/1rbCD10ySi4YZEkJW2_Slmn9z7AI1WEsGsZaIJmnnT18/edit?gid=238290316" TargetMode="External"/><Relationship Id="rId220" Type="http://schemas.openxmlformats.org/officeDocument/2006/relationships/hyperlink" Target="https://docs.google.com/spreadsheets/d/19THEBTE9q0fhN2eApZr6BgenIvLGh0AckaYxHQfHk5w/edit?gid=2057787589" TargetMode="External"/><Relationship Id="rId224" Type="http://schemas.openxmlformats.org/officeDocument/2006/relationships/hyperlink" Target="https://docs.google.com/spreadsheets/d/1rbCD10ySi4YZEkJW2_Slmn9z7AI1WEsGsZaIJmnnT18/edit?gid=1530580258" TargetMode="External"/><Relationship Id="rId223" Type="http://schemas.openxmlformats.org/officeDocument/2006/relationships/hyperlink" Target="https://docs.google.com/spreadsheets/d/1H1MjbG2y0oC0hhID4do1G0_gfyI1jag72lQd7nL3WDQ/edit?gid=1000032786" TargetMode="External"/><Relationship Id="rId222" Type="http://schemas.openxmlformats.org/officeDocument/2006/relationships/hyperlink" Target="https://docs.google.com/spreadsheets/d/1rbCD10ySi4YZEkJW2_Slmn9z7AI1WEsGsZaIJmnnT18/edit?gid=632308495" TargetMode="External"/><Relationship Id="rId221" Type="http://schemas.openxmlformats.org/officeDocument/2006/relationships/hyperlink" Target="https://docs.google.com/spreadsheets/d/1rbCD10ySi4YZEkJW2_Slmn9z7AI1WEsGsZaIJmnnT18/edit?gid=152190080" TargetMode="External"/><Relationship Id="rId217" Type="http://schemas.openxmlformats.org/officeDocument/2006/relationships/hyperlink" Target="https://docs.google.com/spreadsheets/d/1rbCD10ySi4YZEkJW2_Slmn9z7AI1WEsGsZaIJmnnT18/edit?gid=2079091831" TargetMode="External"/><Relationship Id="rId216" Type="http://schemas.openxmlformats.org/officeDocument/2006/relationships/hyperlink" Target="https://docs.google.com/spreadsheets/d/1H1MjbG2y0oC0hhID4do1G0_gfyI1jag72lQd7nL3WDQ/edit?gid=617262299" TargetMode="External"/><Relationship Id="rId215" Type="http://schemas.openxmlformats.org/officeDocument/2006/relationships/hyperlink" Target="https://docs.google.com/spreadsheets/d/19THEBTE9q0fhN2eApZr6BgenIvLGh0AckaYxHQfHk5w/edit?gid=1559792467" TargetMode="External"/><Relationship Id="rId214" Type="http://schemas.openxmlformats.org/officeDocument/2006/relationships/hyperlink" Target="https://docs.google.com/spreadsheets/d/1rbCD10ySi4YZEkJW2_Slmn9z7AI1WEsGsZaIJmnnT18/edit?gid=1611612481" TargetMode="External"/><Relationship Id="rId219" Type="http://schemas.openxmlformats.org/officeDocument/2006/relationships/hyperlink" Target="https://docs.google.com/spreadsheets/d/1H1MjbG2y0oC0hhID4do1G0_gfyI1jag72lQd7nL3WDQ/edit?gid=1298340576" TargetMode="External"/><Relationship Id="rId218" Type="http://schemas.openxmlformats.org/officeDocument/2006/relationships/hyperlink" Target="https://docs.google.com/spreadsheets/d/1H1MjbG2y0oC0hhID4do1G0_gfyI1jag72lQd7nL3WDQ/edit?gid=139795987" TargetMode="External"/><Relationship Id="rId213" Type="http://schemas.openxmlformats.org/officeDocument/2006/relationships/hyperlink" Target="https://docs.google.com/spreadsheets/d/1H1MjbG2y0oC0hhID4do1G0_gfyI1jag72lQd7nL3WDQ/edit?gid=1407301391" TargetMode="External"/><Relationship Id="rId212" Type="http://schemas.openxmlformats.org/officeDocument/2006/relationships/hyperlink" Target="https://docs.google.com/spreadsheets/d/1rbCD10ySi4YZEkJW2_Slmn9z7AI1WEsGsZaIJmnnT18/edit?gid=1407510683" TargetMode="External"/><Relationship Id="rId211" Type="http://schemas.openxmlformats.org/officeDocument/2006/relationships/hyperlink" Target="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 TargetMode="External"/><Relationship Id="rId210" Type="http://schemas.openxmlformats.org/officeDocument/2006/relationships/hyperlink" Target="https://docs.google.com/spreadsheets/d/19THEBTE9q0fhN2eApZr6BgenIvLGh0AckaYxHQfHk5w/edit?gid=901281284" TargetMode="External"/><Relationship Id="rId249" Type="http://schemas.openxmlformats.org/officeDocument/2006/relationships/hyperlink" Target="https://docs.google.com/spreadsheets/d/1H1MjbG2y0oC0hhID4do1G0_gfyI1jag72lQd7nL3WDQ/edit?gid=864081677" TargetMode="External"/><Relationship Id="rId248" Type="http://schemas.openxmlformats.org/officeDocument/2006/relationships/hyperlink" Target="https://docs.google.com/spreadsheets/d/1rbCD10ySi4YZEkJW2_Slmn9z7AI1WEsGsZaIJmnnT18/edit?gid=1553204611" TargetMode="External"/><Relationship Id="rId247" Type="http://schemas.openxmlformats.org/officeDocument/2006/relationships/hyperlink" Target="https://docs.google.com/spreadsheets/d/1rbCD10ySi4YZEkJW2_Slmn9z7AI1WEsGsZaIJmnnT18/edit?gid=478234873" TargetMode="External"/><Relationship Id="rId242" Type="http://schemas.openxmlformats.org/officeDocument/2006/relationships/hyperlink" Target="https://docs.google.com/spreadsheets/d/1rbCD10ySi4YZEkJW2_Slmn9z7AI1WEsGsZaIJmnnT18/edit?gid=900983135" TargetMode="External"/><Relationship Id="rId241" Type="http://schemas.openxmlformats.org/officeDocument/2006/relationships/hyperlink" Target="https://docs.google.com/spreadsheets/d/1H1MjbG2y0oC0hhID4do1G0_gfyI1jag72lQd7nL3WDQ/edit?gid=84528393" TargetMode="External"/><Relationship Id="rId240" Type="http://schemas.openxmlformats.org/officeDocument/2006/relationships/hyperlink" Target="https://docs.google.com/spreadsheets/d/1H1MjbG2y0oC0hhID4do1G0_gfyI1jag72lQd7nL3WDQ/edit?gid=1180712542" TargetMode="External"/><Relationship Id="rId246" Type="http://schemas.openxmlformats.org/officeDocument/2006/relationships/hyperlink" Target="https://docs.google.com/spreadsheets/d/1EI7qusa674eJhuaw-nWWtWMEHVSYMQv7HLsInEZTWpE/edit?gid=270470148" TargetMode="External"/><Relationship Id="rId245" Type="http://schemas.openxmlformats.org/officeDocument/2006/relationships/hyperlink" Target="https://docs.google.com/spreadsheets/d/1rbCD10ySi4YZEkJW2_Slmn9z7AI1WEsGsZaIJmnnT18/edit?gid=151666570" TargetMode="External"/><Relationship Id="rId244" Type="http://schemas.openxmlformats.org/officeDocument/2006/relationships/hyperlink" Target="https://docs.google.com/spreadsheets/d/1rbCD10ySi4YZEkJW2_Slmn9z7AI1WEsGsZaIJmnnT18/edit?gid=1402918255" TargetMode="External"/><Relationship Id="rId243" Type="http://schemas.openxmlformats.org/officeDocument/2006/relationships/hyperlink" Target="https://docs.google.com/spreadsheets/d/1rbCD10ySi4YZEkJW2_Slmn9z7AI1WEsGsZaIJmnnT18/edit?gid=226411409" TargetMode="External"/><Relationship Id="rId239" Type="http://schemas.openxmlformats.org/officeDocument/2006/relationships/hyperlink" Target="https://docs.google.com/spreadsheets/d/1rbCD10ySi4YZEkJW2_Slmn9z7AI1WEsGsZaIJmnnT18/edit?gid=858056712" TargetMode="External"/><Relationship Id="rId238" Type="http://schemas.openxmlformats.org/officeDocument/2006/relationships/hyperlink" Target="https://docs.google.com/spreadsheets/d/1H1MjbG2y0oC0hhID4do1G0_gfyI1jag72lQd7nL3WDQ/edit?gid=1879792750" TargetMode="External"/><Relationship Id="rId237" Type="http://schemas.openxmlformats.org/officeDocument/2006/relationships/hyperlink" Target="https://docs.google.com/spreadsheets/d/1rbCD10ySi4YZEkJW2_Slmn9z7AI1WEsGsZaIJmnnT18/edit?gid=771281495" TargetMode="External"/><Relationship Id="rId236" Type="http://schemas.openxmlformats.org/officeDocument/2006/relationships/hyperlink" Target="https://disk.yandex.ru/client/disk/%D0%9E%D1%81%D0%BC%D0%BE%D1%82%D1%80%D1%8B%20%D0%BE%D0%B1%D1%8A%D0%B5%D0%BA%D1%82%D0%BE%D0%B2%20%D0%90%D0%9D%D0%9E%20%D0%A1%D0%9C%D0%93/667%2016-%D1%8F%20%D0%9F%D0%B0%D1%80%D0%BA%D0%BE%D0%B2%D0%B0%D1%8F%20%D0%B7%D1%83%2029%20%D0%90%20%D0%BA1%2C2%20" TargetMode="External"/><Relationship Id="rId231" Type="http://schemas.openxmlformats.org/officeDocument/2006/relationships/hyperlink" Target="https://docs.google.com/spreadsheets/d/1rbCD10ySi4YZEkJW2_Slmn9z7AI1WEsGsZaIJmnnT18/edit?gid=590835051" TargetMode="External"/><Relationship Id="rId230" Type="http://schemas.openxmlformats.org/officeDocument/2006/relationships/hyperlink" Target="https://docs.google.com/spreadsheets/d/1EI7qusa674eJhuaw-nWWtWMEHVSYMQv7HLsInEZTWpE/edit?gid=1839942165" TargetMode="External"/><Relationship Id="rId235" Type="http://schemas.openxmlformats.org/officeDocument/2006/relationships/hyperlink" Target="https://docs.google.com/spreadsheets/d/1rbCD10ySi4YZEkJW2_Slmn9z7AI1WEsGsZaIJmnnT18/edit?gid=1285905712" TargetMode="External"/><Relationship Id="rId234" Type="http://schemas.openxmlformats.org/officeDocument/2006/relationships/hyperlink" Target="https://docs.google.com/spreadsheets/d/1rbCD10ySi4YZEkJW2_Slmn9z7AI1WEsGsZaIJmnnT18/edit?gid=1340012708" TargetMode="External"/><Relationship Id="rId233" Type="http://schemas.openxmlformats.org/officeDocument/2006/relationships/hyperlink" Target="https://docs.google.com/spreadsheets/d/1rbCD10ySi4YZEkJW2_Slmn9z7AI1WEsGsZaIJmnnT18/edit?gid=667094303" TargetMode="External"/><Relationship Id="rId232" Type="http://schemas.openxmlformats.org/officeDocument/2006/relationships/hyperlink" Target="https://docs.google.com/spreadsheets/d/1H1MjbG2y0oC0hhID4do1G0_gfyI1jag72lQd7nL3WDQ/edit?gid=632665949" TargetMode="External"/><Relationship Id="rId206" Type="http://schemas.openxmlformats.org/officeDocument/2006/relationships/hyperlink" Target="https://docs.google.com/spreadsheets/d/1H1MjbG2y0oC0hhID4do1G0_gfyI1jag72lQd7nL3WDQ/edit?gid=1984564802" TargetMode="External"/><Relationship Id="rId205" Type="http://schemas.openxmlformats.org/officeDocument/2006/relationships/hyperlink" Target="https://docs.google.com/spreadsheets/d/1H1MjbG2y0oC0hhID4do1G0_gfyI1jag72lQd7nL3WDQ/edit?gid=540934155" TargetMode="External"/><Relationship Id="rId204" Type="http://schemas.openxmlformats.org/officeDocument/2006/relationships/hyperlink" Target="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 TargetMode="External"/><Relationship Id="rId203" Type="http://schemas.openxmlformats.org/officeDocument/2006/relationships/hyperlink" Target="https://docs.google.com/spreadsheets/d/1H1MjbG2y0oC0hhID4do1G0_gfyI1jag72lQd7nL3WDQ/edit?gid=471133046" TargetMode="External"/><Relationship Id="rId209" Type="http://schemas.openxmlformats.org/officeDocument/2006/relationships/hyperlink" Target="https://docs.google.com/spreadsheets/d/19THEBTE9q0fhN2eApZr6BgenIvLGh0AckaYxHQfHk5w/edit?gid=809581458" TargetMode="External"/><Relationship Id="rId208" Type="http://schemas.openxmlformats.org/officeDocument/2006/relationships/hyperlink" Target="https://docs.google.com/spreadsheets/d/1H1MjbG2y0oC0hhID4do1G0_gfyI1jag72lQd7nL3WDQ/edit?gid=833062955" TargetMode="External"/><Relationship Id="rId207" Type="http://schemas.openxmlformats.org/officeDocument/2006/relationships/hyperlink" Target="https://docs.google.com/spreadsheets/d/1H1MjbG2y0oC0hhID4do1G0_gfyI1jag72lQd7nL3WDQ/edit?gid=2107770933" TargetMode="External"/><Relationship Id="rId202" Type="http://schemas.openxmlformats.org/officeDocument/2006/relationships/hyperlink" Target="https://docs.google.com/spreadsheets/d/1rbCD10ySi4YZEkJW2_Slmn9z7AI1WEsGsZaIJmnnT18/edit?gid=1084360480" TargetMode="External"/><Relationship Id="rId201" Type="http://schemas.openxmlformats.org/officeDocument/2006/relationships/hyperlink" Target="https://docs.google.com/spreadsheets/d/1rbCD10ySi4YZEkJW2_Slmn9z7AI1WEsGsZaIJmnnT18/edit?gid=1846163124" TargetMode="External"/><Relationship Id="rId200" Type="http://schemas.openxmlformats.org/officeDocument/2006/relationships/hyperlink" Target="https://docs.google.com/spreadsheets/d/1H1MjbG2y0oC0hhID4do1G0_gfyI1jag72lQd7nL3WDQ/edit?gid=1988948543" TargetMode="External"/></Relationships>
</file>

<file path=xl/worksheets/_rels/sheet7.xml.rels><?xml version="1.0" encoding="UTF-8" standalone="yes"?><Relationships xmlns="http://schemas.openxmlformats.org/package/2006/relationships"><Relationship Id="rId181" Type="http://schemas.openxmlformats.org/officeDocument/2006/relationships/drawing" Target="../drawings/drawing7.xml"/><Relationship Id="rId180" Type="http://schemas.openxmlformats.org/officeDocument/2006/relationships/hyperlink" Target="https://docs.google.com/spreadsheets/d/19THEBTE9q0fhN2eApZr6BgenIvLGh0AckaYxHQfHk5w/edit?gid=1120669271" TargetMode="External"/><Relationship Id="rId176" Type="http://schemas.openxmlformats.org/officeDocument/2006/relationships/hyperlink" Target="https://docs.google.com/spreadsheets/d/1H1MjbG2y0oC0hhID4do1G0_gfyI1jag72lQd7nL3WDQ/edit?gid=1021209176" TargetMode="External"/><Relationship Id="rId175" Type="http://schemas.openxmlformats.org/officeDocument/2006/relationships/hyperlink" Target="https://docs.google.com/spreadsheets/d/1H1MjbG2y0oC0hhID4do1G0_gfyI1jag72lQd7nL3WDQ/edit?gid=945188652" TargetMode="External"/><Relationship Id="rId174" Type="http://schemas.openxmlformats.org/officeDocument/2006/relationships/hyperlink" Target="https://docs.google.com/spreadsheets/d/1EI7qusa674eJhuaw-nWWtWMEHVSYMQv7HLsInEZTWpE/edit?gid=338449454" TargetMode="External"/><Relationship Id="rId173" Type="http://schemas.openxmlformats.org/officeDocument/2006/relationships/hyperlink" Target="https://docs.google.com/spreadsheets/d/1EI7qusa674eJhuaw-nWWtWMEHVSYMQv7HLsInEZTWpE/edit?gid=60135188" TargetMode="External"/><Relationship Id="rId179" Type="http://schemas.openxmlformats.org/officeDocument/2006/relationships/hyperlink" Target="https://docs.google.com/spreadsheets/d/1rbCD10ySi4YZEkJW2_Slmn9z7AI1WEsGsZaIJmnnT18/edit?gid=198115662" TargetMode="External"/><Relationship Id="rId178" Type="http://schemas.openxmlformats.org/officeDocument/2006/relationships/hyperlink" Target="https://docs.google.com/spreadsheets/d/1rbCD10ySi4YZEkJW2_Slmn9z7AI1WEsGsZaIJmnnT18/edit?gid=673551977" TargetMode="External"/><Relationship Id="rId177" Type="http://schemas.openxmlformats.org/officeDocument/2006/relationships/hyperlink" Target="https://docs.google.com/spreadsheets/d/1H1MjbG2y0oC0hhID4do1G0_gfyI1jag72lQd7nL3WDQ/edit?gid=363267103" TargetMode="External"/><Relationship Id="rId150" Type="http://schemas.openxmlformats.org/officeDocument/2006/relationships/hyperlink" Target="https://docs.google.com/spreadsheets/d/1rbCD10ySi4YZEkJW2_Slmn9z7AI1WEsGsZaIJmnnT18/edit?gid=1735599010" TargetMode="External"/><Relationship Id="rId1" Type="http://schemas.openxmlformats.org/officeDocument/2006/relationships/hyperlink" Target="https://docs.google.com/spreadsheets/d/1rbCD10ySi4YZEkJW2_Slmn9z7AI1WEsGsZaIJmnnT18/edit?gid=1102875556" TargetMode="External"/><Relationship Id="rId2" Type="http://schemas.openxmlformats.org/officeDocument/2006/relationships/hyperlink" Target="https://docs.google.com/spreadsheets/d/1rbCD10ySi4YZEkJW2_Slmn9z7AI1WEsGsZaIJmnnT18/edit?gid=1509093390" TargetMode="External"/><Relationship Id="rId3" Type="http://schemas.openxmlformats.org/officeDocument/2006/relationships/hyperlink" Target="https://docs.google.com/spreadsheets/d/19THEBTE9q0fhN2eApZr6BgenIvLGh0AckaYxHQfHk5w/edit?gid=2006507373" TargetMode="External"/><Relationship Id="rId149" Type="http://schemas.openxmlformats.org/officeDocument/2006/relationships/hyperlink" Target="https://docs.google.com/spreadsheets/d/1H1MjbG2y0oC0hhID4do1G0_gfyI1jag72lQd7nL3WDQ/edit?gid=335429819" TargetMode="External"/><Relationship Id="rId4" Type="http://schemas.openxmlformats.org/officeDocument/2006/relationships/hyperlink" Target="https://disk.yandex.ru/client/disk/%D0%9E%D1%81%D0%BC%D0%BE%D1%82%D1%80%D1%8B%20%D0%BE%D0%B1%D1%8A%D0%B5%D0%BA%D1%82%D0%BE%D0%B2%20%D0%90%D0%9D%D0%9E%20%D0%A1%D0%9C%D0%93/1077.%20%D0%9A%D0%B0%D0%BD%D0%B0%D0%BB%D0%B8%D0%B7%D0%B0%D1%86%D0%B8%D0%BE%D0%BD%D0%BD%D1%8B%D0%B9%20%D0%BA%D0%BE%D0%BB%D0%BB%D0%B5%D0%BA%D1%82%D0%BE%D1%80%20%D0%9A%D0%9D%D0%A1-%D0%A231%20%D0%B8%20%D0%9A%D0%9D%D0%A1-27.%20II%20%D1%8D%D1%82%D0%B0%D0%BF.%20%D0%A0%D0%B5%D0%BA%D0%BE%D0%BD%D1%81%D1%82%D1%80%D1%83%D0%BA%D1%86%D0%B8%D1%8F" TargetMode="External"/><Relationship Id="rId148" Type="http://schemas.openxmlformats.org/officeDocument/2006/relationships/hyperlink" Target="https://docs.google.com/spreadsheets/d/1EI7qusa674eJhuaw-nWWtWMEHVSYMQv7HLsInEZTWpE/edit?gid=1593340955" TargetMode="External"/><Relationship Id="rId9" Type="http://schemas.openxmlformats.org/officeDocument/2006/relationships/hyperlink" Target="https://docs.google.com/spreadsheets/d/1H1MjbG2y0oC0hhID4do1G0_gfyI1jag72lQd7nL3WDQ/edit?gid=444310098" TargetMode="External"/><Relationship Id="rId143" Type="http://schemas.openxmlformats.org/officeDocument/2006/relationships/hyperlink" Target="https://docs.google.com/spreadsheets/d/1H1MjbG2y0oC0hhID4do1G0_gfyI1jag72lQd7nL3WDQ/edit?gid=17563487" TargetMode="External"/><Relationship Id="rId142" Type="http://schemas.openxmlformats.org/officeDocument/2006/relationships/hyperlink" Target="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 TargetMode="External"/><Relationship Id="rId141" Type="http://schemas.openxmlformats.org/officeDocument/2006/relationships/hyperlink" Target="https://docs.google.com/spreadsheets/d/19THEBTE9q0fhN2eApZr6BgenIvLGh0AckaYxHQfHk5w/edit?gid=1430585638" TargetMode="External"/><Relationship Id="rId140" Type="http://schemas.openxmlformats.org/officeDocument/2006/relationships/hyperlink" Target="https://docs.google.com/spreadsheets/d/1H1MjbG2y0oC0hhID4do1G0_gfyI1jag72lQd7nL3WDQ/edit?gid=1870096044" TargetMode="External"/><Relationship Id="rId5" Type="http://schemas.openxmlformats.org/officeDocument/2006/relationships/hyperlink" Target="https://docs.google.com/spreadsheets/d/1H1MjbG2y0oC0hhID4do1G0_gfyI1jag72lQd7nL3WDQ/edit?gid=1354888420" TargetMode="External"/><Relationship Id="rId147" Type="http://schemas.openxmlformats.org/officeDocument/2006/relationships/hyperlink" Target="https://docs.google.com/spreadsheets/d/1H1MjbG2y0oC0hhID4do1G0_gfyI1jag72lQd7nL3WDQ/edit?gid=1609263203" TargetMode="External"/><Relationship Id="rId6" Type="http://schemas.openxmlformats.org/officeDocument/2006/relationships/hyperlink" Target="https://docs.google.com/spreadsheets/d/19THEBTE9q0fhN2eApZr6BgenIvLGh0AckaYxHQfHk5w/edit?gid=1318424610" TargetMode="External"/><Relationship Id="rId146" Type="http://schemas.openxmlformats.org/officeDocument/2006/relationships/hyperlink" Target="https://docs.google.com/spreadsheets/d/19THEBTE9q0fhN2eApZr6BgenIvLGh0AckaYxHQfHk5w/edit?gid=908346785" TargetMode="External"/><Relationship Id="rId7" Type="http://schemas.openxmlformats.org/officeDocument/2006/relationships/hyperlink" Target="https://disk.yandex.ru/client/disk/%D0%9E%D1%81%D0%BC%D0%BE%D1%82%D1%80%D1%8B%20%D0%BE%D0%B1%D1%8A%D0%B5%D0%BA%D1%82%D0%BE%D0%B2%20%D0%90%D0%9D%D0%9E%20%D0%A1%D0%9C%D0%93/289.%206-%D1%8F%20%D0%A0%D0%B0%D0%B4%D0%B8%D0%B0%D0%BB%D1%8C%D0%BD%D0%B0%D1%8F%2C%20%D0%B2%D0%BB%D0%B4.%207%2C%20%D1%83%D1%87%D0%B0%D1%81%D1%82%D0%BE%D0%BA%2020.%20%D0%A8%D0%BA%D0%BE%D0%BB%D0%B0%20%D0%BD%D0%B0%20825%20%D0%BC%D0%B5%D1%81%D1%82" TargetMode="External"/><Relationship Id="rId145" Type="http://schemas.openxmlformats.org/officeDocument/2006/relationships/hyperlink" Target="https://docs.google.com/spreadsheets/d/1rbCD10ySi4YZEkJW2_Slmn9z7AI1WEsGsZaIJmnnT18/edit?gid=1455966079" TargetMode="External"/><Relationship Id="rId8" Type="http://schemas.openxmlformats.org/officeDocument/2006/relationships/hyperlink" Target="https://docs.google.com/spreadsheets/d/1rbCD10ySi4YZEkJW2_Slmn9z7AI1WEsGsZaIJmnnT18/edit?gid=1071202217" TargetMode="External"/><Relationship Id="rId144" Type="http://schemas.openxmlformats.org/officeDocument/2006/relationships/hyperlink" Target="https://docs.google.com/spreadsheets/d/1H1MjbG2y0oC0hhID4do1G0_gfyI1jag72lQd7nL3WDQ/edit?gid=1916178969" TargetMode="External"/><Relationship Id="rId139" Type="http://schemas.openxmlformats.org/officeDocument/2006/relationships/hyperlink" Target="https://disk.yandex.ru/d/BmVvbN_-KVryzA" TargetMode="External"/><Relationship Id="rId138" Type="http://schemas.openxmlformats.org/officeDocument/2006/relationships/hyperlink" Target="https://docs.google.com/spreadsheets/d/1EI7qusa674eJhuaw-nWWtWMEHVSYMQv7HLsInEZTWpE/edit?gid=1944955293" TargetMode="External"/><Relationship Id="rId137" Type="http://schemas.openxmlformats.org/officeDocument/2006/relationships/hyperlink" Target="https://docs.google.com/spreadsheets/d/1H1MjbG2y0oC0hhID4do1G0_gfyI1jag72lQd7nL3WDQ/edit?gid=1426054658" TargetMode="External"/><Relationship Id="rId132" Type="http://schemas.openxmlformats.org/officeDocument/2006/relationships/hyperlink" Target="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 TargetMode="External"/><Relationship Id="rId131" Type="http://schemas.openxmlformats.org/officeDocument/2006/relationships/hyperlink" Target="https://docs.google.com/spreadsheets/d/1EI7qusa674eJhuaw-nWWtWMEHVSYMQv7HLsInEZTWpE/edit?gid=189831964" TargetMode="External"/><Relationship Id="rId130" Type="http://schemas.openxmlformats.org/officeDocument/2006/relationships/hyperlink" Target="https://docs.google.com/spreadsheets/d/19THEBTE9q0fhN2eApZr6BgenIvLGh0AckaYxHQfHk5w/edit?gid=1314726953" TargetMode="External"/><Relationship Id="rId136" Type="http://schemas.openxmlformats.org/officeDocument/2006/relationships/hyperlink" Target="https://docs.google.com/spreadsheets/d/1H1MjbG2y0oC0hhID4do1G0_gfyI1jag72lQd7nL3WDQ/edit?gid=1648385259" TargetMode="External"/><Relationship Id="rId135" Type="http://schemas.openxmlformats.org/officeDocument/2006/relationships/hyperlink" Target="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 TargetMode="External"/><Relationship Id="rId134" Type="http://schemas.openxmlformats.org/officeDocument/2006/relationships/hyperlink" Target="https://docs.google.com/spreadsheets/d/1EI7qusa674eJhuaw-nWWtWMEHVSYMQv7HLsInEZTWpE/edit?gid=1745739766" TargetMode="External"/><Relationship Id="rId133" Type="http://schemas.openxmlformats.org/officeDocument/2006/relationships/hyperlink" Target="https://docs.google.com/spreadsheets/d/1H1MjbG2y0oC0hhID4do1G0_gfyI1jag72lQd7nL3WDQ/edit?gid=1715541541" TargetMode="External"/><Relationship Id="rId172" Type="http://schemas.openxmlformats.org/officeDocument/2006/relationships/hyperlink" Target="https://docs.google.com/spreadsheets/d/1EI7qusa674eJhuaw-nWWtWMEHVSYMQv7HLsInEZTWpE/edit?gid=44399105" TargetMode="External"/><Relationship Id="rId171" Type="http://schemas.openxmlformats.org/officeDocument/2006/relationships/hyperlink" Target="https://docs.google.com/spreadsheets/d/1EI7qusa674eJhuaw-nWWtWMEHVSYMQv7HLsInEZTWpE/edit?gid=930912850" TargetMode="External"/><Relationship Id="rId170" Type="http://schemas.openxmlformats.org/officeDocument/2006/relationships/hyperlink" Target="https://docs.google.com/spreadsheets/d/19THEBTE9q0fhN2eApZr6BgenIvLGh0AckaYxHQfHk5w/edit?gid=955409547" TargetMode="External"/><Relationship Id="rId165" Type="http://schemas.openxmlformats.org/officeDocument/2006/relationships/hyperlink" Target="https://docs.google.com/spreadsheets/d/19THEBTE9q0fhN2eApZr6BgenIvLGh0AckaYxHQfHk5w/edit?gid=1666294966" TargetMode="External"/><Relationship Id="rId164" Type="http://schemas.openxmlformats.org/officeDocument/2006/relationships/hyperlink" Target="https://docs.google.com/spreadsheets/d/1H1MjbG2y0oC0hhID4do1G0_gfyI1jag72lQd7nL3WDQ/edit?gid=964974032" TargetMode="External"/><Relationship Id="rId163" Type="http://schemas.openxmlformats.org/officeDocument/2006/relationships/hyperlink" Target="https://disk.yandex.ru/d/88XgQg4nvRX-Fg" TargetMode="External"/><Relationship Id="rId162" Type="http://schemas.openxmlformats.org/officeDocument/2006/relationships/hyperlink" Target="https://docs.google.com/spreadsheets/d/1EI7qusa674eJhuaw-nWWtWMEHVSYMQv7HLsInEZTWpE/edit?gid=2011623621" TargetMode="External"/><Relationship Id="rId169" Type="http://schemas.openxmlformats.org/officeDocument/2006/relationships/hyperlink" Target="https://docs.google.com/spreadsheets/d/1EI7qusa674eJhuaw-nWWtWMEHVSYMQv7HLsInEZTWpE/edit?gid=413594252" TargetMode="External"/><Relationship Id="rId168" Type="http://schemas.openxmlformats.org/officeDocument/2006/relationships/hyperlink" Target="https://docs.google.com/spreadsheets/d/19THEBTE9q0fhN2eApZr6BgenIvLGh0AckaYxHQfHk5w/edit?gid=48405114" TargetMode="External"/><Relationship Id="rId167" Type="http://schemas.openxmlformats.org/officeDocument/2006/relationships/hyperlink" Target="https://docs.google.com/spreadsheets/d/19THEBTE9q0fhN2eApZr6BgenIvLGh0AckaYxHQfHk5w/edit?gid=987830810" TargetMode="External"/><Relationship Id="rId166" Type="http://schemas.openxmlformats.org/officeDocument/2006/relationships/hyperlink" Target="https://docs.google.com/spreadsheets/d/19THEBTE9q0fhN2eApZr6BgenIvLGh0AckaYxHQfHk5w/edit?gid=444385228" TargetMode="External"/><Relationship Id="rId161" Type="http://schemas.openxmlformats.org/officeDocument/2006/relationships/hyperlink" Target="https://docs.google.com/spreadsheets/d/1EI7qusa674eJhuaw-nWWtWMEHVSYMQv7HLsInEZTWpE/edit?gid=701601389" TargetMode="External"/><Relationship Id="rId160" Type="http://schemas.openxmlformats.org/officeDocument/2006/relationships/hyperlink" Target="https://docs.google.com/spreadsheets/d/19THEBTE9q0fhN2eApZr6BgenIvLGh0AckaYxHQfHk5w/edit?gid=570396026" TargetMode="External"/><Relationship Id="rId159" Type="http://schemas.openxmlformats.org/officeDocument/2006/relationships/hyperlink" Target="https://docs.google.com/spreadsheets/d/19THEBTE9q0fhN2eApZr6BgenIvLGh0AckaYxHQfHk5w/edit?gid=1377920249" TargetMode="External"/><Relationship Id="rId154" Type="http://schemas.openxmlformats.org/officeDocument/2006/relationships/hyperlink" Target="https://docs.google.com/spreadsheets/d/1H1MjbG2y0oC0hhID4do1G0_gfyI1jag72lQd7nL3WDQ/edit?gid=763040175" TargetMode="External"/><Relationship Id="rId153" Type="http://schemas.openxmlformats.org/officeDocument/2006/relationships/hyperlink" Target="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 TargetMode="External"/><Relationship Id="rId152" Type="http://schemas.openxmlformats.org/officeDocument/2006/relationships/hyperlink" Target="https://docs.google.com/spreadsheets/d/19THEBTE9q0fhN2eApZr6BgenIvLGh0AckaYxHQfHk5w/edit?gid=2132720371" TargetMode="External"/><Relationship Id="rId151" Type="http://schemas.openxmlformats.org/officeDocument/2006/relationships/hyperlink" Target="https://docs.google.com/spreadsheets/d/1rbCD10ySi4YZEkJW2_Slmn9z7AI1WEsGsZaIJmnnT18/edit?gid=1504466944" TargetMode="External"/><Relationship Id="rId158" Type="http://schemas.openxmlformats.org/officeDocument/2006/relationships/hyperlink" Target="https://docs.google.com/spreadsheets/d/19THEBTE9q0fhN2eApZr6BgenIvLGh0AckaYxHQfHk5w/edit?gid=2126809757" TargetMode="External"/><Relationship Id="rId157" Type="http://schemas.openxmlformats.org/officeDocument/2006/relationships/hyperlink" Target="https://docs.google.com/spreadsheets/d/19THEBTE9q0fhN2eApZr6BgenIvLGh0AckaYxHQfHk5w/edit?gid=1728236412" TargetMode="External"/><Relationship Id="rId156" Type="http://schemas.openxmlformats.org/officeDocument/2006/relationships/hyperlink" Target="https://disk.yandex.ru/client/disk/%D0%9E%D1%81%D0%BC%D0%BE%D1%82%D1%80%D1%8B%20%D0%BE%D0%B1%D1%8A%D0%B5%D0%BA%D1%82%D0%BE%D0%B2%20%D0%90%D0%9D%D0%9E%20%D0%A1%D0%9C%D0%93/288.%206-%D1%8F%20%D0%A0%D0%B0%D0%B4%D0%B8%D0%B0%D0%BB%D1%8C%D0%BD%D0%B0%D1%8F%20%D0%B2%D0%BB%D0%B4.7%20%D1%83%D1%87%D0%B0%D1%81%D1%82%D0%BE%D0%BA%2018%20%D0%A8%D0%BA%D0%BE%D0%BB%D0%B0%20%D0%BD%D0%B0%20825%20%D0%BC%D0%B5%D1%81%D1%82" TargetMode="External"/><Relationship Id="rId155" Type="http://schemas.openxmlformats.org/officeDocument/2006/relationships/hyperlink" Target="https://docs.google.com/spreadsheets/d/19THEBTE9q0fhN2eApZr6BgenIvLGh0AckaYxHQfHk5w/edit?gid=1865118876" TargetMode="External"/><Relationship Id="rId40" Type="http://schemas.openxmlformats.org/officeDocument/2006/relationships/hyperlink" Target="https://docs.google.com/spreadsheets/d/1rbCD10ySi4YZEkJW2_Slmn9z7AI1WEsGsZaIJmnnT18/edit?gid=252316906" TargetMode="External"/><Relationship Id="rId42" Type="http://schemas.openxmlformats.org/officeDocument/2006/relationships/hyperlink" Target="https://docs.google.com/spreadsheets/d/1H1MjbG2y0oC0hhID4do1G0_gfyI1jag72lQd7nL3WDQ/edit?gid=1835376342" TargetMode="External"/><Relationship Id="rId41" Type="http://schemas.openxmlformats.org/officeDocument/2006/relationships/hyperlink" Target="https://docs.google.com/spreadsheets/d/1rbCD10ySi4YZEkJW2_Slmn9z7AI1WEsGsZaIJmnnT18/edit?gid=1315766169" TargetMode="External"/><Relationship Id="rId44" Type="http://schemas.openxmlformats.org/officeDocument/2006/relationships/hyperlink" Target="https://docs.google.com/spreadsheets/d/1rbCD10ySi4YZEkJW2_Slmn9z7AI1WEsGsZaIJmnnT18/edit?gid=1380549667" TargetMode="External"/><Relationship Id="rId43" Type="http://schemas.openxmlformats.org/officeDocument/2006/relationships/hyperlink" Target="https://docs.google.com/spreadsheets/d/1rbCD10ySi4YZEkJW2_Slmn9z7AI1WEsGsZaIJmnnT18/edit?gid=314292055" TargetMode="External"/><Relationship Id="rId46" Type="http://schemas.openxmlformats.org/officeDocument/2006/relationships/hyperlink" Target="https://docs.google.com/spreadsheets/d/1rbCD10ySi4YZEkJW2_Slmn9z7AI1WEsGsZaIJmnnT18/edit?gid=590835051" TargetMode="External"/><Relationship Id="rId45" Type="http://schemas.openxmlformats.org/officeDocument/2006/relationships/hyperlink" Target="https://docs.google.com/spreadsheets/d/1rbCD10ySi4YZEkJW2_Slmn9z7AI1WEsGsZaIJmnnT18/edit?gid=830671407" TargetMode="External"/><Relationship Id="rId48" Type="http://schemas.openxmlformats.org/officeDocument/2006/relationships/hyperlink" Target="https://docs.google.com/spreadsheets/d/1rbCD10ySi4YZEkJW2_Slmn9z7AI1WEsGsZaIJmnnT18/edit?gid=1127542232" TargetMode="External"/><Relationship Id="rId47" Type="http://schemas.openxmlformats.org/officeDocument/2006/relationships/hyperlink" Target="https://docs.google.com/spreadsheets/d/1rbCD10ySi4YZEkJW2_Slmn9z7AI1WEsGsZaIJmnnT18/edit?gid=1589688669" TargetMode="External"/><Relationship Id="rId49" Type="http://schemas.openxmlformats.org/officeDocument/2006/relationships/hyperlink" Target="https://docs.google.com/spreadsheets/d/1rbCD10ySi4YZEkJW2_Slmn9z7AI1WEsGsZaIJmnnT18/edit?gid=1161001794" TargetMode="External"/><Relationship Id="rId31" Type="http://schemas.openxmlformats.org/officeDocument/2006/relationships/hyperlink" Target="https://docs.google.com/spreadsheets/d/1rbCD10ySi4YZEkJW2_Slmn9z7AI1WEsGsZaIJmnnT18/edit?gid=187611865" TargetMode="External"/><Relationship Id="rId30" Type="http://schemas.openxmlformats.org/officeDocument/2006/relationships/hyperlink" Target="https://docs.google.com/spreadsheets/d/1rbCD10ySi4YZEkJW2_Slmn9z7AI1WEsGsZaIJmnnT18/edit?gid=1340012708" TargetMode="External"/><Relationship Id="rId33" Type="http://schemas.openxmlformats.org/officeDocument/2006/relationships/hyperlink" Target="https://docs.google.com/spreadsheets/d/1rbCD10ySi4YZEkJW2_Slmn9z7AI1WEsGsZaIJmnnT18/edit?gid=771281495" TargetMode="External"/><Relationship Id="rId32" Type="http://schemas.openxmlformats.org/officeDocument/2006/relationships/hyperlink" Target="https://disk.yandex.ru/client/disk/%D0%9E%D1%81%D0%BC%D0%BE%D1%82%D1%80%D1%8B%20%D0%BE%D0%B1%D1%8A%D0%B5%D0%BA%D1%82%D0%BE%D0%B2%20%D0%90%D0%9D%D0%9E%20%D0%A1%D0%9C%D0%93/847.%203-%D1%8F%20%D0%9F%D1%80%D1%8F%D0%B4%D0%B8%D0%BB%D1%8C%D0%BD%D0%B0%D1%8F%20%D1%83%D0%BB.%2C%20%D0%B7%D1%83%201" TargetMode="External"/><Relationship Id="rId35" Type="http://schemas.openxmlformats.org/officeDocument/2006/relationships/hyperlink" Target="https://docs.google.com/spreadsheets/d/1H1MjbG2y0oC0hhID4do1G0_gfyI1jag72lQd7nL3WDQ/edit?gid=1791563527" TargetMode="External"/><Relationship Id="rId34" Type="http://schemas.openxmlformats.org/officeDocument/2006/relationships/hyperlink" Target="https://docs.google.com/spreadsheets/d/1H1MjbG2y0oC0hhID4do1G0_gfyI1jag72lQd7nL3WDQ/edit?gid=1943197822" TargetMode="External"/><Relationship Id="rId37" Type="http://schemas.openxmlformats.org/officeDocument/2006/relationships/hyperlink" Target="https://docs.google.com/spreadsheets/d/19THEBTE9q0fhN2eApZr6BgenIvLGh0AckaYxHQfHk5w/edit?gid=1404088730" TargetMode="External"/><Relationship Id="rId36" Type="http://schemas.openxmlformats.org/officeDocument/2006/relationships/hyperlink" Target="https://docs.google.com/spreadsheets/d/1rbCD10ySi4YZEkJW2_Slmn9z7AI1WEsGsZaIJmnnT18/edit?gid=387655725" TargetMode="External"/><Relationship Id="rId39" Type="http://schemas.openxmlformats.org/officeDocument/2006/relationships/hyperlink" Target="https://docs.google.com/spreadsheets/d/1rbCD10ySi4YZEkJW2_Slmn9z7AI1WEsGsZaIJmnnT18/edit?gid=1009116353" TargetMode="External"/><Relationship Id="rId38" Type="http://schemas.openxmlformats.org/officeDocument/2006/relationships/hyperlink" Target="https://disk.yandex.ru/client/disk/%D0%9E%D1%81%D0%BC%D0%BE%D1%82%D1%80%D1%8B%20%D0%BE%D0%B1%D1%8A%D0%B5%D0%BA%D1%82%D0%BE%D0%B2%20%D0%90%D0%9D%D0%9E%20%D0%A1%D0%9C%D0%93/258.%20%D0%A1%D0%90%D0%9E%2C%20%D1%83%D0%BB.%20%D0%90%D1%81%D1%82%D1%80%D0%B0%D0%B4%D0%B0%D0%BC%D1%81%D0%BA%D0%B0%D1%8F%2C%20%D0%B4.%2015%2C%20%D0%BA.%202%20%D0%94%D0%9E%D0%A3%20150%20%D0%BC%D0%B5%D1%81%D1%82" TargetMode="External"/><Relationship Id="rId20" Type="http://schemas.openxmlformats.org/officeDocument/2006/relationships/hyperlink" Target="https://docs.google.com/spreadsheets/d/1rbCD10ySi4YZEkJW2_Slmn9z7AI1WEsGsZaIJmnnT18/edit?gid=1455430518" TargetMode="External"/><Relationship Id="rId22" Type="http://schemas.openxmlformats.org/officeDocument/2006/relationships/hyperlink" Target="https://disk.yandex.ru/d/URXW-XqAO1EmSQ" TargetMode="External"/><Relationship Id="rId21" Type="http://schemas.openxmlformats.org/officeDocument/2006/relationships/hyperlink" Target="https://docs.google.com/spreadsheets/d/19THEBTE9q0fhN2eApZr6BgenIvLGh0AckaYxHQfHk5w/edit?gid=363363152" TargetMode="External"/><Relationship Id="rId24" Type="http://schemas.openxmlformats.org/officeDocument/2006/relationships/hyperlink" Target="https://disk.yandex.ru/client/disk/%D0%9E%D1%81%D0%BC%D0%BE%D1%82%D1%80%D1%8B%20%D0%BE%D0%B1%D1%8A%D0%B5%D0%BA%D1%82%D0%BE%D0%B2%20%D0%90%D0%9D%D0%9E%20%D0%A1%D0%9C%D0%93/1078.%20%D0%9A%D0%B0%D0%BD%D0%B0%D0%BB%D0%B8%D0%B7%D0%B0%D1%86%D0%B8%D0%BE%D0%BD%D0%BD%D1%8B%D0%B9%20%D0%BA%D0%BE%D0%BB%D0%BB%D0%B5%D0%BA%D1%82%D0%BE%D1%80%20%D0%9A%D0%9D%D0%A1-%D0%A231%20%D0%B8%20%D0%9A%D0%9D%D0%A1-27.%20IV%20%D1%8D%D1%82%D0%B0%D0%BF.%20%D0%A0%D0%B5%D0%BA%D0%BE%D0%BD%D1%81%D1%82%D1%80%D1%83%D0%BA%D1%86%D0%B8%D1%8F" TargetMode="External"/><Relationship Id="rId23" Type="http://schemas.openxmlformats.org/officeDocument/2006/relationships/hyperlink" Target="https://docs.google.com/spreadsheets/d/19THEBTE9q0fhN2eApZr6BgenIvLGh0AckaYxHQfHk5w/edit?gid=1232103407" TargetMode="External"/><Relationship Id="rId26" Type="http://schemas.openxmlformats.org/officeDocument/2006/relationships/hyperlink" Target="https://docs.google.com/spreadsheets/d/1rbCD10ySi4YZEkJW2_Slmn9z7AI1WEsGsZaIJmnnT18/edit?gid=1734112233" TargetMode="External"/><Relationship Id="rId25" Type="http://schemas.openxmlformats.org/officeDocument/2006/relationships/hyperlink" Target="https://docs.google.com/spreadsheets/d/1H1MjbG2y0oC0hhID4do1G0_gfyI1jag72lQd7nL3WDQ/edit?gid=257429727" TargetMode="External"/><Relationship Id="rId28" Type="http://schemas.openxmlformats.org/officeDocument/2006/relationships/hyperlink" Target="https://docs.google.com/spreadsheets/d/1H1MjbG2y0oC0hhID4do1G0_gfyI1jag72lQd7nL3WDQ/edit?gid=984031511" TargetMode="External"/><Relationship Id="rId27" Type="http://schemas.openxmlformats.org/officeDocument/2006/relationships/hyperlink" Target="https://disk.yandex.ru/client/disk/%D0%9E%D1%81%D0%BC%D0%BE%D1%82%D1%80%D1%8B%20%D0%BE%D0%B1%D1%8A%D0%B5%D0%BA%D1%82%D0%BE%D0%B2%20%D0%90%D0%9D%D0%9E%20%D0%A1%D0%9C%D0%93/789.%20%D1%83%D0%BB%20%D0%9D%D0%B8%D0%BA%D0%B8%D1%82%D0%B8%D0%BD%D1%81%D0%BA%D0%B0%D1%8F%20%D0%B2%D0%BB%2015%20" TargetMode="External"/><Relationship Id="rId29" Type="http://schemas.openxmlformats.org/officeDocument/2006/relationships/hyperlink" Target="https://docs.google.com/spreadsheets/d/1rbCD10ySi4YZEkJW2_Slmn9z7AI1WEsGsZaIJmnnT18/edit?gid=811633138" TargetMode="External"/><Relationship Id="rId11" Type="http://schemas.openxmlformats.org/officeDocument/2006/relationships/hyperlink" Target="https://docs.google.com/spreadsheets/d/1H1MjbG2y0oC0hhID4do1G0_gfyI1jag72lQd7nL3WDQ/edit?gid=833062955" TargetMode="External"/><Relationship Id="rId10" Type="http://schemas.openxmlformats.org/officeDocument/2006/relationships/hyperlink" Target="https://docs.google.com/spreadsheets/d/1H1MjbG2y0oC0hhID4do1G0_gfyI1jag72lQd7nL3WDQ/edit?gid=55726116" TargetMode="External"/><Relationship Id="rId13" Type="http://schemas.openxmlformats.org/officeDocument/2006/relationships/hyperlink" Target="https://docs.google.com/spreadsheets/d/19THEBTE9q0fhN2eApZr6BgenIvLGh0AckaYxHQfHk5w/edit?gid=920768533" TargetMode="External"/><Relationship Id="rId12" Type="http://schemas.openxmlformats.org/officeDocument/2006/relationships/hyperlink" Target="https://docs.google.com/spreadsheets/d/1H1MjbG2y0oC0hhID4do1G0_gfyI1jag72lQd7nL3WDQ/edit?gid=249071120" TargetMode="External"/><Relationship Id="rId15" Type="http://schemas.openxmlformats.org/officeDocument/2006/relationships/hyperlink" Target="https://docs.google.com/spreadsheets/d/1H1MjbG2y0oC0hhID4do1G0_gfyI1jag72lQd7nL3WDQ/edit?gid=328082788" TargetMode="External"/><Relationship Id="rId14" Type="http://schemas.openxmlformats.org/officeDocument/2006/relationships/hyperlink" Target="https://disk.yandex.ru/client/disk/%D0%9E%D1%81%D0%BC%D0%BE%D1%82%D1%80%D1%8B%20%D0%BE%D0%B1%D1%8A%D0%B5%D0%BA%D1%82%D0%BE%D0%B2%20%D0%90%D0%9D%D0%9E%20%D0%A1%D0%9C%D0%93/236.%20%D0%BF%D1%80-%D1%82%20%D0%92%D0%B5%D1%80%D0%BD%D0%B0%D0%B4%D1%81%D0%BA%D0%BE%D0%B3%D0%BE%2012%D0%B1%20%D0%96%D0%B8%D0%BB%D0%B0%D1%8F%20%D0%B7%D0%B0%D1%81%D1%82%D1%80%D0%BE%D0%B9%D0%BA%D0%B0%20%D0%9A%D0%BE%D1%80%D0%BF.6-9" TargetMode="External"/><Relationship Id="rId17" Type="http://schemas.openxmlformats.org/officeDocument/2006/relationships/hyperlink" Target="https://disk.yandex.ru/client/disk/%D0%9E%D1%81%D0%BC%D0%BE%D1%82%D1%80%D1%8B%20%D0%BE%D0%B1%D1%8A%D0%B5%D0%BA%D1%82%D0%BE%D0%B2%20%D0%90%D0%9D%D0%9E%20%D0%A1%D0%9C%D0%93/248.%206-%D1%8F%20%D0%A0%D0%B0%D0%B4%D0%B8%D0%B0%D0%BB%D1%8C%D0%BD%D0%B0%D1%8F%20%D1%83%D0%BB.%2C%20%D0%B2%D0%BB%D0%B4.7%2C%20%D1%83%D1%87%D0%B0%D1%81%D1%82%D0%BE%D0%BA%2021.%20%D0%94%D0%9E%D0%A3%20%D0%BD%D0%B0%20320%20%D0%BC%D0%B5%D1%81%D1%82" TargetMode="External"/><Relationship Id="rId16" Type="http://schemas.openxmlformats.org/officeDocument/2006/relationships/hyperlink" Target="https://docs.google.com/spreadsheets/d/19THEBTE9q0fhN2eApZr6BgenIvLGh0AckaYxHQfHk5w/edit?gid=894458513" TargetMode="External"/><Relationship Id="rId19" Type="http://schemas.openxmlformats.org/officeDocument/2006/relationships/hyperlink" Target="https://docs.google.com/spreadsheets/d/1H1MjbG2y0oC0hhID4do1G0_gfyI1jag72lQd7nL3WDQ/edit?gid=1202640333" TargetMode="External"/><Relationship Id="rId18" Type="http://schemas.openxmlformats.org/officeDocument/2006/relationships/hyperlink" Target="https://docs.google.com/spreadsheets/d/1H1MjbG2y0oC0hhID4do1G0_gfyI1jag72lQd7nL3WDQ/edit?gid=1180712542" TargetMode="External"/><Relationship Id="rId84" Type="http://schemas.openxmlformats.org/officeDocument/2006/relationships/hyperlink" Target="https://docs.google.com/spreadsheets/d/1rbCD10ySi4YZEkJW2_Slmn9z7AI1WEsGsZaIJmnnT18/edit?gid=2096121583" TargetMode="External"/><Relationship Id="rId83" Type="http://schemas.openxmlformats.org/officeDocument/2006/relationships/hyperlink" Target="https://docs.google.com/spreadsheets/d/19THEBTE9q0fhN2eApZr6BgenIvLGh0AckaYxHQfHk5w/edit?gid=1849856896" TargetMode="External"/><Relationship Id="rId86" Type="http://schemas.openxmlformats.org/officeDocument/2006/relationships/hyperlink" Target="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 TargetMode="External"/><Relationship Id="rId85" Type="http://schemas.openxmlformats.org/officeDocument/2006/relationships/hyperlink" Target="https://docs.google.com/spreadsheets/d/19THEBTE9q0fhN2eApZr6BgenIvLGh0AckaYxHQfHk5w/edit?gid=310058684" TargetMode="External"/><Relationship Id="rId88" Type="http://schemas.openxmlformats.org/officeDocument/2006/relationships/hyperlink" Target="https://docs.google.com/spreadsheets/d/1EI7qusa674eJhuaw-nWWtWMEHVSYMQv7HLsInEZTWpE/edit?gid=1656513014" TargetMode="External"/><Relationship Id="rId87" Type="http://schemas.openxmlformats.org/officeDocument/2006/relationships/hyperlink" Target="https://docs.google.com/spreadsheets/d/1EI7qusa674eJhuaw-nWWtWMEHVSYMQv7HLsInEZTWpE/edit?gid=1721100499" TargetMode="External"/><Relationship Id="rId89" Type="http://schemas.openxmlformats.org/officeDocument/2006/relationships/hyperlink" Target="https://docs.google.com/spreadsheets/d/19THEBTE9q0fhN2eApZr6BgenIvLGh0AckaYxHQfHk5w/edit?gid=1995746861" TargetMode="External"/><Relationship Id="rId80" Type="http://schemas.openxmlformats.org/officeDocument/2006/relationships/hyperlink" Target="https://docs.google.com/spreadsheets/d/1H1MjbG2y0oC0hhID4do1G0_gfyI1jag72lQd7nL3WDQ/edit?gid=1578036964" TargetMode="External"/><Relationship Id="rId82" Type="http://schemas.openxmlformats.org/officeDocument/2006/relationships/hyperlink" Target="https://docs.google.com/spreadsheets/d/19THEBTE9q0fhN2eApZr6BgenIvLGh0AckaYxHQfHk5w/edit?gid=1645222765" TargetMode="External"/><Relationship Id="rId81" Type="http://schemas.openxmlformats.org/officeDocument/2006/relationships/hyperlink" Target="https://docs.google.com/spreadsheets/d/1rbCD10ySi4YZEkJW2_Slmn9z7AI1WEsGsZaIJmnnT18/edit?gid=1242332740" TargetMode="External"/><Relationship Id="rId73" Type="http://schemas.openxmlformats.org/officeDocument/2006/relationships/hyperlink" Target="https://docs.google.com/spreadsheets/d/19THEBTE9q0fhN2eApZr6BgenIvLGh0AckaYxHQfHk5w/edit?gid=1127401829" TargetMode="External"/><Relationship Id="rId72" Type="http://schemas.openxmlformats.org/officeDocument/2006/relationships/hyperlink" Target="https://docs.google.com/spreadsheets/d/1rbCD10ySi4YZEkJW2_Slmn9z7AI1WEsGsZaIJmnnT18/edit?gid=900983135" TargetMode="External"/><Relationship Id="rId75" Type="http://schemas.openxmlformats.org/officeDocument/2006/relationships/hyperlink" Target="https://docs.google.com/spreadsheets/d/19THEBTE9q0fhN2eApZr6BgenIvLGh0AckaYxHQfHk5w/edit?gid=1529981182" TargetMode="External"/><Relationship Id="rId74" Type="http://schemas.openxmlformats.org/officeDocument/2006/relationships/hyperlink" Target="https://disk.yandex.ru/client/disk/%D0%9E%D1%81%D0%BC%D0%BE%D1%82%D1%80%D1%8B%20%D0%BE%D0%B1%D1%8A%D0%B5%D0%BA%D1%82%D0%BE%D0%B2%20%D0%90%D0%9D%D0%9E%20%D0%A1%D0%9C%D0%93/016.%20%D0%9F%D1%82%D0%B8%D1%87%D0%BD%D0%BE%D0%B5%20%D0%BF%D0%BE%D0%BB%D0%B8%D0%BA%D0%BB%D0%B8%D0%BD%D0%B8%D0%BA%D0%B0%20750" TargetMode="External"/><Relationship Id="rId77" Type="http://schemas.openxmlformats.org/officeDocument/2006/relationships/hyperlink" Target="https://docs.google.com/spreadsheets/d/1H1MjbG2y0oC0hhID4do1G0_gfyI1jag72lQd7nL3WDQ/edit?gid=1390124130" TargetMode="External"/><Relationship Id="rId76" Type="http://schemas.openxmlformats.org/officeDocument/2006/relationships/hyperlink" Target="https://disk.yandex.ru/client/disk/%D0%9E%D1%81%D0%BC%D0%BE%D1%82%D1%80%D1%8B%20%D0%BE%D0%B1%D1%8A%D0%B5%D0%BA%D1%82%D0%BE%D0%B2%20%D0%90%D0%9D%D0%9E%20%D0%A1%D0%9C%D0%93/1183.%20%D0%A1%D1%82%D1%80%D0%BE%D0%B8%D1%82%D0%B5%D0%BB%D1%8C%D1%81%D1%82%D0%B2%D0%BE%20%D1%81%D0%B5%D1%82%D0%B5%D0%B9%20%D0%BA%D0%B0%D0%BD%D0%B0%D0%BB%D0%B8%D0%B7%D0%B0%D1%86%D0%B8%D0%B8.%20%D0%9E%D1%81%D1%82%D0%B0%D1%84%D1%8C%D0%B5%D0%B2%D0%BE%202%20%D1%8D%D1%82%D0%B0%D0%BF%20%D0%9A%D0%9D%D0%A1" TargetMode="External"/><Relationship Id="rId79" Type="http://schemas.openxmlformats.org/officeDocument/2006/relationships/hyperlink" Target="https://disk.yandex.ru/client/disk/%D0%9E%D1%81%D0%BC%D0%BE%D1%82%D1%80%D1%8B%20%D0%BE%D0%B1%D1%8A%D0%B5%D0%BA%D1%82%D0%BE%D0%B2%20%D0%90%D0%9D%D0%9E%20%D0%A1%D0%9C%D0%93/662%20%D0%A1%D0%B2%D0%BE%D0%B1%D0%BE%D0%B4%D0%BD%D1%8B%D0%B9%20%D0%BF%D1%80-%D0%BA%D1%82%2C%20%D0%B2%D0%BB.%206%20%D0%BA1%20" TargetMode="External"/><Relationship Id="rId78" Type="http://schemas.openxmlformats.org/officeDocument/2006/relationships/hyperlink" Target="https://docs.google.com/spreadsheets/d/1rbCD10ySi4YZEkJW2_Slmn9z7AI1WEsGsZaIJmnnT18/edit?gid=1007518382" TargetMode="External"/><Relationship Id="rId71" Type="http://schemas.openxmlformats.org/officeDocument/2006/relationships/hyperlink" Target="https://docs.google.com/spreadsheets/d/1rbCD10ySi4YZEkJW2_Slmn9z7AI1WEsGsZaIJmnnT18/edit?gid=1525507838" TargetMode="External"/><Relationship Id="rId70" Type="http://schemas.openxmlformats.org/officeDocument/2006/relationships/hyperlink" Target="https://docs.google.com/spreadsheets/d/1H1MjbG2y0oC0hhID4do1G0_gfyI1jag72lQd7nL3WDQ/edit?gid=747557076" TargetMode="External"/><Relationship Id="rId62" Type="http://schemas.openxmlformats.org/officeDocument/2006/relationships/hyperlink" Target="https://docs.google.com/spreadsheets/d/1rbCD10ySi4YZEkJW2_Slmn9z7AI1WEsGsZaIJmnnT18/edit?gid=1195287561" TargetMode="External"/><Relationship Id="rId61" Type="http://schemas.openxmlformats.org/officeDocument/2006/relationships/hyperlink" Target="https://docs.google.com/spreadsheets/d/1rbCD10ySi4YZEkJW2_Slmn9z7AI1WEsGsZaIJmnnT18/edit?gid=223359966" TargetMode="External"/><Relationship Id="rId64" Type="http://schemas.openxmlformats.org/officeDocument/2006/relationships/hyperlink" Target="https://docs.google.com/spreadsheets/d/1H1MjbG2y0oC0hhID4do1G0_gfyI1jag72lQd7nL3WDQ/edit?gid=1587877211" TargetMode="External"/><Relationship Id="rId63" Type="http://schemas.openxmlformats.org/officeDocument/2006/relationships/hyperlink" Target="https://docs.google.com/spreadsheets/d/1H1MjbG2y0oC0hhID4do1G0_gfyI1jag72lQd7nL3WDQ/edit?gid=325961003" TargetMode="External"/><Relationship Id="rId66" Type="http://schemas.openxmlformats.org/officeDocument/2006/relationships/hyperlink" Target="https://docs.google.com/spreadsheets/d/1rbCD10ySi4YZEkJW2_Slmn9z7AI1WEsGsZaIJmnnT18/edit?gid=43981398" TargetMode="External"/><Relationship Id="rId65" Type="http://schemas.openxmlformats.org/officeDocument/2006/relationships/hyperlink" Target="https://docs.google.com/spreadsheets/d/1rbCD10ySi4YZEkJW2_Slmn9z7AI1WEsGsZaIJmnnT18/edit?gid=1721879742" TargetMode="External"/><Relationship Id="rId68" Type="http://schemas.openxmlformats.org/officeDocument/2006/relationships/hyperlink" Target="https://docs.google.com/spreadsheets/d/1EI7qusa674eJhuaw-nWWtWMEHVSYMQv7HLsInEZTWpE/edit?gid=1721100499" TargetMode="External"/><Relationship Id="rId67" Type="http://schemas.openxmlformats.org/officeDocument/2006/relationships/hyperlink" Target="https://docs.google.com/spreadsheets/d/1rbCD10ySi4YZEkJW2_Slmn9z7AI1WEsGsZaIJmnnT18/edit?gid=39049871" TargetMode="External"/><Relationship Id="rId60" Type="http://schemas.openxmlformats.org/officeDocument/2006/relationships/hyperlink" Target="https://disk.yandex.ru/client/disk/%D0%9E%D1%81%D0%BC%D0%BE%D1%82%D1%80%D1%8B%20%D0%BE%D0%B1%D1%8A%D0%B5%D0%BA%D1%82%D0%BE%D0%B2%20%D0%90%D0%9D%D0%9E%20%D0%A1%D0%9C%D0%93/210.%20%D0%96%D0%B8%D0%BB%D0%BE%D0%B9%20%D0%B4%D0%BE%D0%BC%20%D1%81%20%D0%B8%D0%BD%D0%B6%D0%B5%D0%BD%D0%B5%D1%80%D0%BD%D1%8B%D0%BC%D0%B8%20%D0%BA%D0%BE%D0%BC%D0%BC%D1%83%D0%BD%D0%B8%D0%BA%D0%B0%D1%86%D0%B8%D1%8F%D0%BC%D0%B8%20%D0%B8%0A%D0%B1%D0%BB%D0%B0%D0%B3%D0%BE%D1%83%D1%81%D1%82%D1%80%D0%BE%D0%B9%D1%81%D1%82%D0%B2%D0%BE%D0%BC%20%D0%BF%D0%BE%20%D0%B0%D0%B4%D1%80%D0%B5%D1%81%D1%83%3A%20%D0%93%D0%BB%D0%B0%D0%B2%D0%BC%D0%BE%D1%81%D1%81%D1%82%D1%80%D0%BE%D1%8F%20%D1%83%D0%BB.%2C%20%D0%B2%D0%BB%D0%B4.1" TargetMode="External"/><Relationship Id="rId69" Type="http://schemas.openxmlformats.org/officeDocument/2006/relationships/hyperlink" Target="https://disk.yandex.ru/client/disk/%D0%9E%D1%81%D0%BC%D0%BE%D1%82%D1%80%D1%8B%20%D0%BE%D0%B1%D1%8A%D0%B5%D0%BA%D1%82%D0%BE%D0%B2%20%D0%90%D0%9D%D0%9E%20%D0%A1%D0%9C%D0%93/316.%20%D0%A1%D0%BA%D0%BB%D0%B8%D1%84%D0%BE%D1%81%D0%BE%D0%B2%D1%81%D0%BA%D0%BE%D0%B3%D0%BE%20%D0%B1%D0%BE%D0%BB%D1%8C%D0%BD.%20%D0%91.%20%D0%A1%D1%83%D1%85%D0%B0%D1%80%D0%B5%D0%B2%D1%81%D0%BA%D0%B0%D1%8F%20%D0%BF%D0%BB.%203" TargetMode="External"/><Relationship Id="rId51" Type="http://schemas.openxmlformats.org/officeDocument/2006/relationships/hyperlink" Target="https://disk.yandex.ru/client/disk/%D0%9E%D1%81%D0%BC%D0%BE%D1%82%D1%80%D1%8B%20%D0%BE%D0%B1%D1%8A%D0%B5%D0%BA%D1%82%D0%BE%D0%B2%20%D0%90%D0%9D%D0%9E%20%D0%A1%D0%9C%D0%93/017.%20%D0%A8%D0%B8%D1%88%D0%BA%D0%B8%D0%BD%20%D0%BB%D0%B5%D1%81%20%D0%9A%D0%94%D0%A6" TargetMode="External"/><Relationship Id="rId50" Type="http://schemas.openxmlformats.org/officeDocument/2006/relationships/hyperlink" Target="https://docs.google.com/spreadsheets/d/19THEBTE9q0fhN2eApZr6BgenIvLGh0AckaYxHQfHk5w/edit?gid=1089584377" TargetMode="External"/><Relationship Id="rId53" Type="http://schemas.openxmlformats.org/officeDocument/2006/relationships/hyperlink" Target="https://disk.yandex.ru/client/disk/%D0%9E%D1%81%D0%BC%D0%BE%D1%82%D1%80%D1%8B%20%D0%BE%D0%B1%D1%8A%D0%B5%D0%BA%D1%82%D0%BE%D0%B2%20%D0%90%D0%9D%D0%9E%20%D0%A1%D0%9C%D0%93/190.%20%D0%AE%D0%B6%D0%BD%D0%BE%D0%B5%20%D0%91%D1%83%D1%82%D0%BE%D0%B2%D0%BE%2C%20%D0%A7%D0%B5%D1%87%C3%AB%D1%80%D1%81%D0%BA%D0%B8%D0%B9%20%D0%BF%D1%80-%D0%B4%2C%20%D0%B2%D0%BB.%2028%2C%20%D1%83%D1%87.%201." TargetMode="External"/><Relationship Id="rId52" Type="http://schemas.openxmlformats.org/officeDocument/2006/relationships/hyperlink" Target="https://docs.google.com/spreadsheets/d/1H1MjbG2y0oC0hhID4do1G0_gfyI1jag72lQd7nL3WDQ/edit?gid=1295057076" TargetMode="External"/><Relationship Id="rId55" Type="http://schemas.openxmlformats.org/officeDocument/2006/relationships/hyperlink" Target="https://docs.google.com/spreadsheets/d/1rbCD10ySi4YZEkJW2_Slmn9z7AI1WEsGsZaIJmnnT18/edit?gid=953902791" TargetMode="External"/><Relationship Id="rId54" Type="http://schemas.openxmlformats.org/officeDocument/2006/relationships/hyperlink" Target="https://docs.google.com/spreadsheets/d/1H1MjbG2y0oC0hhID4do1G0_gfyI1jag72lQd7nL3WDQ/edit?gid=168468884" TargetMode="External"/><Relationship Id="rId57" Type="http://schemas.openxmlformats.org/officeDocument/2006/relationships/hyperlink" Target="https://docs.google.com/spreadsheets/d/1rbCD10ySi4YZEkJW2_Slmn9z7AI1WEsGsZaIJmnnT18/edit?gid=932084254" TargetMode="External"/><Relationship Id="rId56" Type="http://schemas.openxmlformats.org/officeDocument/2006/relationships/hyperlink" Target="https://docs.google.com/spreadsheets/d/1rbCD10ySi4YZEkJW2_Slmn9z7AI1WEsGsZaIJmnnT18/edit?gid=238290316" TargetMode="External"/><Relationship Id="rId59" Type="http://schemas.openxmlformats.org/officeDocument/2006/relationships/hyperlink" Target="https://docs.google.com/spreadsheets/d/19THEBTE9q0fhN2eApZr6BgenIvLGh0AckaYxHQfHk5w/edit?gid=1697091636" TargetMode="External"/><Relationship Id="rId58" Type="http://schemas.openxmlformats.org/officeDocument/2006/relationships/hyperlink" Target="https://docs.google.com/spreadsheets/d/1H1MjbG2y0oC0hhID4do1G0_gfyI1jag72lQd7nL3WDQ/edit?gid=998835814" TargetMode="External"/><Relationship Id="rId107" Type="http://schemas.openxmlformats.org/officeDocument/2006/relationships/hyperlink" Target="https://docs.google.com/spreadsheets/d/1H1MjbG2y0oC0hhID4do1G0_gfyI1jag72lQd7nL3WDQ/edit?gid=1191711449" TargetMode="External"/><Relationship Id="rId106" Type="http://schemas.openxmlformats.org/officeDocument/2006/relationships/hyperlink" Target="https://docs.google.com/spreadsheets/d/19THEBTE9q0fhN2eApZr6BgenIvLGh0AckaYxHQfHk5w/edit?gid=799259912" TargetMode="External"/><Relationship Id="rId105" Type="http://schemas.openxmlformats.org/officeDocument/2006/relationships/hyperlink" Target="https://docs.google.com/spreadsheets/d/1rbCD10ySi4YZEkJW2_Slmn9z7AI1WEsGsZaIJmnnT18/edit?gid=509147488" TargetMode="External"/><Relationship Id="rId104" Type="http://schemas.openxmlformats.org/officeDocument/2006/relationships/hyperlink" Target="https://docs.google.com/spreadsheets/d/1rbCD10ySi4YZEkJW2_Slmn9z7AI1WEsGsZaIJmnnT18/edit?gid=989193180" TargetMode="External"/><Relationship Id="rId109" Type="http://schemas.openxmlformats.org/officeDocument/2006/relationships/hyperlink" Target="https://docs.google.com/spreadsheets/d/19THEBTE9q0fhN2eApZr6BgenIvLGh0AckaYxHQfHk5w/edit?gid=493360007" TargetMode="External"/><Relationship Id="rId108" Type="http://schemas.openxmlformats.org/officeDocument/2006/relationships/hyperlink" Target="https://docs.google.com/spreadsheets/d/19THEBTE9q0fhN2eApZr6BgenIvLGh0AckaYxHQfHk5w/edit?gid=1830744104" TargetMode="External"/><Relationship Id="rId103" Type="http://schemas.openxmlformats.org/officeDocument/2006/relationships/hyperlink" Target="https://docs.google.com/spreadsheets/d/19THEBTE9q0fhN2eApZr6BgenIvLGh0AckaYxHQfHk5w/edit?gid=1145227752" TargetMode="External"/><Relationship Id="rId102" Type="http://schemas.openxmlformats.org/officeDocument/2006/relationships/hyperlink" Target="https://docs.google.com/spreadsheets/d/1EI7qusa674eJhuaw-nWWtWMEHVSYMQv7HLsInEZTWpE/edit?gid=1476336114" TargetMode="External"/><Relationship Id="rId101" Type="http://schemas.openxmlformats.org/officeDocument/2006/relationships/hyperlink" Target="https://docs.google.com/spreadsheets/d/1EI7qusa674eJhuaw-nWWtWMEHVSYMQv7HLsInEZTWpE/edit?gid=204053805" TargetMode="External"/><Relationship Id="rId100" Type="http://schemas.openxmlformats.org/officeDocument/2006/relationships/hyperlink" Target="https://disk.yandex.ru/d/s17WL0GFDbRVkw" TargetMode="External"/><Relationship Id="rId129" Type="http://schemas.openxmlformats.org/officeDocument/2006/relationships/hyperlink" Target="https://docs.google.com/spreadsheets/d/1EI7qusa674eJhuaw-nWWtWMEHVSYMQv7HLsInEZTWpE/edit?gid=2077416738" TargetMode="External"/><Relationship Id="rId128" Type="http://schemas.openxmlformats.org/officeDocument/2006/relationships/hyperlink" Target="https://disk.yandex.ru/d/4p9gUDqZ_aogQQ" TargetMode="External"/><Relationship Id="rId127" Type="http://schemas.openxmlformats.org/officeDocument/2006/relationships/hyperlink" Target="https://docs.google.com/spreadsheets/d/19THEBTE9q0fhN2eApZr6BgenIvLGh0AckaYxHQfHk5w/edit?gid=613124997" TargetMode="External"/><Relationship Id="rId126" Type="http://schemas.openxmlformats.org/officeDocument/2006/relationships/hyperlink" Target="https://disk.yandex.ru/client/disk/%D0%9E%D1%81%D0%BC%D0%BE%D1%82%D1%80%D1%8B%20%D0%BE%D0%B1%D1%8A%D0%B5%D0%BA%D1%82%D0%BE%D0%B2%20%D0%90%D0%9D%D0%9E%20%D0%A1%D0%9C%D0%93/672.%202-%D1%8F%20%D0%94%D1%83%D0%B1%D1%80%D0%BE%D0%B2%D1%81%D0%BA%D0%B0%D1%8F%20%D0%B4.1" TargetMode="External"/><Relationship Id="rId121" Type="http://schemas.openxmlformats.org/officeDocument/2006/relationships/hyperlink" Target="https://docs.google.com/spreadsheets/d/1H1MjbG2y0oC0hhID4do1G0_gfyI1jag72lQd7nL3WDQ/edit?gid=864081677" TargetMode="External"/><Relationship Id="rId120" Type="http://schemas.openxmlformats.org/officeDocument/2006/relationships/hyperlink" Target="https://docs.google.com/spreadsheets/d/19THEBTE9q0fhN2eApZr6BgenIvLGh0AckaYxHQfHk5w/edit?gid=1676523530" TargetMode="External"/><Relationship Id="rId125" Type="http://schemas.openxmlformats.org/officeDocument/2006/relationships/hyperlink" Target="https://docs.google.com/spreadsheets/d/1rbCD10ySi4YZEkJW2_Slmn9z7AI1WEsGsZaIJmnnT18/edit?gid=1407262521" TargetMode="External"/><Relationship Id="rId124" Type="http://schemas.openxmlformats.org/officeDocument/2006/relationships/hyperlink" Target="https://docs.google.com/spreadsheets/d/1EI7qusa674eJhuaw-nWWtWMEHVSYMQv7HLsInEZTWpE/edit?gid=1366886932" TargetMode="External"/><Relationship Id="rId123" Type="http://schemas.openxmlformats.org/officeDocument/2006/relationships/hyperlink" Target="https://docs.google.com/spreadsheets/d/19THEBTE9q0fhN2eApZr6BgenIvLGh0AckaYxHQfHk5w/edit?gid=68210689" TargetMode="External"/><Relationship Id="rId122" Type="http://schemas.openxmlformats.org/officeDocument/2006/relationships/hyperlink" Target="https://docs.google.com/spreadsheets/d/1EI7qusa674eJhuaw-nWWtWMEHVSYMQv7HLsInEZTWpE/edit?gid=1477675576" TargetMode="External"/><Relationship Id="rId95" Type="http://schemas.openxmlformats.org/officeDocument/2006/relationships/hyperlink" Target="https://docs.google.com/spreadsheets/d/1EI7qusa674eJhuaw-nWWtWMEHVSYMQv7HLsInEZTWpE/edit?gid=1568412544" TargetMode="External"/><Relationship Id="rId94" Type="http://schemas.openxmlformats.org/officeDocument/2006/relationships/hyperlink" Target="https://docs.google.com/spreadsheets/d/19THEBTE9q0fhN2eApZr6BgenIvLGh0AckaYxHQfHk5w/edit?gid=1230967250" TargetMode="External"/><Relationship Id="rId97" Type="http://schemas.openxmlformats.org/officeDocument/2006/relationships/hyperlink" Target="https://docs.google.com/spreadsheets/d/19THEBTE9q0fhN2eApZr6BgenIvLGh0AckaYxHQfHk5w/edit?gid=425127641" TargetMode="External"/><Relationship Id="rId96" Type="http://schemas.openxmlformats.org/officeDocument/2006/relationships/hyperlink" Target="https://disk.yandex.ru/d/yUPiYApIyIk7Ag" TargetMode="External"/><Relationship Id="rId99" Type="http://schemas.openxmlformats.org/officeDocument/2006/relationships/hyperlink" Target="https://docs.google.com/spreadsheets/d/1EI7qusa674eJhuaw-nWWtWMEHVSYMQv7HLsInEZTWpE/edit?gid=2065488739" TargetMode="External"/><Relationship Id="rId98" Type="http://schemas.openxmlformats.org/officeDocument/2006/relationships/hyperlink" Target="https://docs.google.com/spreadsheets/d/19THEBTE9q0fhN2eApZr6BgenIvLGh0AckaYxHQfHk5w/edit?gid=1429092860" TargetMode="External"/><Relationship Id="rId91" Type="http://schemas.openxmlformats.org/officeDocument/2006/relationships/hyperlink" Target="https://disk.yandex.ru/client/disk/%D0%9E%D1%81%D0%BC%D0%BE%D1%82%D1%80%D1%8B%20%D0%BE%D0%B1%D1%8A%D0%B5%D0%BA%D1%82%D0%BE%D0%B2%20%D0%90%D0%9D%D0%9E%20%D0%A1%D0%9C%D0%93/184.%20%D0%A3%D1%87%D0%B5%D0%B1%D0%BD%D1%8B%D0%B9%20%D0%BA%D0%BE%D1%80%D0%BF%D1%83%D1%81%20%D0%BD%D0%B0%20400%20%D0%BC%D0%B5%D1%81%D1%82%202-%D1%8F%20%D0%93%D1%80%D0%B0%D0%B6%D0%B4%D0%B0%D0%BD%D1%81%D0%BA%D0%B0%D1%8F%2C%20%D0%B4.%208" TargetMode="External"/><Relationship Id="rId90" Type="http://schemas.openxmlformats.org/officeDocument/2006/relationships/hyperlink" Target="https://docs.google.com/spreadsheets/d/19THEBTE9q0fhN2eApZr6BgenIvLGh0AckaYxHQfHk5w/edit?gid=808158041" TargetMode="External"/><Relationship Id="rId93" Type="http://schemas.openxmlformats.org/officeDocument/2006/relationships/hyperlink" Target="https://docs.google.com/spreadsheets/d/1H1MjbG2y0oC0hhID4do1G0_gfyI1jag72lQd7nL3WDQ/edit?gid=815627436" TargetMode="External"/><Relationship Id="rId92" Type="http://schemas.openxmlformats.org/officeDocument/2006/relationships/hyperlink" Target="https://docs.google.com/spreadsheets/d/19THEBTE9q0fhN2eApZr6BgenIvLGh0AckaYxHQfHk5w/edit?gid=80969039" TargetMode="External"/><Relationship Id="rId118" Type="http://schemas.openxmlformats.org/officeDocument/2006/relationships/hyperlink" Target="https://docs.google.com/spreadsheets/d/1EI7qusa674eJhuaw-nWWtWMEHVSYMQv7HLsInEZTWpE/edit?gid=340433280" TargetMode="External"/><Relationship Id="rId117" Type="http://schemas.openxmlformats.org/officeDocument/2006/relationships/hyperlink" Target="https://docs.google.com/spreadsheets/d/1EI7qusa674eJhuaw-nWWtWMEHVSYMQv7HLsInEZTWpE/edit?gid=1026471419" TargetMode="External"/><Relationship Id="rId116" Type="http://schemas.openxmlformats.org/officeDocument/2006/relationships/hyperlink" Target="https://docs.google.com/spreadsheets/d/1EI7qusa674eJhuaw-nWWtWMEHVSYMQv7HLsInEZTWpE/edit?gid=191758898" TargetMode="External"/><Relationship Id="rId115" Type="http://schemas.openxmlformats.org/officeDocument/2006/relationships/hyperlink" Target="https://docs.google.com/spreadsheets/d/1H1MjbG2y0oC0hhID4do1G0_gfyI1jag72lQd7nL3WDQ/edit?gid=2120381921" TargetMode="External"/><Relationship Id="rId119" Type="http://schemas.openxmlformats.org/officeDocument/2006/relationships/hyperlink" Target="https://docs.google.com/spreadsheets/d/19THEBTE9q0fhN2eApZr6BgenIvLGh0AckaYxHQfHk5w/edit?gid=140939233" TargetMode="External"/><Relationship Id="rId110" Type="http://schemas.openxmlformats.org/officeDocument/2006/relationships/hyperlink" Target="https://docs.google.com/spreadsheets/d/19THEBTE9q0fhN2eApZr6BgenIvLGh0AckaYxHQfHk5w/edit?gid=141428453" TargetMode="External"/><Relationship Id="rId114" Type="http://schemas.openxmlformats.org/officeDocument/2006/relationships/hyperlink" Target="https://docs.google.com/spreadsheets/d/19THEBTE9q0fhN2eApZr6BgenIvLGh0AckaYxHQfHk5w/edit?gid=779020277" TargetMode="External"/><Relationship Id="rId113" Type="http://schemas.openxmlformats.org/officeDocument/2006/relationships/hyperlink" Target="https://docs.google.com/spreadsheets/d/19THEBTE9q0fhN2eApZr6BgenIvLGh0AckaYxHQfHk5w/edit?gid=242811066" TargetMode="External"/><Relationship Id="rId112" Type="http://schemas.openxmlformats.org/officeDocument/2006/relationships/hyperlink" Target="https://docs.google.com/spreadsheets/d/19THEBTE9q0fhN2eApZr6BgenIvLGh0AckaYxHQfHk5w/edit?gid=1311899156" TargetMode="External"/><Relationship Id="rId111" Type="http://schemas.openxmlformats.org/officeDocument/2006/relationships/hyperlink" Target="https://docs.google.com/spreadsheets/d/19THEBTE9q0fhN2eApZr6BgenIvLGh0AckaYxHQfHk5w/edit?gid=90818280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isk.yandex.ru/d/EDVYkDJKKbDZpw"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5" max="5" width="28.5"/>
    <col customWidth="1" min="7" max="7" width="15.38"/>
    <col customWidth="1" min="8" max="8" width="15.0"/>
    <col customWidth="1" min="9" max="10" width="14.13"/>
    <col customWidth="1" min="17" max="17" width="14.88"/>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3" t="s">
        <v>15</v>
      </c>
      <c r="Q1" s="2" t="s">
        <v>16</v>
      </c>
      <c r="R1" s="4"/>
      <c r="S1" s="4"/>
      <c r="T1" s="4"/>
      <c r="U1" s="4"/>
      <c r="V1" s="4"/>
      <c r="W1" s="4"/>
      <c r="X1" s="4"/>
      <c r="Y1" s="4"/>
      <c r="Z1" s="4"/>
    </row>
    <row r="2">
      <c r="A2" s="5"/>
      <c r="J2" s="6"/>
      <c r="K2" s="6"/>
      <c r="L2" s="7"/>
      <c r="M2" s="2" t="s">
        <v>17</v>
      </c>
      <c r="N2" s="8">
        <v>45975.36962725694</v>
      </c>
      <c r="O2" s="9" t="s">
        <v>18</v>
      </c>
      <c r="P2" s="8"/>
      <c r="Q2" s="9"/>
      <c r="R2" s="4"/>
      <c r="S2" s="4"/>
      <c r="T2" s="4"/>
      <c r="U2" s="4"/>
      <c r="V2" s="4"/>
      <c r="W2" s="4"/>
      <c r="X2" s="4"/>
      <c r="Y2" s="4"/>
      <c r="Z2" s="4"/>
    </row>
    <row r="3">
      <c r="A3" s="5"/>
      <c r="J3" s="6"/>
      <c r="K3" s="6"/>
      <c r="L3" s="9"/>
      <c r="M3" s="2" t="s">
        <v>19</v>
      </c>
      <c r="N3" s="8">
        <v>45975.36351216435</v>
      </c>
      <c r="O3" s="9" t="s">
        <v>20</v>
      </c>
      <c r="P3" s="8"/>
      <c r="Q3" s="9"/>
      <c r="R3" s="4"/>
      <c r="S3" s="4"/>
      <c r="T3" s="4"/>
      <c r="U3" s="4"/>
      <c r="V3" s="4"/>
      <c r="W3" s="4"/>
      <c r="X3" s="4"/>
      <c r="Y3" s="4"/>
      <c r="Z3" s="4"/>
    </row>
    <row r="4">
      <c r="A4" s="5"/>
      <c r="J4" s="6"/>
      <c r="K4" s="6"/>
      <c r="L4" s="7"/>
      <c r="M4" s="2" t="s">
        <v>21</v>
      </c>
      <c r="N4" s="8">
        <v>45975.37039855324</v>
      </c>
      <c r="O4" s="9" t="s">
        <v>22</v>
      </c>
      <c r="P4" s="8"/>
      <c r="Q4" s="9"/>
      <c r="R4" s="4"/>
      <c r="S4" s="4"/>
      <c r="T4" s="4"/>
      <c r="U4" s="4"/>
      <c r="V4" s="4"/>
      <c r="W4" s="4"/>
      <c r="X4" s="4"/>
      <c r="Y4" s="4"/>
      <c r="Z4" s="4"/>
    </row>
    <row r="5">
      <c r="A5" s="5"/>
      <c r="J5" s="6"/>
      <c r="K5" s="6"/>
      <c r="L5" s="7"/>
      <c r="M5" s="2" t="s">
        <v>23</v>
      </c>
      <c r="N5" s="8">
        <v>45975.35046365741</v>
      </c>
      <c r="O5" s="9" t="s">
        <v>24</v>
      </c>
      <c r="P5" s="8"/>
      <c r="Q5" s="9"/>
      <c r="R5" s="4"/>
      <c r="S5" s="4"/>
      <c r="T5" s="4"/>
      <c r="U5" s="4"/>
      <c r="V5" s="4"/>
      <c r="W5" s="4"/>
      <c r="X5" s="4"/>
      <c r="Y5" s="4"/>
      <c r="Z5" s="4"/>
    </row>
    <row r="6">
      <c r="A6" s="5"/>
      <c r="J6" s="6"/>
      <c r="K6" s="6"/>
      <c r="L6" s="7"/>
      <c r="M6" s="2" t="s">
        <v>25</v>
      </c>
      <c r="N6" s="8">
        <v>45975.357320324074</v>
      </c>
      <c r="O6" s="9" t="s">
        <v>26</v>
      </c>
      <c r="P6" s="8"/>
      <c r="Q6" s="9"/>
      <c r="R6" s="4"/>
      <c r="S6" s="4"/>
      <c r="T6" s="4"/>
      <c r="U6" s="4"/>
      <c r="V6" s="4"/>
      <c r="W6" s="4"/>
      <c r="X6" s="4"/>
      <c r="Y6" s="4"/>
      <c r="Z6" s="4"/>
    </row>
    <row r="7">
      <c r="A7" s="5"/>
      <c r="J7" s="6"/>
      <c r="K7" s="6"/>
      <c r="L7" s="7"/>
      <c r="M7" s="2" t="s">
        <v>27</v>
      </c>
      <c r="N7" s="8">
        <v>45975.368075810184</v>
      </c>
      <c r="O7" s="9" t="s">
        <v>28</v>
      </c>
      <c r="P7" s="8"/>
      <c r="Q7" s="9"/>
      <c r="R7" s="4"/>
      <c r="S7" s="4"/>
      <c r="T7" s="4"/>
      <c r="U7" s="4"/>
      <c r="V7" s="4"/>
      <c r="W7" s="4"/>
      <c r="X7" s="4"/>
      <c r="Y7" s="4"/>
      <c r="Z7" s="4"/>
    </row>
    <row r="8">
      <c r="A8" s="5"/>
      <c r="J8" s="6"/>
      <c r="K8" s="6"/>
      <c r="L8" s="9"/>
      <c r="M8" s="2" t="s">
        <v>29</v>
      </c>
      <c r="N8" s="8">
        <v>45975.36474498843</v>
      </c>
      <c r="O8" s="9" t="s">
        <v>30</v>
      </c>
      <c r="P8" s="8"/>
      <c r="Q8" s="9"/>
      <c r="R8" s="4"/>
      <c r="S8" s="4"/>
      <c r="T8" s="4"/>
      <c r="U8" s="4"/>
      <c r="V8" s="4"/>
      <c r="W8" s="4"/>
      <c r="X8" s="4"/>
      <c r="Y8" s="4"/>
      <c r="Z8" s="4"/>
    </row>
    <row r="9">
      <c r="A9" s="5"/>
      <c r="J9" s="6"/>
      <c r="K9" s="6"/>
      <c r="L9" s="7"/>
      <c r="M9" s="2" t="s">
        <v>31</v>
      </c>
      <c r="N9" s="8">
        <v>45975.357470393516</v>
      </c>
      <c r="O9" s="9" t="s">
        <v>32</v>
      </c>
      <c r="P9" s="8"/>
      <c r="Q9" s="9"/>
      <c r="R9" s="4"/>
      <c r="S9" s="4"/>
      <c r="T9" s="4"/>
      <c r="U9" s="4"/>
      <c r="V9" s="4"/>
      <c r="W9" s="4"/>
      <c r="X9" s="4"/>
      <c r="Y9" s="4"/>
      <c r="Z9" s="4"/>
    </row>
    <row r="10">
      <c r="A10" s="5"/>
      <c r="J10" s="6"/>
      <c r="K10" s="6"/>
      <c r="L10" s="7"/>
      <c r="M10" s="2" t="s">
        <v>33</v>
      </c>
      <c r="N10" s="8">
        <v>45975.37391065972</v>
      </c>
      <c r="O10" s="9" t="s">
        <v>34</v>
      </c>
      <c r="P10" s="8"/>
      <c r="Q10" s="9"/>
      <c r="R10" s="4"/>
      <c r="S10" s="4"/>
      <c r="T10" s="4"/>
      <c r="U10" s="4"/>
      <c r="V10" s="4"/>
      <c r="W10" s="4"/>
      <c r="X10" s="4"/>
      <c r="Y10" s="4"/>
      <c r="Z10" s="4"/>
    </row>
    <row r="11">
      <c r="A11" s="5"/>
      <c r="J11" s="6"/>
      <c r="K11" s="6"/>
      <c r="L11" s="7"/>
      <c r="M11" s="2" t="s">
        <v>35</v>
      </c>
      <c r="N11" s="8">
        <v>45975.35786493056</v>
      </c>
      <c r="O11" s="9" t="s">
        <v>36</v>
      </c>
      <c r="P11" s="8"/>
      <c r="Q11" s="9"/>
      <c r="R11" s="4"/>
      <c r="S11" s="4"/>
      <c r="T11" s="4"/>
      <c r="U11" s="4"/>
      <c r="V11" s="4"/>
      <c r="W11" s="4"/>
      <c r="X11" s="4"/>
      <c r="Y11" s="4"/>
      <c r="Z11" s="4"/>
    </row>
    <row r="12">
      <c r="A12" s="5"/>
      <c r="J12" s="6"/>
      <c r="K12" s="6"/>
      <c r="L12" s="7"/>
      <c r="M12" s="2" t="s">
        <v>37</v>
      </c>
      <c r="N12" s="10"/>
      <c r="O12" s="4"/>
      <c r="P12" s="10"/>
      <c r="Q12" s="4"/>
      <c r="R12" s="4"/>
      <c r="S12" s="4"/>
      <c r="T12" s="4"/>
      <c r="U12" s="4"/>
      <c r="V12" s="4"/>
      <c r="W12" s="4"/>
      <c r="X12" s="4"/>
      <c r="Y12" s="4"/>
      <c r="Z12" s="4"/>
    </row>
    <row r="13">
      <c r="A13" s="5"/>
      <c r="J13" s="6"/>
      <c r="K13" s="6"/>
      <c r="L13" s="7"/>
      <c r="M13" s="2" t="s">
        <v>38</v>
      </c>
      <c r="N13" s="8"/>
      <c r="O13" s="9"/>
      <c r="P13" s="8"/>
      <c r="Q13" s="9"/>
      <c r="R13" s="4"/>
      <c r="S13" s="4"/>
      <c r="T13" s="4"/>
      <c r="U13" s="4"/>
      <c r="V13" s="4"/>
      <c r="W13" s="4"/>
      <c r="X13" s="4"/>
      <c r="Y13" s="4"/>
      <c r="Z13" s="4"/>
    </row>
    <row r="14">
      <c r="A14" s="5"/>
      <c r="J14" s="6"/>
      <c r="K14" s="6"/>
      <c r="L14" s="7"/>
      <c r="M14" s="2" t="s">
        <v>39</v>
      </c>
      <c r="N14" s="8"/>
      <c r="O14" s="9"/>
      <c r="P14" s="8"/>
      <c r="Q14" s="9"/>
      <c r="R14" s="4"/>
      <c r="S14" s="4"/>
      <c r="T14" s="4"/>
      <c r="U14" s="4"/>
      <c r="V14" s="4"/>
      <c r="W14" s="4"/>
      <c r="X14" s="4"/>
      <c r="Y14" s="4"/>
      <c r="Z14" s="4"/>
    </row>
    <row r="15">
      <c r="A15" s="5"/>
      <c r="J15" s="6"/>
      <c r="K15" s="6"/>
      <c r="L15" s="7"/>
      <c r="M15" s="2" t="s">
        <v>40</v>
      </c>
      <c r="N15" s="10"/>
      <c r="O15" s="4"/>
      <c r="P15" s="10"/>
      <c r="Q15" s="4"/>
      <c r="R15" s="4"/>
      <c r="S15" s="4"/>
      <c r="T15" s="4"/>
      <c r="U15" s="4"/>
      <c r="V15" s="4"/>
      <c r="W15" s="4"/>
      <c r="X15" s="4"/>
      <c r="Y15" s="4"/>
      <c r="Z15" s="4"/>
    </row>
    <row r="16">
      <c r="A16" s="5"/>
      <c r="J16" s="6"/>
      <c r="K16" s="6"/>
      <c r="L16" s="7"/>
      <c r="M16" s="2" t="s">
        <v>41</v>
      </c>
      <c r="N16" s="8">
        <v>45975.35046122685</v>
      </c>
      <c r="O16" s="9" t="s">
        <v>42</v>
      </c>
      <c r="P16" s="11"/>
      <c r="Q16" s="2"/>
      <c r="R16" s="4"/>
      <c r="S16" s="4"/>
      <c r="T16" s="4"/>
      <c r="U16" s="4"/>
      <c r="V16" s="4"/>
      <c r="W16" s="4"/>
      <c r="X16" s="4"/>
      <c r="Y16" s="4"/>
      <c r="Z16" s="4"/>
    </row>
    <row r="17">
      <c r="A17" s="5"/>
      <c r="J17" s="6"/>
      <c r="K17" s="6"/>
      <c r="L17" s="7"/>
      <c r="M17" s="2" t="s">
        <v>43</v>
      </c>
      <c r="N17" s="10"/>
      <c r="O17" s="4"/>
      <c r="P17" s="10"/>
      <c r="Q17" s="4"/>
      <c r="R17" s="4"/>
      <c r="S17" s="4"/>
      <c r="T17" s="4"/>
      <c r="U17" s="4"/>
      <c r="V17" s="4"/>
      <c r="W17" s="4"/>
      <c r="X17" s="4"/>
      <c r="Y17" s="4"/>
      <c r="Z17" s="4"/>
    </row>
    <row r="18">
      <c r="A18" s="12" t="s">
        <v>44</v>
      </c>
      <c r="B18" s="13" t="str">
        <f>VLOOKUP($A18,'Реестр объектов'!$A:$I,5,0)</f>
        <v>Веерная улица, земельный участок 28А район Очаково-Матвеевское, ул. Веерная, вл. 28А</v>
      </c>
      <c r="C18" s="13" t="str">
        <f>VLOOKUP($A18,'Реестр объектов'!$A:$I,6,0)</f>
        <v>55.710226</v>
      </c>
      <c r="D18" s="13" t="str">
        <f>VLOOKUP($A18,'Реестр объектов'!$A:$I,7,0)</f>
        <v>37.480970</v>
      </c>
      <c r="E18" s="14" t="s">
        <v>45</v>
      </c>
      <c r="F18" s="15" t="s">
        <v>46</v>
      </c>
      <c r="G18" s="16"/>
      <c r="H18" s="16"/>
      <c r="I18" s="17"/>
      <c r="J18" s="18" t="str">
        <f>VLOOKUP($A18,'Реестр объектов'!$A:$I,8,0)</f>
        <v>https://docs.google.com/spreadsheets/d/1rbCD10ySi4YZEkJW2_Slmn9z7AI1WEsGsZaIJmnnT18/edit?gid=1754531219#gid=1754531219</v>
      </c>
      <c r="K18" s="19" t="str">
        <f>VLOOKUP($A18,'Реестр объектов'!$A:$I,9,0)</f>
        <v>https://disk.yandex.ru/client/disk/Осмотры%20объектов%20АНО%20СМГ/713.%20Жилой%20дом%20ул.%20Веерная%2028а</v>
      </c>
      <c r="L18" s="6"/>
      <c r="M18" s="6"/>
      <c r="N18" s="16"/>
      <c r="O18" s="6"/>
      <c r="P18" s="16"/>
      <c r="Q18" s="6"/>
      <c r="R18" s="6"/>
      <c r="S18" s="6"/>
    </row>
    <row r="19">
      <c r="A19" s="12" t="s">
        <v>47</v>
      </c>
      <c r="B19" s="13" t="str">
        <f>VLOOKUP($A19,'Реестр объектов'!$A:$I,5,0)</f>
        <v>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v>
      </c>
      <c r="C19" s="13" t="str">
        <f>VLOOKUP($A19,'Реестр объектов'!$A:$I,6,0)</f>
        <v>55.684985</v>
      </c>
      <c r="D19" s="13" t="str">
        <f>VLOOKUP($A19,'Реестр объектов'!$A:$I,7,0)</f>
        <v>37.624634</v>
      </c>
      <c r="E19" s="14" t="s">
        <v>25</v>
      </c>
      <c r="F19" s="15" t="s">
        <v>46</v>
      </c>
      <c r="G19" s="16"/>
      <c r="H19" s="16"/>
      <c r="I19" s="17"/>
      <c r="J19" s="18" t="str">
        <f>VLOOKUP($A19,'Реестр объектов'!$A:$I,8,0)</f>
        <v>https://docs.google.com/spreadsheets/d/1rbCD10ySi4YZEkJW2_Slmn9z7AI1WEsGsZaIJmnnT18/edit?gid=732973558#gid=732973558</v>
      </c>
      <c r="K19" s="19" t="str">
        <f>VLOOKUP($A19,'Реестр объектов'!$A:$I,9,0)</f>
        <v>https://disk.yandex.ru/client/disk/Осмотры%20объектов%20АНО%20СМГ/700.%20Нагатинская%20ул.%20вл.%201.%20Жилой%09дом</v>
      </c>
      <c r="L19" s="6"/>
      <c r="M19" s="6"/>
      <c r="N19" s="16"/>
      <c r="O19" s="6"/>
      <c r="P19" s="16"/>
      <c r="Q19" s="6"/>
      <c r="R19" s="6"/>
      <c r="S19" s="6"/>
    </row>
    <row r="20">
      <c r="A20" s="12" t="s">
        <v>48</v>
      </c>
      <c r="B20" s="13" t="str">
        <f>VLOOKUP($A20,'Реестр объектов'!$A:$I,5,0)</f>
        <v>ул. Шепелюгинская, вл. 14 район Лефортово, ул. Шепелюгинская, вл. 14</v>
      </c>
      <c r="C20" s="13" t="str">
        <f>VLOOKUP($A20,'Реестр объектов'!$A:$I,6,0)</f>
        <v>55.745914</v>
      </c>
      <c r="D20" s="13" t="str">
        <f>VLOOKUP($A20,'Реестр объектов'!$A:$I,7,0)</f>
        <v>37.702358</v>
      </c>
      <c r="E20" s="14" t="s">
        <v>23</v>
      </c>
      <c r="F20" s="15" t="s">
        <v>46</v>
      </c>
      <c r="G20" s="20">
        <v>45975.50164861111</v>
      </c>
      <c r="H20" s="16"/>
      <c r="I20" s="17"/>
      <c r="J20" s="18" t="str">
        <f>VLOOKUP($A20,'Реестр объектов'!$A:$I,8,0)</f>
        <v>https://docs.google.com/spreadsheets/d/1rbCD10ySi4YZEkJW2_Slmn9z7AI1WEsGsZaIJmnnT18/edit?gid=2128103220#gid=2128103220</v>
      </c>
      <c r="K20" s="21" t="str">
        <f>VLOOKUP($A20,'Реестр объектов'!$A:$I,9,0)</f>
        <v>https://disk.yandex.ru/client/disk/%D0%9E%D1%81%D0%BC%D0%BE%D1%82%D1%80%D1%8B%20%D0%BE%D0%B1%D1%8A%D0%B5%D0%BA%D1%82%D0%BE%D0%B2%20%D0%90%D0%9D%D0%9E%20%D0%A1%D0%9C%D0%93/738.%20%D0%A8%D0%B5%D0%BF%D0%B5%D0%BB%D1%8E%D0%B3%D0%B8%D0%BD%D1%81%D0%BA%D0%B0%D1%8F%20%D0%B2%D0%BB%2014%20</v>
      </c>
      <c r="L20" s="6"/>
      <c r="M20" s="6"/>
      <c r="N20" s="16"/>
      <c r="O20" s="6"/>
      <c r="P20" s="16"/>
      <c r="Q20" s="6"/>
      <c r="R20" s="6"/>
      <c r="S20" s="6"/>
    </row>
    <row r="21">
      <c r="A21" s="12" t="s">
        <v>49</v>
      </c>
      <c r="B21" s="13" t="str">
        <f>VLOOKUP($A21,'Реестр объектов'!$A:$I,5,0)</f>
        <v>Шепелюгинский пер., вл. 7 (Приобретение объектов недвижимости) район Лефортово, Шепелюгинский пер., вл. 7</v>
      </c>
      <c r="C21" s="13" t="str">
        <f>VLOOKUP($A21,'Реестр объектов'!$A:$I,6,0)</f>
        <v>55.746929</v>
      </c>
      <c r="D21" s="13" t="str">
        <f>VLOOKUP($A21,'Реестр объектов'!$A:$I,7,0)</f>
        <v>37.701113</v>
      </c>
      <c r="E21" s="14" t="s">
        <v>23</v>
      </c>
      <c r="F21" s="15" t="s">
        <v>46</v>
      </c>
      <c r="G21" s="16"/>
      <c r="H21" s="16"/>
      <c r="I21" s="17"/>
      <c r="J21" s="18" t="str">
        <f>VLOOKUP($A21,'Реестр объектов'!$A:$I,8,0)</f>
        <v>https://docs.google.com/spreadsheets/d/1rbCD10ySi4YZEkJW2_Slmn9z7AI1WEsGsZaIJmnnT18/edit?gid=1195206502#gid=1195206502</v>
      </c>
      <c r="K21" s="19" t="str">
        <f>VLOOKUP($A21,'Реестр объектов'!$A:$I,9,0)</f>
        <v>https://disk.yandex.ru/client/disk/Осмотры%20объектов%20АНО%20СМГ/740.%20Шепелюгинский%20пер%20вл%207</v>
      </c>
      <c r="L21" s="6"/>
      <c r="M21" s="6"/>
      <c r="N21" s="16"/>
      <c r="O21" s="6"/>
      <c r="P21" s="16"/>
      <c r="Q21" s="6"/>
      <c r="R21" s="6"/>
      <c r="S21" s="6"/>
    </row>
    <row r="22">
      <c r="A22" s="12" t="s">
        <v>50</v>
      </c>
      <c r="B22" s="13" t="str">
        <f>VLOOKUP($A22,'Реестр объектов'!$A:$I,5,0)</f>
        <v>б-р Яна Райниса, вл.2, к 2,3 район Северное Тушино, мкр. 4, б-р Яна Райниса, вл.2, к 2,3.</v>
      </c>
      <c r="C22" s="13" t="str">
        <f>VLOOKUP($A22,'Реестр объектов'!$A:$I,6,0)</f>
        <v>55.852135</v>
      </c>
      <c r="D22" s="13" t="str">
        <f>VLOOKUP($A22,'Реестр объектов'!$A:$I,7,0)</f>
        <v>37.431852</v>
      </c>
      <c r="E22" s="14" t="s">
        <v>19</v>
      </c>
      <c r="F22" s="15" t="s">
        <v>46</v>
      </c>
      <c r="G22" s="16"/>
      <c r="H22" s="16"/>
      <c r="I22" s="17"/>
      <c r="J22" s="18" t="str">
        <f>VLOOKUP($A22,'Реестр объектов'!$A:$I,8,0)</f>
        <v>https://docs.google.com/spreadsheets/d/1rbCD10ySi4YZEkJW2_Slmn9z7AI1WEsGsZaIJmnnT18/edit?gid=988598667#gid=988598667</v>
      </c>
      <c r="K22" s="19" t="str">
        <f>VLOOKUP($A22,'Реестр объектов'!$A:$I,9,0)</f>
        <v>https://disk.yandex.ru/client/disk/Осмотры%20объектов%20АНО%20СМГ/661.%20Яна%20Райниса%20б-р%2C%20влд.%202%2C%20к.%202%2C%203</v>
      </c>
      <c r="L22" s="15" t="s">
        <v>19</v>
      </c>
      <c r="M22" s="6"/>
      <c r="N22" s="16"/>
      <c r="O22" s="6"/>
      <c r="P22" s="16"/>
      <c r="Q22" s="6"/>
      <c r="R22" s="6"/>
      <c r="S22" s="6"/>
    </row>
    <row r="23">
      <c r="A23" s="12" t="s">
        <v>51</v>
      </c>
      <c r="B23" s="13" t="str">
        <f>VLOOKUP($A23,'Реестр объектов'!$A:$I,5,0)</f>
        <v>улица Смольная,земельный участок 23 внутригородское муниципальное образование Головинское, улица Смольная,земельный участок 23 (ул. Смольная, 23)</v>
      </c>
      <c r="C23" s="13" t="str">
        <f>VLOOKUP($A23,'Реестр объектов'!$A:$I,6,0)</f>
        <v>55.849033</v>
      </c>
      <c r="D23" s="13" t="str">
        <f>VLOOKUP($A23,'Реестр объектов'!$A:$I,7,0)</f>
        <v>37.494706</v>
      </c>
      <c r="E23" s="14" t="s">
        <v>45</v>
      </c>
      <c r="F23" s="15" t="s">
        <v>46</v>
      </c>
      <c r="G23" s="16"/>
      <c r="H23" s="16"/>
      <c r="I23" s="17"/>
      <c r="J23" s="18" t="str">
        <f>VLOOKUP($A23,'Реестр объектов'!$A:$I,8,0)</f>
        <v>https://docs.google.com/spreadsheets/d/1rbCD10ySi4YZEkJW2_Slmn9z7AI1WEsGsZaIJmnnT18/edit?gid=1665166606#gid=1665166606</v>
      </c>
      <c r="K23" s="19" t="str">
        <f>VLOOKUP($A23,'Реестр объектов'!$A:$I,9,0)</f>
        <v>https://disk.yandex.ru/client/disk/Осмотры%20объектов%20АНО%20СМГ/636.%20Смольная%20зу%2023</v>
      </c>
      <c r="L23" s="6"/>
      <c r="M23" s="6"/>
      <c r="N23" s="16"/>
      <c r="O23" s="6"/>
      <c r="P23" s="16"/>
      <c r="Q23" s="6"/>
      <c r="R23" s="6"/>
      <c r="S23" s="6"/>
    </row>
    <row r="24">
      <c r="A24" s="12" t="s">
        <v>52</v>
      </c>
      <c r="B24" s="13" t="str">
        <f>VLOOKUP($A24,'Реестр объектов'!$A:$I,5,0)</f>
        <v>улица Тайнинская, земельный участок 3 (вл. 3) район Лосиноостровский, Тайнинская ул., вл. 3</v>
      </c>
      <c r="C24" s="13" t="str">
        <f>VLOOKUP($A24,'Реестр объектов'!$A:$I,6,0)</f>
        <v>55.878112</v>
      </c>
      <c r="D24" s="13" t="str">
        <f>VLOOKUP($A24,'Реестр объектов'!$A:$I,7,0)</f>
        <v>37.681312</v>
      </c>
      <c r="E24" s="14" t="s">
        <v>45</v>
      </c>
      <c r="F24" s="15" t="s">
        <v>46</v>
      </c>
      <c r="G24" s="16"/>
      <c r="H24" s="16"/>
      <c r="I24" s="17"/>
      <c r="J24" s="18" t="str">
        <f>VLOOKUP($A24,'Реестр объектов'!$A:$I,8,0)</f>
        <v>https://docs.google.com/spreadsheets/d/1rbCD10ySi4YZEkJW2_Slmn9z7AI1WEsGsZaIJmnnT18/edit?gid=1331480544#gid=1331480544</v>
      </c>
      <c r="K24" s="19" t="str">
        <f>VLOOKUP($A24,'Реестр объектов'!$A:$I,9,0)</f>
        <v>https://disk.yandex.ru/client/disk/Осмотры%20объектов%20АНО%20СМГ/624.%20Тайнинская%20ул.%2C%20зу%203</v>
      </c>
      <c r="L24" s="6"/>
      <c r="M24" s="6"/>
      <c r="N24" s="16"/>
      <c r="O24" s="6"/>
      <c r="P24" s="16"/>
      <c r="Q24" s="6"/>
      <c r="R24" s="6"/>
      <c r="S24" s="6"/>
    </row>
    <row r="25">
      <c r="A25" s="12" t="s">
        <v>53</v>
      </c>
      <c r="B25" s="13" t="str">
        <f>VLOOKUP($A25,'Реестр объектов'!$A:$I,5,0)</f>
        <v>Кржижановского ул., вл. 31 район Котловка Кржижановского ул., вл. 31 микрорайонов 67,68, кварталов 103,104,105,106 за границами ППТ</v>
      </c>
      <c r="C25" s="13" t="str">
        <f>VLOOKUP($A25,'Реестр объектов'!$A:$I,6,0)</f>
        <v>55.673297</v>
      </c>
      <c r="D25" s="13" t="str">
        <f>VLOOKUP($A25,'Реестр объектов'!$A:$I,7,0)</f>
        <v>37.581276</v>
      </c>
      <c r="E25" s="14" t="s">
        <v>27</v>
      </c>
      <c r="F25" s="15" t="s">
        <v>46</v>
      </c>
      <c r="G25" s="20">
        <v>45975.470296898144</v>
      </c>
      <c r="H25" s="16"/>
      <c r="I25" s="17"/>
      <c r="J25" s="18" t="str">
        <f>VLOOKUP($A25,'Реестр объектов'!$A:$I,8,0)</f>
        <v>https://docs.google.com/spreadsheets/d/1rbCD10ySi4YZEkJW2_Slmn9z7AI1WEsGsZaIJmnnT18/edit?gid=79728110#gid=79728110</v>
      </c>
      <c r="K25" s="19" t="str">
        <f>VLOOKUP($A25,'Реестр объектов'!$A:$I,9,0)</f>
        <v>https://disk.yandex.ru/client/disk/Осмотры%20объектов%20АНО%20СМГ/802.%20Котловка%2C%20ул.%20Кржижановского%20вл.%2031</v>
      </c>
      <c r="L25" s="6"/>
      <c r="M25" s="6"/>
      <c r="N25" s="16"/>
      <c r="O25" s="6"/>
      <c r="P25" s="16"/>
      <c r="Q25" s="6"/>
      <c r="R25" s="6"/>
      <c r="S25" s="6"/>
    </row>
    <row r="26">
      <c r="A26" s="12" t="s">
        <v>54</v>
      </c>
      <c r="B26" s="13" t="str">
        <f>VLOOKUP($A26,'Реестр объектов'!$A:$I,5,0)</f>
        <v>Нижегородская ул., з/у 92А (зона №2.4) кв. 80, район Нижегородский (зона № 2.4) (ул. Нижегородская, д. 94, к.2)</v>
      </c>
      <c r="C26" s="13" t="str">
        <f>VLOOKUP($A26,'Реестр объектов'!$A:$I,6,0)</f>
        <v>55.729701</v>
      </c>
      <c r="D26" s="13" t="str">
        <f>VLOOKUP($A26,'Реестр объектов'!$A:$I,7,0)</f>
        <v>37.721204</v>
      </c>
      <c r="E26" s="14" t="s">
        <v>23</v>
      </c>
      <c r="F26" s="15" t="s">
        <v>46</v>
      </c>
      <c r="G26" s="20">
        <v>45975.46543457176</v>
      </c>
      <c r="H26" s="20">
        <v>45975.49305040509</v>
      </c>
      <c r="I26" s="2" t="s">
        <v>55</v>
      </c>
      <c r="J26" s="18" t="str">
        <f>VLOOKUP($A26,'Реестр объектов'!$A:$I,8,0)</f>
        <v>https://docs.google.com/spreadsheets/d/1rbCD10ySi4YZEkJW2_Slmn9z7AI1WEsGsZaIJmnnT18/edit?gid=1527817991#gid=1527817991</v>
      </c>
      <c r="K26" s="19" t="str">
        <f>VLOOKUP($A26,'Реестр объектов'!$A:$I,9,0)</f>
        <v>https://disk.yandex.ru/client/disk/Осмотры%20объектов%20АНО%20СМГ/805.%20Нижегородская%20ул.%2C%20з-у%2092А%2C%20зона%202.4</v>
      </c>
      <c r="L26" s="6"/>
      <c r="M26" s="6"/>
      <c r="N26" s="16"/>
      <c r="O26" s="6"/>
      <c r="P26" s="16"/>
      <c r="Q26" s="6"/>
      <c r="R26" s="6"/>
      <c r="S26" s="6"/>
    </row>
    <row r="27">
      <c r="A27" s="12" t="s">
        <v>56</v>
      </c>
      <c r="B27" s="13" t="str">
        <f>VLOOKUP($A27,'Реестр объектов'!$A:$I,5,0)</f>
        <v>ул. Лобачевского, влд. 62 район Проспект Вернадского, Лобачевского ул., вл. 62</v>
      </c>
      <c r="C27" s="13" t="str">
        <f>VLOOKUP($A27,'Реестр объектов'!$A:$I,6,0)</f>
        <v>55.675595</v>
      </c>
      <c r="D27" s="13" t="str">
        <f>VLOOKUP($A27,'Реестр объектов'!$A:$I,7,0)</f>
        <v>37.492644</v>
      </c>
      <c r="E27" s="14" t="s">
        <v>45</v>
      </c>
      <c r="F27" s="15" t="s">
        <v>46</v>
      </c>
      <c r="G27" s="16"/>
      <c r="H27" s="16"/>
      <c r="I27" s="17"/>
      <c r="J27" s="18" t="str">
        <f>VLOOKUP($A27,'Реестр объектов'!$A:$I,8,0)</f>
        <v>https://docs.google.com/spreadsheets/d/1rbCD10ySi4YZEkJW2_Slmn9z7AI1WEsGsZaIJmnnT18/edit?gid=387655725#gid=387655725</v>
      </c>
      <c r="K27" s="19" t="str">
        <f>VLOOKUP($A27,'Реестр объектов'!$A:$I,9,0)</f>
        <v>https://disk.yandex.ru/client/disk/Осмотры%20объектов%20АНО%20СМГ/609.%20ЗАО%20проспект%20Вернадского%2C%20Лобачевского%20улица.%2C%20вл.62</v>
      </c>
      <c r="L27" s="6"/>
      <c r="M27" s="6"/>
      <c r="N27" s="16"/>
      <c r="O27" s="6"/>
      <c r="P27" s="16"/>
      <c r="Q27" s="6"/>
      <c r="R27" s="6"/>
      <c r="S27" s="6"/>
    </row>
    <row r="28">
      <c r="A28" s="12" t="s">
        <v>57</v>
      </c>
      <c r="B28" s="13" t="str">
        <f>VLOOKUP($A28,'Реестр объектов'!$A:$I,5,0)</f>
        <v>9 Мая ул., вл. 24 район Восточный, 9 Мая ул., вл. 24</v>
      </c>
      <c r="C28" s="13" t="str">
        <f>VLOOKUP($A28,'Реестр объектов'!$A:$I,6,0)</f>
        <v>55.818169</v>
      </c>
      <c r="D28" s="13" t="str">
        <f>VLOOKUP($A28,'Реестр объектов'!$A:$I,7,0)</f>
        <v>37.872541</v>
      </c>
      <c r="E28" s="14" t="s">
        <v>21</v>
      </c>
      <c r="F28" s="15" t="s">
        <v>46</v>
      </c>
      <c r="G28" s="16"/>
      <c r="H28" s="16"/>
      <c r="I28" s="17"/>
      <c r="J28" s="18" t="str">
        <f>VLOOKUP($A28,'Реестр объектов'!$A:$I,8,0)</f>
        <v>https://docs.google.com/spreadsheets/d/1rbCD10ySi4YZEkJW2_Slmn9z7AI1WEsGsZaIJmnnT18/edit?gid=692135392#gid=692135392</v>
      </c>
      <c r="K28" s="21" t="str">
        <f>VLOOKUP($A28,'Реестр объектов'!$A:$I,9,0)</f>
        <v>https://disk.yandex.ru/client/disk/%D0%9E%D1%81%D0%BC%D0%BE%D1%82%D1%80%D1%8B%20%D0%BE%D0%B1%D1%8A%D0%B5%D0%BA%D1%82%D0%BE%D0%B2%20%D0%90%D0%9D%D0%9E%20%D0%A1%D0%9C%D0%93/644%20%D0%A3%D0%BB.%209%20%D0%9C%D0%B0%D1%8F%20%D0%B2%D0%BB%2024%20%D1%80-%D0%BD%20%D0%92%D0%BE%D1%81%D1%82%D0%BE%D1%87%D0%BD%D1%8B%D0%B9%2C%20%D1%81%D0%BE%20%D1%81%D0%BD%D0%BE%D1%81%D0%BE%D0%BC%20%D0%96.%D0%A1.%20%20</v>
      </c>
      <c r="L28" s="6"/>
      <c r="M28" s="6"/>
      <c r="N28" s="16"/>
      <c r="O28" s="6"/>
      <c r="P28" s="16"/>
      <c r="Q28" s="6"/>
      <c r="R28" s="6"/>
      <c r="S28" s="6"/>
    </row>
    <row r="29">
      <c r="A29" s="12" t="s">
        <v>58</v>
      </c>
      <c r="B29" s="13" t="str">
        <f>VLOOKUP($A29,'Реестр объектов'!$A:$I,5,0)</f>
        <v>1-й Саратовский пр-д, з/у 5 (1-й Саратовский пр-д, вл.5) район Текстильщики, 1-й Саратовский пр-д, вл.5</v>
      </c>
      <c r="C29" s="13" t="str">
        <f>VLOOKUP($A29,'Реестр объектов'!$A:$I,6,0)</f>
        <v>55.711841</v>
      </c>
      <c r="D29" s="13" t="str">
        <f>VLOOKUP($A29,'Реестр объектов'!$A:$I,7,0)</f>
        <v>37.737222</v>
      </c>
      <c r="E29" s="14" t="s">
        <v>23</v>
      </c>
      <c r="F29" s="15" t="s">
        <v>46</v>
      </c>
      <c r="G29" s="20">
        <v>45975.354065798616</v>
      </c>
      <c r="H29" s="20">
        <v>45975.381211134256</v>
      </c>
      <c r="I29" s="2" t="s">
        <v>59</v>
      </c>
      <c r="J29" s="18" t="str">
        <f>VLOOKUP($A29,'Реестр объектов'!$A:$I,8,0)</f>
        <v>https://docs.google.com/spreadsheets/d/1rbCD10ySi4YZEkJW2_Slmn9z7AI1WEsGsZaIJmnnT18/edit?gid=847490134#gid=847490134</v>
      </c>
      <c r="K29" s="19" t="str">
        <f>VLOOKUP($A29,'Реестр объектов'!$A:$I,9,0)</f>
        <v>https://disk.yandex.ru/client/disk/Осмотры%20объектов%20АНО%20СМГ/605.%201-й%20Саратовский%20проезд%2C%205%20Реновация</v>
      </c>
      <c r="L29" s="6"/>
      <c r="M29" s="6"/>
      <c r="N29" s="16"/>
      <c r="O29" s="6"/>
      <c r="P29" s="16"/>
      <c r="Q29" s="6"/>
      <c r="R29" s="6"/>
      <c r="S29" s="6"/>
    </row>
    <row r="30">
      <c r="A30" s="12" t="s">
        <v>60</v>
      </c>
      <c r="B30" s="13" t="str">
        <f>VLOOKUP($A30,'Реестр объектов'!$A:$I,5,0)</f>
        <v>ул. 2-я Синичкина, з/у 9 (ул. 2-я Синичкина, вл. 9) район Лефортово, улица 2-я Синичкина, земельный участок 9 (ул. 2-я Синичкина, вл. 9)</v>
      </c>
      <c r="C30" s="13" t="str">
        <f>VLOOKUP($A30,'Реестр объектов'!$A:$I,6,0)</f>
        <v>55.763275</v>
      </c>
      <c r="D30" s="13" t="str">
        <f>VLOOKUP($A30,'Реестр объектов'!$A:$I,7,0)</f>
        <v>37.712926</v>
      </c>
      <c r="E30" s="14" t="s">
        <v>45</v>
      </c>
      <c r="F30" s="15" t="s">
        <v>46</v>
      </c>
      <c r="G30" s="16"/>
      <c r="H30" s="16"/>
      <c r="I30" s="17"/>
      <c r="J30" s="18" t="str">
        <f>VLOOKUP($A30,'Реестр объектов'!$A:$I,8,0)</f>
        <v>https://docs.google.com/spreadsheets/d/1rbCD10ySi4YZEkJW2_Slmn9z7AI1WEsGsZaIJmnnT18/edit?gid=943458292#gid=943458292</v>
      </c>
      <c r="K30" s="21" t="str">
        <f>VLOOKUP($A30,'Реестр объектов'!$A:$I,9,0)</f>
        <v>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v>
      </c>
      <c r="L30" s="6"/>
      <c r="M30" s="6"/>
      <c r="N30" s="16"/>
      <c r="O30" s="6"/>
      <c r="P30" s="16"/>
      <c r="Q30" s="6"/>
      <c r="R30" s="6"/>
      <c r="S30" s="6"/>
    </row>
    <row r="31">
      <c r="A31" s="12" t="s">
        <v>61</v>
      </c>
      <c r="B31" s="13" t="str">
        <f>VLOOKUP($A31,'Реестр объектов'!$A:$I,5,0)</f>
        <v>Щербаковская ул., влд. 5А район Соколиная гора, Щербаковская улица, влд. 5А</v>
      </c>
      <c r="C31" s="13" t="str">
        <f>VLOOKUP($A31,'Реестр объектов'!$A:$I,6,0)</f>
        <v>55.783473</v>
      </c>
      <c r="D31" s="13" t="str">
        <f>VLOOKUP($A31,'Реестр объектов'!$A:$I,7,0)</f>
        <v>37.725236</v>
      </c>
      <c r="E31" s="14" t="s">
        <v>45</v>
      </c>
      <c r="F31" s="15" t="s">
        <v>46</v>
      </c>
      <c r="G31" s="16"/>
      <c r="H31" s="16"/>
      <c r="I31" s="17"/>
      <c r="J31" s="18" t="str">
        <f>VLOOKUP($A31,'Реестр объектов'!$A:$I,8,0)</f>
        <v>https://docs.google.com/spreadsheets/d/1rbCD10ySi4YZEkJW2_Slmn9z7AI1WEsGsZaIJmnnT18/edit?gid=1166394533#gid=1166394533</v>
      </c>
      <c r="K31" s="21" t="str">
        <f>VLOOKUP($A31,'Реестр объектов'!$A:$I,9,0)</f>
        <v>https://disk.yandex.ru/client/disk/%D0%9E%D1%81%D0%BC%D0%BE%D1%82%D1%80%D1%8B%20%D0%BE%D0%B1%D1%8A%D0%B5%D0%BA%D1%82%D0%BE%D0%B2%20%D0%90%D0%9D%D0%9E%20%D0%A1%D0%9C%D0%93/645.%20%D0%A9%D0%B5%D1%80%D0%B1%D0%B0%D0%BA%D0%BE%D0%B2%D1%81%D0%BA%D0%B0%D1%8F%20%D0%B7%D1%83%205%D0%90%20</v>
      </c>
      <c r="L31" s="6"/>
      <c r="M31" s="6"/>
      <c r="N31" s="16"/>
      <c r="O31" s="6"/>
      <c r="P31" s="16"/>
      <c r="Q31" s="6"/>
      <c r="R31" s="6"/>
      <c r="S31" s="6"/>
    </row>
    <row r="32">
      <c r="A32" s="12" t="s">
        <v>62</v>
      </c>
      <c r="B32" s="13" t="str">
        <f>VLOOKUP($A32,'Реестр объектов'!$A:$I,5,0)</f>
        <v>гор.Щербинка, 40 лет Октября ул., з/у 12 ТиНАО, г.о. Щербинка,  ул. 40 лет Октября, з/у 12 (Симферопольская ул., д. 2, ул. 40 лет Октября, д. 12, д. 16/1)</v>
      </c>
      <c r="C32" s="13" t="str">
        <f>VLOOKUP($A32,'Реестр объектов'!$A:$I,6,0)</f>
        <v>55.510648</v>
      </c>
      <c r="D32" s="13" t="str">
        <f>VLOOKUP($A32,'Реестр объектов'!$A:$I,7,0)</f>
        <v>37.572771</v>
      </c>
      <c r="E32" s="14" t="s">
        <v>45</v>
      </c>
      <c r="F32" s="15" t="s">
        <v>46</v>
      </c>
      <c r="G32" s="16"/>
      <c r="H32" s="16"/>
      <c r="I32" s="17"/>
      <c r="J32" s="18" t="str">
        <f>VLOOKUP($A32,'Реестр объектов'!$A:$I,8,0)</f>
        <v>https://docs.google.com/spreadsheets/d/1rbCD10ySi4YZEkJW2_Slmn9z7AI1WEsGsZaIJmnnT18/edit?gid=811633138#gid=811633138</v>
      </c>
      <c r="K32" s="19" t="str">
        <f>VLOOKUP($A32,'Реестр объектов'!$A:$I,9,0)</f>
        <v>https://disk.yandex.ru/client/disk/Осмотры%20объектов%20АНО%20СМГ/550.%20г.о.%20Щербинка%2C%20ул.%2040%20лет%20Октября%2C%20з.у%2012%20Симферопольская%20ул.%2C%20д.%202%2C%20ул.%2040%20лет%20Октября%2C%20д.%2012%2C%20д.%2016.1)</v>
      </c>
      <c r="L32" s="6"/>
      <c r="M32" s="6"/>
      <c r="N32" s="16"/>
      <c r="O32" s="6"/>
      <c r="P32" s="16"/>
      <c r="Q32" s="6"/>
      <c r="R32" s="6"/>
      <c r="S32" s="6"/>
    </row>
    <row r="33">
      <c r="A33" s="12" t="s">
        <v>63</v>
      </c>
      <c r="B33" s="13" t="str">
        <f>VLOOKUP($A33,'Реестр объектов'!$A:$I,5,0)</f>
        <v>ул. Корнейчука, вл.47А СВАО, район Бибирево, ул. Корнейчука, вл. 47А (со сносом здания по адресу: ул. Корнейчука, д. 47А)</v>
      </c>
      <c r="C33" s="13" t="str">
        <f>VLOOKUP($A33,'Реестр объектов'!$A:$I,6,0)</f>
        <v>55.893110</v>
      </c>
      <c r="D33" s="13" t="str">
        <f>VLOOKUP($A33,'Реестр объектов'!$A:$I,7,0)</f>
        <v>37.630685</v>
      </c>
      <c r="E33" s="14" t="s">
        <v>45</v>
      </c>
      <c r="F33" s="15" t="s">
        <v>46</v>
      </c>
      <c r="G33" s="16"/>
      <c r="H33" s="16"/>
      <c r="I33" s="17"/>
      <c r="J33" s="18" t="str">
        <f>VLOOKUP($A33,'Реестр объектов'!$A:$I,8,0)</f>
        <v>https://docs.google.com/spreadsheets/d/1rbCD10ySi4YZEkJW2_Slmn9z7AI1WEsGsZaIJmnnT18/edit?gid=1300345470#gid=1300345470</v>
      </c>
      <c r="K33" s="19" t="str">
        <f>VLOOKUP($A33,'Реестр объектов'!$A:$I,9,0)</f>
        <v>https://disk.yandex.ru/client/disk/Осмотры%20объектов%20АНО%20СМГ/655.%20ул.%20Корнейчука%2C%20вл.%2047%20А</v>
      </c>
      <c r="L33" s="6"/>
      <c r="M33" s="6"/>
      <c r="N33" s="16"/>
      <c r="O33" s="6"/>
      <c r="P33" s="16"/>
      <c r="Q33" s="6"/>
      <c r="R33" s="6"/>
      <c r="S33" s="6"/>
    </row>
    <row r="34">
      <c r="A34" s="12" t="s">
        <v>64</v>
      </c>
      <c r="B34" s="13" t="str">
        <f>VLOOKUP($A34,'Реестр объектов'!$A:$I,5,0)</f>
        <v>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v>
      </c>
      <c r="C34" s="13" t="str">
        <f>VLOOKUP($A34,'Реестр объектов'!$A:$I,6,0)</f>
        <v>55.674464</v>
      </c>
      <c r="D34" s="13" t="str">
        <f>VLOOKUP($A34,'Реестр объектов'!$A:$I,7,0)</f>
        <v>37.446148</v>
      </c>
      <c r="E34" s="14" t="s">
        <v>45</v>
      </c>
      <c r="F34" s="15" t="s">
        <v>46</v>
      </c>
      <c r="G34" s="16"/>
      <c r="H34" s="16"/>
      <c r="I34" s="17"/>
      <c r="J34" s="18" t="str">
        <f>VLOOKUP($A34,'Реестр объектов'!$A:$I,8,0)</f>
        <v>https://docs.google.com/spreadsheets/d/1rbCD10ySi4YZEkJW2_Slmn9z7AI1WEsGsZaIJmnnT18/edit?gid=1525507838#gid=1525507838</v>
      </c>
      <c r="K34" s="19" t="str">
        <f>VLOOKUP($A34,'Реестр объектов'!$A:$I,9,0)</f>
        <v>https://disk.yandex.ru/client/disk/Осмотры%20объектов%20АНО%20СМГ/712.%20Большая%20Очаковская%2C%20влд.%2045А%2C%20квартал%202%2C4%20зона%2015.1</v>
      </c>
      <c r="L34" s="6"/>
      <c r="M34" s="6"/>
      <c r="N34" s="16"/>
      <c r="O34" s="6"/>
      <c r="P34" s="16"/>
      <c r="Q34" s="6"/>
      <c r="R34" s="6"/>
      <c r="S34" s="6"/>
    </row>
    <row r="35">
      <c r="A35" s="12" t="s">
        <v>65</v>
      </c>
      <c r="B35" s="13" t="str">
        <f>VLOOKUP($A35,'Реестр объектов'!$A:$I,5,0)</f>
        <v>Шишкин Лес, зона 6.2 ТАО, пос. Михайлово-Ярцевское, п. Шишкин Лес, з/у 5 зона №  6.2</v>
      </c>
      <c r="C35" s="13" t="str">
        <f>VLOOKUP($A35,'Реестр объектов'!$A:$I,6,0)</f>
        <v>55.413660</v>
      </c>
      <c r="D35" s="13" t="str">
        <f>VLOOKUP($A35,'Реестр объектов'!$A:$I,7,0)</f>
        <v>37.192563</v>
      </c>
      <c r="E35" s="14" t="s">
        <v>29</v>
      </c>
      <c r="F35" s="15" t="s">
        <v>46</v>
      </c>
      <c r="G35" s="16"/>
      <c r="H35" s="16"/>
      <c r="I35" s="17"/>
      <c r="J35" s="18" t="str">
        <f>VLOOKUP($A35,'Реестр объектов'!$A:$I,8,0)</f>
        <v>https://docs.google.com/spreadsheets/d/1rbCD10ySi4YZEkJW2_Slmn9z7AI1WEsGsZaIJmnnT18/edit?gid=1721879742#gid=1721879742</v>
      </c>
      <c r="K35" s="19" t="str">
        <f>VLOOKUP($A35,'Реестр объектов'!$A:$I,9,0)</f>
        <v>https://disk.yandex.ru/client/disk/Осмотры%20объектов%20АНО%20СМГ/698.%20пос.%20Михайлово-Ярцевское%2C%20п.%20Шишкин%20Лес%2C%20зу%205%20зона%20№%206.2</v>
      </c>
      <c r="L35" s="6"/>
      <c r="M35" s="6"/>
      <c r="N35" s="16"/>
      <c r="O35" s="6"/>
      <c r="P35" s="16"/>
      <c r="Q35" s="6"/>
      <c r="R35" s="6"/>
      <c r="S35" s="6"/>
    </row>
    <row r="36">
      <c r="A36" s="12" t="s">
        <v>66</v>
      </c>
      <c r="B36" s="13" t="str">
        <f>VLOOKUP($A36,'Реестр объектов'!$A:$I,5,0)</f>
        <v>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 Госпитальный Вал, д.5, стр.20 и жилого дома по адресу: ул. Госпитальный Вал, д.5, к.10)</v>
      </c>
      <c r="C36" s="13" t="str">
        <f>VLOOKUP($A36,'Реестр объектов'!$A:$I,6,0)</f>
        <v>55.772856</v>
      </c>
      <c r="D36" s="13" t="str">
        <f>VLOOKUP($A36,'Реестр объектов'!$A:$I,7,0)</f>
        <v>37.708026</v>
      </c>
      <c r="E36" s="14" t="s">
        <v>45</v>
      </c>
      <c r="F36" s="15" t="s">
        <v>46</v>
      </c>
      <c r="G36" s="16"/>
      <c r="H36" s="16"/>
      <c r="I36" s="17"/>
      <c r="J36" s="18" t="str">
        <f>VLOOKUP($A36,'Реестр объектов'!$A:$I,8,0)</f>
        <v>https://docs.google.com/spreadsheets/d/1rbCD10ySi4YZEkJW2_Slmn9z7AI1WEsGsZaIJmnnT18/edit?gid=1637195585#gid=1637195585</v>
      </c>
      <c r="K36" s="19" t="str">
        <f>VLOOKUP($A36,'Реестр объектов'!$A:$I,9,0)</f>
        <v>https://disk.yandex.ru/client/disk/Осмотры%20объектов%20АНО%20СМГ/653.%20Госпитальный%20Вал%20ул.%2C%20вл.%205%2C%20Корп.20</v>
      </c>
      <c r="L36" s="6"/>
      <c r="M36" s="6"/>
      <c r="N36" s="16"/>
      <c r="O36" s="6"/>
      <c r="P36" s="16"/>
      <c r="Q36" s="6"/>
      <c r="R36" s="6"/>
      <c r="S36" s="6"/>
    </row>
    <row r="37">
      <c r="A37" s="12" t="s">
        <v>67</v>
      </c>
      <c r="B37" s="13" t="str">
        <f>VLOOKUP($A37,'Реестр объектов'!$A:$I,5,0)</f>
        <v>ул. Госпитальный Вал, вл.3 ЦАО, район Басманный, ул. Госпитальный Вал, вл.3 (со сносом жилых домов по адресам: 
ул. Госпитальный Вал, д.3 и д.3, корп.1)</v>
      </c>
      <c r="C37" s="13" t="str">
        <f>VLOOKUP($A37,'Реестр объектов'!$A:$I,6,0)</f>
        <v>55.772318</v>
      </c>
      <c r="D37" s="13" t="str">
        <f>VLOOKUP($A37,'Реестр объектов'!$A:$I,7,0)</f>
        <v>37.706787</v>
      </c>
      <c r="E37" s="14" t="s">
        <v>45</v>
      </c>
      <c r="F37" s="15" t="s">
        <v>46</v>
      </c>
      <c r="G37" s="16"/>
      <c r="H37" s="16"/>
      <c r="I37" s="17"/>
      <c r="J37" s="18" t="str">
        <f>VLOOKUP($A37,'Реестр объектов'!$A:$I,8,0)</f>
        <v>https://docs.google.com/spreadsheets/d/1rbCD10ySi4YZEkJW2_Slmn9z7AI1WEsGsZaIJmnnT18/edit?gid=1429286292#gid=1429286292</v>
      </c>
      <c r="K37" s="19" t="str">
        <f>VLOOKUP($A37,'Реестр объектов'!$A:$I,9,0)</f>
        <v>https://disk.yandex.ru/client/disk/Осмотры%20объектов%20АНО%20СМГ/694.%20Госпитальный%20Вал%20ул.%2C%20вл.%203</v>
      </c>
      <c r="L37" s="6"/>
      <c r="M37" s="6"/>
      <c r="N37" s="16"/>
      <c r="O37" s="6"/>
      <c r="P37" s="16"/>
      <c r="Q37" s="6"/>
      <c r="R37" s="6"/>
      <c r="S37" s="6"/>
    </row>
    <row r="38">
      <c r="A38" s="12" t="s">
        <v>68</v>
      </c>
      <c r="B38" s="13" t="str">
        <f>VLOOKUP($A38,'Реестр объектов'!$A:$I,5,0)</f>
        <v>ул. Константинова, з/у 2 (ул. Константинова, вл. 2) СВАО, район Алексеевский, ул. Константинова, влд. 2 		</v>
      </c>
      <c r="C38" s="13" t="str">
        <f>VLOOKUP($A38,'Реестр объектов'!$A:$I,6,0)</f>
        <v>55.813415</v>
      </c>
      <c r="D38" s="13" t="str">
        <f>VLOOKUP($A38,'Реестр объектов'!$A:$I,7,0)</f>
        <v>37.652562</v>
      </c>
      <c r="E38" s="14" t="s">
        <v>45</v>
      </c>
      <c r="F38" s="15" t="s">
        <v>46</v>
      </c>
      <c r="G38" s="16"/>
      <c r="H38" s="16"/>
      <c r="I38" s="17"/>
      <c r="J38" s="18" t="str">
        <f>VLOOKUP($A38,'Реестр объектов'!$A:$I,8,0)</f>
        <v>https://docs.google.com/spreadsheets/d/1rbCD10ySi4YZEkJW2_Slmn9z7AI1WEsGsZaIJmnnT18/edit?gid=989644917#gid=989644917</v>
      </c>
      <c r="K38" s="19" t="str">
        <f>VLOOKUP($A38,'Реестр объектов'!$A:$I,9,0)</f>
        <v>https://disk.yandex.ru/client/disk/Осмотры%20объектов%20АНО%20СМГ/666.%20Константинова%20ул.%2C%20вл.%202</v>
      </c>
      <c r="L38" s="6"/>
      <c r="M38" s="6"/>
      <c r="N38" s="16"/>
      <c r="O38" s="6"/>
      <c r="P38" s="16"/>
      <c r="Q38" s="6"/>
      <c r="R38" s="6"/>
      <c r="S38" s="6"/>
    </row>
    <row r="39">
      <c r="A39" s="12" t="s">
        <v>69</v>
      </c>
      <c r="B39" s="13" t="str">
        <f>VLOOKUP($A39,'Реестр объектов'!$A:$I,5,0)</f>
        <v>пр-д Береговой, з/у 9/1 (Береговой пр-д, вл.9, корп.1) район Филевский парк, Береговой пр-д, вл. 9, корп. 1</v>
      </c>
      <c r="C39" s="13" t="str">
        <f>VLOOKUP($A39,'Реестр объектов'!$A:$I,6,0)</f>
        <v>55.754325</v>
      </c>
      <c r="D39" s="13" t="str">
        <f>VLOOKUP($A39,'Реестр объектов'!$A:$I,7,0)</f>
        <v>37.504466</v>
      </c>
      <c r="E39" s="14" t="s">
        <v>45</v>
      </c>
      <c r="F39" s="15" t="s">
        <v>46</v>
      </c>
      <c r="G39" s="16"/>
      <c r="H39" s="16"/>
      <c r="I39" s="17"/>
      <c r="J39" s="18" t="str">
        <f>VLOOKUP($A39,'Реестр объектов'!$A:$I,8,0)</f>
        <v>https://docs.google.com/spreadsheets/d/1rbCD10ySi4YZEkJW2_Slmn9z7AI1WEsGsZaIJmnnT18/edit?gid=3034090#gid=3034090</v>
      </c>
      <c r="K39" s="19" t="str">
        <f>VLOOKUP($A39,'Реестр объектов'!$A:$I,9,0)</f>
        <v>https://disk.yandex.ru/client/disk/Осмотры%20объектов%20АНО%20СМГ/961.%20Жилой%20дом%20Береговой%20проезд%209к1</v>
      </c>
      <c r="L39" s="6"/>
      <c r="M39" s="6"/>
      <c r="N39" s="16"/>
      <c r="O39" s="6"/>
      <c r="P39" s="16"/>
      <c r="Q39" s="6"/>
      <c r="R39" s="6"/>
      <c r="S39" s="6"/>
    </row>
    <row r="40">
      <c r="A40" s="12" t="s">
        <v>70</v>
      </c>
      <c r="B40" s="13" t="str">
        <f>VLOOKUP($A40,'Реестр объектов'!$A:$I,5,0)</f>
        <v>Велозаводская ул., з/у 2 ЮАО, район Даниловский, Велозаводская ул., вл.2</v>
      </c>
      <c r="C40" s="13" t="str">
        <f>VLOOKUP($A40,'Реестр объектов'!$A:$I,6,0)</f>
        <v>55.715704</v>
      </c>
      <c r="D40" s="13" t="str">
        <f>VLOOKUP($A40,'Реестр объектов'!$A:$I,7,0)</f>
        <v>37.663933</v>
      </c>
      <c r="E40" s="14" t="s">
        <v>25</v>
      </c>
      <c r="F40" s="15" t="s">
        <v>46</v>
      </c>
      <c r="G40" s="16"/>
      <c r="H40" s="16"/>
      <c r="I40" s="17"/>
      <c r="J40" s="18" t="str">
        <f>VLOOKUP($A40,'Реестр объектов'!$A:$I,8,0)</f>
        <v>https://docs.google.com/spreadsheets/d/1rbCD10ySi4YZEkJW2_Slmn9z7AI1WEsGsZaIJmnnT18/edit?gid=1509964288#gid=1509964288</v>
      </c>
      <c r="K40" s="19" t="str">
        <f>VLOOKUP($A40,'Реестр объектов'!$A:$I,9,0)</f>
        <v>https://disk.yandex.ru/client/disk/Осмотры%20объектов%20АНО%20СМГ/673.%20Велозаводская%20ул.%2C%20з.у%202</v>
      </c>
      <c r="L40" s="6"/>
      <c r="M40" s="6"/>
      <c r="N40" s="16"/>
      <c r="O40" s="6"/>
      <c r="P40" s="16"/>
      <c r="Q40" s="6"/>
      <c r="R40" s="6"/>
      <c r="S40" s="6"/>
    </row>
    <row r="41">
      <c r="A41" s="12" t="s">
        <v>71</v>
      </c>
      <c r="B41" s="13" t="str">
        <f>VLOOKUP($A41,'Реестр объектов'!$A:$I,5,0)</f>
        <v>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 3)</v>
      </c>
      <c r="C41" s="13" t="str">
        <f>VLOOKUP($A41,'Реестр объектов'!$A:$I,6,0)</f>
        <v>55.642963</v>
      </c>
      <c r="D41" s="13" t="str">
        <f>VLOOKUP($A41,'Реестр объектов'!$A:$I,7,0)</f>
        <v>37.542380</v>
      </c>
      <c r="E41" s="14" t="s">
        <v>31</v>
      </c>
      <c r="F41" s="15" t="s">
        <v>46</v>
      </c>
      <c r="G41" s="16"/>
      <c r="H41" s="16"/>
      <c r="I41" s="17"/>
      <c r="J41" s="18" t="str">
        <f>VLOOKUP($A41,'Реестр объектов'!$A:$I,8,0)</f>
        <v>https://docs.google.com/spreadsheets/d/1rbCD10ySi4YZEkJW2_Slmn9z7AI1WEsGsZaIJmnnT18/edit?gid=1872184030#gid=1872184030</v>
      </c>
      <c r="K41" s="19" t="str">
        <f>VLOOKUP($A41,'Реестр объектов'!$A:$I,9,0)</f>
        <v>https://disk.yandex.ru/client/disk/Осмотры%20объектов%20АНО%20СМГ/819.%20района%20Коньково%20ул.%20Введенского%2C%209%20микрорайон%206%2C%20зона%20№%201.3</v>
      </c>
      <c r="L41" s="6"/>
      <c r="M41" s="6"/>
      <c r="N41" s="16"/>
      <c r="O41" s="6"/>
      <c r="P41" s="16"/>
      <c r="Q41" s="6"/>
      <c r="R41" s="6"/>
      <c r="S41" s="6"/>
    </row>
    <row r="42">
      <c r="A42" s="12" t="s">
        <v>72</v>
      </c>
      <c r="B42" s="13" t="str">
        <f>VLOOKUP($A42,'Реестр объектов'!$A:$I,5,0)</f>
        <v>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д.45, к.2, ул. Олеко Дундича, д.47, ул. Кастанаевская, д.40, к.1, ул. Кастанаевская, д.40, к.2)</v>
      </c>
      <c r="C42" s="13" t="str">
        <f>VLOOKUP($A42,'Реестр объектов'!$A:$I,6,0)</f>
        <v>55.736265</v>
      </c>
      <c r="D42" s="13" t="str">
        <f>VLOOKUP($A42,'Реестр объектов'!$A:$I,7,0)</f>
        <v>37.477252</v>
      </c>
      <c r="E42" s="14" t="s">
        <v>45</v>
      </c>
      <c r="F42" s="15" t="s">
        <v>46</v>
      </c>
      <c r="G42" s="16"/>
      <c r="H42" s="16"/>
      <c r="I42" s="17"/>
      <c r="J42" s="18" t="str">
        <f>VLOOKUP($A42,'Реестр объектов'!$A:$I,8,0)</f>
        <v>https://docs.google.com/spreadsheets/d/1rbCD10ySi4YZEkJW2_Slmn9z7AI1WEsGsZaIJmnnT18/edit?gid=1114468550#gid=1114468550</v>
      </c>
      <c r="K42" s="19" t="str">
        <f>VLOOKUP($A42,'Реестр объектов'!$A:$I,9,0)</f>
        <v>https://disk.yandex.ru/client/disk/Осмотры%20объектов%20АНО%20СМГ/596.Жилой%20дом%20ул.%20Пивченкова%20вл14</v>
      </c>
      <c r="L42" s="6"/>
      <c r="M42" s="6"/>
      <c r="N42" s="16"/>
      <c r="O42" s="6"/>
      <c r="P42" s="16"/>
      <c r="Q42" s="6"/>
      <c r="R42" s="6"/>
      <c r="S42" s="6"/>
    </row>
    <row r="43">
      <c r="A43" s="12" t="s">
        <v>73</v>
      </c>
      <c r="B43" s="13" t="str">
        <f>VLOOKUP($A43,'Реестр объектов'!$A:$I,5,0)</f>
        <v>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v>
      </c>
      <c r="C43" s="13" t="str">
        <f>VLOOKUP($A43,'Реестр объектов'!$A:$I,6,0)</f>
        <v>55.705355</v>
      </c>
      <c r="D43" s="13" t="str">
        <f>VLOOKUP($A43,'Реестр объектов'!$A:$I,7,0)</f>
        <v>37.813629</v>
      </c>
      <c r="E43" s="14" t="s">
        <v>41</v>
      </c>
      <c r="F43" s="15" t="s">
        <v>46</v>
      </c>
      <c r="G43" s="16"/>
      <c r="H43" s="16"/>
      <c r="I43" s="17"/>
      <c r="J43" s="18" t="str">
        <f>VLOOKUP($A43,'Реестр объектов'!$A:$I,8,0)</f>
        <v>https://docs.google.com/spreadsheets/d/1rbCD10ySi4YZEkJW2_Slmn9z7AI1WEsGsZaIJmnnT18/edit?gid=830671407#gid=830671407</v>
      </c>
      <c r="K43" s="19" t="str">
        <f>VLOOKUP($A43,'Реестр объектов'!$A:$I,9,0)</f>
        <v>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м%2014%2C%20корпус%205)</v>
      </c>
      <c r="L43" s="6"/>
      <c r="M43" s="6"/>
      <c r="N43" s="16"/>
      <c r="O43" s="6"/>
      <c r="P43" s="16"/>
      <c r="Q43" s="6"/>
      <c r="R43" s="6"/>
      <c r="S43" s="6"/>
    </row>
    <row r="44">
      <c r="A44" s="12" t="s">
        <v>74</v>
      </c>
      <c r="B44" s="13" t="str">
        <f>VLOOKUP($A44,'Реестр объектов'!$A:$I,5,0)</f>
        <v>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v>
      </c>
      <c r="C44" s="13" t="str">
        <f>VLOOKUP($A44,'Реестр объектов'!$A:$I,6,0)</f>
        <v>55.651945</v>
      </c>
      <c r="D44" s="13" t="str">
        <f>VLOOKUP($A44,'Реестр объектов'!$A:$I,7,0)</f>
        <v>37.569259</v>
      </c>
      <c r="E44" s="14" t="s">
        <v>31</v>
      </c>
      <c r="F44" s="15" t="s">
        <v>46</v>
      </c>
      <c r="G44" s="16"/>
      <c r="H44" s="16"/>
      <c r="I44" s="17"/>
      <c r="J44" s="18" t="str">
        <f>VLOOKUP($A44,'Реестр объектов'!$A:$I,8,0)</f>
        <v>https://docs.google.com/spreadsheets/d/1rbCD10ySi4YZEkJW2_Slmn9z7AI1WEsGsZaIJmnnT18/edit?gid=1787224258#gid=1787224258</v>
      </c>
      <c r="K44" s="19" t="str">
        <f>VLOOKUP($A44,'Реестр объектов'!$A:$I,9,0)</f>
        <v>https://disk.yandex.ru/client/disk/Осмотры%20объектов%20АНО%20СМГ/695.%20ЮЗАО%2C%20Херсонская%20зу%2016%20кв.%2040%2C%20зона%201.3</v>
      </c>
      <c r="L44" s="6"/>
      <c r="M44" s="6"/>
      <c r="N44" s="16"/>
      <c r="O44" s="6"/>
      <c r="P44" s="16"/>
      <c r="Q44" s="6"/>
      <c r="R44" s="6"/>
      <c r="S44" s="6"/>
    </row>
    <row r="45">
      <c r="A45" s="12" t="s">
        <v>75</v>
      </c>
      <c r="B45" s="13" t="str">
        <f>VLOOKUP($A45,'Реестр объектов'!$A:$I,5,0)</f>
        <v>улица Херсонская,земельный участок 14 (участок 1.4) ЮЗАО, район Зюзино, кв. 40, ул. Херсонская, зу 14 (зона 1.4)</v>
      </c>
      <c r="C45" s="13" t="str">
        <f>VLOOKUP($A45,'Реестр объектов'!$A:$I,6,0)</f>
        <v>55.651717</v>
      </c>
      <c r="D45" s="13" t="str">
        <f>VLOOKUP($A45,'Реестр объектов'!$A:$I,7,0)</f>
        <v>37.570189</v>
      </c>
      <c r="E45" s="14" t="s">
        <v>31</v>
      </c>
      <c r="F45" s="15" t="s">
        <v>46</v>
      </c>
      <c r="G45" s="16"/>
      <c r="H45" s="16"/>
      <c r="I45" s="17"/>
      <c r="J45" s="18" t="str">
        <f>VLOOKUP($A45,'Реестр объектов'!$A:$I,8,0)</f>
        <v>https://docs.google.com/spreadsheets/d/1rbCD10ySi4YZEkJW2_Slmn9z7AI1WEsGsZaIJmnnT18/edit?gid=2069894648#gid=2069894648</v>
      </c>
      <c r="K45" s="19" t="str">
        <f>VLOOKUP($A45,'Реестр объектов'!$A:$I,9,0)</f>
        <v>https://disk.yandex.ru/client/disk/Осмотры%20объектов%20АНО%20СМГ/659.%20ЮЗАО%2C%20Зюзино%20кв%2040%2C%20Херсонская%20зу%2014%20(зона%201.4)</v>
      </c>
      <c r="L45" s="6"/>
      <c r="M45" s="6"/>
      <c r="N45" s="16"/>
      <c r="O45" s="6"/>
      <c r="P45" s="16"/>
      <c r="Q45" s="6"/>
      <c r="R45" s="6"/>
      <c r="S45" s="6"/>
    </row>
    <row r="46">
      <c r="A46" s="12" t="s">
        <v>76</v>
      </c>
      <c r="B46" s="13" t="str">
        <f>VLOOKUP($A46,'Реестр объектов'!$A:$I,5,0)</f>
        <v>улица Зарайская, земельный участок 46/1 (вл. 46, к. 1 и 2, Шатурская ул., вл. 39) ЮВАО, район Рязанский, Зарайская ул., вл. 46/1, Шатурская ул. вл.39 </v>
      </c>
      <c r="C46" s="13" t="str">
        <f>VLOOKUP($A46,'Реестр объектов'!$A:$I,6,0)</f>
        <v>55.728211</v>
      </c>
      <c r="D46" s="13" t="str">
        <f>VLOOKUP($A46,'Реестр объектов'!$A:$I,7,0)</f>
        <v>37.772367</v>
      </c>
      <c r="E46" s="14" t="s">
        <v>23</v>
      </c>
      <c r="F46" s="15" t="s">
        <v>46</v>
      </c>
      <c r="G46" s="16"/>
      <c r="H46" s="16"/>
      <c r="I46" s="17"/>
      <c r="J46" s="18" t="str">
        <f>VLOOKUP($A46,'Реестр объектов'!$A:$I,8,0)</f>
        <v>https://docs.google.com/spreadsheets/d/1rbCD10ySi4YZEkJW2_Slmn9z7AI1WEsGsZaIJmnnT18/edit?gid=1644784685#gid=1644784685</v>
      </c>
      <c r="K46" s="21" t="str">
        <f>VLOOKUP($A46,'Реестр объектов'!$A:$I,9,0)</f>
        <v>https://disk.yandex.ru/client/disk/%D0%9E%D1%81%D0%BC%D0%BE%D1%82%D1%80%D1%8B%20%D0%BE%D0%B1%D1%8A%D0%B5%D0%BA%D1%82%D0%BE%D0%B2%20%D0%90%D0%9D%D0%9E%20%D0%A1%D0%9C%D0%93/714%20%D0%97%D0%B0%D1%80%D0%B0%D0%B9%D1%81%D0%BA%D0%B0%D1%8F%20%D0%B2%D0%BB%2046.1%20%2C%20%D0%A8%D0%B0%D1%82%D1%83%D1%80%D1%81%D0%BA%D0%B0%D1%8F%20%D1%83%D0%BB%20%D0%B2%D0%BB.%2039%20</v>
      </c>
      <c r="L46" s="6"/>
      <c r="M46" s="6"/>
      <c r="N46" s="16"/>
      <c r="O46" s="6"/>
      <c r="P46" s="16"/>
      <c r="Q46" s="6"/>
      <c r="R46" s="6"/>
      <c r="S46" s="6"/>
    </row>
    <row r="47">
      <c r="A47" s="12" t="s">
        <v>77</v>
      </c>
      <c r="B47" s="13" t="str">
        <f>VLOOKUP($A47,'Реестр объектов'!$A:$I,5,0)</f>
        <v>улица Плеханова, земельный участок 24А (вл. 24А) ВАО, район Перово, ул. Плеханова зу 24А</v>
      </c>
      <c r="C47" s="13" t="str">
        <f>VLOOKUP($A47,'Реестр объектов'!$A:$I,6,0)</f>
        <v>55.741388</v>
      </c>
      <c r="D47" s="13" t="str">
        <f>VLOOKUP($A47,'Реестр объектов'!$A:$I,7,0)</f>
        <v>37.764829</v>
      </c>
      <c r="E47" s="14" t="s">
        <v>23</v>
      </c>
      <c r="F47" s="15" t="s">
        <v>46</v>
      </c>
      <c r="G47" s="16"/>
      <c r="H47" s="16"/>
      <c r="I47" s="17"/>
      <c r="J47" s="18" t="str">
        <f>VLOOKUP($A47,'Реестр объектов'!$A:$I,8,0)</f>
        <v>https://docs.google.com/spreadsheets/d/1rbCD10ySi4YZEkJW2_Slmn9z7AI1WEsGsZaIJmnnT18/edit?gid=1455430518#gid=1455430518</v>
      </c>
      <c r="K47" s="19" t="str">
        <f>VLOOKUP($A47,'Реестр объектов'!$A:$I,9,0)</f>
        <v>https://disk.yandex.ru/client/disk/Осмотры%20объектов%20АНО%20СМГ/571.%20Перово%2C%20ул.%20Плехановская%2C%2024%20А</v>
      </c>
      <c r="L47" s="6"/>
      <c r="M47" s="6"/>
      <c r="N47" s="16"/>
      <c r="O47" s="6"/>
      <c r="P47" s="16"/>
      <c r="Q47" s="6"/>
      <c r="R47" s="6"/>
      <c r="S47" s="6"/>
    </row>
    <row r="48">
      <c r="A48" s="12" t="s">
        <v>78</v>
      </c>
      <c r="B48" s="13" t="str">
        <f>VLOOKUP($A48,'Реестр объектов'!$A:$I,5,0)</f>
        <v>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Парковая ул, д.42, к.8, стр.1)</v>
      </c>
      <c r="C48" s="13" t="str">
        <f>VLOOKUP($A48,'Реестр объектов'!$A:$I,6,0)</f>
        <v>55.806119</v>
      </c>
      <c r="D48" s="13" t="str">
        <f>VLOOKUP($A48,'Реестр объектов'!$A:$I,7,0)</f>
        <v>37.824476</v>
      </c>
      <c r="E48" s="14" t="s">
        <v>21</v>
      </c>
      <c r="F48" s="15" t="s">
        <v>46</v>
      </c>
      <c r="G48" s="16"/>
      <c r="H48" s="16"/>
      <c r="I48" s="17"/>
      <c r="J48" s="18" t="str">
        <f>VLOOKUP($A48,'Реестр объектов'!$A:$I,8,0)</f>
        <v>https://docs.google.com/spreadsheets/d/1rbCD10ySi4YZEkJW2_Slmn9z7AI1WEsGsZaIJmnnT18/edit?gid=617058408#gid=617058408</v>
      </c>
      <c r="K48" s="21" t="str">
        <f>VLOOKUP($A48,'Реестр объектов'!$A:$I,9,0)</f>
        <v>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v>
      </c>
      <c r="L48" s="6"/>
      <c r="M48" s="6"/>
      <c r="N48" s="16"/>
      <c r="O48" s="6"/>
      <c r="P48" s="16"/>
      <c r="Q48" s="6"/>
      <c r="R48" s="6"/>
      <c r="S48" s="6"/>
    </row>
    <row r="49">
      <c r="A49" s="12" t="s">
        <v>79</v>
      </c>
      <c r="B49" s="13" t="str">
        <f>VLOOKUP($A49,'Реестр объектов'!$A:$I,5,0)</f>
        <v>улица Ташкентская, земельный участок 14/3 (зона 3.2 и 3.4) улица Ташкентская, земельный участок 14/3 (зона 3.2 и 3.4)</v>
      </c>
      <c r="C49" s="13" t="str">
        <f>VLOOKUP($A49,'Реестр объектов'!$A:$I,6,0)</f>
        <v>55.704688</v>
      </c>
      <c r="D49" s="13" t="str">
        <f>VLOOKUP($A49,'Реестр объектов'!$A:$I,7,0)</f>
        <v>37.813485</v>
      </c>
      <c r="E49" s="14" t="s">
        <v>41</v>
      </c>
      <c r="F49" s="15" t="s">
        <v>46</v>
      </c>
      <c r="G49" s="16"/>
      <c r="H49" s="16"/>
      <c r="I49" s="17"/>
      <c r="J49" s="18" t="str">
        <f>VLOOKUP($A49,'Реестр объектов'!$A:$I,8,0)</f>
        <v>https://docs.google.com/spreadsheets/d/1rbCD10ySi4YZEkJW2_Slmn9z7AI1WEsGsZaIJmnnT18/edit?gid=252316906#gid=252316906</v>
      </c>
      <c r="K49" s="19" t="str">
        <f>VLOOKUP($A49,'Реестр объектов'!$A:$I,9,0)</f>
        <v>https://disk.yandex.ru/client/disk/Осмотры%20объектов%20АНО%20СМГ/827.%20район%20Выхино-Жулебино%2C%20ул.%20Ташкентская%20ЗУ%2014.3%2C%20зона%20№%203.2%2C%203.4</v>
      </c>
      <c r="L49" s="6"/>
      <c r="M49" s="6"/>
      <c r="N49" s="16"/>
      <c r="O49" s="6"/>
      <c r="P49" s="16"/>
      <c r="Q49" s="6"/>
      <c r="R49" s="6"/>
      <c r="S49" s="6"/>
    </row>
    <row r="50">
      <c r="A50" s="12" t="s">
        <v>80</v>
      </c>
      <c r="B50" s="13" t="str">
        <f>VLOOKUP($A50,'Реестр объектов'!$A:$I,5,0)</f>
        <v>ул. Амурская, земельный участок 1/11 (зоны 3.1, 3.2) район Гольяново, Амурская ул., вл. 1, зона № 3.1, 3.2 (улица Амурская, з/у 1/11)</v>
      </c>
      <c r="C50" s="13" t="str">
        <f>VLOOKUP($A50,'Реестр объектов'!$A:$I,6,0)</f>
        <v>55.808457</v>
      </c>
      <c r="D50" s="13" t="str">
        <f>VLOOKUP($A50,'Реестр объектов'!$A:$I,7,0)</f>
        <v>37.753995</v>
      </c>
      <c r="E50" s="14" t="s">
        <v>21</v>
      </c>
      <c r="F50" s="15" t="s">
        <v>46</v>
      </c>
      <c r="G50" s="16"/>
      <c r="H50" s="16"/>
      <c r="I50" s="17"/>
      <c r="J50" s="18" t="str">
        <f>VLOOKUP($A50,'Реестр объектов'!$A:$I,8,0)</f>
        <v>https://docs.google.com/spreadsheets/d/1rbCD10ySi4YZEkJW2_Slmn9z7AI1WEsGsZaIJmnnT18/edit?gid=798053940#gid=798053940</v>
      </c>
      <c r="K50" s="19" t="str">
        <f>VLOOKUP($A50,'Реестр объектов'!$A:$I,9,0)</f>
        <v>https://disk.yandex.ru/client/disk/Осмотры%20объектов%20АНО%20СМГ/598.%20ВАО%2C%20Амурская%20ул%20вл.1%20зона%20N%203.1%2C3.2%20(з_у%201_11)</v>
      </c>
      <c r="L50" s="6"/>
      <c r="M50" s="6"/>
      <c r="N50" s="16"/>
      <c r="O50" s="6"/>
      <c r="P50" s="16"/>
      <c r="Q50" s="6"/>
      <c r="R50" s="6"/>
      <c r="S50" s="6"/>
    </row>
    <row r="51">
      <c r="A51" s="12" t="s">
        <v>81</v>
      </c>
      <c r="B51" s="13" t="str">
        <f>VLOOKUP($A51,'Реестр объектов'!$A:$I,5,0)</f>
        <v>улица Юных Ленинцев, земельный участок 103 (участок 12.4) улица Юных Ленинцев, земельный участок 103 (участок 12.4)</v>
      </c>
      <c r="C51" s="13" t="str">
        <f>VLOOKUP($A51,'Реестр объектов'!$A:$I,6,0)</f>
        <v>55.699947</v>
      </c>
      <c r="D51" s="13" t="str">
        <f>VLOOKUP($A51,'Реестр объектов'!$A:$I,7,0)</f>
        <v>37.781703</v>
      </c>
      <c r="E51" s="14" t="s">
        <v>41</v>
      </c>
      <c r="F51" s="15" t="s">
        <v>46</v>
      </c>
      <c r="G51" s="20">
        <v>45975.35103626158</v>
      </c>
      <c r="H51" s="20">
        <v>45975.42273831018</v>
      </c>
      <c r="I51" s="2" t="s">
        <v>82</v>
      </c>
      <c r="J51" s="18" t="str">
        <f>VLOOKUP($A51,'Реестр объектов'!$A:$I,8,0)</f>
        <v>https://docs.google.com/spreadsheets/d/1rbCD10ySi4YZEkJW2_Slmn9z7AI1WEsGsZaIJmnnT18/edit?gid=256251800#gid=256251800</v>
      </c>
      <c r="K51" s="19" t="str">
        <f>VLOOKUP($A51,'Реестр объектов'!$A:$I,9,0)</f>
        <v>https://disk.yandex.ru/client/disk/Осмотры%20объектов%20АНО%20СМГ/829.%20Ул.%20Юных%20Ленинцев%2C%20з-у%20103%20(уч.%2012.4).%20Жилой%20дом</v>
      </c>
      <c r="L51" s="6"/>
      <c r="M51" s="6"/>
      <c r="N51" s="16"/>
      <c r="O51" s="6"/>
      <c r="P51" s="16"/>
      <c r="Q51" s="6"/>
      <c r="R51" s="6"/>
      <c r="S51" s="6"/>
    </row>
    <row r="52">
      <c r="A52" s="12" t="s">
        <v>83</v>
      </c>
      <c r="B52" s="13" t="str">
        <f>VLOOKUP($A52,'Реестр объектов'!$A:$I,5,0)</f>
        <v>шоссе Волоколамское, земельный участок 106 СЗАО	 шоссе Волоколамское, земельный участок 106</v>
      </c>
      <c r="C52" s="13" t="str">
        <f>VLOOKUP($A52,'Реестр объектов'!$A:$I,6,0)</f>
        <v>55.826736</v>
      </c>
      <c r="D52" s="13" t="str">
        <f>VLOOKUP($A52,'Реестр объектов'!$A:$I,7,0)</f>
        <v>37.428314</v>
      </c>
      <c r="E52" s="14" t="s">
        <v>45</v>
      </c>
      <c r="F52" s="15" t="s">
        <v>46</v>
      </c>
      <c r="G52" s="16"/>
      <c r="H52" s="16"/>
      <c r="I52" s="17"/>
      <c r="J52" s="18" t="str">
        <f>VLOOKUP($A52,'Реестр объектов'!$A:$I,8,0)</f>
        <v>https://docs.google.com/spreadsheets/d/1rbCD10ySi4YZEkJW2_Slmn9z7AI1WEsGsZaIJmnnT18/edit?gid=1402094174#gid=1402094174</v>
      </c>
      <c r="K52" s="19" t="str">
        <f>VLOOKUP($A52,'Реестр объектов'!$A:$I,9,0)</f>
        <v>https://disk.yandex.ru/client/disk/Осмотры%20объектов%20АНО%20СМГ/832.%20Волоколамское%20шоссе%2C%20зу%20106</v>
      </c>
      <c r="L52" s="6"/>
      <c r="M52" s="6"/>
      <c r="N52" s="16"/>
      <c r="O52" s="6"/>
      <c r="P52" s="16"/>
      <c r="Q52" s="6"/>
      <c r="R52" s="6"/>
      <c r="S52" s="6"/>
    </row>
    <row r="53">
      <c r="A53" s="12" t="s">
        <v>84</v>
      </c>
      <c r="B53" s="13" t="str">
        <f>VLOOKUP($A53,'Реестр объектов'!$A:$I,5,0)</f>
        <v>Даниловская набережная, земельный участок 8 (вл. 8) ЮАО, район Даниловский, Даниловская набережная, земельный участок 8 (Даниловская наб., вл. 8) 	</v>
      </c>
      <c r="C53" s="13" t="str">
        <f>VLOOKUP($A53,'Реестр объектов'!$A:$I,6,0)</f>
        <v>55.709430</v>
      </c>
      <c r="D53" s="13" t="str">
        <f>VLOOKUP($A53,'Реестр объектов'!$A:$I,7,0)</f>
        <v>37.636083</v>
      </c>
      <c r="E53" s="14" t="s">
        <v>25</v>
      </c>
      <c r="F53" s="15" t="s">
        <v>46</v>
      </c>
      <c r="G53" s="16"/>
      <c r="H53" s="16"/>
      <c r="I53" s="17"/>
      <c r="J53" s="18" t="str">
        <f>VLOOKUP($A53,'Реестр объектов'!$A:$I,8,0)</f>
        <v>https://docs.google.com/spreadsheets/d/1rbCD10ySi4YZEkJW2_Slmn9z7AI1WEsGsZaIJmnnT18/edit?gid=756416994#gid=756416994</v>
      </c>
      <c r="K53" s="19" t="str">
        <f>VLOOKUP($A53,'Реестр объектов'!$A:$I,9,0)</f>
        <v>https://disk.yandex.ru/client/disk/Осмотры%20объектов%20АНО%20СМГ/717.%20Даниловская%20набережная%2C%20вл.%208</v>
      </c>
      <c r="L53" s="6"/>
      <c r="M53" s="6"/>
      <c r="N53" s="16"/>
      <c r="O53" s="6"/>
      <c r="P53" s="16"/>
      <c r="Q53" s="6"/>
      <c r="R53" s="6"/>
      <c r="S53" s="6"/>
    </row>
    <row r="54">
      <c r="A54" s="12" t="s">
        <v>85</v>
      </c>
      <c r="B54" s="13" t="str">
        <f>VLOOKUP($A54,'Реестр объектов'!$A:$I,5,0)</f>
        <v>улица Леснорядская, земельный участок 7 ЦАО, район Красносельский, Леснорядская ул., вл. 7, 2-я Леснорядская ул., д. 10-12, стр. 1</v>
      </c>
      <c r="C54" s="13" t="str">
        <f>VLOOKUP($A54,'Реестр объектов'!$A:$I,6,0)</f>
        <v>55.782122</v>
      </c>
      <c r="D54" s="13" t="str">
        <f>VLOOKUP($A54,'Реестр объектов'!$A:$I,7,0)</f>
        <v>37.676403</v>
      </c>
      <c r="E54" s="14" t="s">
        <v>45</v>
      </c>
      <c r="F54" s="15" t="s">
        <v>46</v>
      </c>
      <c r="G54" s="16"/>
      <c r="H54" s="16"/>
      <c r="I54" s="17"/>
      <c r="J54" s="18" t="str">
        <f>VLOOKUP($A54,'Реестр объектов'!$A:$I,8,0)</f>
        <v>https://docs.google.com/spreadsheets/d/1rbCD10ySi4YZEkJW2_Slmn9z7AI1WEsGsZaIJmnnT18/edit?gid=2030780082#gid=2030780082</v>
      </c>
      <c r="K54" s="19" t="str">
        <f>VLOOKUP($A54,'Реестр объектов'!$A:$I,9,0)</f>
        <v>https://disk.yandex.ru/client/disk/Осмотры%20объектов%20АНО%20СМГ/1156.%20Леснорядская%20улица%20земельный%20участок%207</v>
      </c>
      <c r="L54" s="6"/>
      <c r="M54" s="6"/>
      <c r="N54" s="16"/>
      <c r="O54" s="6"/>
      <c r="P54" s="16"/>
      <c r="Q54" s="6"/>
      <c r="R54" s="6"/>
      <c r="S54" s="6"/>
    </row>
    <row r="55">
      <c r="A55" s="12" t="s">
        <v>86</v>
      </c>
      <c r="B55" s="13" t="str">
        <f>VLOOKUP($A55,'Реестр объектов'!$A:$I,5,0)</f>
        <v>Новохорошёвский пр-д, влд. 6/1 (вл. 6) СЗАО	Новохорошёвский пр-д, влд. 6/1 (вл. 6)</v>
      </c>
      <c r="C55" s="13" t="str">
        <f>VLOOKUP($A55,'Реестр объектов'!$A:$I,6,0)</f>
        <v>55.778451</v>
      </c>
      <c r="D55" s="13" t="str">
        <f>VLOOKUP($A55,'Реестр объектов'!$A:$I,7,0)</f>
        <v>37.498935</v>
      </c>
      <c r="E55" s="14" t="s">
        <v>45</v>
      </c>
      <c r="F55" s="15" t="s">
        <v>46</v>
      </c>
      <c r="G55" s="16"/>
      <c r="H55" s="16"/>
      <c r="I55" s="17"/>
      <c r="J55" s="18" t="str">
        <f>VLOOKUP($A55,'Реестр объектов'!$A:$I,8,0)</f>
        <v>https://docs.google.com/spreadsheets/d/1rbCD10ySi4YZEkJW2_Slmn9z7AI1WEsGsZaIJmnnT18/edit?gid=808253211#gid=808253211</v>
      </c>
      <c r="K55" s="19" t="str">
        <f>VLOOKUP($A55,'Реестр объектов'!$A:$I,9,0)</f>
        <v>https://disk.yandex.ru/client/disk/Осмотры%20объектов%20АНО%20СМГ/622.%20Новохорошевский%20пр-д.%2C%20вл.%206.1</v>
      </c>
      <c r="L55" s="6"/>
      <c r="M55" s="6"/>
      <c r="N55" s="16"/>
      <c r="O55" s="6"/>
      <c r="P55" s="16"/>
      <c r="Q55" s="6"/>
      <c r="R55" s="6"/>
      <c r="S55" s="6"/>
    </row>
    <row r="56">
      <c r="A56" s="12" t="s">
        <v>87</v>
      </c>
      <c r="B56" s="13" t="str">
        <f>VLOOKUP($A56,'Реестр объектов'!$A:$I,5,0)</f>
        <v>Новохорошёвский пр-д, влд. 24/3/1 (вл. 24, к. 3) СЗАО, район Хорошево-Мневники, Новохорошевский проезд, вл. 24/3/1</v>
      </c>
      <c r="C56" s="13" t="str">
        <f>VLOOKUP($A56,'Реестр объектов'!$A:$I,6,0)</f>
        <v>55.779797</v>
      </c>
      <c r="D56" s="13" t="str">
        <f>VLOOKUP($A56,'Реестр объектов'!$A:$I,7,0)</f>
        <v>37.492350</v>
      </c>
      <c r="E56" s="14" t="s">
        <v>45</v>
      </c>
      <c r="F56" s="15" t="s">
        <v>46</v>
      </c>
      <c r="G56" s="16"/>
      <c r="H56" s="16"/>
      <c r="I56" s="17"/>
      <c r="J56" s="18" t="str">
        <f>VLOOKUP($A56,'Реестр объектов'!$A:$I,8,0)</f>
        <v>https://docs.google.com/spreadsheets/d/1rbCD10ySi4YZEkJW2_Slmn9z7AI1WEsGsZaIJmnnT18/edit?gid=326389439#gid=326389439</v>
      </c>
      <c r="K56" s="19" t="str">
        <f>VLOOKUP($A56,'Реестр объектов'!$A:$I,9,0)</f>
        <v>https://disk.yandex.ru/client/disk/Осмотры%20объектов%20АНО%20СМГ/634.%20Новохорошевский%20пр-д.%2C%20вл.%2024.3.1</v>
      </c>
      <c r="L56" s="6"/>
      <c r="M56" s="6"/>
      <c r="N56" s="16"/>
      <c r="O56" s="6"/>
      <c r="P56" s="16"/>
      <c r="Q56" s="6"/>
      <c r="R56" s="6"/>
      <c r="S56" s="6"/>
    </row>
    <row r="57">
      <c r="A57" s="12" t="s">
        <v>88</v>
      </c>
      <c r="B57" s="13" t="str">
        <f>VLOOKUP($A57,'Реестр объектов'!$A:$I,5,0)</f>
        <v>Жилой дом с инженерными сетями и благоустройством территории, САО, район Коптево, Генерала Рычагова ул., вл. 14 САО, район Коптево, Генерала Рычагова ул., вл. 14</v>
      </c>
      <c r="C57" s="13" t="str">
        <f>VLOOKUP($A57,'Реестр объектов'!$A:$I,6,0)</f>
        <v>55.840465</v>
      </c>
      <c r="D57" s="13" t="str">
        <f>VLOOKUP($A57,'Реестр объектов'!$A:$I,7,0)</f>
        <v>37.536380</v>
      </c>
      <c r="E57" s="14" t="s">
        <v>45</v>
      </c>
      <c r="F57" s="15" t="s">
        <v>46</v>
      </c>
      <c r="G57" s="16"/>
      <c r="H57" s="16"/>
      <c r="I57" s="17"/>
      <c r="J57" s="18" t="str">
        <f>VLOOKUP($A57,'Реестр объектов'!$A:$I,8,0)</f>
        <v>https://docs.google.com/spreadsheets/d/1rbCD10ySi4YZEkJW2_Slmn9z7AI1WEsGsZaIJmnnT18/edit?gid=1726616701#gid=1726616701</v>
      </c>
      <c r="K57" s="19" t="str">
        <f>VLOOKUP($A57,'Реестр объектов'!$A:$I,9,0)</f>
        <v>https://disk.yandex.ru/client/disk/Осмотры%20объектов%20АНО%20СМГ/621.%20Район%20Коптево%2C%20Генерала%20Рычагова%20ул.%2C%20вл.14</v>
      </c>
      <c r="L57" s="6"/>
      <c r="M57" s="6"/>
      <c r="N57" s="16"/>
      <c r="O57" s="6"/>
      <c r="P57" s="16"/>
      <c r="Q57" s="6"/>
      <c r="R57" s="6"/>
      <c r="S57" s="6"/>
    </row>
    <row r="58">
      <c r="A58" s="12" t="s">
        <v>89</v>
      </c>
      <c r="B58" s="13" t="str">
        <f>VLOOKUP($A58,'Реестр объектов'!$A:$I,5,0)</f>
        <v>ул. Давыдковская, вл.16 ЗАО, район Фили-Давыдково, Давыдковская ул., вл. 16 (рефинансирование)</v>
      </c>
      <c r="C58" s="13" t="str">
        <f>VLOOKUP($A58,'Реестр объектов'!$A:$I,6,0)</f>
        <v>55.719924</v>
      </c>
      <c r="D58" s="13" t="str">
        <f>VLOOKUP($A58,'Реестр объектов'!$A:$I,7,0)</f>
        <v>37.466579</v>
      </c>
      <c r="E58" s="14" t="s">
        <v>45</v>
      </c>
      <c r="F58" s="15" t="s">
        <v>46</v>
      </c>
      <c r="G58" s="16"/>
      <c r="H58" s="16"/>
      <c r="I58" s="17"/>
      <c r="J58" s="18" t="str">
        <f>VLOOKUP($A58,'Реестр объектов'!$A:$I,8,0)</f>
        <v>https://docs.google.com/spreadsheets/d/1rbCD10ySi4YZEkJW2_Slmn9z7AI1WEsGsZaIJmnnT18/edit?gid=676192549#gid=676192549</v>
      </c>
      <c r="K58" s="19" t="str">
        <f>VLOOKUP($A58,'Реестр объектов'!$A:$I,9,0)</f>
        <v>https://disk.yandex.ru/client/disk/Осмотры%20объектов%20АНО%20СМГ/647.%20Жилой%20дом%20ул.%20Давыдковская%20вл16</v>
      </c>
      <c r="L58" s="6"/>
      <c r="M58" s="6"/>
      <c r="N58" s="16"/>
      <c r="O58" s="6"/>
      <c r="P58" s="16"/>
      <c r="Q58" s="6"/>
      <c r="R58" s="6"/>
      <c r="S58" s="6"/>
    </row>
    <row r="59">
      <c r="A59" s="12" t="s">
        <v>90</v>
      </c>
      <c r="B59" s="13" t="str">
        <f>VLOOKUP($A59,'Реестр объектов'!$A:$I,5,0)</f>
        <v>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v>
      </c>
      <c r="C59" s="13" t="str">
        <f>VLOOKUP($A59,'Реестр объектов'!$A:$I,6,0)</f>
        <v>55.677745</v>
      </c>
      <c r="D59" s="13" t="str">
        <f>VLOOKUP($A59,'Реестр объектов'!$A:$I,7,0)</f>
        <v>37.592998</v>
      </c>
      <c r="E59" s="14" t="s">
        <v>27</v>
      </c>
      <c r="F59" s="15" t="s">
        <v>46</v>
      </c>
      <c r="G59" s="16"/>
      <c r="H59" s="16"/>
      <c r="I59" s="17"/>
      <c r="J59" s="18" t="str">
        <f>VLOOKUP($A59,'Реестр объектов'!$A:$I,8,0)</f>
        <v>https://docs.google.com/spreadsheets/d/1rbCD10ySi4YZEkJW2_Slmn9z7AI1WEsGsZaIJmnnT18/edit?gid=2138822298#gid=2138822298</v>
      </c>
      <c r="K59" s="19" t="str">
        <f>VLOOKUP($A59,'Реестр объектов'!$A:$I,9,0)</f>
        <v>https://disk.yandex.ru/client/disk/Осмотры%20объектов%20АНО%20СМГ/573.%20Б.Черемушкинская%2025Б%20Жилой%20дом</v>
      </c>
      <c r="L59" s="6"/>
      <c r="M59" s="6"/>
      <c r="N59" s="16"/>
      <c r="O59" s="6"/>
      <c r="P59" s="16"/>
      <c r="Q59" s="6"/>
      <c r="R59" s="6"/>
      <c r="S59" s="6"/>
    </row>
    <row r="60">
      <c r="A60" s="12" t="s">
        <v>91</v>
      </c>
      <c r="B60" s="13" t="str">
        <f>VLOOKUP($A60,'Реестр объектов'!$A:$I,5,0)</f>
        <v>ул. Подвойского, з/у 12/15 (зона 1.1) ЦАО, район Пресненский,кв. 804, 798 зона 1.1 Подвойского ул., вл. 12/15</v>
      </c>
      <c r="C60" s="13" t="str">
        <f>VLOOKUP($A60,'Реестр объектов'!$A:$I,6,0)</f>
        <v>55.761833</v>
      </c>
      <c r="D60" s="13" t="str">
        <f>VLOOKUP($A60,'Реестр объектов'!$A:$I,7,0)</f>
        <v>37.537364</v>
      </c>
      <c r="E60" s="14" t="s">
        <v>45</v>
      </c>
      <c r="F60" s="15" t="s">
        <v>46</v>
      </c>
      <c r="G60" s="16"/>
      <c r="H60" s="16"/>
      <c r="I60" s="17"/>
      <c r="J60" s="18" t="str">
        <f>VLOOKUP($A60,'Реестр объектов'!$A:$I,8,0)</f>
        <v>https://docs.google.com/spreadsheets/d/1rbCD10ySi4YZEkJW2_Slmn9z7AI1WEsGsZaIJmnnT18/edit?gid=188482008#gid=188482008</v>
      </c>
      <c r="K60" s="19" t="str">
        <f>VLOOKUP($A60,'Реестр объектов'!$A:$I,9,0)</f>
        <v>https://disk.yandex.ru/client/disk/Осмотры%20объектов%20АНО%20СМГ/618.%20Подвойского%20вл%2012%5C15</v>
      </c>
      <c r="L60" s="6"/>
      <c r="M60" s="6"/>
      <c r="N60" s="16"/>
      <c r="O60" s="6"/>
      <c r="P60" s="16"/>
      <c r="Q60" s="6"/>
      <c r="R60" s="6"/>
      <c r="S60" s="6"/>
    </row>
    <row r="61">
      <c r="A61" s="12" t="s">
        <v>92</v>
      </c>
      <c r="B61" s="13" t="str">
        <f>VLOOKUP($A61,'Реестр объектов'!$A:$I,5,0)</f>
        <v>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v>
      </c>
      <c r="C61" s="13" t="str">
        <f>VLOOKUP($A61,'Реестр объектов'!$A:$I,6,0)</f>
        <v>55.782351</v>
      </c>
      <c r="D61" s="13" t="str">
        <f>VLOOKUP($A61,'Реестр объектов'!$A:$I,7,0)</f>
        <v>37.448956</v>
      </c>
      <c r="E61" s="14" t="s">
        <v>45</v>
      </c>
      <c r="F61" s="15" t="s">
        <v>46</v>
      </c>
      <c r="G61" s="16"/>
      <c r="H61" s="16"/>
      <c r="I61" s="17"/>
      <c r="J61" s="18" t="str">
        <f>VLOOKUP($A61,'Реестр объектов'!$A:$I,8,0)</f>
        <v>https://docs.google.com/spreadsheets/d/1rbCD10ySi4YZEkJW2_Slmn9z7AI1WEsGsZaIJmnnT18/edit?gid=370993780#gid=370993780</v>
      </c>
      <c r="K61" s="19" t="str">
        <f>VLOOKUP($A61,'Реестр объектов'!$A:$I,9,0)</f>
        <v>https://disk.yandex.ru/client/disk/Осмотры%20объектов%20АНО%20СМГ/637.%20Хорошево-Мневники%2CНовикова%20Прибоя%2C%20зу%206.2</v>
      </c>
      <c r="L61" s="6"/>
      <c r="M61" s="6"/>
      <c r="N61" s="16"/>
      <c r="O61" s="6"/>
      <c r="P61" s="16"/>
      <c r="Q61" s="6"/>
      <c r="R61" s="6"/>
      <c r="S61" s="6"/>
    </row>
    <row r="62">
      <c r="A62" s="12" t="s">
        <v>93</v>
      </c>
      <c r="B62" s="13" t="str">
        <f>VLOOKUP($A62,'Реестр объектов'!$A:$I,5,0)</f>
        <v>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v>
      </c>
      <c r="C62" s="13" t="str">
        <f>VLOOKUP($A62,'Реестр объектов'!$A:$I,6,0)</f>
        <v>55.893782</v>
      </c>
      <c r="D62" s="13" t="str">
        <f>VLOOKUP($A62,'Реестр объектов'!$A:$I,7,0)</f>
        <v>37.540875</v>
      </c>
      <c r="E62" s="14" t="s">
        <v>45</v>
      </c>
      <c r="F62" s="15" t="s">
        <v>46</v>
      </c>
      <c r="G62" s="16"/>
      <c r="H62" s="16"/>
      <c r="I62" s="17"/>
      <c r="J62" s="18" t="str">
        <f>VLOOKUP($A62,'Реестр объектов'!$A:$I,8,0)</f>
        <v>https://docs.google.com/spreadsheets/d/1rbCD10ySi4YZEkJW2_Slmn9z7AI1WEsGsZaIJmnnT18/edit?gid=953902791#gid=953902791</v>
      </c>
      <c r="K62" s="19" t="str">
        <f>VLOOKUP($A62,'Реестр объектов'!$A:$I,9,0)</f>
        <v>https://disk.yandex.ru/client/disk/Осмотры%20объектов%20АНО%20СМГ/620.%20%20ул.%20Долгопрудная%20з.у.%206</v>
      </c>
      <c r="L62" s="6"/>
      <c r="M62" s="6"/>
      <c r="N62" s="16"/>
      <c r="O62" s="6"/>
      <c r="P62" s="16"/>
      <c r="Q62" s="6"/>
      <c r="R62" s="6"/>
      <c r="S62" s="6"/>
    </row>
    <row r="63">
      <c r="A63" s="12" t="s">
        <v>94</v>
      </c>
      <c r="B63" s="13" t="str">
        <f>VLOOKUP($A63,'Реестр объектов'!$A:$I,5,0)</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внутригородское муниципальное образование Лосиноостровское, Изумрудная улица, земельный участок 12А Лосиноостровское, Изумрудная улица, земельный участок 12А</v>
      </c>
      <c r="C63" s="13" t="str">
        <f>VLOOKUP($A63,'Реестр объектов'!$A:$I,6,0)</f>
        <v>55.869268</v>
      </c>
      <c r="D63" s="13" t="str">
        <f>VLOOKUP($A63,'Реестр объектов'!$A:$I,7,0)</f>
        <v>37.680814</v>
      </c>
      <c r="E63" s="14" t="s">
        <v>45</v>
      </c>
      <c r="F63" s="15" t="s">
        <v>46</v>
      </c>
      <c r="G63" s="16"/>
      <c r="H63" s="16"/>
      <c r="I63" s="17"/>
      <c r="J63" s="18" t="str">
        <f>VLOOKUP($A63,'Реестр объектов'!$A:$I,8,0)</f>
        <v>https://docs.google.com/spreadsheets/d/1rbCD10ySi4YZEkJW2_Slmn9z7AI1WEsGsZaIJmnnT18/edit?gid=1131436691#gid=1131436691</v>
      </c>
      <c r="K63" s="19" t="str">
        <f>VLOOKUP($A63,'Реестр объектов'!$A:$I,9,0)</f>
        <v>https://disk.yandex.ru/client/disk/Осмотры%20объектов%20АНО%20СМГ/930%20Изумрудная%20ул.%2C%20зу%2012А</v>
      </c>
      <c r="L63" s="6"/>
      <c r="M63" s="6"/>
      <c r="N63" s="16"/>
      <c r="O63" s="6"/>
      <c r="P63" s="16"/>
      <c r="Q63" s="6"/>
      <c r="R63" s="6"/>
      <c r="S63" s="6"/>
    </row>
    <row r="64">
      <c r="A64" s="12" t="s">
        <v>95</v>
      </c>
      <c r="B64" s="13" t="str">
        <f>VLOOKUP($A64,'Реестр объектов'!$A:$I,5,0)</f>
        <v>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v>
      </c>
      <c r="C64" s="13" t="str">
        <f>VLOOKUP($A64,'Реестр объектов'!$A:$I,6,0)</f>
        <v>55.635583</v>
      </c>
      <c r="D64" s="13" t="str">
        <f>VLOOKUP($A64,'Реестр объектов'!$A:$I,7,0)</f>
        <v>37.649688</v>
      </c>
      <c r="E64" s="14" t="s">
        <v>27</v>
      </c>
      <c r="F64" s="15" t="s">
        <v>46</v>
      </c>
      <c r="G64" s="20">
        <v>45975.36831362269</v>
      </c>
      <c r="H64" s="20">
        <v>45975.44325358796</v>
      </c>
      <c r="I64" s="2" t="s">
        <v>96</v>
      </c>
      <c r="J64" s="18" t="str">
        <f>VLOOKUP($A64,'Реестр объектов'!$A:$I,8,0)</f>
        <v>https://docs.google.com/spreadsheets/d/1rbCD10ySi4YZEkJW2_Slmn9z7AI1WEsGsZaIJmnnT18/edit?gid=657849366#gid=657849366</v>
      </c>
      <c r="K64" s="19" t="str">
        <f>VLOOKUP($A64,'Реестр объектов'!$A:$I,9,0)</f>
        <v>https://disk.yandex.ru/client/disk/Осмотры%20объектов%20АНО%20СМГ/923.%20Бехтерева%20ул.%2C%20з-у%203-5.%20Жилой%20дом</v>
      </c>
      <c r="L64" s="6"/>
      <c r="M64" s="6"/>
      <c r="N64" s="16"/>
      <c r="O64" s="6"/>
      <c r="P64" s="16"/>
      <c r="Q64" s="6"/>
      <c r="R64" s="6"/>
      <c r="S64" s="6"/>
    </row>
    <row r="65">
      <c r="A65" s="12" t="s">
        <v>97</v>
      </c>
      <c r="B65" s="13" t="str">
        <f>VLOOKUP($A65,'Реестр объектов'!$A:$I,5,0)</f>
        <v>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v>
      </c>
      <c r="C65" s="13" t="str">
        <f>VLOOKUP($A65,'Реестр объектов'!$A:$I,6,0)</f>
        <v>55.892306</v>
      </c>
      <c r="D65" s="13" t="str">
        <f>VLOOKUP($A65,'Реестр объектов'!$A:$I,7,0)</f>
        <v>37.530438</v>
      </c>
      <c r="E65" s="14" t="s">
        <v>45</v>
      </c>
      <c r="F65" s="15" t="s">
        <v>46</v>
      </c>
      <c r="G65" s="16"/>
      <c r="H65" s="16"/>
      <c r="I65" s="17"/>
      <c r="J65" s="18" t="str">
        <f>VLOOKUP($A65,'Реестр объектов'!$A:$I,8,0)</f>
        <v>https://docs.google.com/spreadsheets/d/1rbCD10ySi4YZEkJW2_Slmn9z7AI1WEsGsZaIJmnnT18/edit?gid=44169429#gid=44169429</v>
      </c>
      <c r="K65" s="19" t="str">
        <f>VLOOKUP($A65,'Реестр объектов'!$A:$I,9,0)</f>
        <v>https://disk.yandex.ru/client/disk/Осмотры%20объектов%20АНО%20СМГ/611.%20Карельский%20бульвар%2C%20вл.%201.24</v>
      </c>
      <c r="L65" s="6"/>
      <c r="M65" s="6"/>
      <c r="N65" s="16"/>
      <c r="O65" s="6"/>
      <c r="P65" s="16"/>
      <c r="Q65" s="6"/>
      <c r="R65" s="6"/>
      <c r="S65" s="6"/>
    </row>
    <row r="66">
      <c r="A66" s="12" t="s">
        <v>98</v>
      </c>
      <c r="B66" s="13" t="str">
        <f>VLOOKUP($A66,'Реестр объектов'!$A:$I,5,0)</f>
        <v>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v>
      </c>
      <c r="C66" s="13" t="str">
        <f>VLOOKUP($A66,'Реестр объектов'!$A:$I,6,0)</f>
        <v>55.670546</v>
      </c>
      <c r="D66" s="13" t="str">
        <f>VLOOKUP($A66,'Реестр объектов'!$A:$I,7,0)</f>
        <v>37.556150</v>
      </c>
      <c r="E66" s="14" t="s">
        <v>27</v>
      </c>
      <c r="F66" s="15" t="s">
        <v>46</v>
      </c>
      <c r="G66" s="16"/>
      <c r="H66" s="16"/>
      <c r="I66" s="17"/>
      <c r="J66" s="18" t="str">
        <f>VLOOKUP($A66,'Реестр объектов'!$A:$I,8,0)</f>
        <v>https://docs.google.com/spreadsheets/d/1rbCD10ySi4YZEkJW2_Slmn9z7AI1WEsGsZaIJmnnT18/edit?gid=1797830857#gid=1797830857</v>
      </c>
      <c r="K66" s="19" t="str">
        <f>VLOOKUP($A66,'Реестр объектов'!$A:$I,9,0)</f>
        <v>https://disk.yandex.ru/client/disk/Осмотры%20объектов%20АНО%20СМГ/719.%20ул.%20Грибальди%20вл25%2C%20Профсоюзная%20д39%20(Гарибальди%20д25%20к1%2C%20д25%20стр2)</v>
      </c>
      <c r="L66" s="6"/>
      <c r="M66" s="6"/>
      <c r="N66" s="16"/>
      <c r="O66" s="6"/>
      <c r="P66" s="16"/>
      <c r="Q66" s="6"/>
      <c r="R66" s="6"/>
      <c r="S66" s="6"/>
    </row>
    <row r="67">
      <c r="A67" s="12" t="s">
        <v>99</v>
      </c>
      <c r="B67" s="13" t="str">
        <f>VLOOKUP($A67,'Реестр объектов'!$A:$I,5,0)</f>
        <v>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v>
      </c>
      <c r="C67" s="13" t="str">
        <f>VLOOKUP($A67,'Реестр объектов'!$A:$I,6,0)</f>
        <v>55.716559</v>
      </c>
      <c r="D67" s="13" t="str">
        <f>VLOOKUP($A67,'Реестр объектов'!$A:$I,7,0)</f>
        <v>37.662180</v>
      </c>
      <c r="E67" s="14" t="s">
        <v>45</v>
      </c>
      <c r="F67" s="15" t="s">
        <v>46</v>
      </c>
      <c r="G67" s="16"/>
      <c r="H67" s="16"/>
      <c r="I67" s="17"/>
      <c r="J67" s="18" t="str">
        <f>VLOOKUP($A67,'Реестр объектов'!$A:$I,8,0)</f>
        <v>https://docs.google.com/spreadsheets/d/1rbCD10ySi4YZEkJW2_Slmn9z7AI1WEsGsZaIJmnnT18/edit?gid=1343620006#gid=1343620006</v>
      </c>
      <c r="K67" s="19" t="str">
        <f>VLOOKUP($A67,'Реестр объектов'!$A:$I,9,0)</f>
        <v>https://disk.yandex.ru/client/disk/Осмотры%20объектов%20АНО%20СМГ/687.%20Даниловский%2C%20Восточная%20ул%201</v>
      </c>
      <c r="L67" s="6"/>
      <c r="M67" s="6"/>
      <c r="N67" s="16"/>
      <c r="O67" s="6"/>
      <c r="P67" s="16"/>
      <c r="Q67" s="6"/>
      <c r="R67" s="6"/>
      <c r="S67" s="6"/>
    </row>
    <row r="68">
      <c r="A68" s="12" t="s">
        <v>100</v>
      </c>
      <c r="B68" s="13" t="str">
        <f>VLOOKUP($A68,'Реестр объектов'!$A:$I,5,0)</f>
        <v>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v>
      </c>
      <c r="C68" s="13" t="str">
        <f>VLOOKUP($A68,'Реестр объектов'!$A:$I,6,0)</f>
        <v>55.828250</v>
      </c>
      <c r="D68" s="13" t="str">
        <f>VLOOKUP($A68,'Реестр объектов'!$A:$I,7,0)</f>
        <v>37.450018</v>
      </c>
      <c r="E68" s="14" t="s">
        <v>45</v>
      </c>
      <c r="F68" s="15" t="s">
        <v>46</v>
      </c>
      <c r="G68" s="16"/>
      <c r="H68" s="16"/>
      <c r="I68" s="17"/>
      <c r="J68" s="18" t="str">
        <f>VLOOKUP($A68,'Реестр объектов'!$A:$I,8,0)</f>
        <v>https://docs.google.com/spreadsheets/d/1rbCD10ySi4YZEkJW2_Slmn9z7AI1WEsGsZaIJmnnT18/edit?gid=24415394#gid=24415394</v>
      </c>
      <c r="K68" s="19" t="str">
        <f>VLOOKUP($A68,'Реестр объектов'!$A:$I,9,0)</f>
        <v>https://disk.yandex.ru/client/disk/Осмотры%20объектов%20АНО%20СМГ/731.%20ул.%20Циолковского%2C%20вл.%203</v>
      </c>
      <c r="L68" s="6"/>
      <c r="M68" s="6"/>
      <c r="N68" s="16"/>
      <c r="O68" s="6"/>
      <c r="P68" s="16"/>
      <c r="Q68" s="6"/>
      <c r="R68" s="6"/>
      <c r="S68" s="6"/>
    </row>
    <row r="69">
      <c r="A69" s="12" t="s">
        <v>101</v>
      </c>
      <c r="B69" s="13" t="str">
        <f>VLOOKUP($A69,'Реестр объектов'!$A:$I,5,0)</f>
        <v>Рязанский просп., з/у 6А (Рязанский пр-т, вл. 6А) ЮВАО, район Рязанский, Рязанский проспект, земельный участок 6А (Рязанский пр-т, вл.6А)</v>
      </c>
      <c r="C69" s="13" t="str">
        <f>VLOOKUP($A69,'Реестр объектов'!$A:$I,6,0)</f>
        <v>55.723657</v>
      </c>
      <c r="D69" s="13" t="str">
        <f>VLOOKUP($A69,'Реестр объектов'!$A:$I,7,0)</f>
        <v>37.742319</v>
      </c>
      <c r="E69" s="14" t="s">
        <v>23</v>
      </c>
      <c r="F69" s="15" t="s">
        <v>46</v>
      </c>
      <c r="G69" s="20">
        <v>45975.39177743056</v>
      </c>
      <c r="H69" s="20">
        <v>45975.45472894676</v>
      </c>
      <c r="I69" s="2" t="s">
        <v>102</v>
      </c>
      <c r="J69" s="18" t="str">
        <f>VLOOKUP($A69,'Реестр объектов'!$A:$I,8,0)</f>
        <v>https://docs.google.com/spreadsheets/d/1rbCD10ySi4YZEkJW2_Slmn9z7AI1WEsGsZaIJmnnT18/edit?gid=1617286788#gid=1617286788</v>
      </c>
      <c r="K69" s="19" t="str">
        <f>VLOOKUP($A69,'Реестр объектов'!$A:$I,9,0)</f>
        <v>https://disk.yandex.ru/client/disk/Осмотры%20объектов%20АНО%20СМГ/688.%20ЮВАО%2C%20район%20Рязанский%2C%20Рязанский%20проспект%2C%20земельный%20участок%206А%20(Рязанский%20пр-т%2C%20вл.6А)</v>
      </c>
      <c r="L69" s="6"/>
      <c r="M69" s="6"/>
      <c r="N69" s="16"/>
      <c r="O69" s="6"/>
      <c r="P69" s="16"/>
      <c r="Q69" s="6"/>
      <c r="R69" s="6"/>
      <c r="S69" s="6"/>
    </row>
    <row r="70">
      <c r="A70" s="12" t="s">
        <v>103</v>
      </c>
      <c r="B70" s="13" t="str">
        <f>VLOOKUP($A70,'Реестр объектов'!$A:$I,5,0)</f>
        <v>ул. Байкальская, з/у 28/3 (ул. Байкалькая, влд.28) ВАО, район Гольяново, ул. Байкальская, з/у. 28/3, мкр. 3, 4, 5, зона 8.1 (со сносом зданий по адресу: ул. Байкальская, д. 28, к. 3)</v>
      </c>
      <c r="C70" s="13" t="str">
        <f>VLOOKUP($A70,'Реестр объектов'!$A:$I,6,0)</f>
        <v>55.814913</v>
      </c>
      <c r="D70" s="13" t="str">
        <f>VLOOKUP($A70,'Реестр объектов'!$A:$I,7,0)</f>
        <v>37.802368</v>
      </c>
      <c r="E70" s="14" t="s">
        <v>21</v>
      </c>
      <c r="F70" s="15" t="s">
        <v>46</v>
      </c>
      <c r="G70" s="16"/>
      <c r="H70" s="16"/>
      <c r="I70" s="17"/>
      <c r="J70" s="18" t="str">
        <f>VLOOKUP($A70,'Реестр объектов'!$A:$I,8,0)</f>
        <v>https://docs.google.com/spreadsheets/d/1rbCD10ySi4YZEkJW2_Slmn9z7AI1WEsGsZaIJmnnT18/edit?gid=1349297378#gid=1349297378</v>
      </c>
      <c r="K70" s="19" t="str">
        <f>VLOOKUP($A70,'Реестр объектов'!$A:$I,9,0)</f>
        <v>https://disk.yandex.ru/client/disk/Осмотры%20объектов%20АНО%20СМГ/675%20Гольяново%2C%20ул%20Байкальская%20зу%2028.3%20мкрн%203%2C4%2C5%20зона%208.1%20со%20сносом%20здания</v>
      </c>
      <c r="L70" s="15" t="s">
        <v>21</v>
      </c>
      <c r="M70" s="6"/>
      <c r="N70" s="16"/>
      <c r="O70" s="6"/>
      <c r="P70" s="16"/>
      <c r="Q70" s="6"/>
      <c r="R70" s="6"/>
      <c r="S70" s="6"/>
    </row>
    <row r="71">
      <c r="A71" s="12" t="s">
        <v>104</v>
      </c>
      <c r="B71" s="13" t="str">
        <f>VLOOKUP($A71,'Реестр объектов'!$A:$I,5,0)</f>
        <v>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Рязанский проспект д. 91, корп. 4)</v>
      </c>
      <c r="C71" s="13" t="str">
        <f>VLOOKUP($A71,'Реестр объектов'!$A:$I,6,0)</f>
        <v>55.716129</v>
      </c>
      <c r="D71" s="13" t="str">
        <f>VLOOKUP($A71,'Реестр объектов'!$A:$I,7,0)</f>
        <v>37.807696</v>
      </c>
      <c r="E71" s="14" t="s">
        <v>41</v>
      </c>
      <c r="F71" s="15" t="s">
        <v>46</v>
      </c>
      <c r="G71" s="16"/>
      <c r="H71" s="16"/>
      <c r="I71" s="17"/>
      <c r="J71" s="18" t="str">
        <f>VLOOKUP($A71,'Реестр объектов'!$A:$I,8,0)</f>
        <v>https://docs.google.com/spreadsheets/d/1rbCD10ySi4YZEkJW2_Slmn9z7AI1WEsGsZaIJmnnT18/edit?gid=1910790925#gid=1910790925</v>
      </c>
      <c r="K71" s="19" t="str">
        <f>VLOOKUP($A71,'Реестр объектов'!$A:$I,9,0)</f>
        <v>https://disk.yandex.ru/client/disk/Осмотры%20объектов%20АНО%20СМГ/729%20ЮВАО%2C%20мкр.%20128%20Б-В%2C%20район%20Выхино-Жулебино%20зона%201.1%2C%201.2%2C%201.3%20Хлобыстова%20ул.%2C%20зу%2016.2.1</v>
      </c>
      <c r="L71" s="6"/>
      <c r="M71" s="6"/>
      <c r="N71" s="16"/>
      <c r="O71" s="6"/>
      <c r="P71" s="16"/>
      <c r="Q71" s="6"/>
      <c r="R71" s="6"/>
      <c r="S71" s="6"/>
    </row>
    <row r="72">
      <c r="A72" s="12" t="s">
        <v>105</v>
      </c>
      <c r="B72" s="13" t="str">
        <f>VLOOKUP($A72,'Реестр объектов'!$A:$I,5,0)</f>
        <v>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v>
      </c>
      <c r="C72" s="13" t="str">
        <f>VLOOKUP($A72,'Реестр объектов'!$A:$I,6,0)</f>
        <v>55.680083</v>
      </c>
      <c r="D72" s="13" t="str">
        <f>VLOOKUP($A72,'Реестр объектов'!$A:$I,7,0)</f>
        <v>37.544428</v>
      </c>
      <c r="E72" s="14" t="s">
        <v>27</v>
      </c>
      <c r="F72" s="15" t="s">
        <v>46</v>
      </c>
      <c r="G72" s="16"/>
      <c r="H72" s="16"/>
      <c r="I72" s="17"/>
      <c r="J72" s="18" t="str">
        <f>VLOOKUP($A72,'Реестр объектов'!$A:$I,8,0)</f>
        <v>https://docs.google.com/spreadsheets/d/1rbCD10ySi4YZEkJW2_Slmn9z7AI1WEsGsZaIJmnnT18/edit?gid=1573037531#gid=1573037531</v>
      </c>
      <c r="K72" s="19" t="str">
        <f>VLOOKUP($A72,'Реестр объектов'!$A:$I,9,0)</f>
        <v>https://disk.yandex.ru/client/disk/Осмотры%20объектов%20АНО%20СМГ/690.%20район%20Ломоносовский%2C%20ул.%20Вавилова%20ул.%2C%2076%2C%20микрорайон%2015%2C%20зона%201.2%2C</v>
      </c>
      <c r="L72" s="6"/>
      <c r="M72" s="6"/>
      <c r="N72" s="16"/>
      <c r="O72" s="6"/>
      <c r="P72" s="16"/>
      <c r="Q72" s="6"/>
      <c r="R72" s="6"/>
      <c r="S72" s="6"/>
    </row>
    <row r="73">
      <c r="A73" s="12" t="s">
        <v>106</v>
      </c>
      <c r="B73" s="13" t="str">
        <f>VLOOKUP($A73,'Реестр объектов'!$A:$I,5,0)</f>
        <v>Полярная ул., з/у 16 (Полярная ул., вл. 16) СВАО, район Южное Медведково, ул. Полярная, з/у 16 (со сносом жилого здания по адресу: ул. Полярная д.16, корп.1) (рефинансирование)</v>
      </c>
      <c r="C73" s="13" t="str">
        <f>VLOOKUP($A73,'Реестр объектов'!$A:$I,6,0)</f>
        <v>55.876612</v>
      </c>
      <c r="D73" s="13" t="str">
        <f>VLOOKUP($A73,'Реестр объектов'!$A:$I,7,0)</f>
        <v>37.637299</v>
      </c>
      <c r="E73" s="14" t="s">
        <v>45</v>
      </c>
      <c r="F73" s="15" t="s">
        <v>46</v>
      </c>
      <c r="G73" s="16"/>
      <c r="H73" s="16"/>
      <c r="I73" s="17"/>
      <c r="J73" s="18" t="str">
        <f>VLOOKUP($A73,'Реестр объектов'!$A:$I,8,0)</f>
        <v>https://docs.google.com/spreadsheets/d/1rbCD10ySi4YZEkJW2_Slmn9z7AI1WEsGsZaIJmnnT18/edit?gid=877224124#gid=877224124</v>
      </c>
      <c r="K73" s="19" t="str">
        <f>VLOOKUP($A73,'Реестр объектов'!$A:$I,9,0)</f>
        <v>https://disk.yandex.ru/client/disk/Осмотры%20объектов%20АНО%20СМГ/654.%20ул.%20Полярная%2C%20з.у.%2016</v>
      </c>
      <c r="L73" s="6"/>
      <c r="M73" s="6"/>
      <c r="N73" s="16"/>
      <c r="O73" s="6"/>
      <c r="P73" s="16"/>
      <c r="Q73" s="6"/>
      <c r="R73" s="6"/>
      <c r="S73" s="6"/>
    </row>
    <row r="74">
      <c r="A74" s="12" t="s">
        <v>107</v>
      </c>
      <c r="B74" s="13" t="str">
        <f>VLOOKUP($A74,'Реестр объектов'!$A:$I,5,0)</f>
        <v>3-я Прядильная ул., з/у 4 (3-я Прядильная ул. вл.4) ВАО, район Измайлово, 3-я Прядильная ул., зу 4  (рефинансирование)</v>
      </c>
      <c r="C74" s="13" t="str">
        <f>VLOOKUP($A74,'Реестр объектов'!$A:$I,6,0)</f>
        <v>55.797134</v>
      </c>
      <c r="D74" s="13" t="str">
        <f>VLOOKUP($A74,'Реестр объектов'!$A:$I,7,0)</f>
        <v>37.771091</v>
      </c>
      <c r="E74" s="14" t="s">
        <v>21</v>
      </c>
      <c r="F74" s="15" t="s">
        <v>46</v>
      </c>
      <c r="G74" s="20">
        <v>45975.406170497685</v>
      </c>
      <c r="H74" s="20">
        <v>45975.487337303246</v>
      </c>
      <c r="I74" s="2" t="s">
        <v>108</v>
      </c>
      <c r="J74" s="18" t="str">
        <f>VLOOKUP($A74,'Реестр объектов'!$A:$I,8,0)</f>
        <v>https://docs.google.com/spreadsheets/d/1rbCD10ySi4YZEkJW2_Slmn9z7AI1WEsGsZaIJmnnT18/edit?gid=9074212#gid=9074212</v>
      </c>
      <c r="K74" s="19" t="str">
        <f>VLOOKUP($A74,'Реестр объектов'!$A:$I,9,0)</f>
        <v>https://disk.yandex.ru/client/disk/Осмотры%20объектов%20АНО%20СМГ/649%203-я%20Прядильная%20ул.%2C%20зу%204</v>
      </c>
      <c r="L74" s="6"/>
      <c r="M74" s="6"/>
      <c r="N74" s="16"/>
      <c r="O74" s="6"/>
      <c r="P74" s="16"/>
      <c r="Q74" s="6"/>
      <c r="R74" s="6"/>
      <c r="S74" s="6"/>
    </row>
    <row r="75">
      <c r="A75" s="12" t="s">
        <v>109</v>
      </c>
      <c r="B75" s="13" t="str">
        <f>VLOOKUP($A75,'Реестр объектов'!$A:$I,5,0)</f>
        <v>ул. Судакова, з/у 5 (Судакова ул., влд. 5) ул. Судакова, з/у 5 (судакова ул., влд. 5)</v>
      </c>
      <c r="C75" s="13" t="str">
        <f>VLOOKUP($A75,'Реестр объектов'!$A:$I,6,0)</f>
        <v>55.672750</v>
      </c>
      <c r="D75" s="13" t="str">
        <f>VLOOKUP($A75,'Реестр объектов'!$A:$I,7,0)</f>
        <v>37.742580</v>
      </c>
      <c r="E75" s="14" t="s">
        <v>25</v>
      </c>
      <c r="F75" s="15" t="s">
        <v>46</v>
      </c>
      <c r="G75" s="20">
        <v>45975.357570092594</v>
      </c>
      <c r="H75" s="20">
        <v>45975.42612496528</v>
      </c>
      <c r="I75" s="2" t="s">
        <v>110</v>
      </c>
      <c r="J75" s="18" t="str">
        <f>VLOOKUP($A75,'Реестр объектов'!$A:$I,8,0)</f>
        <v>https://docs.google.com/spreadsheets/d/1rbCD10ySi4YZEkJW2_Slmn9z7AI1WEsGsZaIJmnnT18/edit?gid=1956094116#gid=1956094116</v>
      </c>
      <c r="K75" s="19" t="str">
        <f>VLOOKUP($A75,'Реестр объектов'!$A:$I,9,0)</f>
        <v>https://disk.yandex.ru/client/disk/Осмотры%20объектов%20АНО%20СМГ/971.%20ул.%20Судакова%2C%20з.у%205%20(Судакова%20ул.%2C%20влд.%205)</v>
      </c>
      <c r="L75" s="6"/>
      <c r="M75" s="6"/>
      <c r="N75" s="16"/>
      <c r="O75" s="6"/>
      <c r="P75" s="16"/>
      <c r="Q75" s="6"/>
      <c r="R75" s="6"/>
      <c r="S75" s="6"/>
    </row>
    <row r="76">
      <c r="A76" s="12" t="s">
        <v>111</v>
      </c>
      <c r="B76" s="13" t="str">
        <f>VLOOKUP($A76,'Реестр объектов'!$A:$I,5,0)</f>
        <v>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v>
      </c>
      <c r="C76" s="13" t="str">
        <f>VLOOKUP($A76,'Реестр объектов'!$A:$I,6,0)</f>
        <v>55.873961</v>
      </c>
      <c r="D76" s="13" t="str">
        <f>VLOOKUP($A76,'Реестр объектов'!$A:$I,7,0)</f>
        <v>37.542338</v>
      </c>
      <c r="E76" s="14" t="s">
        <v>45</v>
      </c>
      <c r="F76" s="15" t="s">
        <v>46</v>
      </c>
      <c r="G76" s="16"/>
      <c r="H76" s="16"/>
      <c r="I76" s="17"/>
      <c r="J76" s="18" t="str">
        <f>VLOOKUP($A76,'Реестр объектов'!$A:$I,8,0)</f>
        <v>https://docs.google.com/spreadsheets/d/1rbCD10ySi4YZEkJW2_Slmn9z7AI1WEsGsZaIJmnnT18/edit?gid=105663629#gid=105663629</v>
      </c>
      <c r="K76" s="19" t="str">
        <f>VLOOKUP($A76,'Реестр объектов'!$A:$I,9,0)</f>
        <v>https://disk.yandex.ru/client/disk/Осмотры%20объектов%20АНО%20СМГ/792.%20Бескудниковский%20бульвар%2048</v>
      </c>
      <c r="L76" s="6"/>
      <c r="M76" s="6"/>
      <c r="N76" s="16"/>
      <c r="O76" s="6"/>
      <c r="P76" s="16"/>
      <c r="Q76" s="6"/>
      <c r="R76" s="6"/>
      <c r="S76" s="6"/>
    </row>
    <row r="77">
      <c r="A77" s="12" t="s">
        <v>112</v>
      </c>
      <c r="B77" s="13" t="str">
        <f>VLOOKUP($A77,'Реестр объектов'!$A:$I,5,0)</f>
        <v>ул. Кубинка, з/у 16/1 (ул. Кубинка вл. 16-1) ЗАО, Можайский район, ул. Кубинка, земельный участок 16/1  (со сносом жилых зданий по адресу: ул. Кубинка, д.16 к.1) (кв. 71-72, 75 зона 4.1)</v>
      </c>
      <c r="C77" s="13" t="str">
        <f>VLOOKUP($A77,'Реестр объектов'!$A:$I,6,0)</f>
        <v>55.721179</v>
      </c>
      <c r="D77" s="13" t="str">
        <f>VLOOKUP($A77,'Реестр объектов'!$A:$I,7,0)</f>
        <v>37.407834</v>
      </c>
      <c r="E77" s="14" t="s">
        <v>33</v>
      </c>
      <c r="F77" s="15" t="s">
        <v>46</v>
      </c>
      <c r="G77" s="16"/>
      <c r="H77" s="16"/>
      <c r="I77" s="17"/>
      <c r="J77" s="18" t="str">
        <f>VLOOKUP($A77,'Реестр объектов'!$A:$I,8,0)</f>
        <v>https://docs.google.com/spreadsheets/d/1rbCD10ySi4YZEkJW2_Slmn9z7AI1WEsGsZaIJmnnT18/edit?gid=795869723#gid=795869723</v>
      </c>
      <c r="K77" s="19" t="str">
        <f>VLOOKUP($A77,'Реестр объектов'!$A:$I,9,0)</f>
        <v>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2075%20зона%204.1)</v>
      </c>
      <c r="L77" s="15" t="s">
        <v>35</v>
      </c>
      <c r="M77" s="6"/>
      <c r="N77" s="16"/>
      <c r="O77" s="6"/>
      <c r="P77" s="16"/>
      <c r="Q77" s="6"/>
      <c r="R77" s="6"/>
      <c r="S77" s="6"/>
    </row>
    <row r="78">
      <c r="A78" s="12" t="s">
        <v>113</v>
      </c>
      <c r="B78" s="13" t="str">
        <f>VLOOKUP($A78,'Реестр объектов'!$A:$I,5,0)</f>
        <v>кв-л 9 района Академический, зона № 2.1 кв-л 9 района Академический, зона № 2.1</v>
      </c>
      <c r="C78" s="13" t="str">
        <f>VLOOKUP($A78,'Реестр объектов'!$A:$I,6,0)</f>
        <v>55.675145</v>
      </c>
      <c r="D78" s="13" t="str">
        <f>VLOOKUP($A78,'Реестр объектов'!$A:$I,7,0)</f>
        <v>37.574192</v>
      </c>
      <c r="E78" s="14" t="s">
        <v>27</v>
      </c>
      <c r="F78" s="15" t="s">
        <v>46</v>
      </c>
      <c r="G78" s="16"/>
      <c r="H78" s="16"/>
      <c r="I78" s="17"/>
      <c r="J78" s="18" t="str">
        <f>VLOOKUP($A78,'Реестр объектов'!$A:$I,8,0)</f>
        <v>https://docs.google.com/spreadsheets/d/1rbCD10ySi4YZEkJW2_Slmn9z7AI1WEsGsZaIJmnnT18/edit?gid=1264505014#gid=1264505014</v>
      </c>
      <c r="K78" s="19" t="str">
        <f>VLOOKUP($A78,'Реестр объектов'!$A:$I,9,0)</f>
        <v>https://disk.yandex.ru/client/disk/Осмотры%20объектов%20АНО%20СМГ/900.%20кв-л%209%20района%20Академический%2C%20зона%20№%202.1</v>
      </c>
      <c r="L78" s="6"/>
      <c r="M78" s="6"/>
      <c r="N78" s="16"/>
      <c r="O78" s="6"/>
      <c r="P78" s="16"/>
      <c r="Q78" s="6"/>
      <c r="R78" s="6"/>
      <c r="S78" s="6"/>
    </row>
    <row r="79">
      <c r="A79" s="12" t="s">
        <v>114</v>
      </c>
      <c r="B79" s="13" t="str">
        <f>VLOOKUP($A79,'Реестр объектов'!$A:$I,5,0)</f>
        <v>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шоссе, вл.8А-10А</v>
      </c>
      <c r="C79" s="13" t="str">
        <f>VLOOKUP($A79,'Реестр объектов'!$A:$I,6,0)</f>
        <v>55.699085</v>
      </c>
      <c r="D79" s="13" t="str">
        <f>VLOOKUP($A79,'Реестр объектов'!$A:$I,7,0)</f>
        <v> 37.617942</v>
      </c>
      <c r="E79" s="14" t="s">
        <v>25</v>
      </c>
      <c r="F79" s="15" t="s">
        <v>46</v>
      </c>
      <c r="G79" s="16"/>
      <c r="H79" s="16"/>
      <c r="I79" s="17"/>
      <c r="J79" s="18" t="str">
        <f>VLOOKUP($A79,'Реестр объектов'!$A:$I,8,0)</f>
        <v>https://docs.google.com/spreadsheets/d/1rbCD10ySi4YZEkJW2_Slmn9z7AI1WEsGsZaIJmnnT18/edit?gid=1676819339#gid=1676819339</v>
      </c>
      <c r="K79" s="19" t="str">
        <f>VLOOKUP($A79,'Реестр объектов'!$A:$I,9,0)</f>
        <v/>
      </c>
      <c r="L79" s="6"/>
      <c r="M79" s="6"/>
      <c r="N79" s="16"/>
      <c r="O79" s="6"/>
      <c r="P79" s="16"/>
      <c r="Q79" s="6"/>
      <c r="R79" s="6"/>
      <c r="S79" s="6"/>
    </row>
    <row r="80">
      <c r="A80" s="12" t="s">
        <v>115</v>
      </c>
      <c r="B80" s="13" t="str">
        <f>VLOOKUP($A80,'Реестр объектов'!$A:$I,5,0)</f>
        <v>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Минусинская, вл. 12-14) Минусинская ул., з/у 14А (ул. Минусинская, вл. 12-14)</v>
      </c>
      <c r="C80" s="13" t="str">
        <f>VLOOKUP($A80,'Реестр объектов'!$A:$I,6,0)</f>
        <v>55.874321</v>
      </c>
      <c r="D80" s="13" t="str">
        <f>VLOOKUP($A80,'Реестр объектов'!$A:$I,7,0)</f>
        <v>37.692214</v>
      </c>
      <c r="E80" s="14" t="s">
        <v>45</v>
      </c>
      <c r="F80" s="15" t="s">
        <v>46</v>
      </c>
      <c r="G80" s="16"/>
      <c r="H80" s="16"/>
      <c r="I80" s="17"/>
      <c r="J80" s="18" t="str">
        <f>VLOOKUP($A80,'Реестр объектов'!$A:$I,8,0)</f>
        <v>https://docs.google.com/spreadsheets/d/1rbCD10ySi4YZEkJW2_Slmn9z7AI1WEsGsZaIJmnnT18/edit?gid=1472127211#gid=1472127211</v>
      </c>
      <c r="K80" s="19" t="str">
        <f>VLOOKUP($A80,'Реестр объектов'!$A:$I,9,0)</f>
        <v>https://disk.yandex.ru/client/disk/Осмотры%20объектов%20АНО%20СМГ/926%20Минусинская%2C%20зу%2014%20А</v>
      </c>
      <c r="L80" s="6"/>
      <c r="M80" s="6"/>
      <c r="N80" s="16"/>
      <c r="O80" s="6"/>
      <c r="P80" s="16"/>
      <c r="Q80" s="6"/>
      <c r="R80" s="6"/>
      <c r="S80" s="6"/>
    </row>
    <row r="81">
      <c r="A81" s="12" t="s">
        <v>116</v>
      </c>
      <c r="B81" s="13" t="str">
        <f>VLOOKUP($A81,'Реестр объектов'!$A:$I,5,0)</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v>
      </c>
      <c r="C81" s="13" t="str">
        <f>VLOOKUP($A81,'Реестр объектов'!$A:$I,6,0)</f>
        <v>55.773687</v>
      </c>
      <c r="D81" s="13" t="str">
        <f>VLOOKUP($A81,'Реестр объектов'!$A:$I,7,0)</f>
        <v>37.533742</v>
      </c>
      <c r="E81" s="14" t="s">
        <v>45</v>
      </c>
      <c r="F81" s="15" t="s">
        <v>46</v>
      </c>
      <c r="G81" s="16"/>
      <c r="H81" s="16"/>
      <c r="I81" s="17"/>
      <c r="J81" s="18" t="str">
        <f>VLOOKUP($A81,'Реестр объектов'!$A:$I,8,0)</f>
        <v>https://docs.google.com/spreadsheets/d/1rbCD10ySi4YZEkJW2_Slmn9z7AI1WEsGsZaIJmnnT18/edit?gid=868904483#gid=868904483</v>
      </c>
      <c r="K81" s="19" t="str">
        <f>VLOOKUP($A81,'Реестр объектов'!$A:$I,9,0)</f>
        <v>https://disk.yandex.ru/client/disk/Осмотры%20объектов%20АНО%20СМГ/959.%203-й%20Хорошевский%20пр-д%2C%20вл.%205%2C%20корп.%201</v>
      </c>
      <c r="L81" s="6"/>
      <c r="M81" s="6"/>
      <c r="N81" s="16"/>
      <c r="O81" s="6"/>
      <c r="P81" s="16"/>
      <c r="Q81" s="6"/>
      <c r="R81" s="6"/>
      <c r="S81" s="6"/>
    </row>
    <row r="82">
      <c r="A82" s="12" t="s">
        <v>117</v>
      </c>
      <c r="B82" s="13" t="str">
        <f>VLOOKUP($A82,'Реестр объектов'!$A:$I,5,0)</f>
        <v>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(со сносом жилых домов по адресам: 1-й квартал Капотня, дом 3; 1-й квартал Капотня, дом 4; 1-й квартал Капотня, дом 5; 1-й квартал Капотня, дом 12)</v>
      </c>
      <c r="C82" s="13" t="str">
        <f>VLOOKUP($A82,'Реестр объектов'!$A:$I,6,0)</f>
        <v>55.641518</v>
      </c>
      <c r="D82" s="13" t="str">
        <f>VLOOKUP($A82,'Реестр объектов'!$A:$I,7,0)</f>
        <v>37.789049</v>
      </c>
      <c r="E82" s="14" t="s">
        <v>41</v>
      </c>
      <c r="F82" s="15" t="s">
        <v>46</v>
      </c>
      <c r="G82" s="16"/>
      <c r="H82" s="16"/>
      <c r="I82" s="17"/>
      <c r="J82" s="18" t="str">
        <f>VLOOKUP($A82,'Реестр объектов'!$A:$I,8,0)</f>
        <v>https://docs.google.com/spreadsheets/d/1rbCD10ySi4YZEkJW2_Slmn9z7AI1WEsGsZaIJmnnT18/edit?gid=482221305#gid=482221305</v>
      </c>
      <c r="K82" s="19" t="str">
        <f>VLOOKUP($A82,'Реестр объектов'!$A:$I,9,0)</f>
        <v>https://disk.yandex.ru/client/disk/Осмотры%20объектов%20АНО%20СМГ/709.%201-й%20Квартал%20Капотни%2C%20з!у%204%2C%20д.3%2C%204%2C%205%2C%2012.%20Жилой%20дом</v>
      </c>
      <c r="L82" s="6"/>
      <c r="M82" s="6"/>
      <c r="N82" s="16"/>
      <c r="O82" s="6"/>
      <c r="P82" s="16"/>
      <c r="Q82" s="6"/>
      <c r="R82" s="6"/>
      <c r="S82" s="6"/>
    </row>
    <row r="83">
      <c r="A83" s="12" t="s">
        <v>118</v>
      </c>
      <c r="B83" s="13" t="str">
        <f>VLOOKUP($A83,'Реестр объектов'!$A:$I,5,0)</f>
        <v>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2/1, корп. 4; ул. Суворовская, д. 2/1, корп. 3)</v>
      </c>
      <c r="C83" s="13" t="str">
        <f>VLOOKUP($A83,'Реестр объектов'!$A:$I,6,0)</f>
        <v>55.787566</v>
      </c>
      <c r="D83" s="13" t="str">
        <f>VLOOKUP($A83,'Реестр объектов'!$A:$I,7,0)</f>
        <v>37.710284</v>
      </c>
      <c r="E83" s="14" t="s">
        <v>45</v>
      </c>
      <c r="F83" s="15" t="s">
        <v>46</v>
      </c>
      <c r="G83" s="16"/>
      <c r="H83" s="16"/>
      <c r="I83" s="17"/>
      <c r="J83" s="18" t="str">
        <f>VLOOKUP($A83,'Реестр объектов'!$A:$I,8,0)</f>
        <v>https://docs.google.com/spreadsheets/d/1rbCD10ySi4YZEkJW2_Slmn9z7AI1WEsGsZaIJmnnT18/edit?gid=1703617430#gid=1703617430</v>
      </c>
      <c r="K83" s="19" t="str">
        <f>VLOOKUP($A83,'Реестр объектов'!$A:$I,9,0)</f>
        <v>https://disk.yandex.ru/client/disk/Осмотры%20объектов%20АНО%20СМГ/640.%20Суворовская%20ул.%2C%20зу%202А-1</v>
      </c>
      <c r="L83" s="6"/>
      <c r="M83" s="6"/>
      <c r="N83" s="16"/>
      <c r="O83" s="6"/>
      <c r="P83" s="16"/>
      <c r="Q83" s="6"/>
      <c r="R83" s="6"/>
      <c r="S83" s="6"/>
    </row>
    <row r="84">
      <c r="A84" s="12" t="s">
        <v>119</v>
      </c>
      <c r="B84" s="13" t="str">
        <f>VLOOKUP($A84,'Реестр объектов'!$A:$I,5,0)</f>
        <v>Дмитровское ш., влд. 89 САО, район Бескудниковский, Дмитровское ш., вл. 89 (рефинансирование - 29,5 тыс.кв.м)</v>
      </c>
      <c r="C84" s="13" t="str">
        <f>VLOOKUP($A84,'Реестр объектов'!$A:$I,6,0)</f>
        <v>55.869208</v>
      </c>
      <c r="D84" s="13" t="str">
        <f>VLOOKUP($A84,'Реестр объектов'!$A:$I,7,0)</f>
        <v>37.545436</v>
      </c>
      <c r="E84" s="14" t="s">
        <v>45</v>
      </c>
      <c r="F84" s="15" t="s">
        <v>46</v>
      </c>
      <c r="G84" s="16"/>
      <c r="H84" s="16"/>
      <c r="I84" s="17"/>
      <c r="J84" s="18" t="str">
        <f>VLOOKUP($A84,'Реестр объектов'!$A:$I,8,0)</f>
        <v>https://docs.google.com/spreadsheets/d/1rbCD10ySi4YZEkJW2_Slmn9z7AI1WEsGsZaIJmnnT18/edit?gid=915615615#gid=915615615</v>
      </c>
      <c r="K84" s="19" t="str">
        <f>VLOOKUP($A84,'Реестр объектов'!$A:$I,9,0)</f>
        <v>https://disk.yandex.ru/client/disk/Осмотры%20объектов%20АНО%20СМГ/676%20Дмитровское%20шоссе%20вл%2089</v>
      </c>
      <c r="L84" s="6"/>
      <c r="M84" s="6"/>
      <c r="N84" s="16"/>
      <c r="O84" s="6"/>
      <c r="P84" s="16"/>
      <c r="Q84" s="6"/>
      <c r="R84" s="6"/>
      <c r="S84" s="6"/>
    </row>
    <row r="85">
      <c r="A85" s="12" t="s">
        <v>120</v>
      </c>
      <c r="B85" s="13" t="str">
        <f>VLOOKUP($A85,'Реестр объектов'!$A:$I,5,0)</f>
        <v>Сиреневый б-р, вл. 70 (Приобретение объектов недвижимости) ул. Сиреневый бульвар вл. 70 </v>
      </c>
      <c r="C85" s="13" t="str">
        <f>VLOOKUP($A85,'Реестр объектов'!$A:$I,6,0)</f>
        <v>55.801611</v>
      </c>
      <c r="D85" s="13" t="str">
        <f>VLOOKUP($A85,'Реестр объектов'!$A:$I,7,0)</f>
        <v>37.833587</v>
      </c>
      <c r="E85" s="14" t="s">
        <v>21</v>
      </c>
      <c r="F85" s="15" t="s">
        <v>46</v>
      </c>
      <c r="G85" s="16"/>
      <c r="H85" s="16"/>
      <c r="I85" s="17"/>
      <c r="J85" s="18" t="str">
        <f>VLOOKUP($A85,'Реестр объектов'!$A:$I,8,0)</f>
        <v>https://docs.google.com/spreadsheets/d/1rbCD10ySi4YZEkJW2_Slmn9z7AI1WEsGsZaIJmnnT18/edit?gid=64186922#gid=64186922</v>
      </c>
      <c r="K85" s="19" t="str">
        <f>VLOOKUP($A85,'Реестр объектов'!$A:$I,9,0)</f>
        <v>https://disk.yandex.ru/client/disk/Осмотры%20объектов%20АНО%20СМГ/739.%20Сиреневый%20бульвар%20вл%2070</v>
      </c>
      <c r="L85" s="6"/>
      <c r="M85" s="6"/>
      <c r="N85" s="16"/>
      <c r="O85" s="6"/>
      <c r="P85" s="16"/>
      <c r="Q85" s="6"/>
      <c r="R85" s="6"/>
      <c r="S85" s="6"/>
    </row>
    <row r="86">
      <c r="A86" s="12" t="s">
        <v>121</v>
      </c>
      <c r="B86" s="13" t="str">
        <f>VLOOKUP($A86,'Реестр объектов'!$A:$I,5,0)</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v>
      </c>
      <c r="C86" s="13" t="str">
        <f>VLOOKUP($A86,'Реестр объектов'!$A:$I,6,0)</f>
        <v>55.697530</v>
      </c>
      <c r="D86" s="13" t="str">
        <f>VLOOKUP($A86,'Реестр объектов'!$A:$I,7,0)</f>
        <v>37.817079</v>
      </c>
      <c r="E86" s="14" t="s">
        <v>41</v>
      </c>
      <c r="F86" s="15" t="s">
        <v>46</v>
      </c>
      <c r="G86" s="16"/>
      <c r="H86" s="16"/>
      <c r="I86" s="17"/>
      <c r="J86" s="18" t="str">
        <f>VLOOKUP($A86,'Реестр объектов'!$A:$I,8,0)</f>
        <v>https://docs.google.com/spreadsheets/d/1rbCD10ySi4YZEkJW2_Slmn9z7AI1WEsGsZaIJmnnT18/edit?gid=178347413#gid=178347413</v>
      </c>
      <c r="K86" s="19" t="str">
        <f>VLOOKUP($A86,'Реестр объектов'!$A:$I,9,0)</f>
        <v>https://disk.yandex.ru/client/disk/Осмотры%20объектов%20АНО%20СМГ/726.%20Самаркандский%20б-р%2C%2015-5(реновация)</v>
      </c>
      <c r="L86" s="6"/>
      <c r="M86" s="6"/>
      <c r="N86" s="16"/>
      <c r="O86" s="6"/>
      <c r="P86" s="16"/>
      <c r="Q86" s="6"/>
      <c r="R86" s="6"/>
      <c r="S86" s="6"/>
    </row>
    <row r="87">
      <c r="A87" s="12" t="s">
        <v>122</v>
      </c>
      <c r="B87" s="13" t="str">
        <f>VLOOKUP($A87,'Реестр объектов'!$A:$I,5,0)</f>
        <v>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бульвар, земельный участок 15/2 (участок 5.1) ЮВАО	Самаркандский бульвар, земельный участок 15/2 (участок 5.1) (ЮВАО)</v>
      </c>
      <c r="C87" s="13" t="str">
        <f>VLOOKUP($A87,'Реестр объектов'!$A:$I,6,0)</f>
        <v>55.696783</v>
      </c>
      <c r="D87" s="13" t="str">
        <f>VLOOKUP($A87,'Реестр объектов'!$A:$I,7,0)</f>
        <v>37.816855</v>
      </c>
      <c r="E87" s="14" t="s">
        <v>41</v>
      </c>
      <c r="F87" s="15" t="s">
        <v>46</v>
      </c>
      <c r="G87" s="20">
        <v>45975.45076453703</v>
      </c>
      <c r="H87" s="20">
        <v>45975.50332321759</v>
      </c>
      <c r="I87" s="2" t="s">
        <v>123</v>
      </c>
      <c r="J87" s="18" t="str">
        <f>VLOOKUP($A87,'Реестр объектов'!$A:$I,8,0)</f>
        <v>https://docs.google.com/spreadsheets/d/1rbCD10ySi4YZEkJW2_Slmn9z7AI1WEsGsZaIJmnnT18/edit?gid=607897783#gid=607897783</v>
      </c>
      <c r="K87" s="19" t="str">
        <f>VLOOKUP($A87,'Реестр объектов'!$A:$I,9,0)</f>
        <v>https://disk.yandex.ru/client/disk/Осмотры%20объектов%20АНО%20СМГ/761.%20Самаркандский%20б-р%2C%20уч.%2015-2</v>
      </c>
      <c r="L87" s="6"/>
      <c r="M87" s="6"/>
      <c r="N87" s="16"/>
      <c r="O87" s="6"/>
      <c r="P87" s="16"/>
      <c r="Q87" s="6"/>
      <c r="R87" s="6"/>
      <c r="S87" s="6"/>
    </row>
    <row r="88">
      <c r="A88" s="12" t="s">
        <v>124</v>
      </c>
      <c r="B88" s="13" t="str">
        <f>VLOOKUP($A88,'Реестр объектов'!$A:$I,5,0)</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v>
      </c>
      <c r="C88" s="13" t="str">
        <f>VLOOKUP($A88,'Реестр объектов'!$A:$I,6,0)</f>
        <v>55.696051</v>
      </c>
      <c r="D88" s="13" t="str">
        <f>VLOOKUP($A88,'Реестр объектов'!$A:$I,7,0)</f>
        <v>37.818209</v>
      </c>
      <c r="E88" s="14" t="s">
        <v>41</v>
      </c>
      <c r="F88" s="15" t="s">
        <v>46</v>
      </c>
      <c r="G88" s="20">
        <v>45975.518008900464</v>
      </c>
      <c r="H88" s="16"/>
      <c r="I88" s="17"/>
      <c r="J88" s="18" t="str">
        <f>VLOOKUP($A88,'Реестр объектов'!$A:$I,8,0)</f>
        <v>https://docs.google.com/spreadsheets/d/1rbCD10ySi4YZEkJW2_Slmn9z7AI1WEsGsZaIJmnnT18/edit?gid=829089146#gid=829089146</v>
      </c>
      <c r="K88" s="19" t="str">
        <f>VLOOKUP($A88,'Реестр объектов'!$A:$I,9,0)</f>
        <v>https://disk.yandex.ru/client/disk/Осмотры%20объектов%20АНО%20СМГ/763.%20Самаркандский%2015-4%20(Фонд%20реновации)</v>
      </c>
      <c r="L88" s="6"/>
      <c r="M88" s="6"/>
      <c r="N88" s="16"/>
      <c r="O88" s="6"/>
      <c r="P88" s="16"/>
      <c r="Q88" s="6"/>
      <c r="R88" s="6"/>
      <c r="S88" s="6"/>
    </row>
    <row r="89">
      <c r="A89" s="12" t="s">
        <v>125</v>
      </c>
      <c r="B89" s="13" t="str">
        <f>VLOOKUP($A89,'Реестр объектов'!$A:$I,5,0)</f>
        <v>Жилой дом с инженерными сетями и благоустройством территории, СЗАО, район Южное Тушино, Новопоселковая ул., вл.6 ул. Новопоселковая, вл. 6</v>
      </c>
      <c r="C89" s="13" t="str">
        <f>VLOOKUP($A89,'Реестр объектов'!$A:$I,6,0)</f>
        <v>55.841008</v>
      </c>
      <c r="D89" s="13" t="str">
        <f>VLOOKUP($A89,'Реестр объектов'!$A:$I,7,0)</f>
        <v>37.443541</v>
      </c>
      <c r="E89" s="14" t="s">
        <v>45</v>
      </c>
      <c r="F89" s="15" t="s">
        <v>46</v>
      </c>
      <c r="G89" s="16"/>
      <c r="H89" s="16"/>
      <c r="I89" s="17"/>
      <c r="J89" s="18" t="str">
        <f>VLOOKUP($A89,'Реестр объектов'!$A:$I,8,0)</f>
        <v>https://docs.google.com/spreadsheets/d/1rbCD10ySi4YZEkJW2_Slmn9z7AI1WEsGsZaIJmnnT18/edit?gid=402405412#gid=402405412</v>
      </c>
      <c r="K89" s="19" t="str">
        <f>VLOOKUP($A89,'Реестр объектов'!$A:$I,9,0)</f>
        <v>https://disk.yandex.ru/client/disk/Осмотры%20объектов%20АНО%20СМГ/920.%20Новопоселковая%20вл.%206</v>
      </c>
      <c r="L89" s="6"/>
      <c r="M89" s="6"/>
      <c r="N89" s="16"/>
      <c r="O89" s="6"/>
      <c r="P89" s="16"/>
      <c r="Q89" s="6"/>
      <c r="R89" s="6"/>
      <c r="S89" s="6"/>
    </row>
    <row r="90">
      <c r="A90" s="22">
        <v>11113.0</v>
      </c>
      <c r="B90" s="15" t="s">
        <v>126</v>
      </c>
      <c r="C90" s="15" t="s">
        <v>127</v>
      </c>
      <c r="D90" s="15" t="s">
        <v>128</v>
      </c>
      <c r="E90" s="14" t="s">
        <v>17</v>
      </c>
      <c r="F90" s="15" t="s">
        <v>129</v>
      </c>
      <c r="G90" s="16"/>
      <c r="H90" s="16"/>
      <c r="I90" s="17"/>
      <c r="J90" s="17"/>
      <c r="K90" s="17"/>
      <c r="L90" s="6"/>
      <c r="M90" s="6"/>
      <c r="N90" s="16"/>
      <c r="O90" s="6"/>
      <c r="P90" s="16"/>
      <c r="Q90" s="6"/>
      <c r="R90" s="6"/>
      <c r="S90" s="6"/>
    </row>
    <row r="91">
      <c r="A91" s="22">
        <v>11114.0</v>
      </c>
      <c r="B91" s="15" t="s">
        <v>130</v>
      </c>
      <c r="C91" s="15" t="s">
        <v>127</v>
      </c>
      <c r="D91" s="15" t="s">
        <v>128</v>
      </c>
      <c r="E91" s="14" t="s">
        <v>17</v>
      </c>
      <c r="F91" s="15" t="s">
        <v>129</v>
      </c>
      <c r="G91" s="16"/>
      <c r="H91" s="16"/>
      <c r="I91" s="17"/>
      <c r="J91" s="17"/>
      <c r="K91" s="17"/>
      <c r="L91" s="6"/>
      <c r="M91" s="6"/>
      <c r="N91" s="16"/>
      <c r="O91" s="6"/>
      <c r="P91" s="16"/>
      <c r="Q91" s="6"/>
      <c r="R91" s="6"/>
      <c r="S91" s="6"/>
    </row>
    <row r="92">
      <c r="A92" s="22">
        <v>11116.0</v>
      </c>
      <c r="B92" s="15" t="s">
        <v>131</v>
      </c>
      <c r="C92" s="15" t="s">
        <v>132</v>
      </c>
      <c r="D92" s="15" t="s">
        <v>133</v>
      </c>
      <c r="E92" s="14" t="s">
        <v>19</v>
      </c>
      <c r="F92" s="15" t="s">
        <v>129</v>
      </c>
      <c r="G92" s="20">
        <v>45975.40352548611</v>
      </c>
      <c r="H92" s="20">
        <v>45975.4164330787</v>
      </c>
      <c r="I92" s="2" t="s">
        <v>134</v>
      </c>
      <c r="J92" s="17"/>
      <c r="K92" s="17"/>
      <c r="L92" s="6"/>
      <c r="M92" s="6"/>
      <c r="N92" s="16"/>
      <c r="O92" s="6"/>
      <c r="P92" s="16"/>
      <c r="Q92" s="6"/>
      <c r="R92" s="6"/>
      <c r="S92" s="6"/>
    </row>
    <row r="93">
      <c r="A93" s="22">
        <v>11117.0</v>
      </c>
      <c r="B93" s="15" t="s">
        <v>135</v>
      </c>
      <c r="C93" s="15" t="s">
        <v>136</v>
      </c>
      <c r="D93" s="15" t="s">
        <v>137</v>
      </c>
      <c r="E93" s="14" t="s">
        <v>17</v>
      </c>
      <c r="F93" s="15" t="s">
        <v>129</v>
      </c>
      <c r="G93" s="20">
        <v>45975.45552166666</v>
      </c>
      <c r="H93" s="20">
        <v>45975.51832162037</v>
      </c>
      <c r="I93" s="2" t="s">
        <v>138</v>
      </c>
      <c r="J93" s="17"/>
      <c r="K93" s="17"/>
      <c r="L93" s="6"/>
      <c r="M93" s="6"/>
      <c r="N93" s="16"/>
      <c r="O93" s="6"/>
      <c r="P93" s="16"/>
      <c r="Q93" s="6"/>
      <c r="R93" s="6"/>
      <c r="S93" s="6"/>
    </row>
    <row r="94">
      <c r="A94" s="22">
        <v>11118.0</v>
      </c>
      <c r="B94" s="15" t="s">
        <v>139</v>
      </c>
      <c r="C94" s="15" t="s">
        <v>140</v>
      </c>
      <c r="D94" s="15" t="s">
        <v>141</v>
      </c>
      <c r="E94" s="14" t="s">
        <v>17</v>
      </c>
      <c r="F94" s="15" t="s">
        <v>129</v>
      </c>
      <c r="G94" s="16"/>
      <c r="H94" s="16"/>
      <c r="I94" s="17"/>
      <c r="J94" s="17"/>
      <c r="K94" s="17"/>
      <c r="L94" s="15" t="s">
        <v>19</v>
      </c>
      <c r="M94" s="6"/>
      <c r="N94" s="16"/>
      <c r="O94" s="6"/>
      <c r="P94" s="16"/>
      <c r="Q94" s="6"/>
      <c r="R94" s="6"/>
      <c r="S94" s="6"/>
    </row>
    <row r="95">
      <c r="A95" s="22">
        <v>11119.0</v>
      </c>
      <c r="B95" s="15" t="s">
        <v>142</v>
      </c>
      <c r="C95" s="15" t="s">
        <v>143</v>
      </c>
      <c r="D95" s="15" t="s">
        <v>144</v>
      </c>
      <c r="E95" s="14" t="s">
        <v>33</v>
      </c>
      <c r="F95" s="15" t="s">
        <v>129</v>
      </c>
      <c r="G95" s="16"/>
      <c r="H95" s="16"/>
      <c r="I95" s="17"/>
      <c r="J95" s="17"/>
      <c r="K95" s="17"/>
      <c r="L95" s="6"/>
      <c r="M95" s="6"/>
      <c r="N95" s="16"/>
      <c r="O95" s="6"/>
      <c r="P95" s="16"/>
      <c r="Q95" s="6"/>
      <c r="R95" s="6"/>
      <c r="S95" s="6"/>
    </row>
    <row r="96">
      <c r="A96" s="22">
        <v>11120.0</v>
      </c>
      <c r="B96" s="15" t="s">
        <v>145</v>
      </c>
      <c r="C96" s="15" t="s">
        <v>146</v>
      </c>
      <c r="D96" s="15" t="s">
        <v>147</v>
      </c>
      <c r="E96" s="14" t="s">
        <v>29</v>
      </c>
      <c r="F96" s="15" t="s">
        <v>129</v>
      </c>
      <c r="G96" s="16"/>
      <c r="H96" s="16"/>
      <c r="I96" s="17"/>
      <c r="J96" s="17"/>
      <c r="K96" s="17"/>
      <c r="L96" s="6"/>
      <c r="M96" s="6"/>
      <c r="N96" s="16"/>
      <c r="O96" s="6"/>
      <c r="P96" s="16"/>
      <c r="Q96" s="6"/>
      <c r="R96" s="6"/>
      <c r="S96" s="6"/>
    </row>
    <row r="97">
      <c r="A97" s="22">
        <v>11121.0</v>
      </c>
      <c r="B97" s="15" t="s">
        <v>148</v>
      </c>
      <c r="C97" s="15" t="s">
        <v>149</v>
      </c>
      <c r="D97" s="15" t="s">
        <v>150</v>
      </c>
      <c r="E97" s="14" t="s">
        <v>19</v>
      </c>
      <c r="F97" s="15" t="s">
        <v>129</v>
      </c>
      <c r="G97" s="20">
        <v>45975.45027246528</v>
      </c>
      <c r="H97" s="20">
        <v>45975.46207289352</v>
      </c>
      <c r="I97" s="2" t="s">
        <v>151</v>
      </c>
      <c r="J97" s="17"/>
      <c r="K97" s="17"/>
      <c r="L97" s="6"/>
      <c r="M97" s="6"/>
      <c r="N97" s="16"/>
      <c r="O97" s="6"/>
      <c r="P97" s="16"/>
      <c r="Q97" s="6"/>
      <c r="R97" s="6"/>
      <c r="S97" s="6"/>
    </row>
    <row r="98">
      <c r="A98" s="22">
        <v>11123.0</v>
      </c>
      <c r="B98" s="15" t="s">
        <v>152</v>
      </c>
      <c r="C98" s="15" t="s">
        <v>153</v>
      </c>
      <c r="D98" s="15" t="s">
        <v>154</v>
      </c>
      <c r="E98" s="14" t="s">
        <v>33</v>
      </c>
      <c r="F98" s="15" t="s">
        <v>129</v>
      </c>
      <c r="G98" s="16"/>
      <c r="H98" s="16"/>
      <c r="I98" s="17"/>
      <c r="J98" s="17"/>
      <c r="K98" s="17"/>
      <c r="L98" s="6"/>
      <c r="M98" s="6"/>
      <c r="N98" s="16"/>
      <c r="O98" s="6"/>
      <c r="P98" s="16"/>
      <c r="Q98" s="6"/>
      <c r="R98" s="6"/>
      <c r="S98" s="6"/>
    </row>
    <row r="99">
      <c r="A99" s="22">
        <v>11124.0</v>
      </c>
      <c r="B99" s="15" t="s">
        <v>155</v>
      </c>
      <c r="C99" s="15" t="s">
        <v>156</v>
      </c>
      <c r="D99" s="15" t="s">
        <v>157</v>
      </c>
      <c r="E99" s="14" t="s">
        <v>21</v>
      </c>
      <c r="F99" s="15" t="s">
        <v>129</v>
      </c>
      <c r="G99" s="16"/>
      <c r="H99" s="16"/>
      <c r="I99" s="17"/>
      <c r="J99" s="17"/>
      <c r="K99" s="17"/>
      <c r="L99" s="15" t="s">
        <v>23</v>
      </c>
      <c r="M99" s="6"/>
      <c r="N99" s="16"/>
      <c r="O99" s="6"/>
      <c r="P99" s="16"/>
      <c r="Q99" s="6"/>
      <c r="R99" s="6"/>
      <c r="S99" s="6"/>
    </row>
    <row r="100">
      <c r="A100" s="22">
        <v>11130.0</v>
      </c>
      <c r="B100" s="15" t="s">
        <v>158</v>
      </c>
      <c r="C100" s="15" t="s">
        <v>159</v>
      </c>
      <c r="D100" s="15" t="s">
        <v>160</v>
      </c>
      <c r="E100" s="14" t="s">
        <v>25</v>
      </c>
      <c r="F100" s="15" t="s">
        <v>129</v>
      </c>
      <c r="G100" s="20">
        <v>45975.51091074074</v>
      </c>
      <c r="H100" s="16"/>
      <c r="I100" s="17"/>
      <c r="J100" s="17"/>
      <c r="K100" s="17"/>
      <c r="L100" s="6"/>
      <c r="M100" s="6"/>
      <c r="N100" s="16"/>
      <c r="O100" s="6"/>
      <c r="P100" s="16"/>
      <c r="Q100" s="6"/>
      <c r="R100" s="6"/>
      <c r="S100" s="6"/>
    </row>
    <row r="101">
      <c r="A101" s="22">
        <v>11131.0</v>
      </c>
      <c r="B101" s="15" t="s">
        <v>161</v>
      </c>
      <c r="C101" s="15" t="s">
        <v>162</v>
      </c>
      <c r="D101" s="15" t="s">
        <v>163</v>
      </c>
      <c r="E101" s="14" t="s">
        <v>31</v>
      </c>
      <c r="F101" s="15" t="s">
        <v>129</v>
      </c>
      <c r="G101" s="16"/>
      <c r="H101" s="16"/>
      <c r="I101" s="17"/>
      <c r="J101" s="17"/>
      <c r="K101" s="17"/>
      <c r="L101" s="15" t="s">
        <v>29</v>
      </c>
      <c r="M101" s="6"/>
      <c r="N101" s="16"/>
      <c r="O101" s="6"/>
      <c r="P101" s="16"/>
      <c r="Q101" s="6"/>
      <c r="R101" s="6"/>
      <c r="S101" s="6"/>
    </row>
    <row r="102">
      <c r="A102" s="22">
        <v>11132.0</v>
      </c>
      <c r="B102" s="15" t="s">
        <v>164</v>
      </c>
      <c r="C102" s="15" t="s">
        <v>165</v>
      </c>
      <c r="D102" s="15" t="s">
        <v>166</v>
      </c>
      <c r="E102" s="14" t="s">
        <v>21</v>
      </c>
      <c r="F102" s="15" t="s">
        <v>129</v>
      </c>
      <c r="G102" s="20">
        <v>45975.37051068287</v>
      </c>
      <c r="H102" s="20">
        <v>45975.40193231481</v>
      </c>
      <c r="I102" s="2" t="s">
        <v>167</v>
      </c>
      <c r="J102" s="17"/>
      <c r="K102" s="17"/>
      <c r="L102" s="15" t="s">
        <v>23</v>
      </c>
      <c r="M102" s="6"/>
      <c r="N102" s="16"/>
      <c r="O102" s="6"/>
      <c r="P102" s="16"/>
      <c r="Q102" s="6"/>
      <c r="R102" s="6"/>
      <c r="S102" s="6"/>
    </row>
    <row r="103">
      <c r="A103" s="22">
        <v>11133.0</v>
      </c>
      <c r="B103" s="15" t="s">
        <v>168</v>
      </c>
      <c r="C103" s="15" t="s">
        <v>169</v>
      </c>
      <c r="D103" s="15" t="s">
        <v>170</v>
      </c>
      <c r="E103" s="14" t="s">
        <v>25</v>
      </c>
      <c r="F103" s="15" t="s">
        <v>129</v>
      </c>
      <c r="G103" s="20">
        <v>45975.48240179398</v>
      </c>
      <c r="H103" s="20">
        <v>45975.502068125</v>
      </c>
      <c r="I103" s="2" t="s">
        <v>171</v>
      </c>
      <c r="J103" s="17"/>
      <c r="K103" s="17"/>
      <c r="L103" s="6"/>
      <c r="M103" s="6"/>
      <c r="N103" s="16"/>
      <c r="O103" s="6"/>
      <c r="P103" s="16"/>
      <c r="Q103" s="6"/>
      <c r="R103" s="6"/>
      <c r="S103" s="6"/>
    </row>
    <row r="104">
      <c r="A104" s="22">
        <v>11134.0</v>
      </c>
      <c r="B104" s="15" t="s">
        <v>172</v>
      </c>
      <c r="C104" s="15" t="s">
        <v>173</v>
      </c>
      <c r="D104" s="15" t="s">
        <v>174</v>
      </c>
      <c r="E104" s="14" t="s">
        <v>33</v>
      </c>
      <c r="F104" s="15" t="s">
        <v>129</v>
      </c>
      <c r="G104" s="16"/>
      <c r="H104" s="16"/>
      <c r="I104" s="17"/>
      <c r="J104" s="17"/>
      <c r="K104" s="17"/>
      <c r="L104" s="15" t="s">
        <v>35</v>
      </c>
      <c r="M104" s="6"/>
      <c r="N104" s="16"/>
      <c r="O104" s="6"/>
      <c r="P104" s="16"/>
      <c r="Q104" s="6"/>
      <c r="R104" s="6"/>
      <c r="S104" s="6"/>
    </row>
    <row r="105">
      <c r="A105" s="22">
        <v>11135.0</v>
      </c>
      <c r="B105" s="15" t="s">
        <v>175</v>
      </c>
      <c r="C105" s="15" t="s">
        <v>173</v>
      </c>
      <c r="D105" s="15" t="s">
        <v>174</v>
      </c>
      <c r="E105" s="14" t="s">
        <v>33</v>
      </c>
      <c r="F105" s="15" t="s">
        <v>129</v>
      </c>
      <c r="G105" s="16"/>
      <c r="H105" s="16"/>
      <c r="I105" s="17"/>
      <c r="J105" s="17"/>
      <c r="K105" s="17"/>
      <c r="L105" s="15" t="s">
        <v>35</v>
      </c>
      <c r="M105" s="6"/>
      <c r="N105" s="16"/>
      <c r="O105" s="6"/>
      <c r="P105" s="16"/>
      <c r="Q105" s="6"/>
      <c r="R105" s="6"/>
      <c r="S105" s="6"/>
    </row>
    <row r="106">
      <c r="A106" s="22">
        <v>11137.0</v>
      </c>
      <c r="B106" s="15" t="s">
        <v>176</v>
      </c>
      <c r="C106" s="15" t="s">
        <v>177</v>
      </c>
      <c r="D106" s="15" t="s">
        <v>178</v>
      </c>
      <c r="E106" s="14" t="s">
        <v>31</v>
      </c>
      <c r="F106" s="15" t="s">
        <v>129</v>
      </c>
      <c r="G106" s="16"/>
      <c r="H106" s="16"/>
      <c r="I106" s="17"/>
      <c r="J106" s="17"/>
      <c r="K106" s="17"/>
      <c r="L106" s="6"/>
      <c r="M106" s="6"/>
      <c r="N106" s="16"/>
      <c r="O106" s="6"/>
      <c r="P106" s="16"/>
      <c r="Q106" s="6"/>
      <c r="R106" s="6"/>
      <c r="S106" s="6"/>
    </row>
    <row r="107">
      <c r="A107" s="22">
        <v>11138.0</v>
      </c>
      <c r="B107" s="15" t="s">
        <v>179</v>
      </c>
      <c r="C107" s="15" t="s">
        <v>180</v>
      </c>
      <c r="D107" s="15" t="s">
        <v>181</v>
      </c>
      <c r="E107" s="14" t="s">
        <v>17</v>
      </c>
      <c r="F107" s="15" t="s">
        <v>129</v>
      </c>
      <c r="G107" s="16"/>
      <c r="H107" s="16"/>
      <c r="I107" s="17"/>
      <c r="J107" s="17"/>
      <c r="K107" s="17"/>
      <c r="L107" s="6"/>
      <c r="M107" s="6"/>
      <c r="N107" s="16"/>
      <c r="O107" s="6"/>
      <c r="P107" s="16"/>
      <c r="Q107" s="6"/>
      <c r="R107" s="6"/>
      <c r="S107" s="6"/>
    </row>
    <row r="108">
      <c r="A108" s="22">
        <v>11139.0</v>
      </c>
      <c r="B108" s="15" t="s">
        <v>182</v>
      </c>
      <c r="C108" s="15" t="s">
        <v>183</v>
      </c>
      <c r="D108" s="15" t="s">
        <v>184</v>
      </c>
      <c r="E108" s="14" t="s">
        <v>29</v>
      </c>
      <c r="F108" s="15" t="s">
        <v>129</v>
      </c>
      <c r="G108" s="20">
        <v>45975.481713483794</v>
      </c>
      <c r="H108" s="20">
        <v>45975.51746491899</v>
      </c>
      <c r="I108" s="2" t="s">
        <v>185</v>
      </c>
      <c r="J108" s="17"/>
      <c r="K108" s="17"/>
      <c r="L108" s="6"/>
      <c r="M108" s="6"/>
      <c r="N108" s="16"/>
      <c r="O108" s="6"/>
      <c r="P108" s="16"/>
      <c r="Q108" s="6"/>
      <c r="R108" s="6"/>
      <c r="S108" s="6"/>
    </row>
    <row r="109">
      <c r="A109" s="22">
        <v>11140.0</v>
      </c>
      <c r="B109" s="15" t="s">
        <v>186</v>
      </c>
      <c r="C109" s="15" t="s">
        <v>187</v>
      </c>
      <c r="D109" s="15" t="s">
        <v>188</v>
      </c>
      <c r="E109" s="14" t="s">
        <v>33</v>
      </c>
      <c r="F109" s="15" t="s">
        <v>129</v>
      </c>
      <c r="G109" s="16"/>
      <c r="H109" s="16"/>
      <c r="I109" s="17"/>
      <c r="J109" s="17"/>
      <c r="K109" s="17"/>
      <c r="L109" s="15" t="s">
        <v>33</v>
      </c>
      <c r="M109" s="6"/>
      <c r="N109" s="16"/>
      <c r="O109" s="6"/>
      <c r="P109" s="16"/>
      <c r="Q109" s="6"/>
      <c r="R109" s="6"/>
      <c r="S109" s="6"/>
    </row>
    <row r="110">
      <c r="A110" s="22">
        <v>11141.0</v>
      </c>
      <c r="B110" s="15" t="s">
        <v>189</v>
      </c>
      <c r="C110" s="15" t="s">
        <v>190</v>
      </c>
      <c r="D110" s="15" t="s">
        <v>191</v>
      </c>
      <c r="E110" s="14" t="s">
        <v>33</v>
      </c>
      <c r="F110" s="15" t="s">
        <v>129</v>
      </c>
      <c r="G110" s="20">
        <v>45975.41381158565</v>
      </c>
      <c r="H110" s="20">
        <v>45975.42794299769</v>
      </c>
      <c r="I110" s="2" t="s">
        <v>192</v>
      </c>
      <c r="J110" s="17"/>
      <c r="K110" s="17"/>
      <c r="L110" s="15" t="s">
        <v>35</v>
      </c>
      <c r="M110" s="6"/>
      <c r="N110" s="16"/>
      <c r="O110" s="6"/>
      <c r="P110" s="16"/>
      <c r="Q110" s="6"/>
      <c r="R110" s="6"/>
      <c r="S110" s="6"/>
    </row>
    <row r="111">
      <c r="A111" s="22">
        <v>11142.0</v>
      </c>
      <c r="B111" s="15" t="s">
        <v>193</v>
      </c>
      <c r="C111" s="15" t="s">
        <v>194</v>
      </c>
      <c r="D111" s="15" t="s">
        <v>195</v>
      </c>
      <c r="E111" s="14" t="s">
        <v>33</v>
      </c>
      <c r="F111" s="15" t="s">
        <v>129</v>
      </c>
      <c r="G111" s="20">
        <v>45975.37406565972</v>
      </c>
      <c r="H111" s="20">
        <v>45975.392776990746</v>
      </c>
      <c r="I111" s="2" t="s">
        <v>196</v>
      </c>
      <c r="J111" s="17"/>
      <c r="K111" s="17"/>
      <c r="L111" s="15" t="s">
        <v>35</v>
      </c>
      <c r="M111" s="6"/>
      <c r="N111" s="16"/>
      <c r="O111" s="6"/>
      <c r="P111" s="16"/>
      <c r="Q111" s="6"/>
      <c r="R111" s="6"/>
      <c r="S111" s="6"/>
    </row>
    <row r="112">
      <c r="A112" s="22">
        <v>11143.0</v>
      </c>
      <c r="B112" s="15" t="s">
        <v>197</v>
      </c>
      <c r="C112" s="15" t="s">
        <v>198</v>
      </c>
      <c r="D112" s="15" t="s">
        <v>199</v>
      </c>
      <c r="E112" s="14" t="s">
        <v>29</v>
      </c>
      <c r="F112" s="15" t="s">
        <v>129</v>
      </c>
      <c r="G112" s="20">
        <v>45975.43696127315</v>
      </c>
      <c r="H112" s="20">
        <v>45975.460495775464</v>
      </c>
      <c r="I112" s="2" t="s">
        <v>200</v>
      </c>
      <c r="J112" s="17"/>
      <c r="K112" s="17"/>
      <c r="L112" s="6"/>
      <c r="M112" s="6"/>
      <c r="N112" s="16"/>
      <c r="O112" s="6"/>
      <c r="P112" s="16"/>
      <c r="Q112" s="6"/>
      <c r="R112" s="6"/>
      <c r="S112" s="6"/>
    </row>
    <row r="113">
      <c r="A113" s="22">
        <v>11144.0</v>
      </c>
      <c r="B113" s="15" t="s">
        <v>201</v>
      </c>
      <c r="C113" s="15" t="s">
        <v>202</v>
      </c>
      <c r="D113" s="15" t="s">
        <v>203</v>
      </c>
      <c r="E113" s="14" t="s">
        <v>17</v>
      </c>
      <c r="F113" s="15" t="s">
        <v>129</v>
      </c>
      <c r="G113" s="20">
        <v>45975.36995872685</v>
      </c>
      <c r="H113" s="20">
        <v>45975.44089554399</v>
      </c>
      <c r="I113" s="2" t="s">
        <v>204</v>
      </c>
      <c r="J113" s="17"/>
      <c r="K113" s="17"/>
      <c r="L113" s="6"/>
      <c r="M113" s="6"/>
      <c r="N113" s="16"/>
      <c r="O113" s="6"/>
      <c r="P113" s="16"/>
      <c r="Q113" s="6"/>
      <c r="R113" s="6"/>
      <c r="S113" s="6"/>
    </row>
    <row r="114">
      <c r="A114" s="22">
        <v>11145.0</v>
      </c>
      <c r="B114" s="15" t="s">
        <v>205</v>
      </c>
      <c r="C114" s="15" t="s">
        <v>206</v>
      </c>
      <c r="D114" s="15" t="s">
        <v>207</v>
      </c>
      <c r="E114" s="14" t="s">
        <v>17</v>
      </c>
      <c r="F114" s="15" t="s">
        <v>129</v>
      </c>
      <c r="G114" s="16"/>
      <c r="H114" s="16"/>
      <c r="I114" s="17"/>
      <c r="J114" s="17"/>
      <c r="K114" s="17"/>
      <c r="L114" s="6"/>
      <c r="M114" s="6"/>
      <c r="N114" s="16"/>
      <c r="O114" s="6"/>
      <c r="P114" s="16"/>
      <c r="Q114" s="6"/>
      <c r="R114" s="6"/>
      <c r="S114" s="6"/>
    </row>
    <row r="115">
      <c r="A115" s="22">
        <v>11146.0</v>
      </c>
      <c r="B115" s="15" t="s">
        <v>208</v>
      </c>
      <c r="C115" s="15" t="s">
        <v>209</v>
      </c>
      <c r="D115" s="15" t="s">
        <v>210</v>
      </c>
      <c r="E115" s="14" t="s">
        <v>19</v>
      </c>
      <c r="F115" s="15" t="s">
        <v>129</v>
      </c>
      <c r="G115" s="20">
        <v>45975.363692893516</v>
      </c>
      <c r="H115" s="20">
        <v>45975.3751084838</v>
      </c>
      <c r="I115" s="2" t="s">
        <v>211</v>
      </c>
      <c r="J115" s="17"/>
      <c r="K115" s="17"/>
      <c r="L115" s="6"/>
      <c r="M115" s="6"/>
      <c r="N115" s="16"/>
      <c r="O115" s="6"/>
      <c r="P115" s="16"/>
      <c r="Q115" s="6"/>
      <c r="R115" s="6"/>
      <c r="S115" s="6"/>
    </row>
    <row r="116">
      <c r="A116" s="22">
        <v>11147.0</v>
      </c>
      <c r="B116" s="15" t="s">
        <v>212</v>
      </c>
      <c r="C116" s="15" t="s">
        <v>213</v>
      </c>
      <c r="D116" s="15" t="s">
        <v>214</v>
      </c>
      <c r="E116" s="14" t="s">
        <v>19</v>
      </c>
      <c r="F116" s="15" t="s">
        <v>129</v>
      </c>
      <c r="G116" s="20">
        <v>45975.46230155093</v>
      </c>
      <c r="H116" s="20">
        <v>45975.477199375004</v>
      </c>
      <c r="I116" s="2" t="s">
        <v>215</v>
      </c>
      <c r="J116" s="17"/>
      <c r="K116" s="17"/>
      <c r="L116" s="6"/>
      <c r="M116" s="6"/>
      <c r="N116" s="16"/>
      <c r="O116" s="6"/>
      <c r="P116" s="16"/>
      <c r="Q116" s="6"/>
      <c r="R116" s="6"/>
      <c r="S116" s="6"/>
    </row>
    <row r="117">
      <c r="A117" s="22">
        <v>11149.0</v>
      </c>
      <c r="B117" s="15" t="s">
        <v>216</v>
      </c>
      <c r="C117" s="15" t="s">
        <v>217</v>
      </c>
      <c r="D117" s="15" t="s">
        <v>218</v>
      </c>
      <c r="E117" s="14" t="s">
        <v>33</v>
      </c>
      <c r="F117" s="15" t="s">
        <v>129</v>
      </c>
      <c r="G117" s="16"/>
      <c r="H117" s="16"/>
      <c r="I117" s="17"/>
      <c r="J117" s="17"/>
      <c r="K117" s="17"/>
      <c r="L117" s="6"/>
      <c r="M117" s="6"/>
      <c r="N117" s="16"/>
      <c r="O117" s="6"/>
      <c r="P117" s="16"/>
      <c r="Q117" s="6"/>
      <c r="R117" s="6"/>
      <c r="S117" s="6"/>
    </row>
    <row r="118">
      <c r="A118" s="22">
        <v>11150.0</v>
      </c>
      <c r="B118" s="15" t="s">
        <v>219</v>
      </c>
      <c r="C118" s="15" t="s">
        <v>220</v>
      </c>
      <c r="D118" s="15" t="s">
        <v>221</v>
      </c>
      <c r="E118" s="14" t="s">
        <v>33</v>
      </c>
      <c r="F118" s="15" t="s">
        <v>129</v>
      </c>
      <c r="G118" s="16"/>
      <c r="H118" s="16"/>
      <c r="I118" s="17"/>
      <c r="J118" s="17"/>
      <c r="K118" s="17"/>
      <c r="L118" s="6"/>
      <c r="M118" s="6"/>
      <c r="N118" s="16"/>
      <c r="O118" s="6"/>
      <c r="P118" s="16"/>
      <c r="Q118" s="6"/>
      <c r="R118" s="6"/>
      <c r="S118" s="6"/>
    </row>
    <row r="119">
      <c r="A119" s="22">
        <v>11153.0</v>
      </c>
      <c r="B119" s="15" t="s">
        <v>222</v>
      </c>
      <c r="C119" s="15" t="s">
        <v>223</v>
      </c>
      <c r="D119" s="15" t="s">
        <v>224</v>
      </c>
      <c r="E119" s="14" t="s">
        <v>33</v>
      </c>
      <c r="F119" s="15" t="s">
        <v>129</v>
      </c>
      <c r="G119" s="16"/>
      <c r="H119" s="16"/>
      <c r="I119" s="17"/>
      <c r="J119" s="17"/>
      <c r="K119" s="17"/>
      <c r="L119" s="6"/>
      <c r="M119" s="6"/>
      <c r="N119" s="16"/>
      <c r="O119" s="6"/>
      <c r="P119" s="16"/>
      <c r="Q119" s="6"/>
      <c r="R119" s="6"/>
      <c r="S119" s="6"/>
    </row>
    <row r="120">
      <c r="A120" s="22">
        <v>11154.0</v>
      </c>
      <c r="B120" s="15" t="s">
        <v>225</v>
      </c>
      <c r="C120" s="15" t="s">
        <v>226</v>
      </c>
      <c r="D120" s="15" t="s">
        <v>227</v>
      </c>
      <c r="E120" s="14" t="s">
        <v>29</v>
      </c>
      <c r="F120" s="15" t="s">
        <v>129</v>
      </c>
      <c r="G120" s="16"/>
      <c r="H120" s="16"/>
      <c r="I120" s="17"/>
      <c r="J120" s="17"/>
      <c r="K120" s="17"/>
      <c r="L120" s="6"/>
      <c r="M120" s="6"/>
      <c r="N120" s="16"/>
      <c r="O120" s="6"/>
      <c r="P120" s="16"/>
      <c r="Q120" s="6"/>
      <c r="R120" s="6"/>
      <c r="S120" s="6"/>
    </row>
    <row r="121">
      <c r="A121" s="22">
        <v>11155.0</v>
      </c>
      <c r="B121" s="15" t="s">
        <v>228</v>
      </c>
      <c r="C121" s="15" t="s">
        <v>229</v>
      </c>
      <c r="D121" s="15" t="s">
        <v>230</v>
      </c>
      <c r="E121" s="14" t="s">
        <v>31</v>
      </c>
      <c r="F121" s="15" t="s">
        <v>129</v>
      </c>
      <c r="G121" s="20">
        <v>45975.45798740741</v>
      </c>
      <c r="H121" s="20">
        <v>45975.48088322917</v>
      </c>
      <c r="I121" s="2" t="s">
        <v>231</v>
      </c>
      <c r="J121" s="17"/>
      <c r="K121" s="17"/>
      <c r="L121" s="6"/>
      <c r="M121" s="6"/>
      <c r="N121" s="16"/>
      <c r="O121" s="6"/>
      <c r="P121" s="16"/>
      <c r="Q121" s="6"/>
      <c r="R121" s="6"/>
      <c r="S121" s="6"/>
    </row>
    <row r="122">
      <c r="A122" s="22">
        <v>11156.0</v>
      </c>
      <c r="B122" s="15" t="s">
        <v>232</v>
      </c>
      <c r="C122" s="15" t="s">
        <v>233</v>
      </c>
      <c r="D122" s="15" t="s">
        <v>234</v>
      </c>
      <c r="E122" s="14" t="s">
        <v>31</v>
      </c>
      <c r="F122" s="15" t="s">
        <v>129</v>
      </c>
      <c r="G122" s="20">
        <v>45975.35762711806</v>
      </c>
      <c r="H122" s="20">
        <v>45975.38016851852</v>
      </c>
      <c r="I122" s="2" t="s">
        <v>235</v>
      </c>
      <c r="J122" s="17"/>
      <c r="K122" s="17"/>
      <c r="L122" s="6"/>
      <c r="M122" s="6"/>
      <c r="N122" s="16"/>
      <c r="O122" s="6"/>
      <c r="P122" s="16"/>
      <c r="Q122" s="6"/>
      <c r="R122" s="6"/>
      <c r="S122" s="6"/>
    </row>
    <row r="123">
      <c r="A123" s="22">
        <v>11157.0</v>
      </c>
      <c r="B123" s="15" t="s">
        <v>236</v>
      </c>
      <c r="C123" s="15" t="s">
        <v>237</v>
      </c>
      <c r="D123" s="15" t="s">
        <v>238</v>
      </c>
      <c r="E123" s="14" t="s">
        <v>31</v>
      </c>
      <c r="F123" s="15" t="s">
        <v>129</v>
      </c>
      <c r="G123" s="20">
        <v>45975.38354347222</v>
      </c>
      <c r="H123" s="20">
        <v>45975.38665564815</v>
      </c>
      <c r="I123" s="2" t="s">
        <v>239</v>
      </c>
      <c r="J123" s="17"/>
      <c r="K123" s="17"/>
      <c r="L123" s="15" t="s">
        <v>27</v>
      </c>
      <c r="M123" s="6"/>
      <c r="N123" s="16"/>
      <c r="O123" s="6"/>
      <c r="P123" s="16"/>
      <c r="Q123" s="6"/>
      <c r="R123" s="6"/>
      <c r="S123" s="6"/>
    </row>
    <row r="124">
      <c r="A124" s="22">
        <v>11158.0</v>
      </c>
      <c r="B124" s="15" t="s">
        <v>240</v>
      </c>
      <c r="C124" s="15" t="s">
        <v>241</v>
      </c>
      <c r="D124" s="15" t="s">
        <v>242</v>
      </c>
      <c r="E124" s="14" t="s">
        <v>31</v>
      </c>
      <c r="F124" s="15" t="s">
        <v>129</v>
      </c>
      <c r="G124" s="20">
        <v>45975.381591875004</v>
      </c>
      <c r="H124" s="20">
        <v>45975.382486539354</v>
      </c>
      <c r="I124" s="2" t="s">
        <v>243</v>
      </c>
      <c r="J124" s="17"/>
      <c r="K124" s="17"/>
      <c r="L124" s="6"/>
      <c r="M124" s="6"/>
      <c r="N124" s="16"/>
      <c r="O124" s="6"/>
      <c r="P124" s="16"/>
      <c r="Q124" s="6"/>
      <c r="R124" s="6"/>
      <c r="S124" s="6"/>
    </row>
    <row r="125">
      <c r="A125" s="22">
        <v>11159.0</v>
      </c>
      <c r="B125" s="15" t="s">
        <v>244</v>
      </c>
      <c r="C125" s="15" t="s">
        <v>245</v>
      </c>
      <c r="D125" s="15" t="s">
        <v>246</v>
      </c>
      <c r="E125" s="14" t="s">
        <v>31</v>
      </c>
      <c r="F125" s="15" t="s">
        <v>129</v>
      </c>
      <c r="G125" s="20">
        <v>45975.41998048611</v>
      </c>
      <c r="H125" s="20">
        <v>45975.43453629629</v>
      </c>
      <c r="I125" s="2" t="s">
        <v>215</v>
      </c>
      <c r="J125" s="17"/>
      <c r="K125" s="17"/>
      <c r="L125" s="6"/>
      <c r="M125" s="6"/>
      <c r="N125" s="16"/>
      <c r="O125" s="6"/>
      <c r="P125" s="16"/>
      <c r="Q125" s="6"/>
      <c r="R125" s="6"/>
      <c r="S125" s="6"/>
    </row>
    <row r="126">
      <c r="A126" s="22">
        <v>11160.0</v>
      </c>
      <c r="B126" s="15" t="s">
        <v>247</v>
      </c>
      <c r="C126" s="15" t="s">
        <v>248</v>
      </c>
      <c r="D126" s="15" t="s">
        <v>249</v>
      </c>
      <c r="E126" s="14" t="s">
        <v>25</v>
      </c>
      <c r="F126" s="15" t="s">
        <v>129</v>
      </c>
      <c r="G126" s="20">
        <v>45975.451005995375</v>
      </c>
      <c r="H126" s="20">
        <v>45975.46667981481</v>
      </c>
      <c r="I126" s="2" t="s">
        <v>250</v>
      </c>
      <c r="J126" s="17"/>
      <c r="K126" s="17"/>
      <c r="L126" s="6"/>
      <c r="M126" s="6"/>
      <c r="N126" s="16"/>
      <c r="O126" s="6"/>
      <c r="P126" s="16"/>
      <c r="Q126" s="6"/>
      <c r="R126" s="6"/>
      <c r="S126" s="6"/>
    </row>
    <row r="127">
      <c r="A127" s="22">
        <v>11161.0</v>
      </c>
      <c r="B127" s="15" t="s">
        <v>251</v>
      </c>
      <c r="C127" s="15" t="s">
        <v>252</v>
      </c>
      <c r="D127" s="15" t="s">
        <v>253</v>
      </c>
      <c r="E127" s="14" t="s">
        <v>29</v>
      </c>
      <c r="F127" s="15" t="s">
        <v>129</v>
      </c>
      <c r="G127" s="20">
        <v>45975.36495217592</v>
      </c>
      <c r="H127" s="20">
        <v>45975.40800744213</v>
      </c>
      <c r="I127" s="2" t="s">
        <v>254</v>
      </c>
      <c r="J127" s="17"/>
      <c r="K127" s="17"/>
      <c r="L127" s="6"/>
      <c r="M127" s="6"/>
      <c r="N127" s="16"/>
      <c r="O127" s="6"/>
      <c r="P127" s="16"/>
      <c r="Q127" s="6"/>
      <c r="R127" s="6"/>
      <c r="S127" s="6"/>
    </row>
    <row r="128">
      <c r="A128" s="22">
        <v>11162.0</v>
      </c>
      <c r="B128" s="15" t="s">
        <v>255</v>
      </c>
      <c r="C128" s="15" t="s">
        <v>256</v>
      </c>
      <c r="D128" s="15" t="s">
        <v>257</v>
      </c>
      <c r="E128" s="14" t="s">
        <v>31</v>
      </c>
      <c r="F128" s="15" t="s">
        <v>129</v>
      </c>
      <c r="G128" s="16"/>
      <c r="H128" s="16"/>
      <c r="I128" s="17"/>
      <c r="J128" s="17"/>
      <c r="K128" s="17"/>
      <c r="L128" s="6"/>
      <c r="M128" s="6"/>
      <c r="N128" s="16"/>
      <c r="O128" s="6"/>
      <c r="P128" s="16"/>
      <c r="Q128" s="6"/>
      <c r="R128" s="6"/>
      <c r="S128" s="6"/>
    </row>
    <row r="129">
      <c r="A129" s="22">
        <v>11163.0</v>
      </c>
      <c r="B129" s="15" t="s">
        <v>258</v>
      </c>
      <c r="C129" s="15" t="s">
        <v>256</v>
      </c>
      <c r="D129" s="15" t="s">
        <v>257</v>
      </c>
      <c r="E129" s="14" t="s">
        <v>31</v>
      </c>
      <c r="F129" s="15" t="s">
        <v>129</v>
      </c>
      <c r="G129" s="16"/>
      <c r="H129" s="16"/>
      <c r="I129" s="17"/>
      <c r="J129" s="17"/>
      <c r="K129" s="17"/>
      <c r="L129" s="6"/>
      <c r="M129" s="6"/>
      <c r="N129" s="16"/>
      <c r="O129" s="6"/>
      <c r="P129" s="16"/>
      <c r="Q129" s="6"/>
      <c r="R129" s="6"/>
      <c r="S129" s="6"/>
    </row>
    <row r="130">
      <c r="A130" s="23" t="s">
        <v>259</v>
      </c>
      <c r="B130" s="24" t="s">
        <v>260</v>
      </c>
      <c r="C130" s="25" t="s">
        <v>261</v>
      </c>
      <c r="D130" s="6" t="s">
        <v>262</v>
      </c>
      <c r="E130" s="14" t="s">
        <v>45</v>
      </c>
      <c r="F130" s="15" t="s">
        <v>263</v>
      </c>
      <c r="G130" s="16"/>
      <c r="H130" s="16"/>
      <c r="I130" s="17"/>
      <c r="J130" s="18" t="str">
        <f>VLOOKUP($A130,'Реестр объектов'!$A:$I,8,0)</f>
        <v>https://docs.google.com/spreadsheets/d/19THEBTE9q0fhN2eApZr6BgenIvLGh0AckaYxHQfHk5w/edit?gid=673886496#gid=673886496</v>
      </c>
      <c r="K130" s="21" t="str">
        <f>VLOOKUP($A130,'Реестр объектов'!$A:$I,9,0)</f>
        <v>https://disk.yandex.ru/client/disk/%D0%9E%D1%81%D0%BC%D0%BE%D1%82%D1%80%D1%8B%20%D0%BE%D0%B1%D1%8A%D0%B5%D0%BA%D1%82%D0%BE%D0%B2%20%D0%90%D0%9D%D0%9E%20%D0%A1%D0%9C%D0%93/202.%20%D0%91.%20%D0%A2%D0%B8%D1%88%D0%B8%D0%BD%D1%81%D0%BA%D0%B8%D0%B9%20%D0%BF%D0%B5%D1%80.%20%D0%B4.39%20</v>
      </c>
      <c r="L130" s="6"/>
      <c r="M130" s="6"/>
      <c r="N130" s="16"/>
      <c r="O130" s="6"/>
      <c r="P130" s="16"/>
      <c r="Q130" s="6"/>
      <c r="R130" s="6"/>
      <c r="S130" s="6"/>
    </row>
    <row r="131">
      <c r="A131" s="23" t="s">
        <v>264</v>
      </c>
      <c r="B131" s="24" t="s">
        <v>265</v>
      </c>
      <c r="C131" s="25" t="s">
        <v>266</v>
      </c>
      <c r="D131" s="6" t="s">
        <v>267</v>
      </c>
      <c r="E131" s="14" t="s">
        <v>45</v>
      </c>
      <c r="F131" s="15" t="s">
        <v>263</v>
      </c>
      <c r="G131" s="16"/>
      <c r="H131" s="16"/>
      <c r="I131" s="17"/>
      <c r="J131" s="18" t="str">
        <f>VLOOKUP($A131,'Реестр объектов'!$A:$I,8,0)</f>
        <v>https://docs.google.com/spreadsheets/d/19THEBTE9q0fhN2eApZr6BgenIvLGh0AckaYxHQfHk5w/edit?gid=1676523530#gid=1676523530</v>
      </c>
      <c r="K131" s="19" t="str">
        <f>VLOOKUP($A131,'Реестр объектов'!$A:$I,9,0)</f>
        <v>https://disk.yandex.ru/client/disk/Осмотры%20объектов%20АНО%20СМГ/211.%20ул.%20Летная%2C%20уч.%204</v>
      </c>
      <c r="L131" s="6"/>
      <c r="M131" s="6"/>
      <c r="N131" s="16"/>
      <c r="O131" s="6"/>
      <c r="P131" s="16"/>
      <c r="Q131" s="6"/>
      <c r="R131" s="6"/>
      <c r="S131" s="6"/>
    </row>
    <row r="132">
      <c r="A132" s="26" t="s">
        <v>268</v>
      </c>
      <c r="B132" s="13" t="str">
        <f>VLOOKUP($A132,'Реестр объектов'!$A:$I,5,0)</f>
        <v>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v>
      </c>
      <c r="C132" s="13" t="str">
        <f>VLOOKUP($A132,'Реестр объектов'!$A:$I,6,0)</f>
        <v>55.500902</v>
      </c>
      <c r="D132" s="13" t="str">
        <f>VLOOKUP($A132,'Реестр объектов'!$A:$I,7,0)</f>
        <v> 37.306494</v>
      </c>
      <c r="E132" s="14" t="s">
        <v>45</v>
      </c>
      <c r="F132" s="15" t="s">
        <v>269</v>
      </c>
      <c r="G132" s="20"/>
      <c r="H132" s="20"/>
      <c r="I132" s="2"/>
      <c r="J132" s="18" t="str">
        <f>VLOOKUP($A132,'Реестр объектов'!$A:$I,8,0)</f>
        <v>https://docs.google.com/spreadsheets/d/19THEBTE9q0fhN2eApZr6BgenIvLGh0AckaYxHQfHk5w/edit?gid=2126809757#gid=2126809757</v>
      </c>
      <c r="K132" s="19" t="str">
        <f>VLOOKUP($A132,'Реестр объектов'!$A:$I,9,0)</f>
        <v>https://disk.yandex.ru/client/disk/Осмотры%20объектов%20АНО%20СМГ/198.%20РЦИ%20ул.%20Теннисная%202</v>
      </c>
      <c r="L132" s="27" t="s">
        <v>270</v>
      </c>
      <c r="M132" s="28"/>
      <c r="N132" s="29"/>
      <c r="O132" s="28"/>
      <c r="P132" s="29"/>
      <c r="Q132" s="28"/>
      <c r="R132" s="28"/>
      <c r="S132" s="28"/>
      <c r="T132" s="30"/>
      <c r="U132" s="30"/>
      <c r="V132" s="30"/>
      <c r="W132" s="30"/>
      <c r="X132" s="30"/>
      <c r="Y132" s="30"/>
      <c r="Z132" s="30"/>
    </row>
    <row r="133">
      <c r="A133" s="31" t="s">
        <v>50</v>
      </c>
      <c r="B133" s="14" t="s">
        <v>271</v>
      </c>
      <c r="C133" s="25" t="s">
        <v>272</v>
      </c>
      <c r="D133" s="6" t="s">
        <v>273</v>
      </c>
      <c r="E133" s="15" t="s">
        <v>19</v>
      </c>
      <c r="F133" s="15" t="s">
        <v>274</v>
      </c>
      <c r="G133" s="16"/>
      <c r="H133" s="16"/>
      <c r="I133" s="17"/>
      <c r="J133" s="18" t="s">
        <v>275</v>
      </c>
      <c r="K133" s="19" t="s">
        <v>276</v>
      </c>
      <c r="L133" s="6"/>
      <c r="M133" s="6"/>
      <c r="N133" s="16"/>
      <c r="O133" s="6"/>
      <c r="P133" s="16"/>
      <c r="Q133" s="6"/>
      <c r="R133" s="6"/>
      <c r="S133" s="6"/>
    </row>
    <row r="134">
      <c r="A134" s="31" t="s">
        <v>277</v>
      </c>
      <c r="B134" s="14" t="s">
        <v>278</v>
      </c>
      <c r="C134" s="25" t="s">
        <v>279</v>
      </c>
      <c r="D134" s="6" t="s">
        <v>280</v>
      </c>
      <c r="E134" s="15" t="s">
        <v>19</v>
      </c>
      <c r="F134" s="15" t="s">
        <v>274</v>
      </c>
      <c r="G134" s="20">
        <v>45975.509264803244</v>
      </c>
      <c r="H134" s="20">
        <v>45975.509843611115</v>
      </c>
      <c r="I134" s="2" t="s">
        <v>243</v>
      </c>
      <c r="J134" s="18" t="s">
        <v>281</v>
      </c>
      <c r="K134" s="19" t="s">
        <v>282</v>
      </c>
      <c r="L134" s="6"/>
      <c r="M134" s="6"/>
      <c r="N134" s="16"/>
      <c r="O134" s="6"/>
      <c r="P134" s="16"/>
      <c r="Q134" s="6"/>
      <c r="R134" s="6"/>
      <c r="S134" s="6"/>
    </row>
    <row r="135">
      <c r="A135" s="31" t="s">
        <v>283</v>
      </c>
      <c r="B135" s="14" t="s">
        <v>284</v>
      </c>
      <c r="C135" s="25" t="s">
        <v>285</v>
      </c>
      <c r="D135" s="6" t="s">
        <v>286</v>
      </c>
      <c r="E135" s="15" t="s">
        <v>19</v>
      </c>
      <c r="F135" s="15" t="s">
        <v>274</v>
      </c>
      <c r="G135" s="20">
        <v>45975.51160421297</v>
      </c>
      <c r="H135" s="16"/>
      <c r="I135" s="17"/>
      <c r="J135" s="18" t="s">
        <v>287</v>
      </c>
      <c r="K135" s="19" t="s">
        <v>288</v>
      </c>
      <c r="L135" s="6"/>
      <c r="M135" s="6"/>
      <c r="N135" s="16"/>
      <c r="O135" s="6"/>
      <c r="P135" s="16"/>
      <c r="Q135" s="6"/>
      <c r="R135" s="6"/>
      <c r="S135" s="6"/>
    </row>
    <row r="136">
      <c r="A136" s="31" t="s">
        <v>289</v>
      </c>
      <c r="B136" s="14" t="s">
        <v>290</v>
      </c>
      <c r="C136" s="25" t="s">
        <v>291</v>
      </c>
      <c r="D136" s="6" t="s">
        <v>292</v>
      </c>
      <c r="E136" s="15" t="s">
        <v>35</v>
      </c>
      <c r="F136" s="15" t="s">
        <v>293</v>
      </c>
      <c r="G136" s="20">
        <v>45975.35800238426</v>
      </c>
      <c r="H136" s="20">
        <v>45975.491432870374</v>
      </c>
      <c r="I136" s="2" t="s">
        <v>294</v>
      </c>
      <c r="J136" s="18" t="s">
        <v>295</v>
      </c>
      <c r="K136" s="19" t="s">
        <v>296</v>
      </c>
      <c r="L136" s="6"/>
      <c r="M136" s="6"/>
      <c r="N136" s="16"/>
      <c r="O136" s="6"/>
      <c r="P136" s="16"/>
      <c r="Q136" s="6"/>
      <c r="R136" s="6"/>
      <c r="S136" s="6"/>
    </row>
    <row r="137">
      <c r="A137" s="31" t="s">
        <v>297</v>
      </c>
      <c r="B137" s="14" t="s">
        <v>298</v>
      </c>
      <c r="C137" s="25" t="s">
        <v>299</v>
      </c>
      <c r="D137" s="6" t="s">
        <v>300</v>
      </c>
      <c r="E137" s="15" t="s">
        <v>35</v>
      </c>
      <c r="F137" s="15" t="s">
        <v>293</v>
      </c>
      <c r="G137" s="20">
        <v>45975.49165521991</v>
      </c>
      <c r="H137" s="16"/>
      <c r="I137" s="17"/>
      <c r="J137" s="18" t="s">
        <v>301</v>
      </c>
      <c r="K137" s="19" t="s">
        <v>302</v>
      </c>
      <c r="L137" s="6"/>
      <c r="M137" s="6"/>
      <c r="N137" s="16"/>
      <c r="O137" s="6"/>
      <c r="P137" s="16"/>
      <c r="Q137" s="6"/>
      <c r="R137" s="6"/>
      <c r="S137" s="6"/>
    </row>
    <row r="138">
      <c r="A138" s="32" t="s">
        <v>303</v>
      </c>
      <c r="B138" s="13" t="str">
        <f>VLOOKUP($A138,'Реестр объектов'!$A:$I,5,0)</f>
        <v>Строительство нового корпуса ГКБ им. В.П. Демихова по адресу: ЮВАО, р-н Текстильщики, ул. Шкулева, д. 4» р-н Текстильщики, ул. Шкулева, д. 4</v>
      </c>
      <c r="C138" s="13" t="str">
        <f>VLOOKUP($A138,'Реестр объектов'!$A:$I,6,0)</f>
        <v>55.692778</v>
      </c>
      <c r="D138" s="13" t="str">
        <f>VLOOKUP($A138,'Реестр объектов'!$A:$I,7,0)</f>
        <v>37.750593</v>
      </c>
      <c r="E138" s="14" t="s">
        <v>45</v>
      </c>
      <c r="F138" s="15" t="s">
        <v>293</v>
      </c>
      <c r="G138" s="16"/>
      <c r="H138" s="16"/>
      <c r="I138" s="17"/>
      <c r="J138" s="18" t="str">
        <f>VLOOKUP($A138,'Реестр объектов'!$A:$I,8,0)</f>
        <v>https://docs.google.com/spreadsheets/d/1EI7qusa674eJhuaw-nWWtWMEHVSYMQv7HLsInEZTWpE/edit?gid=1477675576#gid=1477675576</v>
      </c>
      <c r="K138" s="19" t="str">
        <f>VLOOKUP($A138,'Реестр объектов'!$A:$I,9,0)</f>
        <v>https://disk.yandex.ru/client/disk/Осмотры%20объектов%20АНО%20СМГ/299.%20Шкулева%20д.4%20ГКБ%20им.%20В.П.%20Демихова</v>
      </c>
      <c r="L138" s="6"/>
      <c r="M138" s="6"/>
      <c r="N138" s="16"/>
      <c r="O138" s="6"/>
      <c r="P138" s="16"/>
      <c r="Q138" s="6"/>
      <c r="R138" s="6"/>
      <c r="S138" s="6"/>
    </row>
    <row r="139">
      <c r="A139" s="22"/>
      <c r="B139" s="6"/>
      <c r="C139" s="6"/>
      <c r="D139" s="6"/>
      <c r="E139" s="6"/>
      <c r="F139" s="6"/>
      <c r="G139" s="16"/>
      <c r="H139" s="16"/>
      <c r="I139" s="17"/>
      <c r="J139" s="17"/>
      <c r="K139" s="17"/>
      <c r="L139" s="6"/>
      <c r="M139" s="6"/>
      <c r="N139" s="16"/>
      <c r="O139" s="6"/>
      <c r="P139" s="16"/>
      <c r="Q139" s="6"/>
      <c r="R139" s="6"/>
      <c r="S139" s="6"/>
    </row>
    <row r="140">
      <c r="A140" s="22"/>
      <c r="B140" s="6"/>
      <c r="C140" s="6"/>
      <c r="D140" s="6"/>
      <c r="E140" s="6"/>
      <c r="F140" s="6"/>
      <c r="G140" s="16"/>
      <c r="H140" s="16"/>
      <c r="I140" s="17"/>
      <c r="J140" s="17"/>
      <c r="K140" s="17"/>
      <c r="L140" s="6"/>
      <c r="M140" s="6"/>
      <c r="N140" s="16"/>
      <c r="O140" s="6"/>
      <c r="P140" s="16"/>
      <c r="Q140" s="6"/>
      <c r="R140" s="6"/>
      <c r="S140" s="6"/>
    </row>
    <row r="141">
      <c r="A141" s="22"/>
      <c r="B141" s="6"/>
      <c r="C141" s="6"/>
      <c r="D141" s="6"/>
      <c r="E141" s="6"/>
      <c r="F141" s="6"/>
      <c r="G141" s="16"/>
      <c r="H141" s="16"/>
      <c r="I141" s="17"/>
      <c r="J141" s="17"/>
      <c r="K141" s="17"/>
      <c r="L141" s="6"/>
      <c r="M141" s="6"/>
      <c r="N141" s="16"/>
      <c r="O141" s="6"/>
      <c r="P141" s="16"/>
      <c r="Q141" s="6"/>
      <c r="R141" s="6"/>
      <c r="S141" s="6"/>
    </row>
    <row r="142">
      <c r="A142" s="22"/>
      <c r="B142" s="6"/>
      <c r="C142" s="6"/>
      <c r="D142" s="6"/>
      <c r="E142" s="6"/>
      <c r="F142" s="6"/>
      <c r="G142" s="16"/>
      <c r="H142" s="16"/>
      <c r="I142" s="17"/>
      <c r="J142" s="17"/>
      <c r="K142" s="17"/>
      <c r="L142" s="6"/>
      <c r="M142" s="6"/>
      <c r="N142" s="16"/>
      <c r="O142" s="6"/>
      <c r="P142" s="16"/>
      <c r="Q142" s="6"/>
      <c r="R142" s="6"/>
      <c r="S142" s="6"/>
    </row>
    <row r="143">
      <c r="A143" s="22"/>
      <c r="B143" s="6"/>
      <c r="C143" s="6"/>
      <c r="D143" s="6"/>
      <c r="E143" s="6"/>
      <c r="F143" s="6"/>
      <c r="G143" s="16"/>
      <c r="H143" s="16"/>
      <c r="I143" s="17"/>
      <c r="J143" s="17"/>
      <c r="K143" s="17"/>
      <c r="L143" s="6"/>
      <c r="M143" s="6"/>
      <c r="N143" s="16"/>
      <c r="O143" s="6"/>
      <c r="P143" s="16"/>
      <c r="Q143" s="6"/>
      <c r="R143" s="6"/>
      <c r="S143" s="6"/>
    </row>
    <row r="144">
      <c r="A144" s="22"/>
      <c r="B144" s="6"/>
      <c r="C144" s="6"/>
      <c r="D144" s="6"/>
      <c r="E144" s="6"/>
      <c r="F144" s="6"/>
      <c r="G144" s="16"/>
      <c r="H144" s="16"/>
      <c r="I144" s="17"/>
      <c r="J144" s="17"/>
      <c r="K144" s="17"/>
      <c r="L144" s="6"/>
      <c r="M144" s="6"/>
      <c r="N144" s="16"/>
      <c r="O144" s="6"/>
      <c r="P144" s="16"/>
      <c r="Q144" s="6"/>
      <c r="R144" s="6"/>
      <c r="S144" s="6"/>
    </row>
    <row r="145">
      <c r="A145" s="22"/>
      <c r="B145" s="6"/>
      <c r="C145" s="6"/>
      <c r="D145" s="6"/>
      <c r="E145" s="6"/>
      <c r="F145" s="6"/>
      <c r="G145" s="16"/>
      <c r="H145" s="16"/>
      <c r="I145" s="17"/>
      <c r="J145" s="17"/>
      <c r="K145" s="17"/>
      <c r="L145" s="6"/>
      <c r="M145" s="6"/>
      <c r="N145" s="16"/>
      <c r="O145" s="6"/>
      <c r="P145" s="16"/>
      <c r="Q145" s="6"/>
      <c r="R145" s="6"/>
      <c r="S145" s="6"/>
    </row>
    <row r="146">
      <c r="A146" s="22"/>
      <c r="B146" s="6"/>
      <c r="C146" s="6"/>
      <c r="D146" s="6"/>
      <c r="E146" s="6"/>
      <c r="F146" s="6"/>
      <c r="G146" s="16"/>
      <c r="H146" s="16"/>
      <c r="I146" s="17"/>
      <c r="J146" s="17"/>
      <c r="K146" s="17"/>
      <c r="L146" s="6"/>
      <c r="M146" s="6"/>
      <c r="N146" s="16"/>
      <c r="O146" s="6"/>
      <c r="P146" s="16"/>
      <c r="Q146" s="6"/>
      <c r="R146" s="6"/>
      <c r="S146" s="6"/>
    </row>
    <row r="147">
      <c r="A147" s="22"/>
      <c r="B147" s="6"/>
      <c r="C147" s="6"/>
      <c r="D147" s="6"/>
      <c r="E147" s="6"/>
      <c r="F147" s="6"/>
      <c r="G147" s="16"/>
      <c r="H147" s="16"/>
      <c r="I147" s="17"/>
      <c r="J147" s="17"/>
      <c r="K147" s="17"/>
      <c r="L147" s="6"/>
      <c r="M147" s="6"/>
      <c r="N147" s="16"/>
      <c r="O147" s="6"/>
      <c r="P147" s="16"/>
      <c r="Q147" s="6"/>
      <c r="R147" s="6"/>
      <c r="S147" s="6"/>
    </row>
    <row r="148">
      <c r="A148" s="22"/>
      <c r="B148" s="6"/>
      <c r="C148" s="6"/>
      <c r="D148" s="6"/>
      <c r="E148" s="6"/>
      <c r="F148" s="6"/>
      <c r="G148" s="16"/>
      <c r="H148" s="16"/>
      <c r="I148" s="17"/>
      <c r="J148" s="17"/>
      <c r="K148" s="17"/>
      <c r="L148" s="6"/>
      <c r="M148" s="6"/>
      <c r="N148" s="16"/>
      <c r="O148" s="6"/>
      <c r="P148" s="16"/>
      <c r="Q148" s="6"/>
      <c r="R148" s="6"/>
      <c r="S148" s="6"/>
    </row>
    <row r="149">
      <c r="A149" s="22"/>
      <c r="B149" s="6"/>
      <c r="C149" s="6"/>
      <c r="D149" s="6"/>
      <c r="E149" s="6"/>
      <c r="F149" s="6"/>
      <c r="G149" s="16"/>
      <c r="H149" s="16"/>
      <c r="I149" s="17"/>
      <c r="J149" s="17"/>
      <c r="K149" s="17"/>
      <c r="L149" s="6"/>
      <c r="M149" s="6"/>
      <c r="N149" s="16"/>
      <c r="O149" s="6"/>
      <c r="P149" s="16"/>
      <c r="Q149" s="6"/>
      <c r="R149" s="6"/>
      <c r="S149" s="6"/>
    </row>
    <row r="150">
      <c r="A150" s="22"/>
      <c r="B150" s="6"/>
      <c r="C150" s="6"/>
      <c r="D150" s="6"/>
      <c r="E150" s="6"/>
      <c r="F150" s="6"/>
      <c r="G150" s="16"/>
      <c r="H150" s="16"/>
      <c r="I150" s="17"/>
      <c r="J150" s="17"/>
      <c r="K150" s="17"/>
      <c r="L150" s="6"/>
      <c r="M150" s="6"/>
      <c r="N150" s="16"/>
      <c r="O150" s="6"/>
      <c r="P150" s="16"/>
      <c r="Q150" s="6"/>
      <c r="R150" s="6"/>
      <c r="S150" s="6"/>
    </row>
    <row r="151">
      <c r="A151" s="22"/>
      <c r="B151" s="6"/>
      <c r="C151" s="6"/>
      <c r="D151" s="6"/>
      <c r="E151" s="6"/>
      <c r="F151" s="6"/>
      <c r="G151" s="16"/>
      <c r="H151" s="16"/>
      <c r="I151" s="17"/>
      <c r="J151" s="17"/>
      <c r="K151" s="17"/>
      <c r="L151" s="6"/>
      <c r="M151" s="6"/>
      <c r="N151" s="16"/>
      <c r="O151" s="6"/>
      <c r="P151" s="16"/>
      <c r="Q151" s="6"/>
      <c r="R151" s="6"/>
      <c r="S151" s="6"/>
    </row>
    <row r="152">
      <c r="A152" s="22"/>
      <c r="B152" s="6"/>
      <c r="C152" s="6"/>
      <c r="D152" s="6"/>
      <c r="E152" s="6"/>
      <c r="F152" s="6"/>
      <c r="G152" s="16"/>
      <c r="H152" s="16"/>
      <c r="I152" s="17"/>
      <c r="J152" s="17"/>
      <c r="K152" s="17"/>
      <c r="L152" s="6"/>
      <c r="M152" s="6"/>
      <c r="N152" s="16"/>
      <c r="O152" s="6"/>
      <c r="P152" s="16"/>
      <c r="Q152" s="6"/>
      <c r="R152" s="6"/>
      <c r="S152" s="6"/>
    </row>
    <row r="153">
      <c r="A153" s="22"/>
      <c r="B153" s="6"/>
      <c r="C153" s="6"/>
      <c r="D153" s="6"/>
      <c r="E153" s="6"/>
      <c r="F153" s="6"/>
      <c r="G153" s="16"/>
      <c r="H153" s="16"/>
      <c r="I153" s="17"/>
      <c r="J153" s="17"/>
      <c r="K153" s="17"/>
      <c r="L153" s="6"/>
      <c r="M153" s="6"/>
      <c r="N153" s="16"/>
      <c r="O153" s="6"/>
      <c r="P153" s="16"/>
      <c r="Q153" s="6"/>
      <c r="R153" s="6"/>
      <c r="S153" s="6"/>
    </row>
    <row r="154">
      <c r="A154" s="22"/>
      <c r="B154" s="6"/>
      <c r="C154" s="6"/>
      <c r="D154" s="6"/>
      <c r="E154" s="6"/>
      <c r="F154" s="6"/>
      <c r="G154" s="16"/>
      <c r="H154" s="16"/>
      <c r="I154" s="17"/>
      <c r="J154" s="17"/>
      <c r="K154" s="17"/>
      <c r="L154" s="6"/>
      <c r="M154" s="6"/>
      <c r="N154" s="16"/>
      <c r="O154" s="6"/>
      <c r="P154" s="16"/>
      <c r="Q154" s="6"/>
      <c r="R154" s="6"/>
      <c r="S154" s="6"/>
    </row>
    <row r="155">
      <c r="A155" s="22"/>
      <c r="B155" s="6"/>
      <c r="C155" s="6"/>
      <c r="D155" s="6"/>
      <c r="E155" s="6"/>
      <c r="F155" s="6"/>
      <c r="G155" s="16"/>
      <c r="H155" s="16"/>
      <c r="I155" s="17"/>
      <c r="J155" s="17"/>
      <c r="K155" s="17"/>
      <c r="L155" s="6"/>
      <c r="M155" s="6"/>
      <c r="N155" s="16"/>
      <c r="O155" s="6"/>
      <c r="P155" s="16"/>
      <c r="Q155" s="6"/>
      <c r="R155" s="6"/>
      <c r="S155" s="6"/>
    </row>
    <row r="156">
      <c r="A156" s="22"/>
      <c r="B156" s="6"/>
      <c r="C156" s="6"/>
      <c r="D156" s="6"/>
      <c r="E156" s="6"/>
      <c r="F156" s="6"/>
      <c r="G156" s="16"/>
      <c r="H156" s="16"/>
      <c r="I156" s="17"/>
      <c r="J156" s="17"/>
      <c r="K156" s="17"/>
      <c r="L156" s="6"/>
      <c r="M156" s="6"/>
      <c r="N156" s="16"/>
      <c r="O156" s="6"/>
      <c r="P156" s="16"/>
      <c r="Q156" s="6"/>
      <c r="R156" s="6"/>
      <c r="S156" s="6"/>
    </row>
    <row r="157">
      <c r="A157" s="22"/>
      <c r="B157" s="6"/>
      <c r="C157" s="6"/>
      <c r="D157" s="6"/>
      <c r="E157" s="6"/>
      <c r="F157" s="6"/>
      <c r="G157" s="16"/>
      <c r="H157" s="16"/>
      <c r="I157" s="17"/>
      <c r="J157" s="17"/>
      <c r="K157" s="17"/>
      <c r="L157" s="6"/>
      <c r="M157" s="6"/>
      <c r="N157" s="16"/>
      <c r="O157" s="6"/>
      <c r="P157" s="16"/>
      <c r="Q157" s="6"/>
      <c r="R157" s="6"/>
      <c r="S157" s="6"/>
    </row>
    <row r="158">
      <c r="A158" s="22"/>
      <c r="B158" s="6"/>
      <c r="C158" s="6"/>
      <c r="D158" s="6"/>
      <c r="E158" s="6"/>
      <c r="F158" s="6"/>
      <c r="G158" s="16"/>
      <c r="H158" s="16"/>
      <c r="I158" s="17"/>
      <c r="J158" s="17"/>
      <c r="K158" s="17"/>
      <c r="L158" s="6"/>
      <c r="M158" s="6"/>
      <c r="N158" s="16"/>
      <c r="O158" s="6"/>
      <c r="P158" s="16"/>
      <c r="Q158" s="6"/>
      <c r="R158" s="6"/>
      <c r="S158" s="6"/>
    </row>
    <row r="159">
      <c r="A159" s="22"/>
      <c r="B159" s="6"/>
      <c r="C159" s="6"/>
      <c r="D159" s="6"/>
      <c r="E159" s="6"/>
      <c r="F159" s="6"/>
      <c r="G159" s="16"/>
      <c r="H159" s="16"/>
      <c r="I159" s="17"/>
      <c r="J159" s="17"/>
      <c r="K159" s="17"/>
      <c r="L159" s="6"/>
      <c r="M159" s="6"/>
      <c r="N159" s="16"/>
      <c r="O159" s="6"/>
      <c r="P159" s="16"/>
      <c r="Q159" s="6"/>
      <c r="R159" s="6"/>
      <c r="S159" s="6"/>
    </row>
    <row r="160">
      <c r="A160" s="22"/>
      <c r="B160" s="6"/>
      <c r="C160" s="6"/>
      <c r="D160" s="6"/>
      <c r="E160" s="6"/>
      <c r="F160" s="6"/>
      <c r="G160" s="16"/>
      <c r="H160" s="16"/>
      <c r="I160" s="17"/>
      <c r="J160" s="17"/>
      <c r="K160" s="17"/>
      <c r="L160" s="6"/>
      <c r="M160" s="6"/>
      <c r="N160" s="16"/>
      <c r="O160" s="6"/>
      <c r="P160" s="16"/>
      <c r="Q160" s="6"/>
      <c r="R160" s="6"/>
      <c r="S160" s="6"/>
    </row>
    <row r="161">
      <c r="A161" s="22"/>
      <c r="B161" s="6"/>
      <c r="C161" s="6"/>
      <c r="D161" s="6"/>
      <c r="E161" s="6"/>
      <c r="F161" s="6"/>
      <c r="G161" s="16"/>
      <c r="H161" s="16"/>
      <c r="I161" s="17"/>
      <c r="J161" s="17"/>
      <c r="K161" s="17"/>
      <c r="L161" s="6"/>
      <c r="M161" s="6"/>
      <c r="N161" s="16"/>
      <c r="O161" s="6"/>
      <c r="P161" s="16"/>
      <c r="Q161" s="6"/>
      <c r="R161" s="6"/>
      <c r="S161" s="6"/>
    </row>
    <row r="162">
      <c r="A162" s="22"/>
      <c r="B162" s="6"/>
      <c r="C162" s="6"/>
      <c r="D162" s="6"/>
      <c r="E162" s="6"/>
      <c r="F162" s="6"/>
      <c r="G162" s="16"/>
      <c r="H162" s="16"/>
      <c r="I162" s="17"/>
      <c r="J162" s="17"/>
      <c r="K162" s="17"/>
      <c r="L162" s="6"/>
      <c r="M162" s="6"/>
      <c r="N162" s="16"/>
      <c r="O162" s="6"/>
      <c r="P162" s="16"/>
      <c r="Q162" s="6"/>
      <c r="R162" s="6"/>
      <c r="S162" s="6"/>
    </row>
    <row r="163">
      <c r="A163" s="22"/>
      <c r="B163" s="6"/>
      <c r="C163" s="6"/>
      <c r="D163" s="6"/>
      <c r="E163" s="6"/>
      <c r="F163" s="6"/>
      <c r="G163" s="16"/>
      <c r="H163" s="16"/>
      <c r="I163" s="17"/>
      <c r="J163" s="17"/>
      <c r="K163" s="17"/>
      <c r="L163" s="6"/>
      <c r="M163" s="6"/>
      <c r="N163" s="16"/>
      <c r="O163" s="6"/>
      <c r="P163" s="16"/>
      <c r="Q163" s="6"/>
      <c r="R163" s="6"/>
      <c r="S163" s="6"/>
    </row>
    <row r="164">
      <c r="A164" s="22"/>
      <c r="B164" s="6"/>
      <c r="C164" s="6"/>
      <c r="D164" s="6"/>
      <c r="E164" s="6"/>
      <c r="F164" s="6"/>
      <c r="G164" s="16"/>
      <c r="H164" s="16"/>
      <c r="I164" s="17"/>
      <c r="J164" s="17"/>
      <c r="K164" s="17"/>
      <c r="L164" s="6"/>
      <c r="M164" s="6"/>
      <c r="N164" s="16"/>
      <c r="O164" s="6"/>
      <c r="P164" s="16"/>
      <c r="Q164" s="6"/>
      <c r="R164" s="6"/>
      <c r="S164" s="6"/>
    </row>
    <row r="165">
      <c r="A165" s="22"/>
      <c r="B165" s="6"/>
      <c r="C165" s="6"/>
      <c r="D165" s="6"/>
      <c r="E165" s="6"/>
      <c r="F165" s="6"/>
      <c r="G165" s="16"/>
      <c r="H165" s="16"/>
      <c r="I165" s="17"/>
      <c r="J165" s="17"/>
      <c r="K165" s="17"/>
      <c r="L165" s="6"/>
      <c r="M165" s="6"/>
      <c r="N165" s="16"/>
      <c r="O165" s="6"/>
      <c r="P165" s="16"/>
      <c r="Q165" s="6"/>
      <c r="R165" s="6"/>
      <c r="S165" s="6"/>
    </row>
    <row r="166">
      <c r="A166" s="22"/>
      <c r="B166" s="6"/>
      <c r="C166" s="6"/>
      <c r="D166" s="6"/>
      <c r="E166" s="6"/>
      <c r="F166" s="6"/>
      <c r="G166" s="16"/>
      <c r="H166" s="16"/>
      <c r="I166" s="17"/>
      <c r="J166" s="17"/>
      <c r="K166" s="17"/>
      <c r="L166" s="6"/>
      <c r="M166" s="6"/>
      <c r="N166" s="16"/>
      <c r="O166" s="6"/>
      <c r="P166" s="16"/>
      <c r="Q166" s="6"/>
      <c r="R166" s="6"/>
      <c r="S166" s="6"/>
    </row>
    <row r="167">
      <c r="A167" s="22"/>
      <c r="B167" s="6"/>
      <c r="C167" s="6"/>
      <c r="D167" s="6"/>
      <c r="E167" s="6"/>
      <c r="F167" s="6"/>
      <c r="G167" s="16"/>
      <c r="H167" s="16"/>
      <c r="I167" s="17"/>
      <c r="J167" s="17"/>
      <c r="K167" s="17"/>
      <c r="L167" s="6"/>
      <c r="M167" s="6"/>
      <c r="N167" s="16"/>
      <c r="O167" s="6"/>
      <c r="P167" s="16"/>
      <c r="Q167" s="6"/>
      <c r="R167" s="6"/>
      <c r="S167" s="6"/>
    </row>
    <row r="168">
      <c r="A168" s="22"/>
      <c r="B168" s="6"/>
      <c r="C168" s="6"/>
      <c r="D168" s="6"/>
      <c r="E168" s="6"/>
      <c r="F168" s="6"/>
      <c r="G168" s="16"/>
      <c r="H168" s="16"/>
      <c r="I168" s="17"/>
      <c r="J168" s="17"/>
      <c r="K168" s="17"/>
      <c r="L168" s="6"/>
      <c r="M168" s="6"/>
      <c r="N168" s="16"/>
      <c r="O168" s="6"/>
      <c r="P168" s="16"/>
      <c r="Q168" s="6"/>
      <c r="R168" s="6"/>
      <c r="S168" s="6"/>
    </row>
    <row r="169">
      <c r="A169" s="22"/>
      <c r="B169" s="6"/>
      <c r="C169" s="6"/>
      <c r="D169" s="6"/>
      <c r="E169" s="6"/>
      <c r="F169" s="6"/>
      <c r="G169" s="16"/>
      <c r="H169" s="16"/>
      <c r="I169" s="17"/>
      <c r="J169" s="17"/>
      <c r="K169" s="17"/>
      <c r="L169" s="6"/>
      <c r="M169" s="6"/>
      <c r="N169" s="16"/>
      <c r="O169" s="6"/>
      <c r="P169" s="16"/>
      <c r="Q169" s="6"/>
      <c r="R169" s="6"/>
      <c r="S169" s="6"/>
    </row>
    <row r="170">
      <c r="A170" s="22"/>
      <c r="B170" s="6"/>
      <c r="C170" s="6"/>
      <c r="D170" s="6"/>
      <c r="E170" s="6"/>
      <c r="F170" s="6"/>
      <c r="G170" s="16"/>
      <c r="H170" s="16"/>
      <c r="I170" s="17"/>
      <c r="J170" s="17"/>
      <c r="K170" s="17"/>
      <c r="L170" s="6"/>
      <c r="M170" s="6"/>
      <c r="N170" s="16"/>
      <c r="O170" s="6"/>
      <c r="P170" s="16"/>
      <c r="Q170" s="6"/>
      <c r="R170" s="6"/>
      <c r="S170" s="6"/>
    </row>
    <row r="171">
      <c r="A171" s="22"/>
      <c r="B171" s="6"/>
      <c r="C171" s="6"/>
      <c r="D171" s="6"/>
      <c r="E171" s="6"/>
      <c r="F171" s="6"/>
      <c r="G171" s="16"/>
      <c r="H171" s="16"/>
      <c r="I171" s="17"/>
      <c r="J171" s="17"/>
      <c r="K171" s="17"/>
      <c r="L171" s="6"/>
      <c r="M171" s="6"/>
      <c r="N171" s="16"/>
      <c r="O171" s="6"/>
      <c r="P171" s="16"/>
      <c r="Q171" s="6"/>
      <c r="R171" s="6"/>
      <c r="S171" s="6"/>
    </row>
    <row r="172">
      <c r="A172" s="22"/>
      <c r="B172" s="6"/>
      <c r="C172" s="6"/>
      <c r="D172" s="6"/>
      <c r="E172" s="6"/>
      <c r="F172" s="6"/>
      <c r="G172" s="16"/>
      <c r="H172" s="16"/>
      <c r="I172" s="17"/>
      <c r="J172" s="17"/>
      <c r="K172" s="17"/>
      <c r="L172" s="6"/>
      <c r="M172" s="6"/>
      <c r="N172" s="16"/>
      <c r="O172" s="6"/>
      <c r="P172" s="16"/>
      <c r="Q172" s="6"/>
      <c r="R172" s="6"/>
      <c r="S172" s="6"/>
    </row>
    <row r="173">
      <c r="A173" s="22"/>
      <c r="B173" s="6"/>
      <c r="C173" s="6"/>
      <c r="D173" s="6"/>
      <c r="E173" s="6"/>
      <c r="F173" s="6"/>
      <c r="G173" s="16"/>
      <c r="H173" s="16"/>
      <c r="I173" s="17"/>
      <c r="J173" s="17"/>
      <c r="K173" s="17"/>
      <c r="L173" s="6"/>
      <c r="M173" s="6"/>
      <c r="N173" s="16"/>
      <c r="O173" s="6"/>
      <c r="P173" s="16"/>
      <c r="Q173" s="6"/>
      <c r="R173" s="6"/>
      <c r="S173" s="6"/>
    </row>
    <row r="174">
      <c r="A174" s="22"/>
      <c r="B174" s="6"/>
      <c r="C174" s="6"/>
      <c r="D174" s="6"/>
      <c r="E174" s="6"/>
      <c r="F174" s="6"/>
      <c r="G174" s="16"/>
      <c r="H174" s="16"/>
      <c r="I174" s="17"/>
      <c r="J174" s="17"/>
      <c r="K174" s="17"/>
      <c r="L174" s="6"/>
      <c r="M174" s="6"/>
      <c r="N174" s="16"/>
      <c r="O174" s="6"/>
      <c r="P174" s="16"/>
      <c r="Q174" s="6"/>
      <c r="R174" s="6"/>
      <c r="S174" s="6"/>
    </row>
    <row r="175">
      <c r="A175" s="22"/>
      <c r="B175" s="6"/>
      <c r="C175" s="6"/>
      <c r="D175" s="6"/>
      <c r="E175" s="6"/>
      <c r="F175" s="6"/>
      <c r="G175" s="16"/>
      <c r="H175" s="16"/>
      <c r="I175" s="17"/>
      <c r="J175" s="17"/>
      <c r="K175" s="17"/>
      <c r="L175" s="6"/>
      <c r="M175" s="6"/>
      <c r="N175" s="16"/>
      <c r="O175" s="6"/>
      <c r="P175" s="16"/>
      <c r="Q175" s="6"/>
      <c r="R175" s="6"/>
      <c r="S175" s="6"/>
    </row>
    <row r="176">
      <c r="A176" s="22"/>
      <c r="B176" s="6"/>
      <c r="C176" s="6"/>
      <c r="D176" s="6"/>
      <c r="E176" s="6"/>
      <c r="F176" s="6"/>
      <c r="G176" s="16"/>
      <c r="H176" s="16"/>
      <c r="I176" s="17"/>
      <c r="J176" s="17"/>
      <c r="K176" s="17"/>
      <c r="L176" s="6"/>
      <c r="M176" s="6"/>
      <c r="N176" s="16"/>
      <c r="O176" s="6"/>
      <c r="P176" s="16"/>
      <c r="Q176" s="6"/>
      <c r="R176" s="6"/>
      <c r="S176" s="6"/>
    </row>
    <row r="177">
      <c r="A177" s="22"/>
      <c r="B177" s="6"/>
      <c r="C177" s="6"/>
      <c r="D177" s="6"/>
      <c r="E177" s="6"/>
      <c r="F177" s="6"/>
      <c r="G177" s="16"/>
      <c r="H177" s="16"/>
      <c r="I177" s="17"/>
      <c r="J177" s="17"/>
      <c r="K177" s="17"/>
      <c r="L177" s="6"/>
      <c r="M177" s="6"/>
      <c r="N177" s="16"/>
      <c r="O177" s="6"/>
      <c r="P177" s="16"/>
      <c r="Q177" s="6"/>
      <c r="R177" s="6"/>
      <c r="S177" s="6"/>
    </row>
    <row r="178">
      <c r="A178" s="22"/>
      <c r="B178" s="6"/>
      <c r="C178" s="6"/>
      <c r="D178" s="6"/>
      <c r="E178" s="6"/>
      <c r="F178" s="6"/>
      <c r="G178" s="16"/>
      <c r="H178" s="16"/>
      <c r="I178" s="17"/>
      <c r="J178" s="17"/>
      <c r="K178" s="17"/>
      <c r="L178" s="6"/>
      <c r="M178" s="6"/>
      <c r="N178" s="16"/>
      <c r="O178" s="6"/>
      <c r="P178" s="16"/>
      <c r="Q178" s="6"/>
      <c r="R178" s="6"/>
      <c r="S178" s="6"/>
    </row>
    <row r="179">
      <c r="A179" s="22"/>
      <c r="B179" s="6"/>
      <c r="C179" s="6"/>
      <c r="D179" s="6"/>
      <c r="E179" s="6"/>
      <c r="F179" s="6"/>
      <c r="G179" s="16"/>
      <c r="H179" s="16"/>
      <c r="I179" s="17"/>
      <c r="J179" s="17"/>
      <c r="K179" s="17"/>
      <c r="L179" s="6"/>
      <c r="M179" s="6"/>
      <c r="N179" s="16"/>
      <c r="O179" s="6"/>
      <c r="P179" s="16"/>
      <c r="Q179" s="6"/>
      <c r="R179" s="6"/>
      <c r="S179" s="6"/>
    </row>
    <row r="180">
      <c r="A180" s="22"/>
      <c r="B180" s="6"/>
      <c r="C180" s="6"/>
      <c r="D180" s="6"/>
      <c r="E180" s="6"/>
      <c r="F180" s="6"/>
      <c r="G180" s="16"/>
      <c r="H180" s="16"/>
      <c r="I180" s="17"/>
      <c r="J180" s="17"/>
      <c r="K180" s="17"/>
      <c r="L180" s="6"/>
      <c r="M180" s="6"/>
      <c r="N180" s="16"/>
      <c r="O180" s="6"/>
      <c r="P180" s="16"/>
      <c r="Q180" s="6"/>
      <c r="R180" s="6"/>
      <c r="S180" s="6"/>
    </row>
    <row r="181">
      <c r="A181" s="22"/>
      <c r="B181" s="6"/>
      <c r="C181" s="6"/>
      <c r="D181" s="6"/>
      <c r="E181" s="6"/>
      <c r="F181" s="6"/>
      <c r="G181" s="16"/>
      <c r="H181" s="16"/>
      <c r="I181" s="17"/>
      <c r="J181" s="17"/>
      <c r="K181" s="17"/>
      <c r="L181" s="6"/>
      <c r="M181" s="6"/>
      <c r="N181" s="16"/>
      <c r="O181" s="6"/>
      <c r="P181" s="16"/>
      <c r="Q181" s="6"/>
      <c r="R181" s="6"/>
      <c r="S181" s="6"/>
    </row>
    <row r="182">
      <c r="A182" s="22"/>
      <c r="B182" s="6"/>
      <c r="C182" s="6"/>
      <c r="D182" s="6"/>
      <c r="E182" s="6"/>
      <c r="F182" s="6"/>
      <c r="G182" s="16"/>
      <c r="H182" s="16"/>
      <c r="I182" s="17"/>
      <c r="J182" s="17"/>
      <c r="K182" s="17"/>
      <c r="L182" s="6"/>
      <c r="M182" s="6"/>
      <c r="N182" s="16"/>
      <c r="O182" s="6"/>
      <c r="P182" s="16"/>
      <c r="Q182" s="6"/>
      <c r="R182" s="6"/>
      <c r="S182" s="6"/>
    </row>
    <row r="183">
      <c r="A183" s="22"/>
      <c r="B183" s="6"/>
      <c r="C183" s="6"/>
      <c r="D183" s="6"/>
      <c r="E183" s="6"/>
      <c r="F183" s="6"/>
      <c r="G183" s="16"/>
      <c r="H183" s="16"/>
      <c r="I183" s="17"/>
      <c r="J183" s="17"/>
      <c r="K183" s="17"/>
      <c r="L183" s="6"/>
      <c r="M183" s="6"/>
      <c r="N183" s="16"/>
      <c r="O183" s="6"/>
      <c r="P183" s="16"/>
      <c r="Q183" s="6"/>
      <c r="R183" s="6"/>
      <c r="S183" s="6"/>
    </row>
    <row r="184">
      <c r="A184" s="22"/>
      <c r="B184" s="6"/>
      <c r="C184" s="6"/>
      <c r="D184" s="6"/>
      <c r="E184" s="6"/>
      <c r="F184" s="6"/>
      <c r="G184" s="16"/>
      <c r="H184" s="16"/>
      <c r="I184" s="17"/>
      <c r="J184" s="17"/>
      <c r="K184" s="17"/>
      <c r="L184" s="6"/>
      <c r="M184" s="6"/>
      <c r="N184" s="16"/>
      <c r="O184" s="6"/>
      <c r="P184" s="16"/>
      <c r="Q184" s="6"/>
      <c r="R184" s="6"/>
      <c r="S184" s="6"/>
    </row>
    <row r="185">
      <c r="A185" s="22"/>
      <c r="B185" s="6"/>
      <c r="C185" s="6"/>
      <c r="D185" s="6"/>
      <c r="E185" s="6"/>
      <c r="F185" s="6"/>
      <c r="G185" s="16"/>
      <c r="H185" s="16"/>
      <c r="I185" s="17"/>
      <c r="J185" s="17"/>
      <c r="K185" s="17"/>
      <c r="L185" s="6"/>
      <c r="M185" s="6"/>
      <c r="N185" s="16"/>
      <c r="O185" s="6"/>
      <c r="P185" s="16"/>
      <c r="Q185" s="6"/>
      <c r="R185" s="6"/>
      <c r="S185" s="6"/>
    </row>
    <row r="186">
      <c r="A186" s="22"/>
      <c r="B186" s="6"/>
      <c r="C186" s="6"/>
      <c r="D186" s="6"/>
      <c r="E186" s="6"/>
      <c r="F186" s="6"/>
      <c r="G186" s="16"/>
      <c r="H186" s="16"/>
      <c r="I186" s="17"/>
      <c r="J186" s="17"/>
      <c r="K186" s="17"/>
      <c r="L186" s="6"/>
      <c r="M186" s="6"/>
      <c r="N186" s="16"/>
      <c r="O186" s="6"/>
      <c r="P186" s="16"/>
      <c r="Q186" s="6"/>
      <c r="R186" s="6"/>
      <c r="S186" s="6"/>
    </row>
    <row r="187">
      <c r="A187" s="22"/>
      <c r="B187" s="6"/>
      <c r="C187" s="6"/>
      <c r="D187" s="6"/>
      <c r="E187" s="6"/>
      <c r="F187" s="6"/>
      <c r="G187" s="16"/>
      <c r="H187" s="16"/>
      <c r="I187" s="17"/>
      <c r="J187" s="17"/>
      <c r="K187" s="17"/>
      <c r="L187" s="6"/>
      <c r="M187" s="6"/>
      <c r="N187" s="16"/>
      <c r="O187" s="6"/>
      <c r="P187" s="16"/>
      <c r="Q187" s="6"/>
      <c r="R187" s="6"/>
      <c r="S187" s="6"/>
    </row>
    <row r="188">
      <c r="A188" s="22"/>
      <c r="B188" s="6"/>
      <c r="C188" s="6"/>
      <c r="D188" s="6"/>
      <c r="E188" s="6"/>
      <c r="F188" s="6"/>
      <c r="G188" s="16"/>
      <c r="H188" s="16"/>
      <c r="I188" s="17"/>
      <c r="J188" s="17"/>
      <c r="K188" s="17"/>
      <c r="L188" s="6"/>
      <c r="M188" s="6"/>
      <c r="N188" s="16"/>
      <c r="O188" s="6"/>
      <c r="P188" s="16"/>
      <c r="Q188" s="6"/>
      <c r="R188" s="6"/>
      <c r="S188" s="6"/>
    </row>
    <row r="189">
      <c r="A189" s="22"/>
      <c r="B189" s="6"/>
      <c r="C189" s="6"/>
      <c r="D189" s="6"/>
      <c r="E189" s="6"/>
      <c r="F189" s="6"/>
      <c r="G189" s="16"/>
      <c r="H189" s="16"/>
      <c r="I189" s="17"/>
      <c r="J189" s="17"/>
      <c r="K189" s="17"/>
      <c r="L189" s="6"/>
      <c r="M189" s="6"/>
      <c r="N189" s="16"/>
      <c r="O189" s="6"/>
      <c r="P189" s="16"/>
      <c r="Q189" s="6"/>
      <c r="R189" s="6"/>
      <c r="S189" s="6"/>
    </row>
    <row r="190">
      <c r="A190" s="22"/>
      <c r="B190" s="6"/>
      <c r="C190" s="6"/>
      <c r="D190" s="6"/>
      <c r="E190" s="6"/>
      <c r="F190" s="6"/>
      <c r="G190" s="16"/>
      <c r="H190" s="16"/>
      <c r="I190" s="17"/>
      <c r="J190" s="17"/>
      <c r="K190" s="17"/>
      <c r="L190" s="6"/>
      <c r="M190" s="6"/>
      <c r="N190" s="16"/>
      <c r="O190" s="6"/>
      <c r="P190" s="16"/>
      <c r="Q190" s="6"/>
      <c r="R190" s="6"/>
      <c r="S190" s="6"/>
    </row>
    <row r="191">
      <c r="A191" s="22"/>
      <c r="B191" s="6"/>
      <c r="C191" s="6"/>
      <c r="D191" s="6"/>
      <c r="E191" s="6"/>
      <c r="F191" s="6"/>
      <c r="G191" s="16"/>
      <c r="H191" s="16"/>
      <c r="I191" s="17"/>
      <c r="J191" s="17"/>
      <c r="K191" s="17"/>
      <c r="L191" s="6"/>
      <c r="M191" s="6"/>
      <c r="N191" s="16"/>
      <c r="O191" s="6"/>
      <c r="P191" s="16"/>
      <c r="Q191" s="6"/>
      <c r="R191" s="6"/>
      <c r="S191" s="6"/>
    </row>
    <row r="192">
      <c r="A192" s="22"/>
      <c r="B192" s="6"/>
      <c r="C192" s="6"/>
      <c r="D192" s="6"/>
      <c r="E192" s="6"/>
      <c r="F192" s="6"/>
      <c r="G192" s="16"/>
      <c r="H192" s="16"/>
      <c r="I192" s="17"/>
      <c r="J192" s="17"/>
      <c r="K192" s="17"/>
      <c r="L192" s="6"/>
      <c r="M192" s="6"/>
      <c r="N192" s="16"/>
      <c r="O192" s="6"/>
      <c r="P192" s="16"/>
      <c r="Q192" s="6"/>
      <c r="R192" s="6"/>
      <c r="S192" s="6"/>
    </row>
    <row r="193">
      <c r="A193" s="22"/>
      <c r="B193" s="6"/>
      <c r="C193" s="6"/>
      <c r="D193" s="6"/>
      <c r="E193" s="6"/>
      <c r="F193" s="6"/>
      <c r="G193" s="16"/>
      <c r="H193" s="16"/>
      <c r="I193" s="17"/>
      <c r="J193" s="17"/>
      <c r="K193" s="17"/>
      <c r="L193" s="6"/>
      <c r="M193" s="6"/>
      <c r="N193" s="16"/>
      <c r="O193" s="6"/>
      <c r="P193" s="16"/>
      <c r="Q193" s="6"/>
      <c r="R193" s="6"/>
      <c r="S193" s="6"/>
    </row>
    <row r="194">
      <c r="A194" s="22"/>
      <c r="B194" s="6"/>
      <c r="C194" s="6"/>
      <c r="D194" s="6"/>
      <c r="E194" s="6"/>
      <c r="F194" s="6"/>
      <c r="G194" s="16"/>
      <c r="H194" s="16"/>
      <c r="I194" s="17"/>
      <c r="J194" s="17"/>
      <c r="K194" s="17"/>
      <c r="L194" s="6"/>
      <c r="M194" s="6"/>
      <c r="N194" s="16"/>
      <c r="O194" s="6"/>
      <c r="P194" s="16"/>
      <c r="Q194" s="6"/>
      <c r="R194" s="6"/>
      <c r="S194" s="6"/>
    </row>
    <row r="195">
      <c r="A195" s="22"/>
      <c r="B195" s="6"/>
      <c r="C195" s="6"/>
      <c r="D195" s="6"/>
      <c r="E195" s="6"/>
      <c r="F195" s="6"/>
      <c r="G195" s="16"/>
      <c r="H195" s="16"/>
      <c r="I195" s="17"/>
      <c r="J195" s="17"/>
      <c r="K195" s="17"/>
      <c r="L195" s="6"/>
      <c r="M195" s="6"/>
      <c r="N195" s="16"/>
      <c r="O195" s="6"/>
      <c r="P195" s="16"/>
      <c r="Q195" s="6"/>
      <c r="R195" s="6"/>
      <c r="S195" s="6"/>
    </row>
    <row r="196">
      <c r="A196" s="22"/>
      <c r="B196" s="6"/>
      <c r="C196" s="6"/>
      <c r="D196" s="6"/>
      <c r="E196" s="6"/>
      <c r="F196" s="6"/>
      <c r="G196" s="16"/>
      <c r="H196" s="16"/>
      <c r="I196" s="17"/>
      <c r="J196" s="17"/>
      <c r="K196" s="17"/>
      <c r="L196" s="6"/>
      <c r="M196" s="6"/>
      <c r="N196" s="16"/>
      <c r="O196" s="6"/>
      <c r="P196" s="16"/>
      <c r="Q196" s="6"/>
      <c r="R196" s="6"/>
      <c r="S196" s="6"/>
    </row>
    <row r="197">
      <c r="A197" s="22"/>
      <c r="B197" s="6"/>
      <c r="C197" s="6"/>
      <c r="D197" s="6"/>
      <c r="E197" s="6"/>
      <c r="F197" s="6"/>
      <c r="G197" s="16"/>
      <c r="H197" s="16"/>
      <c r="I197" s="17"/>
      <c r="J197" s="17"/>
      <c r="K197" s="17"/>
      <c r="L197" s="6"/>
      <c r="M197" s="6"/>
      <c r="N197" s="16"/>
      <c r="O197" s="6"/>
      <c r="P197" s="16"/>
      <c r="Q197" s="6"/>
      <c r="R197" s="6"/>
      <c r="S197" s="6"/>
    </row>
    <row r="198">
      <c r="A198" s="22"/>
      <c r="B198" s="6"/>
      <c r="C198" s="6"/>
      <c r="D198" s="6"/>
      <c r="E198" s="6"/>
      <c r="F198" s="6"/>
      <c r="G198" s="16"/>
      <c r="H198" s="16"/>
      <c r="I198" s="17"/>
      <c r="J198" s="17"/>
      <c r="K198" s="17"/>
      <c r="L198" s="6"/>
      <c r="M198" s="6"/>
      <c r="N198" s="16"/>
      <c r="O198" s="6"/>
      <c r="P198" s="16"/>
      <c r="Q198" s="6"/>
      <c r="R198" s="6"/>
      <c r="S198" s="6"/>
    </row>
    <row r="199">
      <c r="A199" s="22"/>
      <c r="B199" s="6"/>
      <c r="C199" s="6"/>
      <c r="D199" s="6"/>
      <c r="E199" s="6"/>
      <c r="F199" s="6"/>
      <c r="G199" s="16"/>
      <c r="H199" s="16"/>
      <c r="I199" s="17"/>
      <c r="J199" s="17"/>
      <c r="K199" s="17"/>
      <c r="L199" s="6"/>
      <c r="M199" s="6"/>
      <c r="N199" s="16"/>
      <c r="O199" s="6"/>
      <c r="P199" s="16"/>
      <c r="Q199" s="6"/>
      <c r="R199" s="6"/>
      <c r="S199" s="6"/>
    </row>
    <row r="200">
      <c r="A200" s="22"/>
      <c r="B200" s="6"/>
      <c r="C200" s="6"/>
      <c r="D200" s="6"/>
      <c r="E200" s="6"/>
      <c r="F200" s="6"/>
      <c r="G200" s="16"/>
      <c r="H200" s="16"/>
      <c r="I200" s="17"/>
      <c r="J200" s="17"/>
      <c r="K200" s="17"/>
      <c r="L200" s="6"/>
      <c r="M200" s="6"/>
      <c r="N200" s="16"/>
      <c r="O200" s="6"/>
      <c r="P200" s="16"/>
      <c r="Q200" s="6"/>
      <c r="R200" s="6"/>
      <c r="S200" s="6"/>
    </row>
    <row r="201">
      <c r="A201" s="22"/>
      <c r="B201" s="6"/>
      <c r="C201" s="6"/>
      <c r="D201" s="6"/>
      <c r="E201" s="6"/>
      <c r="F201" s="6"/>
      <c r="G201" s="16"/>
      <c r="H201" s="16"/>
      <c r="I201" s="17"/>
      <c r="J201" s="17"/>
      <c r="K201" s="17"/>
      <c r="L201" s="6"/>
      <c r="M201" s="6"/>
      <c r="N201" s="16"/>
      <c r="O201" s="6"/>
      <c r="P201" s="16"/>
      <c r="Q201" s="6"/>
      <c r="R201" s="6"/>
      <c r="S201" s="6"/>
    </row>
    <row r="202">
      <c r="A202" s="22"/>
      <c r="B202" s="6"/>
      <c r="C202" s="6"/>
      <c r="D202" s="6"/>
      <c r="E202" s="6"/>
      <c r="F202" s="6"/>
      <c r="G202" s="16"/>
      <c r="H202" s="16"/>
      <c r="I202" s="17"/>
      <c r="J202" s="17"/>
      <c r="K202" s="17"/>
      <c r="L202" s="6"/>
      <c r="M202" s="6"/>
      <c r="N202" s="16"/>
      <c r="O202" s="6"/>
      <c r="P202" s="16"/>
      <c r="Q202" s="6"/>
      <c r="R202" s="6"/>
      <c r="S202" s="6"/>
    </row>
    <row r="203">
      <c r="A203" s="22"/>
      <c r="B203" s="6"/>
      <c r="C203" s="6"/>
      <c r="D203" s="6"/>
      <c r="E203" s="6"/>
      <c r="F203" s="6"/>
      <c r="G203" s="16"/>
      <c r="H203" s="16"/>
      <c r="I203" s="17"/>
      <c r="J203" s="17"/>
      <c r="K203" s="17"/>
      <c r="L203" s="6"/>
      <c r="M203" s="6"/>
      <c r="N203" s="16"/>
      <c r="O203" s="6"/>
      <c r="P203" s="16"/>
      <c r="Q203" s="6"/>
      <c r="R203" s="6"/>
      <c r="S203" s="6"/>
    </row>
    <row r="204">
      <c r="A204" s="22"/>
      <c r="B204" s="6"/>
      <c r="C204" s="6"/>
      <c r="D204" s="6"/>
      <c r="E204" s="6"/>
      <c r="F204" s="6"/>
      <c r="G204" s="16"/>
      <c r="H204" s="16"/>
      <c r="I204" s="17"/>
      <c r="J204" s="17"/>
      <c r="K204" s="17"/>
      <c r="L204" s="6"/>
      <c r="M204" s="6"/>
      <c r="N204" s="16"/>
      <c r="O204" s="6"/>
      <c r="P204" s="16"/>
      <c r="Q204" s="6"/>
      <c r="R204" s="6"/>
      <c r="S204" s="6"/>
    </row>
    <row r="205">
      <c r="A205" s="22"/>
      <c r="B205" s="6"/>
      <c r="C205" s="6"/>
      <c r="D205" s="6"/>
      <c r="E205" s="6"/>
      <c r="F205" s="6"/>
      <c r="G205" s="16"/>
      <c r="H205" s="16"/>
      <c r="I205" s="17"/>
      <c r="J205" s="17"/>
      <c r="K205" s="17"/>
      <c r="L205" s="6"/>
      <c r="M205" s="6"/>
      <c r="N205" s="16"/>
      <c r="O205" s="6"/>
      <c r="P205" s="16"/>
      <c r="Q205" s="6"/>
      <c r="R205" s="6"/>
      <c r="S205" s="6"/>
    </row>
    <row r="206">
      <c r="A206" s="22"/>
      <c r="B206" s="6"/>
      <c r="C206" s="6"/>
      <c r="D206" s="6"/>
      <c r="E206" s="6"/>
      <c r="F206" s="6"/>
      <c r="G206" s="16"/>
      <c r="H206" s="16"/>
      <c r="I206" s="17"/>
      <c r="J206" s="17"/>
      <c r="K206" s="17"/>
      <c r="L206" s="6"/>
      <c r="M206" s="6"/>
      <c r="N206" s="16"/>
      <c r="O206" s="6"/>
      <c r="P206" s="16"/>
      <c r="Q206" s="6"/>
      <c r="R206" s="6"/>
      <c r="S206" s="6"/>
    </row>
    <row r="207">
      <c r="A207" s="22"/>
      <c r="B207" s="6"/>
      <c r="C207" s="6"/>
      <c r="D207" s="6"/>
      <c r="E207" s="6"/>
      <c r="F207" s="6"/>
      <c r="G207" s="16"/>
      <c r="H207" s="16"/>
      <c r="I207" s="17"/>
      <c r="J207" s="17"/>
      <c r="K207" s="17"/>
      <c r="L207" s="6"/>
      <c r="M207" s="6"/>
      <c r="N207" s="16"/>
      <c r="O207" s="6"/>
      <c r="P207" s="16"/>
      <c r="Q207" s="6"/>
      <c r="R207" s="6"/>
      <c r="S207" s="6"/>
    </row>
    <row r="208">
      <c r="A208" s="22"/>
      <c r="B208" s="6"/>
      <c r="C208" s="6"/>
      <c r="D208" s="6"/>
      <c r="E208" s="6"/>
      <c r="F208" s="6"/>
      <c r="G208" s="16"/>
      <c r="H208" s="16"/>
      <c r="I208" s="17"/>
      <c r="J208" s="17"/>
      <c r="K208" s="17"/>
      <c r="L208" s="6"/>
      <c r="M208" s="6"/>
      <c r="N208" s="16"/>
      <c r="O208" s="6"/>
      <c r="P208" s="16"/>
      <c r="Q208" s="6"/>
      <c r="R208" s="6"/>
      <c r="S208" s="6"/>
    </row>
    <row r="209">
      <c r="A209" s="22"/>
      <c r="B209" s="6"/>
      <c r="C209" s="6"/>
      <c r="D209" s="6"/>
      <c r="E209" s="6"/>
      <c r="F209" s="6"/>
      <c r="G209" s="16"/>
      <c r="H209" s="16"/>
      <c r="I209" s="17"/>
      <c r="J209" s="17"/>
      <c r="K209" s="17"/>
      <c r="L209" s="6"/>
      <c r="M209" s="6"/>
      <c r="N209" s="16"/>
      <c r="O209" s="6"/>
      <c r="P209" s="16"/>
      <c r="Q209" s="6"/>
      <c r="R209" s="6"/>
      <c r="S209" s="6"/>
    </row>
    <row r="210">
      <c r="A210" s="22"/>
      <c r="B210" s="6"/>
      <c r="C210" s="6"/>
      <c r="D210" s="6"/>
      <c r="E210" s="6"/>
      <c r="F210" s="6"/>
      <c r="G210" s="16"/>
      <c r="H210" s="16"/>
      <c r="I210" s="17"/>
      <c r="J210" s="17"/>
      <c r="K210" s="17"/>
      <c r="L210" s="6"/>
      <c r="M210" s="6"/>
      <c r="N210" s="16"/>
      <c r="O210" s="6"/>
      <c r="P210" s="16"/>
      <c r="Q210" s="6"/>
      <c r="R210" s="6"/>
      <c r="S210" s="6"/>
    </row>
    <row r="211">
      <c r="A211" s="22"/>
      <c r="B211" s="6"/>
      <c r="C211" s="6"/>
      <c r="D211" s="6"/>
      <c r="E211" s="6"/>
      <c r="F211" s="6"/>
      <c r="G211" s="16"/>
      <c r="H211" s="16"/>
      <c r="I211" s="17"/>
      <c r="J211" s="17"/>
      <c r="K211" s="17"/>
      <c r="L211" s="6"/>
      <c r="M211" s="6"/>
      <c r="N211" s="16"/>
      <c r="O211" s="6"/>
      <c r="P211" s="16"/>
      <c r="Q211" s="6"/>
      <c r="R211" s="6"/>
      <c r="S211" s="6"/>
    </row>
    <row r="212">
      <c r="A212" s="22"/>
      <c r="B212" s="6"/>
      <c r="C212" s="6"/>
      <c r="D212" s="6"/>
      <c r="E212" s="6"/>
      <c r="F212" s="6"/>
      <c r="G212" s="16"/>
      <c r="H212" s="16"/>
      <c r="I212" s="17"/>
      <c r="J212" s="17"/>
      <c r="K212" s="17"/>
      <c r="L212" s="6"/>
      <c r="M212" s="6"/>
      <c r="N212" s="16"/>
      <c r="O212" s="6"/>
      <c r="P212" s="16"/>
      <c r="Q212" s="6"/>
      <c r="R212" s="6"/>
      <c r="S212" s="6"/>
    </row>
    <row r="213">
      <c r="A213" s="22"/>
      <c r="B213" s="6"/>
      <c r="C213" s="6"/>
      <c r="D213" s="6"/>
      <c r="E213" s="6"/>
      <c r="F213" s="6"/>
      <c r="G213" s="16"/>
      <c r="H213" s="16"/>
      <c r="I213" s="17"/>
      <c r="J213" s="17"/>
      <c r="K213" s="17"/>
      <c r="L213" s="6"/>
      <c r="M213" s="6"/>
      <c r="N213" s="16"/>
      <c r="O213" s="6"/>
      <c r="P213" s="16"/>
      <c r="Q213" s="6"/>
      <c r="R213" s="6"/>
      <c r="S213" s="6"/>
    </row>
    <row r="214">
      <c r="A214" s="22"/>
      <c r="B214" s="6"/>
      <c r="C214" s="6"/>
      <c r="D214" s="6"/>
      <c r="E214" s="6"/>
      <c r="F214" s="6"/>
      <c r="G214" s="16"/>
      <c r="H214" s="16"/>
      <c r="I214" s="17"/>
      <c r="J214" s="17"/>
      <c r="K214" s="17"/>
      <c r="L214" s="6"/>
      <c r="M214" s="6"/>
      <c r="N214" s="16"/>
      <c r="O214" s="6"/>
      <c r="P214" s="16"/>
      <c r="Q214" s="6"/>
      <c r="R214" s="6"/>
      <c r="S214" s="6"/>
    </row>
    <row r="215">
      <c r="A215" s="22"/>
      <c r="B215" s="6"/>
      <c r="C215" s="6"/>
      <c r="D215" s="6"/>
      <c r="E215" s="6"/>
      <c r="F215" s="6"/>
      <c r="G215" s="16"/>
      <c r="H215" s="16"/>
      <c r="I215" s="17"/>
      <c r="J215" s="17"/>
      <c r="K215" s="17"/>
      <c r="L215" s="6"/>
      <c r="M215" s="6"/>
      <c r="N215" s="16"/>
      <c r="O215" s="6"/>
      <c r="P215" s="16"/>
      <c r="Q215" s="6"/>
      <c r="R215" s="6"/>
      <c r="S215" s="6"/>
    </row>
    <row r="216">
      <c r="A216" s="22"/>
      <c r="B216" s="6"/>
      <c r="C216" s="6"/>
      <c r="D216" s="6"/>
      <c r="E216" s="6"/>
      <c r="F216" s="6"/>
      <c r="G216" s="16"/>
      <c r="H216" s="16"/>
      <c r="I216" s="17"/>
      <c r="J216" s="17"/>
      <c r="K216" s="17"/>
      <c r="L216" s="6"/>
      <c r="M216" s="6"/>
      <c r="N216" s="16"/>
      <c r="O216" s="6"/>
      <c r="P216" s="16"/>
      <c r="Q216" s="6"/>
      <c r="R216" s="6"/>
      <c r="S216" s="6"/>
    </row>
    <row r="217">
      <c r="A217" s="22"/>
      <c r="B217" s="6"/>
      <c r="C217" s="6"/>
      <c r="D217" s="6"/>
      <c r="E217" s="6"/>
      <c r="F217" s="6"/>
      <c r="G217" s="16"/>
      <c r="H217" s="16"/>
      <c r="I217" s="17"/>
      <c r="J217" s="17"/>
      <c r="K217" s="17"/>
      <c r="L217" s="6"/>
      <c r="M217" s="6"/>
      <c r="N217" s="16"/>
      <c r="O217" s="6"/>
      <c r="P217" s="16"/>
      <c r="Q217" s="6"/>
      <c r="R217" s="6"/>
      <c r="S217" s="6"/>
    </row>
    <row r="218">
      <c r="A218" s="22"/>
      <c r="B218" s="6"/>
      <c r="C218" s="6"/>
      <c r="D218" s="6"/>
      <c r="E218" s="6"/>
      <c r="F218" s="6"/>
      <c r="G218" s="16"/>
      <c r="H218" s="16"/>
      <c r="I218" s="17"/>
      <c r="J218" s="17"/>
      <c r="K218" s="17"/>
      <c r="L218" s="6"/>
      <c r="M218" s="6"/>
      <c r="N218" s="16"/>
      <c r="O218" s="6"/>
      <c r="P218" s="16"/>
      <c r="Q218" s="6"/>
      <c r="R218" s="6"/>
      <c r="S218" s="6"/>
    </row>
    <row r="219">
      <c r="A219" s="22"/>
      <c r="B219" s="6"/>
      <c r="C219" s="6"/>
      <c r="D219" s="6"/>
      <c r="E219" s="6"/>
      <c r="F219" s="6"/>
      <c r="G219" s="16"/>
      <c r="H219" s="16"/>
      <c r="I219" s="17"/>
      <c r="J219" s="17"/>
      <c r="K219" s="17"/>
      <c r="L219" s="6"/>
      <c r="M219" s="6"/>
      <c r="N219" s="16"/>
      <c r="O219" s="6"/>
      <c r="P219" s="16"/>
      <c r="Q219" s="6"/>
      <c r="R219" s="6"/>
      <c r="S219" s="6"/>
    </row>
    <row r="220">
      <c r="A220" s="22"/>
      <c r="B220" s="6"/>
      <c r="C220" s="6"/>
      <c r="D220" s="6"/>
      <c r="E220" s="6"/>
      <c r="F220" s="6"/>
      <c r="G220" s="16"/>
      <c r="H220" s="16"/>
      <c r="I220" s="17"/>
      <c r="J220" s="17"/>
      <c r="K220" s="17"/>
      <c r="L220" s="6"/>
      <c r="M220" s="6"/>
      <c r="N220" s="16"/>
      <c r="O220" s="6"/>
      <c r="P220" s="16"/>
      <c r="Q220" s="6"/>
      <c r="R220" s="6"/>
      <c r="S220" s="6"/>
    </row>
    <row r="221">
      <c r="A221" s="22"/>
      <c r="B221" s="6"/>
      <c r="C221" s="6"/>
      <c r="D221" s="6"/>
      <c r="E221" s="6"/>
      <c r="F221" s="6"/>
      <c r="G221" s="16"/>
      <c r="H221" s="16"/>
      <c r="I221" s="17"/>
      <c r="J221" s="17"/>
      <c r="K221" s="17"/>
      <c r="L221" s="6"/>
      <c r="M221" s="6"/>
      <c r="N221" s="16"/>
      <c r="O221" s="6"/>
      <c r="P221" s="16"/>
      <c r="Q221" s="6"/>
      <c r="R221" s="6"/>
      <c r="S221" s="6"/>
    </row>
    <row r="222">
      <c r="A222" s="22"/>
      <c r="B222" s="6"/>
      <c r="C222" s="6"/>
      <c r="D222" s="6"/>
      <c r="E222" s="6"/>
      <c r="F222" s="6"/>
      <c r="G222" s="16"/>
      <c r="H222" s="16"/>
      <c r="I222" s="17"/>
      <c r="J222" s="17"/>
      <c r="K222" s="17"/>
      <c r="L222" s="6"/>
      <c r="M222" s="6"/>
      <c r="N222" s="16"/>
      <c r="O222" s="6"/>
      <c r="P222" s="16"/>
      <c r="Q222" s="6"/>
      <c r="R222" s="6"/>
      <c r="S222" s="6"/>
    </row>
    <row r="223">
      <c r="A223" s="22"/>
      <c r="B223" s="6"/>
      <c r="C223" s="6"/>
      <c r="D223" s="6"/>
      <c r="E223" s="6"/>
      <c r="F223" s="6"/>
      <c r="G223" s="16"/>
      <c r="H223" s="16"/>
      <c r="I223" s="17"/>
      <c r="J223" s="17"/>
      <c r="K223" s="17"/>
      <c r="L223" s="6"/>
      <c r="M223" s="6"/>
      <c r="N223" s="16"/>
      <c r="O223" s="6"/>
      <c r="P223" s="16"/>
      <c r="Q223" s="6"/>
      <c r="R223" s="6"/>
      <c r="S223" s="6"/>
    </row>
    <row r="224">
      <c r="A224" s="22"/>
      <c r="B224" s="6"/>
      <c r="C224" s="6"/>
      <c r="D224" s="6"/>
      <c r="E224" s="6"/>
      <c r="F224" s="6"/>
      <c r="G224" s="16"/>
      <c r="H224" s="16"/>
      <c r="I224" s="17"/>
      <c r="J224" s="17"/>
      <c r="K224" s="17"/>
      <c r="L224" s="6"/>
      <c r="M224" s="6"/>
      <c r="N224" s="16"/>
      <c r="O224" s="6"/>
      <c r="P224" s="16"/>
      <c r="Q224" s="6"/>
      <c r="R224" s="6"/>
      <c r="S224" s="6"/>
    </row>
    <row r="225">
      <c r="A225" s="22"/>
      <c r="B225" s="6"/>
      <c r="C225" s="6"/>
      <c r="D225" s="6"/>
      <c r="E225" s="6"/>
      <c r="F225" s="6"/>
      <c r="G225" s="16"/>
      <c r="H225" s="16"/>
      <c r="I225" s="17"/>
      <c r="J225" s="17"/>
      <c r="K225" s="17"/>
      <c r="L225" s="6"/>
      <c r="M225" s="6"/>
      <c r="N225" s="16"/>
      <c r="O225" s="6"/>
      <c r="P225" s="16"/>
      <c r="Q225" s="6"/>
      <c r="R225" s="6"/>
      <c r="S225" s="6"/>
    </row>
    <row r="226">
      <c r="A226" s="22"/>
      <c r="B226" s="6"/>
      <c r="C226" s="6"/>
      <c r="D226" s="6"/>
      <c r="E226" s="6"/>
      <c r="F226" s="6"/>
      <c r="G226" s="16"/>
      <c r="H226" s="16"/>
      <c r="I226" s="17"/>
      <c r="J226" s="17"/>
      <c r="K226" s="17"/>
      <c r="L226" s="6"/>
      <c r="M226" s="6"/>
      <c r="N226" s="16"/>
      <c r="O226" s="6"/>
      <c r="P226" s="16"/>
      <c r="Q226" s="6"/>
      <c r="R226" s="6"/>
      <c r="S226" s="6"/>
    </row>
    <row r="227">
      <c r="A227" s="22"/>
      <c r="B227" s="6"/>
      <c r="C227" s="6"/>
      <c r="D227" s="6"/>
      <c r="E227" s="6"/>
      <c r="F227" s="6"/>
      <c r="G227" s="16"/>
      <c r="H227" s="16"/>
      <c r="I227" s="17"/>
      <c r="J227" s="17"/>
      <c r="K227" s="17"/>
      <c r="L227" s="6"/>
      <c r="M227" s="6"/>
      <c r="N227" s="16"/>
      <c r="O227" s="6"/>
      <c r="P227" s="16"/>
      <c r="Q227" s="6"/>
      <c r="R227" s="6"/>
      <c r="S227" s="6"/>
    </row>
    <row r="228">
      <c r="A228" s="22"/>
      <c r="B228" s="6"/>
      <c r="C228" s="6"/>
      <c r="D228" s="6"/>
      <c r="E228" s="6"/>
      <c r="F228" s="6"/>
      <c r="G228" s="16"/>
      <c r="H228" s="16"/>
      <c r="I228" s="17"/>
      <c r="J228" s="17"/>
      <c r="K228" s="17"/>
      <c r="L228" s="6"/>
      <c r="M228" s="6"/>
      <c r="N228" s="16"/>
      <c r="O228" s="6"/>
      <c r="P228" s="16"/>
      <c r="Q228" s="6"/>
      <c r="R228" s="6"/>
      <c r="S228" s="6"/>
    </row>
    <row r="229">
      <c r="A229" s="22"/>
      <c r="B229" s="6"/>
      <c r="C229" s="6"/>
      <c r="D229" s="6"/>
      <c r="E229" s="6"/>
      <c r="F229" s="6"/>
      <c r="G229" s="16"/>
      <c r="H229" s="16"/>
      <c r="I229" s="17"/>
      <c r="J229" s="17"/>
      <c r="K229" s="17"/>
      <c r="L229" s="6"/>
      <c r="M229" s="6"/>
      <c r="N229" s="16"/>
      <c r="O229" s="6"/>
      <c r="P229" s="16"/>
      <c r="Q229" s="6"/>
      <c r="R229" s="6"/>
      <c r="S229" s="6"/>
    </row>
    <row r="230">
      <c r="A230" s="22"/>
      <c r="B230" s="6"/>
      <c r="C230" s="6"/>
      <c r="D230" s="6"/>
      <c r="E230" s="6"/>
      <c r="F230" s="6"/>
      <c r="G230" s="16"/>
      <c r="H230" s="16"/>
      <c r="I230" s="17"/>
      <c r="J230" s="17"/>
      <c r="K230" s="17"/>
      <c r="L230" s="6"/>
      <c r="M230" s="6"/>
      <c r="N230" s="16"/>
      <c r="O230" s="6"/>
      <c r="P230" s="16"/>
      <c r="Q230" s="6"/>
      <c r="R230" s="6"/>
      <c r="S230" s="6"/>
    </row>
    <row r="231">
      <c r="A231" s="22"/>
      <c r="B231" s="6"/>
      <c r="C231" s="6"/>
      <c r="D231" s="6"/>
      <c r="E231" s="6"/>
      <c r="F231" s="6"/>
      <c r="G231" s="16"/>
      <c r="H231" s="16"/>
      <c r="I231" s="17"/>
      <c r="J231" s="17"/>
      <c r="K231" s="17"/>
      <c r="L231" s="6"/>
      <c r="M231" s="6"/>
      <c r="N231" s="16"/>
      <c r="O231" s="6"/>
      <c r="P231" s="16"/>
      <c r="Q231" s="6"/>
      <c r="R231" s="6"/>
      <c r="S231" s="6"/>
    </row>
    <row r="232">
      <c r="A232" s="22"/>
      <c r="B232" s="6"/>
      <c r="C232" s="6"/>
      <c r="D232" s="6"/>
      <c r="E232" s="6"/>
      <c r="F232" s="6"/>
      <c r="G232" s="16"/>
      <c r="H232" s="16"/>
      <c r="I232" s="17"/>
      <c r="J232" s="17"/>
      <c r="K232" s="17"/>
      <c r="L232" s="6"/>
      <c r="M232" s="6"/>
      <c r="N232" s="16"/>
      <c r="O232" s="6"/>
      <c r="P232" s="16"/>
      <c r="Q232" s="6"/>
      <c r="R232" s="6"/>
      <c r="S232" s="6"/>
    </row>
    <row r="233">
      <c r="A233" s="22"/>
      <c r="B233" s="6"/>
      <c r="C233" s="6"/>
      <c r="D233" s="6"/>
      <c r="E233" s="6"/>
      <c r="F233" s="6"/>
      <c r="G233" s="16"/>
      <c r="H233" s="16"/>
      <c r="I233" s="17"/>
      <c r="J233" s="17"/>
      <c r="K233" s="17"/>
      <c r="L233" s="6"/>
      <c r="M233" s="6"/>
      <c r="N233" s="16"/>
      <c r="O233" s="6"/>
      <c r="P233" s="16"/>
      <c r="Q233" s="6"/>
      <c r="R233" s="6"/>
      <c r="S233" s="6"/>
    </row>
    <row r="234">
      <c r="A234" s="22"/>
      <c r="B234" s="6"/>
      <c r="C234" s="6"/>
      <c r="D234" s="6"/>
      <c r="E234" s="6"/>
      <c r="F234" s="6"/>
      <c r="G234" s="16"/>
      <c r="H234" s="16"/>
      <c r="I234" s="17"/>
      <c r="J234" s="17"/>
      <c r="K234" s="17"/>
      <c r="L234" s="6"/>
      <c r="M234" s="6"/>
      <c r="N234" s="16"/>
      <c r="O234" s="6"/>
      <c r="P234" s="16"/>
      <c r="Q234" s="6"/>
      <c r="R234" s="6"/>
      <c r="S234" s="6"/>
    </row>
    <row r="235">
      <c r="A235" s="22"/>
      <c r="B235" s="6"/>
      <c r="C235" s="6"/>
      <c r="D235" s="6"/>
      <c r="E235" s="6"/>
      <c r="F235" s="6"/>
      <c r="G235" s="16"/>
      <c r="H235" s="16"/>
      <c r="I235" s="17"/>
      <c r="J235" s="17"/>
      <c r="K235" s="17"/>
      <c r="L235" s="6"/>
      <c r="M235" s="6"/>
      <c r="N235" s="16"/>
      <c r="O235" s="6"/>
      <c r="P235" s="16"/>
      <c r="Q235" s="6"/>
      <c r="R235" s="6"/>
      <c r="S235" s="6"/>
    </row>
    <row r="236">
      <c r="A236" s="22"/>
      <c r="B236" s="6"/>
      <c r="C236" s="6"/>
      <c r="D236" s="6"/>
      <c r="E236" s="6"/>
      <c r="F236" s="6"/>
      <c r="G236" s="16"/>
      <c r="H236" s="16"/>
      <c r="I236" s="17"/>
      <c r="J236" s="17"/>
      <c r="K236" s="17"/>
      <c r="L236" s="6"/>
      <c r="M236" s="6"/>
      <c r="N236" s="16"/>
      <c r="O236" s="6"/>
      <c r="P236" s="16"/>
      <c r="Q236" s="6"/>
      <c r="R236" s="6"/>
      <c r="S236" s="6"/>
    </row>
    <row r="237">
      <c r="A237" s="22"/>
      <c r="B237" s="6"/>
      <c r="C237" s="6"/>
      <c r="D237" s="6"/>
      <c r="E237" s="6"/>
      <c r="F237" s="6"/>
      <c r="G237" s="16"/>
      <c r="H237" s="16"/>
      <c r="I237" s="17"/>
      <c r="J237" s="17"/>
      <c r="K237" s="17"/>
      <c r="L237" s="6"/>
      <c r="M237" s="6"/>
      <c r="N237" s="16"/>
      <c r="O237" s="6"/>
      <c r="P237" s="16"/>
      <c r="Q237" s="6"/>
      <c r="R237" s="6"/>
      <c r="S237" s="6"/>
    </row>
    <row r="238">
      <c r="A238" s="22"/>
      <c r="B238" s="6"/>
      <c r="C238" s="6"/>
      <c r="D238" s="6"/>
      <c r="E238" s="6"/>
      <c r="F238" s="6"/>
      <c r="G238" s="16"/>
      <c r="H238" s="16"/>
      <c r="I238" s="17"/>
      <c r="J238" s="17"/>
      <c r="K238" s="17"/>
      <c r="L238" s="6"/>
      <c r="M238" s="6"/>
      <c r="N238" s="16"/>
      <c r="O238" s="6"/>
      <c r="P238" s="16"/>
      <c r="Q238" s="6"/>
      <c r="R238" s="6"/>
      <c r="S238" s="6"/>
    </row>
    <row r="239">
      <c r="A239" s="22"/>
      <c r="B239" s="6"/>
      <c r="C239" s="6"/>
      <c r="D239" s="6"/>
      <c r="E239" s="6"/>
      <c r="F239" s="6"/>
      <c r="G239" s="16"/>
      <c r="H239" s="16"/>
      <c r="I239" s="17"/>
      <c r="J239" s="17"/>
      <c r="K239" s="17"/>
      <c r="L239" s="6"/>
      <c r="M239" s="6"/>
      <c r="N239" s="16"/>
      <c r="O239" s="6"/>
      <c r="P239" s="16"/>
      <c r="Q239" s="6"/>
      <c r="R239" s="6"/>
      <c r="S239" s="6"/>
    </row>
    <row r="240">
      <c r="A240" s="22"/>
      <c r="B240" s="6"/>
      <c r="C240" s="6"/>
      <c r="D240" s="6"/>
      <c r="E240" s="6"/>
      <c r="F240" s="6"/>
      <c r="G240" s="16"/>
      <c r="H240" s="16"/>
      <c r="I240" s="17"/>
      <c r="J240" s="17"/>
      <c r="K240" s="17"/>
      <c r="L240" s="6"/>
      <c r="M240" s="6"/>
      <c r="N240" s="16"/>
      <c r="O240" s="6"/>
      <c r="P240" s="16"/>
      <c r="Q240" s="6"/>
      <c r="R240" s="6"/>
      <c r="S240" s="6"/>
    </row>
    <row r="241">
      <c r="A241" s="22"/>
      <c r="B241" s="6"/>
      <c r="C241" s="6"/>
      <c r="D241" s="6"/>
      <c r="E241" s="6"/>
      <c r="F241" s="6"/>
      <c r="G241" s="16"/>
      <c r="H241" s="16"/>
      <c r="I241" s="17"/>
      <c r="J241" s="17"/>
      <c r="K241" s="17"/>
      <c r="L241" s="6"/>
      <c r="M241" s="6"/>
      <c r="N241" s="16"/>
      <c r="O241" s="6"/>
      <c r="P241" s="16"/>
      <c r="Q241" s="6"/>
      <c r="R241" s="6"/>
      <c r="S241" s="6"/>
    </row>
    <row r="242">
      <c r="A242" s="22"/>
      <c r="B242" s="6"/>
      <c r="C242" s="6"/>
      <c r="D242" s="6"/>
      <c r="E242" s="6"/>
      <c r="F242" s="6"/>
      <c r="G242" s="16"/>
      <c r="H242" s="16"/>
      <c r="I242" s="17"/>
      <c r="J242" s="17"/>
      <c r="K242" s="17"/>
      <c r="L242" s="6"/>
      <c r="M242" s="6"/>
      <c r="N242" s="16"/>
      <c r="O242" s="6"/>
      <c r="P242" s="16"/>
      <c r="Q242" s="6"/>
      <c r="R242" s="6"/>
      <c r="S242" s="6"/>
    </row>
    <row r="243">
      <c r="A243" s="22"/>
      <c r="B243" s="6"/>
      <c r="C243" s="6"/>
      <c r="D243" s="6"/>
      <c r="E243" s="6"/>
      <c r="F243" s="6"/>
      <c r="G243" s="16"/>
      <c r="H243" s="16"/>
      <c r="I243" s="17"/>
      <c r="J243" s="17"/>
      <c r="K243" s="17"/>
      <c r="L243" s="6"/>
      <c r="M243" s="6"/>
      <c r="N243" s="16"/>
      <c r="O243" s="6"/>
      <c r="P243" s="16"/>
      <c r="Q243" s="6"/>
      <c r="R243" s="6"/>
      <c r="S243" s="6"/>
    </row>
    <row r="244">
      <c r="A244" s="22"/>
      <c r="B244" s="6"/>
      <c r="C244" s="6"/>
      <c r="D244" s="6"/>
      <c r="E244" s="6"/>
      <c r="F244" s="6"/>
      <c r="G244" s="16"/>
      <c r="H244" s="16"/>
      <c r="I244" s="17"/>
      <c r="J244" s="17"/>
      <c r="K244" s="17"/>
      <c r="L244" s="6"/>
      <c r="M244" s="6"/>
      <c r="N244" s="16"/>
      <c r="O244" s="6"/>
      <c r="P244" s="16"/>
      <c r="Q244" s="6"/>
      <c r="R244" s="6"/>
      <c r="S244" s="6"/>
    </row>
    <row r="245">
      <c r="A245" s="22"/>
      <c r="B245" s="6"/>
      <c r="C245" s="6"/>
      <c r="D245" s="6"/>
      <c r="E245" s="6"/>
      <c r="F245" s="6"/>
      <c r="G245" s="16"/>
      <c r="H245" s="16"/>
      <c r="I245" s="17"/>
      <c r="J245" s="17"/>
      <c r="K245" s="17"/>
      <c r="L245" s="6"/>
      <c r="M245" s="6"/>
      <c r="N245" s="16"/>
      <c r="O245" s="6"/>
      <c r="P245" s="16"/>
      <c r="Q245" s="6"/>
      <c r="R245" s="6"/>
      <c r="S245" s="6"/>
    </row>
    <row r="246">
      <c r="A246" s="22"/>
      <c r="B246" s="6"/>
      <c r="C246" s="6"/>
      <c r="D246" s="6"/>
      <c r="E246" s="6"/>
      <c r="F246" s="6"/>
      <c r="G246" s="16"/>
      <c r="H246" s="16"/>
      <c r="I246" s="17"/>
      <c r="J246" s="17"/>
      <c r="K246" s="17"/>
      <c r="L246" s="6"/>
      <c r="M246" s="6"/>
      <c r="N246" s="16"/>
      <c r="O246" s="6"/>
      <c r="P246" s="16"/>
      <c r="Q246" s="6"/>
      <c r="R246" s="6"/>
      <c r="S246" s="6"/>
    </row>
    <row r="247">
      <c r="A247" s="22"/>
      <c r="B247" s="6"/>
      <c r="C247" s="6"/>
      <c r="D247" s="6"/>
      <c r="E247" s="6"/>
      <c r="F247" s="6"/>
      <c r="G247" s="16"/>
      <c r="H247" s="16"/>
      <c r="I247" s="17"/>
      <c r="J247" s="17"/>
      <c r="K247" s="17"/>
      <c r="L247" s="6"/>
      <c r="M247" s="6"/>
      <c r="N247" s="16"/>
      <c r="O247" s="6"/>
      <c r="P247" s="16"/>
      <c r="Q247" s="6"/>
      <c r="R247" s="6"/>
      <c r="S247" s="6"/>
    </row>
    <row r="248">
      <c r="A248" s="22"/>
      <c r="B248" s="6"/>
      <c r="C248" s="6"/>
      <c r="D248" s="6"/>
      <c r="E248" s="6"/>
      <c r="F248" s="6"/>
      <c r="G248" s="16"/>
      <c r="H248" s="16"/>
      <c r="I248" s="17"/>
      <c r="J248" s="17"/>
      <c r="K248" s="17"/>
      <c r="L248" s="6"/>
      <c r="M248" s="6"/>
      <c r="N248" s="16"/>
      <c r="O248" s="6"/>
      <c r="P248" s="16"/>
      <c r="Q248" s="6"/>
      <c r="R248" s="6"/>
      <c r="S248" s="6"/>
    </row>
    <row r="249">
      <c r="A249" s="22"/>
      <c r="B249" s="6"/>
      <c r="C249" s="6"/>
      <c r="D249" s="6"/>
      <c r="E249" s="6"/>
      <c r="F249" s="6"/>
      <c r="G249" s="16"/>
      <c r="H249" s="16"/>
      <c r="I249" s="17"/>
      <c r="J249" s="17"/>
      <c r="K249" s="17"/>
      <c r="L249" s="6"/>
      <c r="M249" s="6"/>
      <c r="N249" s="16"/>
      <c r="O249" s="6"/>
      <c r="P249" s="16"/>
      <c r="Q249" s="6"/>
      <c r="R249" s="6"/>
      <c r="S249" s="6"/>
    </row>
    <row r="250">
      <c r="A250" s="22"/>
      <c r="B250" s="6"/>
      <c r="C250" s="6"/>
      <c r="D250" s="6"/>
      <c r="E250" s="6"/>
      <c r="F250" s="6"/>
      <c r="G250" s="16"/>
      <c r="H250" s="16"/>
      <c r="I250" s="17"/>
      <c r="J250" s="17"/>
      <c r="K250" s="17"/>
      <c r="L250" s="6"/>
      <c r="M250" s="6"/>
      <c r="N250" s="16"/>
      <c r="O250" s="6"/>
      <c r="P250" s="16"/>
      <c r="Q250" s="6"/>
      <c r="R250" s="6"/>
      <c r="S250" s="6"/>
    </row>
    <row r="251">
      <c r="A251" s="22"/>
      <c r="B251" s="6"/>
      <c r="C251" s="6"/>
      <c r="D251" s="6"/>
      <c r="E251" s="6"/>
      <c r="F251" s="6"/>
      <c r="G251" s="16"/>
      <c r="H251" s="16"/>
      <c r="I251" s="17"/>
      <c r="J251" s="17"/>
      <c r="K251" s="17"/>
      <c r="L251" s="6"/>
      <c r="M251" s="6"/>
      <c r="N251" s="16"/>
      <c r="O251" s="6"/>
      <c r="P251" s="16"/>
      <c r="Q251" s="6"/>
      <c r="R251" s="6"/>
      <c r="S251" s="6"/>
    </row>
    <row r="252">
      <c r="A252" s="22"/>
      <c r="B252" s="6"/>
      <c r="C252" s="6"/>
      <c r="D252" s="6"/>
      <c r="E252" s="6"/>
      <c r="F252" s="6"/>
      <c r="G252" s="16"/>
      <c r="H252" s="16"/>
      <c r="I252" s="17"/>
      <c r="J252" s="17"/>
      <c r="K252" s="17"/>
      <c r="L252" s="6"/>
      <c r="M252" s="6"/>
      <c r="N252" s="16"/>
      <c r="O252" s="6"/>
      <c r="P252" s="16"/>
      <c r="Q252" s="6"/>
      <c r="R252" s="6"/>
      <c r="S252" s="6"/>
    </row>
    <row r="253">
      <c r="A253" s="22"/>
      <c r="B253" s="6"/>
      <c r="C253" s="6"/>
      <c r="D253" s="6"/>
      <c r="E253" s="6"/>
      <c r="F253" s="6"/>
      <c r="G253" s="16"/>
      <c r="H253" s="16"/>
      <c r="I253" s="17"/>
      <c r="J253" s="17"/>
      <c r="K253" s="17"/>
      <c r="L253" s="6"/>
      <c r="M253" s="6"/>
      <c r="N253" s="16"/>
      <c r="O253" s="6"/>
      <c r="P253" s="16"/>
      <c r="Q253" s="6"/>
      <c r="R253" s="6"/>
      <c r="S253" s="6"/>
    </row>
    <row r="254">
      <c r="A254" s="22"/>
      <c r="B254" s="6"/>
      <c r="C254" s="6"/>
      <c r="D254" s="6"/>
      <c r="E254" s="6"/>
      <c r="F254" s="6"/>
      <c r="G254" s="16"/>
      <c r="H254" s="16"/>
      <c r="I254" s="17"/>
      <c r="J254" s="17"/>
      <c r="K254" s="17"/>
      <c r="L254" s="6"/>
      <c r="M254" s="6"/>
      <c r="N254" s="16"/>
      <c r="O254" s="6"/>
      <c r="P254" s="16"/>
      <c r="Q254" s="6"/>
      <c r="R254" s="6"/>
      <c r="S254" s="6"/>
    </row>
    <row r="255">
      <c r="A255" s="22"/>
      <c r="B255" s="6"/>
      <c r="C255" s="6"/>
      <c r="D255" s="6"/>
      <c r="E255" s="6"/>
      <c r="F255" s="6"/>
      <c r="G255" s="16"/>
      <c r="H255" s="16"/>
      <c r="I255" s="17"/>
      <c r="J255" s="17"/>
      <c r="K255" s="17"/>
      <c r="L255" s="6"/>
      <c r="M255" s="6"/>
      <c r="N255" s="16"/>
      <c r="O255" s="6"/>
      <c r="P255" s="16"/>
      <c r="Q255" s="6"/>
      <c r="R255" s="6"/>
      <c r="S255" s="6"/>
    </row>
    <row r="256">
      <c r="A256" s="22"/>
      <c r="B256" s="6"/>
      <c r="C256" s="6"/>
      <c r="D256" s="6"/>
      <c r="E256" s="6"/>
      <c r="F256" s="6"/>
      <c r="G256" s="16"/>
      <c r="H256" s="16"/>
      <c r="I256" s="17"/>
      <c r="J256" s="17"/>
      <c r="K256" s="17"/>
      <c r="L256" s="6"/>
      <c r="M256" s="6"/>
      <c r="N256" s="16"/>
      <c r="O256" s="6"/>
      <c r="P256" s="16"/>
      <c r="Q256" s="6"/>
      <c r="R256" s="6"/>
      <c r="S256" s="6"/>
    </row>
    <row r="257">
      <c r="A257" s="22"/>
      <c r="B257" s="6"/>
      <c r="C257" s="6"/>
      <c r="D257" s="6"/>
      <c r="E257" s="6"/>
      <c r="F257" s="6"/>
      <c r="G257" s="16"/>
      <c r="H257" s="16"/>
      <c r="I257" s="17"/>
      <c r="J257" s="17"/>
      <c r="K257" s="17"/>
      <c r="L257" s="6"/>
      <c r="M257" s="6"/>
      <c r="N257" s="16"/>
      <c r="O257" s="6"/>
      <c r="P257" s="16"/>
      <c r="Q257" s="6"/>
      <c r="R257" s="6"/>
      <c r="S257" s="6"/>
    </row>
    <row r="258">
      <c r="A258" s="22"/>
      <c r="B258" s="6"/>
      <c r="C258" s="6"/>
      <c r="D258" s="6"/>
      <c r="E258" s="6"/>
      <c r="F258" s="6"/>
      <c r="G258" s="16"/>
      <c r="H258" s="16"/>
      <c r="I258" s="17"/>
      <c r="J258" s="17"/>
      <c r="K258" s="17"/>
      <c r="L258" s="6"/>
      <c r="M258" s="6"/>
      <c r="N258" s="16"/>
      <c r="O258" s="6"/>
      <c r="P258" s="16"/>
      <c r="Q258" s="6"/>
      <c r="R258" s="6"/>
      <c r="S258" s="6"/>
    </row>
    <row r="259">
      <c r="A259" s="22"/>
      <c r="B259" s="6"/>
      <c r="C259" s="6"/>
      <c r="D259" s="6"/>
      <c r="E259" s="6"/>
      <c r="F259" s="6"/>
      <c r="G259" s="16"/>
      <c r="H259" s="16"/>
      <c r="I259" s="17"/>
      <c r="J259" s="17"/>
      <c r="K259" s="17"/>
      <c r="L259" s="6"/>
      <c r="M259" s="6"/>
      <c r="N259" s="16"/>
      <c r="O259" s="6"/>
      <c r="P259" s="16"/>
      <c r="Q259" s="6"/>
      <c r="R259" s="6"/>
      <c r="S259" s="6"/>
    </row>
    <row r="260">
      <c r="A260" s="22"/>
      <c r="B260" s="6"/>
      <c r="C260" s="6"/>
      <c r="D260" s="6"/>
      <c r="E260" s="6"/>
      <c r="F260" s="6"/>
      <c r="G260" s="16"/>
      <c r="H260" s="16"/>
      <c r="I260" s="17"/>
      <c r="J260" s="17"/>
      <c r="K260" s="17"/>
      <c r="L260" s="6"/>
      <c r="M260" s="6"/>
      <c r="N260" s="16"/>
      <c r="O260" s="6"/>
      <c r="P260" s="16"/>
      <c r="Q260" s="6"/>
      <c r="R260" s="6"/>
      <c r="S260" s="6"/>
    </row>
    <row r="261">
      <c r="A261" s="22"/>
      <c r="B261" s="6"/>
      <c r="C261" s="6"/>
      <c r="D261" s="6"/>
      <c r="E261" s="6"/>
      <c r="F261" s="6"/>
      <c r="G261" s="16"/>
      <c r="H261" s="16"/>
      <c r="I261" s="17"/>
      <c r="J261" s="17"/>
      <c r="K261" s="17"/>
      <c r="L261" s="6"/>
      <c r="M261" s="6"/>
      <c r="N261" s="16"/>
      <c r="O261" s="6"/>
      <c r="P261" s="16"/>
      <c r="Q261" s="6"/>
      <c r="R261" s="6"/>
      <c r="S261" s="6"/>
    </row>
    <row r="262">
      <c r="A262" s="22"/>
      <c r="B262" s="6"/>
      <c r="C262" s="6"/>
      <c r="D262" s="6"/>
      <c r="E262" s="6"/>
      <c r="F262" s="6"/>
      <c r="G262" s="16"/>
      <c r="H262" s="16"/>
      <c r="I262" s="17"/>
      <c r="J262" s="17"/>
      <c r="K262" s="17"/>
      <c r="L262" s="6"/>
      <c r="M262" s="6"/>
      <c r="N262" s="16"/>
      <c r="O262" s="6"/>
      <c r="P262" s="16"/>
      <c r="Q262" s="6"/>
      <c r="R262" s="6"/>
      <c r="S262" s="6"/>
    </row>
    <row r="263">
      <c r="A263" s="22"/>
      <c r="B263" s="6"/>
      <c r="C263" s="6"/>
      <c r="D263" s="6"/>
      <c r="E263" s="6"/>
      <c r="F263" s="6"/>
      <c r="G263" s="16"/>
      <c r="H263" s="16"/>
      <c r="I263" s="17"/>
      <c r="J263" s="17"/>
      <c r="K263" s="17"/>
      <c r="L263" s="6"/>
      <c r="M263" s="6"/>
      <c r="N263" s="16"/>
      <c r="O263" s="6"/>
      <c r="P263" s="16"/>
      <c r="Q263" s="6"/>
      <c r="R263" s="6"/>
      <c r="S263" s="6"/>
    </row>
    <row r="264">
      <c r="A264" s="22"/>
      <c r="B264" s="6"/>
      <c r="C264" s="6"/>
      <c r="D264" s="6"/>
      <c r="E264" s="6"/>
      <c r="F264" s="6"/>
      <c r="G264" s="16"/>
      <c r="H264" s="16"/>
      <c r="I264" s="17"/>
      <c r="J264" s="17"/>
      <c r="K264" s="17"/>
      <c r="L264" s="6"/>
      <c r="M264" s="6"/>
      <c r="N264" s="16"/>
      <c r="O264" s="6"/>
      <c r="P264" s="16"/>
      <c r="Q264" s="6"/>
      <c r="R264" s="6"/>
      <c r="S264" s="6"/>
    </row>
    <row r="265">
      <c r="A265" s="22"/>
      <c r="B265" s="6"/>
      <c r="C265" s="6"/>
      <c r="D265" s="6"/>
      <c r="E265" s="6"/>
      <c r="F265" s="6"/>
      <c r="G265" s="16"/>
      <c r="H265" s="16"/>
      <c r="I265" s="17"/>
      <c r="J265" s="17"/>
      <c r="K265" s="17"/>
      <c r="L265" s="6"/>
      <c r="M265" s="6"/>
      <c r="N265" s="16"/>
      <c r="O265" s="6"/>
      <c r="P265" s="16"/>
      <c r="Q265" s="6"/>
      <c r="R265" s="6"/>
      <c r="S265" s="6"/>
    </row>
    <row r="266">
      <c r="A266" s="22"/>
      <c r="B266" s="6"/>
      <c r="C266" s="6"/>
      <c r="D266" s="6"/>
      <c r="E266" s="6"/>
      <c r="F266" s="6"/>
      <c r="G266" s="16"/>
      <c r="H266" s="16"/>
      <c r="I266" s="17"/>
      <c r="J266" s="17"/>
      <c r="K266" s="17"/>
      <c r="L266" s="6"/>
      <c r="M266" s="6"/>
      <c r="N266" s="16"/>
      <c r="O266" s="6"/>
      <c r="P266" s="16"/>
      <c r="Q266" s="6"/>
      <c r="R266" s="6"/>
      <c r="S266" s="6"/>
    </row>
    <row r="267">
      <c r="A267" s="22"/>
      <c r="B267" s="6"/>
      <c r="C267" s="6"/>
      <c r="D267" s="6"/>
      <c r="E267" s="6"/>
      <c r="F267" s="6"/>
      <c r="G267" s="16"/>
      <c r="H267" s="16"/>
      <c r="I267" s="17"/>
      <c r="J267" s="17"/>
      <c r="K267" s="17"/>
      <c r="L267" s="6"/>
      <c r="M267" s="6"/>
      <c r="N267" s="16"/>
      <c r="O267" s="6"/>
      <c r="P267" s="16"/>
      <c r="Q267" s="6"/>
      <c r="R267" s="6"/>
      <c r="S267" s="6"/>
    </row>
    <row r="268">
      <c r="A268" s="22"/>
      <c r="B268" s="6"/>
      <c r="C268" s="6"/>
      <c r="D268" s="6"/>
      <c r="E268" s="6"/>
      <c r="F268" s="6"/>
      <c r="G268" s="16"/>
      <c r="H268" s="16"/>
      <c r="I268" s="17"/>
      <c r="J268" s="17"/>
      <c r="K268" s="17"/>
      <c r="L268" s="6"/>
      <c r="M268" s="6"/>
      <c r="N268" s="16"/>
      <c r="O268" s="6"/>
      <c r="P268" s="16"/>
      <c r="Q268" s="6"/>
      <c r="R268" s="6"/>
      <c r="S268" s="6"/>
    </row>
    <row r="269">
      <c r="A269" s="22"/>
      <c r="B269" s="6"/>
      <c r="C269" s="6"/>
      <c r="D269" s="6"/>
      <c r="E269" s="6"/>
      <c r="F269" s="6"/>
      <c r="G269" s="16"/>
      <c r="H269" s="16"/>
      <c r="I269" s="17"/>
      <c r="J269" s="17"/>
      <c r="K269" s="17"/>
      <c r="L269" s="6"/>
      <c r="M269" s="6"/>
      <c r="N269" s="16"/>
      <c r="O269" s="6"/>
      <c r="P269" s="16"/>
      <c r="Q269" s="6"/>
      <c r="R269" s="6"/>
      <c r="S269" s="6"/>
    </row>
    <row r="270">
      <c r="A270" s="22"/>
      <c r="B270" s="6"/>
      <c r="C270" s="6"/>
      <c r="D270" s="6"/>
      <c r="E270" s="6"/>
      <c r="F270" s="6"/>
      <c r="G270" s="16"/>
      <c r="H270" s="16"/>
      <c r="I270" s="17"/>
      <c r="J270" s="17"/>
      <c r="K270" s="17"/>
      <c r="L270" s="6"/>
      <c r="M270" s="6"/>
      <c r="N270" s="16"/>
      <c r="O270" s="6"/>
      <c r="P270" s="16"/>
      <c r="Q270" s="6"/>
      <c r="R270" s="6"/>
      <c r="S270" s="6"/>
    </row>
    <row r="271">
      <c r="A271" s="22"/>
      <c r="B271" s="6"/>
      <c r="C271" s="6"/>
      <c r="D271" s="6"/>
      <c r="E271" s="6"/>
      <c r="F271" s="6"/>
      <c r="G271" s="16"/>
      <c r="H271" s="16"/>
      <c r="I271" s="17"/>
      <c r="J271" s="17"/>
      <c r="K271" s="17"/>
      <c r="L271" s="6"/>
      <c r="M271" s="6"/>
      <c r="N271" s="16"/>
      <c r="O271" s="6"/>
      <c r="P271" s="16"/>
      <c r="Q271" s="6"/>
      <c r="R271" s="6"/>
      <c r="S271" s="6"/>
    </row>
    <row r="272">
      <c r="A272" s="22"/>
      <c r="B272" s="6"/>
      <c r="C272" s="6"/>
      <c r="D272" s="6"/>
      <c r="E272" s="6"/>
      <c r="F272" s="6"/>
      <c r="G272" s="16"/>
      <c r="H272" s="16"/>
      <c r="I272" s="17"/>
      <c r="J272" s="17"/>
      <c r="K272" s="17"/>
      <c r="L272" s="6"/>
      <c r="M272" s="6"/>
      <c r="N272" s="16"/>
      <c r="O272" s="6"/>
      <c r="P272" s="16"/>
      <c r="Q272" s="6"/>
      <c r="R272" s="6"/>
      <c r="S272" s="6"/>
    </row>
    <row r="273">
      <c r="A273" s="22"/>
      <c r="B273" s="6"/>
      <c r="C273" s="6"/>
      <c r="D273" s="6"/>
      <c r="E273" s="6"/>
      <c r="F273" s="6"/>
      <c r="G273" s="16"/>
      <c r="H273" s="16"/>
      <c r="I273" s="17"/>
      <c r="J273" s="17"/>
      <c r="K273" s="17"/>
      <c r="L273" s="6"/>
      <c r="M273" s="6"/>
      <c r="N273" s="16"/>
      <c r="O273" s="6"/>
      <c r="P273" s="16"/>
      <c r="Q273" s="6"/>
      <c r="R273" s="6"/>
      <c r="S273" s="6"/>
    </row>
    <row r="274">
      <c r="A274" s="22"/>
      <c r="B274" s="6"/>
      <c r="C274" s="6"/>
      <c r="D274" s="6"/>
      <c r="E274" s="6"/>
      <c r="F274" s="6"/>
      <c r="G274" s="16"/>
      <c r="H274" s="16"/>
      <c r="I274" s="17"/>
      <c r="J274" s="17"/>
      <c r="K274" s="17"/>
      <c r="L274" s="6"/>
      <c r="M274" s="6"/>
      <c r="N274" s="16"/>
      <c r="O274" s="6"/>
      <c r="P274" s="16"/>
      <c r="Q274" s="6"/>
      <c r="R274" s="6"/>
      <c r="S274" s="6"/>
    </row>
    <row r="275">
      <c r="A275" s="22"/>
      <c r="B275" s="6"/>
      <c r="C275" s="6"/>
      <c r="D275" s="6"/>
      <c r="E275" s="6"/>
      <c r="F275" s="6"/>
      <c r="G275" s="16"/>
      <c r="H275" s="16"/>
      <c r="I275" s="17"/>
      <c r="J275" s="17"/>
      <c r="K275" s="17"/>
      <c r="L275" s="6"/>
      <c r="M275" s="6"/>
      <c r="N275" s="16"/>
      <c r="O275" s="6"/>
      <c r="P275" s="16"/>
      <c r="Q275" s="6"/>
      <c r="R275" s="6"/>
      <c r="S275" s="6"/>
    </row>
    <row r="276">
      <c r="A276" s="22"/>
      <c r="B276" s="6"/>
      <c r="C276" s="6"/>
      <c r="D276" s="6"/>
      <c r="E276" s="6"/>
      <c r="F276" s="6"/>
      <c r="G276" s="16"/>
      <c r="H276" s="16"/>
      <c r="I276" s="17"/>
      <c r="J276" s="17"/>
      <c r="K276" s="17"/>
      <c r="L276" s="6"/>
      <c r="M276" s="6"/>
      <c r="N276" s="16"/>
      <c r="O276" s="6"/>
      <c r="P276" s="16"/>
      <c r="Q276" s="6"/>
      <c r="R276" s="6"/>
      <c r="S276" s="6"/>
    </row>
    <row r="277">
      <c r="A277" s="22"/>
      <c r="B277" s="6"/>
      <c r="C277" s="6"/>
      <c r="D277" s="6"/>
      <c r="E277" s="6"/>
      <c r="F277" s="6"/>
      <c r="G277" s="16"/>
      <c r="H277" s="16"/>
      <c r="I277" s="17"/>
      <c r="J277" s="17"/>
      <c r="K277" s="17"/>
      <c r="L277" s="6"/>
      <c r="M277" s="6"/>
      <c r="N277" s="16"/>
      <c r="O277" s="6"/>
      <c r="P277" s="16"/>
      <c r="Q277" s="6"/>
      <c r="R277" s="6"/>
      <c r="S277" s="6"/>
    </row>
    <row r="278">
      <c r="A278" s="22"/>
      <c r="B278" s="6"/>
      <c r="C278" s="6"/>
      <c r="D278" s="6"/>
      <c r="E278" s="6"/>
      <c r="F278" s="6"/>
      <c r="G278" s="16"/>
      <c r="H278" s="16"/>
      <c r="I278" s="17"/>
      <c r="J278" s="17"/>
      <c r="K278" s="17"/>
      <c r="L278" s="6"/>
      <c r="M278" s="6"/>
      <c r="N278" s="16"/>
      <c r="O278" s="6"/>
      <c r="P278" s="16"/>
      <c r="Q278" s="6"/>
      <c r="R278" s="6"/>
      <c r="S278" s="6"/>
    </row>
    <row r="279">
      <c r="A279" s="22"/>
      <c r="B279" s="6"/>
      <c r="C279" s="6"/>
      <c r="D279" s="6"/>
      <c r="E279" s="6"/>
      <c r="F279" s="6"/>
      <c r="G279" s="16"/>
      <c r="H279" s="16"/>
      <c r="I279" s="17"/>
      <c r="J279" s="17"/>
      <c r="K279" s="17"/>
      <c r="L279" s="6"/>
      <c r="M279" s="6"/>
      <c r="N279" s="16"/>
      <c r="O279" s="6"/>
      <c r="P279" s="16"/>
      <c r="Q279" s="6"/>
      <c r="R279" s="6"/>
      <c r="S279" s="6"/>
    </row>
    <row r="280">
      <c r="A280" s="22"/>
      <c r="B280" s="6"/>
      <c r="C280" s="6"/>
      <c r="D280" s="6"/>
      <c r="E280" s="6"/>
      <c r="F280" s="6"/>
      <c r="G280" s="16"/>
      <c r="H280" s="16"/>
      <c r="I280" s="17"/>
      <c r="J280" s="17"/>
      <c r="K280" s="17"/>
      <c r="L280" s="6"/>
      <c r="M280" s="6"/>
      <c r="N280" s="16"/>
      <c r="O280" s="6"/>
      <c r="P280" s="16"/>
      <c r="Q280" s="6"/>
      <c r="R280" s="6"/>
      <c r="S280" s="6"/>
    </row>
    <row r="281">
      <c r="A281" s="22"/>
      <c r="B281" s="6"/>
      <c r="C281" s="6"/>
      <c r="D281" s="6"/>
      <c r="E281" s="6"/>
      <c r="F281" s="6"/>
      <c r="G281" s="16"/>
      <c r="H281" s="16"/>
      <c r="I281" s="17"/>
      <c r="J281" s="17"/>
      <c r="K281" s="17"/>
      <c r="L281" s="6"/>
      <c r="M281" s="6"/>
      <c r="N281" s="16"/>
      <c r="O281" s="6"/>
      <c r="P281" s="16"/>
      <c r="Q281" s="6"/>
      <c r="R281" s="6"/>
      <c r="S281" s="6"/>
    </row>
    <row r="282">
      <c r="A282" s="22"/>
      <c r="B282" s="6"/>
      <c r="C282" s="6"/>
      <c r="D282" s="6"/>
      <c r="E282" s="6"/>
      <c r="F282" s="6"/>
      <c r="G282" s="16"/>
      <c r="H282" s="16"/>
      <c r="I282" s="17"/>
      <c r="J282" s="17"/>
      <c r="K282" s="17"/>
      <c r="L282" s="6"/>
      <c r="M282" s="6"/>
      <c r="N282" s="16"/>
      <c r="O282" s="6"/>
      <c r="P282" s="16"/>
      <c r="Q282" s="6"/>
      <c r="R282" s="6"/>
      <c r="S282" s="6"/>
    </row>
    <row r="283">
      <c r="A283" s="22"/>
      <c r="B283" s="6"/>
      <c r="C283" s="6"/>
      <c r="D283" s="6"/>
      <c r="E283" s="6"/>
      <c r="F283" s="6"/>
      <c r="G283" s="16"/>
      <c r="H283" s="16"/>
      <c r="I283" s="17"/>
      <c r="J283" s="17"/>
      <c r="K283" s="17"/>
      <c r="L283" s="6"/>
      <c r="M283" s="6"/>
      <c r="N283" s="16"/>
      <c r="O283" s="6"/>
      <c r="P283" s="16"/>
      <c r="Q283" s="6"/>
      <c r="R283" s="6"/>
      <c r="S283" s="6"/>
    </row>
    <row r="284">
      <c r="A284" s="22"/>
      <c r="B284" s="6"/>
      <c r="C284" s="6"/>
      <c r="D284" s="6"/>
      <c r="E284" s="6"/>
      <c r="F284" s="6"/>
      <c r="G284" s="16"/>
      <c r="H284" s="16"/>
      <c r="I284" s="17"/>
      <c r="J284" s="17"/>
      <c r="K284" s="17"/>
      <c r="L284" s="6"/>
      <c r="M284" s="6"/>
      <c r="N284" s="16"/>
      <c r="O284" s="6"/>
      <c r="P284" s="16"/>
      <c r="Q284" s="6"/>
      <c r="R284" s="6"/>
      <c r="S284" s="6"/>
    </row>
    <row r="285">
      <c r="A285" s="22"/>
      <c r="B285" s="6"/>
      <c r="C285" s="6"/>
      <c r="D285" s="6"/>
      <c r="E285" s="6"/>
      <c r="F285" s="6"/>
      <c r="G285" s="16"/>
      <c r="H285" s="16"/>
      <c r="I285" s="17"/>
      <c r="J285" s="17"/>
      <c r="K285" s="17"/>
      <c r="L285" s="6"/>
      <c r="M285" s="6"/>
      <c r="N285" s="16"/>
      <c r="O285" s="6"/>
      <c r="P285" s="16"/>
      <c r="Q285" s="6"/>
      <c r="R285" s="6"/>
      <c r="S285" s="6"/>
    </row>
    <row r="286">
      <c r="A286" s="22"/>
      <c r="B286" s="6"/>
      <c r="C286" s="6"/>
      <c r="D286" s="6"/>
      <c r="E286" s="6"/>
      <c r="F286" s="6"/>
      <c r="G286" s="16"/>
      <c r="H286" s="16"/>
      <c r="I286" s="17"/>
      <c r="J286" s="17"/>
      <c r="K286" s="17"/>
      <c r="L286" s="6"/>
      <c r="M286" s="6"/>
      <c r="N286" s="16"/>
      <c r="O286" s="6"/>
      <c r="P286" s="16"/>
      <c r="Q286" s="6"/>
      <c r="R286" s="6"/>
      <c r="S286" s="6"/>
    </row>
    <row r="287">
      <c r="A287" s="22"/>
      <c r="B287" s="6"/>
      <c r="C287" s="6"/>
      <c r="D287" s="6"/>
      <c r="E287" s="6"/>
      <c r="F287" s="6"/>
      <c r="G287" s="16"/>
      <c r="H287" s="16"/>
      <c r="I287" s="17"/>
      <c r="J287" s="17"/>
      <c r="K287" s="17"/>
      <c r="L287" s="6"/>
      <c r="M287" s="6"/>
      <c r="N287" s="16"/>
      <c r="O287" s="6"/>
      <c r="P287" s="16"/>
      <c r="Q287" s="6"/>
      <c r="R287" s="6"/>
      <c r="S287" s="6"/>
    </row>
    <row r="288">
      <c r="A288" s="22"/>
      <c r="B288" s="6"/>
      <c r="C288" s="6"/>
      <c r="D288" s="6"/>
      <c r="E288" s="6"/>
      <c r="F288" s="6"/>
      <c r="G288" s="16"/>
      <c r="H288" s="16"/>
      <c r="I288" s="17"/>
      <c r="J288" s="17"/>
      <c r="K288" s="17"/>
      <c r="L288" s="6"/>
      <c r="M288" s="6"/>
      <c r="N288" s="16"/>
      <c r="O288" s="6"/>
      <c r="P288" s="16"/>
      <c r="Q288" s="6"/>
      <c r="R288" s="6"/>
      <c r="S288" s="6"/>
    </row>
    <row r="289">
      <c r="A289" s="22"/>
      <c r="B289" s="6"/>
      <c r="C289" s="6"/>
      <c r="D289" s="6"/>
      <c r="E289" s="6"/>
      <c r="F289" s="6"/>
      <c r="G289" s="16"/>
      <c r="H289" s="16"/>
      <c r="I289" s="17"/>
      <c r="J289" s="17"/>
      <c r="K289" s="17"/>
      <c r="L289" s="6"/>
      <c r="M289" s="6"/>
      <c r="N289" s="16"/>
      <c r="O289" s="6"/>
      <c r="P289" s="16"/>
      <c r="Q289" s="6"/>
      <c r="R289" s="6"/>
      <c r="S289" s="6"/>
    </row>
    <row r="290">
      <c r="A290" s="22"/>
      <c r="B290" s="6"/>
      <c r="C290" s="6"/>
      <c r="D290" s="6"/>
      <c r="E290" s="6"/>
      <c r="F290" s="6"/>
      <c r="G290" s="16"/>
      <c r="H290" s="16"/>
      <c r="I290" s="17"/>
      <c r="J290" s="17"/>
      <c r="K290" s="17"/>
      <c r="L290" s="6"/>
      <c r="M290" s="6"/>
      <c r="N290" s="16"/>
      <c r="O290" s="6"/>
      <c r="P290" s="16"/>
      <c r="Q290" s="6"/>
      <c r="R290" s="6"/>
      <c r="S290" s="6"/>
    </row>
    <row r="291">
      <c r="A291" s="22"/>
      <c r="B291" s="6"/>
      <c r="C291" s="6"/>
      <c r="D291" s="6"/>
      <c r="E291" s="6"/>
      <c r="F291" s="6"/>
      <c r="G291" s="16"/>
      <c r="H291" s="16"/>
      <c r="I291" s="17"/>
      <c r="J291" s="17"/>
      <c r="K291" s="17"/>
      <c r="L291" s="6"/>
      <c r="M291" s="6"/>
      <c r="N291" s="16"/>
      <c r="O291" s="6"/>
      <c r="P291" s="16"/>
      <c r="Q291" s="6"/>
      <c r="R291" s="6"/>
      <c r="S291" s="6"/>
    </row>
    <row r="292">
      <c r="A292" s="22"/>
      <c r="B292" s="6"/>
      <c r="C292" s="6"/>
      <c r="D292" s="6"/>
      <c r="E292" s="6"/>
      <c r="F292" s="6"/>
      <c r="G292" s="16"/>
      <c r="H292" s="16"/>
      <c r="I292" s="17"/>
      <c r="J292" s="17"/>
      <c r="K292" s="17"/>
      <c r="L292" s="6"/>
      <c r="M292" s="6"/>
      <c r="N292" s="16"/>
      <c r="O292" s="6"/>
      <c r="P292" s="16"/>
      <c r="Q292" s="6"/>
      <c r="R292" s="6"/>
      <c r="S292" s="6"/>
    </row>
    <row r="293">
      <c r="A293" s="22"/>
      <c r="B293" s="6"/>
      <c r="C293" s="6"/>
      <c r="D293" s="6"/>
      <c r="E293" s="6"/>
      <c r="F293" s="6"/>
      <c r="G293" s="16"/>
      <c r="H293" s="16"/>
      <c r="I293" s="17"/>
      <c r="J293" s="17"/>
      <c r="K293" s="17"/>
      <c r="L293" s="6"/>
      <c r="M293" s="6"/>
      <c r="N293" s="16"/>
      <c r="O293" s="6"/>
      <c r="P293" s="16"/>
      <c r="Q293" s="6"/>
      <c r="R293" s="6"/>
      <c r="S293" s="6"/>
    </row>
    <row r="294">
      <c r="A294" s="22"/>
      <c r="B294" s="6"/>
      <c r="C294" s="6"/>
      <c r="D294" s="6"/>
      <c r="E294" s="6"/>
      <c r="F294" s="6"/>
      <c r="G294" s="16"/>
      <c r="H294" s="16"/>
      <c r="I294" s="17"/>
      <c r="J294" s="17"/>
      <c r="K294" s="17"/>
      <c r="L294" s="6"/>
      <c r="M294" s="6"/>
      <c r="N294" s="16"/>
      <c r="O294" s="6"/>
      <c r="P294" s="16"/>
      <c r="Q294" s="6"/>
      <c r="R294" s="6"/>
      <c r="S294" s="6"/>
    </row>
    <row r="295">
      <c r="A295" s="22"/>
      <c r="B295" s="6"/>
      <c r="C295" s="6"/>
      <c r="D295" s="6"/>
      <c r="E295" s="6"/>
      <c r="F295" s="6"/>
      <c r="G295" s="16"/>
      <c r="H295" s="16"/>
      <c r="I295" s="17"/>
      <c r="J295" s="17"/>
      <c r="K295" s="17"/>
      <c r="L295" s="6"/>
      <c r="M295" s="6"/>
      <c r="N295" s="16"/>
      <c r="O295" s="6"/>
      <c r="P295" s="16"/>
      <c r="Q295" s="6"/>
      <c r="R295" s="6"/>
      <c r="S295" s="6"/>
    </row>
    <row r="296">
      <c r="A296" s="22"/>
      <c r="B296" s="6"/>
      <c r="C296" s="6"/>
      <c r="D296" s="6"/>
      <c r="E296" s="6"/>
      <c r="F296" s="6"/>
      <c r="G296" s="16"/>
      <c r="H296" s="16"/>
      <c r="I296" s="17"/>
      <c r="J296" s="17"/>
      <c r="K296" s="17"/>
      <c r="L296" s="6"/>
      <c r="M296" s="6"/>
      <c r="N296" s="16"/>
      <c r="O296" s="6"/>
      <c r="P296" s="16"/>
      <c r="Q296" s="6"/>
      <c r="R296" s="6"/>
      <c r="S296" s="6"/>
    </row>
    <row r="297">
      <c r="A297" s="22"/>
      <c r="B297" s="6"/>
      <c r="C297" s="6"/>
      <c r="D297" s="6"/>
      <c r="E297" s="6"/>
      <c r="F297" s="6"/>
      <c r="G297" s="16"/>
      <c r="H297" s="16"/>
      <c r="I297" s="17"/>
      <c r="J297" s="17"/>
      <c r="K297" s="17"/>
      <c r="L297" s="6"/>
      <c r="M297" s="6"/>
      <c r="N297" s="16"/>
      <c r="O297" s="6"/>
      <c r="P297" s="16"/>
      <c r="Q297" s="6"/>
      <c r="R297" s="6"/>
      <c r="S297" s="6"/>
    </row>
    <row r="298">
      <c r="A298" s="22"/>
      <c r="B298" s="6"/>
      <c r="C298" s="6"/>
      <c r="D298" s="6"/>
      <c r="E298" s="6"/>
      <c r="F298" s="6"/>
      <c r="G298" s="16"/>
      <c r="H298" s="16"/>
      <c r="I298" s="17"/>
      <c r="J298" s="17"/>
      <c r="K298" s="17"/>
      <c r="L298" s="6"/>
      <c r="M298" s="6"/>
      <c r="N298" s="16"/>
      <c r="O298" s="6"/>
      <c r="P298" s="16"/>
      <c r="Q298" s="6"/>
      <c r="R298" s="6"/>
      <c r="S298" s="6"/>
    </row>
    <row r="299">
      <c r="A299" s="22"/>
      <c r="B299" s="6"/>
      <c r="C299" s="6"/>
      <c r="D299" s="6"/>
      <c r="E299" s="6"/>
      <c r="F299" s="6"/>
      <c r="G299" s="16"/>
      <c r="H299" s="16"/>
      <c r="I299" s="17"/>
      <c r="J299" s="17"/>
      <c r="K299" s="17"/>
      <c r="L299" s="6"/>
      <c r="M299" s="6"/>
      <c r="N299" s="16"/>
      <c r="O299" s="6"/>
      <c r="P299" s="16"/>
      <c r="Q299" s="6"/>
      <c r="R299" s="6"/>
      <c r="S299" s="6"/>
    </row>
    <row r="300">
      <c r="A300" s="22"/>
      <c r="B300" s="6"/>
      <c r="C300" s="6"/>
      <c r="D300" s="6"/>
      <c r="E300" s="6"/>
      <c r="F300" s="6"/>
      <c r="G300" s="16"/>
      <c r="H300" s="16"/>
      <c r="I300" s="17"/>
      <c r="J300" s="17"/>
      <c r="K300" s="17"/>
      <c r="L300" s="6"/>
      <c r="M300" s="6"/>
      <c r="N300" s="16"/>
      <c r="O300" s="6"/>
      <c r="P300" s="16"/>
      <c r="Q300" s="6"/>
      <c r="R300" s="6"/>
      <c r="S300" s="6"/>
    </row>
    <row r="301">
      <c r="A301" s="22"/>
      <c r="B301" s="6"/>
      <c r="C301" s="6"/>
      <c r="D301" s="6"/>
      <c r="E301" s="6"/>
      <c r="F301" s="6"/>
      <c r="G301" s="16"/>
      <c r="H301" s="16"/>
      <c r="I301" s="17"/>
      <c r="J301" s="17"/>
      <c r="K301" s="17"/>
      <c r="L301" s="6"/>
      <c r="M301" s="6"/>
      <c r="N301" s="16"/>
      <c r="O301" s="6"/>
      <c r="P301" s="16"/>
      <c r="Q301" s="6"/>
      <c r="R301" s="6"/>
      <c r="S301" s="6"/>
    </row>
    <row r="302">
      <c r="A302" s="22"/>
      <c r="B302" s="6"/>
      <c r="C302" s="6"/>
      <c r="D302" s="6"/>
      <c r="E302" s="6"/>
      <c r="F302" s="6"/>
      <c r="G302" s="16"/>
      <c r="H302" s="16"/>
      <c r="I302" s="17"/>
      <c r="J302" s="17"/>
      <c r="K302" s="17"/>
      <c r="L302" s="6"/>
      <c r="M302" s="6"/>
      <c r="N302" s="16"/>
      <c r="O302" s="6"/>
      <c r="P302" s="16"/>
      <c r="Q302" s="6"/>
      <c r="R302" s="6"/>
      <c r="S302" s="6"/>
    </row>
    <row r="303">
      <c r="A303" s="22"/>
      <c r="B303" s="6"/>
      <c r="C303" s="6"/>
      <c r="D303" s="6"/>
      <c r="E303" s="6"/>
      <c r="F303" s="6"/>
      <c r="G303" s="16"/>
      <c r="H303" s="16"/>
      <c r="I303" s="17"/>
      <c r="J303" s="17"/>
      <c r="K303" s="17"/>
      <c r="L303" s="6"/>
      <c r="M303" s="6"/>
      <c r="N303" s="16"/>
      <c r="O303" s="6"/>
      <c r="P303" s="16"/>
      <c r="Q303" s="6"/>
      <c r="R303" s="6"/>
      <c r="S303" s="6"/>
    </row>
    <row r="304">
      <c r="A304" s="22"/>
      <c r="B304" s="6"/>
      <c r="C304" s="6"/>
      <c r="D304" s="6"/>
      <c r="E304" s="6"/>
      <c r="F304" s="6"/>
      <c r="G304" s="16"/>
      <c r="H304" s="16"/>
      <c r="I304" s="17"/>
      <c r="J304" s="17"/>
      <c r="K304" s="17"/>
      <c r="L304" s="6"/>
      <c r="M304" s="6"/>
      <c r="N304" s="16"/>
      <c r="O304" s="6"/>
      <c r="P304" s="16"/>
      <c r="Q304" s="6"/>
      <c r="R304" s="6"/>
      <c r="S304" s="6"/>
    </row>
    <row r="305">
      <c r="A305" s="22"/>
      <c r="B305" s="6"/>
      <c r="C305" s="6"/>
      <c r="D305" s="6"/>
      <c r="E305" s="6"/>
      <c r="F305" s="6"/>
      <c r="G305" s="16"/>
      <c r="H305" s="16"/>
      <c r="I305" s="17"/>
      <c r="J305" s="17"/>
      <c r="K305" s="17"/>
      <c r="L305" s="6"/>
      <c r="M305" s="6"/>
      <c r="N305" s="16"/>
      <c r="O305" s="6"/>
      <c r="P305" s="16"/>
      <c r="Q305" s="6"/>
      <c r="R305" s="6"/>
      <c r="S305" s="6"/>
    </row>
    <row r="306">
      <c r="A306" s="22"/>
      <c r="B306" s="6"/>
      <c r="C306" s="6"/>
      <c r="D306" s="6"/>
      <c r="E306" s="6"/>
      <c r="F306" s="6"/>
      <c r="G306" s="16"/>
      <c r="H306" s="16"/>
      <c r="I306" s="17"/>
      <c r="J306" s="17"/>
      <c r="K306" s="17"/>
      <c r="L306" s="6"/>
      <c r="M306" s="6"/>
      <c r="N306" s="16"/>
      <c r="O306" s="6"/>
      <c r="P306" s="16"/>
      <c r="Q306" s="6"/>
      <c r="R306" s="6"/>
      <c r="S306" s="6"/>
    </row>
    <row r="307">
      <c r="A307" s="22"/>
      <c r="B307" s="6"/>
      <c r="C307" s="6"/>
      <c r="D307" s="6"/>
      <c r="E307" s="6"/>
      <c r="F307" s="6"/>
      <c r="G307" s="16"/>
      <c r="H307" s="16"/>
      <c r="I307" s="17"/>
      <c r="J307" s="17"/>
      <c r="K307" s="17"/>
      <c r="L307" s="6"/>
      <c r="M307" s="6"/>
      <c r="N307" s="16"/>
      <c r="O307" s="6"/>
      <c r="P307" s="16"/>
      <c r="Q307" s="6"/>
      <c r="R307" s="6"/>
      <c r="S307" s="6"/>
    </row>
    <row r="308">
      <c r="A308" s="22"/>
      <c r="B308" s="6"/>
      <c r="C308" s="6"/>
      <c r="D308" s="6"/>
      <c r="E308" s="6"/>
      <c r="F308" s="6"/>
      <c r="G308" s="16"/>
      <c r="H308" s="16"/>
      <c r="I308" s="17"/>
      <c r="J308" s="17"/>
      <c r="K308" s="17"/>
      <c r="L308" s="6"/>
      <c r="M308" s="6"/>
      <c r="N308" s="16"/>
      <c r="O308" s="6"/>
      <c r="P308" s="16"/>
      <c r="Q308" s="6"/>
      <c r="R308" s="6"/>
      <c r="S308" s="6"/>
    </row>
    <row r="309">
      <c r="A309" s="22"/>
      <c r="B309" s="6"/>
      <c r="C309" s="6"/>
      <c r="D309" s="6"/>
      <c r="E309" s="6"/>
      <c r="F309" s="6"/>
      <c r="G309" s="16"/>
      <c r="H309" s="16"/>
      <c r="I309" s="17"/>
      <c r="J309" s="17"/>
      <c r="K309" s="17"/>
      <c r="L309" s="6"/>
      <c r="M309" s="6"/>
      <c r="N309" s="16"/>
      <c r="O309" s="6"/>
      <c r="P309" s="16"/>
      <c r="Q309" s="6"/>
      <c r="R309" s="6"/>
      <c r="S309" s="6"/>
    </row>
    <row r="310">
      <c r="A310" s="22"/>
      <c r="B310" s="6"/>
      <c r="C310" s="6"/>
      <c r="D310" s="6"/>
      <c r="E310" s="6"/>
      <c r="F310" s="6"/>
      <c r="G310" s="16"/>
      <c r="H310" s="16"/>
      <c r="I310" s="17"/>
      <c r="J310" s="17"/>
      <c r="K310" s="17"/>
      <c r="L310" s="6"/>
      <c r="M310" s="6"/>
      <c r="N310" s="16"/>
      <c r="O310" s="6"/>
      <c r="P310" s="16"/>
      <c r="Q310" s="6"/>
      <c r="R310" s="6"/>
      <c r="S310" s="6"/>
    </row>
    <row r="311">
      <c r="A311" s="22"/>
      <c r="B311" s="6"/>
      <c r="C311" s="6"/>
      <c r="D311" s="6"/>
      <c r="E311" s="6"/>
      <c r="F311" s="6"/>
      <c r="G311" s="16"/>
      <c r="H311" s="16"/>
      <c r="I311" s="17"/>
      <c r="J311" s="17"/>
      <c r="K311" s="17"/>
      <c r="L311" s="6"/>
      <c r="M311" s="6"/>
      <c r="N311" s="16"/>
      <c r="O311" s="6"/>
      <c r="P311" s="16"/>
      <c r="Q311" s="6"/>
      <c r="R311" s="6"/>
      <c r="S311" s="6"/>
    </row>
    <row r="312">
      <c r="A312" s="22"/>
      <c r="B312" s="6"/>
      <c r="C312" s="6"/>
      <c r="D312" s="6"/>
      <c r="E312" s="6"/>
      <c r="F312" s="6"/>
      <c r="G312" s="16"/>
      <c r="H312" s="16"/>
      <c r="I312" s="17"/>
      <c r="J312" s="17"/>
      <c r="K312" s="17"/>
      <c r="L312" s="6"/>
      <c r="M312" s="6"/>
      <c r="N312" s="16"/>
      <c r="O312" s="6"/>
      <c r="P312" s="16"/>
      <c r="Q312" s="6"/>
      <c r="R312" s="6"/>
      <c r="S312" s="6"/>
    </row>
    <row r="313">
      <c r="A313" s="22"/>
      <c r="B313" s="6"/>
      <c r="C313" s="6"/>
      <c r="D313" s="6"/>
      <c r="E313" s="6"/>
      <c r="F313" s="6"/>
      <c r="G313" s="16"/>
      <c r="H313" s="16"/>
      <c r="I313" s="17"/>
      <c r="J313" s="17"/>
      <c r="K313" s="17"/>
      <c r="L313" s="6"/>
      <c r="M313" s="6"/>
      <c r="N313" s="16"/>
      <c r="O313" s="6"/>
      <c r="P313" s="16"/>
      <c r="Q313" s="6"/>
      <c r="R313" s="6"/>
      <c r="S313" s="6"/>
    </row>
    <row r="314">
      <c r="A314" s="22"/>
      <c r="B314" s="6"/>
      <c r="C314" s="6"/>
      <c r="D314" s="6"/>
      <c r="E314" s="6"/>
      <c r="F314" s="6"/>
      <c r="G314" s="16"/>
      <c r="H314" s="16"/>
      <c r="I314" s="17"/>
      <c r="J314" s="17"/>
      <c r="K314" s="17"/>
      <c r="L314" s="6"/>
      <c r="M314" s="6"/>
      <c r="N314" s="16"/>
      <c r="O314" s="6"/>
      <c r="P314" s="16"/>
      <c r="Q314" s="6"/>
      <c r="R314" s="6"/>
      <c r="S314" s="6"/>
    </row>
    <row r="315">
      <c r="A315" s="22"/>
      <c r="B315" s="6"/>
      <c r="C315" s="6"/>
      <c r="D315" s="6"/>
      <c r="E315" s="6"/>
      <c r="F315" s="6"/>
      <c r="G315" s="16"/>
      <c r="H315" s="16"/>
      <c r="I315" s="17"/>
      <c r="J315" s="17"/>
      <c r="K315" s="17"/>
      <c r="L315" s="6"/>
      <c r="M315" s="6"/>
      <c r="N315" s="16"/>
      <c r="O315" s="6"/>
      <c r="P315" s="16"/>
      <c r="Q315" s="6"/>
      <c r="R315" s="6"/>
      <c r="S315" s="6"/>
    </row>
    <row r="316">
      <c r="A316" s="22"/>
      <c r="B316" s="6"/>
      <c r="C316" s="6"/>
      <c r="D316" s="6"/>
      <c r="E316" s="6"/>
      <c r="F316" s="6"/>
      <c r="G316" s="16"/>
      <c r="H316" s="16"/>
      <c r="I316" s="17"/>
      <c r="J316" s="17"/>
      <c r="K316" s="17"/>
      <c r="L316" s="6"/>
      <c r="M316" s="6"/>
      <c r="N316" s="16"/>
      <c r="O316" s="6"/>
      <c r="P316" s="16"/>
      <c r="Q316" s="6"/>
      <c r="R316" s="6"/>
      <c r="S316" s="6"/>
    </row>
    <row r="317">
      <c r="A317" s="22"/>
      <c r="B317" s="6"/>
      <c r="C317" s="6"/>
      <c r="D317" s="6"/>
      <c r="E317" s="6"/>
      <c r="F317" s="6"/>
      <c r="G317" s="16"/>
      <c r="H317" s="16"/>
      <c r="I317" s="17"/>
      <c r="J317" s="17"/>
      <c r="K317" s="17"/>
      <c r="L317" s="6"/>
      <c r="M317" s="6"/>
      <c r="N317" s="16"/>
      <c r="O317" s="6"/>
      <c r="P317" s="16"/>
      <c r="Q317" s="6"/>
      <c r="R317" s="6"/>
      <c r="S317" s="6"/>
    </row>
    <row r="318">
      <c r="A318" s="22"/>
      <c r="B318" s="6"/>
      <c r="C318" s="6"/>
      <c r="D318" s="6"/>
      <c r="E318" s="6"/>
      <c r="F318" s="6"/>
      <c r="G318" s="16"/>
      <c r="H318" s="16"/>
      <c r="I318" s="17"/>
      <c r="J318" s="17"/>
      <c r="K318" s="17"/>
      <c r="L318" s="6"/>
      <c r="M318" s="6"/>
      <c r="N318" s="16"/>
      <c r="O318" s="6"/>
      <c r="P318" s="16"/>
      <c r="Q318" s="6"/>
      <c r="R318" s="6"/>
      <c r="S318" s="6"/>
    </row>
    <row r="319">
      <c r="A319" s="22"/>
      <c r="B319" s="6"/>
      <c r="C319" s="6"/>
      <c r="D319" s="6"/>
      <c r="E319" s="6"/>
      <c r="F319" s="6"/>
      <c r="G319" s="16"/>
      <c r="H319" s="16"/>
      <c r="I319" s="17"/>
      <c r="J319" s="17"/>
      <c r="K319" s="17"/>
      <c r="L319" s="6"/>
      <c r="M319" s="6"/>
      <c r="N319" s="16"/>
      <c r="O319" s="6"/>
      <c r="P319" s="16"/>
      <c r="Q319" s="6"/>
      <c r="R319" s="6"/>
      <c r="S319" s="6"/>
    </row>
    <row r="320">
      <c r="A320" s="22"/>
      <c r="B320" s="6"/>
      <c r="C320" s="6"/>
      <c r="D320" s="6"/>
      <c r="E320" s="6"/>
      <c r="F320" s="6"/>
      <c r="G320" s="16"/>
      <c r="H320" s="16"/>
      <c r="I320" s="17"/>
      <c r="J320" s="17"/>
      <c r="K320" s="17"/>
      <c r="L320" s="6"/>
      <c r="M320" s="6"/>
      <c r="N320" s="16"/>
      <c r="O320" s="6"/>
      <c r="P320" s="16"/>
      <c r="Q320" s="6"/>
      <c r="R320" s="6"/>
      <c r="S320" s="6"/>
    </row>
    <row r="321">
      <c r="A321" s="22"/>
      <c r="B321" s="6"/>
      <c r="C321" s="6"/>
      <c r="D321" s="6"/>
      <c r="E321" s="6"/>
      <c r="F321" s="6"/>
      <c r="G321" s="16"/>
      <c r="H321" s="16"/>
      <c r="I321" s="17"/>
      <c r="J321" s="17"/>
      <c r="K321" s="17"/>
      <c r="L321" s="6"/>
      <c r="M321" s="6"/>
      <c r="N321" s="16"/>
      <c r="O321" s="6"/>
      <c r="P321" s="16"/>
      <c r="Q321" s="6"/>
      <c r="R321" s="6"/>
      <c r="S321" s="6"/>
    </row>
    <row r="322">
      <c r="A322" s="22"/>
      <c r="B322" s="6"/>
      <c r="C322" s="6"/>
      <c r="D322" s="6"/>
      <c r="E322" s="6"/>
      <c r="F322" s="6"/>
      <c r="G322" s="16"/>
      <c r="H322" s="16"/>
      <c r="I322" s="17"/>
      <c r="J322" s="17"/>
      <c r="K322" s="17"/>
      <c r="L322" s="6"/>
      <c r="M322" s="6"/>
      <c r="N322" s="16"/>
      <c r="O322" s="6"/>
      <c r="P322" s="16"/>
      <c r="Q322" s="6"/>
      <c r="R322" s="6"/>
      <c r="S322" s="6"/>
    </row>
    <row r="323">
      <c r="A323" s="22"/>
      <c r="B323" s="6"/>
      <c r="C323" s="6"/>
      <c r="D323" s="6"/>
      <c r="E323" s="6"/>
      <c r="F323" s="6"/>
      <c r="G323" s="16"/>
      <c r="H323" s="16"/>
      <c r="I323" s="17"/>
      <c r="J323" s="17"/>
      <c r="K323" s="17"/>
      <c r="L323" s="6"/>
      <c r="M323" s="6"/>
      <c r="N323" s="16"/>
      <c r="O323" s="6"/>
      <c r="P323" s="16"/>
      <c r="Q323" s="6"/>
      <c r="R323" s="6"/>
      <c r="S323" s="6"/>
    </row>
    <row r="324">
      <c r="A324" s="22"/>
      <c r="B324" s="6"/>
      <c r="C324" s="6"/>
      <c r="D324" s="6"/>
      <c r="E324" s="6"/>
      <c r="F324" s="6"/>
      <c r="G324" s="16"/>
      <c r="H324" s="16"/>
      <c r="I324" s="17"/>
      <c r="J324" s="17"/>
      <c r="K324" s="17"/>
      <c r="L324" s="6"/>
      <c r="M324" s="6"/>
      <c r="N324" s="16"/>
      <c r="O324" s="6"/>
      <c r="P324" s="16"/>
      <c r="Q324" s="6"/>
      <c r="R324" s="6"/>
      <c r="S324" s="6"/>
    </row>
    <row r="325">
      <c r="A325" s="22"/>
      <c r="B325" s="6"/>
      <c r="C325" s="6"/>
      <c r="D325" s="6"/>
      <c r="E325" s="6"/>
      <c r="F325" s="6"/>
      <c r="G325" s="16"/>
      <c r="H325" s="16"/>
      <c r="I325" s="17"/>
      <c r="J325" s="17"/>
      <c r="K325" s="17"/>
      <c r="L325" s="6"/>
      <c r="M325" s="6"/>
      <c r="N325" s="16"/>
      <c r="O325" s="6"/>
      <c r="P325" s="16"/>
      <c r="Q325" s="6"/>
      <c r="R325" s="6"/>
      <c r="S325" s="6"/>
    </row>
    <row r="326">
      <c r="A326" s="22"/>
      <c r="B326" s="6"/>
      <c r="C326" s="6"/>
      <c r="D326" s="6"/>
      <c r="E326" s="6"/>
      <c r="F326" s="6"/>
      <c r="G326" s="16"/>
      <c r="H326" s="16"/>
      <c r="I326" s="17"/>
      <c r="J326" s="17"/>
      <c r="K326" s="17"/>
      <c r="L326" s="6"/>
      <c r="M326" s="6"/>
      <c r="N326" s="16"/>
      <c r="O326" s="6"/>
      <c r="P326" s="16"/>
      <c r="Q326" s="6"/>
      <c r="R326" s="6"/>
      <c r="S326" s="6"/>
    </row>
    <row r="327">
      <c r="A327" s="22"/>
      <c r="B327" s="6"/>
      <c r="C327" s="6"/>
      <c r="D327" s="6"/>
      <c r="E327" s="6"/>
      <c r="F327" s="6"/>
      <c r="G327" s="16"/>
      <c r="H327" s="16"/>
      <c r="I327" s="17"/>
      <c r="J327" s="17"/>
      <c r="K327" s="17"/>
      <c r="L327" s="6"/>
      <c r="M327" s="6"/>
      <c r="N327" s="16"/>
      <c r="O327" s="6"/>
      <c r="P327" s="16"/>
      <c r="Q327" s="6"/>
      <c r="R327" s="6"/>
      <c r="S327" s="6"/>
    </row>
    <row r="328">
      <c r="A328" s="22"/>
      <c r="B328" s="6"/>
      <c r="C328" s="6"/>
      <c r="D328" s="6"/>
      <c r="E328" s="6"/>
      <c r="F328" s="6"/>
      <c r="G328" s="16"/>
      <c r="H328" s="16"/>
      <c r="I328" s="17"/>
      <c r="J328" s="17"/>
      <c r="K328" s="17"/>
      <c r="L328" s="6"/>
      <c r="M328" s="6"/>
      <c r="N328" s="16"/>
      <c r="O328" s="6"/>
      <c r="P328" s="16"/>
      <c r="Q328" s="6"/>
      <c r="R328" s="6"/>
      <c r="S328" s="6"/>
    </row>
    <row r="329">
      <c r="A329" s="22"/>
      <c r="B329" s="6"/>
      <c r="C329" s="6"/>
      <c r="D329" s="6"/>
      <c r="E329" s="6"/>
      <c r="F329" s="6"/>
      <c r="G329" s="16"/>
      <c r="H329" s="16"/>
      <c r="I329" s="17"/>
      <c r="J329" s="17"/>
      <c r="K329" s="17"/>
      <c r="L329" s="6"/>
      <c r="M329" s="6"/>
      <c r="N329" s="16"/>
      <c r="O329" s="6"/>
      <c r="P329" s="16"/>
      <c r="Q329" s="6"/>
      <c r="R329" s="6"/>
      <c r="S329" s="6"/>
    </row>
    <row r="330">
      <c r="A330" s="22"/>
      <c r="B330" s="6"/>
      <c r="C330" s="6"/>
      <c r="D330" s="6"/>
      <c r="E330" s="6"/>
      <c r="F330" s="6"/>
      <c r="G330" s="16"/>
      <c r="H330" s="16"/>
      <c r="I330" s="17"/>
      <c r="J330" s="17"/>
      <c r="K330" s="17"/>
      <c r="L330" s="6"/>
      <c r="M330" s="6"/>
      <c r="N330" s="16"/>
      <c r="O330" s="6"/>
      <c r="P330" s="16"/>
      <c r="Q330" s="6"/>
      <c r="R330" s="6"/>
      <c r="S330" s="6"/>
    </row>
    <row r="331">
      <c r="A331" s="22"/>
      <c r="B331" s="6"/>
      <c r="C331" s="6"/>
      <c r="D331" s="6"/>
      <c r="E331" s="6"/>
      <c r="F331" s="6"/>
      <c r="G331" s="16"/>
      <c r="H331" s="16"/>
      <c r="I331" s="17"/>
      <c r="J331" s="17"/>
      <c r="K331" s="17"/>
      <c r="L331" s="6"/>
      <c r="M331" s="6"/>
      <c r="N331" s="16"/>
      <c r="O331" s="6"/>
      <c r="P331" s="16"/>
      <c r="Q331" s="6"/>
      <c r="R331" s="6"/>
      <c r="S331" s="6"/>
    </row>
    <row r="332">
      <c r="A332" s="22"/>
      <c r="B332" s="6"/>
      <c r="C332" s="6"/>
      <c r="D332" s="6"/>
      <c r="E332" s="6"/>
      <c r="F332" s="6"/>
      <c r="G332" s="16"/>
      <c r="H332" s="16"/>
      <c r="I332" s="17"/>
      <c r="J332" s="17"/>
      <c r="K332" s="17"/>
      <c r="L332" s="6"/>
      <c r="M332" s="6"/>
      <c r="N332" s="16"/>
      <c r="O332" s="6"/>
      <c r="P332" s="16"/>
      <c r="Q332" s="6"/>
      <c r="R332" s="6"/>
      <c r="S332" s="6"/>
    </row>
    <row r="333">
      <c r="A333" s="22"/>
      <c r="B333" s="6"/>
      <c r="C333" s="6"/>
      <c r="D333" s="6"/>
      <c r="E333" s="6"/>
      <c r="F333" s="6"/>
      <c r="G333" s="16"/>
      <c r="H333" s="16"/>
      <c r="I333" s="17"/>
      <c r="J333" s="17"/>
      <c r="K333" s="17"/>
      <c r="L333" s="6"/>
      <c r="M333" s="6"/>
      <c r="N333" s="16"/>
      <c r="O333" s="6"/>
      <c r="P333" s="16"/>
      <c r="Q333" s="6"/>
      <c r="R333" s="6"/>
      <c r="S333" s="6"/>
    </row>
    <row r="334">
      <c r="A334" s="22"/>
      <c r="B334" s="6"/>
      <c r="C334" s="6"/>
      <c r="D334" s="6"/>
      <c r="E334" s="6"/>
      <c r="F334" s="6"/>
      <c r="G334" s="16"/>
      <c r="H334" s="16"/>
      <c r="I334" s="17"/>
      <c r="J334" s="17"/>
      <c r="K334" s="17"/>
      <c r="L334" s="6"/>
      <c r="M334" s="6"/>
      <c r="N334" s="16"/>
      <c r="O334" s="6"/>
      <c r="P334" s="16"/>
      <c r="Q334" s="6"/>
      <c r="R334" s="6"/>
      <c r="S334" s="6"/>
    </row>
    <row r="335">
      <c r="A335" s="22"/>
      <c r="B335" s="6"/>
      <c r="C335" s="6"/>
      <c r="D335" s="6"/>
      <c r="E335" s="6"/>
      <c r="F335" s="6"/>
      <c r="G335" s="16"/>
      <c r="H335" s="16"/>
      <c r="I335" s="17"/>
      <c r="J335" s="17"/>
      <c r="K335" s="17"/>
      <c r="L335" s="6"/>
      <c r="M335" s="6"/>
      <c r="N335" s="16"/>
      <c r="O335" s="6"/>
      <c r="P335" s="16"/>
      <c r="Q335" s="6"/>
      <c r="R335" s="6"/>
      <c r="S335" s="6"/>
    </row>
    <row r="336">
      <c r="A336" s="22"/>
      <c r="B336" s="6"/>
      <c r="C336" s="6"/>
      <c r="D336" s="6"/>
      <c r="E336" s="6"/>
      <c r="F336" s="6"/>
      <c r="G336" s="16"/>
      <c r="H336" s="16"/>
      <c r="I336" s="17"/>
      <c r="J336" s="17"/>
      <c r="K336" s="17"/>
      <c r="L336" s="6"/>
      <c r="M336" s="6"/>
      <c r="N336" s="16"/>
      <c r="O336" s="6"/>
      <c r="P336" s="16"/>
      <c r="Q336" s="6"/>
      <c r="R336" s="6"/>
      <c r="S336" s="6"/>
    </row>
    <row r="337">
      <c r="A337" s="22"/>
      <c r="B337" s="6"/>
      <c r="C337" s="6"/>
      <c r="D337" s="6"/>
      <c r="E337" s="6"/>
      <c r="F337" s="6"/>
      <c r="G337" s="16"/>
      <c r="H337" s="16"/>
      <c r="I337" s="17"/>
      <c r="J337" s="17"/>
      <c r="K337" s="17"/>
      <c r="L337" s="6"/>
      <c r="M337" s="6"/>
      <c r="N337" s="16"/>
      <c r="O337" s="6"/>
      <c r="P337" s="16"/>
      <c r="Q337" s="6"/>
      <c r="R337" s="6"/>
      <c r="S337" s="6"/>
    </row>
    <row r="338">
      <c r="A338" s="22"/>
      <c r="B338" s="6"/>
      <c r="C338" s="6"/>
      <c r="D338" s="6"/>
      <c r="E338" s="6"/>
      <c r="F338" s="6"/>
      <c r="G338" s="16"/>
      <c r="H338" s="16"/>
      <c r="I338" s="17"/>
      <c r="J338" s="17"/>
      <c r="K338" s="17"/>
      <c r="L338" s="6"/>
      <c r="M338" s="6"/>
      <c r="N338" s="16"/>
      <c r="O338" s="6"/>
      <c r="P338" s="16"/>
      <c r="Q338" s="6"/>
      <c r="R338" s="6"/>
      <c r="S338" s="6"/>
    </row>
    <row r="339">
      <c r="A339" s="22"/>
      <c r="B339" s="6"/>
      <c r="C339" s="6"/>
      <c r="D339" s="6"/>
      <c r="E339" s="6"/>
      <c r="F339" s="6"/>
      <c r="G339" s="16"/>
      <c r="H339" s="16"/>
      <c r="I339" s="17"/>
      <c r="J339" s="17"/>
      <c r="K339" s="17"/>
      <c r="L339" s="6"/>
      <c r="M339" s="6"/>
      <c r="N339" s="16"/>
      <c r="O339" s="6"/>
      <c r="P339" s="16"/>
      <c r="Q339" s="6"/>
      <c r="R339" s="6"/>
      <c r="S339" s="6"/>
    </row>
    <row r="340">
      <c r="A340" s="22"/>
      <c r="B340" s="6"/>
      <c r="C340" s="6"/>
      <c r="D340" s="6"/>
      <c r="E340" s="6"/>
      <c r="F340" s="6"/>
      <c r="G340" s="16"/>
      <c r="H340" s="16"/>
      <c r="I340" s="17"/>
      <c r="J340" s="17"/>
      <c r="K340" s="17"/>
      <c r="L340" s="6"/>
      <c r="M340" s="6"/>
      <c r="N340" s="16"/>
      <c r="O340" s="6"/>
      <c r="P340" s="16"/>
      <c r="Q340" s="6"/>
      <c r="R340" s="6"/>
      <c r="S340" s="6"/>
    </row>
    <row r="341">
      <c r="A341" s="22"/>
      <c r="B341" s="6"/>
      <c r="C341" s="6"/>
      <c r="D341" s="6"/>
      <c r="E341" s="6"/>
      <c r="F341" s="6"/>
      <c r="G341" s="16"/>
      <c r="H341" s="16"/>
      <c r="I341" s="17"/>
      <c r="J341" s="17"/>
      <c r="K341" s="17"/>
      <c r="L341" s="6"/>
      <c r="M341" s="6"/>
      <c r="N341" s="16"/>
      <c r="O341" s="6"/>
      <c r="P341" s="16"/>
      <c r="Q341" s="6"/>
      <c r="R341" s="6"/>
      <c r="S341" s="6"/>
    </row>
    <row r="342">
      <c r="A342" s="22"/>
      <c r="B342" s="6"/>
      <c r="C342" s="6"/>
      <c r="D342" s="6"/>
      <c r="E342" s="6"/>
      <c r="F342" s="6"/>
      <c r="G342" s="16"/>
      <c r="H342" s="16"/>
      <c r="I342" s="17"/>
      <c r="J342" s="17"/>
      <c r="K342" s="17"/>
      <c r="L342" s="6"/>
      <c r="M342" s="6"/>
      <c r="N342" s="16"/>
      <c r="O342" s="6"/>
      <c r="P342" s="16"/>
      <c r="Q342" s="6"/>
      <c r="R342" s="6"/>
      <c r="S342" s="6"/>
    </row>
    <row r="343">
      <c r="A343" s="22"/>
      <c r="B343" s="6"/>
      <c r="C343" s="6"/>
      <c r="D343" s="6"/>
      <c r="E343" s="6"/>
      <c r="F343" s="6"/>
      <c r="G343" s="16"/>
      <c r="H343" s="16"/>
      <c r="I343" s="17"/>
      <c r="J343" s="17"/>
      <c r="K343" s="17"/>
      <c r="L343" s="6"/>
      <c r="M343" s="6"/>
      <c r="N343" s="16"/>
      <c r="O343" s="6"/>
      <c r="P343" s="16"/>
      <c r="Q343" s="6"/>
      <c r="R343" s="6"/>
      <c r="S343" s="6"/>
    </row>
    <row r="344">
      <c r="A344" s="22"/>
      <c r="B344" s="6"/>
      <c r="C344" s="6"/>
      <c r="D344" s="6"/>
      <c r="E344" s="6"/>
      <c r="F344" s="6"/>
      <c r="G344" s="16"/>
      <c r="H344" s="16"/>
      <c r="I344" s="17"/>
      <c r="J344" s="17"/>
      <c r="K344" s="17"/>
      <c r="L344" s="6"/>
      <c r="M344" s="6"/>
      <c r="N344" s="16"/>
      <c r="O344" s="6"/>
      <c r="P344" s="16"/>
      <c r="Q344" s="6"/>
      <c r="R344" s="6"/>
      <c r="S344" s="6"/>
    </row>
    <row r="345">
      <c r="A345" s="22"/>
      <c r="B345" s="6"/>
      <c r="C345" s="6"/>
      <c r="D345" s="6"/>
      <c r="E345" s="6"/>
      <c r="F345" s="6"/>
      <c r="G345" s="16"/>
      <c r="H345" s="16"/>
      <c r="I345" s="17"/>
      <c r="J345" s="17"/>
      <c r="K345" s="17"/>
      <c r="L345" s="6"/>
      <c r="M345" s="6"/>
      <c r="N345" s="16"/>
      <c r="O345" s="6"/>
      <c r="P345" s="16"/>
      <c r="Q345" s="6"/>
      <c r="R345" s="6"/>
      <c r="S345" s="6"/>
    </row>
    <row r="346">
      <c r="A346" s="22"/>
      <c r="B346" s="6"/>
      <c r="C346" s="6"/>
      <c r="D346" s="6"/>
      <c r="E346" s="6"/>
      <c r="F346" s="6"/>
      <c r="G346" s="16"/>
      <c r="H346" s="16"/>
      <c r="I346" s="17"/>
      <c r="J346" s="17"/>
      <c r="K346" s="17"/>
      <c r="L346" s="6"/>
      <c r="M346" s="6"/>
      <c r="N346" s="16"/>
      <c r="O346" s="6"/>
      <c r="P346" s="16"/>
      <c r="Q346" s="6"/>
      <c r="R346" s="6"/>
      <c r="S346" s="6"/>
    </row>
    <row r="347">
      <c r="A347" s="22"/>
      <c r="B347" s="6"/>
      <c r="C347" s="6"/>
      <c r="D347" s="6"/>
      <c r="E347" s="6"/>
      <c r="F347" s="6"/>
      <c r="G347" s="16"/>
      <c r="H347" s="16"/>
      <c r="I347" s="17"/>
      <c r="J347" s="17"/>
      <c r="K347" s="17"/>
      <c r="L347" s="6"/>
      <c r="M347" s="6"/>
      <c r="N347" s="16"/>
      <c r="O347" s="6"/>
      <c r="P347" s="16"/>
      <c r="Q347" s="6"/>
      <c r="R347" s="6"/>
      <c r="S347" s="6"/>
    </row>
    <row r="348">
      <c r="A348" s="22"/>
      <c r="B348" s="6"/>
      <c r="C348" s="6"/>
      <c r="D348" s="6"/>
      <c r="E348" s="6"/>
      <c r="F348" s="6"/>
      <c r="G348" s="16"/>
      <c r="H348" s="16"/>
      <c r="I348" s="17"/>
      <c r="J348" s="17"/>
      <c r="K348" s="17"/>
      <c r="L348" s="6"/>
      <c r="M348" s="6"/>
      <c r="N348" s="16"/>
      <c r="O348" s="6"/>
      <c r="P348" s="16"/>
      <c r="Q348" s="6"/>
      <c r="R348" s="6"/>
      <c r="S348" s="6"/>
    </row>
    <row r="349">
      <c r="A349" s="22"/>
      <c r="B349" s="6"/>
      <c r="C349" s="6"/>
      <c r="D349" s="6"/>
      <c r="E349" s="6"/>
      <c r="F349" s="6"/>
      <c r="G349" s="16"/>
      <c r="H349" s="16"/>
      <c r="I349" s="17"/>
      <c r="J349" s="17"/>
      <c r="K349" s="17"/>
      <c r="L349" s="6"/>
      <c r="M349" s="6"/>
      <c r="N349" s="16"/>
      <c r="O349" s="6"/>
      <c r="P349" s="16"/>
      <c r="Q349" s="6"/>
      <c r="R349" s="6"/>
      <c r="S349" s="6"/>
    </row>
    <row r="350">
      <c r="A350" s="22"/>
      <c r="B350" s="6"/>
      <c r="C350" s="6"/>
      <c r="D350" s="6"/>
      <c r="E350" s="6"/>
      <c r="F350" s="6"/>
      <c r="G350" s="16"/>
      <c r="H350" s="16"/>
      <c r="I350" s="17"/>
      <c r="J350" s="17"/>
      <c r="K350" s="17"/>
      <c r="L350" s="6"/>
      <c r="M350" s="6"/>
      <c r="N350" s="16"/>
      <c r="O350" s="6"/>
      <c r="P350" s="16"/>
      <c r="Q350" s="6"/>
      <c r="R350" s="6"/>
      <c r="S350" s="6"/>
    </row>
    <row r="351">
      <c r="A351" s="22"/>
      <c r="B351" s="6"/>
      <c r="C351" s="6"/>
      <c r="D351" s="6"/>
      <c r="E351" s="6"/>
      <c r="F351" s="6"/>
      <c r="G351" s="16"/>
      <c r="H351" s="16"/>
      <c r="I351" s="17"/>
      <c r="J351" s="17"/>
      <c r="K351" s="17"/>
      <c r="L351" s="6"/>
      <c r="M351" s="6"/>
      <c r="N351" s="16"/>
      <c r="O351" s="6"/>
      <c r="P351" s="16"/>
      <c r="Q351" s="6"/>
      <c r="R351" s="6"/>
      <c r="S351" s="6"/>
    </row>
    <row r="352">
      <c r="A352" s="22"/>
      <c r="B352" s="6"/>
      <c r="C352" s="6"/>
      <c r="D352" s="6"/>
      <c r="E352" s="6"/>
      <c r="F352" s="6"/>
      <c r="G352" s="16"/>
      <c r="H352" s="16"/>
      <c r="I352" s="17"/>
      <c r="J352" s="17"/>
      <c r="K352" s="17"/>
      <c r="L352" s="6"/>
      <c r="M352" s="6"/>
      <c r="N352" s="16"/>
      <c r="O352" s="6"/>
      <c r="P352" s="16"/>
      <c r="Q352" s="6"/>
      <c r="R352" s="6"/>
      <c r="S352" s="6"/>
    </row>
    <row r="353">
      <c r="A353" s="22"/>
      <c r="B353" s="6"/>
      <c r="C353" s="6"/>
      <c r="D353" s="6"/>
      <c r="E353" s="6"/>
      <c r="F353" s="6"/>
      <c r="G353" s="16"/>
      <c r="H353" s="16"/>
      <c r="I353" s="17"/>
      <c r="J353" s="17"/>
      <c r="K353" s="17"/>
      <c r="L353" s="6"/>
      <c r="M353" s="6"/>
      <c r="N353" s="16"/>
      <c r="O353" s="6"/>
      <c r="P353" s="16"/>
      <c r="Q353" s="6"/>
      <c r="R353" s="6"/>
      <c r="S353" s="6"/>
    </row>
    <row r="354">
      <c r="A354" s="22"/>
      <c r="B354" s="6"/>
      <c r="C354" s="6"/>
      <c r="D354" s="6"/>
      <c r="E354" s="6"/>
      <c r="F354" s="6"/>
      <c r="G354" s="16"/>
      <c r="H354" s="16"/>
      <c r="I354" s="17"/>
      <c r="J354" s="17"/>
      <c r="K354" s="17"/>
      <c r="L354" s="6"/>
      <c r="M354" s="6"/>
      <c r="N354" s="16"/>
      <c r="O354" s="6"/>
      <c r="P354" s="16"/>
      <c r="Q354" s="6"/>
      <c r="R354" s="6"/>
      <c r="S354" s="6"/>
    </row>
    <row r="355">
      <c r="A355" s="22"/>
      <c r="B355" s="6"/>
      <c r="C355" s="6"/>
      <c r="D355" s="6"/>
      <c r="E355" s="6"/>
      <c r="F355" s="6"/>
      <c r="G355" s="16"/>
      <c r="H355" s="16"/>
      <c r="I355" s="17"/>
      <c r="J355" s="17"/>
      <c r="K355" s="17"/>
      <c r="L355" s="6"/>
      <c r="M355" s="6"/>
      <c r="N355" s="16"/>
      <c r="O355" s="6"/>
      <c r="P355" s="16"/>
      <c r="Q355" s="6"/>
      <c r="R355" s="6"/>
      <c r="S355" s="6"/>
    </row>
    <row r="356">
      <c r="A356" s="22"/>
      <c r="B356" s="6"/>
      <c r="C356" s="6"/>
      <c r="D356" s="6"/>
      <c r="E356" s="6"/>
      <c r="F356" s="6"/>
      <c r="G356" s="16"/>
      <c r="H356" s="16"/>
      <c r="I356" s="17"/>
      <c r="J356" s="17"/>
      <c r="K356" s="17"/>
      <c r="L356" s="6"/>
      <c r="M356" s="6"/>
      <c r="N356" s="16"/>
      <c r="O356" s="6"/>
      <c r="P356" s="16"/>
      <c r="Q356" s="6"/>
      <c r="R356" s="6"/>
      <c r="S356" s="6"/>
    </row>
    <row r="357">
      <c r="A357" s="22"/>
      <c r="B357" s="6"/>
      <c r="C357" s="6"/>
      <c r="D357" s="6"/>
      <c r="E357" s="6"/>
      <c r="F357" s="6"/>
      <c r="G357" s="16"/>
      <c r="H357" s="16"/>
      <c r="I357" s="17"/>
      <c r="J357" s="17"/>
      <c r="K357" s="17"/>
      <c r="L357" s="6"/>
      <c r="M357" s="6"/>
      <c r="N357" s="16"/>
      <c r="O357" s="6"/>
      <c r="P357" s="16"/>
      <c r="Q357" s="6"/>
      <c r="R357" s="6"/>
      <c r="S357" s="6"/>
    </row>
    <row r="358">
      <c r="A358" s="22"/>
      <c r="B358" s="6"/>
      <c r="C358" s="6"/>
      <c r="D358" s="6"/>
      <c r="E358" s="6"/>
      <c r="F358" s="6"/>
      <c r="G358" s="16"/>
      <c r="H358" s="16"/>
      <c r="I358" s="17"/>
      <c r="J358" s="17"/>
      <c r="K358" s="17"/>
      <c r="L358" s="6"/>
      <c r="M358" s="6"/>
      <c r="N358" s="16"/>
      <c r="O358" s="6"/>
      <c r="P358" s="16"/>
      <c r="Q358" s="6"/>
      <c r="R358" s="6"/>
      <c r="S358" s="6"/>
    </row>
    <row r="359">
      <c r="A359" s="22"/>
      <c r="B359" s="6"/>
      <c r="C359" s="6"/>
      <c r="D359" s="6"/>
      <c r="E359" s="6"/>
      <c r="F359" s="6"/>
      <c r="G359" s="16"/>
      <c r="H359" s="16"/>
      <c r="I359" s="17"/>
      <c r="J359" s="17"/>
      <c r="K359" s="17"/>
      <c r="L359" s="6"/>
      <c r="M359" s="6"/>
      <c r="N359" s="16"/>
      <c r="O359" s="6"/>
      <c r="P359" s="16"/>
      <c r="Q359" s="6"/>
      <c r="R359" s="6"/>
      <c r="S359" s="6"/>
    </row>
    <row r="360">
      <c r="A360" s="22"/>
      <c r="B360" s="6"/>
      <c r="C360" s="6"/>
      <c r="D360" s="6"/>
      <c r="E360" s="6"/>
      <c r="F360" s="6"/>
      <c r="G360" s="16"/>
      <c r="H360" s="16"/>
      <c r="I360" s="17"/>
      <c r="J360" s="17"/>
      <c r="K360" s="17"/>
      <c r="L360" s="6"/>
      <c r="M360" s="6"/>
      <c r="N360" s="16"/>
      <c r="O360" s="6"/>
      <c r="P360" s="16"/>
      <c r="Q360" s="6"/>
      <c r="R360" s="6"/>
      <c r="S360" s="6"/>
    </row>
    <row r="361">
      <c r="A361" s="22"/>
      <c r="B361" s="6"/>
      <c r="C361" s="6"/>
      <c r="D361" s="6"/>
      <c r="E361" s="6"/>
      <c r="F361" s="6"/>
      <c r="G361" s="16"/>
      <c r="H361" s="16"/>
      <c r="I361" s="17"/>
      <c r="J361" s="17"/>
      <c r="K361" s="17"/>
      <c r="L361" s="6"/>
      <c r="M361" s="6"/>
      <c r="N361" s="16"/>
      <c r="O361" s="6"/>
      <c r="P361" s="16"/>
      <c r="Q361" s="6"/>
      <c r="R361" s="6"/>
      <c r="S361" s="6"/>
    </row>
    <row r="362">
      <c r="A362" s="22"/>
      <c r="B362" s="6"/>
      <c r="C362" s="6"/>
      <c r="D362" s="6"/>
      <c r="E362" s="6"/>
      <c r="F362" s="6"/>
      <c r="G362" s="16"/>
      <c r="H362" s="16"/>
      <c r="I362" s="17"/>
      <c r="J362" s="17"/>
      <c r="K362" s="17"/>
      <c r="L362" s="6"/>
      <c r="M362" s="6"/>
      <c r="N362" s="16"/>
      <c r="O362" s="6"/>
      <c r="P362" s="16"/>
      <c r="Q362" s="6"/>
      <c r="R362" s="6"/>
      <c r="S362" s="6"/>
    </row>
    <row r="363">
      <c r="A363" s="22"/>
      <c r="B363" s="6"/>
      <c r="C363" s="6"/>
      <c r="D363" s="6"/>
      <c r="E363" s="6"/>
      <c r="F363" s="6"/>
      <c r="G363" s="16"/>
      <c r="H363" s="16"/>
      <c r="I363" s="17"/>
      <c r="J363" s="17"/>
      <c r="K363" s="17"/>
      <c r="L363" s="6"/>
      <c r="M363" s="6"/>
      <c r="N363" s="16"/>
      <c r="O363" s="6"/>
      <c r="P363" s="16"/>
      <c r="Q363" s="6"/>
      <c r="R363" s="6"/>
      <c r="S363" s="6"/>
    </row>
    <row r="364">
      <c r="A364" s="22"/>
      <c r="B364" s="6"/>
      <c r="C364" s="6"/>
      <c r="D364" s="6"/>
      <c r="E364" s="6"/>
      <c r="F364" s="6"/>
      <c r="G364" s="16"/>
      <c r="H364" s="16"/>
      <c r="I364" s="17"/>
      <c r="J364" s="17"/>
      <c r="K364" s="17"/>
      <c r="L364" s="6"/>
      <c r="M364" s="6"/>
      <c r="N364" s="16"/>
      <c r="O364" s="6"/>
      <c r="P364" s="16"/>
      <c r="Q364" s="6"/>
      <c r="R364" s="6"/>
      <c r="S364" s="6"/>
    </row>
    <row r="365">
      <c r="A365" s="22"/>
      <c r="B365" s="6"/>
      <c r="C365" s="6"/>
      <c r="D365" s="6"/>
      <c r="E365" s="6"/>
      <c r="F365" s="6"/>
      <c r="G365" s="16"/>
      <c r="H365" s="16"/>
      <c r="I365" s="17"/>
      <c r="J365" s="17"/>
      <c r="K365" s="17"/>
      <c r="L365" s="6"/>
      <c r="M365" s="6"/>
      <c r="N365" s="16"/>
      <c r="O365" s="6"/>
      <c r="P365" s="16"/>
      <c r="Q365" s="6"/>
      <c r="R365" s="6"/>
      <c r="S365" s="6"/>
    </row>
    <row r="366">
      <c r="A366" s="22"/>
      <c r="B366" s="6"/>
      <c r="C366" s="6"/>
      <c r="D366" s="6"/>
      <c r="E366" s="6"/>
      <c r="F366" s="6"/>
      <c r="G366" s="16"/>
      <c r="H366" s="16"/>
      <c r="I366" s="17"/>
      <c r="J366" s="17"/>
      <c r="K366" s="17"/>
      <c r="L366" s="6"/>
      <c r="M366" s="6"/>
      <c r="N366" s="16"/>
      <c r="O366" s="6"/>
      <c r="P366" s="16"/>
      <c r="Q366" s="6"/>
      <c r="R366" s="6"/>
      <c r="S366" s="6"/>
    </row>
    <row r="367">
      <c r="A367" s="22"/>
      <c r="B367" s="6"/>
      <c r="C367" s="6"/>
      <c r="D367" s="6"/>
      <c r="E367" s="6"/>
      <c r="F367" s="6"/>
      <c r="G367" s="16"/>
      <c r="H367" s="16"/>
      <c r="I367" s="17"/>
      <c r="J367" s="17"/>
      <c r="K367" s="17"/>
      <c r="L367" s="6"/>
      <c r="M367" s="6"/>
      <c r="N367" s="16"/>
      <c r="O367" s="6"/>
      <c r="P367" s="16"/>
      <c r="Q367" s="6"/>
      <c r="R367" s="6"/>
      <c r="S367" s="6"/>
    </row>
    <row r="368">
      <c r="A368" s="22"/>
      <c r="B368" s="6"/>
      <c r="C368" s="6"/>
      <c r="D368" s="6"/>
      <c r="E368" s="6"/>
      <c r="F368" s="6"/>
      <c r="G368" s="16"/>
      <c r="H368" s="16"/>
      <c r="I368" s="17"/>
      <c r="J368" s="17"/>
      <c r="K368" s="17"/>
      <c r="L368" s="6"/>
      <c r="M368" s="6"/>
      <c r="N368" s="16"/>
      <c r="O368" s="6"/>
      <c r="P368" s="16"/>
      <c r="Q368" s="6"/>
      <c r="R368" s="6"/>
      <c r="S368" s="6"/>
    </row>
    <row r="369">
      <c r="A369" s="22"/>
      <c r="B369" s="6"/>
      <c r="C369" s="6"/>
      <c r="D369" s="6"/>
      <c r="E369" s="6"/>
      <c r="F369" s="6"/>
      <c r="G369" s="16"/>
      <c r="H369" s="16"/>
      <c r="I369" s="17"/>
      <c r="J369" s="17"/>
      <c r="K369" s="17"/>
      <c r="L369" s="6"/>
      <c r="M369" s="6"/>
      <c r="N369" s="16"/>
      <c r="O369" s="6"/>
      <c r="P369" s="16"/>
      <c r="Q369" s="6"/>
      <c r="R369" s="6"/>
      <c r="S369" s="6"/>
    </row>
    <row r="370">
      <c r="A370" s="22"/>
      <c r="B370" s="6"/>
      <c r="C370" s="6"/>
      <c r="D370" s="6"/>
      <c r="E370" s="6"/>
      <c r="F370" s="6"/>
      <c r="G370" s="16"/>
      <c r="H370" s="16"/>
      <c r="I370" s="17"/>
      <c r="J370" s="17"/>
      <c r="K370" s="17"/>
      <c r="L370" s="6"/>
      <c r="M370" s="6"/>
      <c r="N370" s="16"/>
      <c r="O370" s="6"/>
      <c r="P370" s="16"/>
      <c r="Q370" s="6"/>
      <c r="R370" s="6"/>
      <c r="S370" s="6"/>
    </row>
    <row r="371">
      <c r="A371" s="22"/>
      <c r="B371" s="6"/>
      <c r="C371" s="6"/>
      <c r="D371" s="6"/>
      <c r="E371" s="6"/>
      <c r="F371" s="6"/>
      <c r="G371" s="16"/>
      <c r="H371" s="16"/>
      <c r="I371" s="17"/>
      <c r="J371" s="17"/>
      <c r="K371" s="17"/>
      <c r="L371" s="6"/>
      <c r="M371" s="6"/>
      <c r="N371" s="16"/>
      <c r="O371" s="6"/>
      <c r="P371" s="16"/>
      <c r="Q371" s="6"/>
      <c r="R371" s="6"/>
      <c r="S371" s="6"/>
    </row>
    <row r="372">
      <c r="A372" s="22"/>
      <c r="B372" s="6"/>
      <c r="C372" s="6"/>
      <c r="D372" s="6"/>
      <c r="E372" s="6"/>
      <c r="F372" s="6"/>
      <c r="G372" s="16"/>
      <c r="H372" s="16"/>
      <c r="I372" s="17"/>
      <c r="J372" s="17"/>
      <c r="K372" s="17"/>
      <c r="L372" s="6"/>
      <c r="M372" s="6"/>
      <c r="N372" s="16"/>
      <c r="O372" s="6"/>
      <c r="P372" s="16"/>
      <c r="Q372" s="6"/>
      <c r="R372" s="6"/>
      <c r="S372" s="6"/>
    </row>
    <row r="373">
      <c r="A373" s="22"/>
      <c r="B373" s="6"/>
      <c r="C373" s="6"/>
      <c r="D373" s="6"/>
      <c r="E373" s="6"/>
      <c r="F373" s="6"/>
      <c r="G373" s="16"/>
      <c r="H373" s="16"/>
      <c r="I373" s="17"/>
      <c r="J373" s="17"/>
      <c r="K373" s="17"/>
      <c r="L373" s="6"/>
      <c r="M373" s="6"/>
      <c r="N373" s="16"/>
      <c r="O373" s="6"/>
      <c r="P373" s="16"/>
      <c r="Q373" s="6"/>
      <c r="R373" s="6"/>
      <c r="S373" s="6"/>
    </row>
    <row r="374">
      <c r="A374" s="22"/>
      <c r="B374" s="6"/>
      <c r="C374" s="6"/>
      <c r="D374" s="6"/>
      <c r="E374" s="6"/>
      <c r="F374" s="6"/>
      <c r="G374" s="16"/>
      <c r="H374" s="16"/>
      <c r="I374" s="17"/>
      <c r="J374" s="17"/>
      <c r="K374" s="17"/>
      <c r="L374" s="6"/>
      <c r="M374" s="6"/>
      <c r="N374" s="16"/>
      <c r="O374" s="6"/>
      <c r="P374" s="16"/>
      <c r="Q374" s="6"/>
      <c r="R374" s="6"/>
      <c r="S374" s="6"/>
    </row>
    <row r="375">
      <c r="A375" s="22"/>
      <c r="B375" s="6"/>
      <c r="C375" s="6"/>
      <c r="D375" s="6"/>
      <c r="E375" s="6"/>
      <c r="F375" s="6"/>
      <c r="G375" s="16"/>
      <c r="H375" s="16"/>
      <c r="I375" s="17"/>
      <c r="J375" s="17"/>
      <c r="K375" s="17"/>
      <c r="L375" s="6"/>
      <c r="M375" s="6"/>
      <c r="N375" s="16"/>
      <c r="O375" s="6"/>
      <c r="P375" s="16"/>
      <c r="Q375" s="6"/>
      <c r="R375" s="6"/>
      <c r="S375" s="6"/>
    </row>
    <row r="376">
      <c r="A376" s="22"/>
      <c r="B376" s="6"/>
      <c r="C376" s="6"/>
      <c r="D376" s="6"/>
      <c r="E376" s="6"/>
      <c r="F376" s="6"/>
      <c r="G376" s="16"/>
      <c r="H376" s="16"/>
      <c r="I376" s="17"/>
      <c r="J376" s="17"/>
      <c r="K376" s="17"/>
      <c r="L376" s="6"/>
      <c r="M376" s="6"/>
      <c r="N376" s="16"/>
      <c r="O376" s="6"/>
      <c r="P376" s="16"/>
      <c r="Q376" s="6"/>
      <c r="R376" s="6"/>
      <c r="S376" s="6"/>
    </row>
    <row r="377">
      <c r="A377" s="22"/>
      <c r="B377" s="6"/>
      <c r="C377" s="6"/>
      <c r="D377" s="6"/>
      <c r="E377" s="6"/>
      <c r="F377" s="6"/>
      <c r="G377" s="16"/>
      <c r="H377" s="16"/>
      <c r="I377" s="17"/>
      <c r="J377" s="17"/>
      <c r="K377" s="17"/>
      <c r="L377" s="6"/>
      <c r="M377" s="6"/>
      <c r="N377" s="16"/>
      <c r="O377" s="6"/>
      <c r="P377" s="16"/>
      <c r="Q377" s="6"/>
      <c r="R377" s="6"/>
      <c r="S377" s="6"/>
    </row>
    <row r="378">
      <c r="A378" s="22"/>
      <c r="B378" s="6"/>
      <c r="C378" s="6"/>
      <c r="D378" s="6"/>
      <c r="E378" s="6"/>
      <c r="F378" s="6"/>
      <c r="G378" s="16"/>
      <c r="H378" s="16"/>
      <c r="I378" s="17"/>
      <c r="J378" s="17"/>
      <c r="K378" s="17"/>
      <c r="L378" s="6"/>
      <c r="M378" s="6"/>
      <c r="N378" s="16"/>
      <c r="O378" s="6"/>
      <c r="P378" s="16"/>
      <c r="Q378" s="6"/>
      <c r="R378" s="6"/>
      <c r="S378" s="6"/>
    </row>
    <row r="379">
      <c r="A379" s="22"/>
      <c r="B379" s="6"/>
      <c r="C379" s="6"/>
      <c r="D379" s="6"/>
      <c r="E379" s="6"/>
      <c r="F379" s="6"/>
      <c r="G379" s="16"/>
      <c r="H379" s="16"/>
      <c r="I379" s="17"/>
      <c r="J379" s="17"/>
      <c r="K379" s="17"/>
      <c r="L379" s="6"/>
      <c r="M379" s="6"/>
      <c r="N379" s="16"/>
      <c r="O379" s="6"/>
      <c r="P379" s="16"/>
      <c r="Q379" s="6"/>
      <c r="R379" s="6"/>
      <c r="S379" s="6"/>
    </row>
    <row r="380">
      <c r="A380" s="22"/>
      <c r="B380" s="6"/>
      <c r="C380" s="6"/>
      <c r="D380" s="6"/>
      <c r="E380" s="6"/>
      <c r="F380" s="6"/>
      <c r="G380" s="16"/>
      <c r="H380" s="16"/>
      <c r="I380" s="17"/>
      <c r="J380" s="17"/>
      <c r="K380" s="17"/>
      <c r="L380" s="6"/>
      <c r="M380" s="6"/>
      <c r="N380" s="16"/>
      <c r="O380" s="6"/>
      <c r="P380" s="16"/>
      <c r="Q380" s="6"/>
      <c r="R380" s="6"/>
      <c r="S380" s="6"/>
    </row>
    <row r="381">
      <c r="A381" s="22"/>
      <c r="B381" s="6"/>
      <c r="C381" s="6"/>
      <c r="D381" s="6"/>
      <c r="E381" s="6"/>
      <c r="F381" s="6"/>
      <c r="G381" s="16"/>
      <c r="H381" s="16"/>
      <c r="I381" s="17"/>
      <c r="J381" s="17"/>
      <c r="K381" s="17"/>
      <c r="L381" s="6"/>
      <c r="M381" s="6"/>
      <c r="N381" s="16"/>
      <c r="O381" s="6"/>
      <c r="P381" s="16"/>
      <c r="Q381" s="6"/>
      <c r="R381" s="6"/>
      <c r="S381" s="6"/>
    </row>
    <row r="382">
      <c r="A382" s="22"/>
      <c r="B382" s="6"/>
      <c r="C382" s="6"/>
      <c r="D382" s="6"/>
      <c r="E382" s="6"/>
      <c r="F382" s="6"/>
      <c r="G382" s="16"/>
      <c r="H382" s="16"/>
      <c r="I382" s="17"/>
      <c r="J382" s="17"/>
      <c r="K382" s="17"/>
      <c r="L382" s="6"/>
      <c r="M382" s="6"/>
      <c r="N382" s="16"/>
      <c r="O382" s="6"/>
      <c r="P382" s="16"/>
      <c r="Q382" s="6"/>
      <c r="R382" s="6"/>
      <c r="S382" s="6"/>
    </row>
    <row r="383">
      <c r="A383" s="22"/>
      <c r="B383" s="6"/>
      <c r="C383" s="6"/>
      <c r="D383" s="6"/>
      <c r="E383" s="6"/>
      <c r="F383" s="6"/>
      <c r="G383" s="16"/>
      <c r="H383" s="16"/>
      <c r="I383" s="17"/>
      <c r="J383" s="17"/>
      <c r="K383" s="17"/>
      <c r="L383" s="6"/>
      <c r="M383" s="6"/>
      <c r="N383" s="16"/>
      <c r="O383" s="6"/>
      <c r="P383" s="16"/>
      <c r="Q383" s="6"/>
      <c r="R383" s="6"/>
      <c r="S383" s="6"/>
    </row>
    <row r="384">
      <c r="A384" s="22"/>
      <c r="B384" s="6"/>
      <c r="C384" s="6"/>
      <c r="D384" s="6"/>
      <c r="E384" s="6"/>
      <c r="F384" s="6"/>
      <c r="G384" s="16"/>
      <c r="H384" s="16"/>
      <c r="I384" s="17"/>
      <c r="J384" s="17"/>
      <c r="K384" s="17"/>
      <c r="L384" s="6"/>
      <c r="M384" s="6"/>
      <c r="N384" s="16"/>
      <c r="O384" s="6"/>
      <c r="P384" s="16"/>
      <c r="Q384" s="6"/>
      <c r="R384" s="6"/>
      <c r="S384" s="6"/>
    </row>
    <row r="385">
      <c r="A385" s="22"/>
      <c r="B385" s="6"/>
      <c r="C385" s="6"/>
      <c r="D385" s="6"/>
      <c r="E385" s="6"/>
      <c r="F385" s="6"/>
      <c r="G385" s="16"/>
      <c r="H385" s="16"/>
      <c r="I385" s="17"/>
      <c r="J385" s="17"/>
      <c r="K385" s="17"/>
      <c r="L385" s="6"/>
      <c r="M385" s="6"/>
      <c r="N385" s="16"/>
      <c r="O385" s="6"/>
      <c r="P385" s="16"/>
      <c r="Q385" s="6"/>
      <c r="R385" s="6"/>
      <c r="S385" s="6"/>
    </row>
    <row r="386">
      <c r="A386" s="22"/>
      <c r="B386" s="6"/>
      <c r="C386" s="6"/>
      <c r="D386" s="6"/>
      <c r="E386" s="6"/>
      <c r="F386" s="6"/>
      <c r="G386" s="16"/>
      <c r="H386" s="16"/>
      <c r="I386" s="17"/>
      <c r="J386" s="17"/>
      <c r="K386" s="17"/>
      <c r="L386" s="6"/>
      <c r="M386" s="6"/>
      <c r="N386" s="16"/>
      <c r="O386" s="6"/>
      <c r="P386" s="16"/>
      <c r="Q386" s="6"/>
      <c r="R386" s="6"/>
      <c r="S386" s="6"/>
    </row>
    <row r="387">
      <c r="A387" s="22"/>
      <c r="B387" s="6"/>
      <c r="C387" s="6"/>
      <c r="D387" s="6"/>
      <c r="E387" s="6"/>
      <c r="F387" s="6"/>
      <c r="G387" s="16"/>
      <c r="H387" s="16"/>
      <c r="I387" s="17"/>
      <c r="J387" s="17"/>
      <c r="K387" s="17"/>
      <c r="L387" s="6"/>
      <c r="M387" s="6"/>
      <c r="N387" s="16"/>
      <c r="O387" s="6"/>
      <c r="P387" s="16"/>
      <c r="Q387" s="6"/>
      <c r="R387" s="6"/>
      <c r="S387" s="6"/>
    </row>
    <row r="388">
      <c r="A388" s="22"/>
      <c r="B388" s="6"/>
      <c r="C388" s="6"/>
      <c r="D388" s="6"/>
      <c r="E388" s="6"/>
      <c r="F388" s="6"/>
      <c r="G388" s="16"/>
      <c r="H388" s="16"/>
      <c r="I388" s="17"/>
      <c r="J388" s="17"/>
      <c r="K388" s="17"/>
      <c r="L388" s="6"/>
      <c r="M388" s="6"/>
      <c r="N388" s="16"/>
      <c r="O388" s="6"/>
      <c r="P388" s="16"/>
      <c r="Q388" s="6"/>
      <c r="R388" s="6"/>
      <c r="S388" s="6"/>
    </row>
    <row r="389">
      <c r="A389" s="22"/>
      <c r="B389" s="6"/>
      <c r="C389" s="6"/>
      <c r="D389" s="6"/>
      <c r="E389" s="6"/>
      <c r="F389" s="6"/>
      <c r="G389" s="16"/>
      <c r="H389" s="16"/>
      <c r="I389" s="17"/>
      <c r="J389" s="17"/>
      <c r="K389" s="17"/>
      <c r="L389" s="6"/>
      <c r="M389" s="6"/>
      <c r="N389" s="16"/>
      <c r="O389" s="6"/>
      <c r="P389" s="16"/>
      <c r="Q389" s="6"/>
      <c r="R389" s="6"/>
      <c r="S389" s="6"/>
    </row>
    <row r="390">
      <c r="A390" s="22"/>
      <c r="B390" s="6"/>
      <c r="C390" s="6"/>
      <c r="D390" s="6"/>
      <c r="E390" s="6"/>
      <c r="F390" s="6"/>
      <c r="G390" s="16"/>
      <c r="H390" s="16"/>
      <c r="I390" s="17"/>
      <c r="J390" s="17"/>
      <c r="K390" s="17"/>
      <c r="L390" s="6"/>
      <c r="M390" s="6"/>
      <c r="N390" s="16"/>
      <c r="O390" s="6"/>
      <c r="P390" s="16"/>
      <c r="Q390" s="6"/>
      <c r="R390" s="6"/>
      <c r="S390" s="6"/>
    </row>
    <row r="391">
      <c r="A391" s="22"/>
      <c r="B391" s="6"/>
      <c r="C391" s="6"/>
      <c r="D391" s="6"/>
      <c r="E391" s="6"/>
      <c r="F391" s="6"/>
      <c r="G391" s="16"/>
      <c r="H391" s="16"/>
      <c r="I391" s="17"/>
      <c r="J391" s="17"/>
      <c r="K391" s="17"/>
      <c r="L391" s="6"/>
      <c r="M391" s="6"/>
      <c r="N391" s="16"/>
      <c r="O391" s="6"/>
      <c r="P391" s="16"/>
      <c r="Q391" s="6"/>
      <c r="R391" s="6"/>
      <c r="S391" s="6"/>
    </row>
    <row r="392">
      <c r="A392" s="22"/>
      <c r="B392" s="6"/>
      <c r="C392" s="6"/>
      <c r="D392" s="6"/>
      <c r="E392" s="6"/>
      <c r="F392" s="6"/>
      <c r="G392" s="16"/>
      <c r="H392" s="16"/>
      <c r="I392" s="17"/>
      <c r="J392" s="17"/>
      <c r="K392" s="17"/>
      <c r="L392" s="6"/>
      <c r="M392" s="6"/>
      <c r="N392" s="16"/>
      <c r="O392" s="6"/>
      <c r="P392" s="16"/>
      <c r="Q392" s="6"/>
      <c r="R392" s="6"/>
      <c r="S392" s="6"/>
    </row>
    <row r="393">
      <c r="A393" s="22"/>
      <c r="B393" s="6"/>
      <c r="C393" s="6"/>
      <c r="D393" s="6"/>
      <c r="E393" s="6"/>
      <c r="F393" s="6"/>
      <c r="G393" s="16"/>
      <c r="H393" s="16"/>
      <c r="I393" s="17"/>
      <c r="J393" s="17"/>
      <c r="K393" s="17"/>
      <c r="L393" s="6"/>
      <c r="M393" s="6"/>
      <c r="N393" s="16"/>
      <c r="O393" s="6"/>
      <c r="P393" s="16"/>
      <c r="Q393" s="6"/>
      <c r="R393" s="6"/>
      <c r="S393" s="6"/>
    </row>
    <row r="394">
      <c r="A394" s="22"/>
      <c r="B394" s="6"/>
      <c r="C394" s="6"/>
      <c r="D394" s="6"/>
      <c r="E394" s="6"/>
      <c r="F394" s="6"/>
      <c r="G394" s="16"/>
      <c r="H394" s="16"/>
      <c r="I394" s="17"/>
      <c r="J394" s="17"/>
      <c r="K394" s="17"/>
      <c r="L394" s="6"/>
      <c r="M394" s="6"/>
      <c r="N394" s="16"/>
      <c r="O394" s="6"/>
      <c r="P394" s="16"/>
      <c r="Q394" s="6"/>
      <c r="R394" s="6"/>
      <c r="S394" s="6"/>
    </row>
    <row r="395">
      <c r="A395" s="22"/>
      <c r="B395" s="6"/>
      <c r="C395" s="6"/>
      <c r="D395" s="6"/>
      <c r="E395" s="6"/>
      <c r="F395" s="6"/>
      <c r="G395" s="16"/>
      <c r="H395" s="16"/>
      <c r="I395" s="17"/>
      <c r="J395" s="17"/>
      <c r="K395" s="17"/>
      <c r="L395" s="6"/>
      <c r="M395" s="6"/>
      <c r="N395" s="16"/>
      <c r="O395" s="6"/>
      <c r="P395" s="16"/>
      <c r="Q395" s="6"/>
      <c r="R395" s="6"/>
      <c r="S395" s="6"/>
    </row>
    <row r="396">
      <c r="A396" s="22"/>
      <c r="B396" s="6"/>
      <c r="C396" s="6"/>
      <c r="D396" s="6"/>
      <c r="E396" s="6"/>
      <c r="F396" s="6"/>
      <c r="G396" s="16"/>
      <c r="H396" s="16"/>
      <c r="I396" s="17"/>
      <c r="J396" s="17"/>
      <c r="K396" s="17"/>
      <c r="L396" s="6"/>
      <c r="M396" s="6"/>
      <c r="N396" s="16"/>
      <c r="O396" s="6"/>
      <c r="P396" s="16"/>
      <c r="Q396" s="6"/>
      <c r="R396" s="6"/>
      <c r="S396" s="6"/>
    </row>
    <row r="397">
      <c r="A397" s="22"/>
      <c r="B397" s="6"/>
      <c r="C397" s="6"/>
      <c r="D397" s="6"/>
      <c r="E397" s="6"/>
      <c r="F397" s="6"/>
      <c r="G397" s="16"/>
      <c r="H397" s="16"/>
      <c r="I397" s="17"/>
      <c r="J397" s="17"/>
      <c r="K397" s="17"/>
      <c r="L397" s="6"/>
      <c r="M397" s="6"/>
      <c r="N397" s="16"/>
      <c r="O397" s="6"/>
      <c r="P397" s="16"/>
      <c r="Q397" s="6"/>
      <c r="R397" s="6"/>
      <c r="S397" s="6"/>
    </row>
    <row r="398">
      <c r="A398" s="22"/>
      <c r="B398" s="6"/>
      <c r="C398" s="6"/>
      <c r="D398" s="6"/>
      <c r="E398" s="6"/>
      <c r="F398" s="6"/>
      <c r="G398" s="16"/>
      <c r="H398" s="16"/>
      <c r="I398" s="17"/>
      <c r="J398" s="17"/>
      <c r="K398" s="17"/>
      <c r="L398" s="6"/>
      <c r="M398" s="6"/>
      <c r="N398" s="16"/>
      <c r="O398" s="6"/>
      <c r="P398" s="16"/>
      <c r="Q398" s="6"/>
      <c r="R398" s="6"/>
      <c r="S398" s="6"/>
    </row>
    <row r="399">
      <c r="A399" s="22"/>
      <c r="B399" s="6"/>
      <c r="C399" s="6"/>
      <c r="D399" s="6"/>
      <c r="E399" s="6"/>
      <c r="F399" s="6"/>
      <c r="G399" s="16"/>
      <c r="H399" s="16"/>
      <c r="I399" s="17"/>
      <c r="J399" s="17"/>
      <c r="K399" s="17"/>
      <c r="L399" s="6"/>
      <c r="M399" s="6"/>
      <c r="N399" s="16"/>
      <c r="O399" s="6"/>
      <c r="P399" s="16"/>
      <c r="Q399" s="6"/>
      <c r="R399" s="6"/>
      <c r="S399" s="6"/>
    </row>
    <row r="400">
      <c r="A400" s="22"/>
      <c r="B400" s="6"/>
      <c r="C400" s="6"/>
      <c r="D400" s="6"/>
      <c r="E400" s="6"/>
      <c r="F400" s="6"/>
      <c r="G400" s="16"/>
      <c r="H400" s="16"/>
      <c r="I400" s="17"/>
      <c r="J400" s="17"/>
      <c r="K400" s="17"/>
      <c r="L400" s="6"/>
      <c r="M400" s="6"/>
      <c r="N400" s="16"/>
      <c r="O400" s="6"/>
      <c r="P400" s="16"/>
      <c r="Q400" s="6"/>
      <c r="R400" s="6"/>
      <c r="S400" s="6"/>
    </row>
    <row r="401">
      <c r="A401" s="22"/>
      <c r="B401" s="6"/>
      <c r="C401" s="6"/>
      <c r="D401" s="6"/>
      <c r="E401" s="6"/>
      <c r="F401" s="6"/>
      <c r="G401" s="16"/>
      <c r="H401" s="16"/>
      <c r="I401" s="17"/>
      <c r="J401" s="17"/>
      <c r="K401" s="17"/>
      <c r="L401" s="6"/>
      <c r="M401" s="6"/>
      <c r="N401" s="16"/>
      <c r="O401" s="6"/>
      <c r="P401" s="16"/>
      <c r="Q401" s="6"/>
      <c r="R401" s="6"/>
      <c r="S401" s="6"/>
    </row>
    <row r="402">
      <c r="A402" s="22"/>
      <c r="B402" s="6"/>
      <c r="C402" s="6"/>
      <c r="D402" s="6"/>
      <c r="E402" s="6"/>
      <c r="F402" s="6"/>
      <c r="G402" s="16"/>
      <c r="H402" s="16"/>
      <c r="I402" s="17"/>
      <c r="J402" s="17"/>
      <c r="K402" s="17"/>
      <c r="L402" s="6"/>
      <c r="M402" s="6"/>
      <c r="N402" s="16"/>
      <c r="O402" s="6"/>
      <c r="P402" s="16"/>
      <c r="Q402" s="6"/>
      <c r="R402" s="6"/>
      <c r="S402" s="6"/>
    </row>
    <row r="403">
      <c r="A403" s="22"/>
      <c r="B403" s="6"/>
      <c r="C403" s="6"/>
      <c r="D403" s="6"/>
      <c r="E403" s="6"/>
      <c r="F403" s="6"/>
      <c r="G403" s="16"/>
      <c r="H403" s="16"/>
      <c r="I403" s="17"/>
      <c r="J403" s="17"/>
      <c r="K403" s="17"/>
      <c r="L403" s="6"/>
      <c r="M403" s="6"/>
      <c r="N403" s="16"/>
      <c r="O403" s="6"/>
      <c r="P403" s="16"/>
      <c r="Q403" s="6"/>
      <c r="R403" s="6"/>
      <c r="S403" s="6"/>
    </row>
    <row r="404">
      <c r="A404" s="22"/>
      <c r="B404" s="6"/>
      <c r="C404" s="6"/>
      <c r="D404" s="6"/>
      <c r="E404" s="6"/>
      <c r="F404" s="6"/>
      <c r="G404" s="16"/>
      <c r="H404" s="16"/>
      <c r="I404" s="17"/>
      <c r="J404" s="17"/>
      <c r="K404" s="17"/>
      <c r="L404" s="6"/>
      <c r="M404" s="6"/>
      <c r="N404" s="16"/>
      <c r="O404" s="6"/>
      <c r="P404" s="16"/>
      <c r="Q404" s="6"/>
      <c r="R404" s="6"/>
      <c r="S404" s="6"/>
    </row>
    <row r="405">
      <c r="A405" s="22"/>
      <c r="B405" s="6"/>
      <c r="C405" s="6"/>
      <c r="D405" s="6"/>
      <c r="E405" s="6"/>
      <c r="F405" s="6"/>
      <c r="G405" s="16"/>
      <c r="H405" s="16"/>
      <c r="I405" s="17"/>
      <c r="J405" s="17"/>
      <c r="K405" s="17"/>
      <c r="L405" s="6"/>
      <c r="M405" s="6"/>
      <c r="N405" s="16"/>
      <c r="O405" s="6"/>
      <c r="P405" s="16"/>
      <c r="Q405" s="6"/>
      <c r="R405" s="6"/>
      <c r="S405" s="6"/>
    </row>
    <row r="406">
      <c r="A406" s="22"/>
      <c r="B406" s="6"/>
      <c r="C406" s="6"/>
      <c r="D406" s="6"/>
      <c r="E406" s="6"/>
      <c r="F406" s="6"/>
      <c r="G406" s="16"/>
      <c r="H406" s="16"/>
      <c r="I406" s="17"/>
      <c r="J406" s="17"/>
      <c r="K406" s="17"/>
      <c r="L406" s="6"/>
      <c r="M406" s="6"/>
      <c r="N406" s="16"/>
      <c r="O406" s="6"/>
      <c r="P406" s="16"/>
      <c r="Q406" s="6"/>
      <c r="R406" s="6"/>
      <c r="S406" s="6"/>
    </row>
    <row r="407">
      <c r="A407" s="22"/>
      <c r="B407" s="6"/>
      <c r="C407" s="6"/>
      <c r="D407" s="6"/>
      <c r="E407" s="6"/>
      <c r="F407" s="6"/>
      <c r="G407" s="16"/>
      <c r="H407" s="16"/>
      <c r="I407" s="17"/>
      <c r="J407" s="17"/>
      <c r="K407" s="17"/>
      <c r="L407" s="6"/>
      <c r="M407" s="6"/>
      <c r="N407" s="16"/>
      <c r="O407" s="6"/>
      <c r="P407" s="16"/>
      <c r="Q407" s="6"/>
      <c r="R407" s="6"/>
      <c r="S407" s="6"/>
    </row>
    <row r="408">
      <c r="A408" s="22"/>
      <c r="B408" s="6"/>
      <c r="C408" s="6"/>
      <c r="D408" s="6"/>
      <c r="E408" s="6"/>
      <c r="F408" s="6"/>
      <c r="G408" s="16"/>
      <c r="H408" s="16"/>
      <c r="I408" s="17"/>
      <c r="J408" s="17"/>
      <c r="K408" s="17"/>
      <c r="L408" s="6"/>
      <c r="M408" s="6"/>
      <c r="N408" s="16"/>
      <c r="O408" s="6"/>
      <c r="P408" s="16"/>
      <c r="Q408" s="6"/>
      <c r="R408" s="6"/>
      <c r="S408" s="6"/>
    </row>
    <row r="409">
      <c r="A409" s="22"/>
      <c r="B409" s="6"/>
      <c r="C409" s="6"/>
      <c r="D409" s="6"/>
      <c r="E409" s="6"/>
      <c r="F409" s="6"/>
      <c r="G409" s="16"/>
      <c r="H409" s="16"/>
      <c r="I409" s="17"/>
      <c r="J409" s="17"/>
      <c r="K409" s="17"/>
      <c r="L409" s="6"/>
      <c r="M409" s="6"/>
      <c r="N409" s="16"/>
      <c r="O409" s="6"/>
      <c r="P409" s="16"/>
      <c r="Q409" s="6"/>
      <c r="R409" s="6"/>
      <c r="S409" s="6"/>
    </row>
    <row r="410">
      <c r="A410" s="22"/>
      <c r="B410" s="6"/>
      <c r="C410" s="6"/>
      <c r="D410" s="6"/>
      <c r="E410" s="6"/>
      <c r="F410" s="6"/>
      <c r="G410" s="16"/>
      <c r="H410" s="16"/>
      <c r="I410" s="17"/>
      <c r="J410" s="17"/>
      <c r="K410" s="17"/>
      <c r="L410" s="6"/>
      <c r="M410" s="6"/>
      <c r="N410" s="16"/>
      <c r="O410" s="6"/>
      <c r="P410" s="16"/>
      <c r="Q410" s="6"/>
      <c r="R410" s="6"/>
      <c r="S410" s="6"/>
    </row>
    <row r="411">
      <c r="A411" s="22"/>
      <c r="B411" s="6"/>
      <c r="C411" s="6"/>
      <c r="D411" s="6"/>
      <c r="E411" s="6"/>
      <c r="F411" s="6"/>
      <c r="G411" s="16"/>
      <c r="H411" s="16"/>
      <c r="I411" s="17"/>
      <c r="J411" s="17"/>
      <c r="K411" s="17"/>
      <c r="L411" s="6"/>
      <c r="M411" s="6"/>
      <c r="N411" s="16"/>
      <c r="O411" s="6"/>
      <c r="P411" s="16"/>
      <c r="Q411" s="6"/>
      <c r="R411" s="6"/>
      <c r="S411" s="6"/>
    </row>
    <row r="412">
      <c r="A412" s="22"/>
      <c r="B412" s="6"/>
      <c r="C412" s="6"/>
      <c r="D412" s="6"/>
      <c r="E412" s="6"/>
      <c r="F412" s="6"/>
      <c r="G412" s="16"/>
      <c r="H412" s="16"/>
      <c r="I412" s="17"/>
      <c r="J412" s="17"/>
      <c r="K412" s="17"/>
      <c r="L412" s="6"/>
      <c r="M412" s="6"/>
      <c r="N412" s="16"/>
      <c r="O412" s="6"/>
      <c r="P412" s="16"/>
      <c r="Q412" s="6"/>
      <c r="R412" s="6"/>
      <c r="S412" s="6"/>
    </row>
    <row r="413">
      <c r="A413" s="22"/>
      <c r="B413" s="6"/>
      <c r="C413" s="6"/>
      <c r="D413" s="6"/>
      <c r="E413" s="6"/>
      <c r="F413" s="6"/>
      <c r="G413" s="16"/>
      <c r="H413" s="16"/>
      <c r="I413" s="17"/>
      <c r="J413" s="17"/>
      <c r="K413" s="17"/>
      <c r="L413" s="6"/>
      <c r="M413" s="6"/>
      <c r="N413" s="16"/>
      <c r="O413" s="6"/>
      <c r="P413" s="16"/>
      <c r="Q413" s="6"/>
      <c r="R413" s="6"/>
      <c r="S413" s="6"/>
    </row>
    <row r="414">
      <c r="A414" s="22"/>
      <c r="B414" s="6"/>
      <c r="C414" s="6"/>
      <c r="D414" s="6"/>
      <c r="E414" s="6"/>
      <c r="F414" s="6"/>
      <c r="G414" s="16"/>
      <c r="H414" s="16"/>
      <c r="I414" s="17"/>
      <c r="J414" s="17"/>
      <c r="K414" s="17"/>
      <c r="L414" s="6"/>
      <c r="M414" s="6"/>
      <c r="N414" s="16"/>
      <c r="O414" s="6"/>
      <c r="P414" s="16"/>
      <c r="Q414" s="6"/>
      <c r="R414" s="6"/>
      <c r="S414" s="6"/>
    </row>
    <row r="415">
      <c r="A415" s="22"/>
      <c r="B415" s="6"/>
      <c r="C415" s="6"/>
      <c r="D415" s="6"/>
      <c r="E415" s="6"/>
      <c r="F415" s="6"/>
      <c r="G415" s="16"/>
      <c r="H415" s="16"/>
      <c r="I415" s="17"/>
      <c r="J415" s="17"/>
      <c r="K415" s="17"/>
      <c r="L415" s="6"/>
      <c r="M415" s="6"/>
      <c r="N415" s="16"/>
      <c r="O415" s="6"/>
      <c r="P415" s="16"/>
      <c r="Q415" s="6"/>
      <c r="R415" s="6"/>
      <c r="S415" s="6"/>
    </row>
    <row r="416">
      <c r="A416" s="22"/>
      <c r="B416" s="6"/>
      <c r="C416" s="6"/>
      <c r="D416" s="6"/>
      <c r="E416" s="6"/>
      <c r="F416" s="6"/>
      <c r="G416" s="16"/>
      <c r="H416" s="16"/>
      <c r="I416" s="17"/>
      <c r="J416" s="17"/>
      <c r="K416" s="17"/>
      <c r="L416" s="6"/>
      <c r="M416" s="6"/>
      <c r="N416" s="16"/>
      <c r="O416" s="6"/>
      <c r="P416" s="16"/>
      <c r="Q416" s="6"/>
      <c r="R416" s="6"/>
      <c r="S416" s="6"/>
    </row>
    <row r="417">
      <c r="A417" s="22"/>
      <c r="B417" s="6"/>
      <c r="C417" s="6"/>
      <c r="D417" s="6"/>
      <c r="E417" s="6"/>
      <c r="F417" s="6"/>
      <c r="G417" s="16"/>
      <c r="H417" s="16"/>
      <c r="I417" s="17"/>
      <c r="J417" s="17"/>
      <c r="K417" s="17"/>
      <c r="L417" s="6"/>
      <c r="M417" s="6"/>
      <c r="N417" s="16"/>
      <c r="O417" s="6"/>
      <c r="P417" s="16"/>
      <c r="Q417" s="6"/>
      <c r="R417" s="6"/>
      <c r="S417" s="6"/>
    </row>
    <row r="418">
      <c r="A418" s="22"/>
      <c r="B418" s="6"/>
      <c r="C418" s="6"/>
      <c r="D418" s="6"/>
      <c r="E418" s="6"/>
      <c r="F418" s="6"/>
      <c r="G418" s="16"/>
      <c r="H418" s="16"/>
      <c r="I418" s="17"/>
      <c r="J418" s="17"/>
      <c r="K418" s="17"/>
      <c r="L418" s="6"/>
      <c r="M418" s="6"/>
      <c r="N418" s="16"/>
      <c r="O418" s="6"/>
      <c r="P418" s="16"/>
      <c r="Q418" s="6"/>
      <c r="R418" s="6"/>
      <c r="S418" s="6"/>
    </row>
    <row r="419">
      <c r="A419" s="22"/>
      <c r="B419" s="6"/>
      <c r="C419" s="6"/>
      <c r="D419" s="6"/>
      <c r="E419" s="6"/>
      <c r="F419" s="6"/>
      <c r="G419" s="16"/>
      <c r="H419" s="16"/>
      <c r="I419" s="17"/>
      <c r="J419" s="17"/>
      <c r="K419" s="17"/>
      <c r="L419" s="6"/>
      <c r="M419" s="6"/>
      <c r="N419" s="16"/>
      <c r="O419" s="6"/>
      <c r="P419" s="16"/>
      <c r="Q419" s="6"/>
      <c r="R419" s="6"/>
      <c r="S419" s="6"/>
    </row>
    <row r="420">
      <c r="A420" s="22"/>
      <c r="B420" s="6"/>
      <c r="C420" s="6"/>
      <c r="D420" s="6"/>
      <c r="E420" s="6"/>
      <c r="F420" s="6"/>
      <c r="G420" s="16"/>
      <c r="H420" s="16"/>
      <c r="I420" s="17"/>
      <c r="J420" s="17"/>
      <c r="K420" s="17"/>
      <c r="L420" s="6"/>
      <c r="M420" s="6"/>
      <c r="N420" s="16"/>
      <c r="O420" s="6"/>
      <c r="P420" s="16"/>
      <c r="Q420" s="6"/>
      <c r="R420" s="6"/>
      <c r="S420" s="6"/>
    </row>
    <row r="421">
      <c r="A421" s="22"/>
      <c r="B421" s="6"/>
      <c r="C421" s="6"/>
      <c r="D421" s="6"/>
      <c r="E421" s="6"/>
      <c r="F421" s="6"/>
      <c r="G421" s="16"/>
      <c r="H421" s="16"/>
      <c r="I421" s="17"/>
      <c r="J421" s="17"/>
      <c r="K421" s="17"/>
      <c r="L421" s="6"/>
      <c r="M421" s="6"/>
      <c r="N421" s="16"/>
      <c r="O421" s="6"/>
      <c r="P421" s="16"/>
      <c r="Q421" s="6"/>
      <c r="R421" s="6"/>
      <c r="S421" s="6"/>
    </row>
    <row r="422">
      <c r="A422" s="22"/>
      <c r="B422" s="6"/>
      <c r="C422" s="6"/>
      <c r="D422" s="6"/>
      <c r="E422" s="6"/>
      <c r="F422" s="6"/>
      <c r="G422" s="16"/>
      <c r="H422" s="16"/>
      <c r="I422" s="17"/>
      <c r="J422" s="17"/>
      <c r="K422" s="17"/>
      <c r="L422" s="6"/>
      <c r="M422" s="6"/>
      <c r="N422" s="16"/>
      <c r="O422" s="6"/>
      <c r="P422" s="16"/>
      <c r="Q422" s="6"/>
      <c r="R422" s="6"/>
      <c r="S422" s="6"/>
    </row>
    <row r="423">
      <c r="A423" s="22"/>
      <c r="B423" s="6"/>
      <c r="C423" s="6"/>
      <c r="D423" s="6"/>
      <c r="E423" s="6"/>
      <c r="F423" s="6"/>
      <c r="G423" s="16"/>
      <c r="H423" s="16"/>
      <c r="I423" s="17"/>
      <c r="J423" s="17"/>
      <c r="K423" s="17"/>
      <c r="L423" s="6"/>
      <c r="M423" s="6"/>
      <c r="N423" s="16"/>
      <c r="O423" s="6"/>
      <c r="P423" s="16"/>
      <c r="Q423" s="6"/>
      <c r="R423" s="6"/>
      <c r="S423" s="6"/>
    </row>
    <row r="424">
      <c r="A424" s="22"/>
      <c r="B424" s="6"/>
      <c r="C424" s="6"/>
      <c r="D424" s="6"/>
      <c r="E424" s="6"/>
      <c r="F424" s="6"/>
      <c r="G424" s="16"/>
      <c r="H424" s="16"/>
      <c r="I424" s="17"/>
      <c r="J424" s="17"/>
      <c r="K424" s="17"/>
      <c r="L424" s="6"/>
      <c r="M424" s="6"/>
      <c r="N424" s="16"/>
      <c r="O424" s="6"/>
      <c r="P424" s="16"/>
      <c r="Q424" s="6"/>
      <c r="R424" s="6"/>
      <c r="S424" s="6"/>
    </row>
    <row r="425">
      <c r="A425" s="22"/>
      <c r="B425" s="6"/>
      <c r="C425" s="6"/>
      <c r="D425" s="6"/>
      <c r="E425" s="6"/>
      <c r="F425" s="6"/>
      <c r="G425" s="16"/>
      <c r="H425" s="16"/>
      <c r="I425" s="17"/>
      <c r="J425" s="17"/>
      <c r="K425" s="17"/>
      <c r="L425" s="6"/>
      <c r="M425" s="6"/>
      <c r="N425" s="16"/>
      <c r="O425" s="6"/>
      <c r="P425" s="16"/>
      <c r="Q425" s="6"/>
      <c r="R425" s="6"/>
      <c r="S425" s="6"/>
    </row>
    <row r="426">
      <c r="A426" s="22"/>
      <c r="B426" s="6"/>
      <c r="C426" s="6"/>
      <c r="D426" s="6"/>
      <c r="E426" s="6"/>
      <c r="F426" s="6"/>
      <c r="G426" s="16"/>
      <c r="H426" s="16"/>
      <c r="I426" s="17"/>
      <c r="J426" s="17"/>
      <c r="K426" s="17"/>
      <c r="L426" s="6"/>
      <c r="M426" s="6"/>
      <c r="N426" s="16"/>
      <c r="O426" s="6"/>
      <c r="P426" s="16"/>
      <c r="Q426" s="6"/>
      <c r="R426" s="6"/>
      <c r="S426" s="6"/>
    </row>
    <row r="427">
      <c r="A427" s="22"/>
      <c r="B427" s="6"/>
      <c r="C427" s="6"/>
      <c r="D427" s="6"/>
      <c r="E427" s="6"/>
      <c r="F427" s="6"/>
      <c r="G427" s="16"/>
      <c r="H427" s="16"/>
      <c r="I427" s="17"/>
      <c r="J427" s="17"/>
      <c r="K427" s="17"/>
      <c r="L427" s="6"/>
      <c r="M427" s="6"/>
      <c r="N427" s="16"/>
      <c r="O427" s="6"/>
      <c r="P427" s="16"/>
      <c r="Q427" s="6"/>
      <c r="R427" s="6"/>
      <c r="S427" s="6"/>
    </row>
    <row r="428">
      <c r="A428" s="22"/>
      <c r="B428" s="6"/>
      <c r="C428" s="6"/>
      <c r="D428" s="6"/>
      <c r="E428" s="6"/>
      <c r="F428" s="6"/>
      <c r="G428" s="16"/>
      <c r="H428" s="16"/>
      <c r="I428" s="17"/>
      <c r="J428" s="17"/>
      <c r="K428" s="17"/>
      <c r="L428" s="6"/>
      <c r="M428" s="6"/>
      <c r="N428" s="16"/>
      <c r="O428" s="6"/>
      <c r="P428" s="16"/>
      <c r="Q428" s="6"/>
      <c r="R428" s="6"/>
      <c r="S428" s="6"/>
    </row>
    <row r="429">
      <c r="A429" s="22"/>
      <c r="B429" s="6"/>
      <c r="C429" s="6"/>
      <c r="D429" s="6"/>
      <c r="E429" s="6"/>
      <c r="F429" s="6"/>
      <c r="G429" s="16"/>
      <c r="H429" s="16"/>
      <c r="I429" s="17"/>
      <c r="J429" s="17"/>
      <c r="K429" s="17"/>
      <c r="L429" s="6"/>
      <c r="M429" s="6"/>
      <c r="N429" s="16"/>
      <c r="O429" s="6"/>
      <c r="P429" s="16"/>
      <c r="Q429" s="6"/>
      <c r="R429" s="6"/>
      <c r="S429" s="6"/>
    </row>
    <row r="430">
      <c r="A430" s="22"/>
      <c r="B430" s="6"/>
      <c r="C430" s="6"/>
      <c r="D430" s="6"/>
      <c r="E430" s="6"/>
      <c r="F430" s="6"/>
      <c r="G430" s="16"/>
      <c r="H430" s="16"/>
      <c r="I430" s="17"/>
      <c r="J430" s="17"/>
      <c r="K430" s="17"/>
      <c r="L430" s="6"/>
      <c r="M430" s="6"/>
      <c r="N430" s="16"/>
      <c r="O430" s="6"/>
      <c r="P430" s="16"/>
      <c r="Q430" s="6"/>
      <c r="R430" s="6"/>
      <c r="S430" s="6"/>
    </row>
    <row r="431">
      <c r="A431" s="22"/>
      <c r="B431" s="6"/>
      <c r="C431" s="6"/>
      <c r="D431" s="6"/>
      <c r="E431" s="6"/>
      <c r="F431" s="6"/>
      <c r="G431" s="16"/>
      <c r="H431" s="16"/>
      <c r="I431" s="17"/>
      <c r="J431" s="17"/>
      <c r="K431" s="17"/>
      <c r="L431" s="6"/>
      <c r="M431" s="6"/>
      <c r="N431" s="16"/>
      <c r="O431" s="6"/>
      <c r="P431" s="16"/>
      <c r="Q431" s="6"/>
      <c r="R431" s="6"/>
      <c r="S431" s="6"/>
    </row>
    <row r="432">
      <c r="A432" s="22"/>
      <c r="B432" s="6"/>
      <c r="C432" s="6"/>
      <c r="D432" s="6"/>
      <c r="E432" s="6"/>
      <c r="F432" s="6"/>
      <c r="G432" s="16"/>
      <c r="H432" s="16"/>
      <c r="I432" s="17"/>
      <c r="J432" s="17"/>
      <c r="K432" s="17"/>
      <c r="L432" s="6"/>
      <c r="M432" s="6"/>
      <c r="N432" s="16"/>
      <c r="O432" s="6"/>
      <c r="P432" s="16"/>
      <c r="Q432" s="6"/>
      <c r="R432" s="6"/>
      <c r="S432" s="6"/>
    </row>
    <row r="433">
      <c r="A433" s="22"/>
      <c r="B433" s="6"/>
      <c r="C433" s="6"/>
      <c r="D433" s="6"/>
      <c r="E433" s="6"/>
      <c r="F433" s="6"/>
      <c r="G433" s="16"/>
      <c r="H433" s="16"/>
      <c r="I433" s="17"/>
      <c r="J433" s="17"/>
      <c r="K433" s="17"/>
      <c r="L433" s="6"/>
      <c r="M433" s="6"/>
      <c r="N433" s="16"/>
      <c r="O433" s="6"/>
      <c r="P433" s="16"/>
      <c r="Q433" s="6"/>
      <c r="R433" s="6"/>
      <c r="S433" s="6"/>
    </row>
    <row r="434">
      <c r="A434" s="22"/>
      <c r="B434" s="6"/>
      <c r="C434" s="6"/>
      <c r="D434" s="6"/>
      <c r="E434" s="6"/>
      <c r="F434" s="6"/>
      <c r="G434" s="16"/>
      <c r="H434" s="16"/>
      <c r="I434" s="17"/>
      <c r="J434" s="17"/>
      <c r="K434" s="17"/>
      <c r="L434" s="6"/>
      <c r="M434" s="6"/>
      <c r="N434" s="16"/>
      <c r="O434" s="6"/>
      <c r="P434" s="16"/>
      <c r="Q434" s="6"/>
      <c r="R434" s="6"/>
      <c r="S434" s="6"/>
    </row>
    <row r="435">
      <c r="A435" s="22"/>
      <c r="B435" s="6"/>
      <c r="C435" s="6"/>
      <c r="D435" s="6"/>
      <c r="E435" s="6"/>
      <c r="F435" s="6"/>
      <c r="G435" s="16"/>
      <c r="H435" s="16"/>
      <c r="I435" s="17"/>
      <c r="J435" s="17"/>
      <c r="K435" s="17"/>
      <c r="L435" s="6"/>
      <c r="M435" s="6"/>
      <c r="N435" s="16"/>
      <c r="O435" s="6"/>
      <c r="P435" s="16"/>
      <c r="Q435" s="6"/>
      <c r="R435" s="6"/>
      <c r="S435" s="6"/>
    </row>
    <row r="436">
      <c r="A436" s="22"/>
      <c r="B436" s="6"/>
      <c r="C436" s="6"/>
      <c r="D436" s="6"/>
      <c r="E436" s="6"/>
      <c r="F436" s="6"/>
      <c r="G436" s="16"/>
      <c r="H436" s="16"/>
      <c r="I436" s="17"/>
      <c r="J436" s="17"/>
      <c r="K436" s="17"/>
      <c r="L436" s="6"/>
      <c r="M436" s="6"/>
      <c r="N436" s="16"/>
      <c r="O436" s="6"/>
      <c r="P436" s="16"/>
      <c r="Q436" s="6"/>
      <c r="R436" s="6"/>
      <c r="S436" s="6"/>
    </row>
    <row r="437">
      <c r="A437" s="22"/>
      <c r="B437" s="6"/>
      <c r="C437" s="6"/>
      <c r="D437" s="6"/>
      <c r="E437" s="6"/>
      <c r="F437" s="6"/>
      <c r="G437" s="16"/>
      <c r="H437" s="16"/>
      <c r="I437" s="17"/>
      <c r="J437" s="17"/>
      <c r="K437" s="17"/>
      <c r="L437" s="6"/>
      <c r="M437" s="6"/>
      <c r="N437" s="16"/>
      <c r="O437" s="6"/>
      <c r="P437" s="16"/>
      <c r="Q437" s="6"/>
      <c r="R437" s="6"/>
      <c r="S437" s="6"/>
    </row>
    <row r="438">
      <c r="A438" s="22"/>
      <c r="B438" s="6"/>
      <c r="C438" s="6"/>
      <c r="D438" s="6"/>
      <c r="E438" s="6"/>
      <c r="F438" s="6"/>
      <c r="G438" s="16"/>
      <c r="H438" s="16"/>
      <c r="I438" s="17"/>
      <c r="J438" s="17"/>
      <c r="K438" s="17"/>
      <c r="L438" s="6"/>
      <c r="M438" s="6"/>
      <c r="N438" s="16"/>
      <c r="O438" s="6"/>
      <c r="P438" s="16"/>
      <c r="Q438" s="6"/>
      <c r="R438" s="6"/>
      <c r="S438" s="6"/>
    </row>
    <row r="439">
      <c r="A439" s="22"/>
      <c r="B439" s="6"/>
      <c r="C439" s="6"/>
      <c r="D439" s="6"/>
      <c r="E439" s="6"/>
      <c r="F439" s="6"/>
      <c r="G439" s="16"/>
      <c r="H439" s="16"/>
      <c r="I439" s="17"/>
      <c r="J439" s="17"/>
      <c r="K439" s="17"/>
      <c r="L439" s="6"/>
      <c r="M439" s="6"/>
      <c r="N439" s="16"/>
      <c r="O439" s="6"/>
      <c r="P439" s="16"/>
      <c r="Q439" s="6"/>
      <c r="R439" s="6"/>
      <c r="S439" s="6"/>
    </row>
    <row r="440">
      <c r="A440" s="22"/>
      <c r="B440" s="6"/>
      <c r="C440" s="6"/>
      <c r="D440" s="6"/>
      <c r="E440" s="6"/>
      <c r="F440" s="6"/>
      <c r="G440" s="16"/>
      <c r="H440" s="16"/>
      <c r="I440" s="17"/>
      <c r="J440" s="17"/>
      <c r="K440" s="17"/>
      <c r="L440" s="6"/>
      <c r="M440" s="6"/>
      <c r="N440" s="16"/>
      <c r="O440" s="6"/>
      <c r="P440" s="16"/>
      <c r="Q440" s="6"/>
      <c r="R440" s="6"/>
      <c r="S440" s="6"/>
    </row>
    <row r="441">
      <c r="A441" s="22"/>
      <c r="B441" s="6"/>
      <c r="C441" s="6"/>
      <c r="D441" s="6"/>
      <c r="E441" s="6"/>
      <c r="F441" s="6"/>
      <c r="G441" s="16"/>
      <c r="H441" s="16"/>
      <c r="I441" s="17"/>
      <c r="J441" s="17"/>
      <c r="K441" s="17"/>
      <c r="L441" s="6"/>
      <c r="M441" s="6"/>
      <c r="N441" s="16"/>
      <c r="O441" s="6"/>
      <c r="P441" s="16"/>
      <c r="Q441" s="6"/>
      <c r="R441" s="6"/>
      <c r="S441" s="6"/>
    </row>
    <row r="442">
      <c r="A442" s="22"/>
      <c r="B442" s="6"/>
      <c r="C442" s="6"/>
      <c r="D442" s="6"/>
      <c r="E442" s="6"/>
      <c r="F442" s="6"/>
      <c r="G442" s="16"/>
      <c r="H442" s="16"/>
      <c r="I442" s="17"/>
      <c r="J442" s="17"/>
      <c r="K442" s="17"/>
      <c r="L442" s="6"/>
      <c r="M442" s="6"/>
      <c r="N442" s="16"/>
      <c r="O442" s="6"/>
      <c r="P442" s="16"/>
      <c r="Q442" s="6"/>
      <c r="R442" s="6"/>
      <c r="S442" s="6"/>
    </row>
    <row r="443">
      <c r="A443" s="22"/>
      <c r="B443" s="6"/>
      <c r="C443" s="6"/>
      <c r="D443" s="6"/>
      <c r="E443" s="6"/>
      <c r="F443" s="6"/>
      <c r="G443" s="16"/>
      <c r="H443" s="16"/>
      <c r="I443" s="17"/>
      <c r="J443" s="17"/>
      <c r="K443" s="17"/>
      <c r="L443" s="6"/>
      <c r="M443" s="6"/>
      <c r="N443" s="16"/>
      <c r="O443" s="6"/>
      <c r="P443" s="16"/>
      <c r="Q443" s="6"/>
      <c r="R443" s="6"/>
      <c r="S443" s="6"/>
    </row>
    <row r="444">
      <c r="A444" s="22"/>
      <c r="B444" s="6"/>
      <c r="C444" s="6"/>
      <c r="D444" s="6"/>
      <c r="E444" s="6"/>
      <c r="F444" s="6"/>
      <c r="G444" s="16"/>
      <c r="H444" s="16"/>
      <c r="I444" s="17"/>
      <c r="J444" s="17"/>
      <c r="K444" s="17"/>
      <c r="L444" s="6"/>
      <c r="M444" s="6"/>
      <c r="N444" s="16"/>
      <c r="O444" s="6"/>
      <c r="P444" s="16"/>
      <c r="Q444" s="6"/>
      <c r="R444" s="6"/>
      <c r="S444" s="6"/>
    </row>
    <row r="445">
      <c r="A445" s="22"/>
      <c r="B445" s="6"/>
      <c r="C445" s="6"/>
      <c r="D445" s="6"/>
      <c r="E445" s="6"/>
      <c r="F445" s="6"/>
      <c r="G445" s="16"/>
      <c r="H445" s="16"/>
      <c r="I445" s="17"/>
      <c r="J445" s="17"/>
      <c r="K445" s="17"/>
      <c r="L445" s="6"/>
      <c r="M445" s="6"/>
      <c r="N445" s="16"/>
      <c r="O445" s="6"/>
      <c r="P445" s="16"/>
      <c r="Q445" s="6"/>
      <c r="R445" s="6"/>
      <c r="S445" s="6"/>
    </row>
    <row r="446">
      <c r="A446" s="22"/>
      <c r="B446" s="6"/>
      <c r="C446" s="6"/>
      <c r="D446" s="6"/>
      <c r="E446" s="6"/>
      <c r="F446" s="6"/>
      <c r="G446" s="16"/>
      <c r="H446" s="16"/>
      <c r="I446" s="17"/>
      <c r="J446" s="17"/>
      <c r="K446" s="17"/>
      <c r="L446" s="6"/>
      <c r="M446" s="6"/>
      <c r="N446" s="16"/>
      <c r="O446" s="6"/>
      <c r="P446" s="16"/>
      <c r="Q446" s="6"/>
      <c r="R446" s="6"/>
      <c r="S446" s="6"/>
    </row>
    <row r="447">
      <c r="A447" s="22"/>
      <c r="B447" s="6"/>
      <c r="C447" s="6"/>
      <c r="D447" s="6"/>
      <c r="E447" s="6"/>
      <c r="F447" s="6"/>
      <c r="G447" s="16"/>
      <c r="H447" s="16"/>
      <c r="I447" s="17"/>
      <c r="J447" s="17"/>
      <c r="K447" s="17"/>
      <c r="L447" s="6"/>
      <c r="M447" s="6"/>
      <c r="N447" s="16"/>
      <c r="O447" s="6"/>
      <c r="P447" s="16"/>
      <c r="Q447" s="6"/>
      <c r="R447" s="6"/>
      <c r="S447" s="6"/>
    </row>
    <row r="448">
      <c r="A448" s="22"/>
      <c r="B448" s="6"/>
      <c r="C448" s="6"/>
      <c r="D448" s="6"/>
      <c r="E448" s="6"/>
      <c r="F448" s="6"/>
      <c r="G448" s="16"/>
      <c r="H448" s="16"/>
      <c r="I448" s="17"/>
      <c r="J448" s="17"/>
      <c r="K448" s="17"/>
      <c r="L448" s="6"/>
      <c r="M448" s="6"/>
      <c r="N448" s="16"/>
      <c r="O448" s="6"/>
      <c r="P448" s="16"/>
      <c r="Q448" s="6"/>
      <c r="R448" s="6"/>
      <c r="S448" s="6"/>
    </row>
    <row r="449">
      <c r="A449" s="22"/>
      <c r="B449" s="6"/>
      <c r="C449" s="6"/>
      <c r="D449" s="6"/>
      <c r="E449" s="6"/>
      <c r="F449" s="6"/>
      <c r="G449" s="16"/>
      <c r="H449" s="16"/>
      <c r="I449" s="17"/>
      <c r="J449" s="17"/>
      <c r="K449" s="17"/>
      <c r="L449" s="6"/>
      <c r="M449" s="6"/>
      <c r="N449" s="16"/>
      <c r="O449" s="6"/>
      <c r="P449" s="16"/>
      <c r="Q449" s="6"/>
      <c r="R449" s="6"/>
      <c r="S449" s="6"/>
    </row>
    <row r="450">
      <c r="A450" s="22"/>
      <c r="B450" s="6"/>
      <c r="C450" s="6"/>
      <c r="D450" s="6"/>
      <c r="E450" s="6"/>
      <c r="F450" s="6"/>
      <c r="G450" s="16"/>
      <c r="H450" s="16"/>
      <c r="I450" s="17"/>
      <c r="J450" s="17"/>
      <c r="K450" s="17"/>
      <c r="L450" s="6"/>
      <c r="M450" s="6"/>
      <c r="N450" s="16"/>
      <c r="O450" s="6"/>
      <c r="P450" s="16"/>
      <c r="Q450" s="6"/>
      <c r="R450" s="6"/>
      <c r="S450" s="6"/>
    </row>
    <row r="451">
      <c r="A451" s="22"/>
      <c r="B451" s="6"/>
      <c r="C451" s="6"/>
      <c r="D451" s="6"/>
      <c r="E451" s="6"/>
      <c r="F451" s="6"/>
      <c r="G451" s="16"/>
      <c r="H451" s="16"/>
      <c r="I451" s="17"/>
      <c r="J451" s="17"/>
      <c r="K451" s="17"/>
      <c r="L451" s="6"/>
      <c r="M451" s="6"/>
      <c r="N451" s="16"/>
      <c r="O451" s="6"/>
      <c r="P451" s="16"/>
      <c r="Q451" s="6"/>
      <c r="R451" s="6"/>
      <c r="S451" s="6"/>
    </row>
    <row r="452">
      <c r="A452" s="22"/>
      <c r="B452" s="6"/>
      <c r="C452" s="6"/>
      <c r="D452" s="6"/>
      <c r="E452" s="6"/>
      <c r="F452" s="6"/>
      <c r="G452" s="16"/>
      <c r="H452" s="16"/>
      <c r="I452" s="17"/>
      <c r="J452" s="17"/>
      <c r="K452" s="17"/>
      <c r="L452" s="6"/>
      <c r="M452" s="6"/>
      <c r="N452" s="16"/>
      <c r="O452" s="6"/>
      <c r="P452" s="16"/>
      <c r="Q452" s="6"/>
      <c r="R452" s="6"/>
      <c r="S452" s="6"/>
    </row>
    <row r="453">
      <c r="A453" s="22"/>
      <c r="B453" s="6"/>
      <c r="C453" s="6"/>
      <c r="D453" s="6"/>
      <c r="E453" s="6"/>
      <c r="F453" s="6"/>
      <c r="G453" s="16"/>
      <c r="H453" s="16"/>
      <c r="I453" s="17"/>
      <c r="J453" s="17"/>
      <c r="K453" s="17"/>
      <c r="L453" s="6"/>
      <c r="M453" s="6"/>
      <c r="N453" s="16"/>
      <c r="O453" s="6"/>
      <c r="P453" s="16"/>
      <c r="Q453" s="6"/>
      <c r="R453" s="6"/>
      <c r="S453" s="6"/>
    </row>
    <row r="454">
      <c r="A454" s="22"/>
      <c r="B454" s="6"/>
      <c r="C454" s="6"/>
      <c r="D454" s="6"/>
      <c r="E454" s="6"/>
      <c r="F454" s="6"/>
      <c r="G454" s="16"/>
      <c r="H454" s="16"/>
      <c r="I454" s="17"/>
      <c r="J454" s="17"/>
      <c r="K454" s="17"/>
      <c r="L454" s="6"/>
      <c r="M454" s="6"/>
      <c r="N454" s="16"/>
      <c r="O454" s="6"/>
      <c r="P454" s="16"/>
      <c r="Q454" s="6"/>
      <c r="R454" s="6"/>
      <c r="S454" s="6"/>
    </row>
    <row r="455">
      <c r="A455" s="22"/>
      <c r="B455" s="6"/>
      <c r="C455" s="6"/>
      <c r="D455" s="6"/>
      <c r="E455" s="6"/>
      <c r="F455" s="6"/>
      <c r="G455" s="16"/>
      <c r="H455" s="16"/>
      <c r="I455" s="17"/>
      <c r="J455" s="17"/>
      <c r="K455" s="17"/>
      <c r="L455" s="6"/>
      <c r="M455" s="6"/>
      <c r="N455" s="16"/>
      <c r="O455" s="6"/>
      <c r="P455" s="16"/>
      <c r="Q455" s="6"/>
      <c r="R455" s="6"/>
      <c r="S455" s="6"/>
    </row>
    <row r="456">
      <c r="A456" s="22"/>
      <c r="B456" s="6"/>
      <c r="C456" s="6"/>
      <c r="D456" s="6"/>
      <c r="E456" s="6"/>
      <c r="F456" s="6"/>
      <c r="G456" s="16"/>
      <c r="H456" s="16"/>
      <c r="I456" s="17"/>
      <c r="J456" s="17"/>
      <c r="K456" s="17"/>
      <c r="L456" s="6"/>
      <c r="M456" s="6"/>
      <c r="N456" s="16"/>
      <c r="O456" s="6"/>
      <c r="P456" s="16"/>
      <c r="Q456" s="6"/>
      <c r="R456" s="6"/>
      <c r="S456" s="6"/>
    </row>
    <row r="457">
      <c r="A457" s="22"/>
      <c r="B457" s="6"/>
      <c r="C457" s="6"/>
      <c r="D457" s="6"/>
      <c r="E457" s="6"/>
      <c r="F457" s="6"/>
      <c r="G457" s="16"/>
      <c r="H457" s="16"/>
      <c r="I457" s="17"/>
      <c r="J457" s="17"/>
      <c r="K457" s="17"/>
      <c r="L457" s="6"/>
      <c r="M457" s="6"/>
      <c r="N457" s="16"/>
      <c r="O457" s="6"/>
      <c r="P457" s="16"/>
      <c r="Q457" s="6"/>
      <c r="R457" s="6"/>
      <c r="S457" s="6"/>
    </row>
    <row r="458">
      <c r="A458" s="22"/>
      <c r="B458" s="6"/>
      <c r="C458" s="6"/>
      <c r="D458" s="6"/>
      <c r="E458" s="6"/>
      <c r="F458" s="6"/>
      <c r="G458" s="16"/>
      <c r="H458" s="16"/>
      <c r="I458" s="17"/>
      <c r="J458" s="17"/>
      <c r="K458" s="17"/>
      <c r="L458" s="6"/>
      <c r="M458" s="6"/>
      <c r="N458" s="16"/>
      <c r="O458" s="6"/>
      <c r="P458" s="16"/>
      <c r="Q458" s="6"/>
      <c r="R458" s="6"/>
      <c r="S458" s="6"/>
    </row>
    <row r="459">
      <c r="A459" s="22"/>
      <c r="B459" s="6"/>
      <c r="C459" s="6"/>
      <c r="D459" s="6"/>
      <c r="E459" s="6"/>
      <c r="F459" s="6"/>
      <c r="G459" s="16"/>
      <c r="H459" s="16"/>
      <c r="I459" s="17"/>
      <c r="J459" s="17"/>
      <c r="K459" s="17"/>
      <c r="L459" s="6"/>
      <c r="M459" s="6"/>
      <c r="N459" s="16"/>
      <c r="O459" s="6"/>
      <c r="P459" s="16"/>
      <c r="Q459" s="6"/>
      <c r="R459" s="6"/>
      <c r="S459" s="6"/>
    </row>
    <row r="460">
      <c r="A460" s="22"/>
      <c r="B460" s="6"/>
      <c r="C460" s="6"/>
      <c r="D460" s="6"/>
      <c r="E460" s="6"/>
      <c r="F460" s="6"/>
      <c r="G460" s="16"/>
      <c r="H460" s="16"/>
      <c r="I460" s="17"/>
      <c r="J460" s="17"/>
      <c r="K460" s="17"/>
      <c r="L460" s="6"/>
      <c r="M460" s="6"/>
      <c r="N460" s="16"/>
      <c r="O460" s="6"/>
      <c r="P460" s="16"/>
      <c r="Q460" s="6"/>
      <c r="R460" s="6"/>
      <c r="S460" s="6"/>
    </row>
    <row r="461">
      <c r="A461" s="22"/>
      <c r="B461" s="6"/>
      <c r="C461" s="6"/>
      <c r="D461" s="6"/>
      <c r="E461" s="6"/>
      <c r="F461" s="6"/>
      <c r="G461" s="16"/>
      <c r="H461" s="16"/>
      <c r="I461" s="17"/>
      <c r="J461" s="17"/>
      <c r="K461" s="17"/>
      <c r="L461" s="6"/>
      <c r="M461" s="6"/>
      <c r="N461" s="16"/>
      <c r="O461" s="6"/>
      <c r="P461" s="16"/>
      <c r="Q461" s="6"/>
      <c r="R461" s="6"/>
      <c r="S461" s="6"/>
    </row>
    <row r="462">
      <c r="A462" s="22"/>
      <c r="B462" s="6"/>
      <c r="C462" s="6"/>
      <c r="D462" s="6"/>
      <c r="E462" s="6"/>
      <c r="F462" s="6"/>
      <c r="G462" s="16"/>
      <c r="H462" s="16"/>
      <c r="I462" s="17"/>
      <c r="J462" s="17"/>
      <c r="K462" s="17"/>
      <c r="L462" s="6"/>
      <c r="M462" s="6"/>
      <c r="N462" s="16"/>
      <c r="O462" s="6"/>
      <c r="P462" s="16"/>
      <c r="Q462" s="6"/>
      <c r="R462" s="6"/>
      <c r="S462" s="6"/>
    </row>
    <row r="463">
      <c r="A463" s="22"/>
      <c r="B463" s="6"/>
      <c r="C463" s="6"/>
      <c r="D463" s="6"/>
      <c r="E463" s="6"/>
      <c r="F463" s="6"/>
      <c r="G463" s="16"/>
      <c r="H463" s="16"/>
      <c r="I463" s="17"/>
      <c r="J463" s="17"/>
      <c r="K463" s="17"/>
      <c r="L463" s="6"/>
      <c r="M463" s="6"/>
      <c r="N463" s="16"/>
      <c r="O463" s="6"/>
      <c r="P463" s="16"/>
      <c r="Q463" s="6"/>
      <c r="R463" s="6"/>
      <c r="S463" s="6"/>
    </row>
    <row r="464">
      <c r="A464" s="22"/>
      <c r="B464" s="6"/>
      <c r="C464" s="6"/>
      <c r="D464" s="6"/>
      <c r="E464" s="6"/>
      <c r="F464" s="6"/>
      <c r="G464" s="16"/>
      <c r="H464" s="16"/>
      <c r="I464" s="17"/>
      <c r="J464" s="17"/>
      <c r="K464" s="17"/>
      <c r="L464" s="6"/>
      <c r="M464" s="6"/>
      <c r="N464" s="16"/>
      <c r="O464" s="6"/>
      <c r="P464" s="16"/>
      <c r="Q464" s="6"/>
      <c r="R464" s="6"/>
      <c r="S464" s="6"/>
    </row>
    <row r="465">
      <c r="A465" s="22"/>
      <c r="B465" s="6"/>
      <c r="C465" s="6"/>
      <c r="D465" s="6"/>
      <c r="E465" s="6"/>
      <c r="F465" s="6"/>
      <c r="G465" s="16"/>
      <c r="H465" s="16"/>
      <c r="I465" s="17"/>
      <c r="J465" s="17"/>
      <c r="K465" s="17"/>
      <c r="L465" s="6"/>
      <c r="M465" s="6"/>
      <c r="N465" s="16"/>
      <c r="O465" s="6"/>
      <c r="P465" s="16"/>
      <c r="Q465" s="6"/>
      <c r="R465" s="6"/>
      <c r="S465" s="6"/>
    </row>
    <row r="466">
      <c r="A466" s="22"/>
      <c r="B466" s="6"/>
      <c r="C466" s="6"/>
      <c r="D466" s="6"/>
      <c r="E466" s="6"/>
      <c r="F466" s="6"/>
      <c r="G466" s="16"/>
      <c r="H466" s="16"/>
      <c r="I466" s="17"/>
      <c r="J466" s="17"/>
      <c r="K466" s="17"/>
      <c r="L466" s="6"/>
      <c r="M466" s="6"/>
      <c r="N466" s="16"/>
      <c r="O466" s="6"/>
      <c r="P466" s="16"/>
      <c r="Q466" s="6"/>
      <c r="R466" s="6"/>
      <c r="S466" s="6"/>
    </row>
    <row r="467">
      <c r="A467" s="22"/>
      <c r="B467" s="6"/>
      <c r="C467" s="6"/>
      <c r="D467" s="6"/>
      <c r="E467" s="6"/>
      <c r="F467" s="6"/>
      <c r="G467" s="16"/>
      <c r="H467" s="16"/>
      <c r="I467" s="17"/>
      <c r="J467" s="17"/>
      <c r="K467" s="17"/>
      <c r="L467" s="6"/>
      <c r="M467" s="6"/>
      <c r="N467" s="16"/>
      <c r="O467" s="6"/>
      <c r="P467" s="16"/>
      <c r="Q467" s="6"/>
      <c r="R467" s="6"/>
      <c r="S467" s="6"/>
    </row>
    <row r="468">
      <c r="A468" s="22"/>
      <c r="B468" s="6"/>
      <c r="C468" s="6"/>
      <c r="D468" s="6"/>
      <c r="E468" s="6"/>
      <c r="F468" s="6"/>
      <c r="G468" s="16"/>
      <c r="H468" s="16"/>
      <c r="I468" s="17"/>
      <c r="J468" s="17"/>
      <c r="K468" s="17"/>
      <c r="L468" s="6"/>
      <c r="M468" s="6"/>
      <c r="N468" s="16"/>
      <c r="O468" s="6"/>
      <c r="P468" s="16"/>
      <c r="Q468" s="6"/>
      <c r="R468" s="6"/>
      <c r="S468" s="6"/>
    </row>
    <row r="469">
      <c r="A469" s="22"/>
      <c r="B469" s="6"/>
      <c r="C469" s="6"/>
      <c r="D469" s="6"/>
      <c r="E469" s="6"/>
      <c r="F469" s="6"/>
      <c r="G469" s="16"/>
      <c r="H469" s="16"/>
      <c r="I469" s="17"/>
      <c r="J469" s="17"/>
      <c r="K469" s="17"/>
      <c r="L469" s="6"/>
      <c r="M469" s="6"/>
      <c r="N469" s="16"/>
      <c r="O469" s="6"/>
      <c r="P469" s="16"/>
      <c r="Q469" s="6"/>
      <c r="R469" s="6"/>
      <c r="S469" s="6"/>
    </row>
    <row r="470">
      <c r="A470" s="22"/>
      <c r="B470" s="6"/>
      <c r="C470" s="6"/>
      <c r="D470" s="6"/>
      <c r="E470" s="6"/>
      <c r="F470" s="6"/>
      <c r="G470" s="16"/>
      <c r="H470" s="16"/>
      <c r="I470" s="17"/>
      <c r="J470" s="17"/>
      <c r="K470" s="17"/>
      <c r="L470" s="6"/>
      <c r="M470" s="6"/>
      <c r="N470" s="16"/>
      <c r="O470" s="6"/>
      <c r="P470" s="16"/>
      <c r="Q470" s="6"/>
      <c r="R470" s="6"/>
      <c r="S470" s="6"/>
    </row>
    <row r="471">
      <c r="A471" s="22"/>
      <c r="B471" s="6"/>
      <c r="C471" s="6"/>
      <c r="D471" s="6"/>
      <c r="E471" s="6"/>
      <c r="F471" s="6"/>
      <c r="G471" s="16"/>
      <c r="H471" s="16"/>
      <c r="I471" s="17"/>
      <c r="J471" s="17"/>
      <c r="K471" s="17"/>
      <c r="L471" s="6"/>
      <c r="M471" s="6"/>
      <c r="N471" s="16"/>
      <c r="O471" s="6"/>
      <c r="P471" s="16"/>
      <c r="Q471" s="6"/>
      <c r="R471" s="6"/>
      <c r="S471" s="6"/>
    </row>
    <row r="472">
      <c r="A472" s="22"/>
      <c r="B472" s="6"/>
      <c r="C472" s="6"/>
      <c r="D472" s="6"/>
      <c r="E472" s="6"/>
      <c r="F472" s="6"/>
      <c r="G472" s="16"/>
      <c r="H472" s="16"/>
      <c r="I472" s="17"/>
      <c r="J472" s="17"/>
      <c r="K472" s="17"/>
      <c r="L472" s="6"/>
      <c r="M472" s="6"/>
      <c r="N472" s="16"/>
      <c r="O472" s="6"/>
      <c r="P472" s="16"/>
      <c r="Q472" s="6"/>
      <c r="R472" s="6"/>
      <c r="S472" s="6"/>
    </row>
    <row r="473">
      <c r="A473" s="22"/>
      <c r="B473" s="6"/>
      <c r="C473" s="6"/>
      <c r="D473" s="6"/>
      <c r="E473" s="6"/>
      <c r="F473" s="6"/>
      <c r="G473" s="16"/>
      <c r="H473" s="16"/>
      <c r="I473" s="17"/>
      <c r="J473" s="17"/>
      <c r="K473" s="17"/>
      <c r="L473" s="6"/>
      <c r="M473" s="6"/>
      <c r="N473" s="16"/>
      <c r="O473" s="6"/>
      <c r="P473" s="16"/>
      <c r="Q473" s="6"/>
      <c r="R473" s="6"/>
      <c r="S473" s="6"/>
    </row>
    <row r="474">
      <c r="A474" s="22"/>
      <c r="B474" s="6"/>
      <c r="C474" s="6"/>
      <c r="D474" s="6"/>
      <c r="E474" s="6"/>
      <c r="F474" s="6"/>
      <c r="G474" s="16"/>
      <c r="H474" s="16"/>
      <c r="I474" s="17"/>
      <c r="J474" s="17"/>
      <c r="K474" s="17"/>
      <c r="L474" s="6"/>
      <c r="M474" s="6"/>
      <c r="N474" s="16"/>
      <c r="O474" s="6"/>
      <c r="P474" s="16"/>
      <c r="Q474" s="6"/>
      <c r="R474" s="6"/>
      <c r="S474" s="6"/>
    </row>
    <row r="475">
      <c r="A475" s="22"/>
      <c r="B475" s="6"/>
      <c r="C475" s="6"/>
      <c r="D475" s="6"/>
      <c r="E475" s="6"/>
      <c r="F475" s="6"/>
      <c r="G475" s="16"/>
      <c r="H475" s="16"/>
      <c r="I475" s="17"/>
      <c r="J475" s="17"/>
      <c r="K475" s="17"/>
      <c r="L475" s="6"/>
      <c r="M475" s="6"/>
      <c r="N475" s="16"/>
      <c r="O475" s="6"/>
      <c r="P475" s="16"/>
      <c r="Q475" s="6"/>
      <c r="R475" s="6"/>
      <c r="S475" s="6"/>
    </row>
    <row r="476">
      <c r="A476" s="22"/>
      <c r="B476" s="6"/>
      <c r="C476" s="6"/>
      <c r="D476" s="6"/>
      <c r="E476" s="6"/>
      <c r="F476" s="6"/>
      <c r="G476" s="16"/>
      <c r="H476" s="16"/>
      <c r="I476" s="17"/>
      <c r="J476" s="17"/>
      <c r="K476" s="17"/>
      <c r="L476" s="6"/>
      <c r="M476" s="6"/>
      <c r="N476" s="16"/>
      <c r="O476" s="6"/>
      <c r="P476" s="16"/>
      <c r="Q476" s="6"/>
      <c r="R476" s="6"/>
      <c r="S476" s="6"/>
    </row>
    <row r="477">
      <c r="A477" s="22"/>
      <c r="B477" s="6"/>
      <c r="C477" s="6"/>
      <c r="D477" s="6"/>
      <c r="E477" s="6"/>
      <c r="F477" s="6"/>
      <c r="G477" s="16"/>
      <c r="H477" s="16"/>
      <c r="I477" s="17"/>
      <c r="J477" s="17"/>
      <c r="K477" s="17"/>
      <c r="L477" s="6"/>
      <c r="M477" s="6"/>
      <c r="N477" s="16"/>
      <c r="O477" s="6"/>
      <c r="P477" s="16"/>
      <c r="Q477" s="6"/>
      <c r="R477" s="6"/>
      <c r="S477" s="6"/>
    </row>
    <row r="478">
      <c r="A478" s="22"/>
      <c r="B478" s="6"/>
      <c r="C478" s="6"/>
      <c r="D478" s="6"/>
      <c r="E478" s="6"/>
      <c r="F478" s="6"/>
      <c r="G478" s="16"/>
      <c r="H478" s="16"/>
      <c r="I478" s="17"/>
      <c r="J478" s="17"/>
      <c r="K478" s="17"/>
      <c r="L478" s="6"/>
      <c r="M478" s="6"/>
      <c r="N478" s="16"/>
      <c r="O478" s="6"/>
      <c r="P478" s="16"/>
      <c r="Q478" s="6"/>
      <c r="R478" s="6"/>
      <c r="S478" s="6"/>
    </row>
    <row r="479">
      <c r="A479" s="22"/>
      <c r="B479" s="6"/>
      <c r="C479" s="6"/>
      <c r="D479" s="6"/>
      <c r="E479" s="6"/>
      <c r="F479" s="6"/>
      <c r="G479" s="16"/>
      <c r="H479" s="16"/>
      <c r="I479" s="17"/>
      <c r="J479" s="17"/>
      <c r="K479" s="17"/>
      <c r="L479" s="6"/>
      <c r="M479" s="6"/>
      <c r="N479" s="16"/>
      <c r="O479" s="6"/>
      <c r="P479" s="16"/>
      <c r="Q479" s="6"/>
      <c r="R479" s="6"/>
      <c r="S479" s="6"/>
    </row>
    <row r="480">
      <c r="A480" s="22"/>
      <c r="B480" s="6"/>
      <c r="C480" s="6"/>
      <c r="D480" s="6"/>
      <c r="E480" s="6"/>
      <c r="F480" s="6"/>
      <c r="G480" s="16"/>
      <c r="H480" s="16"/>
      <c r="I480" s="17"/>
      <c r="J480" s="17"/>
      <c r="K480" s="17"/>
      <c r="L480" s="6"/>
      <c r="M480" s="6"/>
      <c r="N480" s="16"/>
      <c r="O480" s="6"/>
      <c r="P480" s="16"/>
      <c r="Q480" s="6"/>
      <c r="R480" s="6"/>
      <c r="S480" s="6"/>
    </row>
    <row r="481">
      <c r="A481" s="22"/>
      <c r="B481" s="6"/>
      <c r="C481" s="6"/>
      <c r="D481" s="6"/>
      <c r="E481" s="6"/>
      <c r="F481" s="6"/>
      <c r="G481" s="16"/>
      <c r="H481" s="16"/>
      <c r="I481" s="17"/>
      <c r="J481" s="17"/>
      <c r="K481" s="17"/>
      <c r="L481" s="6"/>
      <c r="M481" s="6"/>
      <c r="N481" s="16"/>
      <c r="O481" s="6"/>
      <c r="P481" s="16"/>
      <c r="Q481" s="6"/>
      <c r="R481" s="6"/>
      <c r="S481" s="6"/>
    </row>
    <row r="482">
      <c r="A482" s="22"/>
      <c r="B482" s="6"/>
      <c r="C482" s="6"/>
      <c r="D482" s="6"/>
      <c r="E482" s="6"/>
      <c r="F482" s="6"/>
      <c r="G482" s="16"/>
      <c r="H482" s="16"/>
      <c r="I482" s="17"/>
      <c r="J482" s="17"/>
      <c r="K482" s="17"/>
      <c r="L482" s="6"/>
      <c r="M482" s="6"/>
      <c r="N482" s="16"/>
      <c r="O482" s="6"/>
      <c r="P482" s="16"/>
      <c r="Q482" s="6"/>
      <c r="R482" s="6"/>
      <c r="S482" s="6"/>
    </row>
    <row r="483">
      <c r="A483" s="22"/>
      <c r="B483" s="6"/>
      <c r="C483" s="6"/>
      <c r="D483" s="6"/>
      <c r="E483" s="6"/>
      <c r="F483" s="6"/>
      <c r="G483" s="16"/>
      <c r="H483" s="16"/>
      <c r="I483" s="17"/>
      <c r="J483" s="17"/>
      <c r="K483" s="17"/>
      <c r="L483" s="6"/>
      <c r="M483" s="6"/>
      <c r="N483" s="16"/>
      <c r="O483" s="6"/>
      <c r="P483" s="16"/>
      <c r="Q483" s="6"/>
      <c r="R483" s="6"/>
      <c r="S483" s="6"/>
    </row>
    <row r="484">
      <c r="A484" s="22"/>
      <c r="B484" s="6"/>
      <c r="C484" s="6"/>
      <c r="D484" s="6"/>
      <c r="E484" s="6"/>
      <c r="F484" s="6"/>
      <c r="G484" s="16"/>
      <c r="H484" s="16"/>
      <c r="I484" s="17"/>
      <c r="J484" s="17"/>
      <c r="K484" s="17"/>
      <c r="L484" s="6"/>
      <c r="M484" s="6"/>
      <c r="N484" s="16"/>
      <c r="O484" s="6"/>
      <c r="P484" s="16"/>
      <c r="Q484" s="6"/>
      <c r="R484" s="6"/>
      <c r="S484" s="6"/>
    </row>
    <row r="485">
      <c r="A485" s="22"/>
      <c r="B485" s="6"/>
      <c r="C485" s="6"/>
      <c r="D485" s="6"/>
      <c r="E485" s="6"/>
      <c r="F485" s="6"/>
      <c r="G485" s="16"/>
      <c r="H485" s="16"/>
      <c r="I485" s="17"/>
      <c r="J485" s="17"/>
      <c r="K485" s="17"/>
      <c r="L485" s="6"/>
      <c r="M485" s="6"/>
      <c r="N485" s="16"/>
      <c r="O485" s="6"/>
      <c r="P485" s="16"/>
      <c r="Q485" s="6"/>
      <c r="R485" s="6"/>
      <c r="S485" s="6"/>
    </row>
    <row r="486">
      <c r="A486" s="22"/>
      <c r="B486" s="6"/>
      <c r="C486" s="6"/>
      <c r="D486" s="6"/>
      <c r="E486" s="6"/>
      <c r="F486" s="6"/>
      <c r="G486" s="16"/>
      <c r="H486" s="16"/>
      <c r="I486" s="17"/>
      <c r="J486" s="17"/>
      <c r="K486" s="17"/>
      <c r="L486" s="6"/>
      <c r="M486" s="6"/>
      <c r="N486" s="16"/>
      <c r="O486" s="6"/>
      <c r="P486" s="16"/>
      <c r="Q486" s="6"/>
      <c r="R486" s="6"/>
      <c r="S486" s="6"/>
    </row>
    <row r="487">
      <c r="A487" s="22"/>
      <c r="B487" s="6"/>
      <c r="C487" s="6"/>
      <c r="D487" s="6"/>
      <c r="E487" s="6"/>
      <c r="F487" s="6"/>
      <c r="G487" s="16"/>
      <c r="H487" s="16"/>
      <c r="I487" s="17"/>
      <c r="J487" s="17"/>
      <c r="K487" s="17"/>
      <c r="L487" s="6"/>
      <c r="M487" s="6"/>
      <c r="N487" s="16"/>
      <c r="O487" s="6"/>
      <c r="P487" s="16"/>
      <c r="Q487" s="6"/>
      <c r="R487" s="6"/>
      <c r="S487" s="6"/>
    </row>
    <row r="488">
      <c r="A488" s="22"/>
      <c r="B488" s="6"/>
      <c r="C488" s="6"/>
      <c r="D488" s="6"/>
      <c r="E488" s="6"/>
      <c r="F488" s="6"/>
      <c r="G488" s="16"/>
      <c r="H488" s="16"/>
      <c r="I488" s="17"/>
      <c r="J488" s="17"/>
      <c r="K488" s="17"/>
      <c r="L488" s="6"/>
      <c r="M488" s="6"/>
      <c r="N488" s="16"/>
      <c r="O488" s="6"/>
      <c r="P488" s="16"/>
      <c r="Q488" s="6"/>
      <c r="R488" s="6"/>
      <c r="S488" s="6"/>
    </row>
    <row r="489">
      <c r="A489" s="22"/>
      <c r="B489" s="6"/>
      <c r="C489" s="6"/>
      <c r="D489" s="6"/>
      <c r="E489" s="6"/>
      <c r="F489" s="6"/>
      <c r="G489" s="16"/>
      <c r="H489" s="16"/>
      <c r="I489" s="17"/>
      <c r="J489" s="17"/>
      <c r="K489" s="17"/>
      <c r="L489" s="6"/>
      <c r="M489" s="6"/>
      <c r="N489" s="16"/>
      <c r="O489" s="6"/>
      <c r="P489" s="16"/>
      <c r="Q489" s="6"/>
      <c r="R489" s="6"/>
      <c r="S489" s="6"/>
    </row>
    <row r="490">
      <c r="A490" s="22"/>
      <c r="B490" s="6"/>
      <c r="C490" s="6"/>
      <c r="D490" s="6"/>
      <c r="E490" s="6"/>
      <c r="F490" s="6"/>
      <c r="G490" s="16"/>
      <c r="H490" s="16"/>
      <c r="I490" s="17"/>
      <c r="J490" s="17"/>
      <c r="K490" s="17"/>
      <c r="L490" s="6"/>
      <c r="M490" s="6"/>
      <c r="N490" s="16"/>
      <c r="O490" s="6"/>
      <c r="P490" s="16"/>
      <c r="Q490" s="6"/>
      <c r="R490" s="6"/>
      <c r="S490" s="6"/>
    </row>
    <row r="491">
      <c r="A491" s="22"/>
      <c r="B491" s="6"/>
      <c r="C491" s="6"/>
      <c r="D491" s="6"/>
      <c r="E491" s="6"/>
      <c r="F491" s="6"/>
      <c r="G491" s="16"/>
      <c r="H491" s="16"/>
      <c r="I491" s="17"/>
      <c r="J491" s="17"/>
      <c r="K491" s="17"/>
      <c r="L491" s="6"/>
      <c r="M491" s="6"/>
      <c r="N491" s="16"/>
      <c r="O491" s="6"/>
      <c r="P491" s="16"/>
      <c r="Q491" s="6"/>
      <c r="R491" s="6"/>
      <c r="S491" s="6"/>
    </row>
    <row r="492">
      <c r="A492" s="22"/>
      <c r="B492" s="6"/>
      <c r="C492" s="6"/>
      <c r="D492" s="6"/>
      <c r="E492" s="6"/>
      <c r="F492" s="6"/>
      <c r="G492" s="16"/>
      <c r="H492" s="16"/>
      <c r="I492" s="17"/>
      <c r="J492" s="17"/>
      <c r="K492" s="17"/>
      <c r="L492" s="6"/>
      <c r="M492" s="6"/>
      <c r="N492" s="16"/>
      <c r="O492" s="6"/>
      <c r="P492" s="16"/>
      <c r="Q492" s="6"/>
      <c r="R492" s="6"/>
      <c r="S492" s="6"/>
    </row>
    <row r="493">
      <c r="A493" s="22"/>
      <c r="B493" s="6"/>
      <c r="C493" s="6"/>
      <c r="D493" s="6"/>
      <c r="E493" s="6"/>
      <c r="F493" s="6"/>
      <c r="G493" s="16"/>
      <c r="H493" s="16"/>
      <c r="I493" s="17"/>
      <c r="J493" s="17"/>
      <c r="K493" s="17"/>
      <c r="L493" s="6"/>
      <c r="M493" s="6"/>
      <c r="N493" s="16"/>
      <c r="O493" s="6"/>
      <c r="P493" s="16"/>
      <c r="Q493" s="6"/>
      <c r="R493" s="6"/>
      <c r="S493" s="6"/>
    </row>
    <row r="494">
      <c r="A494" s="22"/>
      <c r="B494" s="6"/>
      <c r="C494" s="6"/>
      <c r="D494" s="6"/>
      <c r="E494" s="6"/>
      <c r="F494" s="6"/>
      <c r="G494" s="16"/>
      <c r="H494" s="16"/>
      <c r="I494" s="17"/>
      <c r="J494" s="17"/>
      <c r="K494" s="17"/>
      <c r="L494" s="6"/>
      <c r="M494" s="6"/>
      <c r="N494" s="16"/>
      <c r="O494" s="6"/>
      <c r="P494" s="16"/>
      <c r="Q494" s="6"/>
      <c r="R494" s="6"/>
      <c r="S494" s="6"/>
    </row>
    <row r="495">
      <c r="A495" s="22"/>
      <c r="B495" s="6"/>
      <c r="C495" s="6"/>
      <c r="D495" s="6"/>
      <c r="E495" s="6"/>
      <c r="F495" s="6"/>
      <c r="G495" s="16"/>
      <c r="H495" s="16"/>
      <c r="I495" s="17"/>
      <c r="J495" s="17"/>
      <c r="K495" s="17"/>
      <c r="L495" s="6"/>
      <c r="M495" s="6"/>
      <c r="N495" s="16"/>
      <c r="O495" s="6"/>
      <c r="P495" s="16"/>
      <c r="Q495" s="6"/>
      <c r="R495" s="6"/>
      <c r="S495" s="6"/>
    </row>
    <row r="496">
      <c r="A496" s="22"/>
      <c r="B496" s="6"/>
      <c r="C496" s="6"/>
      <c r="D496" s="6"/>
      <c r="E496" s="6"/>
      <c r="F496" s="6"/>
      <c r="G496" s="16"/>
      <c r="H496" s="16"/>
      <c r="I496" s="17"/>
      <c r="J496" s="17"/>
      <c r="K496" s="17"/>
      <c r="L496" s="6"/>
      <c r="M496" s="6"/>
      <c r="N496" s="16"/>
      <c r="O496" s="6"/>
      <c r="P496" s="16"/>
      <c r="Q496" s="6"/>
      <c r="R496" s="6"/>
      <c r="S496" s="6"/>
    </row>
    <row r="497">
      <c r="A497" s="22"/>
      <c r="B497" s="6"/>
      <c r="C497" s="6"/>
      <c r="D497" s="6"/>
      <c r="E497" s="6"/>
      <c r="F497" s="6"/>
      <c r="G497" s="16"/>
      <c r="H497" s="16"/>
      <c r="I497" s="17"/>
      <c r="J497" s="17"/>
      <c r="K497" s="17"/>
      <c r="L497" s="6"/>
      <c r="M497" s="6"/>
      <c r="N497" s="16"/>
      <c r="O497" s="6"/>
      <c r="P497" s="16"/>
      <c r="Q497" s="6"/>
      <c r="R497" s="6"/>
      <c r="S497" s="6"/>
    </row>
    <row r="498">
      <c r="A498" s="22"/>
      <c r="B498" s="6"/>
      <c r="C498" s="6"/>
      <c r="D498" s="6"/>
      <c r="E498" s="6"/>
      <c r="F498" s="6"/>
      <c r="G498" s="16"/>
      <c r="H498" s="16"/>
      <c r="I498" s="17"/>
      <c r="J498" s="17"/>
      <c r="K498" s="17"/>
      <c r="L498" s="6"/>
      <c r="M498" s="6"/>
      <c r="N498" s="16"/>
      <c r="O498" s="6"/>
      <c r="P498" s="16"/>
      <c r="Q498" s="6"/>
      <c r="R498" s="6"/>
      <c r="S498" s="6"/>
    </row>
    <row r="499">
      <c r="A499" s="22"/>
      <c r="B499" s="6"/>
      <c r="C499" s="6"/>
      <c r="D499" s="6"/>
      <c r="E499" s="6"/>
      <c r="F499" s="6"/>
      <c r="G499" s="16"/>
      <c r="H499" s="16"/>
      <c r="I499" s="17"/>
      <c r="J499" s="17"/>
      <c r="K499" s="17"/>
      <c r="L499" s="6"/>
      <c r="M499" s="6"/>
      <c r="N499" s="16"/>
      <c r="O499" s="6"/>
      <c r="P499" s="16"/>
      <c r="Q499" s="6"/>
      <c r="R499" s="6"/>
      <c r="S499" s="6"/>
    </row>
    <row r="500">
      <c r="A500" s="22"/>
      <c r="B500" s="6"/>
      <c r="C500" s="6"/>
      <c r="D500" s="6"/>
      <c r="E500" s="6"/>
      <c r="F500" s="6"/>
      <c r="G500" s="16"/>
      <c r="H500" s="16"/>
      <c r="I500" s="17"/>
      <c r="J500" s="17"/>
      <c r="K500" s="17"/>
      <c r="L500" s="6"/>
      <c r="M500" s="6"/>
      <c r="N500" s="16"/>
      <c r="O500" s="6"/>
      <c r="P500" s="16"/>
      <c r="Q500" s="6"/>
      <c r="R500" s="6"/>
      <c r="S500" s="6"/>
    </row>
    <row r="501">
      <c r="A501" s="22"/>
      <c r="B501" s="6"/>
      <c r="C501" s="6"/>
      <c r="D501" s="6"/>
      <c r="E501" s="6"/>
      <c r="F501" s="6"/>
      <c r="G501" s="16"/>
      <c r="H501" s="16"/>
      <c r="I501" s="17"/>
      <c r="J501" s="17"/>
      <c r="K501" s="17"/>
      <c r="L501" s="6"/>
      <c r="M501" s="6"/>
      <c r="N501" s="16"/>
      <c r="O501" s="6"/>
      <c r="P501" s="16"/>
      <c r="Q501" s="6"/>
      <c r="R501" s="6"/>
      <c r="S501" s="6"/>
    </row>
    <row r="502">
      <c r="A502" s="22"/>
      <c r="B502" s="6"/>
      <c r="C502" s="6"/>
      <c r="D502" s="6"/>
      <c r="E502" s="6"/>
      <c r="F502" s="6"/>
      <c r="G502" s="16"/>
      <c r="H502" s="16"/>
      <c r="I502" s="17"/>
      <c r="J502" s="17"/>
      <c r="K502" s="17"/>
      <c r="L502" s="6"/>
      <c r="M502" s="6"/>
      <c r="N502" s="16"/>
      <c r="O502" s="6"/>
      <c r="P502" s="16"/>
      <c r="Q502" s="6"/>
      <c r="R502" s="6"/>
      <c r="S502" s="6"/>
    </row>
    <row r="503">
      <c r="A503" s="22"/>
      <c r="B503" s="6"/>
      <c r="C503" s="6"/>
      <c r="D503" s="6"/>
      <c r="E503" s="6"/>
      <c r="F503" s="6"/>
      <c r="G503" s="16"/>
      <c r="H503" s="16"/>
      <c r="I503" s="17"/>
      <c r="J503" s="17"/>
      <c r="K503" s="17"/>
      <c r="L503" s="6"/>
      <c r="M503" s="6"/>
      <c r="N503" s="16"/>
      <c r="O503" s="6"/>
      <c r="P503" s="16"/>
      <c r="Q503" s="6"/>
      <c r="R503" s="6"/>
      <c r="S503" s="6"/>
    </row>
    <row r="504">
      <c r="A504" s="22"/>
      <c r="B504" s="6"/>
      <c r="C504" s="6"/>
      <c r="D504" s="6"/>
      <c r="E504" s="6"/>
      <c r="F504" s="6"/>
      <c r="G504" s="16"/>
      <c r="H504" s="16"/>
      <c r="I504" s="17"/>
      <c r="J504" s="17"/>
      <c r="K504" s="17"/>
      <c r="L504" s="6"/>
      <c r="M504" s="6"/>
      <c r="N504" s="16"/>
      <c r="O504" s="6"/>
      <c r="P504" s="16"/>
      <c r="Q504" s="6"/>
      <c r="R504" s="6"/>
      <c r="S504" s="6"/>
    </row>
    <row r="505">
      <c r="A505" s="22"/>
      <c r="B505" s="6"/>
      <c r="C505" s="6"/>
      <c r="D505" s="6"/>
      <c r="E505" s="6"/>
      <c r="F505" s="6"/>
      <c r="G505" s="16"/>
      <c r="H505" s="16"/>
      <c r="I505" s="17"/>
      <c r="J505" s="17"/>
      <c r="K505" s="17"/>
      <c r="L505" s="6"/>
      <c r="M505" s="6"/>
      <c r="N505" s="16"/>
      <c r="O505" s="6"/>
      <c r="P505" s="16"/>
      <c r="Q505" s="6"/>
      <c r="R505" s="6"/>
      <c r="S505" s="6"/>
    </row>
    <row r="506">
      <c r="A506" s="22"/>
      <c r="B506" s="6"/>
      <c r="C506" s="6"/>
      <c r="D506" s="6"/>
      <c r="E506" s="6"/>
      <c r="F506" s="6"/>
      <c r="G506" s="16"/>
      <c r="H506" s="16"/>
      <c r="I506" s="17"/>
      <c r="J506" s="17"/>
      <c r="K506" s="17"/>
      <c r="L506" s="6"/>
      <c r="M506" s="6"/>
      <c r="N506" s="16"/>
      <c r="O506" s="6"/>
      <c r="P506" s="16"/>
      <c r="Q506" s="6"/>
      <c r="R506" s="6"/>
      <c r="S506" s="6"/>
    </row>
    <row r="507">
      <c r="A507" s="22"/>
      <c r="B507" s="6"/>
      <c r="C507" s="6"/>
      <c r="D507" s="6"/>
      <c r="E507" s="6"/>
      <c r="F507" s="6"/>
      <c r="G507" s="16"/>
      <c r="H507" s="16"/>
      <c r="I507" s="17"/>
      <c r="J507" s="17"/>
      <c r="K507" s="17"/>
      <c r="L507" s="6"/>
      <c r="M507" s="6"/>
      <c r="N507" s="16"/>
      <c r="O507" s="6"/>
      <c r="P507" s="16"/>
      <c r="Q507" s="6"/>
      <c r="R507" s="6"/>
      <c r="S507" s="6"/>
    </row>
    <row r="508">
      <c r="A508" s="22"/>
      <c r="B508" s="6"/>
      <c r="C508" s="6"/>
      <c r="D508" s="6"/>
      <c r="E508" s="6"/>
      <c r="F508" s="6"/>
      <c r="G508" s="16"/>
      <c r="H508" s="16"/>
      <c r="I508" s="17"/>
      <c r="J508" s="17"/>
      <c r="K508" s="17"/>
      <c r="L508" s="6"/>
      <c r="M508" s="6"/>
      <c r="N508" s="16"/>
      <c r="O508" s="6"/>
      <c r="P508" s="16"/>
      <c r="Q508" s="6"/>
      <c r="R508" s="6"/>
      <c r="S508" s="6"/>
    </row>
    <row r="509">
      <c r="A509" s="22"/>
      <c r="B509" s="6"/>
      <c r="C509" s="6"/>
      <c r="D509" s="6"/>
      <c r="E509" s="6"/>
      <c r="F509" s="6"/>
      <c r="G509" s="16"/>
      <c r="H509" s="16"/>
      <c r="I509" s="17"/>
      <c r="J509" s="17"/>
      <c r="K509" s="17"/>
      <c r="L509" s="6"/>
      <c r="M509" s="6"/>
      <c r="N509" s="16"/>
      <c r="O509" s="6"/>
      <c r="P509" s="16"/>
      <c r="Q509" s="6"/>
      <c r="R509" s="6"/>
      <c r="S509" s="6"/>
    </row>
    <row r="510">
      <c r="A510" s="22"/>
      <c r="B510" s="6"/>
      <c r="C510" s="6"/>
      <c r="D510" s="6"/>
      <c r="E510" s="6"/>
      <c r="F510" s="6"/>
      <c r="G510" s="16"/>
      <c r="H510" s="16"/>
      <c r="I510" s="17"/>
      <c r="J510" s="17"/>
      <c r="K510" s="17"/>
      <c r="L510" s="6"/>
      <c r="M510" s="6"/>
      <c r="N510" s="16"/>
      <c r="O510" s="6"/>
      <c r="P510" s="16"/>
      <c r="Q510" s="6"/>
      <c r="R510" s="6"/>
      <c r="S510" s="6"/>
    </row>
    <row r="511">
      <c r="A511" s="22"/>
      <c r="B511" s="6"/>
      <c r="C511" s="6"/>
      <c r="D511" s="6"/>
      <c r="E511" s="6"/>
      <c r="F511" s="6"/>
      <c r="G511" s="16"/>
      <c r="H511" s="16"/>
      <c r="I511" s="17"/>
      <c r="J511" s="17"/>
      <c r="K511" s="17"/>
      <c r="L511" s="6"/>
      <c r="M511" s="6"/>
      <c r="N511" s="16"/>
      <c r="O511" s="6"/>
      <c r="P511" s="16"/>
      <c r="Q511" s="6"/>
      <c r="R511" s="6"/>
      <c r="S511" s="6"/>
    </row>
    <row r="512">
      <c r="A512" s="22"/>
      <c r="B512" s="6"/>
      <c r="C512" s="6"/>
      <c r="D512" s="6"/>
      <c r="E512" s="6"/>
      <c r="F512" s="6"/>
      <c r="G512" s="16"/>
      <c r="H512" s="16"/>
      <c r="I512" s="17"/>
      <c r="J512" s="17"/>
      <c r="K512" s="17"/>
      <c r="L512" s="6"/>
      <c r="M512" s="6"/>
      <c r="N512" s="16"/>
      <c r="O512" s="6"/>
      <c r="P512" s="16"/>
      <c r="Q512" s="6"/>
      <c r="R512" s="6"/>
      <c r="S512" s="6"/>
    </row>
    <row r="513">
      <c r="A513" s="22"/>
      <c r="B513" s="6"/>
      <c r="C513" s="6"/>
      <c r="D513" s="6"/>
      <c r="E513" s="6"/>
      <c r="F513" s="6"/>
      <c r="G513" s="16"/>
      <c r="H513" s="16"/>
      <c r="I513" s="17"/>
      <c r="J513" s="17"/>
      <c r="K513" s="17"/>
      <c r="L513" s="6"/>
      <c r="M513" s="6"/>
      <c r="N513" s="16"/>
      <c r="O513" s="6"/>
      <c r="P513" s="16"/>
      <c r="Q513" s="6"/>
      <c r="R513" s="6"/>
      <c r="S513" s="6"/>
    </row>
    <row r="514">
      <c r="A514" s="22"/>
      <c r="B514" s="6"/>
      <c r="C514" s="6"/>
      <c r="D514" s="6"/>
      <c r="E514" s="6"/>
      <c r="F514" s="6"/>
      <c r="G514" s="16"/>
      <c r="H514" s="16"/>
      <c r="I514" s="17"/>
      <c r="J514" s="17"/>
      <c r="K514" s="17"/>
      <c r="L514" s="6"/>
      <c r="M514" s="6"/>
      <c r="N514" s="16"/>
      <c r="O514" s="6"/>
      <c r="P514" s="16"/>
      <c r="Q514" s="6"/>
      <c r="R514" s="6"/>
      <c r="S514" s="6"/>
    </row>
    <row r="515">
      <c r="A515" s="22"/>
      <c r="B515" s="6"/>
      <c r="C515" s="6"/>
      <c r="D515" s="6"/>
      <c r="E515" s="6"/>
      <c r="F515" s="6"/>
      <c r="G515" s="16"/>
      <c r="H515" s="16"/>
      <c r="I515" s="17"/>
      <c r="J515" s="17"/>
      <c r="K515" s="17"/>
      <c r="L515" s="6"/>
      <c r="M515" s="6"/>
      <c r="N515" s="16"/>
      <c r="O515" s="6"/>
      <c r="P515" s="16"/>
      <c r="Q515" s="6"/>
      <c r="R515" s="6"/>
      <c r="S515" s="6"/>
    </row>
    <row r="516">
      <c r="A516" s="22"/>
      <c r="B516" s="6"/>
      <c r="C516" s="6"/>
      <c r="D516" s="6"/>
      <c r="E516" s="6"/>
      <c r="F516" s="6"/>
      <c r="G516" s="16"/>
      <c r="H516" s="16"/>
      <c r="I516" s="17"/>
      <c r="J516" s="17"/>
      <c r="K516" s="17"/>
      <c r="L516" s="6"/>
      <c r="M516" s="6"/>
      <c r="N516" s="16"/>
      <c r="O516" s="6"/>
      <c r="P516" s="16"/>
      <c r="Q516" s="6"/>
      <c r="R516" s="6"/>
      <c r="S516" s="6"/>
    </row>
    <row r="517">
      <c r="A517" s="22"/>
      <c r="B517" s="6"/>
      <c r="C517" s="6"/>
      <c r="D517" s="6"/>
      <c r="E517" s="6"/>
      <c r="F517" s="6"/>
      <c r="G517" s="16"/>
      <c r="H517" s="16"/>
      <c r="I517" s="17"/>
      <c r="J517" s="17"/>
      <c r="K517" s="17"/>
      <c r="L517" s="6"/>
      <c r="M517" s="6"/>
      <c r="N517" s="16"/>
      <c r="O517" s="6"/>
      <c r="P517" s="16"/>
      <c r="Q517" s="6"/>
      <c r="R517" s="6"/>
      <c r="S517" s="6"/>
    </row>
    <row r="518">
      <c r="A518" s="22"/>
      <c r="B518" s="6"/>
      <c r="C518" s="6"/>
      <c r="D518" s="6"/>
      <c r="E518" s="6"/>
      <c r="F518" s="6"/>
      <c r="G518" s="16"/>
      <c r="H518" s="16"/>
      <c r="I518" s="17"/>
      <c r="J518" s="17"/>
      <c r="K518" s="17"/>
      <c r="L518" s="6"/>
      <c r="M518" s="6"/>
      <c r="N518" s="16"/>
      <c r="O518" s="6"/>
      <c r="P518" s="16"/>
      <c r="Q518" s="6"/>
      <c r="R518" s="6"/>
      <c r="S518" s="6"/>
    </row>
    <row r="519">
      <c r="A519" s="22"/>
      <c r="B519" s="6"/>
      <c r="C519" s="6"/>
      <c r="D519" s="6"/>
      <c r="E519" s="6"/>
      <c r="F519" s="6"/>
      <c r="G519" s="16"/>
      <c r="H519" s="16"/>
      <c r="I519" s="17"/>
      <c r="J519" s="17"/>
      <c r="K519" s="17"/>
      <c r="L519" s="6"/>
      <c r="M519" s="6"/>
      <c r="N519" s="16"/>
      <c r="O519" s="6"/>
      <c r="P519" s="16"/>
      <c r="Q519" s="6"/>
      <c r="R519" s="6"/>
      <c r="S519" s="6"/>
    </row>
    <row r="520">
      <c r="A520" s="22"/>
      <c r="B520" s="6"/>
      <c r="C520" s="6"/>
      <c r="D520" s="6"/>
      <c r="E520" s="6"/>
      <c r="F520" s="6"/>
      <c r="G520" s="16"/>
      <c r="H520" s="16"/>
      <c r="I520" s="17"/>
      <c r="J520" s="17"/>
      <c r="K520" s="17"/>
      <c r="L520" s="6"/>
      <c r="M520" s="6"/>
      <c r="N520" s="16"/>
      <c r="O520" s="6"/>
      <c r="P520" s="16"/>
      <c r="Q520" s="6"/>
      <c r="R520" s="6"/>
      <c r="S520" s="6"/>
    </row>
    <row r="521">
      <c r="A521" s="22"/>
      <c r="B521" s="6"/>
      <c r="C521" s="6"/>
      <c r="D521" s="6"/>
      <c r="E521" s="6"/>
      <c r="F521" s="6"/>
      <c r="G521" s="16"/>
      <c r="H521" s="16"/>
      <c r="I521" s="17"/>
      <c r="J521" s="17"/>
      <c r="K521" s="17"/>
      <c r="L521" s="6"/>
      <c r="M521" s="6"/>
      <c r="N521" s="16"/>
      <c r="O521" s="6"/>
      <c r="P521" s="16"/>
      <c r="Q521" s="6"/>
      <c r="R521" s="6"/>
      <c r="S521" s="6"/>
    </row>
    <row r="522">
      <c r="A522" s="22"/>
      <c r="B522" s="6"/>
      <c r="C522" s="6"/>
      <c r="D522" s="6"/>
      <c r="E522" s="6"/>
      <c r="F522" s="6"/>
      <c r="G522" s="16"/>
      <c r="H522" s="16"/>
      <c r="I522" s="17"/>
      <c r="J522" s="17"/>
      <c r="K522" s="17"/>
      <c r="L522" s="6"/>
      <c r="M522" s="6"/>
      <c r="N522" s="16"/>
      <c r="O522" s="6"/>
      <c r="P522" s="16"/>
      <c r="Q522" s="6"/>
      <c r="R522" s="6"/>
      <c r="S522" s="6"/>
    </row>
    <row r="523">
      <c r="A523" s="22"/>
      <c r="B523" s="6"/>
      <c r="C523" s="6"/>
      <c r="D523" s="6"/>
      <c r="E523" s="6"/>
      <c r="F523" s="6"/>
      <c r="G523" s="16"/>
      <c r="H523" s="16"/>
      <c r="I523" s="17"/>
      <c r="J523" s="17"/>
      <c r="K523" s="17"/>
      <c r="L523" s="6"/>
      <c r="M523" s="6"/>
      <c r="N523" s="16"/>
      <c r="O523" s="6"/>
      <c r="P523" s="16"/>
      <c r="Q523" s="6"/>
      <c r="R523" s="6"/>
      <c r="S523" s="6"/>
    </row>
    <row r="524">
      <c r="A524" s="22"/>
      <c r="B524" s="6"/>
      <c r="C524" s="6"/>
      <c r="D524" s="6"/>
      <c r="E524" s="6"/>
      <c r="F524" s="6"/>
      <c r="G524" s="16"/>
      <c r="H524" s="16"/>
      <c r="I524" s="17"/>
      <c r="J524" s="17"/>
      <c r="K524" s="17"/>
      <c r="L524" s="6"/>
      <c r="M524" s="6"/>
      <c r="N524" s="16"/>
      <c r="O524" s="6"/>
      <c r="P524" s="16"/>
      <c r="Q524" s="6"/>
      <c r="R524" s="6"/>
      <c r="S524" s="6"/>
    </row>
    <row r="525">
      <c r="A525" s="22"/>
      <c r="B525" s="6"/>
      <c r="C525" s="6"/>
      <c r="D525" s="6"/>
      <c r="E525" s="6"/>
      <c r="F525" s="6"/>
      <c r="G525" s="16"/>
      <c r="H525" s="16"/>
      <c r="I525" s="17"/>
      <c r="J525" s="17"/>
      <c r="K525" s="17"/>
      <c r="L525" s="6"/>
      <c r="M525" s="6"/>
      <c r="N525" s="16"/>
      <c r="O525" s="6"/>
      <c r="P525" s="16"/>
      <c r="Q525" s="6"/>
      <c r="R525" s="6"/>
      <c r="S525" s="6"/>
    </row>
    <row r="526">
      <c r="A526" s="22"/>
      <c r="B526" s="6"/>
      <c r="C526" s="6"/>
      <c r="D526" s="6"/>
      <c r="E526" s="6"/>
      <c r="F526" s="6"/>
      <c r="G526" s="16"/>
      <c r="H526" s="16"/>
      <c r="I526" s="17"/>
      <c r="J526" s="17"/>
      <c r="K526" s="17"/>
      <c r="L526" s="6"/>
      <c r="M526" s="6"/>
      <c r="N526" s="16"/>
      <c r="O526" s="6"/>
      <c r="P526" s="16"/>
      <c r="Q526" s="6"/>
      <c r="R526" s="6"/>
      <c r="S526" s="6"/>
    </row>
    <row r="527">
      <c r="A527" s="22"/>
      <c r="B527" s="6"/>
      <c r="C527" s="6"/>
      <c r="D527" s="6"/>
      <c r="E527" s="6"/>
      <c r="F527" s="6"/>
      <c r="G527" s="16"/>
      <c r="H527" s="16"/>
      <c r="I527" s="17"/>
      <c r="J527" s="17"/>
      <c r="K527" s="17"/>
      <c r="L527" s="6"/>
      <c r="M527" s="6"/>
      <c r="N527" s="16"/>
      <c r="O527" s="6"/>
      <c r="P527" s="16"/>
      <c r="Q527" s="6"/>
      <c r="R527" s="6"/>
      <c r="S527" s="6"/>
    </row>
    <row r="528">
      <c r="A528" s="22"/>
      <c r="B528" s="6"/>
      <c r="C528" s="6"/>
      <c r="D528" s="6"/>
      <c r="E528" s="6"/>
      <c r="F528" s="6"/>
      <c r="G528" s="16"/>
      <c r="H528" s="16"/>
      <c r="I528" s="17"/>
      <c r="J528" s="17"/>
      <c r="K528" s="17"/>
      <c r="L528" s="6"/>
      <c r="M528" s="6"/>
      <c r="N528" s="16"/>
      <c r="O528" s="6"/>
      <c r="P528" s="16"/>
      <c r="Q528" s="6"/>
      <c r="R528" s="6"/>
      <c r="S528" s="6"/>
    </row>
    <row r="529">
      <c r="A529" s="22"/>
      <c r="B529" s="6"/>
      <c r="C529" s="6"/>
      <c r="D529" s="6"/>
      <c r="E529" s="6"/>
      <c r="F529" s="6"/>
      <c r="G529" s="16"/>
      <c r="H529" s="16"/>
      <c r="I529" s="17"/>
      <c r="J529" s="17"/>
      <c r="K529" s="17"/>
      <c r="L529" s="6"/>
      <c r="M529" s="6"/>
      <c r="N529" s="16"/>
      <c r="O529" s="6"/>
      <c r="P529" s="16"/>
      <c r="Q529" s="6"/>
      <c r="R529" s="6"/>
      <c r="S529" s="6"/>
    </row>
    <row r="530">
      <c r="A530" s="22"/>
      <c r="B530" s="6"/>
      <c r="C530" s="6"/>
      <c r="D530" s="6"/>
      <c r="E530" s="6"/>
      <c r="F530" s="6"/>
      <c r="G530" s="16"/>
      <c r="H530" s="16"/>
      <c r="I530" s="17"/>
      <c r="J530" s="17"/>
      <c r="K530" s="17"/>
      <c r="L530" s="6"/>
      <c r="M530" s="6"/>
      <c r="N530" s="16"/>
      <c r="O530" s="6"/>
      <c r="P530" s="16"/>
      <c r="Q530" s="6"/>
      <c r="R530" s="6"/>
      <c r="S530" s="6"/>
    </row>
    <row r="531">
      <c r="A531" s="22"/>
      <c r="B531" s="6"/>
      <c r="C531" s="6"/>
      <c r="D531" s="6"/>
      <c r="E531" s="6"/>
      <c r="F531" s="6"/>
      <c r="G531" s="16"/>
      <c r="H531" s="16"/>
      <c r="I531" s="17"/>
      <c r="J531" s="17"/>
      <c r="K531" s="17"/>
      <c r="L531" s="6"/>
      <c r="M531" s="6"/>
      <c r="N531" s="16"/>
      <c r="O531" s="6"/>
      <c r="P531" s="16"/>
      <c r="Q531" s="6"/>
      <c r="R531" s="6"/>
      <c r="S531" s="6"/>
    </row>
    <row r="532">
      <c r="A532" s="22"/>
      <c r="B532" s="6"/>
      <c r="C532" s="6"/>
      <c r="D532" s="6"/>
      <c r="E532" s="6"/>
      <c r="F532" s="6"/>
      <c r="G532" s="16"/>
      <c r="H532" s="16"/>
      <c r="I532" s="17"/>
      <c r="J532" s="17"/>
      <c r="K532" s="17"/>
      <c r="L532" s="6"/>
      <c r="M532" s="6"/>
      <c r="N532" s="16"/>
      <c r="O532" s="6"/>
      <c r="P532" s="16"/>
      <c r="Q532" s="6"/>
      <c r="R532" s="6"/>
      <c r="S532" s="6"/>
    </row>
    <row r="533">
      <c r="A533" s="22"/>
      <c r="B533" s="6"/>
      <c r="C533" s="6"/>
      <c r="D533" s="6"/>
      <c r="E533" s="6"/>
      <c r="F533" s="6"/>
      <c r="G533" s="16"/>
      <c r="H533" s="16"/>
      <c r="I533" s="17"/>
      <c r="J533" s="17"/>
      <c r="K533" s="17"/>
      <c r="L533" s="6"/>
      <c r="M533" s="6"/>
      <c r="N533" s="16"/>
      <c r="O533" s="6"/>
      <c r="P533" s="16"/>
      <c r="Q533" s="6"/>
      <c r="R533" s="6"/>
      <c r="S533" s="6"/>
    </row>
    <row r="534">
      <c r="A534" s="22"/>
      <c r="B534" s="6"/>
      <c r="C534" s="6"/>
      <c r="D534" s="6"/>
      <c r="E534" s="6"/>
      <c r="F534" s="6"/>
      <c r="G534" s="16"/>
      <c r="H534" s="16"/>
      <c r="I534" s="17"/>
      <c r="J534" s="17"/>
      <c r="K534" s="17"/>
      <c r="L534" s="6"/>
      <c r="M534" s="6"/>
      <c r="N534" s="16"/>
      <c r="O534" s="6"/>
      <c r="P534" s="16"/>
      <c r="Q534" s="6"/>
      <c r="R534" s="6"/>
      <c r="S534" s="6"/>
    </row>
    <row r="535">
      <c r="A535" s="22"/>
      <c r="B535" s="6"/>
      <c r="C535" s="6"/>
      <c r="D535" s="6"/>
      <c r="E535" s="6"/>
      <c r="F535" s="6"/>
      <c r="G535" s="16"/>
      <c r="H535" s="16"/>
      <c r="I535" s="17"/>
      <c r="J535" s="17"/>
      <c r="K535" s="17"/>
      <c r="L535" s="6"/>
      <c r="M535" s="6"/>
      <c r="N535" s="16"/>
      <c r="O535" s="6"/>
      <c r="P535" s="16"/>
      <c r="Q535" s="6"/>
      <c r="R535" s="6"/>
      <c r="S535" s="6"/>
    </row>
    <row r="536">
      <c r="A536" s="22"/>
      <c r="B536" s="6"/>
      <c r="C536" s="6"/>
      <c r="D536" s="6"/>
      <c r="E536" s="6"/>
      <c r="F536" s="6"/>
      <c r="G536" s="16"/>
      <c r="H536" s="16"/>
      <c r="I536" s="17"/>
      <c r="J536" s="17"/>
      <c r="K536" s="17"/>
      <c r="L536" s="6"/>
      <c r="M536" s="6"/>
      <c r="N536" s="16"/>
      <c r="O536" s="6"/>
      <c r="P536" s="16"/>
      <c r="Q536" s="6"/>
      <c r="R536" s="6"/>
      <c r="S536" s="6"/>
    </row>
    <row r="537">
      <c r="A537" s="22"/>
      <c r="B537" s="6"/>
      <c r="C537" s="6"/>
      <c r="D537" s="6"/>
      <c r="E537" s="6"/>
      <c r="F537" s="6"/>
      <c r="G537" s="16"/>
      <c r="H537" s="16"/>
      <c r="I537" s="17"/>
      <c r="J537" s="17"/>
      <c r="K537" s="17"/>
      <c r="L537" s="6"/>
      <c r="M537" s="6"/>
      <c r="N537" s="16"/>
      <c r="O537" s="6"/>
      <c r="P537" s="16"/>
      <c r="Q537" s="6"/>
      <c r="R537" s="6"/>
      <c r="S537" s="6"/>
    </row>
    <row r="538">
      <c r="A538" s="22"/>
      <c r="B538" s="6"/>
      <c r="C538" s="6"/>
      <c r="D538" s="6"/>
      <c r="E538" s="6"/>
      <c r="F538" s="6"/>
      <c r="G538" s="16"/>
      <c r="H538" s="16"/>
      <c r="I538" s="17"/>
      <c r="J538" s="17"/>
      <c r="K538" s="17"/>
      <c r="L538" s="6"/>
      <c r="M538" s="6"/>
      <c r="N538" s="16"/>
      <c r="O538" s="6"/>
      <c r="P538" s="16"/>
      <c r="Q538" s="6"/>
      <c r="R538" s="6"/>
      <c r="S538" s="6"/>
    </row>
    <row r="539">
      <c r="A539" s="22"/>
      <c r="B539" s="6"/>
      <c r="C539" s="6"/>
      <c r="D539" s="6"/>
      <c r="E539" s="6"/>
      <c r="F539" s="6"/>
      <c r="G539" s="16"/>
      <c r="H539" s="16"/>
      <c r="I539" s="17"/>
      <c r="J539" s="17"/>
      <c r="K539" s="17"/>
      <c r="L539" s="6"/>
      <c r="M539" s="6"/>
      <c r="N539" s="16"/>
      <c r="O539" s="6"/>
      <c r="P539" s="16"/>
      <c r="Q539" s="6"/>
      <c r="R539" s="6"/>
      <c r="S539" s="6"/>
    </row>
    <row r="540">
      <c r="A540" s="22"/>
      <c r="B540" s="6"/>
      <c r="C540" s="6"/>
      <c r="D540" s="6"/>
      <c r="E540" s="6"/>
      <c r="F540" s="6"/>
      <c r="G540" s="16"/>
      <c r="H540" s="16"/>
      <c r="I540" s="17"/>
      <c r="J540" s="17"/>
      <c r="K540" s="17"/>
      <c r="L540" s="6"/>
      <c r="M540" s="6"/>
      <c r="N540" s="16"/>
      <c r="O540" s="6"/>
      <c r="P540" s="16"/>
      <c r="Q540" s="6"/>
      <c r="R540" s="6"/>
      <c r="S540" s="6"/>
    </row>
    <row r="541">
      <c r="A541" s="22"/>
      <c r="B541" s="6"/>
      <c r="C541" s="6"/>
      <c r="D541" s="6"/>
      <c r="E541" s="6"/>
      <c r="F541" s="6"/>
      <c r="G541" s="16"/>
      <c r="H541" s="16"/>
      <c r="I541" s="17"/>
      <c r="J541" s="17"/>
      <c r="K541" s="17"/>
      <c r="L541" s="6"/>
      <c r="M541" s="6"/>
      <c r="N541" s="16"/>
      <c r="O541" s="6"/>
      <c r="P541" s="16"/>
      <c r="Q541" s="6"/>
      <c r="R541" s="6"/>
      <c r="S541" s="6"/>
    </row>
    <row r="542">
      <c r="A542" s="22"/>
      <c r="B542" s="6"/>
      <c r="C542" s="6"/>
      <c r="D542" s="6"/>
      <c r="E542" s="6"/>
      <c r="F542" s="6"/>
      <c r="G542" s="16"/>
      <c r="H542" s="16"/>
      <c r="I542" s="17"/>
      <c r="J542" s="17"/>
      <c r="K542" s="17"/>
      <c r="L542" s="6"/>
      <c r="M542" s="6"/>
      <c r="N542" s="16"/>
      <c r="O542" s="6"/>
      <c r="P542" s="16"/>
      <c r="Q542" s="6"/>
      <c r="R542" s="6"/>
      <c r="S542" s="6"/>
    </row>
    <row r="543">
      <c r="A543" s="22"/>
      <c r="B543" s="6"/>
      <c r="C543" s="6"/>
      <c r="D543" s="6"/>
      <c r="E543" s="6"/>
      <c r="F543" s="6"/>
      <c r="G543" s="16"/>
      <c r="H543" s="16"/>
      <c r="I543" s="17"/>
      <c r="J543" s="17"/>
      <c r="K543" s="17"/>
      <c r="L543" s="6"/>
      <c r="M543" s="6"/>
      <c r="N543" s="16"/>
      <c r="O543" s="6"/>
      <c r="P543" s="16"/>
      <c r="Q543" s="6"/>
      <c r="R543" s="6"/>
      <c r="S543" s="6"/>
    </row>
    <row r="544">
      <c r="A544" s="22"/>
      <c r="B544" s="6"/>
      <c r="C544" s="6"/>
      <c r="D544" s="6"/>
      <c r="E544" s="6"/>
      <c r="F544" s="6"/>
      <c r="G544" s="16"/>
      <c r="H544" s="16"/>
      <c r="I544" s="17"/>
      <c r="J544" s="17"/>
      <c r="K544" s="17"/>
      <c r="L544" s="6"/>
      <c r="M544" s="6"/>
      <c r="N544" s="16"/>
      <c r="O544" s="6"/>
      <c r="P544" s="16"/>
      <c r="Q544" s="6"/>
      <c r="R544" s="6"/>
      <c r="S544" s="6"/>
    </row>
    <row r="545">
      <c r="A545" s="22"/>
      <c r="B545" s="6"/>
      <c r="C545" s="6"/>
      <c r="D545" s="6"/>
      <c r="E545" s="6"/>
      <c r="F545" s="6"/>
      <c r="G545" s="16"/>
      <c r="H545" s="16"/>
      <c r="I545" s="17"/>
      <c r="J545" s="17"/>
      <c r="K545" s="17"/>
      <c r="L545" s="6"/>
      <c r="M545" s="6"/>
      <c r="N545" s="16"/>
      <c r="O545" s="6"/>
      <c r="P545" s="16"/>
      <c r="Q545" s="6"/>
      <c r="R545" s="6"/>
      <c r="S545" s="6"/>
    </row>
    <row r="546">
      <c r="A546" s="22"/>
      <c r="B546" s="6"/>
      <c r="C546" s="6"/>
      <c r="D546" s="6"/>
      <c r="E546" s="6"/>
      <c r="F546" s="6"/>
      <c r="G546" s="16"/>
      <c r="H546" s="16"/>
      <c r="I546" s="17"/>
      <c r="J546" s="17"/>
      <c r="K546" s="17"/>
      <c r="L546" s="6"/>
      <c r="M546" s="6"/>
      <c r="N546" s="16"/>
      <c r="O546" s="6"/>
      <c r="P546" s="16"/>
      <c r="Q546" s="6"/>
      <c r="R546" s="6"/>
      <c r="S546" s="6"/>
    </row>
    <row r="547">
      <c r="A547" s="22"/>
      <c r="B547" s="6"/>
      <c r="C547" s="6"/>
      <c r="D547" s="6"/>
      <c r="E547" s="6"/>
      <c r="F547" s="6"/>
      <c r="G547" s="16"/>
      <c r="H547" s="16"/>
      <c r="I547" s="17"/>
      <c r="J547" s="17"/>
      <c r="K547" s="17"/>
      <c r="L547" s="6"/>
      <c r="M547" s="6"/>
      <c r="N547" s="16"/>
      <c r="O547" s="6"/>
      <c r="P547" s="16"/>
      <c r="Q547" s="6"/>
      <c r="R547" s="6"/>
      <c r="S547" s="6"/>
    </row>
    <row r="548">
      <c r="A548" s="22"/>
      <c r="B548" s="6"/>
      <c r="C548" s="6"/>
      <c r="D548" s="6"/>
      <c r="E548" s="6"/>
      <c r="F548" s="6"/>
      <c r="G548" s="16"/>
      <c r="H548" s="16"/>
      <c r="I548" s="17"/>
      <c r="J548" s="17"/>
      <c r="K548" s="17"/>
      <c r="L548" s="6"/>
      <c r="M548" s="6"/>
      <c r="N548" s="16"/>
      <c r="O548" s="6"/>
      <c r="P548" s="16"/>
      <c r="Q548" s="6"/>
      <c r="R548" s="6"/>
      <c r="S548" s="6"/>
    </row>
    <row r="549">
      <c r="A549" s="22"/>
      <c r="B549" s="6"/>
      <c r="C549" s="6"/>
      <c r="D549" s="6"/>
      <c r="E549" s="6"/>
      <c r="F549" s="6"/>
      <c r="G549" s="16"/>
      <c r="H549" s="16"/>
      <c r="I549" s="17"/>
      <c r="J549" s="17"/>
      <c r="K549" s="17"/>
      <c r="L549" s="6"/>
      <c r="M549" s="6"/>
      <c r="N549" s="16"/>
      <c r="O549" s="6"/>
      <c r="P549" s="16"/>
      <c r="Q549" s="6"/>
      <c r="R549" s="6"/>
      <c r="S549" s="6"/>
    </row>
    <row r="550">
      <c r="A550" s="22"/>
      <c r="B550" s="6"/>
      <c r="C550" s="6"/>
      <c r="D550" s="6"/>
      <c r="E550" s="6"/>
      <c r="F550" s="6"/>
      <c r="G550" s="16"/>
      <c r="H550" s="16"/>
      <c r="I550" s="17"/>
      <c r="J550" s="17"/>
      <c r="K550" s="17"/>
      <c r="L550" s="6"/>
      <c r="M550" s="6"/>
      <c r="N550" s="16"/>
      <c r="O550" s="6"/>
      <c r="P550" s="16"/>
      <c r="Q550" s="6"/>
      <c r="R550" s="6"/>
      <c r="S550" s="6"/>
    </row>
    <row r="551">
      <c r="A551" s="22"/>
      <c r="B551" s="6"/>
      <c r="C551" s="6"/>
      <c r="D551" s="6"/>
      <c r="E551" s="6"/>
      <c r="F551" s="6"/>
      <c r="G551" s="16"/>
      <c r="H551" s="16"/>
      <c r="I551" s="17"/>
      <c r="J551" s="17"/>
      <c r="K551" s="17"/>
      <c r="L551" s="6"/>
      <c r="M551" s="6"/>
      <c r="N551" s="16"/>
      <c r="O551" s="6"/>
      <c r="P551" s="16"/>
      <c r="Q551" s="6"/>
      <c r="R551" s="6"/>
      <c r="S551" s="6"/>
    </row>
    <row r="552">
      <c r="A552" s="22"/>
      <c r="B552" s="6"/>
      <c r="C552" s="6"/>
      <c r="D552" s="6"/>
      <c r="E552" s="6"/>
      <c r="F552" s="6"/>
      <c r="G552" s="16"/>
      <c r="H552" s="16"/>
      <c r="I552" s="17"/>
      <c r="J552" s="17"/>
      <c r="K552" s="17"/>
      <c r="L552" s="6"/>
      <c r="M552" s="6"/>
      <c r="N552" s="16"/>
      <c r="O552" s="6"/>
      <c r="P552" s="16"/>
      <c r="Q552" s="6"/>
      <c r="R552" s="6"/>
      <c r="S552" s="6"/>
    </row>
    <row r="553">
      <c r="A553" s="22"/>
      <c r="B553" s="6"/>
      <c r="C553" s="6"/>
      <c r="D553" s="6"/>
      <c r="E553" s="6"/>
      <c r="F553" s="6"/>
      <c r="G553" s="16"/>
      <c r="H553" s="16"/>
      <c r="I553" s="17"/>
      <c r="J553" s="17"/>
      <c r="K553" s="17"/>
      <c r="L553" s="6"/>
      <c r="M553" s="6"/>
      <c r="N553" s="16"/>
      <c r="O553" s="6"/>
      <c r="P553" s="16"/>
      <c r="Q553" s="6"/>
      <c r="R553" s="6"/>
      <c r="S553" s="6"/>
    </row>
    <row r="554">
      <c r="A554" s="22"/>
      <c r="B554" s="6"/>
      <c r="C554" s="6"/>
      <c r="D554" s="6"/>
      <c r="E554" s="6"/>
      <c r="F554" s="6"/>
      <c r="G554" s="16"/>
      <c r="H554" s="16"/>
      <c r="I554" s="17"/>
      <c r="J554" s="17"/>
      <c r="K554" s="17"/>
      <c r="L554" s="6"/>
      <c r="M554" s="6"/>
      <c r="N554" s="16"/>
      <c r="O554" s="6"/>
      <c r="P554" s="16"/>
      <c r="Q554" s="6"/>
      <c r="R554" s="6"/>
      <c r="S554" s="6"/>
    </row>
    <row r="555">
      <c r="A555" s="22"/>
      <c r="B555" s="6"/>
      <c r="C555" s="6"/>
      <c r="D555" s="6"/>
      <c r="E555" s="6"/>
      <c r="F555" s="6"/>
      <c r="G555" s="16"/>
      <c r="H555" s="16"/>
      <c r="I555" s="17"/>
      <c r="J555" s="17"/>
      <c r="K555" s="17"/>
      <c r="L555" s="6"/>
      <c r="M555" s="6"/>
      <c r="N555" s="16"/>
      <c r="O555" s="6"/>
      <c r="P555" s="16"/>
      <c r="Q555" s="6"/>
      <c r="R555" s="6"/>
      <c r="S555" s="6"/>
    </row>
    <row r="556">
      <c r="A556" s="22"/>
      <c r="B556" s="6"/>
      <c r="C556" s="6"/>
      <c r="D556" s="6"/>
      <c r="E556" s="6"/>
      <c r="F556" s="6"/>
      <c r="G556" s="16"/>
      <c r="H556" s="16"/>
      <c r="I556" s="17"/>
      <c r="J556" s="17"/>
      <c r="K556" s="17"/>
      <c r="L556" s="6"/>
      <c r="M556" s="6"/>
      <c r="N556" s="16"/>
      <c r="O556" s="6"/>
      <c r="P556" s="16"/>
      <c r="Q556" s="6"/>
      <c r="R556" s="6"/>
      <c r="S556" s="6"/>
    </row>
    <row r="557">
      <c r="A557" s="22"/>
      <c r="B557" s="6"/>
      <c r="C557" s="6"/>
      <c r="D557" s="6"/>
      <c r="E557" s="6"/>
      <c r="F557" s="6"/>
      <c r="G557" s="16"/>
      <c r="H557" s="16"/>
      <c r="I557" s="17"/>
      <c r="J557" s="17"/>
      <c r="K557" s="17"/>
      <c r="L557" s="6"/>
      <c r="M557" s="6"/>
      <c r="N557" s="16"/>
      <c r="O557" s="6"/>
      <c r="P557" s="16"/>
      <c r="Q557" s="6"/>
      <c r="R557" s="6"/>
      <c r="S557" s="6"/>
    </row>
    <row r="558">
      <c r="A558" s="22"/>
      <c r="B558" s="6"/>
      <c r="C558" s="6"/>
      <c r="D558" s="6"/>
      <c r="E558" s="6"/>
      <c r="F558" s="6"/>
      <c r="G558" s="16"/>
      <c r="H558" s="16"/>
      <c r="I558" s="17"/>
      <c r="J558" s="17"/>
      <c r="K558" s="17"/>
      <c r="L558" s="6"/>
      <c r="M558" s="6"/>
      <c r="N558" s="16"/>
      <c r="O558" s="6"/>
      <c r="P558" s="16"/>
      <c r="Q558" s="6"/>
      <c r="R558" s="6"/>
      <c r="S558" s="6"/>
    </row>
    <row r="559">
      <c r="A559" s="22"/>
      <c r="B559" s="6"/>
      <c r="C559" s="6"/>
      <c r="D559" s="6"/>
      <c r="E559" s="6"/>
      <c r="F559" s="6"/>
      <c r="G559" s="16"/>
      <c r="H559" s="16"/>
      <c r="I559" s="17"/>
      <c r="J559" s="17"/>
      <c r="K559" s="17"/>
      <c r="L559" s="6"/>
      <c r="M559" s="6"/>
      <c r="N559" s="16"/>
      <c r="O559" s="6"/>
      <c r="P559" s="16"/>
      <c r="Q559" s="6"/>
      <c r="R559" s="6"/>
      <c r="S559" s="6"/>
    </row>
    <row r="560">
      <c r="A560" s="22"/>
      <c r="B560" s="6"/>
      <c r="C560" s="6"/>
      <c r="D560" s="6"/>
      <c r="E560" s="6"/>
      <c r="F560" s="6"/>
      <c r="G560" s="16"/>
      <c r="H560" s="16"/>
      <c r="I560" s="17"/>
      <c r="J560" s="17"/>
      <c r="K560" s="17"/>
      <c r="L560" s="6"/>
      <c r="M560" s="6"/>
      <c r="N560" s="16"/>
      <c r="O560" s="6"/>
      <c r="P560" s="16"/>
      <c r="Q560" s="6"/>
      <c r="R560" s="6"/>
      <c r="S560" s="6"/>
    </row>
    <row r="561">
      <c r="A561" s="22"/>
      <c r="B561" s="6"/>
      <c r="C561" s="6"/>
      <c r="D561" s="6"/>
      <c r="E561" s="6"/>
      <c r="F561" s="6"/>
      <c r="G561" s="16"/>
      <c r="H561" s="16"/>
      <c r="I561" s="17"/>
      <c r="J561" s="17"/>
      <c r="K561" s="17"/>
      <c r="L561" s="6"/>
      <c r="M561" s="6"/>
      <c r="N561" s="16"/>
      <c r="O561" s="6"/>
      <c r="P561" s="16"/>
      <c r="Q561" s="6"/>
      <c r="R561" s="6"/>
      <c r="S561" s="6"/>
    </row>
    <row r="562">
      <c r="A562" s="22"/>
      <c r="B562" s="6"/>
      <c r="C562" s="6"/>
      <c r="D562" s="6"/>
      <c r="E562" s="6"/>
      <c r="F562" s="6"/>
      <c r="G562" s="16"/>
      <c r="H562" s="16"/>
      <c r="I562" s="17"/>
      <c r="J562" s="17"/>
      <c r="K562" s="17"/>
      <c r="L562" s="6"/>
      <c r="M562" s="6"/>
      <c r="N562" s="16"/>
      <c r="O562" s="6"/>
      <c r="P562" s="16"/>
      <c r="Q562" s="6"/>
      <c r="R562" s="6"/>
      <c r="S562" s="6"/>
    </row>
    <row r="563">
      <c r="A563" s="22"/>
      <c r="B563" s="6"/>
      <c r="C563" s="6"/>
      <c r="D563" s="6"/>
      <c r="E563" s="6"/>
      <c r="F563" s="6"/>
      <c r="G563" s="16"/>
      <c r="H563" s="16"/>
      <c r="I563" s="17"/>
      <c r="J563" s="17"/>
      <c r="K563" s="17"/>
      <c r="L563" s="6"/>
      <c r="M563" s="6"/>
      <c r="N563" s="16"/>
      <c r="O563" s="6"/>
      <c r="P563" s="16"/>
      <c r="Q563" s="6"/>
      <c r="R563" s="6"/>
      <c r="S563" s="6"/>
    </row>
    <row r="564">
      <c r="A564" s="22"/>
      <c r="B564" s="6"/>
      <c r="C564" s="6"/>
      <c r="D564" s="6"/>
      <c r="E564" s="6"/>
      <c r="F564" s="6"/>
      <c r="G564" s="16"/>
      <c r="H564" s="16"/>
      <c r="I564" s="17"/>
      <c r="J564" s="17"/>
      <c r="K564" s="17"/>
      <c r="L564" s="6"/>
      <c r="M564" s="6"/>
      <c r="N564" s="16"/>
      <c r="O564" s="6"/>
      <c r="P564" s="16"/>
      <c r="Q564" s="6"/>
      <c r="R564" s="6"/>
      <c r="S564" s="6"/>
    </row>
    <row r="565">
      <c r="A565" s="22"/>
      <c r="B565" s="6"/>
      <c r="C565" s="6"/>
      <c r="D565" s="6"/>
      <c r="E565" s="6"/>
      <c r="F565" s="6"/>
      <c r="G565" s="16"/>
      <c r="H565" s="16"/>
      <c r="I565" s="17"/>
      <c r="J565" s="17"/>
      <c r="K565" s="17"/>
      <c r="L565" s="6"/>
      <c r="M565" s="6"/>
      <c r="N565" s="16"/>
      <c r="O565" s="6"/>
      <c r="P565" s="16"/>
      <c r="Q565" s="6"/>
      <c r="R565" s="6"/>
      <c r="S565" s="6"/>
    </row>
    <row r="566">
      <c r="A566" s="22"/>
      <c r="B566" s="6"/>
      <c r="C566" s="6"/>
      <c r="D566" s="6"/>
      <c r="E566" s="6"/>
      <c r="F566" s="6"/>
      <c r="G566" s="16"/>
      <c r="H566" s="16"/>
      <c r="I566" s="17"/>
      <c r="J566" s="17"/>
      <c r="K566" s="17"/>
      <c r="L566" s="6"/>
      <c r="M566" s="6"/>
      <c r="N566" s="16"/>
      <c r="O566" s="6"/>
      <c r="P566" s="16"/>
      <c r="Q566" s="6"/>
      <c r="R566" s="6"/>
      <c r="S566" s="6"/>
    </row>
    <row r="567">
      <c r="A567" s="22"/>
      <c r="B567" s="6"/>
      <c r="C567" s="6"/>
      <c r="D567" s="6"/>
      <c r="E567" s="6"/>
      <c r="F567" s="6"/>
      <c r="G567" s="16"/>
      <c r="H567" s="16"/>
      <c r="I567" s="17"/>
      <c r="J567" s="17"/>
      <c r="K567" s="17"/>
      <c r="L567" s="6"/>
      <c r="M567" s="6"/>
      <c r="N567" s="16"/>
      <c r="O567" s="6"/>
      <c r="P567" s="16"/>
      <c r="Q567" s="6"/>
      <c r="R567" s="6"/>
      <c r="S567" s="6"/>
    </row>
    <row r="568">
      <c r="A568" s="22"/>
      <c r="B568" s="6"/>
      <c r="C568" s="6"/>
      <c r="D568" s="6"/>
      <c r="E568" s="6"/>
      <c r="F568" s="6"/>
      <c r="G568" s="16"/>
      <c r="H568" s="16"/>
      <c r="I568" s="17"/>
      <c r="J568" s="17"/>
      <c r="K568" s="17"/>
      <c r="L568" s="6"/>
      <c r="M568" s="6"/>
      <c r="N568" s="16"/>
      <c r="O568" s="6"/>
      <c r="P568" s="16"/>
      <c r="Q568" s="6"/>
      <c r="R568" s="6"/>
      <c r="S568" s="6"/>
    </row>
    <row r="569">
      <c r="A569" s="22"/>
      <c r="B569" s="6"/>
      <c r="C569" s="6"/>
      <c r="D569" s="6"/>
      <c r="E569" s="6"/>
      <c r="F569" s="6"/>
      <c r="G569" s="16"/>
      <c r="H569" s="16"/>
      <c r="I569" s="17"/>
      <c r="J569" s="17"/>
      <c r="K569" s="17"/>
      <c r="L569" s="6"/>
      <c r="M569" s="6"/>
      <c r="N569" s="16"/>
      <c r="O569" s="6"/>
      <c r="P569" s="16"/>
      <c r="Q569" s="6"/>
      <c r="R569" s="6"/>
      <c r="S569" s="6"/>
    </row>
    <row r="570">
      <c r="A570" s="22"/>
      <c r="B570" s="6"/>
      <c r="C570" s="6"/>
      <c r="D570" s="6"/>
      <c r="E570" s="6"/>
      <c r="F570" s="6"/>
      <c r="G570" s="16"/>
      <c r="H570" s="16"/>
      <c r="I570" s="17"/>
      <c r="J570" s="17"/>
      <c r="K570" s="17"/>
      <c r="L570" s="6"/>
      <c r="M570" s="6"/>
      <c r="N570" s="16"/>
      <c r="O570" s="6"/>
      <c r="P570" s="16"/>
      <c r="Q570" s="6"/>
      <c r="R570" s="6"/>
      <c r="S570" s="6"/>
    </row>
    <row r="571">
      <c r="A571" s="22"/>
      <c r="B571" s="6"/>
      <c r="C571" s="6"/>
      <c r="D571" s="6"/>
      <c r="E571" s="6"/>
      <c r="F571" s="6"/>
      <c r="G571" s="16"/>
      <c r="H571" s="16"/>
      <c r="I571" s="17"/>
      <c r="J571" s="17"/>
      <c r="K571" s="17"/>
      <c r="L571" s="6"/>
      <c r="M571" s="6"/>
      <c r="N571" s="16"/>
      <c r="O571" s="6"/>
      <c r="P571" s="16"/>
      <c r="Q571" s="6"/>
      <c r="R571" s="6"/>
      <c r="S571" s="6"/>
    </row>
    <row r="572">
      <c r="A572" s="22"/>
      <c r="B572" s="6"/>
      <c r="C572" s="6"/>
      <c r="D572" s="6"/>
      <c r="E572" s="6"/>
      <c r="F572" s="6"/>
      <c r="G572" s="16"/>
      <c r="H572" s="16"/>
      <c r="I572" s="17"/>
      <c r="J572" s="17"/>
      <c r="K572" s="17"/>
      <c r="L572" s="6"/>
      <c r="M572" s="6"/>
      <c r="N572" s="16"/>
      <c r="O572" s="6"/>
      <c r="P572" s="16"/>
      <c r="Q572" s="6"/>
      <c r="R572" s="6"/>
      <c r="S572" s="6"/>
    </row>
    <row r="573">
      <c r="A573" s="22"/>
      <c r="B573" s="6"/>
      <c r="C573" s="6"/>
      <c r="D573" s="6"/>
      <c r="E573" s="6"/>
      <c r="F573" s="6"/>
      <c r="G573" s="16"/>
      <c r="H573" s="16"/>
      <c r="I573" s="17"/>
      <c r="J573" s="17"/>
      <c r="K573" s="17"/>
      <c r="L573" s="6"/>
      <c r="M573" s="6"/>
      <c r="N573" s="16"/>
      <c r="O573" s="6"/>
      <c r="P573" s="16"/>
      <c r="Q573" s="6"/>
      <c r="R573" s="6"/>
      <c r="S573" s="6"/>
    </row>
    <row r="574">
      <c r="A574" s="22"/>
      <c r="B574" s="6"/>
      <c r="C574" s="6"/>
      <c r="D574" s="6"/>
      <c r="E574" s="6"/>
      <c r="F574" s="6"/>
      <c r="G574" s="16"/>
      <c r="H574" s="16"/>
      <c r="I574" s="17"/>
      <c r="J574" s="17"/>
      <c r="K574" s="17"/>
      <c r="L574" s="6"/>
      <c r="M574" s="6"/>
      <c r="N574" s="16"/>
      <c r="O574" s="6"/>
      <c r="P574" s="16"/>
      <c r="Q574" s="6"/>
      <c r="R574" s="6"/>
      <c r="S574" s="6"/>
    </row>
    <row r="575">
      <c r="A575" s="22"/>
      <c r="B575" s="6"/>
      <c r="C575" s="6"/>
      <c r="D575" s="6"/>
      <c r="E575" s="6"/>
      <c r="F575" s="6"/>
      <c r="G575" s="16"/>
      <c r="H575" s="16"/>
      <c r="I575" s="17"/>
      <c r="J575" s="17"/>
      <c r="K575" s="17"/>
      <c r="L575" s="6"/>
      <c r="M575" s="6"/>
      <c r="N575" s="16"/>
      <c r="O575" s="6"/>
      <c r="P575" s="16"/>
      <c r="Q575" s="6"/>
      <c r="R575" s="6"/>
      <c r="S575" s="6"/>
    </row>
    <row r="576">
      <c r="A576" s="22"/>
      <c r="B576" s="6"/>
      <c r="C576" s="6"/>
      <c r="D576" s="6"/>
      <c r="E576" s="6"/>
      <c r="F576" s="6"/>
      <c r="G576" s="16"/>
      <c r="H576" s="16"/>
      <c r="I576" s="17"/>
      <c r="J576" s="17"/>
      <c r="K576" s="17"/>
      <c r="L576" s="6"/>
      <c r="M576" s="6"/>
      <c r="N576" s="16"/>
      <c r="O576" s="6"/>
      <c r="P576" s="16"/>
      <c r="Q576" s="6"/>
      <c r="R576" s="6"/>
      <c r="S576" s="6"/>
    </row>
    <row r="577">
      <c r="A577" s="22"/>
      <c r="B577" s="6"/>
      <c r="C577" s="6"/>
      <c r="D577" s="6"/>
      <c r="E577" s="6"/>
      <c r="F577" s="6"/>
      <c r="G577" s="16"/>
      <c r="H577" s="16"/>
      <c r="I577" s="17"/>
      <c r="J577" s="17"/>
      <c r="K577" s="17"/>
      <c r="L577" s="6"/>
      <c r="M577" s="6"/>
      <c r="N577" s="16"/>
      <c r="O577" s="6"/>
      <c r="P577" s="16"/>
      <c r="Q577" s="6"/>
      <c r="R577" s="6"/>
      <c r="S577" s="6"/>
    </row>
    <row r="578">
      <c r="A578" s="22"/>
      <c r="B578" s="6"/>
      <c r="C578" s="6"/>
      <c r="D578" s="6"/>
      <c r="E578" s="6"/>
      <c r="F578" s="6"/>
      <c r="G578" s="16"/>
      <c r="H578" s="16"/>
      <c r="I578" s="17"/>
      <c r="J578" s="17"/>
      <c r="K578" s="17"/>
      <c r="L578" s="6"/>
      <c r="M578" s="6"/>
      <c r="N578" s="16"/>
      <c r="O578" s="6"/>
      <c r="P578" s="16"/>
      <c r="Q578" s="6"/>
      <c r="R578" s="6"/>
      <c r="S578" s="6"/>
    </row>
  </sheetData>
  <hyperlinks>
    <hyperlink r:id="rId1" location="gid=988598667" ref="J133"/>
    <hyperlink r:id="rId2" location="gid=1997450648" ref="J134"/>
    <hyperlink r:id="rId3" location="gid=1755627096" ref="J135"/>
    <hyperlink r:id="rId4" location="gid=1311899156" ref="J136"/>
    <hyperlink r:id="rId5" location="gid=242811066" ref="J13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5" max="5" width="28.5"/>
    <col customWidth="1" min="7" max="7" width="15.38"/>
    <col customWidth="1" min="8" max="8" width="15.0"/>
    <col customWidth="1" min="9" max="10" width="14.13"/>
    <col customWidth="1" min="17" max="17" width="14.88"/>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3" t="s">
        <v>15</v>
      </c>
      <c r="Q1" s="2" t="s">
        <v>16</v>
      </c>
      <c r="R1" s="4"/>
      <c r="S1" s="4"/>
      <c r="T1" s="4"/>
      <c r="U1" s="4"/>
      <c r="V1" s="4"/>
      <c r="W1" s="4"/>
      <c r="X1" s="4"/>
      <c r="Y1" s="4"/>
      <c r="Z1" s="4"/>
    </row>
    <row r="2">
      <c r="A2" s="5"/>
      <c r="J2" s="6"/>
      <c r="K2" s="6"/>
      <c r="L2" s="7"/>
      <c r="M2" s="2" t="s">
        <v>17</v>
      </c>
      <c r="N2" s="8">
        <v>45974.369187442135</v>
      </c>
      <c r="O2" s="9" t="s">
        <v>18</v>
      </c>
      <c r="P2" s="8">
        <v>45974.752808703706</v>
      </c>
      <c r="Q2" s="9" t="s">
        <v>304</v>
      </c>
      <c r="R2" s="4"/>
      <c r="S2" s="4"/>
      <c r="T2" s="4"/>
      <c r="U2" s="4"/>
      <c r="V2" s="4"/>
      <c r="W2" s="4"/>
      <c r="X2" s="4"/>
      <c r="Y2" s="4"/>
      <c r="Z2" s="4"/>
    </row>
    <row r="3">
      <c r="A3" s="5"/>
      <c r="J3" s="6"/>
      <c r="K3" s="6"/>
      <c r="L3" s="9"/>
      <c r="M3" s="2" t="s">
        <v>19</v>
      </c>
      <c r="N3" s="8">
        <v>45974.36924144676</v>
      </c>
      <c r="O3" s="9" t="s">
        <v>305</v>
      </c>
      <c r="P3" s="8">
        <v>45974.75394810185</v>
      </c>
      <c r="Q3" s="9" t="s">
        <v>306</v>
      </c>
      <c r="R3" s="4"/>
      <c r="S3" s="4"/>
      <c r="T3" s="4"/>
      <c r="U3" s="4"/>
      <c r="V3" s="4"/>
      <c r="W3" s="4"/>
      <c r="X3" s="4"/>
      <c r="Y3" s="4"/>
      <c r="Z3" s="4"/>
    </row>
    <row r="4">
      <c r="A4" s="5"/>
      <c r="J4" s="6"/>
      <c r="K4" s="6"/>
      <c r="L4" s="7"/>
      <c r="M4" s="2" t="s">
        <v>21</v>
      </c>
      <c r="N4" s="8">
        <v>45974.37395466435</v>
      </c>
      <c r="O4" s="9" t="s">
        <v>307</v>
      </c>
      <c r="P4" s="8">
        <v>45974.75328634259</v>
      </c>
      <c r="Q4" s="9" t="s">
        <v>308</v>
      </c>
      <c r="R4" s="4"/>
      <c r="S4" s="4"/>
      <c r="T4" s="4"/>
      <c r="U4" s="4"/>
      <c r="V4" s="4"/>
      <c r="W4" s="4"/>
      <c r="X4" s="4"/>
      <c r="Y4" s="4"/>
      <c r="Z4" s="4"/>
    </row>
    <row r="5">
      <c r="A5" s="5"/>
      <c r="J5" s="6"/>
      <c r="K5" s="6"/>
      <c r="L5" s="7"/>
      <c r="M5" s="2" t="s">
        <v>23</v>
      </c>
      <c r="N5" s="8">
        <v>45974.36388498843</v>
      </c>
      <c r="O5" s="9" t="s">
        <v>309</v>
      </c>
      <c r="P5" s="8">
        <v>45974.75182798611</v>
      </c>
      <c r="Q5" s="9" t="s">
        <v>310</v>
      </c>
      <c r="R5" s="4"/>
      <c r="S5" s="4"/>
      <c r="T5" s="4"/>
      <c r="U5" s="4"/>
      <c r="V5" s="4"/>
      <c r="W5" s="4"/>
      <c r="X5" s="4"/>
      <c r="Y5" s="4"/>
      <c r="Z5" s="4"/>
    </row>
    <row r="6">
      <c r="A6" s="5"/>
      <c r="J6" s="6"/>
      <c r="K6" s="6"/>
      <c r="L6" s="7"/>
      <c r="M6" s="2" t="s">
        <v>25</v>
      </c>
      <c r="N6" s="8">
        <v>45974.3588366551</v>
      </c>
      <c r="O6" s="9" t="s">
        <v>311</v>
      </c>
      <c r="P6" s="8">
        <v>45974.74313212963</v>
      </c>
      <c r="Q6" s="9" t="s">
        <v>312</v>
      </c>
      <c r="R6" s="4"/>
      <c r="S6" s="4"/>
      <c r="T6" s="4"/>
      <c r="U6" s="4"/>
      <c r="V6" s="4"/>
      <c r="W6" s="4"/>
      <c r="X6" s="4"/>
      <c r="Y6" s="4"/>
      <c r="Z6" s="4"/>
    </row>
    <row r="7">
      <c r="A7" s="5"/>
      <c r="J7" s="6"/>
      <c r="K7" s="6"/>
      <c r="L7" s="7"/>
      <c r="M7" s="2" t="s">
        <v>27</v>
      </c>
      <c r="N7" s="8">
        <v>45974.36876092592</v>
      </c>
      <c r="O7" s="9" t="s">
        <v>313</v>
      </c>
      <c r="P7" s="8">
        <v>45974.75215872686</v>
      </c>
      <c r="Q7" s="9" t="s">
        <v>314</v>
      </c>
      <c r="R7" s="4"/>
      <c r="S7" s="4"/>
      <c r="T7" s="4"/>
      <c r="U7" s="4"/>
      <c r="V7" s="4"/>
      <c r="W7" s="4"/>
      <c r="X7" s="4"/>
      <c r="Y7" s="4"/>
      <c r="Z7" s="4"/>
    </row>
    <row r="8">
      <c r="A8" s="5"/>
      <c r="J8" s="6"/>
      <c r="K8" s="6"/>
      <c r="L8" s="9"/>
      <c r="M8" s="2" t="s">
        <v>29</v>
      </c>
      <c r="N8" s="8">
        <v>45974.36970805556</v>
      </c>
      <c r="O8" s="9" t="s">
        <v>315</v>
      </c>
      <c r="P8" s="8">
        <v>45974.75152967592</v>
      </c>
      <c r="Q8" s="9" t="s">
        <v>316</v>
      </c>
      <c r="R8" s="4"/>
      <c r="S8" s="4"/>
      <c r="T8" s="4"/>
      <c r="U8" s="4"/>
      <c r="V8" s="4"/>
      <c r="W8" s="4"/>
      <c r="X8" s="4"/>
      <c r="Y8" s="4"/>
      <c r="Z8" s="4"/>
    </row>
    <row r="9">
      <c r="A9" s="5"/>
      <c r="J9" s="6"/>
      <c r="K9" s="6"/>
      <c r="L9" s="7"/>
      <c r="M9" s="2" t="s">
        <v>31</v>
      </c>
      <c r="N9" s="8">
        <v>45974.37963728009</v>
      </c>
      <c r="O9" s="9" t="s">
        <v>317</v>
      </c>
      <c r="P9" s="8">
        <v>45974.74945545139</v>
      </c>
      <c r="Q9" s="9" t="s">
        <v>318</v>
      </c>
      <c r="R9" s="4"/>
      <c r="S9" s="4"/>
      <c r="T9" s="4"/>
      <c r="U9" s="4"/>
      <c r="V9" s="4"/>
      <c r="W9" s="4"/>
      <c r="X9" s="4"/>
      <c r="Y9" s="4"/>
      <c r="Z9" s="4"/>
    </row>
    <row r="10">
      <c r="A10" s="5"/>
      <c r="J10" s="6"/>
      <c r="K10" s="6"/>
      <c r="L10" s="7"/>
      <c r="M10" s="2" t="s">
        <v>33</v>
      </c>
      <c r="N10" s="8">
        <v>45974.37967510417</v>
      </c>
      <c r="O10" s="9" t="s">
        <v>319</v>
      </c>
      <c r="P10" s="8">
        <v>45974.763745081014</v>
      </c>
      <c r="Q10" s="9" t="s">
        <v>320</v>
      </c>
      <c r="R10" s="4"/>
      <c r="S10" s="4"/>
      <c r="T10" s="4"/>
      <c r="U10" s="4"/>
      <c r="V10" s="4"/>
      <c r="W10" s="4"/>
      <c r="X10" s="4"/>
      <c r="Y10" s="4"/>
      <c r="Z10" s="4"/>
    </row>
    <row r="11">
      <c r="A11" s="5"/>
      <c r="J11" s="6"/>
      <c r="K11" s="6"/>
      <c r="L11" s="7"/>
      <c r="M11" s="2" t="s">
        <v>35</v>
      </c>
      <c r="N11" s="8">
        <v>45974.40295603009</v>
      </c>
      <c r="O11" s="9" t="s">
        <v>321</v>
      </c>
      <c r="P11" s="8">
        <v>45974.75841056713</v>
      </c>
      <c r="Q11" s="9" t="s">
        <v>322</v>
      </c>
      <c r="R11" s="4"/>
      <c r="S11" s="4"/>
      <c r="T11" s="4"/>
      <c r="U11" s="4"/>
      <c r="V11" s="4"/>
      <c r="W11" s="4"/>
      <c r="X11" s="4"/>
      <c r="Y11" s="4"/>
      <c r="Z11" s="4"/>
    </row>
    <row r="12">
      <c r="A12" s="5"/>
      <c r="J12" s="6"/>
      <c r="K12" s="6"/>
      <c r="L12" s="7"/>
      <c r="M12" s="2" t="s">
        <v>37</v>
      </c>
      <c r="N12" s="10"/>
      <c r="O12" s="4"/>
      <c r="P12" s="10"/>
      <c r="Q12" s="4"/>
      <c r="R12" s="4"/>
      <c r="S12" s="4"/>
      <c r="T12" s="4"/>
      <c r="U12" s="4"/>
      <c r="V12" s="4"/>
      <c r="W12" s="4"/>
      <c r="X12" s="4"/>
      <c r="Y12" s="4"/>
      <c r="Z12" s="4"/>
    </row>
    <row r="13">
      <c r="A13" s="5"/>
      <c r="J13" s="6"/>
      <c r="K13" s="6"/>
      <c r="L13" s="7"/>
      <c r="M13" s="2" t="s">
        <v>38</v>
      </c>
      <c r="N13" s="8"/>
      <c r="O13" s="9"/>
      <c r="P13" s="8"/>
      <c r="Q13" s="9"/>
      <c r="R13" s="4"/>
      <c r="S13" s="4"/>
      <c r="T13" s="4"/>
      <c r="U13" s="4"/>
      <c r="V13" s="4"/>
      <c r="W13" s="4"/>
      <c r="X13" s="4"/>
      <c r="Y13" s="4"/>
      <c r="Z13" s="4"/>
    </row>
    <row r="14">
      <c r="A14" s="5"/>
      <c r="J14" s="6"/>
      <c r="K14" s="6"/>
      <c r="L14" s="7"/>
      <c r="M14" s="2" t="s">
        <v>39</v>
      </c>
      <c r="N14" s="8">
        <v>45973.37181686342</v>
      </c>
      <c r="O14" s="9" t="s">
        <v>323</v>
      </c>
      <c r="P14" s="8">
        <v>45973.75059564815</v>
      </c>
      <c r="Q14" s="9" t="s">
        <v>324</v>
      </c>
      <c r="R14" s="4"/>
      <c r="S14" s="4"/>
      <c r="T14" s="4"/>
      <c r="U14" s="4"/>
      <c r="V14" s="4"/>
      <c r="W14" s="4"/>
      <c r="X14" s="4"/>
      <c r="Y14" s="4"/>
      <c r="Z14" s="4"/>
    </row>
    <row r="15">
      <c r="A15" s="5"/>
      <c r="J15" s="6"/>
      <c r="K15" s="6"/>
      <c r="L15" s="7"/>
      <c r="M15" s="2" t="s">
        <v>40</v>
      </c>
      <c r="N15" s="10"/>
      <c r="O15" s="4"/>
      <c r="P15" s="10"/>
      <c r="Q15" s="4"/>
      <c r="R15" s="4"/>
      <c r="S15" s="4"/>
      <c r="T15" s="4"/>
      <c r="U15" s="4"/>
      <c r="V15" s="4"/>
      <c r="W15" s="4"/>
      <c r="X15" s="4"/>
      <c r="Y15" s="4"/>
      <c r="Z15" s="4"/>
    </row>
    <row r="16">
      <c r="A16" s="5"/>
      <c r="J16" s="6"/>
      <c r="K16" s="6"/>
      <c r="L16" s="7"/>
      <c r="M16" s="2" t="s">
        <v>41</v>
      </c>
      <c r="N16" s="8">
        <v>45974.35967857639</v>
      </c>
      <c r="O16" s="9" t="s">
        <v>325</v>
      </c>
      <c r="P16" s="11">
        <v>45974.75016107639</v>
      </c>
      <c r="Q16" s="2" t="s">
        <v>326</v>
      </c>
      <c r="R16" s="4"/>
      <c r="S16" s="4"/>
      <c r="T16" s="4"/>
      <c r="U16" s="4"/>
      <c r="V16" s="4"/>
      <c r="W16" s="4"/>
      <c r="X16" s="4"/>
      <c r="Y16" s="4"/>
      <c r="Z16" s="4"/>
    </row>
    <row r="17">
      <c r="A17" s="5"/>
      <c r="J17" s="6"/>
      <c r="K17" s="6"/>
      <c r="L17" s="7"/>
      <c r="M17" s="2" t="s">
        <v>43</v>
      </c>
      <c r="N17" s="10"/>
      <c r="O17" s="4"/>
      <c r="P17" s="10"/>
      <c r="Q17" s="4"/>
      <c r="R17" s="4"/>
      <c r="S17" s="4"/>
      <c r="T17" s="4"/>
      <c r="U17" s="4"/>
      <c r="V17" s="4"/>
      <c r="W17" s="4"/>
      <c r="X17" s="4"/>
      <c r="Y17" s="4"/>
      <c r="Z17" s="4"/>
    </row>
    <row r="18">
      <c r="A18" s="33" t="s">
        <v>327</v>
      </c>
      <c r="B18" s="2" t="s">
        <v>328</v>
      </c>
      <c r="C18" s="17" t="s">
        <v>329</v>
      </c>
      <c r="D18" s="17" t="s">
        <v>330</v>
      </c>
      <c r="E18" s="34" t="s">
        <v>19</v>
      </c>
      <c r="F18" s="2" t="s">
        <v>331</v>
      </c>
      <c r="G18" s="8">
        <v>45974.42682113426</v>
      </c>
      <c r="H18" s="8">
        <v>45974.494466041666</v>
      </c>
      <c r="I18" s="35" t="s">
        <v>332</v>
      </c>
      <c r="J18" s="2" t="s">
        <v>333</v>
      </c>
      <c r="K18" s="36" t="s">
        <v>334</v>
      </c>
      <c r="L18" s="15" t="s">
        <v>38</v>
      </c>
      <c r="M18" s="37"/>
      <c r="N18" s="20"/>
      <c r="O18" s="6"/>
      <c r="P18" s="16"/>
      <c r="Q18" s="6"/>
      <c r="R18" s="6"/>
      <c r="S18" s="6"/>
    </row>
    <row r="19">
      <c r="A19" s="33" t="s">
        <v>335</v>
      </c>
      <c r="B19" s="2" t="s">
        <v>336</v>
      </c>
      <c r="C19" s="17" t="s">
        <v>337</v>
      </c>
      <c r="D19" s="17" t="s">
        <v>338</v>
      </c>
      <c r="E19" s="34" t="s">
        <v>33</v>
      </c>
      <c r="F19" s="2" t="s">
        <v>331</v>
      </c>
      <c r="G19" s="8">
        <v>45973.384980057876</v>
      </c>
      <c r="H19" s="8">
        <v>45973.472300208334</v>
      </c>
      <c r="I19" s="35" t="s">
        <v>339</v>
      </c>
      <c r="J19" s="2" t="s">
        <v>340</v>
      </c>
      <c r="K19" s="36" t="s">
        <v>341</v>
      </c>
      <c r="L19" s="38"/>
      <c r="M19" s="37"/>
      <c r="N19" s="20"/>
      <c r="O19" s="6"/>
      <c r="P19" s="16"/>
      <c r="Q19" s="6"/>
      <c r="R19" s="6"/>
      <c r="S19" s="6"/>
    </row>
    <row r="20">
      <c r="A20" s="39" t="s">
        <v>342</v>
      </c>
      <c r="B20" s="2" t="s">
        <v>343</v>
      </c>
      <c r="C20" s="2" t="s">
        <v>344</v>
      </c>
      <c r="D20" s="2" t="s">
        <v>345</v>
      </c>
      <c r="E20" s="40" t="s">
        <v>21</v>
      </c>
      <c r="F20" s="9" t="s">
        <v>346</v>
      </c>
      <c r="G20" s="8">
        <v>45973.38078460648</v>
      </c>
      <c r="H20" s="8">
        <v>45973.43292075231</v>
      </c>
      <c r="I20" s="35" t="s">
        <v>347</v>
      </c>
      <c r="J20" s="41" t="s">
        <v>348</v>
      </c>
      <c r="K20" s="42" t="s">
        <v>349</v>
      </c>
      <c r="L20" s="15" t="s">
        <v>21</v>
      </c>
      <c r="M20" s="37"/>
      <c r="N20" s="20"/>
      <c r="O20" s="6"/>
      <c r="P20" s="16"/>
      <c r="Q20" s="6"/>
      <c r="R20" s="6"/>
      <c r="S20" s="6"/>
    </row>
    <row r="21">
      <c r="A21" s="39" t="s">
        <v>350</v>
      </c>
      <c r="B21" s="2" t="s">
        <v>351</v>
      </c>
      <c r="C21" s="2" t="s">
        <v>352</v>
      </c>
      <c r="D21" s="2" t="s">
        <v>353</v>
      </c>
      <c r="E21" s="40" t="s">
        <v>33</v>
      </c>
      <c r="F21" s="9" t="s">
        <v>346</v>
      </c>
      <c r="G21" s="8">
        <v>45973.58241236111</v>
      </c>
      <c r="H21" s="8">
        <v>45973.65685738426</v>
      </c>
      <c r="I21" s="35" t="s">
        <v>354</v>
      </c>
      <c r="J21" s="41" t="s">
        <v>355</v>
      </c>
      <c r="K21" s="42" t="s">
        <v>356</v>
      </c>
      <c r="L21" s="15" t="s">
        <v>27</v>
      </c>
      <c r="M21" s="37"/>
      <c r="N21" s="20"/>
      <c r="O21" s="6"/>
      <c r="P21" s="16"/>
      <c r="Q21" s="6"/>
      <c r="R21" s="6"/>
      <c r="S21" s="6"/>
    </row>
    <row r="22">
      <c r="A22" s="39" t="s">
        <v>357</v>
      </c>
      <c r="B22" s="2" t="s">
        <v>358</v>
      </c>
      <c r="C22" s="2" t="s">
        <v>359</v>
      </c>
      <c r="D22" s="2" t="s">
        <v>360</v>
      </c>
      <c r="E22" s="40" t="s">
        <v>19</v>
      </c>
      <c r="F22" s="9" t="s">
        <v>346</v>
      </c>
      <c r="G22" s="8">
        <v>45973.42681146991</v>
      </c>
      <c r="H22" s="8">
        <v>45973.49275800926</v>
      </c>
      <c r="I22" s="35" t="s">
        <v>361</v>
      </c>
      <c r="J22" s="41" t="s">
        <v>362</v>
      </c>
      <c r="K22" s="42" t="s">
        <v>363</v>
      </c>
      <c r="L22" s="6"/>
      <c r="M22" s="37"/>
      <c r="N22" s="20"/>
      <c r="O22" s="6"/>
      <c r="P22" s="16"/>
      <c r="Q22" s="6"/>
      <c r="R22" s="6"/>
      <c r="S22" s="6"/>
    </row>
    <row r="23">
      <c r="A23" s="39" t="s">
        <v>364</v>
      </c>
      <c r="B23" s="2" t="s">
        <v>365</v>
      </c>
      <c r="C23" s="2" t="s">
        <v>366</v>
      </c>
      <c r="D23" s="2" t="s">
        <v>367</v>
      </c>
      <c r="E23" s="40" t="s">
        <v>29</v>
      </c>
      <c r="F23" s="9" t="s">
        <v>346</v>
      </c>
      <c r="G23" s="8">
        <v>45974.492473680555</v>
      </c>
      <c r="H23" s="8">
        <v>45974.75129388889</v>
      </c>
      <c r="I23" s="35" t="s">
        <v>368</v>
      </c>
      <c r="J23" s="41" t="s">
        <v>369</v>
      </c>
      <c r="K23" s="42" t="s">
        <v>370</v>
      </c>
      <c r="L23" s="15" t="s">
        <v>41</v>
      </c>
      <c r="M23" s="37"/>
      <c r="N23" s="20"/>
      <c r="O23" s="6"/>
      <c r="P23" s="16"/>
      <c r="Q23" s="6"/>
      <c r="R23" s="6"/>
      <c r="S23" s="6"/>
    </row>
    <row r="24">
      <c r="A24" s="39" t="s">
        <v>371</v>
      </c>
      <c r="B24" s="2" t="s">
        <v>372</v>
      </c>
      <c r="C24" s="2" t="s">
        <v>373</v>
      </c>
      <c r="D24" s="2" t="s">
        <v>374</v>
      </c>
      <c r="E24" s="40" t="s">
        <v>19</v>
      </c>
      <c r="F24" s="9" t="s">
        <v>346</v>
      </c>
      <c r="G24" s="8">
        <v>45973.37259805556</v>
      </c>
      <c r="H24" s="8">
        <v>45973.41988769676</v>
      </c>
      <c r="I24" s="35" t="s">
        <v>375</v>
      </c>
      <c r="J24" s="41" t="s">
        <v>376</v>
      </c>
      <c r="K24" s="42" t="s">
        <v>377</v>
      </c>
      <c r="L24" s="6"/>
      <c r="M24" s="37"/>
      <c r="N24" s="20"/>
      <c r="O24" s="6"/>
      <c r="P24" s="16"/>
      <c r="Q24" s="6"/>
      <c r="R24" s="6"/>
      <c r="S24" s="6"/>
    </row>
    <row r="25">
      <c r="A25" s="43" t="s">
        <v>378</v>
      </c>
      <c r="B25" s="2" t="s">
        <v>379</v>
      </c>
      <c r="C25" s="2" t="s">
        <v>380</v>
      </c>
      <c r="D25" s="2" t="s">
        <v>381</v>
      </c>
      <c r="E25" s="40" t="s">
        <v>33</v>
      </c>
      <c r="F25" s="9" t="s">
        <v>382</v>
      </c>
      <c r="G25" s="8">
        <v>45974.38694630787</v>
      </c>
      <c r="H25" s="8">
        <v>45974.498722916665</v>
      </c>
      <c r="I25" s="35" t="s">
        <v>383</v>
      </c>
      <c r="J25" s="41"/>
      <c r="K25" s="41"/>
      <c r="L25" s="15" t="s">
        <v>35</v>
      </c>
      <c r="M25" s="37"/>
      <c r="N25" s="20"/>
      <c r="O25" s="6"/>
      <c r="P25" s="16"/>
      <c r="Q25" s="6"/>
      <c r="R25" s="6"/>
      <c r="S25" s="6"/>
    </row>
    <row r="26">
      <c r="A26" s="32" t="s">
        <v>384</v>
      </c>
      <c r="B26" s="15" t="s">
        <v>385</v>
      </c>
      <c r="C26" s="15" t="s">
        <v>386</v>
      </c>
      <c r="D26" s="15" t="s">
        <v>387</v>
      </c>
      <c r="E26" s="37" t="s">
        <v>39</v>
      </c>
      <c r="F26" s="15" t="s">
        <v>382</v>
      </c>
      <c r="G26" s="20">
        <v>45973.47436578704</v>
      </c>
      <c r="H26" s="20">
        <v>45973.5147794213</v>
      </c>
      <c r="I26" s="44" t="s">
        <v>388</v>
      </c>
      <c r="J26" s="2"/>
      <c r="K26" s="2"/>
      <c r="L26" s="15" t="s">
        <v>25</v>
      </c>
      <c r="M26" s="37"/>
      <c r="N26" s="20"/>
      <c r="O26" s="6"/>
      <c r="P26" s="16"/>
      <c r="Q26" s="6"/>
      <c r="R26" s="6"/>
      <c r="S26" s="6"/>
    </row>
    <row r="27">
      <c r="A27" s="32" t="s">
        <v>389</v>
      </c>
      <c r="B27" s="15" t="s">
        <v>390</v>
      </c>
      <c r="C27" s="15" t="s">
        <v>391</v>
      </c>
      <c r="D27" s="15" t="s">
        <v>392</v>
      </c>
      <c r="E27" s="37" t="s">
        <v>17</v>
      </c>
      <c r="F27" s="15" t="s">
        <v>382</v>
      </c>
      <c r="G27" s="20">
        <v>45973.546032708335</v>
      </c>
      <c r="H27" s="20">
        <v>45973.637600601855</v>
      </c>
      <c r="I27" s="44" t="s">
        <v>393</v>
      </c>
      <c r="J27" s="2"/>
      <c r="K27" s="2"/>
      <c r="L27" s="6"/>
      <c r="M27" s="37"/>
      <c r="N27" s="20"/>
      <c r="O27" s="6"/>
      <c r="P27" s="16"/>
      <c r="Q27" s="6"/>
      <c r="R27" s="6"/>
      <c r="S27" s="6"/>
    </row>
    <row r="28">
      <c r="A28" s="32" t="s">
        <v>394</v>
      </c>
      <c r="B28" s="15" t="s">
        <v>395</v>
      </c>
      <c r="C28" s="15" t="s">
        <v>396</v>
      </c>
      <c r="D28" s="15" t="s">
        <v>397</v>
      </c>
      <c r="E28" s="37" t="s">
        <v>39</v>
      </c>
      <c r="F28" s="15" t="s">
        <v>382</v>
      </c>
      <c r="G28" s="20">
        <v>45973.58740758101</v>
      </c>
      <c r="H28" s="20">
        <v>45973.64338112269</v>
      </c>
      <c r="I28" s="44" t="s">
        <v>398</v>
      </c>
      <c r="J28" s="2"/>
      <c r="K28" s="2"/>
      <c r="L28" s="15" t="s">
        <v>21</v>
      </c>
      <c r="M28" s="37"/>
      <c r="N28" s="20"/>
      <c r="O28" s="6"/>
      <c r="P28" s="16"/>
      <c r="Q28" s="6"/>
      <c r="R28" s="6"/>
      <c r="S28" s="6"/>
    </row>
    <row r="29">
      <c r="A29" s="32" t="s">
        <v>399</v>
      </c>
      <c r="B29" s="15" t="s">
        <v>400</v>
      </c>
      <c r="C29" s="15" t="s">
        <v>401</v>
      </c>
      <c r="D29" s="15" t="s">
        <v>402</v>
      </c>
      <c r="E29" s="37" t="s">
        <v>17</v>
      </c>
      <c r="F29" s="15" t="s">
        <v>382</v>
      </c>
      <c r="G29" s="20">
        <v>45973.36657083333</v>
      </c>
      <c r="H29" s="20">
        <v>45973.43624822916</v>
      </c>
      <c r="I29" s="44" t="s">
        <v>403</v>
      </c>
      <c r="J29" s="2"/>
      <c r="K29" s="2"/>
      <c r="L29" s="6"/>
      <c r="M29" s="37"/>
      <c r="N29" s="20"/>
      <c r="O29" s="6"/>
      <c r="P29" s="16"/>
      <c r="Q29" s="6"/>
      <c r="R29" s="6"/>
      <c r="S29" s="6"/>
    </row>
    <row r="30">
      <c r="A30" s="32" t="s">
        <v>404</v>
      </c>
      <c r="B30" s="6" t="s">
        <v>405</v>
      </c>
      <c r="C30" s="6" t="s">
        <v>406</v>
      </c>
      <c r="D30" s="6" t="s">
        <v>407</v>
      </c>
      <c r="E30" s="37" t="s">
        <v>23</v>
      </c>
      <c r="F30" s="15" t="s">
        <v>408</v>
      </c>
      <c r="G30" s="20">
        <v>45973.54761795139</v>
      </c>
      <c r="H30" s="20">
        <v>45973.54969337963</v>
      </c>
      <c r="I30" s="44" t="s">
        <v>409</v>
      </c>
      <c r="J30" s="17" t="s">
        <v>410</v>
      </c>
      <c r="K30" s="45" t="s">
        <v>411</v>
      </c>
      <c r="L30" s="15" t="s">
        <v>21</v>
      </c>
      <c r="M30" s="37"/>
      <c r="N30" s="20"/>
      <c r="O30" s="6"/>
      <c r="P30" s="16"/>
      <c r="Q30" s="6"/>
      <c r="R30" s="6"/>
      <c r="S30" s="6"/>
    </row>
    <row r="31">
      <c r="A31" s="32" t="s">
        <v>412</v>
      </c>
      <c r="B31" s="6" t="s">
        <v>413</v>
      </c>
      <c r="C31" s="6" t="s">
        <v>414</v>
      </c>
      <c r="D31" s="6" t="s">
        <v>415</v>
      </c>
      <c r="E31" s="37" t="s">
        <v>33</v>
      </c>
      <c r="F31" s="15" t="s">
        <v>408</v>
      </c>
      <c r="G31" s="20">
        <v>45973.50096106481</v>
      </c>
      <c r="H31" s="20">
        <v>45973.548692094904</v>
      </c>
      <c r="I31" s="44" t="s">
        <v>416</v>
      </c>
      <c r="J31" s="17" t="s">
        <v>417</v>
      </c>
      <c r="K31" s="45" t="s">
        <v>418</v>
      </c>
      <c r="L31" s="6"/>
      <c r="M31" s="37"/>
      <c r="N31" s="20"/>
      <c r="O31" s="6"/>
      <c r="P31" s="16"/>
      <c r="Q31" s="6"/>
      <c r="R31" s="6"/>
      <c r="S31" s="6"/>
    </row>
    <row r="32">
      <c r="A32" s="32" t="s">
        <v>419</v>
      </c>
      <c r="B32" s="6" t="s">
        <v>420</v>
      </c>
      <c r="C32" s="6" t="s">
        <v>421</v>
      </c>
      <c r="D32" s="6" t="s">
        <v>422</v>
      </c>
      <c r="E32" s="37" t="s">
        <v>19</v>
      </c>
      <c r="F32" s="15" t="s">
        <v>408</v>
      </c>
      <c r="G32" s="20">
        <v>45973.51489910879</v>
      </c>
      <c r="H32" s="20">
        <v>45973.582429999995</v>
      </c>
      <c r="I32" s="44" t="s">
        <v>332</v>
      </c>
      <c r="J32" s="17" t="s">
        <v>423</v>
      </c>
      <c r="K32" s="45" t="s">
        <v>424</v>
      </c>
      <c r="L32" s="15" t="s">
        <v>19</v>
      </c>
      <c r="M32" s="37"/>
      <c r="N32" s="20"/>
      <c r="O32" s="6"/>
      <c r="P32" s="16"/>
      <c r="Q32" s="6"/>
      <c r="R32" s="6"/>
      <c r="S32" s="6"/>
    </row>
    <row r="33">
      <c r="A33" s="23" t="s">
        <v>425</v>
      </c>
      <c r="B33" s="13" t="str">
        <f>VLOOKUP($A33,'Реестр объектов'!$A:$I,5,0)</f>
        <v>Севастопольский просп., з/у 46/7 (Севастопольский просп., вблизи д. 46, корп. 7) район Черемушки, Севастопольский пр-кт, вблизи д. 46, к. 7, квартал 32, 33-34, зона № 8.2</v>
      </c>
      <c r="C33" s="13" t="str">
        <f>VLOOKUP($A33,'Реестр объектов'!$A:$I,6,0)</f>
        <v>55.656958</v>
      </c>
      <c r="D33" s="13" t="str">
        <f>VLOOKUP($A33,'Реестр объектов'!$A:$I,7,0)</f>
        <v>37.565047</v>
      </c>
      <c r="E33" s="40" t="s">
        <v>29</v>
      </c>
      <c r="F33" s="9" t="s">
        <v>426</v>
      </c>
      <c r="G33" s="8">
        <v>45973.54779642361</v>
      </c>
      <c r="H33" s="8">
        <v>45973.62455998843</v>
      </c>
      <c r="I33" s="35" t="s">
        <v>427</v>
      </c>
      <c r="J33" s="18" t="str">
        <f>VLOOKUP($A33,'Реестр объектов'!$A:$I,8,0)</f>
        <v>https://docs.google.com/spreadsheets/d/1H1MjbG2y0oC0hhID4do1G0_gfyI1jag72lQd7nL3WDQ/edit?gid=1298340576#gid=1298340576</v>
      </c>
      <c r="K33" s="19" t="str">
        <f>VLOOKUP($A33,'Реестр объектов'!$A:$I,9,0)</f>
        <v>https://disk.yandex.ru/client/disk/Осмотры%20объектов%20АНО%20СМГ/555.%20Район%20Черемушки%2C%20Севастопольский%20вблизи%20д46%20к7%2C%20кв%2032%2C33%20зона%208.2</v>
      </c>
      <c r="L33" s="6"/>
      <c r="M33" s="37"/>
      <c r="N33" s="20"/>
      <c r="O33" s="6"/>
      <c r="P33" s="16"/>
      <c r="Q33" s="6"/>
      <c r="R33" s="6"/>
      <c r="S33" s="6"/>
    </row>
    <row r="34">
      <c r="A34" s="23" t="s">
        <v>428</v>
      </c>
      <c r="B34" s="13" t="str">
        <f>VLOOKUP($A34,'Реестр объектов'!$A:$I,5,0)</f>
        <v>Сиреневый бульвар, з/у 4/9, зона 6,1 Сиреневый бульвар, з/у 4/9, зона 6,1</v>
      </c>
      <c r="C34" s="13" t="str">
        <f>VLOOKUP($A34,'Реестр объектов'!$A:$I,6,0)</f>
        <v>55.796229</v>
      </c>
      <c r="D34" s="13" t="str">
        <f>VLOOKUP($A34,'Реестр объектов'!$A:$I,7,0)</f>
        <v>37.759937</v>
      </c>
      <c r="E34" s="40" t="s">
        <v>41</v>
      </c>
      <c r="F34" s="9" t="s">
        <v>426</v>
      </c>
      <c r="G34" s="8">
        <v>45973.70560313658</v>
      </c>
      <c r="H34" s="8">
        <v>45973.750636365745</v>
      </c>
      <c r="I34" s="35" t="s">
        <v>429</v>
      </c>
      <c r="J34" s="18" t="str">
        <f>VLOOKUP($A34,'Реестр объектов'!$A:$I,8,0)</f>
        <v>https://docs.google.com/spreadsheets/d/1H1MjbG2y0oC0hhID4do1G0_gfyI1jag72lQd7nL3WDQ/edit?gid=84528393#gid=84528393</v>
      </c>
      <c r="K34" s="19" t="str">
        <f>VLOOKUP($A34,'Реестр объектов'!$A:$I,9,0)</f>
        <v>https://disk.yandex.ru/client/disk/Осмотры%20объектов%20АНО%20СМГ/710%20Сиреневый%20бульвар%2C%20зу%204%209%2C%20зона%206.1</v>
      </c>
      <c r="L34" s="6"/>
      <c r="M34" s="37"/>
      <c r="N34" s="20"/>
      <c r="O34" s="6"/>
      <c r="P34" s="16"/>
      <c r="Q34" s="6"/>
      <c r="R34" s="6"/>
      <c r="S34" s="6"/>
    </row>
    <row r="35">
      <c r="A35" s="23" t="s">
        <v>430</v>
      </c>
      <c r="B35" s="13" t="str">
        <f>VLOOKUP($A35,'Реестр объектов'!$A:$I,5,0)</f>
        <v>Михайлова ул., з/у 15 (Михайлова ул., вл. 15, корп. 1 и 2) Михайлова ул., з/у 15 (Михайлова ул., вл. 15, корп. 1 и 2)</v>
      </c>
      <c r="C35" s="13" t="str">
        <f>VLOOKUP($A35,'Реестр объектов'!$A:$I,6,0)</f>
        <v>55.728195</v>
      </c>
      <c r="D35" s="13" t="str">
        <f>VLOOKUP($A35,'Реестр объектов'!$A:$I,7,0)</f>
        <v>37.765938</v>
      </c>
      <c r="E35" s="40" t="s">
        <v>25</v>
      </c>
      <c r="F35" s="9" t="s">
        <v>426</v>
      </c>
      <c r="G35" s="8">
        <v>45973.35179346065</v>
      </c>
      <c r="H35" s="8">
        <v>45973.43511193287</v>
      </c>
      <c r="I35" s="35" t="s">
        <v>431</v>
      </c>
      <c r="J35" s="18" t="str">
        <f>VLOOKUP($A35,'Реестр объектов'!$A:$I,8,0)</f>
        <v>https://docs.google.com/spreadsheets/d/1H1MjbG2y0oC0hhID4do1G0_gfyI1jag72lQd7nL3WDQ/edit?gid=1217417878#gid=1217417878</v>
      </c>
      <c r="K35" s="19" t="str">
        <f>VLOOKUP($A35,'Реестр объектов'!$A:$I,9,0)</f>
        <v>https://disk.yandex.ru/client/disk/Осмотры%20объектов%20АНО%20СМГ/532%20район%20Рязанский%2C%20Михайлова%20ул.%2C%20зу%2015</v>
      </c>
      <c r="L35" s="6"/>
      <c r="M35" s="37"/>
      <c r="N35" s="20"/>
      <c r="O35" s="6"/>
      <c r="P35" s="16"/>
      <c r="Q35" s="6"/>
      <c r="R35" s="6"/>
      <c r="S35" s="6"/>
    </row>
    <row r="36">
      <c r="A36" s="23" t="s">
        <v>432</v>
      </c>
      <c r="B36" s="13" t="str">
        <f>VLOOKUP($A36,'Реестр объектов'!$A:$I,5,0)</f>
        <v>Сиреневый б-р, з/у 4/9, зона 6,2 Сиреневый б-р, з/у 4/9, зона 6,2</v>
      </c>
      <c r="C36" s="13" t="str">
        <f>VLOOKUP($A36,'Реестр объектов'!$A:$I,6,0)</f>
        <v>55.796435</v>
      </c>
      <c r="D36" s="13" t="str">
        <f>VLOOKUP($A36,'Реестр объектов'!$A:$I,7,0)</f>
        <v>37.761761</v>
      </c>
      <c r="E36" s="40" t="s">
        <v>41</v>
      </c>
      <c r="F36" s="9" t="s">
        <v>426</v>
      </c>
      <c r="G36" s="8">
        <v>45973.635631111116</v>
      </c>
      <c r="H36" s="8">
        <v>45973.70498427084</v>
      </c>
      <c r="I36" s="35" t="s">
        <v>403</v>
      </c>
      <c r="J36" s="18" t="str">
        <f>VLOOKUP($A36,'Реестр объектов'!$A:$I,8,0)</f>
        <v>https://docs.google.com/spreadsheets/d/1H1MjbG2y0oC0hhID4do1G0_gfyI1jag72lQd7nL3WDQ/edit?gid=632665949#gid=632665949</v>
      </c>
      <c r="K36" s="19" t="str">
        <f>VLOOKUP($A36,'Реестр объектов'!$A:$I,9,0)</f>
        <v>https://disk.yandex.ru/client/disk/Осмотры%20объектов%20АНО%20СМГ/616.%20Измайлово%2C%20Сиреневый%20бульв%20ар%2C%20зу%204.9%2C%20зона%206.2</v>
      </c>
      <c r="L36" s="6"/>
      <c r="M36" s="37"/>
      <c r="N36" s="20"/>
      <c r="O36" s="6"/>
      <c r="P36" s="16"/>
      <c r="Q36" s="6"/>
      <c r="R36" s="6"/>
      <c r="S36" s="6"/>
    </row>
    <row r="37">
      <c r="A37" s="23" t="s">
        <v>433</v>
      </c>
      <c r="B37" s="13" t="str">
        <f>VLOOKUP($A37,'Реестр объектов'!$A:$I,5,0)</f>
        <v>Волгоградский пр-т, вл. 101, корп. 2 район Кузьминки, Волгоградский пр-т, вл. 101, корп. 2</v>
      </c>
      <c r="C37" s="13" t="str">
        <f>VLOOKUP($A37,'Реестр объектов'!$A:$I,6,0)</f>
        <v>55.708765</v>
      </c>
      <c r="D37" s="13" t="str">
        <f>VLOOKUP($A37,'Реестр объектов'!$A:$I,7,0)</f>
        <v>37.754512</v>
      </c>
      <c r="E37" s="40" t="s">
        <v>27</v>
      </c>
      <c r="F37" s="9" t="s">
        <v>426</v>
      </c>
      <c r="G37" s="8">
        <v>45974.3689310301</v>
      </c>
      <c r="H37" s="8">
        <v>45974.46714532407</v>
      </c>
      <c r="I37" s="35" t="s">
        <v>434</v>
      </c>
      <c r="J37" s="18" t="str">
        <f>VLOOKUP($A37,'Реестр объектов'!$A:$I,8,0)</f>
        <v>https://docs.google.com/spreadsheets/d/1H1MjbG2y0oC0hhID4do1G0_gfyI1jag72lQd7nL3WDQ/edit?gid=947386880#gid=947386880</v>
      </c>
      <c r="K37" s="19" t="str">
        <f>VLOOKUP($A37,'Реестр объектов'!$A:$I,9,0)</f>
        <v>https://disk.yandex.ru/client/disk/Осмотры%20объектов%20АНО%20СМГ/566.%20район%20Кузьминки%2C%20Волгоградский%20пр-т%2C%20вл.%20101%2C%20корп.%202</v>
      </c>
      <c r="L37" s="6"/>
      <c r="M37" s="37"/>
      <c r="N37" s="20"/>
      <c r="O37" s="6"/>
      <c r="P37" s="16"/>
      <c r="Q37" s="6"/>
      <c r="R37" s="6"/>
      <c r="S37" s="6"/>
    </row>
    <row r="38">
      <c r="A38" s="23" t="s">
        <v>435</v>
      </c>
      <c r="B38" s="13" t="str">
        <f>VLOOKUP($A38,'Реестр объектов'!$A:$I,5,0)</f>
        <v>Камова ул., вл. 24 район Косино-Ухтомский, Камова ул., вл. 24</v>
      </c>
      <c r="C38" s="13" t="str">
        <f>VLOOKUP($A38,'Реестр объектов'!$A:$I,6,0)</f>
        <v>55.699665</v>
      </c>
      <c r="D38" s="13" t="str">
        <f>VLOOKUP($A38,'Реестр объектов'!$A:$I,7,0)</f>
        <v>37.875188</v>
      </c>
      <c r="E38" s="40" t="s">
        <v>39</v>
      </c>
      <c r="F38" s="9" t="s">
        <v>426</v>
      </c>
      <c r="G38" s="8">
        <v>45973.37426084491</v>
      </c>
      <c r="H38" s="8">
        <v>45973.44683988426</v>
      </c>
      <c r="I38" s="35" t="s">
        <v>436</v>
      </c>
      <c r="J38" s="18" t="str">
        <f>VLOOKUP($A38,'Реестр объектов'!$A:$I,8,0)</f>
        <v>https://docs.google.com/spreadsheets/d/1H1MjbG2y0oC0hhID4do1G0_gfyI1jag72lQd7nL3WDQ/edit?gid=747557076#gid=747557076</v>
      </c>
      <c r="K38" s="19" t="str">
        <f>VLOOKUP($A38,'Реестр объектов'!$A:$I,9,0)</f>
        <v>https://disk.yandex.ru/client/disk/Осмотры%20объектов%20АНО%20СМГ/447.%20район%20Косино-Ухтомский%2C%20ул.%20Камова%2C%20влд.%2024</v>
      </c>
      <c r="L38" s="6"/>
      <c r="M38" s="37"/>
      <c r="N38" s="20"/>
      <c r="O38" s="6"/>
      <c r="P38" s="16"/>
      <c r="Q38" s="6"/>
      <c r="R38" s="6"/>
      <c r="S38" s="6"/>
    </row>
    <row r="39">
      <c r="A39" s="23" t="s">
        <v>437</v>
      </c>
      <c r="B39" s="13" t="str">
        <f>VLOOKUP($A39,'Реестр объектов'!$A:$I,5,0)</f>
        <v>Молодогвардейская ул., з/у 53 (вл. 51, вл. 53) район Кунцево, Молодогвардейская ул., з/у 53</v>
      </c>
      <c r="C39" s="13" t="str">
        <f>VLOOKUP($A39,'Реестр объектов'!$A:$I,6,0)</f>
        <v>55.733307</v>
      </c>
      <c r="D39" s="13" t="str">
        <f>VLOOKUP($A39,'Реестр объектов'!$A:$I,7,0)</f>
        <v>37.406168</v>
      </c>
      <c r="E39" s="40" t="s">
        <v>35</v>
      </c>
      <c r="F39" s="9" t="s">
        <v>426</v>
      </c>
      <c r="G39" s="8">
        <v>45973.388876365745</v>
      </c>
      <c r="H39" s="8">
        <v>45973.4664522338</v>
      </c>
      <c r="I39" s="35" t="s">
        <v>438</v>
      </c>
      <c r="J39" s="18" t="str">
        <f>VLOOKUP($A39,'Реестр объектов'!$A:$I,8,0)</f>
        <v>https://docs.google.com/spreadsheets/d/1H1MjbG2y0oC0hhID4do1G0_gfyI1jag72lQd7nL3WDQ/edit?gid=788221100#gid=788221100</v>
      </c>
      <c r="K39" s="19" t="str">
        <f>VLOOKUP($A39,'Реестр объектов'!$A:$I,9,0)</f>
        <v>https://disk.yandex.ru/client/disk/Осмотры%20объектов%20АНО%20СМГ/588.%20жилой%20дом%20ул.%20Молодогвардейская%2053</v>
      </c>
      <c r="L39" s="6"/>
      <c r="M39" s="37"/>
      <c r="N39" s="20"/>
      <c r="O39" s="6"/>
      <c r="P39" s="16"/>
      <c r="Q39" s="6"/>
      <c r="R39" s="6"/>
      <c r="S39" s="6"/>
    </row>
    <row r="40">
      <c r="A40" s="23" t="s">
        <v>439</v>
      </c>
      <c r="B40" s="13" t="str">
        <f>VLOOKUP($A40,'Реестр объектов'!$A:$I,5,0)</f>
        <v>Грайвороново, кв. 90А, корп. 12 район Текстильщики, кв-л Грайвороново 90А, з/у 1 (Грайвороново, квартал 90А)</v>
      </c>
      <c r="C40" s="13" t="str">
        <f>VLOOKUP($A40,'Реестр объектов'!$A:$I,6,0)</f>
        <v>55.721583</v>
      </c>
      <c r="D40" s="13" t="str">
        <f>VLOOKUP($A40,'Реестр объектов'!$A:$I,7,0)</f>
        <v>37.738602</v>
      </c>
      <c r="E40" s="40" t="s">
        <v>25</v>
      </c>
      <c r="F40" s="9" t="s">
        <v>426</v>
      </c>
      <c r="G40" s="8">
        <v>45973.44703039352</v>
      </c>
      <c r="H40" s="8">
        <v>45973.529896238426</v>
      </c>
      <c r="I40" s="35" t="s">
        <v>440</v>
      </c>
      <c r="J40" s="18" t="str">
        <f>VLOOKUP($A40,'Реестр объектов'!$A:$I,8,0)</f>
        <v>https://docs.google.com/spreadsheets/d/1H1MjbG2y0oC0hhID4do1G0_gfyI1jag72lQd7nL3WDQ/edit?gid=1984564802#gid=1984564802</v>
      </c>
      <c r="K40" s="19" t="str">
        <f>VLOOKUP($A40,'Реестр объектов'!$A:$I,9,0)</f>
        <v>https://disk.yandex.ru/client/disk/Осмотры%20объектов%20АНО%20СМГ/556.%20Грайвороново%20кв.%2090.%20корп.%2012</v>
      </c>
      <c r="L40" s="6"/>
      <c r="M40" s="37"/>
      <c r="N40" s="20"/>
      <c r="O40" s="6"/>
      <c r="P40" s="16"/>
      <c r="Q40" s="6"/>
      <c r="R40" s="6"/>
      <c r="S40" s="6"/>
    </row>
    <row r="41">
      <c r="A41" s="23" t="s">
        <v>441</v>
      </c>
      <c r="B41" s="13" t="str">
        <f>VLOOKUP($A41,'Реестр объектов'!$A:$I,5,0)</f>
        <v>2-й квартал Капотня, з/у 21 район Капотня, Капотня, 2-й кв., з/у 21</v>
      </c>
      <c r="C41" s="13" t="str">
        <f>VLOOKUP($A41,'Реестр объектов'!$A:$I,6,0)</f>
        <v>55.638790</v>
      </c>
      <c r="D41" s="13" t="str">
        <f>VLOOKUP($A41,'Реестр объектов'!$A:$I,7,0)</f>
        <v>37.801064</v>
      </c>
      <c r="E41" s="40" t="s">
        <v>31</v>
      </c>
      <c r="F41" s="9" t="s">
        <v>426</v>
      </c>
      <c r="G41" s="8">
        <v>45973.74285052084</v>
      </c>
      <c r="H41" s="8">
        <v>45973.74347960648</v>
      </c>
      <c r="I41" s="35" t="s">
        <v>243</v>
      </c>
      <c r="J41" s="18" t="str">
        <f>VLOOKUP($A41,'Реестр объектов'!$A:$I,8,0)</f>
        <v>https://docs.google.com/spreadsheets/d/1H1MjbG2y0oC0hhID4do1G0_gfyI1jag72lQd7nL3WDQ/edit?gid=1879792750#gid=1879792750</v>
      </c>
      <c r="K41" s="19" t="str">
        <f>VLOOKUP($A41,'Реестр объектов'!$A:$I,9,0)</f>
        <v>https://disk.yandex.ru/client/disk/Осмотры%20объектов%20АНО%20СМГ/453.%20Капотня%20р-н%2C%20Капотня%2C%202-й%20кв.%2C%20зу%2021</v>
      </c>
      <c r="L41" s="15" t="s">
        <v>27</v>
      </c>
      <c r="M41" s="37"/>
      <c r="N41" s="20"/>
      <c r="O41" s="6"/>
      <c r="P41" s="16"/>
      <c r="Q41" s="6"/>
      <c r="R41" s="6"/>
      <c r="S41" s="6"/>
    </row>
    <row r="42">
      <c r="A42" s="23" t="s">
        <v>442</v>
      </c>
      <c r="B42" s="13" t="str">
        <f>VLOOKUP($A42,'Реестр объектов'!$A:$I,5,0)</f>
        <v>пр-д Нансена, з/у 8 (пр-д Нансена, вл.8) район Свиблово, проезд Нансена, з/у 8</v>
      </c>
      <c r="C42" s="13" t="str">
        <f>VLOOKUP($A42,'Реестр объектов'!$A:$I,6,0)</f>
        <v>55.850828</v>
      </c>
      <c r="D42" s="13" t="str">
        <f>VLOOKUP($A42,'Реестр объектов'!$A:$I,7,0)</f>
        <v>37.652804</v>
      </c>
      <c r="E42" s="40" t="s">
        <v>21</v>
      </c>
      <c r="F42" s="9" t="s">
        <v>426</v>
      </c>
      <c r="G42" s="8">
        <v>45974.470384699074</v>
      </c>
      <c r="H42" s="8">
        <v>45974.518593078705</v>
      </c>
      <c r="I42" s="35" t="s">
        <v>416</v>
      </c>
      <c r="J42" s="18" t="str">
        <f>VLOOKUP($A42,'Реестр объектов'!$A:$I,8,0)</f>
        <v>https://docs.google.com/spreadsheets/d/1H1MjbG2y0oC0hhID4do1G0_gfyI1jag72lQd7nL3WDQ/edit?gid=1956651299#gid=1956651299</v>
      </c>
      <c r="K42" s="21" t="str">
        <f>VLOOKUP($A42,'Реестр объектов'!$A:$I,9,0)</f>
        <v>https://disk.yandex.ru/client/disk/%D0%9E%D1%81%D0%BC%D0%BE%D1%82%D1%80%D1%8B%20%D0%BE%D0%B1%D1%8A%D0%B5%D0%BA%D1%82%D0%BE%D0%B2%20%D0%90%D0%9D%D0%9E%20%D0%A1%D0%9C%D0%93/536.%20%D0%BF%D1%80%D0%BE%D0%B5%D0%B7%D0%B4%20%D0%9D%D0%B0%D0%BD%D1%81%D0%B5%D0%BD%D0%B0%2C%20%D0%B2%D0%BB%D0%B4.%208</v>
      </c>
      <c r="L42" s="6"/>
      <c r="M42" s="37"/>
      <c r="N42" s="20"/>
      <c r="O42" s="6"/>
      <c r="P42" s="16"/>
      <c r="Q42" s="6"/>
      <c r="R42" s="6"/>
      <c r="S42" s="6"/>
    </row>
    <row r="43">
      <c r="A43" s="23" t="s">
        <v>443</v>
      </c>
      <c r="B43" s="13" t="str">
        <f>VLOOKUP($A43,'Реестр объектов'!$A:$I,5,0)</f>
        <v>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v>
      </c>
      <c r="C43" s="13" t="str">
        <f>VLOOKUP($A43,'Реестр объектов'!$A:$I,6,0)</f>
        <v>55.894674</v>
      </c>
      <c r="D43" s="13" t="str">
        <f>VLOOKUP($A43,'Реестр объектов'!$A:$I,7,0)</f>
        <v>37.537043</v>
      </c>
      <c r="E43" s="40" t="s">
        <v>17</v>
      </c>
      <c r="F43" s="9" t="s">
        <v>426</v>
      </c>
      <c r="G43" s="8">
        <v>45974.58300130787</v>
      </c>
      <c r="H43" s="8">
        <v>45974.6618250926</v>
      </c>
      <c r="I43" s="35" t="s">
        <v>444</v>
      </c>
      <c r="J43" s="18" t="str">
        <f>VLOOKUP($A43,'Реестр объектов'!$A:$I,8,0)</f>
        <v>https://docs.google.com/spreadsheets/d/1H1MjbG2y0oC0hhID4do1G0_gfyI1jag72lQd7nL3WDQ/edit?gid=33336285#gid=33336285</v>
      </c>
      <c r="K43" s="21" t="str">
        <f>VLOOKUP($A43,'Реестр объектов'!$A:$I,9,0)</f>
        <v>https://disk.yandex.ru/client/disk/%D0%9E%D1%81%D0%BC%D0%BE%D1%82%D1%80%D1%8B%20%D0%BE%D0%B1%D1%8A%D0%B5%D0%BA%D1%82%D0%BE%D0%B2%20%D0%90%D0%9D%D0%9E%20%D0%A1%D0%9C%D0%93/568.%20%D0%9A%D0%B0%D1%80%D0%B5%D0%BB%D1%8C%D1%81%D0%BA%D0%B8%D0%B9%20%D0%B1%D1%83%D0%BB%D1%8C%D0%B2%D0%B0%D1%80%2C%20%D0%B7%D1%83%2014-16</v>
      </c>
      <c r="L43" s="6"/>
      <c r="M43" s="37"/>
      <c r="N43" s="20"/>
      <c r="O43" s="6"/>
      <c r="P43" s="16"/>
      <c r="Q43" s="6"/>
      <c r="R43" s="6"/>
      <c r="S43" s="6"/>
    </row>
    <row r="44">
      <c r="A44" s="23" t="s">
        <v>445</v>
      </c>
      <c r="B44" s="13" t="str">
        <f>VLOOKUP($A44,'Реестр объектов'!$A:$I,5,0)</f>
        <v>ул. Лобненская, з/у 9А (Лобненская ул., вл. 9А) район Дмитровский, ул. Лобненская, з/у 9А, к. 23 микрорайон 15, 16, 17, 18 зона № 14.1</v>
      </c>
      <c r="C44" s="13" t="str">
        <f>VLOOKUP($A44,'Реестр объектов'!$A:$I,6,0)</f>
        <v>55.887585</v>
      </c>
      <c r="D44" s="13" t="str">
        <f>VLOOKUP($A44,'Реестр объектов'!$A:$I,7,0)</f>
        <v>37.538869</v>
      </c>
      <c r="E44" s="40" t="s">
        <v>17</v>
      </c>
      <c r="F44" s="9" t="s">
        <v>426</v>
      </c>
      <c r="G44" s="8">
        <v>45974.67472679398</v>
      </c>
      <c r="H44" s="8">
        <v>45974.75268100694</v>
      </c>
      <c r="I44" s="35" t="s">
        <v>438</v>
      </c>
      <c r="J44" s="18" t="str">
        <f>VLOOKUP($A44,'Реестр объектов'!$A:$I,8,0)</f>
        <v>https://docs.google.com/spreadsheets/d/1H1MjbG2y0oC0hhID4do1G0_gfyI1jag72lQd7nL3WDQ/edit?gid=1791563527#gid=1791563527</v>
      </c>
      <c r="K44" s="19" t="str">
        <f>VLOOKUP($A44,'Реестр объектов'!$A:$I,9,0)</f>
        <v>https://disk.yandex.ru/client/disk/Осмотры%20объектов%20АНО%20СМГ/551.%20Дмитровский%2C%20Лобненская%20ул.%2C%20з.у%209А%2C%20К.23%20мкр.%2015%2C%2016%2C%2017%2C%2018%2C%20зона%20№%20%2014.1</v>
      </c>
      <c r="L44" s="15"/>
      <c r="M44" s="37"/>
      <c r="N44" s="20"/>
      <c r="O44" s="6"/>
      <c r="P44" s="16"/>
      <c r="Q44" s="6"/>
      <c r="R44" s="6"/>
      <c r="S44" s="6"/>
    </row>
    <row r="45">
      <c r="A45" s="23" t="s">
        <v>446</v>
      </c>
      <c r="B45" s="13" t="str">
        <f>VLOOKUP($A45,'Реестр объектов'!$A:$I,5,0)</f>
        <v>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141, к. 1)</v>
      </c>
      <c r="C45" s="13" t="str">
        <f>VLOOKUP($A45,'Реестр объектов'!$A:$I,6,0)</f>
        <v>55.893395</v>
      </c>
      <c r="D45" s="13" t="str">
        <f>VLOOKUP($A45,'Реестр объектов'!$A:$I,7,0)</f>
        <v>37.540047</v>
      </c>
      <c r="E45" s="40" t="s">
        <v>17</v>
      </c>
      <c r="F45" s="9" t="s">
        <v>426</v>
      </c>
      <c r="G45" s="8">
        <v>45974.36960829861</v>
      </c>
      <c r="H45" s="8">
        <v>45974.46042645833</v>
      </c>
      <c r="I45" s="35" t="s">
        <v>447</v>
      </c>
      <c r="J45" s="18" t="str">
        <f>VLOOKUP($A45,'Реестр объектов'!$A:$I,8,0)</f>
        <v>https://docs.google.com/spreadsheets/d/1H1MjbG2y0oC0hhID4do1G0_gfyI1jag72lQd7nL3WDQ/edit?gid=683523839#gid=683523839</v>
      </c>
      <c r="K45" s="21" t="str">
        <f>VLOOKUP($A45,'Реестр объектов'!$A:$I,9,0)</f>
        <v>https://disk.yandex.ru/client/disk/%D0%9E%D1%81%D0%BC%D0%BE%D1%82%D1%80%D1%8B%20%D0%BE%D0%B1%D1%8A%D0%B5%D0%BA%D1%82%D0%BE%D0%B2%20%D0%90%D0%9D%D0%9E%20%D0%A1%D0%9C%D0%93/591.%20%D0%94%D0%BE%D0%BB%D0%B3%D0%BE%D0%BF%D1%80%D1%83%D0%B4%D0%BD%D0%B0%D1%8F%20%D1%83%D0%BB.%2C%20%D0%B7%D1%83%203-5</v>
      </c>
      <c r="L45" s="6"/>
      <c r="M45" s="37"/>
      <c r="N45" s="20"/>
      <c r="O45" s="6"/>
      <c r="P45" s="16"/>
      <c r="Q45" s="6"/>
      <c r="R45" s="6"/>
      <c r="S45" s="6"/>
    </row>
    <row r="46">
      <c r="A46" s="23" t="s">
        <v>448</v>
      </c>
      <c r="B46" s="13" t="str">
        <f>VLOOKUP($A46,'Реестр объектов'!$A:$I,5,0)</f>
        <v>Изумрудная зу 44/1 (мкр 2, зона 12.4) район Лосиноостровский, ул. Изумрудная, з/у 44/1, микрорайон 2, зона 12.4 (со сносом жилого здания по адресу: ул. Изумрудная, д. 44)</v>
      </c>
      <c r="C46" s="13" t="str">
        <f>VLOOKUP($A46,'Реестр объектов'!$A:$I,6,0)</f>
        <v>55.877273</v>
      </c>
      <c r="D46" s="13" t="str">
        <f>VLOOKUP($A46,'Реестр объектов'!$A:$I,7,0)</f>
        <v>37.692177</v>
      </c>
      <c r="E46" s="40" t="s">
        <v>21</v>
      </c>
      <c r="F46" s="9" t="s">
        <v>426</v>
      </c>
      <c r="G46" s="8">
        <v>45974.672876041666</v>
      </c>
      <c r="H46" s="8">
        <v>45974.75321355324</v>
      </c>
      <c r="I46" s="35" t="s">
        <v>449</v>
      </c>
      <c r="J46" s="18" t="str">
        <f>VLOOKUP($A46,'Реестр объектов'!$A:$I,8,0)</f>
        <v>https://docs.google.com/spreadsheets/d/1H1MjbG2y0oC0hhID4do1G0_gfyI1jag72lQd7nL3WDQ/edit?gid=1900542966#gid=1900542966</v>
      </c>
      <c r="K46" s="19" t="str">
        <f>VLOOKUP($A46,'Реестр объектов'!$A:$I,9,0)</f>
        <v>https://disk.yandex.ru/client/disk/Осмотры%20объектов%20АНО%20СМГ/584.%20ул.%20Изумрудная%2044.1</v>
      </c>
      <c r="L46" s="6"/>
      <c r="M46" s="37"/>
      <c r="N46" s="20"/>
      <c r="O46" s="6"/>
      <c r="P46" s="16"/>
      <c r="Q46" s="6"/>
      <c r="R46" s="6"/>
      <c r="S46" s="6"/>
    </row>
    <row r="47">
      <c r="A47" s="23" t="s">
        <v>450</v>
      </c>
      <c r="B47" s="13" t="str">
        <f>VLOOKUP($A47,'Реестр объектов'!$A:$I,5,0)</f>
        <v>Строительный проезд, земельный участок 9/13 (Строительный проезд, вл.9) Строительный проезд, земельный участок 9/13 (Строительный проезд, вл.9)</v>
      </c>
      <c r="C47" s="13" t="str">
        <f>VLOOKUP($A47,'Реестр объектов'!$A:$I,6,0)</f>
        <v>55.833154</v>
      </c>
      <c r="D47" s="13" t="str">
        <f>VLOOKUP($A47,'Реестр объектов'!$A:$I,7,0)</f>
        <v>37.423872</v>
      </c>
      <c r="E47" s="40" t="s">
        <v>33</v>
      </c>
      <c r="F47" s="9" t="s">
        <v>426</v>
      </c>
      <c r="G47" s="8">
        <v>45974.59274840278</v>
      </c>
      <c r="H47" s="8">
        <v>45974.674335648146</v>
      </c>
      <c r="I47" s="35" t="s">
        <v>108</v>
      </c>
      <c r="J47" s="18" t="str">
        <f>VLOOKUP($A47,'Реестр объектов'!$A:$I,8,0)</f>
        <v>https://docs.google.com/spreadsheets/d/1H1MjbG2y0oC0hhID4do1G0_gfyI1jag72lQd7nL3WDQ/edit?gid=1181793870#gid=1181793870</v>
      </c>
      <c r="K47" s="19" t="str">
        <f>VLOOKUP($A47,'Реестр объектов'!$A:$I,9,0)</f>
        <v>https://disk.yandex.ru/client/disk/Осмотры%20объектов%20АНО%20СМГ/632%20Строительный%20проезд%209%5C13</v>
      </c>
      <c r="L47" s="15" t="s">
        <v>19</v>
      </c>
      <c r="M47" s="37"/>
      <c r="N47" s="20"/>
      <c r="O47" s="6"/>
      <c r="P47" s="16"/>
      <c r="Q47" s="6"/>
      <c r="R47" s="6"/>
      <c r="S47" s="6"/>
    </row>
    <row r="48">
      <c r="A48" s="23" t="s">
        <v>451</v>
      </c>
      <c r="B48" s="13" t="str">
        <f>VLOOKUP($A48,'Реестр объектов'!$A:$I,5,0)</f>
        <v>улица Совхозная, земельный участок 55/2 (участок 21.1) улица Совхозная, земельный участок 55/2 (участок 21.1)</v>
      </c>
      <c r="C48" s="13" t="str">
        <f>VLOOKUP($A48,'Реестр объектов'!$A:$I,6,0)</f>
        <v>55.681186</v>
      </c>
      <c r="D48" s="13" t="str">
        <f>VLOOKUP($A48,'Реестр объектов'!$A:$I,7,0)</f>
        <v>37.762729</v>
      </c>
      <c r="E48" s="40" t="s">
        <v>31</v>
      </c>
      <c r="F48" s="9" t="s">
        <v>426</v>
      </c>
      <c r="G48" s="8">
        <v>45973.4546553588</v>
      </c>
      <c r="H48" s="8">
        <v>45973.56578821759</v>
      </c>
      <c r="I48" s="35" t="s">
        <v>452</v>
      </c>
      <c r="J48" s="18" t="str">
        <f>VLOOKUP($A48,'Реестр объектов'!$A:$I,8,0)</f>
        <v>https://docs.google.com/spreadsheets/d/1H1MjbG2y0oC0hhID4do1G0_gfyI1jag72lQd7nL3WDQ/edit?gid=1407301391#gid=1407301391</v>
      </c>
      <c r="K48" s="19" t="str">
        <f>VLOOKUP($A48,'Реестр объектов'!$A:$I,9,0)</f>
        <v>https://disk.yandex.ru/client/disk/Осмотры%20объектов%20АНО%20СМГ/604.%20Совхозная%20ул.%2C%20зу%2055-2%20(участок%2021.1)</v>
      </c>
      <c r="L48" s="15" t="s">
        <v>27</v>
      </c>
      <c r="M48" s="37"/>
      <c r="N48" s="20"/>
      <c r="O48" s="6"/>
      <c r="P48" s="16"/>
      <c r="Q48" s="6"/>
      <c r="R48" s="6"/>
      <c r="S48" s="6"/>
    </row>
    <row r="49">
      <c r="A49" s="23" t="s">
        <v>453</v>
      </c>
      <c r="B49" s="13" t="str">
        <f>VLOOKUP($A49,'Реестр объектов'!$A:$I,5,0)</f>
        <v>улица Юных Ленинцев, земельный участок 44/3 (зоны 2.5 и 2.7) улица Юных Ленинцев, земельный участок 44/3 (зоны 2.5 и 2.7)</v>
      </c>
      <c r="C49" s="13" t="str">
        <f>VLOOKUP($A49,'Реестр объектов'!$A:$I,6,0)</f>
        <v>55.699296</v>
      </c>
      <c r="D49" s="13" t="str">
        <f>VLOOKUP($A49,'Реестр объектов'!$A:$I,7,0)</f>
        <v>37.759386</v>
      </c>
      <c r="E49" s="40" t="s">
        <v>27</v>
      </c>
      <c r="F49" s="9" t="s">
        <v>426</v>
      </c>
      <c r="G49" s="8">
        <v>45973.53798072917</v>
      </c>
      <c r="H49" s="8">
        <v>45973.608465219906</v>
      </c>
      <c r="I49" s="35" t="s">
        <v>454</v>
      </c>
      <c r="J49" s="18" t="str">
        <f>VLOOKUP($A49,'Реестр объектов'!$A:$I,8,0)</f>
        <v>https://docs.google.com/spreadsheets/d/1H1MjbG2y0oC0hhID4do1G0_gfyI1jag72lQd7nL3WDQ/edit?gid=139795987#gid=139795987</v>
      </c>
      <c r="K49" s="19" t="str">
        <f>VLOOKUP($A49,'Реестр объектов'!$A:$I,9,0)</f>
        <v>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2044%2C%20корп.3%2C%20ул.%20Юных%20Ленинцев%2C%20д.%2044%2C%20корп.2%20)</v>
      </c>
      <c r="L49" s="6"/>
      <c r="M49" s="37"/>
      <c r="N49" s="20"/>
      <c r="O49" s="6"/>
      <c r="P49" s="16"/>
      <c r="Q49" s="6"/>
      <c r="R49" s="6"/>
      <c r="S49" s="6"/>
    </row>
    <row r="50">
      <c r="A50" s="23" t="s">
        <v>455</v>
      </c>
      <c r="B50" s="13" t="str">
        <f>VLOOKUP($A50,'Реестр объектов'!$A:$I,5,0)</f>
        <v>11-я Парковая улица, земельный участок 53 (вл. 53) (зона 72.3 (к. 39)) 11-я Парковая улица, земельный участок 53 (вл. 53) (зона 72.3 (к. 39))</v>
      </c>
      <c r="C50" s="13" t="str">
        <f>VLOOKUP($A50,'Реестр объектов'!$A:$I,6,0)</f>
        <v>55.808251</v>
      </c>
      <c r="D50" s="13" t="str">
        <f>VLOOKUP($A50,'Реестр объектов'!$A:$I,7,0)</f>
        <v>37.804211</v>
      </c>
      <c r="E50" s="40" t="s">
        <v>23</v>
      </c>
      <c r="F50" s="9" t="s">
        <v>426</v>
      </c>
      <c r="G50" s="8">
        <v>45973.59779763889</v>
      </c>
      <c r="H50" s="8">
        <v>45973.67746284722</v>
      </c>
      <c r="I50" s="35" t="s">
        <v>456</v>
      </c>
      <c r="J50" s="18" t="str">
        <f>VLOOKUP($A50,'Реестр объектов'!$A:$I,8,0)</f>
        <v>https://docs.google.com/spreadsheets/d/1H1MjbG2y0oC0hhID4do1G0_gfyI1jag72lQd7nL3WDQ/edit?gid=432585965#gid=432585965</v>
      </c>
      <c r="K50" s="19" t="str">
        <f>VLOOKUP($A50,'Реестр объектов'!$A:$I,9,0)</f>
        <v>https://disk.yandex.ru/client/disk/Осмотры%20объектов%20АНО%20СМГ/543.%2011я%20Парковая%20зу%2053%20%2C%20зона%20№72.3%20Фонд%20реновации</v>
      </c>
      <c r="L50" s="6"/>
      <c r="M50" s="37"/>
      <c r="N50" s="20"/>
      <c r="O50" s="6"/>
      <c r="P50" s="16"/>
      <c r="Q50" s="6"/>
      <c r="R50" s="6"/>
      <c r="S50" s="6"/>
    </row>
    <row r="51">
      <c r="A51" s="23" t="s">
        <v>457</v>
      </c>
      <c r="B51" s="13" t="str">
        <f>VLOOKUP($A51,'Реестр объектов'!$A:$I,5,0)</f>
        <v>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Зюзино, улица Малая Юшуньская, земельный участок 12/1 (участок 7.5) улица Малая Юшуньская, земельный участок 12/1 (участок 7.5)</v>
      </c>
      <c r="C51" s="13" t="str">
        <f>VLOOKUP($A51,'Реестр объектов'!$A:$I,6,0)</f>
        <v>55.651939</v>
      </c>
      <c r="D51" s="13" t="str">
        <f>VLOOKUP($A51,'Реестр объектов'!$A:$I,7,0)</f>
        <v>37.588976</v>
      </c>
      <c r="E51" s="40" t="s">
        <v>31</v>
      </c>
      <c r="F51" s="9" t="s">
        <v>426</v>
      </c>
      <c r="G51" s="8">
        <v>45974.37983859953</v>
      </c>
      <c r="H51" s="8">
        <v>45974.475444490745</v>
      </c>
      <c r="I51" s="35" t="s">
        <v>458</v>
      </c>
      <c r="J51" s="18" t="str">
        <f>VLOOKUP($A51,'Реестр объектов'!$A:$I,8,0)</f>
        <v>https://docs.google.com/spreadsheets/d/1H1MjbG2y0oC0hhID4do1G0_gfyI1jag72lQd7nL3WDQ/edit?gid=1835376342#gid=1835376342</v>
      </c>
      <c r="K51" s="19" t="str">
        <f>VLOOKUP($A51,'Реестр объектов'!$A:$I,9,0)</f>
        <v>https://disk.yandex.ru/client/disk/Осмотры%20объектов%20АНО%20СМГ/613.%20Район%20Зюзино%2C%20ул.%20Малая%20Юшуньская%2012_1%20(зона%207.5)</v>
      </c>
      <c r="L51" s="15" t="s">
        <v>29</v>
      </c>
      <c r="M51" s="37"/>
      <c r="N51" s="20"/>
      <c r="O51" s="6"/>
      <c r="P51" s="16"/>
      <c r="Q51" s="6"/>
      <c r="R51" s="6"/>
      <c r="S51" s="6"/>
    </row>
    <row r="52">
      <c r="A52" s="23" t="s">
        <v>459</v>
      </c>
      <c r="B52" s="13" t="str">
        <f>VLOOKUP($A52,'Реестр объектов'!$A:$I,5,0)</f>
        <v>улица Маршала Чуйкова, земельный участок 9/5/2 (зоны 4.1, 4.7) улица Маршала Чуйкова, земельный участок 9/5/2 (зоны 4.1, 4.7)</v>
      </c>
      <c r="C52" s="13" t="str">
        <f>VLOOKUP($A52,'Реестр объектов'!$A:$I,6,0)</f>
        <v>55.696299</v>
      </c>
      <c r="D52" s="13" t="str">
        <f>VLOOKUP($A52,'Реестр объектов'!$A:$I,7,0)</f>
        <v>37.761476</v>
      </c>
      <c r="E52" s="40" t="s">
        <v>27</v>
      </c>
      <c r="F52" s="9" t="s">
        <v>426</v>
      </c>
      <c r="G52" s="8">
        <v>45973.3726846875</v>
      </c>
      <c r="H52" s="8">
        <v>45973.44774346065</v>
      </c>
      <c r="I52" s="35" t="s">
        <v>96</v>
      </c>
      <c r="J52" s="18" t="str">
        <f>VLOOKUP($A52,'Реестр объектов'!$A:$I,8,0)</f>
        <v>https://docs.google.com/spreadsheets/d/1H1MjbG2y0oC0hhID4do1G0_gfyI1jag72lQd7nL3WDQ/edit?gid=640523369#gid=640523369</v>
      </c>
      <c r="K52" s="19" t="str">
        <f>VLOOKUP($A52,'Реестр объектов'!$A:$I,9,0)</f>
        <v>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Чуйкова%2C%20д.%209%2C%20корп.5)%209.5.2</v>
      </c>
      <c r="L52" s="6"/>
      <c r="M52" s="37"/>
      <c r="N52" s="16"/>
      <c r="O52" s="6"/>
      <c r="P52" s="16"/>
      <c r="Q52" s="6"/>
      <c r="R52" s="6"/>
      <c r="S52" s="6"/>
    </row>
    <row r="53">
      <c r="A53" s="23" t="s">
        <v>460</v>
      </c>
      <c r="B53" s="13" t="str">
        <f>VLOOKUP($A53,'Реестр объектов'!$A:$I,5,0)</f>
        <v>улица Юных Ленинцев, земельный участок 40/В (зоны 2.4 и 2.7) улица Юных Ленинцев, земельный участок 40/В (зоны 2.4 и 2.7)</v>
      </c>
      <c r="C53" s="13" t="str">
        <f>VLOOKUP($A53,'Реестр объектов'!$A:$I,6,0)</f>
        <v>55.699429</v>
      </c>
      <c r="D53" s="13" t="str">
        <f>VLOOKUP($A53,'Реестр объектов'!$A:$I,7,0)</f>
        <v>37.757826</v>
      </c>
      <c r="E53" s="40" t="s">
        <v>27</v>
      </c>
      <c r="F53" s="9" t="s">
        <v>426</v>
      </c>
      <c r="G53" s="8">
        <v>45973.46958739583</v>
      </c>
      <c r="H53" s="8">
        <v>45973.53769671296</v>
      </c>
      <c r="I53" s="35" t="s">
        <v>461</v>
      </c>
      <c r="J53" s="18" t="str">
        <f>VLOOKUP($A53,'Реестр объектов'!$A:$I,8,0)</f>
        <v>https://docs.google.com/spreadsheets/d/1H1MjbG2y0oC0hhID4do1G0_gfyI1jag72lQd7nL3WDQ/edit?gid=2107770933#gid=2107770933</v>
      </c>
      <c r="K53" s="19" t="str">
        <f>VLOOKUP($A53,'Реестр объектов'!$A:$I,9,0)</f>
        <v>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2040%2C%20корп.%202%2C%20ул.%20Юных%20Ленинцев%2C%20д.%2040%2C%20корп.%203)</v>
      </c>
      <c r="L53" s="6"/>
      <c r="M53" s="37"/>
      <c r="N53" s="16"/>
      <c r="O53" s="6"/>
      <c r="P53" s="16"/>
      <c r="Q53" s="6"/>
      <c r="R53" s="6"/>
      <c r="S53" s="6"/>
    </row>
    <row r="54">
      <c r="A54" s="23" t="s">
        <v>462</v>
      </c>
      <c r="B54" s="13" t="str">
        <f>VLOOKUP($A54,'Реестр объектов'!$A:$I,5,0)</f>
        <v>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Институтская ул., рядом с д. 4)
 3-я Институтская улица, земельный участок 4/1</v>
      </c>
      <c r="C54" s="13" t="str">
        <f>VLOOKUP($A54,'Реестр объектов'!$A:$I,6,0)</f>
        <v>55.720079</v>
      </c>
      <c r="D54" s="13" t="str">
        <f>VLOOKUP($A54,'Реестр объектов'!$A:$I,7,0)</f>
        <v>37.783518</v>
      </c>
      <c r="E54" s="40" t="s">
        <v>41</v>
      </c>
      <c r="F54" s="9" t="s">
        <v>426</v>
      </c>
      <c r="G54" s="8">
        <v>45974.35996299768</v>
      </c>
      <c r="H54" s="8">
        <v>45974.364022800924</v>
      </c>
      <c r="I54" s="35" t="s">
        <v>463</v>
      </c>
      <c r="J54" s="18" t="str">
        <f>VLOOKUP($A54,'Реестр объектов'!$A:$I,8,0)</f>
        <v>https://docs.google.com/spreadsheets/d/1H1MjbG2y0oC0hhID4do1G0_gfyI1jag72lQd7nL3WDQ/edit?gid=864081677#gid=864081677</v>
      </c>
      <c r="K54" s="19" t="str">
        <f>VLOOKUP($A54,'Реестр объектов'!$A:$I,9,0)</f>
        <v>https://disk.yandex.ru/client/disk/Осмотры%20объектов%20АНО%20СМГ/707%20Ул%203-я%20Институтская%20ЗУ%204.1</v>
      </c>
      <c r="L54" s="15" t="s">
        <v>23</v>
      </c>
      <c r="M54" s="37"/>
      <c r="N54" s="16"/>
      <c r="O54" s="6"/>
      <c r="P54" s="16"/>
      <c r="Q54" s="6"/>
      <c r="R54" s="6"/>
      <c r="S54" s="6"/>
    </row>
    <row r="55">
      <c r="A55" s="23" t="s">
        <v>464</v>
      </c>
      <c r="B55" s="13" t="str">
        <f>VLOOKUP($A55,'Реестр объектов'!$A:$I,5,0)</f>
        <v>Амурская ул., земельный участок 1/18 (зоны 3.4, 3.6, 3.7) Амурская ул., емельный участок 1/18 (зоны 3.4, 3.6, 3.7)</v>
      </c>
      <c r="C55" s="13" t="str">
        <f>VLOOKUP($A55,'Реестр объектов'!$A:$I,6,0)</f>
        <v>55.807256</v>
      </c>
      <c r="D55" s="13" t="str">
        <f>VLOOKUP($A55,'Реестр объектов'!$A:$I,7,0)</f>
        <v>37.751308</v>
      </c>
      <c r="E55" s="40" t="s">
        <v>21</v>
      </c>
      <c r="F55" s="9" t="s">
        <v>426</v>
      </c>
      <c r="G55" s="8">
        <v>45974.37404951389</v>
      </c>
      <c r="H55" s="8">
        <v>45974.44096290509</v>
      </c>
      <c r="I55" s="35" t="s">
        <v>465</v>
      </c>
      <c r="J55" s="18" t="str">
        <f>VLOOKUP($A55,'Реестр объектов'!$A:$I,8,0)</f>
        <v>https://docs.google.com/spreadsheets/d/1H1MjbG2y0oC0hhID4do1G0_gfyI1jag72lQd7nL3WDQ/edit?gid=1599124365#gid=1599124365</v>
      </c>
      <c r="K55" s="19" t="str">
        <f>VLOOKUP($A55,'Реестр объектов'!$A:$I,9,0)</f>
        <v>https://disk.yandex.ru/client/disk/Осмотры%20объектов%20АНО%20СМГ/574.%20Район%20Гольяново%2C%20Амурская%20ул.%20вл.%201%20зона%20N3.4%20(зу%201_18)</v>
      </c>
      <c r="L55" s="6"/>
      <c r="M55" s="37"/>
      <c r="N55" s="16"/>
      <c r="O55" s="6"/>
      <c r="P55" s="16"/>
      <c r="Q55" s="6"/>
      <c r="R55" s="6"/>
      <c r="S55" s="6"/>
    </row>
    <row r="56">
      <c r="A56" s="23" t="s">
        <v>466</v>
      </c>
      <c r="B56" s="13" t="str">
        <f>VLOOKUP($A56,'Реестр объектов'!$A:$I,5,0)</f>
        <v>Сходненская ул., вл. 42 Сходненская ул., вл. 42</v>
      </c>
      <c r="C56" s="13" t="str">
        <f>VLOOKUP($A56,'Реестр объектов'!$A:$I,6,0)</f>
        <v>55.844727</v>
      </c>
      <c r="D56" s="13" t="str">
        <f>VLOOKUP($A56,'Реестр объектов'!$A:$I,7,0)</f>
        <v>37.439962</v>
      </c>
      <c r="E56" s="40" t="s">
        <v>19</v>
      </c>
      <c r="F56" s="9" t="s">
        <v>426</v>
      </c>
      <c r="G56" s="8">
        <v>45974.66465193287</v>
      </c>
      <c r="H56" s="8">
        <v>45974.75387274305</v>
      </c>
      <c r="I56" s="35" t="s">
        <v>467</v>
      </c>
      <c r="J56" s="18" t="str">
        <f>VLOOKUP($A56,'Реестр объектов'!$A:$I,8,0)</f>
        <v>https://docs.google.com/spreadsheets/d/1H1MjbG2y0oC0hhID4do1G0_gfyI1jag72lQd7nL3WDQ/edit?gid=1587877211#gid=1587877211</v>
      </c>
      <c r="K56" s="19" t="str">
        <f>VLOOKUP($A56,'Реестр объектов'!$A:$I,9,0)</f>
        <v>https://disk.yandex.ru/client/disk/Осмотры%20объектов%20АНО%20СМГ/716%20Сходненская%20%20вл%2042</v>
      </c>
      <c r="L56" s="6"/>
      <c r="M56" s="37"/>
      <c r="N56" s="16"/>
      <c r="O56" s="6"/>
      <c r="P56" s="16"/>
      <c r="Q56" s="6"/>
      <c r="R56" s="6"/>
      <c r="S56" s="6"/>
    </row>
    <row r="57">
      <c r="A57" s="23" t="s">
        <v>468</v>
      </c>
      <c r="B57" s="13" t="str">
        <f>VLOOKUP($A57,'Реестр объектов'!$A:$I,5,0)</f>
        <v>Никитинская улица, земельный участок 21/1/3 (Никитинская ул., вл. 21, корп. 1, 3) Никитинская улица, земельный участок 21/1/3 (Никитинская ул., вл. 21, корп. 1, 3)</v>
      </c>
      <c r="C57" s="13" t="str">
        <f>VLOOKUP($A57,'Реестр объектов'!$A:$I,6,0)</f>
        <v>55.801708</v>
      </c>
      <c r="D57" s="13" t="str">
        <f>VLOOKUP($A57,'Реестр объектов'!$A:$I,7,0)</f>
        <v>37.773139</v>
      </c>
      <c r="E57" s="40" t="s">
        <v>41</v>
      </c>
      <c r="F57" s="9" t="s">
        <v>426</v>
      </c>
      <c r="G57" s="8">
        <v>45973.45962447917</v>
      </c>
      <c r="H57" s="8">
        <v>45973.54833799769</v>
      </c>
      <c r="I57" s="35" t="s">
        <v>467</v>
      </c>
      <c r="J57" s="18" t="str">
        <f>VLOOKUP($A57,'Реестр объектов'!$A:$I,8,0)</f>
        <v>https://docs.google.com/spreadsheets/d/1H1MjbG2y0oC0hhID4do1G0_gfyI1jag72lQd7nL3WDQ/edit?gid=833062955#gid=833062955</v>
      </c>
      <c r="K57" s="19" t="str">
        <f>VLOOKUP($A57,'Реестр объектов'!$A:$I,9,0)</f>
        <v>https://disk.yandex.ru/client/disk/Осмотры%20объектов%20АНО%20СМГ/641.%20Никитинская%20ул.%2C%20зу%2021.1.3%20%20(рефинансирование)</v>
      </c>
      <c r="L57" s="6"/>
      <c r="M57" s="6"/>
      <c r="N57" s="16"/>
      <c r="O57" s="6"/>
      <c r="P57" s="16"/>
      <c r="Q57" s="6"/>
      <c r="R57" s="6"/>
      <c r="S57" s="6"/>
    </row>
    <row r="58">
      <c r="A58" s="23" t="s">
        <v>469</v>
      </c>
      <c r="B58" s="13" t="str">
        <f>VLOOKUP($A58,'Реестр объектов'!$A:$I,5,0)</f>
        <v>Херсонская ул. 8 (зона 6.5) Херсонская ул. 8 (зона 6.5)</v>
      </c>
      <c r="C58" s="13" t="str">
        <f>VLOOKUP($A58,'Реестр объектов'!$A:$I,6,0)</f>
        <v>55.650516</v>
      </c>
      <c r="D58" s="13" t="str">
        <f>VLOOKUP($A58,'Реестр объектов'!$A:$I,7,0)</f>
        <v>37.575543</v>
      </c>
      <c r="E58" s="40" t="s">
        <v>29</v>
      </c>
      <c r="F58" s="9" t="s">
        <v>426</v>
      </c>
      <c r="G58" s="8">
        <v>45973.435783587964</v>
      </c>
      <c r="H58" s="8">
        <v>45973.52721693287</v>
      </c>
      <c r="I58" s="35" t="s">
        <v>393</v>
      </c>
      <c r="J58" s="18" t="str">
        <f>VLOOKUP($A58,'Реестр объектов'!$A:$I,8,0)</f>
        <v>https://docs.google.com/spreadsheets/d/1H1MjbG2y0oC0hhID4do1G0_gfyI1jag72lQd7nL3WDQ/edit?gid=471133046#gid=471133046</v>
      </c>
      <c r="K58" s="21" t="str">
        <f>VLOOKUP($A58,'Реестр объектов'!$A:$I,9,0)</f>
        <v>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v>
      </c>
      <c r="L58" s="6"/>
      <c r="M58" s="6"/>
      <c r="N58" s="16"/>
      <c r="O58" s="6"/>
      <c r="P58" s="16"/>
      <c r="Q58" s="6"/>
      <c r="R58" s="6"/>
      <c r="S58" s="6"/>
    </row>
    <row r="59">
      <c r="A59" s="23" t="s">
        <v>470</v>
      </c>
      <c r="B59" s="13" t="str">
        <f>VLOOKUP($A59,'Реестр объектов'!$A:$I,5,0)</f>
        <v>ул. Оренбургская, вл. 30 район Косино-Ухтомский, ул. Оренбургская, вл. 30</v>
      </c>
      <c r="C59" s="13" t="str">
        <f>VLOOKUP($A59,'Реестр объектов'!$A:$I,6,0)</f>
        <v>55.711431</v>
      </c>
      <c r="D59" s="13" t="str">
        <f>VLOOKUP($A59,'Реестр объектов'!$A:$I,7,0)</f>
        <v>37.866175</v>
      </c>
      <c r="E59" s="40" t="s">
        <v>39</v>
      </c>
      <c r="F59" s="9" t="s">
        <v>426</v>
      </c>
      <c r="G59" s="8">
        <v>45973.66789011574</v>
      </c>
      <c r="H59" s="8">
        <v>45973.75041263889</v>
      </c>
      <c r="I59" s="35" t="s">
        <v>440</v>
      </c>
      <c r="J59" s="18" t="str">
        <f>VLOOKUP($A59,'Реестр объектов'!$A:$I,8,0)</f>
        <v>https://docs.google.com/spreadsheets/d/1H1MjbG2y0oC0hhID4do1G0_gfyI1jag72lQd7nL3WDQ/edit?gid=1180712542#gid=1180712542</v>
      </c>
      <c r="K59" s="19" t="str">
        <f>VLOOKUP($A59,'Реестр объектов'!$A:$I,9,0)</f>
        <v>https://disk.yandex.ru/client/disk/Осмотры%20объектов%20АНО%20СМГ/759%20ВАО%2C%20ул.%20Оренбургская%2C%20вл.%2030</v>
      </c>
      <c r="L59" s="6"/>
      <c r="M59" s="6"/>
      <c r="N59" s="16"/>
      <c r="O59" s="6"/>
      <c r="P59" s="16"/>
      <c r="Q59" s="6"/>
      <c r="R59" s="6"/>
      <c r="S59" s="6"/>
    </row>
    <row r="60">
      <c r="A60" s="23" t="s">
        <v>471</v>
      </c>
      <c r="B60" s="13" t="str">
        <f>VLOOKUP($A60,'Реестр объектов'!$A:$I,5,0)</f>
        <v>ул. Мироновская, земельный участок 32 (Мироновская ул., вл. 32) Соколиная гора, улица Мироновская, земельный участок 32 (Мироновская ул., вл. 32)</v>
      </c>
      <c r="C60" s="13" t="str">
        <f>VLOOKUP($A60,'Реестр объектов'!$A:$I,6,0)</f>
        <v>55.788936</v>
      </c>
      <c r="D60" s="13" t="str">
        <f>VLOOKUP($A60,'Реестр объектов'!$A:$I,7,0)</f>
        <v>37.734289</v>
      </c>
      <c r="E60" s="40" t="s">
        <v>23</v>
      </c>
      <c r="F60" s="9" t="s">
        <v>426</v>
      </c>
      <c r="G60" s="8">
        <v>45974.461504756946</v>
      </c>
      <c r="H60" s="8">
        <v>45974.5332694213</v>
      </c>
      <c r="I60" s="35" t="s">
        <v>82</v>
      </c>
      <c r="J60" s="18" t="str">
        <f>VLOOKUP($A60,'Реестр объектов'!$A:$I,8,0)</f>
        <v>https://docs.google.com/spreadsheets/d/1H1MjbG2y0oC0hhID4do1G0_gfyI1jag72lQd7nL3WDQ/edit?gid=1252296860#gid=1252296860</v>
      </c>
      <c r="K60" s="19" t="str">
        <f>VLOOKUP($A60,'Реестр объектов'!$A:$I,9,0)</f>
        <v>https://disk.yandex.ru/client/disk/Осмотры%20объектов%20АНО%20СМГ/670.%20Ул%20Мироновская%20зу%2032</v>
      </c>
      <c r="L60" s="15" t="s">
        <v>41</v>
      </c>
      <c r="M60" s="6"/>
      <c r="N60" s="16"/>
      <c r="O60" s="6"/>
      <c r="P60" s="16"/>
      <c r="Q60" s="6"/>
      <c r="R60" s="6"/>
      <c r="S60" s="6"/>
    </row>
    <row r="61">
      <c r="A61" s="23" t="s">
        <v>472</v>
      </c>
      <c r="B61" s="13" t="str">
        <f>VLOOKUP($A61,'Реестр объектов'!$A:$I,5,0)</f>
        <v>улица Перекопская, земельный участок 4 внутригородское муниципальное образование Зюзино, улица Перекопская, земельный участок 4</v>
      </c>
      <c r="C61" s="13" t="str">
        <f>VLOOKUP($A61,'Реестр объектов'!$A:$I,6,0)</f>
        <v>55.659190</v>
      </c>
      <c r="D61" s="13" t="str">
        <f>VLOOKUP($A61,'Реестр объектов'!$A:$I,7,0)</f>
        <v>37.585503</v>
      </c>
      <c r="E61" s="40" t="s">
        <v>31</v>
      </c>
      <c r="F61" s="9" t="s">
        <v>426</v>
      </c>
      <c r="G61" s="8">
        <v>45974.482022337965</v>
      </c>
      <c r="H61" s="8">
        <v>45974.54748504629</v>
      </c>
      <c r="I61" s="35" t="s">
        <v>473</v>
      </c>
      <c r="J61" s="18" t="str">
        <f>VLOOKUP($A61,'Реестр объектов'!$A:$I,8,0)</f>
        <v>https://docs.google.com/spreadsheets/d/1rbCD10ySi4YZEkJW2_Slmn9z7AI1WEsGsZaIJmnnT18/edit?gid=932084254#gid=932084254</v>
      </c>
      <c r="K61" s="19" t="str">
        <f>VLOOKUP($A61,'Реестр объектов'!$A:$I,9,0)</f>
        <v>https://disk.yandex.ru/client/disk/Осмотры%20объектов%20АНО%20СМГ/844.%20Перекопская%20улица%2C%20зу%204</v>
      </c>
      <c r="L61" s="15" t="s">
        <v>29</v>
      </c>
      <c r="M61" s="6"/>
      <c r="N61" s="16"/>
      <c r="O61" s="6"/>
      <c r="P61" s="16"/>
      <c r="Q61" s="6"/>
      <c r="R61" s="6"/>
      <c r="S61" s="6"/>
    </row>
    <row r="62">
      <c r="A62" s="23" t="s">
        <v>474</v>
      </c>
      <c r="B62" s="13" t="str">
        <f>VLOOKUP($A62,'Реестр объектов'!$A:$I,5,0)</f>
        <v>Всеволода Вишневского ул., земельный участок 11 район Тимирязевский, Всеволода Вишневского ул., вл. 11</v>
      </c>
      <c r="C62" s="13" t="str">
        <f>VLOOKUP($A62,'Реестр объектов'!$A:$I,6,0)</f>
        <v>55.811372</v>
      </c>
      <c r="D62" s="13" t="str">
        <f>VLOOKUP($A62,'Реестр объектов'!$A:$I,7,0)</f>
        <v>37.569402</v>
      </c>
      <c r="E62" s="40" t="s">
        <v>19</v>
      </c>
      <c r="F62" s="9" t="s">
        <v>426</v>
      </c>
      <c r="G62" s="8">
        <v>45973.61091314815</v>
      </c>
      <c r="H62" s="8">
        <v>45973.66546740741</v>
      </c>
      <c r="I62" s="35" t="s">
        <v>475</v>
      </c>
      <c r="J62" s="18" t="str">
        <f>VLOOKUP($A62,'Реестр объектов'!$A:$I,8,0)</f>
        <v>https://docs.google.com/spreadsheets/d/1rbCD10ySi4YZEkJW2_Slmn9z7AI1WEsGsZaIJmnnT18/edit?gid=2092914415#gid=2092914415</v>
      </c>
      <c r="K62" s="19" t="str">
        <f>VLOOKUP($A62,'Реестр объектов'!$A:$I,9,0)</f>
        <v>https://disk.yandex.ru/client/disk/Осмотры%20объектов%20АНО%20СМГ/589.%20Всеволода%20Вишневского%20ул.%2C%20вл.%2011</v>
      </c>
      <c r="L62" s="6"/>
      <c r="M62" s="6"/>
      <c r="N62" s="16"/>
      <c r="O62" s="6"/>
      <c r="P62" s="16"/>
      <c r="Q62" s="6"/>
      <c r="R62" s="6"/>
      <c r="S62" s="6"/>
    </row>
    <row r="63">
      <c r="A63" s="23" t="s">
        <v>476</v>
      </c>
      <c r="B63" s="13" t="str">
        <f>VLOOKUP($A63,'Реестр объектов'!$A:$I,5,0)</f>
        <v>Сиреневый бульвар, земельный участок 4/4 зона 5.1 район Измайлово, Сиреневый бульвар, вл. 4, участок 4 зона 5.1</v>
      </c>
      <c r="C63" s="13" t="str">
        <f>VLOOKUP($A63,'Реестр объектов'!$A:$I,6,0)</f>
        <v>55.796007</v>
      </c>
      <c r="D63" s="13" t="str">
        <f>VLOOKUP($A63,'Реестр объектов'!$A:$I,7,0)</f>
        <v>37.758178</v>
      </c>
      <c r="E63" s="40" t="s">
        <v>41</v>
      </c>
      <c r="F63" s="9" t="s">
        <v>426</v>
      </c>
      <c r="G63" s="8">
        <v>45973.75088892361</v>
      </c>
      <c r="H63" s="8">
        <v>45973.79360578704</v>
      </c>
      <c r="I63" s="35" t="s">
        <v>254</v>
      </c>
      <c r="J63" s="18" t="str">
        <f>VLOOKUP($A63,'Реестр объектов'!$A:$I,8,0)</f>
        <v>https://docs.google.com/spreadsheets/d/1rbCD10ySi4YZEkJW2_Slmn9z7AI1WEsGsZaIJmnnT18/edit?gid=1553204611#gid=1553204611</v>
      </c>
      <c r="K63" s="19" t="str">
        <f>VLOOKUP($A63,'Реестр объектов'!$A:$I,9,0)</f>
        <v>https://disk.yandex.ru/client/disk/Осмотры%20объектов%20АНО%20СМГ/612.%20Измайлово%2C%20Сиреневый%20бульвар%2C%20зу%204.4%2C%20зона%205.1</v>
      </c>
      <c r="L63" s="15" t="s">
        <v>19</v>
      </c>
      <c r="M63" s="6"/>
      <c r="N63" s="16"/>
      <c r="O63" s="6"/>
      <c r="P63" s="16"/>
      <c r="Q63" s="6"/>
      <c r="R63" s="6"/>
      <c r="S63" s="6"/>
    </row>
    <row r="64">
      <c r="A64" s="23" t="s">
        <v>477</v>
      </c>
      <c r="B64" s="13" t="str">
        <f>VLOOKUP($A64,'Реестр объектов'!$A:$I,5,0)</f>
        <v>7-я Парковая улица, земельный участок 19 ВАО, район Измайлово, 7-я Парковая ул., зу 19</v>
      </c>
      <c r="C64" s="13" t="str">
        <f>VLOOKUP($A64,'Реестр объектов'!$A:$I,6,0)</f>
        <v>55.800022</v>
      </c>
      <c r="D64" s="13" t="str">
        <f>VLOOKUP($A64,'Реестр объектов'!$A:$I,7,0)</f>
        <v>37.792436</v>
      </c>
      <c r="E64" s="40" t="s">
        <v>23</v>
      </c>
      <c r="F64" s="9" t="s">
        <v>426</v>
      </c>
      <c r="G64" s="8">
        <v>45973.42586699074</v>
      </c>
      <c r="H64" s="8">
        <v>45973.460923032406</v>
      </c>
      <c r="I64" s="35" t="s">
        <v>478</v>
      </c>
      <c r="J64" s="18" t="str">
        <f>VLOOKUP($A64,'Реестр объектов'!$A:$I,8,0)</f>
        <v>https://docs.google.com/spreadsheets/d/1rbCD10ySi4YZEkJW2_Slmn9z7AI1WEsGsZaIJmnnT18/edit?gid=511980375#gid=511980375</v>
      </c>
      <c r="K64" s="19" t="str">
        <f>VLOOKUP($A64,'Реестр объектов'!$A:$I,9,0)</f>
        <v>https://disk.yandex.ru/client/disk/Осмотры%20объектов%20АНО%20СМГ/693%207-я%20Парковая%20зу%2019</v>
      </c>
      <c r="L64" s="6"/>
      <c r="M64" s="6"/>
      <c r="N64" s="16"/>
      <c r="O64" s="6"/>
      <c r="P64" s="16"/>
      <c r="Q64" s="6"/>
      <c r="R64" s="6"/>
      <c r="S64" s="6"/>
    </row>
    <row r="65">
      <c r="A65" s="23" t="s">
        <v>479</v>
      </c>
      <c r="B65" s="13" t="str">
        <f>VLOOKUP($A65,'Реестр объектов'!$A:$I,5,0)</f>
        <v>3-я Прядильная улица, земельный участок 10 ВАО, район Измайлово, 3-я Прядильная ул., зу 10  (рефинансирование)</v>
      </c>
      <c r="C65" s="13" t="str">
        <f>VLOOKUP($A65,'Реестр объектов'!$A:$I,6,0)</f>
        <v>55.797856</v>
      </c>
      <c r="D65" s="13" t="str">
        <f>VLOOKUP($A65,'Реестр объектов'!$A:$I,7,0)</f>
        <v>37.773705</v>
      </c>
      <c r="E65" s="40" t="s">
        <v>41</v>
      </c>
      <c r="F65" s="9" t="s">
        <v>426</v>
      </c>
      <c r="G65" s="8">
        <v>45973.59422168981</v>
      </c>
      <c r="H65" s="8">
        <v>45973.625602280095</v>
      </c>
      <c r="I65" s="35" t="s">
        <v>167</v>
      </c>
      <c r="J65" s="18" t="str">
        <f>VLOOKUP($A65,'Реестр объектов'!$A:$I,8,0)</f>
        <v>https://docs.google.com/spreadsheets/d/1rbCD10ySi4YZEkJW2_Slmn9z7AI1WEsGsZaIJmnnT18/edit?gid=152190080#gid=152190080</v>
      </c>
      <c r="K65" s="19" t="str">
        <f>VLOOKUP($A65,'Реестр объектов'!$A:$I,9,0)</f>
        <v>https://disk.yandex.ru/client/disk/Осмотры%20объектов%20АНО%20СМГ/683%203-я%20Прядильная%20ул.%2C%20зу%2010</v>
      </c>
      <c r="L65" s="6"/>
      <c r="M65" s="6"/>
      <c r="N65" s="16"/>
      <c r="O65" s="6"/>
      <c r="P65" s="16"/>
      <c r="Q65" s="6"/>
      <c r="R65" s="6"/>
      <c r="S65" s="6"/>
    </row>
    <row r="66">
      <c r="A66" s="23" t="s">
        <v>480</v>
      </c>
      <c r="B66" s="13" t="str">
        <f>VLOOKUP($A66,'Реестр объектов'!$A:$I,5,0)</f>
        <v>Кусковская ул., вл. 21 район Новогиреево, Кусковская ул., вл. 21</v>
      </c>
      <c r="C66" s="13" t="str">
        <f>VLOOKUP($A66,'Реестр объектов'!$A:$I,6,0)</f>
        <v>55.739422</v>
      </c>
      <c r="D66" s="13" t="str">
        <f>VLOOKUP($A66,'Реестр объектов'!$A:$I,7,0)</f>
        <v>37.778923</v>
      </c>
      <c r="E66" s="40" t="s">
        <v>25</v>
      </c>
      <c r="F66" s="9" t="s">
        <v>426</v>
      </c>
      <c r="G66" s="8">
        <v>45973.70542618056</v>
      </c>
      <c r="H66" s="8">
        <v>45973.71969371528</v>
      </c>
      <c r="I66" s="35" t="s">
        <v>215</v>
      </c>
      <c r="J66" s="18" t="str">
        <f>VLOOKUP($A66,'Реестр объектов'!$A:$I,8,0)</f>
        <v>https://docs.google.com/spreadsheets/d/1rbCD10ySi4YZEkJW2_Slmn9z7AI1WEsGsZaIJmnnT18/edit?gid=1340012708#gid=1340012708</v>
      </c>
      <c r="K66" s="19" t="str">
        <f>VLOOKUP($A66,'Реестр объектов'!$A:$I,9,0)</f>
        <v>https://disk.yandex.ru/client/disk/Осмотры%20объектов%20АНО%20СМГ/845%20ВАО%20ул.%20Кусковская%20вл.%2021</v>
      </c>
      <c r="L66" s="6"/>
      <c r="M66" s="6"/>
      <c r="N66" s="16"/>
      <c r="O66" s="6"/>
      <c r="P66" s="16"/>
      <c r="Q66" s="6"/>
      <c r="R66" s="6"/>
      <c r="S66" s="6"/>
    </row>
    <row r="67">
      <c r="A67" s="23" t="s">
        <v>481</v>
      </c>
      <c r="B67" s="13" t="str">
        <f>VLOOKUP($A67,'Реестр объектов'!$A:$I,5,0)</f>
        <v>Кусковская ул., вл. 23 район Новогиреево, Кусковская ул., вл. 23</v>
      </c>
      <c r="C67" s="13" t="str">
        <f>VLOOKUP($A67,'Реестр объектов'!$A:$I,6,0)</f>
        <v>55.739990</v>
      </c>
      <c r="D67" s="13" t="str">
        <f>VLOOKUP($A67,'Реестр объектов'!$A:$I,7,0)</f>
        <v>37.780264</v>
      </c>
      <c r="E67" s="40" t="s">
        <v>25</v>
      </c>
      <c r="F67" s="9" t="s">
        <v>426</v>
      </c>
      <c r="G67" s="8">
        <v>45973.719853738425</v>
      </c>
      <c r="H67" s="8">
        <v>45973.73933063657</v>
      </c>
      <c r="I67" s="35" t="s">
        <v>171</v>
      </c>
      <c r="J67" s="18" t="str">
        <f>VLOOKUP($A67,'Реестр объектов'!$A:$I,8,0)</f>
        <v>https://docs.google.com/spreadsheets/d/1rbCD10ySi4YZEkJW2_Slmn9z7AI1WEsGsZaIJmnnT18/edit?gid=771281495#gid=771281495</v>
      </c>
      <c r="K67" s="19" t="str">
        <f>VLOOKUP($A67,'Реестр объектов'!$A:$I,9,0)</f>
        <v>https://disk.yandex.ru/client/disk/Осмотры%20объектов%20АНО%20СМГ/846%20ВАО%09%20Кусковская%20ул.%2C%20вл.%2023</v>
      </c>
      <c r="L67" s="6"/>
      <c r="M67" s="6"/>
      <c r="N67" s="16"/>
      <c r="O67" s="6"/>
      <c r="P67" s="16"/>
      <c r="Q67" s="6"/>
      <c r="R67" s="6"/>
      <c r="S67" s="6"/>
    </row>
    <row r="68">
      <c r="A68" s="23" t="s">
        <v>482</v>
      </c>
      <c r="B68" s="13" t="str">
        <f>VLOOKUP($A68,'Реестр объектов'!$A:$I,5,0)</f>
        <v>3-я Парковая улица, земельный участок 39 (3-я Парковая улица, вл. 39) ВАО, район Измайлово, 3-я Парковая ул., вл.39</v>
      </c>
      <c r="C68" s="13" t="str">
        <f>VLOOKUP($A68,'Реестр объектов'!$A:$I,6,0)</f>
        <v>55.798756</v>
      </c>
      <c r="D68" s="13" t="str">
        <f>VLOOKUP($A68,'Реестр объектов'!$A:$I,7,0)</f>
        <v>37.780507</v>
      </c>
      <c r="E68" s="40" t="s">
        <v>41</v>
      </c>
      <c r="F68" s="9" t="s">
        <v>426</v>
      </c>
      <c r="G68" s="8">
        <v>45973.4154255787</v>
      </c>
      <c r="H68" s="8">
        <v>45973.44086306713</v>
      </c>
      <c r="I68" s="35" t="s">
        <v>483</v>
      </c>
      <c r="J68" s="18" t="str">
        <f>VLOOKUP($A68,'Реестр объектов'!$A:$I,8,0)</f>
        <v>https://docs.google.com/spreadsheets/d/1rbCD10ySi4YZEkJW2_Slmn9z7AI1WEsGsZaIJmnnT18/edit?gid=1493713747#gid=1493713747</v>
      </c>
      <c r="K68" s="19" t="str">
        <f>VLOOKUP($A68,'Реестр объектов'!$A:$I,9,0)</f>
        <v>https://disk.yandex.ru/client/disk/Осмотры%20объектов%20АНО%20СМГ/727%203-я%20Парковая%20ул.%2C%20вл.%2039</v>
      </c>
      <c r="L68" s="6"/>
      <c r="M68" s="6"/>
      <c r="N68" s="16"/>
      <c r="O68" s="6"/>
      <c r="P68" s="16"/>
      <c r="Q68" s="6"/>
      <c r="R68" s="6"/>
      <c r="S68" s="6"/>
    </row>
    <row r="69">
      <c r="A69" s="23" t="s">
        <v>484</v>
      </c>
      <c r="B69" s="13" t="str">
        <f>VLOOKUP($A69,'Реестр объектов'!$A:$I,5,0)</f>
        <v>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корпуса 1, 2)</v>
      </c>
      <c r="C69" s="13" t="str">
        <f>VLOOKUP($A69,'Реестр объектов'!$A:$I,6,0)</f>
        <v>55.802208</v>
      </c>
      <c r="D69" s="13" t="str">
        <f>VLOOKUP($A69,'Реестр объектов'!$A:$I,7,0)</f>
        <v>37.828432</v>
      </c>
      <c r="E69" s="40" t="s">
        <v>23</v>
      </c>
      <c r="F69" s="9" t="s">
        <v>426</v>
      </c>
      <c r="G69" s="8">
        <v>45973.68582946759</v>
      </c>
      <c r="H69" s="8">
        <v>45973.72289065972</v>
      </c>
      <c r="I69" s="35" t="s">
        <v>485</v>
      </c>
      <c r="J69" s="18" t="str">
        <f>VLOOKUP($A69,'Реестр объектов'!$A:$I,8,0)</f>
        <v>https://docs.google.com/spreadsheets/d/1rbCD10ySi4YZEkJW2_Slmn9z7AI1WEsGsZaIJmnnT18/edit?gid=1285905712#gid=1285905712</v>
      </c>
      <c r="K69" s="21" t="str">
        <f>VLOOKUP($A69,'Реестр объектов'!$A:$I,9,0)</f>
        <v>https://disk.yandex.ru/client/disk/%D0%9E%D1%81%D0%BC%D0%BE%D1%82%D1%80%D1%8B%20%D0%BE%D0%B1%D1%8A%D0%B5%D0%BA%D1%82%D0%BE%D0%B2%20%D0%90%D0%9D%D0%9E%20%D0%A1%D0%9C%D0%93/667%2016-%D1%8F%20%D0%9F%D0%B0%D1%80%D0%BA%D0%BE%D0%B2%D0%B0%D1%8F%20%D0%B7%D1%83%2029%20%D0%90%20%D0%BA1%2C2%20</v>
      </c>
      <c r="L69" s="6"/>
      <c r="M69" s="6"/>
      <c r="N69" s="16"/>
      <c r="O69" s="6"/>
      <c r="P69" s="16"/>
      <c r="Q69" s="6"/>
      <c r="R69" s="6"/>
      <c r="S69" s="6"/>
    </row>
    <row r="70">
      <c r="A70" s="23" t="s">
        <v>486</v>
      </c>
      <c r="B70" s="13" t="str">
        <f>VLOOKUP($A70,'Реестр объектов'!$A:$I,5,0)</f>
        <v>5-я Парковая улица, земельный участок 39/3 (5-я Парковая ул., вл. 39, корп. 3 район Измайлово, 5-я Парковая ул., вл. 39, корп. 3</v>
      </c>
      <c r="C70" s="13" t="str">
        <f>VLOOKUP($A70,'Реестр объектов'!$A:$I,6,0)</f>
        <v>55.800869</v>
      </c>
      <c r="D70" s="13" t="str">
        <f>VLOOKUP($A70,'Реестр объектов'!$A:$I,7,0)</f>
        <v>37.786025</v>
      </c>
      <c r="E70" s="40" t="s">
        <v>23</v>
      </c>
      <c r="F70" s="9" t="s">
        <v>426</v>
      </c>
      <c r="G70" s="8">
        <v>45973.36833803241</v>
      </c>
      <c r="H70" s="8">
        <v>45973.38944708333</v>
      </c>
      <c r="I70" s="35" t="s">
        <v>487</v>
      </c>
      <c r="J70" s="18" t="str">
        <f>VLOOKUP($A70,'Реестр объектов'!$A:$I,8,0)</f>
        <v>https://docs.google.com/spreadsheets/d/1rbCD10ySi4YZEkJW2_Slmn9z7AI1WEsGsZaIJmnnT18/edit?gid=1439077148#gid=1439077148</v>
      </c>
      <c r="K70" s="21" t="str">
        <f>VLOOKUP($A70,'Реестр объектов'!$A:$I,9,0)</f>
        <v>https://disk.yandex.ru/client/disk/%D0%9E%D1%81%D0%BC%D0%BE%D1%82%D1%80%D1%8B%20%D0%BE%D0%B1%D1%8A%D0%B5%D0%BA%D1%82%D0%BE%D0%B2%20%D0%90%D0%9D%D0%9E%20%D0%A1%D0%9C%D0%93/874%20%D1%83%D0%BB%205-%D1%8F%20%D0%BF%D0%B0%D1%80%D0%BA%D0%BE%D0%B2%D0%B0%D1%8F%2039.3%20</v>
      </c>
      <c r="L70" s="6"/>
      <c r="M70" s="6"/>
      <c r="N70" s="16"/>
      <c r="O70" s="6"/>
      <c r="P70" s="16"/>
      <c r="Q70" s="6"/>
      <c r="R70" s="6"/>
      <c r="S70" s="6"/>
    </row>
    <row r="71">
      <c r="A71" s="23" t="s">
        <v>488</v>
      </c>
      <c r="B71" s="13" t="str">
        <f>VLOOKUP($A71,'Реестр объектов'!$A:$I,5,0)</f>
        <v>9-я Парковая улица, земельный участок 50/2 (9-я Парковая ул., вл. 50, корп. 2) ВАО        9-я Парковая улица, з/у 50/2 (9-я Парковая ул., вл. 50, корп. 2)</v>
      </c>
      <c r="C71" s="13" t="str">
        <f>VLOOKUP($A71,'Реестр объектов'!$A:$I,6,0)</f>
        <v>55.800494</v>
      </c>
      <c r="D71" s="13" t="str">
        <f>VLOOKUP($A71,'Реестр объектов'!$A:$I,7,0)</f>
        <v>37.800640</v>
      </c>
      <c r="E71" s="40" t="s">
        <v>23</v>
      </c>
      <c r="F71" s="9" t="s">
        <v>426</v>
      </c>
      <c r="G71" s="8">
        <v>45973.49257362269</v>
      </c>
      <c r="H71" s="8">
        <v>45973.506487314815</v>
      </c>
      <c r="I71" s="35" t="s">
        <v>192</v>
      </c>
      <c r="J71" s="18" t="str">
        <f>VLOOKUP($A71,'Реестр объектов'!$A:$I,8,0)</f>
        <v>https://docs.google.com/spreadsheets/d/1rbCD10ySi4YZEkJW2_Slmn9z7AI1WEsGsZaIJmnnT18/edit?gid=1846163124#gid=1846163124</v>
      </c>
      <c r="K71" s="19" t="str">
        <f>VLOOKUP($A71,'Реестр объектов'!$A:$I,9,0)</f>
        <v>https://disk.yandex.ru/client/disk/Осмотры%20объектов%20АНО%20СМГ/875%209-я%20Парковая%20ул.%2C%20вл.%2050%2C%20корп.%202</v>
      </c>
      <c r="L71" s="6"/>
      <c r="M71" s="6"/>
      <c r="N71" s="16"/>
      <c r="O71" s="6"/>
      <c r="P71" s="16"/>
      <c r="Q71" s="6"/>
      <c r="R71" s="6"/>
      <c r="S71" s="6"/>
    </row>
    <row r="72">
      <c r="A72" s="32" t="s">
        <v>489</v>
      </c>
      <c r="B72" s="13" t="str">
        <f>VLOOKUP($A72,'Реестр объектов'!$A:$I,5,0)</f>
        <v>9-я Парковая улица, земельный участок 52/1 (9-я Парковая ул., вл. 52, корп. 1) ВАО        9-я Парковая улица, з/у 52/1 (9-я Парковая ул., вл. 52, корп. 1)</v>
      </c>
      <c r="C72" s="13" t="str">
        <f>VLOOKUP($A72,'Реестр объектов'!$A:$I,6,0)</f>
        <v>55.801268</v>
      </c>
      <c r="D72" s="13" t="str">
        <f>VLOOKUP($A72,'Реестр объектов'!$A:$I,7,0)</f>
        <v>37.799688</v>
      </c>
      <c r="E72" s="40" t="s">
        <v>23</v>
      </c>
      <c r="F72" s="9" t="s">
        <v>426</v>
      </c>
      <c r="G72" s="8">
        <v>45973.47027305556</v>
      </c>
      <c r="H72" s="8">
        <v>45973.49242016204</v>
      </c>
      <c r="I72" s="35" t="s">
        <v>235</v>
      </c>
      <c r="J72" s="18" t="str">
        <f>VLOOKUP($A72,'Реестр объектов'!$A:$I,8,0)</f>
        <v>https://docs.google.com/spreadsheets/d/1rbCD10ySi4YZEkJW2_Slmn9z7AI1WEsGsZaIJmnnT18/edit?gid=1451563730#gid=1451563730</v>
      </c>
      <c r="K72" s="19" t="str">
        <f>VLOOKUP($A72,'Реестр объектов'!$A:$I,9,0)</f>
        <v>https://disk.yandex.ru/client/disk/Осмотры%20объектов%20АНО%20СМГ/876%209-я%20Парковая%20ул.%2C%20вл.%2052%2C%20корп.%201</v>
      </c>
      <c r="L72" s="6"/>
      <c r="M72" s="6"/>
      <c r="N72" s="16"/>
      <c r="O72" s="6"/>
      <c r="P72" s="16"/>
      <c r="Q72" s="6"/>
      <c r="R72" s="6"/>
      <c r="S72" s="6"/>
    </row>
    <row r="73">
      <c r="A73" s="32" t="s">
        <v>490</v>
      </c>
      <c r="B73" s="13" t="str">
        <f>VLOOKUP($A73,'Реестр объектов'!$A:$I,5,0)</f>
        <v>улица Азовская, земельный участок 39 ЮЗАО        улица Азовская, земельный участок 39</v>
      </c>
      <c r="C73" s="13" t="str">
        <f>VLOOKUP($A73,'Реестр объектов'!$A:$I,6,0)</f>
        <v>55.644814</v>
      </c>
      <c r="D73" s="13" t="str">
        <f>VLOOKUP($A73,'Реестр объектов'!$A:$I,7,0)</f>
        <v>37.595841</v>
      </c>
      <c r="E73" s="40" t="s">
        <v>29</v>
      </c>
      <c r="F73" s="9" t="s">
        <v>426</v>
      </c>
      <c r="G73" s="8">
        <v>45973.37441292824</v>
      </c>
      <c r="H73" s="8">
        <v>45973.41251778935</v>
      </c>
      <c r="I73" s="35" t="s">
        <v>491</v>
      </c>
      <c r="J73" s="18" t="str">
        <f>VLOOKUP($A73,'Реестр объектов'!$A:$I,8,0)</f>
        <v>https://docs.google.com/spreadsheets/d/1rbCD10ySi4YZEkJW2_Slmn9z7AI1WEsGsZaIJmnnT18/edit?gid=672785947#gid=672785947</v>
      </c>
      <c r="K73" s="19" t="str">
        <f>VLOOKUP($A73,'Реестр объектов'!$A:$I,9,0)</f>
        <v>https://disk.yandex.ru/client/disk/Осмотры%20объектов%20АНО%20СМГ/878.%20Азовская%20улица%2C%20зу%2039</v>
      </c>
      <c r="L73" s="6"/>
      <c r="M73" s="6"/>
      <c r="N73" s="16"/>
      <c r="O73" s="6"/>
      <c r="P73" s="16"/>
      <c r="Q73" s="6"/>
      <c r="R73" s="6"/>
      <c r="S73" s="6"/>
    </row>
    <row r="74">
      <c r="A74" s="32" t="s">
        <v>492</v>
      </c>
      <c r="B74" s="13" t="str">
        <f>VLOOKUP($A74,'Реестр объектов'!$A:$I,5,0)</f>
        <v>Нижегородская ул., з/у 92А (зона №2.3) ЮВАО	Нижегородская ул., з/у 92А (зона № 2.3)</v>
      </c>
      <c r="C74" s="13" t="str">
        <f>VLOOKUP($A74,'Реестр объектов'!$A:$I,6,0)</f>
        <v>55.730676</v>
      </c>
      <c r="D74" s="13" t="str">
        <f>VLOOKUP($A74,'Реестр объектов'!$A:$I,7,0)</f>
        <v>37.721182</v>
      </c>
      <c r="E74" s="40" t="s">
        <v>39</v>
      </c>
      <c r="F74" s="9" t="s">
        <v>426</v>
      </c>
      <c r="G74" s="8">
        <v>45973.51785143519</v>
      </c>
      <c r="H74" s="8">
        <v>45973.56751173611</v>
      </c>
      <c r="I74" s="35" t="s">
        <v>493</v>
      </c>
      <c r="J74" s="18" t="str">
        <f>VLOOKUP($A74,'Реестр объектов'!$A:$I,8,0)</f>
        <v>https://docs.google.com/spreadsheets/d/1rbCD10ySi4YZEkJW2_Slmn9z7AI1WEsGsZaIJmnnT18/edit?gid=1611612481#gid=1611612481</v>
      </c>
      <c r="K74" s="19" t="str">
        <f>VLOOKUP($A74,'Реестр объектов'!$A:$I,9,0)</f>
        <v>https://disk.yandex.ru/client/disk/Осмотры%20объектов%20АНО%20СМГ/806.%20Нижегородская%20ул.%2C%20з-у%2092А%2C%20зона%202.3</v>
      </c>
      <c r="L74" s="6"/>
      <c r="M74" s="6"/>
      <c r="N74" s="16"/>
      <c r="O74" s="6"/>
      <c r="P74" s="16"/>
      <c r="Q74" s="6"/>
      <c r="R74" s="6"/>
      <c r="S74" s="6"/>
    </row>
    <row r="75">
      <c r="A75" s="32" t="s">
        <v>494</v>
      </c>
      <c r="B75" s="13" t="str">
        <f>VLOOKUP($A75,'Реестр объектов'!$A:$I,5,0)</f>
        <v>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v>
      </c>
      <c r="C75" s="13" t="str">
        <f>VLOOKUP($A75,'Реестр объектов'!$A:$I,6,0)</f>
        <v>55.816341</v>
      </c>
      <c r="D75" s="13" t="str">
        <f>VLOOKUP($A75,'Реестр объектов'!$A:$I,7,0)</f>
        <v>37.792496</v>
      </c>
      <c r="E75" s="40" t="s">
        <v>41</v>
      </c>
      <c r="F75" s="9" t="s">
        <v>426</v>
      </c>
      <c r="G75" s="8">
        <v>45974.3909371412</v>
      </c>
      <c r="H75" s="8">
        <v>45974.45403846065</v>
      </c>
      <c r="I75" s="35" t="s">
        <v>102</v>
      </c>
      <c r="J75" s="18" t="str">
        <f>VLOOKUP($A75,'Реестр объектов'!$A:$I,8,0)</f>
        <v>https://docs.google.com/spreadsheets/d/1rbCD10ySi4YZEkJW2_Slmn9z7AI1WEsGsZaIJmnnT18/edit?gid=1294085884#gid=1294085884</v>
      </c>
      <c r="K75" s="21" t="str">
        <f>VLOOKUP($A75,'Реестр объектов'!$A:$I,9,0)</f>
        <v>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v>
      </c>
      <c r="L75" s="15" t="s">
        <v>21</v>
      </c>
      <c r="M75" s="6"/>
      <c r="N75" s="16"/>
      <c r="O75" s="6"/>
      <c r="P75" s="16"/>
      <c r="Q75" s="6"/>
      <c r="R75" s="6"/>
      <c r="S75" s="6"/>
    </row>
    <row r="76">
      <c r="A76" s="32" t="s">
        <v>495</v>
      </c>
      <c r="B76" s="13" t="str">
        <f>VLOOKUP($A76,'Реестр объектов'!$A:$I,5,0)</f>
        <v>улица Жигулевская, земельный участок 3/3/1 ЮВАО        улица Жигулёвская, земельный участок 3/3/1</v>
      </c>
      <c r="C76" s="13" t="str">
        <f>VLOOKUP($A76,'Реестр объектов'!$A:$I,6,0)</f>
        <v>55.712834</v>
      </c>
      <c r="D76" s="13" t="str">
        <f>VLOOKUP($A76,'Реестр объектов'!$A:$I,7,0)</f>
        <v>37.762931</v>
      </c>
      <c r="E76" s="40" t="s">
        <v>27</v>
      </c>
      <c r="F76" s="9" t="s">
        <v>426</v>
      </c>
      <c r="G76" s="8">
        <v>45973.627419826385</v>
      </c>
      <c r="H76" s="8">
        <v>45973.7501049537</v>
      </c>
      <c r="I76" s="35" t="s">
        <v>496</v>
      </c>
      <c r="J76" s="18" t="str">
        <f>VLOOKUP($A76,'Реестр объектов'!$A:$I,8,0)</f>
        <v>https://docs.google.com/spreadsheets/d/1rbCD10ySi4YZEkJW2_Slmn9z7AI1WEsGsZaIJmnnT18/edit?gid=858056712#gid=858056712</v>
      </c>
      <c r="K76" s="19" t="str">
        <f>VLOOKUP($A76,'Реестр объектов'!$A:$I,9,0)</f>
        <v>https://disk.yandex.ru/client/disk/Осмотры%20объектов%20АНО%20СМГ/837.%20Жигулевская%20ул.%2C%20з-у%203-3-1.%20Жилой%20дом</v>
      </c>
      <c r="L76" s="6"/>
      <c r="M76" s="6"/>
      <c r="N76" s="16"/>
      <c r="O76" s="6"/>
      <c r="P76" s="16"/>
      <c r="Q76" s="6"/>
      <c r="R76" s="6"/>
      <c r="S76" s="6"/>
    </row>
    <row r="77">
      <c r="A77" s="32" t="s">
        <v>497</v>
      </c>
      <c r="B77" s="13" t="str">
        <f>VLOOKUP($A77,'Реестр объектов'!$A:$I,5,0)</f>
        <v>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v>
      </c>
      <c r="C77" s="13" t="str">
        <f>VLOOKUP($A77,'Реестр объектов'!$A:$I,6,0)</f>
        <v>55.818731</v>
      </c>
      <c r="D77" s="13" t="str">
        <f>VLOOKUP($A77,'Реестр объектов'!$A:$I,7,0)</f>
        <v>37.463457</v>
      </c>
      <c r="E77" s="40" t="s">
        <v>19</v>
      </c>
      <c r="F77" s="9" t="s">
        <v>426</v>
      </c>
      <c r="G77" s="8">
        <v>45974.59802600695</v>
      </c>
      <c r="H77" s="8">
        <v>45974.638141550924</v>
      </c>
      <c r="I77" s="35" t="s">
        <v>388</v>
      </c>
      <c r="J77" s="18" t="str">
        <f>VLOOKUP($A77,'Реестр объектов'!$A:$I,8,0)</f>
        <v>https://docs.google.com/spreadsheets/d/1rbCD10ySi4YZEkJW2_Slmn9z7AI1WEsGsZaIJmnnT18/edit?gid=625147630#gid=625147630</v>
      </c>
      <c r="K77" s="19" t="str">
        <f>VLOOKUP($A77,'Реестр объектов'!$A:$I,9,0)</f>
        <v>https://disk.yandex.ru/client/disk/Осмотры%20объектов%20АНО%20СМГ/850.%20Сосновая%20аллея.%2C%20влд.%204</v>
      </c>
      <c r="L77" s="6"/>
      <c r="M77" s="6"/>
      <c r="N77" s="16"/>
      <c r="O77" s="6"/>
      <c r="P77" s="16"/>
      <c r="Q77" s="6"/>
      <c r="R77" s="6"/>
      <c r="S77" s="6"/>
    </row>
    <row r="78">
      <c r="A78" s="32" t="s">
        <v>498</v>
      </c>
      <c r="B78" s="13" t="str">
        <f>VLOOKUP($A78,'Реестр объектов'!$A:$I,5,0)</f>
        <v>улица Верхние Поля, земельный участок 17 (зоны 4.1 и 4.3) улица Верхние Поля, земельный участок 17 (зоны 4.1 и 4.3)</v>
      </c>
      <c r="C78" s="13" t="str">
        <f>VLOOKUP($A78,'Реестр объектов'!$A:$I,6,0)</f>
        <v>55.666430</v>
      </c>
      <c r="D78" s="13" t="str">
        <f>VLOOKUP($A78,'Реестр объектов'!$A:$I,7,0)</f>
        <v>37.749082</v>
      </c>
      <c r="E78" s="40" t="s">
        <v>31</v>
      </c>
      <c r="F78" s="9" t="s">
        <v>426</v>
      </c>
      <c r="G78" s="8">
        <v>45973.58509516204</v>
      </c>
      <c r="H78" s="8">
        <v>45973.64204491898</v>
      </c>
      <c r="I78" s="35" t="s">
        <v>499</v>
      </c>
      <c r="J78" s="18" t="str">
        <f>VLOOKUP($A78,'Реестр объектов'!$A:$I,8,0)</f>
        <v>https://docs.google.com/spreadsheets/d/1rbCD10ySi4YZEkJW2_Slmn9z7AI1WEsGsZaIJmnnT18/edit?gid=632308495#gid=632308495</v>
      </c>
      <c r="K78" s="19" t="str">
        <f>VLOOKUP($A78,'Реестр объектов'!$A:$I,9,0)</f>
        <v>https://disk.yandex.ru/client/disk/Осмотры%20объектов%20АНО%20СМГ/851.%20жилой%20дом%20Верхние%20поля%20зу17</v>
      </c>
      <c r="L78" s="15" t="s">
        <v>27</v>
      </c>
      <c r="M78" s="6"/>
      <c r="N78" s="16"/>
      <c r="O78" s="6"/>
      <c r="P78" s="16"/>
      <c r="Q78" s="6"/>
      <c r="R78" s="6"/>
      <c r="S78" s="6"/>
    </row>
    <row r="79">
      <c r="A79" s="32" t="s">
        <v>500</v>
      </c>
      <c r="B79" s="13" t="str">
        <f>VLOOKUP($A79,'Реестр объектов'!$A:$I,5,0)</f>
        <v>улица Таганрогская, земельный участок 8 улица Таганрогская, земельный участок 8</v>
      </c>
      <c r="C79" s="13" t="str">
        <f>VLOOKUP($A79,'Реестр объектов'!$A:$I,6,0)</f>
        <v>55.683838</v>
      </c>
      <c r="D79" s="13" t="str">
        <f>VLOOKUP($A79,'Реестр объектов'!$A:$I,7,0)</f>
        <v>37.755823</v>
      </c>
      <c r="E79" s="40" t="s">
        <v>31</v>
      </c>
      <c r="F79" s="9" t="s">
        <v>426</v>
      </c>
      <c r="G79" s="8">
        <v>45973.36918228009</v>
      </c>
      <c r="H79" s="8">
        <v>45973.42078165509</v>
      </c>
      <c r="I79" s="35" t="s">
        <v>501</v>
      </c>
      <c r="J79" s="18" t="str">
        <f>VLOOKUP($A79,'Реестр объектов'!$A:$I,8,0)</f>
        <v>https://docs.google.com/spreadsheets/d/1rbCD10ySi4YZEkJW2_Slmn9z7AI1WEsGsZaIJmnnT18/edit?gid=918222638#gid=918222638</v>
      </c>
      <c r="K79" s="19" t="str">
        <f>VLOOKUP($A79,'Реестр объектов'!$A:$I,9,0)</f>
        <v>https://disk.yandex.ru/client/disk/Осмотры%20объектов%20АНО%20СМГ/852.%20Таганрогская%20ул.%2C%20з!у%208</v>
      </c>
      <c r="L79" s="15" t="s">
        <v>27</v>
      </c>
      <c r="M79" s="6"/>
      <c r="N79" s="16"/>
      <c r="O79" s="6"/>
      <c r="P79" s="16"/>
      <c r="Q79" s="6"/>
      <c r="R79" s="6"/>
      <c r="S79" s="6"/>
    </row>
    <row r="80">
      <c r="A80" s="32" t="s">
        <v>502</v>
      </c>
      <c r="B80" s="13" t="str">
        <f>VLOOKUP($A80,'Реестр объектов'!$A:$I,5,0)</f>
        <v>2-я Прядильная ул., вл.9 (Приобретение объектов недвижимости) ВАО	2-я Прядильная ул., вл.9 (Приобретение объектов недвижимости)</v>
      </c>
      <c r="C80" s="13" t="str">
        <f>VLOOKUP($A80,'Реестр объектов'!$A:$I,6,0)</f>
        <v>55.796355</v>
      </c>
      <c r="D80" s="13" t="str">
        <f>VLOOKUP($A80,'Реестр объектов'!$A:$I,7,0)</f>
        <v>37.780896</v>
      </c>
      <c r="E80" s="40" t="s">
        <v>41</v>
      </c>
      <c r="F80" s="9" t="s">
        <v>426</v>
      </c>
      <c r="G80" s="8">
        <v>45973.375744143515</v>
      </c>
      <c r="H80" s="8">
        <v>45973.40647824074</v>
      </c>
      <c r="I80" s="35" t="s">
        <v>503</v>
      </c>
      <c r="J80" s="18" t="str">
        <f>VLOOKUP($A80,'Реестр объектов'!$A:$I,8,0)</f>
        <v>https://docs.google.com/spreadsheets/d/1rbCD10ySi4YZEkJW2_Slmn9z7AI1WEsGsZaIJmnnT18/edit?gid=1108501275#gid=1108501275</v>
      </c>
      <c r="K80" s="19" t="str">
        <f>VLOOKUP($A80,'Реестр объектов'!$A:$I,9,0)</f>
        <v>https://disk.yandex.ru/client/disk/Осмотры%20объектов%20АНО%20СМГ/854%202-я%20Прядильная%20ул%2C%20зу%209</v>
      </c>
      <c r="L80" s="6"/>
      <c r="M80" s="6"/>
      <c r="N80" s="16"/>
      <c r="O80" s="6"/>
      <c r="P80" s="16"/>
      <c r="Q80" s="6"/>
      <c r="R80" s="6"/>
      <c r="S80" s="6"/>
    </row>
    <row r="81">
      <c r="A81" s="32" t="s">
        <v>504</v>
      </c>
      <c r="B81" s="13" t="str">
        <f>VLOOKUP($A81,'Реестр объектов'!$A:$I,5,0)</f>
        <v>ул. Каховка, земельный участок 14/2  ул. Каховка, земельный участок 14/2</v>
      </c>
      <c r="C81" s="13" t="str">
        <f>VLOOKUP($A81,'Реестр объектов'!$A:$I,6,0)</f>
        <v>55.655884</v>
      </c>
      <c r="D81" s="13" t="str">
        <f>VLOOKUP($A81,'Реестр объектов'!$A:$I,7,0)</f>
        <v>37.576879</v>
      </c>
      <c r="E81" s="40" t="s">
        <v>29</v>
      </c>
      <c r="F81" s="9" t="s">
        <v>426</v>
      </c>
      <c r="G81" s="8">
        <v>45973.663059004626</v>
      </c>
      <c r="H81" s="8">
        <v>45973.75130549769</v>
      </c>
      <c r="I81" s="35" t="s">
        <v>505</v>
      </c>
      <c r="J81" s="18" t="str">
        <f>VLOOKUP($A81,'Реестр объектов'!$A:$I,8,0)</f>
        <v>https://docs.google.com/spreadsheets/d/1rbCD10ySi4YZEkJW2_Slmn9z7AI1WEsGsZaIJmnnT18/edit?gid=900983135#gid=900983135</v>
      </c>
      <c r="K81" s="19" t="str">
        <f>VLOOKUP($A81,'Реестр объектов'!$A:$I,9,0)</f>
        <v>https://disk.yandex.ru/client/disk/Осмотры%20объектов%20АНО%20СМГ/863.%20ул.%20Каховка%2C%20земельный%20участок%2014-2</v>
      </c>
      <c r="L81" s="15" t="s">
        <v>29</v>
      </c>
      <c r="M81" s="6"/>
      <c r="N81" s="16"/>
      <c r="O81" s="6"/>
      <c r="P81" s="16"/>
      <c r="Q81" s="6"/>
      <c r="R81" s="6"/>
      <c r="S81" s="6"/>
    </row>
    <row r="82">
      <c r="A82" s="32" t="s">
        <v>506</v>
      </c>
      <c r="B82" s="13" t="str">
        <f>VLOOKUP($A82,'Реестр объектов'!$A:$I,5,0)</f>
        <v>Волоколамское шоссе, мкр.16, зона №1.2 (2 очередь) район Покровское-Стрешнево, мкр.16, зона №1.2 (2 очередь) зу 108</v>
      </c>
      <c r="C82" s="13" t="str">
        <f>VLOOKUP($A82,'Реестр объектов'!$A:$I,6,0)</f>
        <v>55.827311</v>
      </c>
      <c r="D82" s="13" t="str">
        <f>VLOOKUP($A82,'Реестр объектов'!$A:$I,7,0)</f>
        <v>37.427854</v>
      </c>
      <c r="E82" s="40" t="s">
        <v>33</v>
      </c>
      <c r="F82" s="9" t="s">
        <v>426</v>
      </c>
      <c r="G82" s="8">
        <v>45974.5478540162</v>
      </c>
      <c r="H82" s="8">
        <v>45974.56190023148</v>
      </c>
      <c r="I82" s="35" t="s">
        <v>192</v>
      </c>
      <c r="J82" s="18" t="str">
        <f>VLOOKUP($A82,'Реестр объектов'!$A:$I,8,0)</f>
        <v>https://docs.google.com/spreadsheets/d/1rbCD10ySi4YZEkJW2_Slmn9z7AI1WEsGsZaIJmnnT18/edit?gid=679741287#gid=679741287</v>
      </c>
      <c r="K82" s="19" t="str">
        <f>VLOOKUP($A82,'Реестр объектов'!$A:$I,9,0)</f>
        <v>https://disk.yandex.ru/client/disk/Осмотры%20объектов%20АНО%20СМГ/1158%20Волоколамское%20шоссе%2Cмкр.%2016%20зона%201.2%20(2я%20очередь)</v>
      </c>
      <c r="L82" s="15" t="s">
        <v>19</v>
      </c>
      <c r="M82" s="6"/>
      <c r="N82" s="16"/>
      <c r="O82" s="6"/>
      <c r="P82" s="16"/>
      <c r="Q82" s="6"/>
      <c r="R82" s="6"/>
      <c r="S82" s="6"/>
    </row>
    <row r="83">
      <c r="A83" s="32" t="s">
        <v>507</v>
      </c>
      <c r="B83" s="13" t="str">
        <f>VLOOKUP($A83,'Реестр объектов'!$A:$I,5,0)</f>
        <v>ул. Свободы, мкр. 14  ул. Свободы, мкр. 14</v>
      </c>
      <c r="C83" s="13" t="str">
        <f>VLOOKUP($A83,'Реестр объектов'!$A:$I,6,0)</f>
        <v>55.824283</v>
      </c>
      <c r="D83" s="13" t="str">
        <f>VLOOKUP($A83,'Реестр объектов'!$A:$I,7,0)</f>
        <v>37.449138</v>
      </c>
      <c r="E83" s="40" t="s">
        <v>19</v>
      </c>
      <c r="F83" s="9" t="s">
        <v>426</v>
      </c>
      <c r="G83" s="8">
        <v>45974.53120045138</v>
      </c>
      <c r="H83" s="8">
        <v>45974.5651331713</v>
      </c>
      <c r="I83" s="35" t="s">
        <v>508</v>
      </c>
      <c r="J83" s="18" t="str">
        <f>VLOOKUP($A83,'Реестр объектов'!$A:$I,8,0)</f>
        <v>https://docs.google.com/spreadsheets/d/1rbCD10ySi4YZEkJW2_Slmn9z7AI1WEsGsZaIJmnnT18/edit?gid=1315766169#gid=1315766169</v>
      </c>
      <c r="K83" s="19" t="str">
        <f>VLOOKUP($A83,'Реестр объектов'!$A:$I,9,0)</f>
        <v>https://disk.yandex.ru/client/disk/Осмотры%20объектов%20АНО%20СМГ/864.%20Москва%2C%20улица%20Свободы%2C%20(мкр%2014)%20д.1%20к.4</v>
      </c>
      <c r="L83" s="6"/>
      <c r="M83" s="6"/>
      <c r="N83" s="16"/>
      <c r="O83" s="6"/>
      <c r="P83" s="16"/>
      <c r="Q83" s="6"/>
      <c r="R83" s="6"/>
      <c r="S83" s="6"/>
    </row>
    <row r="84">
      <c r="A84" s="32" t="s">
        <v>509</v>
      </c>
      <c r="B84" s="13" t="str">
        <f>VLOOKUP($A84,'Реестр объектов'!$A:$I,5,0)</f>
        <v>Путевой проезд, микрорайон 3, зона №1.1 микрорайон 3 района Алтуфьевский, зона №1.1 ЗУ 34/2</v>
      </c>
      <c r="C84" s="13" t="str">
        <f>VLOOKUP($A84,'Реестр объектов'!$A:$I,6,0)</f>
        <v>55.876438</v>
      </c>
      <c r="D84" s="13" t="str">
        <f>VLOOKUP($A84,'Реестр объектов'!$A:$I,7,0)</f>
        <v>37.572267</v>
      </c>
      <c r="E84" s="40" t="s">
        <v>17</v>
      </c>
      <c r="F84" s="9" t="s">
        <v>426</v>
      </c>
      <c r="G84" s="8">
        <v>45973.67656577546</v>
      </c>
      <c r="H84" s="8">
        <v>45973.71083570602</v>
      </c>
      <c r="I84" s="35" t="s">
        <v>508</v>
      </c>
      <c r="J84" s="18" t="str">
        <f>VLOOKUP($A84,'Реестр объектов'!$A:$I,8,0)</f>
        <v>https://docs.google.com/spreadsheets/d/1rbCD10ySi4YZEkJW2_Slmn9z7AI1WEsGsZaIJmnnT18/edit?gid=667094303#gid=667094303</v>
      </c>
      <c r="K84" s="19" t="str">
        <f>VLOOKUP($A84,'Реестр объектов'!$A:$I,9,0)</f>
        <v>https://disk.yandex.ru/client/disk/Осмотры%20объектов%20АНО%20СМГ/865%20Путевой%20проезд%20микрорайон%203%2C%20(зоны%201.1%2C%201.2%2C%201.3)</v>
      </c>
      <c r="L84" s="15" t="s">
        <v>17</v>
      </c>
      <c r="M84" s="6"/>
      <c r="N84" s="16"/>
      <c r="O84" s="6"/>
      <c r="P84" s="16"/>
      <c r="Q84" s="6"/>
      <c r="R84" s="6"/>
      <c r="S84" s="6"/>
    </row>
    <row r="85">
      <c r="A85" s="32" t="s">
        <v>510</v>
      </c>
      <c r="B85" s="13" t="str">
        <f>VLOOKUP($A85,'Реестр объектов'!$A:$I,5,0)</f>
        <v>Алтуфьевский район, микрорайон 1-2, зона №24.1 Алтуфьевский район, микрорайон 1-2, зона №24.1 (Инженерная улица, д.10. корп. 2)</v>
      </c>
      <c r="C85" s="13" t="str">
        <f>VLOOKUP($A85,'Реестр объектов'!$A:$I,6,0)</f>
        <v>55.880778</v>
      </c>
      <c r="D85" s="13" t="str">
        <f>VLOOKUP($A85,'Реестр объектов'!$A:$I,7,0)</f>
        <v>37.581837</v>
      </c>
      <c r="E85" s="40" t="s">
        <v>17</v>
      </c>
      <c r="F85" s="9" t="s">
        <v>426</v>
      </c>
      <c r="G85" s="8">
        <v>45973.71859103009</v>
      </c>
      <c r="H85" s="8">
        <v>45973.75673836806</v>
      </c>
      <c r="I85" s="35" t="s">
        <v>491</v>
      </c>
      <c r="J85" s="18" t="str">
        <f>VLOOKUP($A85,'Реестр объектов'!$A:$I,8,0)</f>
        <v>https://docs.google.com/spreadsheets/d/1rbCD10ySi4YZEkJW2_Slmn9z7AI1WEsGsZaIJmnnT18/edit?gid=151666570#gid=151666570</v>
      </c>
      <c r="K85" s="19" t="str">
        <f>VLOOKUP($A85,'Реестр объектов'!$A:$I,9,0)</f>
        <v>https://disk.yandex.ru/client/disk/Осмотры%20объектов%20АНО%20СМГ/867%20Алтуфьевский%20район%20микрорайон%201-2%2C%20зона%20№24.1</v>
      </c>
      <c r="L85" s="6"/>
      <c r="M85" s="6"/>
      <c r="N85" s="16"/>
      <c r="O85" s="6"/>
      <c r="P85" s="16"/>
      <c r="Q85" s="6"/>
      <c r="R85" s="6"/>
      <c r="S85" s="6"/>
    </row>
    <row r="86">
      <c r="A86" s="32" t="s">
        <v>511</v>
      </c>
      <c r="B86" s="13" t="str">
        <f>VLOOKUP($A86,'Реестр объектов'!$A:$I,5,0)</f>
        <v>3-я Парковая ул.,  зона 4.2 (к.4) 3-я Парковая ул.,  зона 4.2 (к.4) ЗУ 46/1</v>
      </c>
      <c r="C86" s="13" t="str">
        <f>VLOOKUP($A86,'Реестр объектов'!$A:$I,6,0)</f>
        <v>55.805665</v>
      </c>
      <c r="D86" s="13" t="str">
        <f>VLOOKUP($A86,'Реестр объектов'!$A:$I,7,0)</f>
        <v>37.783050</v>
      </c>
      <c r="E86" s="40" t="s">
        <v>23</v>
      </c>
      <c r="F86" s="9" t="s">
        <v>426</v>
      </c>
      <c r="G86" s="8">
        <v>45973.39516076389</v>
      </c>
      <c r="H86" s="8">
        <v>45973.418493125</v>
      </c>
      <c r="I86" s="35" t="s">
        <v>200</v>
      </c>
      <c r="J86" s="18" t="str">
        <f>VLOOKUP($A86,'Реестр объектов'!$A:$I,8,0)</f>
        <v>https://docs.google.com/spreadsheets/d/1rbCD10ySi4YZEkJW2_Slmn9z7AI1WEsGsZaIJmnnT18/edit?gid=1853936778#gid=1853936778</v>
      </c>
      <c r="K86" s="19" t="str">
        <f>VLOOKUP($A86,'Реестр объектов'!$A:$I,9,0)</f>
        <v>https://disk.yandex.ru/client/disk/Осмотры%20объектов%20АНО%20СМГ/868%203-я%20Парковая%20зона%204.2</v>
      </c>
      <c r="L86" s="6"/>
      <c r="M86" s="6"/>
      <c r="N86" s="16"/>
      <c r="O86" s="6"/>
      <c r="P86" s="16"/>
      <c r="Q86" s="6"/>
      <c r="R86" s="6"/>
      <c r="S86" s="6"/>
    </row>
    <row r="87">
      <c r="A87" s="32" t="s">
        <v>512</v>
      </c>
      <c r="B87" s="13" t="str">
        <f>VLOOKUP($A87,'Реестр объектов'!$A:$I,5,0)</f>
        <v>улица Перовская, земельный участок 46/48 (Перовская ул., вл. 46/48) улица Перовская, земельный участок 46/48(Перовская ул., вл. 46)</v>
      </c>
      <c r="C87" s="13" t="str">
        <f>VLOOKUP($A87,'Реестр объектов'!$A:$I,6,0)</f>
        <v>55.745179</v>
      </c>
      <c r="D87" s="13" t="str">
        <f>VLOOKUP($A87,'Реестр объектов'!$A:$I,7,0)</f>
        <v>37.783815</v>
      </c>
      <c r="E87" s="40" t="s">
        <v>25</v>
      </c>
      <c r="F87" s="9" t="s">
        <v>426</v>
      </c>
      <c r="G87" s="8">
        <v>45973.69290371527</v>
      </c>
      <c r="H87" s="8">
        <v>45973.70221553241</v>
      </c>
      <c r="I87" s="35" t="s">
        <v>513</v>
      </c>
      <c r="J87" s="18" t="str">
        <f>VLOOKUP($A87,'Реестр объектов'!$A:$I,8,0)</f>
        <v>https://docs.google.com/spreadsheets/d/1rbCD10ySi4YZEkJW2_Slmn9z7AI1WEsGsZaIJmnnT18/edit?gid=590835051#gid=590835051</v>
      </c>
      <c r="K87" s="19" t="str">
        <f>VLOOKUP($A87,'Реестр объектов'!$A:$I,9,0)</f>
        <v>https://disk.yandex.ru/client/disk/Осмотры%20объектов%20АНО%20СМГ/872%20ул.%20Перовская%20зем.%20уч.%2046-48</v>
      </c>
      <c r="L87" s="6"/>
      <c r="M87" s="6"/>
      <c r="N87" s="16"/>
      <c r="O87" s="6"/>
      <c r="P87" s="16"/>
      <c r="Q87" s="6"/>
      <c r="R87" s="6"/>
      <c r="S87" s="6"/>
    </row>
    <row r="88">
      <c r="A88" s="32" t="s">
        <v>514</v>
      </c>
      <c r="B88" s="13" t="str">
        <f>VLOOKUP($A88,'Реестр объектов'!$A:$I,5,0)</f>
        <v>улица Братская, земельный участок 23 (Братская ул., вл. 23) Братская ул., вл. 23</v>
      </c>
      <c r="C88" s="13" t="str">
        <f>VLOOKUP($A88,'Реестр объектов'!$A:$I,6,0)</f>
        <v>55.749281</v>
      </c>
      <c r="D88" s="13" t="str">
        <f>VLOOKUP($A88,'Реестр объектов'!$A:$I,7,0)</f>
        <v>37.795311</v>
      </c>
      <c r="E88" s="40" t="s">
        <v>25</v>
      </c>
      <c r="F88" s="9" t="s">
        <v>426</v>
      </c>
      <c r="G88" s="8">
        <v>45973.675442754626</v>
      </c>
      <c r="H88" s="8">
        <v>45973.68536087963</v>
      </c>
      <c r="I88" s="35" t="s">
        <v>515</v>
      </c>
      <c r="J88" s="18" t="str">
        <f>VLOOKUP($A88,'Реестр объектов'!$A:$I,8,0)</f>
        <v>https://docs.google.com/spreadsheets/d/1rbCD10ySi4YZEkJW2_Slmn9z7AI1WEsGsZaIJmnnT18/edit?gid=238290316#gid=238290316</v>
      </c>
      <c r="K88" s="19" t="str">
        <f>VLOOKUP($A88,'Реестр объектов'!$A:$I,9,0)</f>
        <v>https://disk.yandex.ru/client/disk/Осмотры%20объектов%20АНО%20СМГ/948%20ул.%20Братская%2C%20вл.23</v>
      </c>
      <c r="L88" s="6"/>
      <c r="M88" s="6"/>
      <c r="N88" s="16"/>
      <c r="O88" s="6"/>
      <c r="P88" s="16"/>
      <c r="Q88" s="6"/>
      <c r="R88" s="6"/>
      <c r="S88" s="6"/>
    </row>
    <row r="89">
      <c r="A89" s="32" t="s">
        <v>516</v>
      </c>
      <c r="B89" s="13" t="str">
        <f>VLOOKUP($A89,'Реестр объектов'!$A:$I,5,0)</f>
        <v>Кольская ул., з/у 7 СВАО, Кольская ул. земельный участок 7 (Кольская вл. 7), район Свиблово</v>
      </c>
      <c r="C89" s="13" t="str">
        <f>VLOOKUP($A89,'Реестр объектов'!$A:$I,6,0)</f>
        <v>55.859232</v>
      </c>
      <c r="D89" s="13" t="str">
        <f>VLOOKUP($A89,'Реестр объектов'!$A:$I,7,0)</f>
        <v>37.649228</v>
      </c>
      <c r="E89" s="40" t="s">
        <v>21</v>
      </c>
      <c r="F89" s="9" t="s">
        <v>426</v>
      </c>
      <c r="G89" s="8">
        <v>45974.58424070602</v>
      </c>
      <c r="H89" s="8">
        <v>45974.637619016205</v>
      </c>
      <c r="I89" s="35" t="s">
        <v>517</v>
      </c>
      <c r="J89" s="18" t="str">
        <f>VLOOKUP($A89,'Реестр объектов'!$A:$I,8,0)</f>
        <v>https://docs.google.com/spreadsheets/d/1rbCD10ySi4YZEkJW2_Slmn9z7AI1WEsGsZaIJmnnT18/edit?gid=1068599727#gid=1068599727</v>
      </c>
      <c r="K89" s="19" t="str">
        <f>VLOOKUP($A89,'Реестр объектов'!$A:$I,9,0)</f>
        <v>https://disk.yandex.ru/client/disk/Осмотры%20объектов%20АНО%20СМГ/657%20Кольская%20ул.%2C%20зу%207</v>
      </c>
      <c r="L89" s="6"/>
      <c r="M89" s="6"/>
      <c r="N89" s="16"/>
      <c r="O89" s="6"/>
      <c r="P89" s="16"/>
      <c r="Q89" s="6"/>
      <c r="R89" s="6"/>
      <c r="S89" s="6"/>
    </row>
    <row r="90">
      <c r="A90" s="32" t="s">
        <v>518</v>
      </c>
      <c r="B90" s="13" t="str">
        <f>VLOOKUP($A90,'Реестр объектов'!$A:$I,5,0)</f>
        <v>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v>
      </c>
      <c r="C90" s="13" t="str">
        <f>VLOOKUP($A90,'Реестр объектов'!$A:$I,6,0)</f>
        <v>55.725574</v>
      </c>
      <c r="D90" s="13" t="str">
        <f>VLOOKUP($A90,'Реестр объектов'!$A:$I,7,0)</f>
        <v>37.471004</v>
      </c>
      <c r="E90" s="40" t="s">
        <v>35</v>
      </c>
      <c r="F90" s="9" t="s">
        <v>426</v>
      </c>
      <c r="G90" s="8">
        <v>45973.48719623843</v>
      </c>
      <c r="H90" s="8">
        <v>45973.55861472222</v>
      </c>
      <c r="I90" s="35" t="s">
        <v>82</v>
      </c>
      <c r="J90" s="18" t="str">
        <f>VLOOKUP($A90,'Реестр объектов'!$A:$I,8,0)</f>
        <v>https://docs.google.com/spreadsheets/d/1rbCD10ySi4YZEkJW2_Slmn9z7AI1WEsGsZaIJmnnT18/edit?gid=1407510683#gid=1407510683</v>
      </c>
      <c r="K90" s="19" t="str">
        <f>VLOOKUP($A90,'Реестр объектов'!$A:$I,9,0)</f>
        <v>https://disk.yandex.ru/client/disk/Осмотры%20объектов%20АНО%20СМГ/723.%20дом%20Ул.%20Кремчугская%2011-17</v>
      </c>
      <c r="L90" s="6"/>
      <c r="M90" s="6"/>
      <c r="N90" s="16"/>
      <c r="O90" s="6"/>
      <c r="P90" s="16"/>
      <c r="Q90" s="6"/>
      <c r="R90" s="6"/>
      <c r="S90" s="6"/>
    </row>
    <row r="91">
      <c r="A91" s="32" t="s">
        <v>519</v>
      </c>
      <c r="B91" s="13" t="str">
        <f>VLOOKUP($A91,'Реестр объектов'!$A:$I,5,0)</f>
        <v>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v>
      </c>
      <c r="C91" s="13" t="str">
        <f>VLOOKUP($A91,'Реестр объектов'!$A:$I,6,0)</f>
        <v>55.897462</v>
      </c>
      <c r="D91" s="13" t="str">
        <f>VLOOKUP($A91,'Реестр объектов'!$A:$I,7,0)</f>
        <v>37.534452</v>
      </c>
      <c r="E91" s="40" t="s">
        <v>17</v>
      </c>
      <c r="F91" s="9" t="s">
        <v>426</v>
      </c>
      <c r="G91" s="8">
        <v>45973.45379478009</v>
      </c>
      <c r="H91" s="8">
        <v>45973.51170538194</v>
      </c>
      <c r="I91" s="35" t="s">
        <v>520</v>
      </c>
      <c r="J91" s="18" t="str">
        <f>VLOOKUP($A91,'Реестр объектов'!$A:$I,8,0)</f>
        <v>https://docs.google.com/spreadsheets/d/1rbCD10ySi4YZEkJW2_Slmn9z7AI1WEsGsZaIJmnnT18/edit?gid=1084360480#gid=1084360480</v>
      </c>
      <c r="K91" s="19" t="str">
        <f>VLOOKUP($A91,'Реестр объектов'!$A:$I,9,0)</f>
        <v>https://disk.yandex.ru/client/disk/Осмотры%20объектов%20АНО%20СМГ/946.%20ФОК%20ул.%20Истринская%202-8</v>
      </c>
      <c r="L91" s="6"/>
      <c r="M91" s="6"/>
      <c r="N91" s="16"/>
      <c r="O91" s="6"/>
      <c r="P91" s="16"/>
      <c r="Q91" s="6"/>
      <c r="R91" s="6"/>
      <c r="S91" s="6"/>
    </row>
    <row r="92">
      <c r="A92" s="32" t="s">
        <v>521</v>
      </c>
      <c r="B92" s="13" t="str">
        <f>VLOOKUP($A92,'Реестр объектов'!$A:$I,5,0)</f>
        <v>ул. Долгопрудная, з/у 8 р-н Дмитровский мкр. 15, 16, 17, 18. улица Долгопрудная, з/у 8 (Зона 10.4)   (со сносом жилых домов по адресу: ул. Долгопрудная, д.8, к.2 и ул. Долгопрудная, д.8, к.1)</v>
      </c>
      <c r="C92" s="13" t="str">
        <f>VLOOKUP($A92,'Реестр объектов'!$A:$I,6,0)</f>
        <v>55.894542</v>
      </c>
      <c r="D92" s="13" t="str">
        <f>VLOOKUP($A92,'Реестр объектов'!$A:$I,7,0)</f>
        <v>37.539888</v>
      </c>
      <c r="E92" s="40" t="s">
        <v>17</v>
      </c>
      <c r="F92" s="9" t="s">
        <v>426</v>
      </c>
      <c r="G92" s="8">
        <v>45974.46077796296</v>
      </c>
      <c r="H92" s="8">
        <v>45974.5371084375</v>
      </c>
      <c r="I92" s="35" t="s">
        <v>522</v>
      </c>
      <c r="J92" s="18" t="str">
        <f>VLOOKUP($A92,'Реестр объектов'!$A:$I,8,0)</f>
        <v>https://docs.google.com/spreadsheets/d/1rbCD10ySi4YZEkJW2_Slmn9z7AI1WEsGsZaIJmnnT18/edit?gid=43981398#gid=43981398</v>
      </c>
      <c r="K92" s="19" t="str">
        <f>VLOOKUP($A92,'Реестр объектов'!$A:$I,9,0)</f>
        <v>https://disk.yandex.ru/client/disk/Осмотры%20объектов%20АНО%20СМГ/663.%20ул.%20Долгопрудная%20з.у.%208</v>
      </c>
      <c r="L92" s="6"/>
      <c r="M92" s="6"/>
      <c r="N92" s="16"/>
      <c r="O92" s="6"/>
      <c r="P92" s="16"/>
      <c r="Q92" s="6"/>
      <c r="R92" s="6"/>
      <c r="S92" s="6"/>
    </row>
    <row r="93">
      <c r="A93" s="32" t="s">
        <v>523</v>
      </c>
      <c r="B93" s="13" t="str">
        <f>VLOOKUP($A93,'Реестр объектов'!$A:$I,5,0)</f>
        <v>ул. Уткина, з/у 44 ул. Уткина, з/у 44</v>
      </c>
      <c r="C93" s="13" t="str">
        <f>VLOOKUP($A93,'Реестр объектов'!$A:$I,6,0)</f>
        <v>55.761811</v>
      </c>
      <c r="D93" s="13" t="str">
        <f>VLOOKUP($A93,'Реестр объектов'!$A:$I,7,0)</f>
        <v>37.744226</v>
      </c>
      <c r="E93" s="40" t="s">
        <v>41</v>
      </c>
      <c r="F93" s="9" t="s">
        <v>426</v>
      </c>
      <c r="G93" s="46">
        <v>45973.347348125</v>
      </c>
      <c r="H93" s="8">
        <v>45973.364483576384</v>
      </c>
      <c r="I93" s="35" t="s">
        <v>524</v>
      </c>
      <c r="J93" s="18" t="str">
        <f>VLOOKUP($A93,'Реестр объектов'!$A:$I,8,0)</f>
        <v>https://docs.google.com/spreadsheets/d/1rbCD10ySi4YZEkJW2_Slmn9z7AI1WEsGsZaIJmnnT18/edit?gid=1877394014#gid=1877394014</v>
      </c>
      <c r="K93" s="19" t="str">
        <f>VLOOKUP($A93,'Реестр объектов'!$A:$I,9,0)</f>
        <v>https://disk.yandex.ru/client/disk/Осмотры%20объектов%20АНО%20СМГ/931.%20ул.%20Уткина%2C%20з.у%2044</v>
      </c>
      <c r="L93" s="6"/>
      <c r="M93" s="6"/>
      <c r="N93" s="16"/>
      <c r="O93" s="6"/>
      <c r="P93" s="16"/>
      <c r="Q93" s="6"/>
      <c r="R93" s="6"/>
      <c r="S93" s="6"/>
    </row>
    <row r="94">
      <c r="A94" s="32" t="s">
        <v>525</v>
      </c>
      <c r="B94" s="13" t="str">
        <f>VLOOKUP($A94,'Реестр объектов'!$A:$I,5,0)</f>
        <v>Жилой комплекс «Терлецкий парк»
 Новогиреевская ул., вл.5, корп.1, корп.2 район Новогиреево, Новогиреевская ул., вл. 5, корп. 1, корп. 2</v>
      </c>
      <c r="C94" s="13" t="str">
        <f>VLOOKUP($A94,'Реестр объектов'!$A:$I,6,0)</f>
        <v>55.761429</v>
      </c>
      <c r="D94" s="13" t="str">
        <f>VLOOKUP($A94,'Реестр объектов'!$A:$I,7,0)</f>
        <v>37.796085</v>
      </c>
      <c r="E94" s="40" t="s">
        <v>25</v>
      </c>
      <c r="F94" s="9" t="s">
        <v>526</v>
      </c>
      <c r="G94" s="20">
        <v>45974.45532341435</v>
      </c>
      <c r="H94" s="20">
        <v>45974.50939038194</v>
      </c>
      <c r="I94" s="2" t="s">
        <v>527</v>
      </c>
      <c r="J94" s="18" t="str">
        <f>VLOOKUP($A94,'Реестр объектов'!$A:$I,8,0)</f>
        <v>https://docs.google.com/spreadsheets/d/19THEBTE9q0fhN2eApZr6BgenIvLGh0AckaYxHQfHk5w/edit?gid=326698304#gid=326698304</v>
      </c>
      <c r="K94" s="19" t="str">
        <f>VLOOKUP($A94,'Реестр объектов'!$A:$I,9,0)</f>
        <v>https://disk.yandex.ru/client/disk/Осмотры%20объектов%20АНО%20СМГ/123.%20ЖК%20«Терлецкий%20Парк»%20Новогиреевская%20ул.%2C%20вл.5%2C%20корп.1%2C%20корп.2</v>
      </c>
      <c r="L94" s="6"/>
      <c r="M94" s="6"/>
      <c r="N94" s="16"/>
      <c r="O94" s="6"/>
      <c r="P94" s="16"/>
      <c r="Q94" s="6"/>
      <c r="R94" s="6"/>
      <c r="S94" s="6"/>
    </row>
    <row r="95">
      <c r="A95" s="32" t="s">
        <v>528</v>
      </c>
      <c r="B95" s="13" t="str">
        <f>VLOOKUP($A95,'Реестр объектов'!$A:$I,5,0)</f>
        <v>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v>
      </c>
      <c r="C95" s="13" t="str">
        <f>VLOOKUP($A95,'Реестр объектов'!$A:$I,6,0)</f>
        <v>55.759260</v>
      </c>
      <c r="D95" s="13" t="str">
        <f>VLOOKUP($A95,'Реестр объектов'!$A:$I,7,0)</f>
        <v>37.518414</v>
      </c>
      <c r="E95" s="40" t="s">
        <v>35</v>
      </c>
      <c r="F95" s="9" t="s">
        <v>526</v>
      </c>
      <c r="G95" s="20">
        <v>45973.575473599536</v>
      </c>
      <c r="H95" s="20">
        <v>45973.62514113426</v>
      </c>
      <c r="I95" s="2" t="s">
        <v>493</v>
      </c>
      <c r="J95" s="18" t="str">
        <f>VLOOKUP($A95,'Реестр объектов'!$A:$I,8,0)</f>
        <v>https://docs.google.com/spreadsheets/d/19THEBTE9q0fhN2eApZr6BgenIvLGh0AckaYxHQfHk5w/edit?gid=2057787589#gid=2057787589</v>
      </c>
      <c r="K95" s="19" t="str">
        <f>VLOOKUP($A95,'Реестр объектов'!$A:$I,9,0)</f>
        <v>https://disk.yandex.ru/client/disk/Осмотры%20объектов%20АНО%20СМГ/181.Причальный%20проезд%20школа%20на%20400%20мест</v>
      </c>
      <c r="L95" s="6"/>
      <c r="M95" s="6"/>
      <c r="N95" s="16"/>
      <c r="O95" s="6"/>
      <c r="P95" s="16"/>
      <c r="Q95" s="6"/>
      <c r="R95" s="6"/>
      <c r="S95" s="6"/>
    </row>
    <row r="96">
      <c r="A96" s="32" t="s">
        <v>529</v>
      </c>
      <c r="B96" s="13" t="str">
        <f>VLOOKUP($A96,'Реестр объектов'!$A:$I,5,0)</f>
        <v>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v>
      </c>
      <c r="C96" s="13" t="str">
        <f>VLOOKUP($A96,'Реестр объектов'!$A:$I,6,0)</f>
        <v>55.730687</v>
      </c>
      <c r="D96" s="13" t="str">
        <f>VLOOKUP($A96,'Реестр объектов'!$A:$I,7,0)</f>
        <v>37.857446</v>
      </c>
      <c r="E96" s="40" t="s">
        <v>23</v>
      </c>
      <c r="F96" s="9" t="s">
        <v>526</v>
      </c>
      <c r="G96" s="20">
        <v>45974.36384184028</v>
      </c>
      <c r="H96" s="20">
        <v>45974.42998053241</v>
      </c>
      <c r="I96" s="2" t="s">
        <v>361</v>
      </c>
      <c r="J96" s="18" t="str">
        <f>VLOOKUP($A96,'Реестр объектов'!$A:$I,8,0)</f>
        <v>https://docs.google.com/spreadsheets/d/19THEBTE9q0fhN2eApZr6BgenIvLGh0AckaYxHQfHk5w/edit?gid=1460101979#gid=1460101979</v>
      </c>
      <c r="K96" s="19" t="str">
        <f>VLOOKUP($A96,'Реестр объектов'!$A:$I,9,0)</f>
        <v>https://disk.yandex.ru/client/disk/Осмотры%20объектов%20АНО%20СМГ/257.%20Проезд%20№%20894%20для%20жилых%20зданий%2C%20ул.%20Николая%20Старостина%2C%20напротив%20вл.%208</v>
      </c>
      <c r="L96" s="15" t="s">
        <v>39</v>
      </c>
      <c r="M96" s="6"/>
      <c r="N96" s="16"/>
      <c r="O96" s="6"/>
      <c r="P96" s="16"/>
      <c r="Q96" s="6"/>
      <c r="R96" s="6"/>
      <c r="S96" s="6"/>
    </row>
    <row r="97">
      <c r="A97" s="32" t="s">
        <v>530</v>
      </c>
      <c r="B97" s="13" t="str">
        <f>VLOOKUP($A97,'Реестр объектов'!$A:$I,5,0)</f>
        <v>Школа 775 мест, СЗАО, р-н Хорошево-Мневники район Хорошёво-Мнёвники, Шелепихинская набережная, д. 36А, стр.1</v>
      </c>
      <c r="C97" s="13" t="str">
        <f>VLOOKUP($A97,'Реестр объектов'!$A:$I,6,0)</f>
        <v>55.765579</v>
      </c>
      <c r="D97" s="13" t="str">
        <f>VLOOKUP($A97,'Реестр объектов'!$A:$I,7,0)</f>
        <v>37.506354</v>
      </c>
      <c r="E97" s="40" t="s">
        <v>35</v>
      </c>
      <c r="F97" s="9" t="s">
        <v>526</v>
      </c>
      <c r="G97" s="20">
        <v>45973.65081489584</v>
      </c>
      <c r="H97" s="20">
        <v>45973.667585821764</v>
      </c>
      <c r="I97" s="2" t="s">
        <v>531</v>
      </c>
      <c r="J97" s="18" t="str">
        <f>VLOOKUP($A97,'Реестр объектов'!$A:$I,8,0)</f>
        <v>https://docs.google.com/spreadsheets/d/1EI7qusa674eJhuaw-nWWtWMEHVSYMQv7HLsInEZTWpE/edit?gid=376178489#gid=376178489</v>
      </c>
      <c r="K97" s="19" t="str">
        <f>VLOOKUP($A97,'Реестр объектов'!$A:$I,9,0)</f>
        <v>https://disk.yandex.ru/client/disk/Осмотры%20объектов%20АНО%20СМГ/344.%20СОШ%20775%2C%20ул.%20Шеногина%20д.%202%2C%20стр.%202</v>
      </c>
      <c r="L97" s="6"/>
      <c r="M97" s="6"/>
      <c r="N97" s="16"/>
      <c r="O97" s="6"/>
      <c r="P97" s="16"/>
      <c r="Q97" s="6"/>
      <c r="R97" s="6"/>
      <c r="S97" s="6"/>
    </row>
    <row r="98">
      <c r="A98" s="32" t="s">
        <v>532</v>
      </c>
      <c r="B98" s="13" t="str">
        <f>VLOOKUP($A98,'Реестр объектов'!$A:$I,5,0)</f>
        <v>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v>
      </c>
      <c r="C98" s="13" t="str">
        <f>VLOOKUP($A98,'Реестр объектов'!$A:$I,6,0)</f>
        <v>55.766754</v>
      </c>
      <c r="D98" s="13" t="str">
        <f>VLOOKUP($A98,'Реестр объектов'!$A:$I,7,0)</f>
        <v>37.503549</v>
      </c>
      <c r="E98" s="40" t="s">
        <v>35</v>
      </c>
      <c r="F98" s="9" t="s">
        <v>526</v>
      </c>
      <c r="G98" s="20">
        <v>45973.66889223379</v>
      </c>
      <c r="H98" s="20">
        <v>45973.68753274306</v>
      </c>
      <c r="I98" s="2" t="s">
        <v>196</v>
      </c>
      <c r="J98" s="18" t="str">
        <f>VLOOKUP($A98,'Реестр объектов'!$A:$I,8,0)</f>
        <v>https://docs.google.com/spreadsheets/d/1EI7qusa674eJhuaw-nWWtWMEHVSYMQv7HLsInEZTWpE/edit?gid=1839942165#gid=1839942165</v>
      </c>
      <c r="K98" s="19" t="str">
        <f>VLOOKUP($A98,'Реестр объектов'!$A:$I,9,0)</f>
        <v>https://disk.yandex.ru/client/disk/Осмотры%20объектов%20АНО%20СМГ/1246.%20ДОО%20НА%20350%20мест%2C%20ул.Шеногина%2C%20зу%202-21</v>
      </c>
      <c r="L98" s="6"/>
      <c r="M98" s="6"/>
      <c r="N98" s="16"/>
      <c r="O98" s="6"/>
      <c r="P98" s="16"/>
      <c r="Q98" s="6"/>
      <c r="R98" s="6"/>
      <c r="S98" s="6"/>
    </row>
    <row r="99">
      <c r="A99" s="32" t="s">
        <v>533</v>
      </c>
      <c r="B99" s="13" t="str">
        <f>VLOOKUP($A99,'Реестр объектов'!$A:$I,5,0)</f>
        <v>ул. Полярная, з/у 4 (вл. 4) район Южное Медведково, Полярная ул., вл. 4</v>
      </c>
      <c r="C99" s="13" t="str">
        <f>VLOOKUP($A99,'Реестр объектов'!$A:$I,6,0)</f>
        <v>55.872678</v>
      </c>
      <c r="D99" s="13" t="str">
        <f>VLOOKUP($A99,'Реестр объектов'!$A:$I,7,0)</f>
        <v>37.638506</v>
      </c>
      <c r="E99" s="40" t="s">
        <v>21</v>
      </c>
      <c r="F99" s="9" t="s">
        <v>526</v>
      </c>
      <c r="G99" s="20">
        <v>45973.55493762731</v>
      </c>
      <c r="H99" s="20">
        <v>45973.59280190972</v>
      </c>
      <c r="I99" s="2" t="s">
        <v>491</v>
      </c>
      <c r="J99" s="18" t="str">
        <f>VLOOKUP($A99,'Реестр объектов'!$A:$I,8,0)</f>
        <v>https://docs.google.com/spreadsheets/d/1H1MjbG2y0oC0hhID4do1G0_gfyI1jag72lQd7nL3WDQ/edit?gid=617262299#gid=617262299</v>
      </c>
      <c r="K99" s="19" t="str">
        <f>VLOOKUP($A99,'Реестр объектов'!$A:$I,9,0)</f>
        <v>https://disk.yandex.ru/client/disk/Осмотры%20объектов%20АНО%20СМГ/658.%20Полярная%20ул.%2C%20зу%204</v>
      </c>
      <c r="L99" s="6"/>
      <c r="M99" s="6"/>
      <c r="N99" s="16"/>
      <c r="O99" s="6"/>
      <c r="P99" s="16"/>
      <c r="Q99" s="6"/>
      <c r="R99" s="6"/>
      <c r="S99" s="6"/>
    </row>
    <row r="100">
      <c r="A100" s="32" t="s">
        <v>534</v>
      </c>
      <c r="B100" s="13" t="str">
        <f>VLOOKUP($A100,'Реестр объектов'!$A:$I,5,0)</f>
        <v>улица Полярная, з/у 17/1 (ул. Полярная, вл. 17, корп. 1) район Южное Медведково, ул. Полярная, вл. 17, корп. 1</v>
      </c>
      <c r="C100" s="13" t="str">
        <f>VLOOKUP($A100,'Реестр объектов'!$A:$I,6,0)</f>
        <v>55.876455</v>
      </c>
      <c r="D100" s="13" t="str">
        <f>VLOOKUP($A100,'Реестр объектов'!$A:$I,7,0)</f>
        <v>37.635792</v>
      </c>
      <c r="E100" s="40" t="s">
        <v>21</v>
      </c>
      <c r="F100" s="9" t="s">
        <v>526</v>
      </c>
      <c r="G100" s="20">
        <v>45973.47095942129</v>
      </c>
      <c r="H100" s="20">
        <v>45973.52740074074</v>
      </c>
      <c r="I100" s="2" t="s">
        <v>398</v>
      </c>
      <c r="J100" s="18" t="str">
        <f>VLOOKUP($A100,'Реестр объектов'!$A:$I,8,0)</f>
        <v>https://docs.google.com/spreadsheets/d/1H1MjbG2y0oC0hhID4do1G0_gfyI1jag72lQd7nL3WDQ/edit?gid=540934155#gid=540934155</v>
      </c>
      <c r="K100" s="19" t="str">
        <f>VLOOKUP($A100,'Реестр объектов'!$A:$I,9,0)</f>
        <v>https://disk.yandex.ru/client/disk/Осмотры%20объектов%20АНО%20СМГ/794.%20Полярная%20ул.%2C%20зу%20вл.%2017%2C%20корп.%201</v>
      </c>
      <c r="L100" s="6"/>
      <c r="M100" s="6"/>
      <c r="N100" s="16"/>
      <c r="O100" s="6"/>
      <c r="P100" s="16"/>
      <c r="Q100" s="6"/>
      <c r="R100" s="6"/>
      <c r="S100" s="6"/>
    </row>
    <row r="101">
      <c r="A101" s="32" t="s">
        <v>535</v>
      </c>
      <c r="B101" s="13" t="str">
        <f>VLOOKUP($A101,'Реестр объектов'!$A:$I,5,0)</f>
        <v>Жилой дом с инженерными сетями и благоустройством территории, ВАО, район Метрогородок, ш. Открытое, влд. 28/3 (Открытое шоссе, вл. 28, корп. 3) ш. Открытое, влд. 28/3</v>
      </c>
      <c r="C101" s="13" t="str">
        <f>VLOOKUP($A101,'Реестр объектов'!$A:$I,6,0)</f>
        <v>55.827838</v>
      </c>
      <c r="D101" s="13" t="str">
        <f>VLOOKUP($A101,'Реестр объектов'!$A:$I,7,0)</f>
        <v>37.768921</v>
      </c>
      <c r="E101" s="40" t="s">
        <v>21</v>
      </c>
      <c r="F101" s="9" t="s">
        <v>526</v>
      </c>
      <c r="G101" s="20">
        <v>45973.70246421296</v>
      </c>
      <c r="H101" s="20">
        <v>45973.76011378472</v>
      </c>
      <c r="I101" s="2" t="s">
        <v>520</v>
      </c>
      <c r="J101" s="18" t="str">
        <f>VLOOKUP($A101,'Реестр объектов'!$A:$I,8,0)</f>
        <v>https://docs.google.com/spreadsheets/d/1rbCD10ySi4YZEkJW2_Slmn9z7AI1WEsGsZaIJmnnT18/edit?gid=478234873#gid=478234873</v>
      </c>
      <c r="K101" s="19" t="str">
        <f>VLOOKUP($A101,'Реестр объектов'!$A:$I,9,0)</f>
        <v>https://disk.yandex.ru/client/disk/Осмотры%20объектов%20АНО%20СМГ/513.%20Метрогородок%2C%20Открытое%20шоссе%20вл.28%20корп%203</v>
      </c>
      <c r="L101" s="6"/>
      <c r="M101" s="6"/>
      <c r="N101" s="16"/>
      <c r="O101" s="6"/>
      <c r="P101" s="16"/>
      <c r="Q101" s="6"/>
      <c r="R101" s="6"/>
      <c r="S101" s="6"/>
    </row>
    <row r="102">
      <c r="A102" s="32" t="s">
        <v>536</v>
      </c>
      <c r="B102" s="13" t="str">
        <f>VLOOKUP($A102,'Реестр объектов'!$A:$I,5,0)</f>
        <v>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v>
      </c>
      <c r="C102" s="13" t="str">
        <f>VLOOKUP($A102,'Реестр объектов'!$A:$I,6,0)</f>
        <v>55.824779</v>
      </c>
      <c r="D102" s="13" t="str">
        <f>VLOOKUP($A102,'Реестр объектов'!$A:$I,7,0)</f>
        <v>37.762614</v>
      </c>
      <c r="E102" s="40" t="s">
        <v>21</v>
      </c>
      <c r="F102" s="9" t="s">
        <v>526</v>
      </c>
      <c r="G102" s="20">
        <v>45973.62133760417</v>
      </c>
      <c r="H102" s="20">
        <v>45973.674120763884</v>
      </c>
      <c r="I102" s="2" t="s">
        <v>123</v>
      </c>
      <c r="J102" s="18" t="str">
        <f>VLOOKUP($A102,'Реестр объектов'!$A:$I,8,0)</f>
        <v>https://docs.google.com/spreadsheets/d/1rbCD10ySi4YZEkJW2_Slmn9z7AI1WEsGsZaIJmnnT18/edit?gid=235307605#gid=235307605</v>
      </c>
      <c r="K102" s="19" t="str">
        <f>VLOOKUP($A102,'Реестр объектов'!$A:$I,9,0)</f>
        <v>https://disk.yandex.ru/client/disk/Осмотры%20объектов%20АНО%20СМГ/552.%20ВАО%2C%20Метрогородок%2C%20Открытое%20шоссе%2C%20зу%2026_3</v>
      </c>
      <c r="L102" s="6"/>
      <c r="M102" s="6"/>
      <c r="N102" s="16"/>
      <c r="O102" s="6"/>
      <c r="P102" s="16"/>
      <c r="Q102" s="6"/>
      <c r="R102" s="6"/>
      <c r="S102" s="6"/>
    </row>
    <row r="103">
      <c r="A103" s="32" t="s">
        <v>537</v>
      </c>
      <c r="B103" s="13" t="str">
        <f>VLOOKUP($A103,'Реестр объектов'!$A:$I,5,0)</f>
        <v>Жилой дом, р-н Нагатинский затон, ул. Судостроительная, влд. 5 (3), к. 1 ЮАО, район Нагатинский Затон, Судостроительная ул., д. 5</v>
      </c>
      <c r="C103" s="13" t="str">
        <f>VLOOKUP($A103,'Реестр объектов'!$A:$I,6,0)</f>
        <v>55.679859</v>
      </c>
      <c r="D103" s="13" t="str">
        <f>VLOOKUP($A103,'Реестр объектов'!$A:$I,7,0)</f>
        <v>37.668751</v>
      </c>
      <c r="E103" s="40" t="s">
        <v>25</v>
      </c>
      <c r="F103" s="9" t="s">
        <v>526</v>
      </c>
      <c r="G103" s="20">
        <v>45974.360886967595</v>
      </c>
      <c r="H103" s="20">
        <v>45974.43235318287</v>
      </c>
      <c r="I103" s="2" t="s">
        <v>82</v>
      </c>
      <c r="J103" s="18" t="str">
        <f>VLOOKUP($A103,'Реестр объектов'!$A:$I,8,0)</f>
        <v>https://docs.google.com/spreadsheets/d/1rbCD10ySi4YZEkJW2_Slmn9z7AI1WEsGsZaIJmnnT18/edit?gid=1103814472#gid=1103814472</v>
      </c>
      <c r="K103" s="19" t="str">
        <f>VLOOKUP($A103,'Реестр объектов'!$A:$I,9,0)</f>
        <v>https://disk.yandex.ru/client/disk/Осмотры%20объектов%20АНО%20СМГ/559.%20Судостроительная%20ул.%2C%20вл.%205.%20Жилой%20дом.%20Реновация</v>
      </c>
      <c r="L103" s="15" t="s">
        <v>41</v>
      </c>
      <c r="M103" s="6"/>
      <c r="N103" s="16"/>
      <c r="O103" s="6"/>
      <c r="P103" s="16"/>
      <c r="Q103" s="6"/>
      <c r="R103" s="6"/>
      <c r="S103" s="6"/>
    </row>
    <row r="104">
      <c r="A104" s="32" t="s">
        <v>538</v>
      </c>
      <c r="B104" s="13" t="str">
        <f>VLOOKUP($A104,'Реестр объектов'!$A:$I,5,0)</f>
        <v>Дмитровское шоссе, земельный участок 32/1 (Зоны 3.1, 3.2) САО        Дмитровское шоссе, земельный участок 32/1 (Зоны 3.1, 3.2)</v>
      </c>
      <c r="C104" s="13" t="str">
        <f>VLOOKUP($A104,'Реестр объектов'!$A:$I,6,0)</f>
        <v>55.839047</v>
      </c>
      <c r="D104" s="13" t="str">
        <f>VLOOKUP($A104,'Реестр объектов'!$A:$I,7,0)</f>
        <v>37.573833</v>
      </c>
      <c r="E104" s="40" t="s">
        <v>19</v>
      </c>
      <c r="F104" s="9" t="s">
        <v>526</v>
      </c>
      <c r="G104" s="20">
        <v>45973.687782175926</v>
      </c>
      <c r="H104" s="20">
        <v>45973.752085405096</v>
      </c>
      <c r="I104" s="2" t="s">
        <v>539</v>
      </c>
      <c r="J104" s="18" t="str">
        <f>VLOOKUP($A104,'Реестр объектов'!$A:$I,8,0)</f>
        <v>https://docs.google.com/spreadsheets/d/1rbCD10ySi4YZEkJW2_Slmn9z7AI1WEsGsZaIJmnnT18/edit?gid=1402918255#gid=1402918255</v>
      </c>
      <c r="K104" s="19" t="str">
        <f>VLOOKUP($A104,'Реестр объектов'!$A:$I,9,0)</f>
        <v>https://disk.yandex.ru/client/disk/Осмотры%20объектов%20АНО%20СМГ/787.%20Дмитровское%20шоссе%2032%20стр1</v>
      </c>
      <c r="L104" s="6"/>
      <c r="M104" s="6"/>
      <c r="N104" s="16"/>
      <c r="O104" s="6"/>
      <c r="P104" s="16"/>
      <c r="Q104" s="6"/>
      <c r="R104" s="6"/>
      <c r="S104" s="6"/>
    </row>
    <row r="105">
      <c r="A105" s="32" t="s">
        <v>540</v>
      </c>
      <c r="B105" s="13" t="str">
        <f>VLOOKUP($A105,'Реестр объектов'!$A:$I,5,0)</f>
        <v>Кутузовский проспект, земельный участок 78 ЗАО, район Фили-Давыдково, Кутузовский пр-т, зу 78</v>
      </c>
      <c r="C105" s="13" t="str">
        <f>VLOOKUP($A105,'Реестр объектов'!$A:$I,6,0)</f>
        <v>55.725985</v>
      </c>
      <c r="D105" s="13" t="str">
        <f>VLOOKUP($A105,'Реестр объектов'!$A:$I,7,0)</f>
        <v>37.456835</v>
      </c>
      <c r="E105" s="40" t="s">
        <v>35</v>
      </c>
      <c r="F105" s="9" t="s">
        <v>526</v>
      </c>
      <c r="G105" s="20">
        <v>45973.70110135416</v>
      </c>
      <c r="H105" s="20">
        <v>45973.75149890046</v>
      </c>
      <c r="I105" s="2" t="s">
        <v>541</v>
      </c>
      <c r="J105" s="18" t="str">
        <f>VLOOKUP($A105,'Реестр объектов'!$A:$I,8,0)</f>
        <v>https://docs.google.com/spreadsheets/d/1rbCD10ySi4YZEkJW2_Slmn9z7AI1WEsGsZaIJmnnT18/edit?gid=226411409#gid=226411409</v>
      </c>
      <c r="K105" s="19" t="str">
        <f>VLOOKUP($A105,'Реестр объектов'!$A:$I,9,0)</f>
        <v>https://disk.yandex.ru/client/disk/Осмотры%20объектов%20АНО%20СМГ/619.%20Жилой%20дом%20Кутузовский%20вл78</v>
      </c>
      <c r="L105" s="6"/>
      <c r="M105" s="6"/>
      <c r="N105" s="16"/>
      <c r="O105" s="6"/>
      <c r="P105" s="16"/>
      <c r="Q105" s="6"/>
      <c r="R105" s="6"/>
      <c r="S105" s="6"/>
    </row>
    <row r="106">
      <c r="A106" s="32" t="s">
        <v>542</v>
      </c>
      <c r="B106" s="13" t="str">
        <f>VLOOKUP($A106,'Реестр объектов'!$A:$I,5,0)</f>
        <v>улица Бронницкая, земельный участок 10 (Бронницкая ул., вл. 10) район Нижегородское, Бронницкая ул., вл. 10</v>
      </c>
      <c r="C106" s="13" t="str">
        <f>VLOOKUP($A106,'Реестр объектов'!$A:$I,6,0)</f>
        <v>55.731105</v>
      </c>
      <c r="D106" s="13" t="str">
        <f>VLOOKUP($A106,'Реестр объектов'!$A:$I,7,0)</f>
        <v>37.758208</v>
      </c>
      <c r="E106" s="40" t="s">
        <v>25</v>
      </c>
      <c r="F106" s="9" t="s">
        <v>526</v>
      </c>
      <c r="G106" s="20">
        <v>45973.63851971064</v>
      </c>
      <c r="H106" s="20">
        <v>45973.65988747685</v>
      </c>
      <c r="I106" s="2" t="s">
        <v>543</v>
      </c>
      <c r="J106" s="18" t="str">
        <f>VLOOKUP($A106,'Реестр объектов'!$A:$I,8,0)</f>
        <v>https://docs.google.com/spreadsheets/d/1rbCD10ySi4YZEkJW2_Slmn9z7AI1WEsGsZaIJmnnT18/edit?gid=1530580258#gid=1530580258</v>
      </c>
      <c r="K106" s="19" t="str">
        <f>VLOOKUP($A106,'Реестр объектов'!$A:$I,9,0)</f>
        <v>https://disk.yandex.ru/client/disk/Осмотры%20объектов%20АНО%20СМГ/798.%20ул.%20Бронницкая%20зем.уч.%2010(гостиница)</v>
      </c>
      <c r="L106" s="6"/>
      <c r="M106" s="6"/>
      <c r="N106" s="16"/>
      <c r="O106" s="6"/>
      <c r="P106" s="16"/>
      <c r="Q106" s="6"/>
      <c r="R106" s="6"/>
      <c r="S106" s="6"/>
    </row>
    <row r="107">
      <c r="A107" s="32" t="s">
        <v>544</v>
      </c>
      <c r="B107" s="13" t="str">
        <f>VLOOKUP($A107,'Реестр объектов'!$A:$I,5,0)</f>
        <v>Коровинское шоссе, земельный участок 4/6 (зона 14.1) САО	Коровинское шоссе, земельный участок 4/6 (зона 14.1)</v>
      </c>
      <c r="C107" s="13" t="str">
        <f>VLOOKUP($A107,'Реестр объектов'!$A:$I,6,0)</f>
        <v>55.867821</v>
      </c>
      <c r="D107" s="13" t="str">
        <f>VLOOKUP($A107,'Реестр объектов'!$A:$I,7,0)</f>
        <v>37.540333</v>
      </c>
      <c r="E107" s="40" t="s">
        <v>19</v>
      </c>
      <c r="F107" s="9" t="s">
        <v>526</v>
      </c>
      <c r="G107" s="20">
        <v>45974.38083190972</v>
      </c>
      <c r="H107" s="20">
        <v>45974.39448086805</v>
      </c>
      <c r="I107" s="2" t="s">
        <v>192</v>
      </c>
      <c r="J107" s="18" t="str">
        <f>VLOOKUP($A107,'Реестр объектов'!$A:$I,8,0)</f>
        <v>https://docs.google.com/spreadsheets/d/1rbCD10ySi4YZEkJW2_Slmn9z7AI1WEsGsZaIJmnnT18/edit?gid=583489484#gid=583489484</v>
      </c>
      <c r="K107" s="19" t="str">
        <f>VLOOKUP($A107,'Реестр объектов'!$A:$I,9,0)</f>
        <v>https://disk.yandex.ru/client/disk/Осмотры%20объектов%20АНО%20СМГ/793.%20Коровинское%20шоссе%204%5C6</v>
      </c>
      <c r="L107" s="6"/>
      <c r="M107" s="6"/>
      <c r="N107" s="16"/>
      <c r="O107" s="6"/>
      <c r="P107" s="16"/>
      <c r="Q107" s="6"/>
      <c r="R107" s="6"/>
      <c r="S107" s="6"/>
    </row>
    <row r="108">
      <c r="A108" s="32" t="s">
        <v>545</v>
      </c>
      <c r="B108" s="13" t="s">
        <v>546</v>
      </c>
      <c r="C108" s="47" t="s">
        <v>547</v>
      </c>
      <c r="D108" s="47" t="s">
        <v>548</v>
      </c>
      <c r="E108" s="40" t="s">
        <v>19</v>
      </c>
      <c r="F108" s="9" t="s">
        <v>526</v>
      </c>
      <c r="G108" s="20">
        <v>45974.36934305556</v>
      </c>
      <c r="H108" s="20">
        <v>45974.38062136574</v>
      </c>
      <c r="I108" s="2" t="s">
        <v>211</v>
      </c>
      <c r="J108" s="6" t="s">
        <v>549</v>
      </c>
      <c r="K108" s="19" t="s">
        <v>550</v>
      </c>
      <c r="L108" s="6"/>
      <c r="M108" s="6"/>
      <c r="N108" s="16"/>
      <c r="O108" s="6"/>
      <c r="P108" s="16"/>
      <c r="Q108" s="6"/>
      <c r="R108" s="6"/>
      <c r="S108" s="6"/>
    </row>
    <row r="109">
      <c r="A109" s="32" t="s">
        <v>551</v>
      </c>
      <c r="B109" s="13" t="str">
        <f>VLOOKUP($A109,'Реестр объектов'!$A:$I,5,0)</f>
        <v>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Яблочкова ул, з/у 26А/1 (зона 2.1) СВАО, ул. Яблочкова 26к1, 26к2</v>
      </c>
      <c r="C109" s="13" t="str">
        <f>VLOOKUP($A109,'Реестр объектов'!$A:$I,6,0)</f>
        <v>55.823864</v>
      </c>
      <c r="D109" s="13" t="str">
        <f>VLOOKUP($A109,'Реестр объектов'!$A:$I,7,0)</f>
        <v>37.580400</v>
      </c>
      <c r="E109" s="40" t="s">
        <v>19</v>
      </c>
      <c r="F109" s="9" t="s">
        <v>526</v>
      </c>
      <c r="G109" s="20">
        <v>45973.593358831014</v>
      </c>
      <c r="H109" s="20">
        <v>45973.60276861111</v>
      </c>
      <c r="I109" s="2" t="s">
        <v>515</v>
      </c>
      <c r="J109" s="18" t="str">
        <f>VLOOKUP($A109,'Реестр объектов'!$A:$I,8,0)</f>
        <v>https://docs.google.com/spreadsheets/d/1rbCD10ySi4YZEkJW2_Slmn9z7AI1WEsGsZaIJmnnT18/edit?gid=2079091831#gid=2079091831</v>
      </c>
      <c r="K109" s="19" t="str">
        <f>VLOOKUP($A109,'Реестр объектов'!$A:$I,9,0)</f>
        <v>https://disk.yandex.ru/client/disk/Осмотры%20объектов%20АНО%20СМГ/1159.%20Яблочкова%20ул.%2C%2026к1%2C%2026к2</v>
      </c>
      <c r="L109" s="6"/>
      <c r="M109" s="6"/>
      <c r="N109" s="16"/>
      <c r="O109" s="6"/>
      <c r="P109" s="16"/>
      <c r="Q109" s="6"/>
      <c r="R109" s="6"/>
      <c r="S109" s="6"/>
    </row>
    <row r="110">
      <c r="A110" s="32" t="s">
        <v>552</v>
      </c>
      <c r="B110" s="13" t="str">
        <f>VLOOKUP($A110,'Реестр объектов'!$A:$I,5,0)</f>
        <v>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v>
      </c>
      <c r="C110" s="13" t="str">
        <f>VLOOKUP($A110,'Реестр объектов'!$A:$I,6,0)</f>
        <v>55.69460519860576</v>
      </c>
      <c r="D110" s="13" t="str">
        <f>VLOOKUP($A110,'Реестр объектов'!$A:$I,7,0)</f>
        <v>37.74027562830986</v>
      </c>
      <c r="E110" s="40" t="s">
        <v>31</v>
      </c>
      <c r="F110" s="9" t="s">
        <v>526</v>
      </c>
      <c r="G110" s="20">
        <v>45973.431108819444</v>
      </c>
      <c r="H110" s="20">
        <v>45973.44611237269</v>
      </c>
      <c r="I110" s="2" t="s">
        <v>553</v>
      </c>
      <c r="J110" s="18" t="str">
        <f>VLOOKUP($A110,'Реестр объектов'!$A:$I,8,0)</f>
        <v>https://docs.google.com/spreadsheets/d/1lEcUd4exxkr5Za3IYZ0vdFNfMubnuMOOMXfmF3GYC9I/edit?gid=961840138#gid=961840138</v>
      </c>
      <c r="K110" s="19" t="str">
        <f>VLOOKUP($A110,'Реестр объектов'!$A:$I,9,0)</f>
        <v>https://disk.yandex.ru/client/disk/Осмотры%20объектов%20АНО%20СМГ/801.%20Артюхиной%20ул.%2C%20уч.%2021%2C%20вл.%2021-27</v>
      </c>
      <c r="L110" s="6"/>
      <c r="M110" s="6"/>
      <c r="N110" s="16"/>
      <c r="O110" s="6"/>
      <c r="P110" s="16"/>
      <c r="Q110" s="6"/>
      <c r="R110" s="6"/>
      <c r="S110" s="6"/>
    </row>
    <row r="111">
      <c r="A111" s="32" t="s">
        <v>554</v>
      </c>
      <c r="B111" s="13" t="s">
        <v>555</v>
      </c>
      <c r="C111" s="13" t="s">
        <v>556</v>
      </c>
      <c r="D111" s="13" t="s">
        <v>557</v>
      </c>
      <c r="E111" s="40" t="s">
        <v>33</v>
      </c>
      <c r="F111" s="9" t="s">
        <v>331</v>
      </c>
      <c r="G111" s="20">
        <v>45973.68818525463</v>
      </c>
      <c r="H111" s="20">
        <v>45973.75960159722</v>
      </c>
      <c r="I111" s="2" t="s">
        <v>82</v>
      </c>
      <c r="J111" s="6" t="s">
        <v>558</v>
      </c>
      <c r="K111" s="19" t="s">
        <v>559</v>
      </c>
      <c r="L111" s="6"/>
      <c r="M111" s="6"/>
      <c r="N111" s="16"/>
      <c r="O111" s="6"/>
      <c r="P111" s="16"/>
      <c r="Q111" s="6"/>
      <c r="R111" s="6"/>
      <c r="S111" s="6"/>
    </row>
    <row r="112">
      <c r="A112" s="32" t="s">
        <v>560</v>
      </c>
      <c r="B112" s="13" t="str">
        <f>VLOOKUP($A112,'Реестр объектов'!$A:$I,5,0)</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 (зона 1.1)</v>
      </c>
      <c r="C112" s="13" t="str">
        <f>VLOOKUP($A112,'Реестр объектов'!$A:$I,6,0)</f>
        <v>55.663395</v>
      </c>
      <c r="D112" s="13" t="str">
        <f>VLOOKUP($A112,'Реестр объектов'!$A:$I,7,0)</f>
        <v>37.597567</v>
      </c>
      <c r="E112" s="40" t="s">
        <v>29</v>
      </c>
      <c r="F112" s="9" t="s">
        <v>331</v>
      </c>
      <c r="G112" s="20">
        <v>45974.36993215278</v>
      </c>
      <c r="H112" s="20">
        <v>45974.47216961806</v>
      </c>
      <c r="I112" s="2" t="s">
        <v>561</v>
      </c>
      <c r="J112" s="18" t="str">
        <f>VLOOKUP($A112,'Реестр объектов'!$A:$I,8,0)</f>
        <v>https://docs.google.com/spreadsheets/d/1rbCD10ySi4YZEkJW2_Slmn9z7AI1WEsGsZaIJmnnT18/edit?gid=772910058#gid=772910058</v>
      </c>
      <c r="K112" s="19" t="str">
        <f>VLOOKUP($A112,'Реестр объектов'!$A:$I,9,0)</f>
        <v>https://disk.yandex.ru/client/disk/Осмотры%20объектов%20АНО%20СМГ/1199.%20Одесская%204</v>
      </c>
      <c r="L112" s="6"/>
      <c r="M112" s="6"/>
      <c r="N112" s="16"/>
      <c r="O112" s="6"/>
      <c r="P112" s="16"/>
      <c r="Q112" s="6"/>
      <c r="R112" s="6"/>
      <c r="S112" s="6"/>
    </row>
    <row r="113">
      <c r="A113" s="12" t="s">
        <v>44</v>
      </c>
      <c r="B113" s="13" t="str">
        <f>VLOOKUP($A113,'Реестр объектов'!$A:$I,5,0)</f>
        <v>Веерная улица, земельный участок 28А район Очаково-Матвеевское, ул. Веерная, вл. 28А</v>
      </c>
      <c r="C113" s="13" t="str">
        <f>VLOOKUP($A113,'Реестр объектов'!$A:$I,6,0)</f>
        <v>55.710226</v>
      </c>
      <c r="D113" s="13" t="str">
        <f>VLOOKUP($A113,'Реестр объектов'!$A:$I,7,0)</f>
        <v>37.480970</v>
      </c>
      <c r="E113" s="14" t="s">
        <v>45</v>
      </c>
      <c r="F113" s="15" t="s">
        <v>46</v>
      </c>
      <c r="G113" s="16"/>
      <c r="H113" s="16"/>
      <c r="I113" s="17"/>
      <c r="J113" s="18" t="str">
        <f>VLOOKUP($A113,'Реестр объектов'!$A:$I,8,0)</f>
        <v>https://docs.google.com/spreadsheets/d/1rbCD10ySi4YZEkJW2_Slmn9z7AI1WEsGsZaIJmnnT18/edit?gid=1754531219#gid=1754531219</v>
      </c>
      <c r="K113" s="19" t="str">
        <f>VLOOKUP($A113,'Реестр объектов'!$A:$I,9,0)</f>
        <v>https://disk.yandex.ru/client/disk/Осмотры%20объектов%20АНО%20СМГ/713.%20Жилой%20дом%20ул.%20Веерная%2028а</v>
      </c>
      <c r="L113" s="6"/>
      <c r="M113" s="6"/>
      <c r="N113" s="16"/>
      <c r="O113" s="6"/>
      <c r="P113" s="16"/>
      <c r="Q113" s="6"/>
      <c r="R113" s="6"/>
      <c r="S113" s="6"/>
    </row>
    <row r="114">
      <c r="A114" s="12" t="s">
        <v>47</v>
      </c>
      <c r="B114" s="13" t="str">
        <f>VLOOKUP($A114,'Реестр объектов'!$A:$I,5,0)</f>
        <v>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v>
      </c>
      <c r="C114" s="13" t="str">
        <f>VLOOKUP($A114,'Реестр объектов'!$A:$I,6,0)</f>
        <v>55.684985</v>
      </c>
      <c r="D114" s="13" t="str">
        <f>VLOOKUP($A114,'Реестр объектов'!$A:$I,7,0)</f>
        <v>37.624634</v>
      </c>
      <c r="E114" s="14" t="s">
        <v>45</v>
      </c>
      <c r="F114" s="15" t="s">
        <v>46</v>
      </c>
      <c r="G114" s="16"/>
      <c r="H114" s="16"/>
      <c r="I114" s="17"/>
      <c r="J114" s="18" t="str">
        <f>VLOOKUP($A114,'Реестр объектов'!$A:$I,8,0)</f>
        <v>https://docs.google.com/spreadsheets/d/1rbCD10ySi4YZEkJW2_Slmn9z7AI1WEsGsZaIJmnnT18/edit?gid=732973558#gid=732973558</v>
      </c>
      <c r="K114" s="19" t="str">
        <f>VLOOKUP($A114,'Реестр объектов'!$A:$I,9,0)</f>
        <v>https://disk.yandex.ru/client/disk/Осмотры%20объектов%20АНО%20СМГ/700.%20Нагатинская%20ул.%20вл.%201.%20Жилой%09дом</v>
      </c>
      <c r="L114" s="6"/>
      <c r="M114" s="6"/>
      <c r="N114" s="16"/>
      <c r="O114" s="6"/>
      <c r="P114" s="16"/>
      <c r="Q114" s="6"/>
      <c r="R114" s="6"/>
      <c r="S114" s="6"/>
    </row>
    <row r="115">
      <c r="A115" s="12" t="s">
        <v>48</v>
      </c>
      <c r="B115" s="13" t="str">
        <f>VLOOKUP($A115,'Реестр объектов'!$A:$I,5,0)</f>
        <v>ул. Шепелюгинская, вл. 14 район Лефортово, ул. Шепелюгинская, вл. 14</v>
      </c>
      <c r="C115" s="13" t="str">
        <f>VLOOKUP($A115,'Реестр объектов'!$A:$I,6,0)</f>
        <v>55.745914</v>
      </c>
      <c r="D115" s="13" t="str">
        <f>VLOOKUP($A115,'Реестр объектов'!$A:$I,7,0)</f>
        <v>37.702358</v>
      </c>
      <c r="E115" s="14" t="s">
        <v>45</v>
      </c>
      <c r="F115" s="15" t="s">
        <v>46</v>
      </c>
      <c r="G115" s="16"/>
      <c r="H115" s="16"/>
      <c r="I115" s="17"/>
      <c r="J115" s="18" t="str">
        <f>VLOOKUP($A115,'Реестр объектов'!$A:$I,8,0)</f>
        <v>https://docs.google.com/spreadsheets/d/1rbCD10ySi4YZEkJW2_Slmn9z7AI1WEsGsZaIJmnnT18/edit?gid=2128103220#gid=2128103220</v>
      </c>
      <c r="K115" s="21" t="str">
        <f>VLOOKUP($A115,'Реестр объектов'!$A:$I,9,0)</f>
        <v>https://disk.yandex.ru/client/disk/%D0%9E%D1%81%D0%BC%D0%BE%D1%82%D1%80%D1%8B%20%D0%BE%D0%B1%D1%8A%D0%B5%D0%BA%D1%82%D0%BE%D0%B2%20%D0%90%D0%9D%D0%9E%20%D0%A1%D0%9C%D0%93/738.%20%D0%A8%D0%B5%D0%BF%D0%B5%D0%BB%D1%8E%D0%B3%D0%B8%D0%BD%D1%81%D0%BA%D0%B0%D1%8F%20%D0%B2%D0%BB%2014%20</v>
      </c>
      <c r="L115" s="6"/>
      <c r="M115" s="6"/>
      <c r="N115" s="16"/>
      <c r="O115" s="6"/>
      <c r="P115" s="16"/>
      <c r="Q115" s="6"/>
      <c r="R115" s="6"/>
      <c r="S115" s="6"/>
    </row>
    <row r="116">
      <c r="A116" s="12" t="s">
        <v>49</v>
      </c>
      <c r="B116" s="13" t="str">
        <f>VLOOKUP($A116,'Реестр объектов'!$A:$I,5,0)</f>
        <v>Шепелюгинский пер., вл. 7 (Приобретение объектов недвижимости) район Лефортово, Шепелюгинский пер., вл. 7</v>
      </c>
      <c r="C116" s="13" t="str">
        <f>VLOOKUP($A116,'Реестр объектов'!$A:$I,6,0)</f>
        <v>55.746929</v>
      </c>
      <c r="D116" s="13" t="str">
        <f>VLOOKUP($A116,'Реестр объектов'!$A:$I,7,0)</f>
        <v>37.701113</v>
      </c>
      <c r="E116" s="14" t="s">
        <v>45</v>
      </c>
      <c r="F116" s="15" t="s">
        <v>46</v>
      </c>
      <c r="G116" s="16"/>
      <c r="H116" s="16"/>
      <c r="I116" s="17"/>
      <c r="J116" s="18" t="str">
        <f>VLOOKUP($A116,'Реестр объектов'!$A:$I,8,0)</f>
        <v>https://docs.google.com/spreadsheets/d/1rbCD10ySi4YZEkJW2_Slmn9z7AI1WEsGsZaIJmnnT18/edit?gid=1195206502#gid=1195206502</v>
      </c>
      <c r="K116" s="19" t="str">
        <f>VLOOKUP($A116,'Реестр объектов'!$A:$I,9,0)</f>
        <v>https://disk.yandex.ru/client/disk/Осмотры%20объектов%20АНО%20СМГ/740.%20Шепелюгинский%20пер%20вл%207</v>
      </c>
      <c r="L116" s="6"/>
      <c r="M116" s="6"/>
      <c r="N116" s="16"/>
      <c r="O116" s="6"/>
      <c r="P116" s="16"/>
      <c r="Q116" s="6"/>
      <c r="R116" s="6"/>
      <c r="S116" s="6"/>
    </row>
    <row r="117">
      <c r="A117" s="12" t="s">
        <v>50</v>
      </c>
      <c r="B117" s="13" t="str">
        <f>VLOOKUP($A117,'Реестр объектов'!$A:$I,5,0)</f>
        <v>б-р Яна Райниса, вл.2, к 2,3 район Северное Тушино, мкр. 4, б-р Яна Райниса, вл.2, к 2,3.</v>
      </c>
      <c r="C117" s="13" t="str">
        <f>VLOOKUP($A117,'Реестр объектов'!$A:$I,6,0)</f>
        <v>55.852135</v>
      </c>
      <c r="D117" s="13" t="str">
        <f>VLOOKUP($A117,'Реестр объектов'!$A:$I,7,0)</f>
        <v>37.431852</v>
      </c>
      <c r="E117" s="14" t="s">
        <v>19</v>
      </c>
      <c r="F117" s="15" t="s">
        <v>46</v>
      </c>
      <c r="G117" s="16"/>
      <c r="H117" s="16"/>
      <c r="I117" s="17"/>
      <c r="J117" s="18" t="str">
        <f>VLOOKUP($A117,'Реестр объектов'!$A:$I,8,0)</f>
        <v>https://docs.google.com/spreadsheets/d/1rbCD10ySi4YZEkJW2_Slmn9z7AI1WEsGsZaIJmnnT18/edit?gid=988598667#gid=988598667</v>
      </c>
      <c r="K117" s="19" t="str">
        <f>VLOOKUP($A117,'Реестр объектов'!$A:$I,9,0)</f>
        <v>https://disk.yandex.ru/client/disk/Осмотры%20объектов%20АНО%20СМГ/661.%20Яна%20Райниса%20б-р%2C%20влд.%202%2C%20к.%202%2C%203</v>
      </c>
      <c r="L117" s="15" t="s">
        <v>19</v>
      </c>
      <c r="M117" s="6"/>
      <c r="N117" s="16"/>
      <c r="O117" s="6"/>
      <c r="P117" s="16"/>
      <c r="Q117" s="6"/>
      <c r="R117" s="6"/>
      <c r="S117" s="6"/>
    </row>
    <row r="118">
      <c r="A118" s="12" t="s">
        <v>51</v>
      </c>
      <c r="B118" s="13" t="str">
        <f>VLOOKUP($A118,'Реестр объектов'!$A:$I,5,0)</f>
        <v>улица Смольная,земельный участок 23 внутригородское муниципальное образование Головинское, улица Смольная,земельный участок 23 (ул. Смольная, 23)</v>
      </c>
      <c r="C118" s="13" t="str">
        <f>VLOOKUP($A118,'Реестр объектов'!$A:$I,6,0)</f>
        <v>55.849033</v>
      </c>
      <c r="D118" s="13" t="str">
        <f>VLOOKUP($A118,'Реестр объектов'!$A:$I,7,0)</f>
        <v>37.494706</v>
      </c>
      <c r="E118" s="14" t="s">
        <v>45</v>
      </c>
      <c r="F118" s="15" t="s">
        <v>46</v>
      </c>
      <c r="G118" s="16"/>
      <c r="H118" s="16"/>
      <c r="I118" s="17"/>
      <c r="J118" s="18" t="str">
        <f>VLOOKUP($A118,'Реестр объектов'!$A:$I,8,0)</f>
        <v>https://docs.google.com/spreadsheets/d/1rbCD10ySi4YZEkJW2_Slmn9z7AI1WEsGsZaIJmnnT18/edit?gid=1665166606#gid=1665166606</v>
      </c>
      <c r="K118" s="19" t="str">
        <f>VLOOKUP($A118,'Реестр объектов'!$A:$I,9,0)</f>
        <v>https://disk.yandex.ru/client/disk/Осмотры%20объектов%20АНО%20СМГ/636.%20Смольная%20зу%2023</v>
      </c>
      <c r="L118" s="6"/>
      <c r="M118" s="6"/>
      <c r="N118" s="16"/>
      <c r="O118" s="6"/>
      <c r="P118" s="16"/>
      <c r="Q118" s="6"/>
      <c r="R118" s="6"/>
      <c r="S118" s="6"/>
    </row>
    <row r="119">
      <c r="A119" s="12" t="s">
        <v>52</v>
      </c>
      <c r="B119" s="13" t="str">
        <f>VLOOKUP($A119,'Реестр объектов'!$A:$I,5,0)</f>
        <v>улица Тайнинская, земельный участок 3 (вл. 3) район Лосиноостровский, Тайнинская ул., вл. 3</v>
      </c>
      <c r="C119" s="13" t="str">
        <f>VLOOKUP($A119,'Реестр объектов'!$A:$I,6,0)</f>
        <v>55.878112</v>
      </c>
      <c r="D119" s="13" t="str">
        <f>VLOOKUP($A119,'Реестр объектов'!$A:$I,7,0)</f>
        <v>37.681312</v>
      </c>
      <c r="E119" s="14" t="s">
        <v>45</v>
      </c>
      <c r="F119" s="15" t="s">
        <v>46</v>
      </c>
      <c r="G119" s="16"/>
      <c r="H119" s="16"/>
      <c r="I119" s="17"/>
      <c r="J119" s="18" t="str">
        <f>VLOOKUP($A119,'Реестр объектов'!$A:$I,8,0)</f>
        <v>https://docs.google.com/spreadsheets/d/1rbCD10ySi4YZEkJW2_Slmn9z7AI1WEsGsZaIJmnnT18/edit?gid=1331480544#gid=1331480544</v>
      </c>
      <c r="K119" s="19" t="str">
        <f>VLOOKUP($A119,'Реестр объектов'!$A:$I,9,0)</f>
        <v>https://disk.yandex.ru/client/disk/Осмотры%20объектов%20АНО%20СМГ/624.%20Тайнинская%20ул.%2C%20зу%203</v>
      </c>
      <c r="L119" s="6"/>
      <c r="M119" s="6"/>
      <c r="N119" s="16"/>
      <c r="O119" s="6"/>
      <c r="P119" s="16"/>
      <c r="Q119" s="6"/>
      <c r="R119" s="6"/>
      <c r="S119" s="6"/>
    </row>
    <row r="120">
      <c r="A120" s="12" t="s">
        <v>53</v>
      </c>
      <c r="B120" s="13" t="str">
        <f>VLOOKUP($A120,'Реестр объектов'!$A:$I,5,0)</f>
        <v>Кржижановского ул., вл. 31 район Котловка Кржижановского ул., вл. 31 микрорайонов 67,68, кварталов 103,104,105,106 за границами ППТ</v>
      </c>
      <c r="C120" s="13" t="str">
        <f>VLOOKUP($A120,'Реестр объектов'!$A:$I,6,0)</f>
        <v>55.673297</v>
      </c>
      <c r="D120" s="13" t="str">
        <f>VLOOKUP($A120,'Реестр объектов'!$A:$I,7,0)</f>
        <v>37.581276</v>
      </c>
      <c r="E120" s="14" t="s">
        <v>45</v>
      </c>
      <c r="F120" s="15" t="s">
        <v>46</v>
      </c>
      <c r="G120" s="16"/>
      <c r="H120" s="16"/>
      <c r="I120" s="17"/>
      <c r="J120" s="18" t="str">
        <f>VLOOKUP($A120,'Реестр объектов'!$A:$I,8,0)</f>
        <v>https://docs.google.com/spreadsheets/d/1rbCD10ySi4YZEkJW2_Slmn9z7AI1WEsGsZaIJmnnT18/edit?gid=79728110#gid=79728110</v>
      </c>
      <c r="K120" s="19" t="str">
        <f>VLOOKUP($A120,'Реестр объектов'!$A:$I,9,0)</f>
        <v>https://disk.yandex.ru/client/disk/Осмотры%20объектов%20АНО%20СМГ/802.%20Котловка%2C%20ул.%20Кржижановского%20вл.%2031</v>
      </c>
      <c r="L120" s="6"/>
      <c r="M120" s="6"/>
      <c r="N120" s="16"/>
      <c r="O120" s="6"/>
      <c r="P120" s="16"/>
      <c r="Q120" s="6"/>
      <c r="R120" s="6"/>
      <c r="S120" s="6"/>
    </row>
    <row r="121">
      <c r="A121" s="12" t="s">
        <v>54</v>
      </c>
      <c r="B121" s="13" t="str">
        <f>VLOOKUP($A121,'Реестр объектов'!$A:$I,5,0)</f>
        <v>Нижегородская ул., з/у 92А (зона №2.4) кв. 80, район Нижегородский (зона № 2.4) (ул. Нижегородская, д. 94, к.2)</v>
      </c>
      <c r="C121" s="13" t="str">
        <f>VLOOKUP($A121,'Реестр объектов'!$A:$I,6,0)</f>
        <v>55.729701</v>
      </c>
      <c r="D121" s="13" t="str">
        <f>VLOOKUP($A121,'Реестр объектов'!$A:$I,7,0)</f>
        <v>37.721204</v>
      </c>
      <c r="E121" s="14" t="s">
        <v>45</v>
      </c>
      <c r="F121" s="15" t="s">
        <v>46</v>
      </c>
      <c r="G121" s="16"/>
      <c r="H121" s="16"/>
      <c r="I121" s="17"/>
      <c r="J121" s="18" t="str">
        <f>VLOOKUP($A121,'Реестр объектов'!$A:$I,8,0)</f>
        <v>https://docs.google.com/spreadsheets/d/1rbCD10ySi4YZEkJW2_Slmn9z7AI1WEsGsZaIJmnnT18/edit?gid=1527817991#gid=1527817991</v>
      </c>
      <c r="K121" s="19" t="str">
        <f>VLOOKUP($A121,'Реестр объектов'!$A:$I,9,0)</f>
        <v>https://disk.yandex.ru/client/disk/Осмотры%20объектов%20АНО%20СМГ/805.%20Нижегородская%20ул.%2C%20з-у%2092А%2C%20зона%202.4</v>
      </c>
      <c r="L121" s="6"/>
      <c r="M121" s="6"/>
      <c r="N121" s="16"/>
      <c r="O121" s="6"/>
      <c r="P121" s="16"/>
      <c r="Q121" s="6"/>
      <c r="R121" s="6"/>
      <c r="S121" s="6"/>
    </row>
    <row r="122">
      <c r="A122" s="12" t="s">
        <v>56</v>
      </c>
      <c r="B122" s="13" t="str">
        <f>VLOOKUP($A122,'Реестр объектов'!$A:$I,5,0)</f>
        <v>ул. Лобачевского, влд. 62 район Проспект Вернадского, Лобачевского ул., вл. 62</v>
      </c>
      <c r="C122" s="13" t="str">
        <f>VLOOKUP($A122,'Реестр объектов'!$A:$I,6,0)</f>
        <v>55.675595</v>
      </c>
      <c r="D122" s="13" t="str">
        <f>VLOOKUP($A122,'Реестр объектов'!$A:$I,7,0)</f>
        <v>37.492644</v>
      </c>
      <c r="E122" s="14" t="s">
        <v>45</v>
      </c>
      <c r="F122" s="15" t="s">
        <v>46</v>
      </c>
      <c r="G122" s="16"/>
      <c r="H122" s="16"/>
      <c r="I122" s="17"/>
      <c r="J122" s="18" t="str">
        <f>VLOOKUP($A122,'Реестр объектов'!$A:$I,8,0)</f>
        <v>https://docs.google.com/spreadsheets/d/1rbCD10ySi4YZEkJW2_Slmn9z7AI1WEsGsZaIJmnnT18/edit?gid=387655725#gid=387655725</v>
      </c>
      <c r="K122" s="19" t="str">
        <f>VLOOKUP($A122,'Реестр объектов'!$A:$I,9,0)</f>
        <v>https://disk.yandex.ru/client/disk/Осмотры%20объектов%20АНО%20СМГ/609.%20ЗАО%20проспект%20Вернадского%2C%20Лобачевского%20улица.%2C%20вл.62</v>
      </c>
      <c r="L122" s="6"/>
      <c r="M122" s="6"/>
      <c r="N122" s="16"/>
      <c r="O122" s="6"/>
      <c r="P122" s="16"/>
      <c r="Q122" s="6"/>
      <c r="R122" s="6"/>
      <c r="S122" s="6"/>
    </row>
    <row r="123">
      <c r="A123" s="12" t="s">
        <v>57</v>
      </c>
      <c r="B123" s="13" t="str">
        <f>VLOOKUP($A123,'Реестр объектов'!$A:$I,5,0)</f>
        <v>9 Мая ул., вл. 24 район Восточный, 9 Мая ул., вл. 24</v>
      </c>
      <c r="C123" s="13" t="str">
        <f>VLOOKUP($A123,'Реестр объектов'!$A:$I,6,0)</f>
        <v>55.818169</v>
      </c>
      <c r="D123" s="13" t="str">
        <f>VLOOKUP($A123,'Реестр объектов'!$A:$I,7,0)</f>
        <v>37.872541</v>
      </c>
      <c r="E123" s="14" t="s">
        <v>45</v>
      </c>
      <c r="F123" s="15" t="s">
        <v>46</v>
      </c>
      <c r="G123" s="16"/>
      <c r="H123" s="16"/>
      <c r="I123" s="17"/>
      <c r="J123" s="18" t="str">
        <f>VLOOKUP($A123,'Реестр объектов'!$A:$I,8,0)</f>
        <v>https://docs.google.com/spreadsheets/d/1rbCD10ySi4YZEkJW2_Slmn9z7AI1WEsGsZaIJmnnT18/edit?gid=692135392#gid=692135392</v>
      </c>
      <c r="K123" s="21" t="str">
        <f>VLOOKUP($A123,'Реестр объектов'!$A:$I,9,0)</f>
        <v>https://disk.yandex.ru/client/disk/%D0%9E%D1%81%D0%BC%D0%BE%D1%82%D1%80%D1%8B%20%D0%BE%D0%B1%D1%8A%D0%B5%D0%BA%D1%82%D0%BE%D0%B2%20%D0%90%D0%9D%D0%9E%20%D0%A1%D0%9C%D0%93/644%20%D0%A3%D0%BB.%209%20%D0%9C%D0%B0%D1%8F%20%D0%B2%D0%BB%2024%20%D1%80-%D0%BD%20%D0%92%D0%BE%D1%81%D1%82%D0%BE%D1%87%D0%BD%D1%8B%D0%B9%2C%20%D1%81%D0%BE%20%D1%81%D0%BD%D0%BE%D1%81%D0%BE%D0%BC%20%D0%96.%D0%A1.%20%20</v>
      </c>
      <c r="L123" s="6"/>
      <c r="M123" s="6"/>
      <c r="N123" s="16"/>
      <c r="O123" s="6"/>
      <c r="P123" s="16"/>
      <c r="Q123" s="6"/>
      <c r="R123" s="6"/>
      <c r="S123" s="6"/>
    </row>
    <row r="124">
      <c r="A124" s="12" t="s">
        <v>58</v>
      </c>
      <c r="B124" s="13" t="str">
        <f>VLOOKUP($A124,'Реестр объектов'!$A:$I,5,0)</f>
        <v>1-й Саратовский пр-д, з/у 5 (1-й Саратовский пр-д, вл.5) район Текстильщики, 1-й Саратовский пр-д, вл.5</v>
      </c>
      <c r="C124" s="13" t="str">
        <f>VLOOKUP($A124,'Реестр объектов'!$A:$I,6,0)</f>
        <v>55.711841</v>
      </c>
      <c r="D124" s="13" t="str">
        <f>VLOOKUP($A124,'Реестр объектов'!$A:$I,7,0)</f>
        <v>37.737222</v>
      </c>
      <c r="E124" s="14" t="s">
        <v>45</v>
      </c>
      <c r="F124" s="15" t="s">
        <v>46</v>
      </c>
      <c r="G124" s="16"/>
      <c r="H124" s="16"/>
      <c r="I124" s="17"/>
      <c r="J124" s="18" t="str">
        <f>VLOOKUP($A124,'Реестр объектов'!$A:$I,8,0)</f>
        <v>https://docs.google.com/spreadsheets/d/1rbCD10ySi4YZEkJW2_Slmn9z7AI1WEsGsZaIJmnnT18/edit?gid=847490134#gid=847490134</v>
      </c>
      <c r="K124" s="19" t="str">
        <f>VLOOKUP($A124,'Реестр объектов'!$A:$I,9,0)</f>
        <v>https://disk.yandex.ru/client/disk/Осмотры%20объектов%20АНО%20СМГ/605.%201-й%20Саратовский%20проезд%2C%205%20Реновация</v>
      </c>
      <c r="L124" s="6"/>
      <c r="M124" s="6"/>
      <c r="N124" s="16"/>
      <c r="O124" s="6"/>
      <c r="P124" s="16"/>
      <c r="Q124" s="6"/>
      <c r="R124" s="6"/>
      <c r="S124" s="6"/>
    </row>
    <row r="125">
      <c r="A125" s="12" t="s">
        <v>60</v>
      </c>
      <c r="B125" s="13" t="str">
        <f>VLOOKUP($A125,'Реестр объектов'!$A:$I,5,0)</f>
        <v>ул. 2-я Синичкина, з/у 9 (ул. 2-я Синичкина, вл. 9) район Лефортово, улица 2-я Синичкина, земельный участок 9 (ул. 2-я Синичкина, вл. 9)</v>
      </c>
      <c r="C125" s="13" t="str">
        <f>VLOOKUP($A125,'Реестр объектов'!$A:$I,6,0)</f>
        <v>55.763275</v>
      </c>
      <c r="D125" s="13" t="str">
        <f>VLOOKUP($A125,'Реестр объектов'!$A:$I,7,0)</f>
        <v>37.712926</v>
      </c>
      <c r="E125" s="14" t="s">
        <v>45</v>
      </c>
      <c r="F125" s="15" t="s">
        <v>46</v>
      </c>
      <c r="G125" s="16"/>
      <c r="H125" s="16"/>
      <c r="I125" s="17"/>
      <c r="J125" s="18" t="str">
        <f>VLOOKUP($A125,'Реестр объектов'!$A:$I,8,0)</f>
        <v>https://docs.google.com/spreadsheets/d/1rbCD10ySi4YZEkJW2_Slmn9z7AI1WEsGsZaIJmnnT18/edit?gid=943458292#gid=943458292</v>
      </c>
      <c r="K125" s="21" t="str">
        <f>VLOOKUP($A125,'Реестр объектов'!$A:$I,9,0)</f>
        <v>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v>
      </c>
      <c r="L125" s="6"/>
      <c r="M125" s="6"/>
      <c r="N125" s="16"/>
      <c r="O125" s="6"/>
      <c r="P125" s="16"/>
      <c r="Q125" s="6"/>
      <c r="R125" s="6"/>
      <c r="S125" s="6"/>
    </row>
    <row r="126">
      <c r="A126" s="12" t="s">
        <v>61</v>
      </c>
      <c r="B126" s="13" t="str">
        <f>VLOOKUP($A126,'Реестр объектов'!$A:$I,5,0)</f>
        <v>Щербаковская ул., влд. 5А район Соколиная гора, Щербаковская улица, влд. 5А</v>
      </c>
      <c r="C126" s="13" t="str">
        <f>VLOOKUP($A126,'Реестр объектов'!$A:$I,6,0)</f>
        <v>55.783473</v>
      </c>
      <c r="D126" s="13" t="str">
        <f>VLOOKUP($A126,'Реестр объектов'!$A:$I,7,0)</f>
        <v>37.725236</v>
      </c>
      <c r="E126" s="14" t="s">
        <v>45</v>
      </c>
      <c r="F126" s="15" t="s">
        <v>46</v>
      </c>
      <c r="G126" s="16"/>
      <c r="H126" s="16"/>
      <c r="I126" s="17"/>
      <c r="J126" s="18" t="str">
        <f>VLOOKUP($A126,'Реестр объектов'!$A:$I,8,0)</f>
        <v>https://docs.google.com/spreadsheets/d/1rbCD10ySi4YZEkJW2_Slmn9z7AI1WEsGsZaIJmnnT18/edit?gid=1166394533#gid=1166394533</v>
      </c>
      <c r="K126" s="21" t="str">
        <f>VLOOKUP($A126,'Реестр объектов'!$A:$I,9,0)</f>
        <v>https://disk.yandex.ru/client/disk/%D0%9E%D1%81%D0%BC%D0%BE%D1%82%D1%80%D1%8B%20%D0%BE%D0%B1%D1%8A%D0%B5%D0%BA%D1%82%D0%BE%D0%B2%20%D0%90%D0%9D%D0%9E%20%D0%A1%D0%9C%D0%93/645.%20%D0%A9%D0%B5%D1%80%D0%B1%D0%B0%D0%BA%D0%BE%D0%B2%D1%81%D0%BA%D0%B0%D1%8F%20%D0%B7%D1%83%205%D0%90%20</v>
      </c>
      <c r="L126" s="6"/>
      <c r="M126" s="6"/>
      <c r="N126" s="16"/>
      <c r="O126" s="6"/>
      <c r="P126" s="16"/>
      <c r="Q126" s="6"/>
      <c r="R126" s="6"/>
      <c r="S126" s="6"/>
    </row>
    <row r="127">
      <c r="A127" s="12" t="s">
        <v>62</v>
      </c>
      <c r="B127" s="13" t="str">
        <f>VLOOKUP($A127,'Реестр объектов'!$A:$I,5,0)</f>
        <v>гор.Щербинка, 40 лет Октября ул., з/у 12 ТиНАО, г.о. Щербинка,  ул. 40 лет Октября, з/у 12 (Симферопольская ул., д. 2, ул. 40 лет Октября, д. 12, д. 16/1)</v>
      </c>
      <c r="C127" s="13" t="str">
        <f>VLOOKUP($A127,'Реестр объектов'!$A:$I,6,0)</f>
        <v>55.510648</v>
      </c>
      <c r="D127" s="13" t="str">
        <f>VLOOKUP($A127,'Реестр объектов'!$A:$I,7,0)</f>
        <v>37.572771</v>
      </c>
      <c r="E127" s="14" t="s">
        <v>45</v>
      </c>
      <c r="F127" s="15" t="s">
        <v>46</v>
      </c>
      <c r="G127" s="16"/>
      <c r="H127" s="16"/>
      <c r="I127" s="17"/>
      <c r="J127" s="18" t="str">
        <f>VLOOKUP($A127,'Реестр объектов'!$A:$I,8,0)</f>
        <v>https://docs.google.com/spreadsheets/d/1rbCD10ySi4YZEkJW2_Slmn9z7AI1WEsGsZaIJmnnT18/edit?gid=811633138#gid=811633138</v>
      </c>
      <c r="K127" s="19" t="str">
        <f>VLOOKUP($A127,'Реестр объектов'!$A:$I,9,0)</f>
        <v>https://disk.yandex.ru/client/disk/Осмотры%20объектов%20АНО%20СМГ/550.%20г.о.%20Щербинка%2C%20ул.%2040%20лет%20Октября%2C%20з.у%2012%20Симферопольская%20ул.%2C%20д.%202%2C%20ул.%2040%20лет%20Октября%2C%20д.%2012%2C%20д.%2016.1)</v>
      </c>
      <c r="L127" s="6"/>
      <c r="M127" s="6"/>
      <c r="N127" s="16"/>
      <c r="O127" s="6"/>
      <c r="P127" s="16"/>
      <c r="Q127" s="6"/>
      <c r="R127" s="6"/>
      <c r="S127" s="6"/>
    </row>
    <row r="128">
      <c r="A128" s="12" t="s">
        <v>63</v>
      </c>
      <c r="B128" s="13" t="str">
        <f>VLOOKUP($A128,'Реестр объектов'!$A:$I,5,0)</f>
        <v>ул. Корнейчука, вл.47А СВАО, район Бибирево, ул. Корнейчука, вл. 47А (со сносом здания по адресу: ул. Корнейчука, д. 47А)</v>
      </c>
      <c r="C128" s="13" t="str">
        <f>VLOOKUP($A128,'Реестр объектов'!$A:$I,6,0)</f>
        <v>55.893110</v>
      </c>
      <c r="D128" s="13" t="str">
        <f>VLOOKUP($A128,'Реестр объектов'!$A:$I,7,0)</f>
        <v>37.630685</v>
      </c>
      <c r="E128" s="14" t="s">
        <v>45</v>
      </c>
      <c r="F128" s="15" t="s">
        <v>46</v>
      </c>
      <c r="G128" s="16"/>
      <c r="H128" s="16"/>
      <c r="I128" s="17"/>
      <c r="J128" s="18" t="str">
        <f>VLOOKUP($A128,'Реестр объектов'!$A:$I,8,0)</f>
        <v>https://docs.google.com/spreadsheets/d/1rbCD10ySi4YZEkJW2_Slmn9z7AI1WEsGsZaIJmnnT18/edit?gid=1300345470#gid=1300345470</v>
      </c>
      <c r="K128" s="19" t="str">
        <f>VLOOKUP($A128,'Реестр объектов'!$A:$I,9,0)</f>
        <v>https://disk.yandex.ru/client/disk/Осмотры%20объектов%20АНО%20СМГ/655.%20ул.%20Корнейчука%2C%20вл.%2047%20А</v>
      </c>
      <c r="L128" s="6"/>
      <c r="M128" s="6"/>
      <c r="N128" s="16"/>
      <c r="O128" s="6"/>
      <c r="P128" s="16"/>
      <c r="Q128" s="6"/>
      <c r="R128" s="6"/>
      <c r="S128" s="6"/>
    </row>
    <row r="129">
      <c r="A129" s="12" t="s">
        <v>64</v>
      </c>
      <c r="B129" s="13" t="str">
        <f>VLOOKUP($A129,'Реестр объектов'!$A:$I,5,0)</f>
        <v>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v>
      </c>
      <c r="C129" s="13" t="str">
        <f>VLOOKUP($A129,'Реестр объектов'!$A:$I,6,0)</f>
        <v>55.674464</v>
      </c>
      <c r="D129" s="13" t="str">
        <f>VLOOKUP($A129,'Реестр объектов'!$A:$I,7,0)</f>
        <v>37.446148</v>
      </c>
      <c r="E129" s="14" t="s">
        <v>45</v>
      </c>
      <c r="F129" s="15" t="s">
        <v>46</v>
      </c>
      <c r="G129" s="16"/>
      <c r="H129" s="16"/>
      <c r="I129" s="17"/>
      <c r="J129" s="18" t="str">
        <f>VLOOKUP($A129,'Реестр объектов'!$A:$I,8,0)</f>
        <v>https://docs.google.com/spreadsheets/d/1rbCD10ySi4YZEkJW2_Slmn9z7AI1WEsGsZaIJmnnT18/edit?gid=1525507838#gid=1525507838</v>
      </c>
      <c r="K129" s="19" t="str">
        <f>VLOOKUP($A129,'Реестр объектов'!$A:$I,9,0)</f>
        <v>https://disk.yandex.ru/client/disk/Осмотры%20объектов%20АНО%20СМГ/712.%20Большая%20Очаковская%2C%20влд.%2045А%2C%20квартал%202%2C4%20зона%2015.1</v>
      </c>
      <c r="L129" s="6"/>
      <c r="M129" s="6"/>
      <c r="N129" s="16"/>
      <c r="O129" s="6"/>
      <c r="P129" s="16"/>
      <c r="Q129" s="6"/>
      <c r="R129" s="6"/>
      <c r="S129" s="6"/>
    </row>
    <row r="130">
      <c r="A130" s="12" t="s">
        <v>65</v>
      </c>
      <c r="B130" s="13" t="str">
        <f>VLOOKUP($A130,'Реестр объектов'!$A:$I,5,0)</f>
        <v>Шишкин Лес, зона 6.2 ТАО, пос. Михайлово-Ярцевское, п. Шишкин Лес, з/у 5 зона №  6.2</v>
      </c>
      <c r="C130" s="13" t="str">
        <f>VLOOKUP($A130,'Реестр объектов'!$A:$I,6,0)</f>
        <v>55.413660</v>
      </c>
      <c r="D130" s="13" t="str">
        <f>VLOOKUP($A130,'Реестр объектов'!$A:$I,7,0)</f>
        <v>37.192563</v>
      </c>
      <c r="E130" s="14" t="s">
        <v>29</v>
      </c>
      <c r="F130" s="15" t="s">
        <v>46</v>
      </c>
      <c r="G130" s="16"/>
      <c r="H130" s="16"/>
      <c r="I130" s="17"/>
      <c r="J130" s="18" t="str">
        <f>VLOOKUP($A130,'Реестр объектов'!$A:$I,8,0)</f>
        <v>https://docs.google.com/spreadsheets/d/1rbCD10ySi4YZEkJW2_Slmn9z7AI1WEsGsZaIJmnnT18/edit?gid=1721879742#gid=1721879742</v>
      </c>
      <c r="K130" s="19" t="str">
        <f>VLOOKUP($A130,'Реестр объектов'!$A:$I,9,0)</f>
        <v>https://disk.yandex.ru/client/disk/Осмотры%20объектов%20АНО%20СМГ/698.%20пос.%20Михайлово-Ярцевское%2C%20п.%20Шишкин%20Лес%2C%20зу%205%20зона%20№%206.2</v>
      </c>
      <c r="L130" s="6"/>
      <c r="M130" s="6"/>
      <c r="N130" s="16"/>
      <c r="O130" s="6"/>
      <c r="P130" s="16"/>
      <c r="Q130" s="6"/>
      <c r="R130" s="6"/>
      <c r="S130" s="6"/>
    </row>
    <row r="131">
      <c r="A131" s="12" t="s">
        <v>66</v>
      </c>
      <c r="B131" s="13" t="str">
        <f>VLOOKUP($A131,'Реестр объектов'!$A:$I,5,0)</f>
        <v>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 Госпитальный Вал, д.5, стр.20 и жилого дома по адресу: ул. Госпитальный Вал, д.5, к.10)</v>
      </c>
      <c r="C131" s="13" t="str">
        <f>VLOOKUP($A131,'Реестр объектов'!$A:$I,6,0)</f>
        <v>55.772856</v>
      </c>
      <c r="D131" s="13" t="str">
        <f>VLOOKUP($A131,'Реестр объектов'!$A:$I,7,0)</f>
        <v>37.708026</v>
      </c>
      <c r="E131" s="14" t="s">
        <v>45</v>
      </c>
      <c r="F131" s="15" t="s">
        <v>46</v>
      </c>
      <c r="G131" s="16"/>
      <c r="H131" s="16"/>
      <c r="I131" s="17"/>
      <c r="J131" s="18" t="str">
        <f>VLOOKUP($A131,'Реестр объектов'!$A:$I,8,0)</f>
        <v>https://docs.google.com/spreadsheets/d/1rbCD10ySi4YZEkJW2_Slmn9z7AI1WEsGsZaIJmnnT18/edit?gid=1637195585#gid=1637195585</v>
      </c>
      <c r="K131" s="19" t="str">
        <f>VLOOKUP($A131,'Реестр объектов'!$A:$I,9,0)</f>
        <v>https://disk.yandex.ru/client/disk/Осмотры%20объектов%20АНО%20СМГ/653.%20Госпитальный%20Вал%20ул.%2C%20вл.%205%2C%20Корп.20</v>
      </c>
      <c r="L131" s="6"/>
      <c r="M131" s="6"/>
      <c r="N131" s="16"/>
      <c r="O131" s="6"/>
      <c r="P131" s="16"/>
      <c r="Q131" s="6"/>
      <c r="R131" s="6"/>
      <c r="S131" s="6"/>
    </row>
    <row r="132">
      <c r="A132" s="12" t="s">
        <v>67</v>
      </c>
      <c r="B132" s="13" t="str">
        <f>VLOOKUP($A132,'Реестр объектов'!$A:$I,5,0)</f>
        <v>ул. Госпитальный Вал, вл.3 ЦАО, район Басманный, ул. Госпитальный Вал, вл.3 (со сносом жилых домов по адресам: 
ул. Госпитальный Вал, д.3 и д.3, корп.1)</v>
      </c>
      <c r="C132" s="13" t="str">
        <f>VLOOKUP($A132,'Реестр объектов'!$A:$I,6,0)</f>
        <v>55.772318</v>
      </c>
      <c r="D132" s="13" t="str">
        <f>VLOOKUP($A132,'Реестр объектов'!$A:$I,7,0)</f>
        <v>37.706787</v>
      </c>
      <c r="E132" s="14" t="s">
        <v>45</v>
      </c>
      <c r="F132" s="15" t="s">
        <v>46</v>
      </c>
      <c r="G132" s="16"/>
      <c r="H132" s="16"/>
      <c r="I132" s="17"/>
      <c r="J132" s="18" t="str">
        <f>VLOOKUP($A132,'Реестр объектов'!$A:$I,8,0)</f>
        <v>https://docs.google.com/spreadsheets/d/1rbCD10ySi4YZEkJW2_Slmn9z7AI1WEsGsZaIJmnnT18/edit?gid=1429286292#gid=1429286292</v>
      </c>
      <c r="K132" s="19" t="str">
        <f>VLOOKUP($A132,'Реестр объектов'!$A:$I,9,0)</f>
        <v>https://disk.yandex.ru/client/disk/Осмотры%20объектов%20АНО%20СМГ/694.%20Госпитальный%20Вал%20ул.%2C%20вл.%203</v>
      </c>
      <c r="L132" s="6"/>
      <c r="M132" s="6"/>
      <c r="N132" s="16"/>
      <c r="O132" s="6"/>
      <c r="P132" s="16"/>
      <c r="Q132" s="6"/>
      <c r="R132" s="6"/>
      <c r="S132" s="6"/>
    </row>
    <row r="133">
      <c r="A133" s="12" t="s">
        <v>68</v>
      </c>
      <c r="B133" s="13" t="str">
        <f>VLOOKUP($A133,'Реестр объектов'!$A:$I,5,0)</f>
        <v>ул. Константинова, з/у 2 (ул. Константинова, вл. 2) СВАО, район Алексеевский, ул. Константинова, влд. 2 		</v>
      </c>
      <c r="C133" s="13" t="str">
        <f>VLOOKUP($A133,'Реестр объектов'!$A:$I,6,0)</f>
        <v>55.813415</v>
      </c>
      <c r="D133" s="13" t="str">
        <f>VLOOKUP($A133,'Реестр объектов'!$A:$I,7,0)</f>
        <v>37.652562</v>
      </c>
      <c r="E133" s="14" t="s">
        <v>45</v>
      </c>
      <c r="F133" s="15" t="s">
        <v>46</v>
      </c>
      <c r="G133" s="16"/>
      <c r="H133" s="16"/>
      <c r="I133" s="17"/>
      <c r="J133" s="18" t="str">
        <f>VLOOKUP($A133,'Реестр объектов'!$A:$I,8,0)</f>
        <v>https://docs.google.com/spreadsheets/d/1rbCD10ySi4YZEkJW2_Slmn9z7AI1WEsGsZaIJmnnT18/edit?gid=989644917#gid=989644917</v>
      </c>
      <c r="K133" s="19" t="str">
        <f>VLOOKUP($A133,'Реестр объектов'!$A:$I,9,0)</f>
        <v>https://disk.yandex.ru/client/disk/Осмотры%20объектов%20АНО%20СМГ/666.%20Константинова%20ул.%2C%20вл.%202</v>
      </c>
      <c r="L133" s="6"/>
      <c r="M133" s="6"/>
      <c r="N133" s="16"/>
      <c r="O133" s="6"/>
      <c r="P133" s="16"/>
      <c r="Q133" s="6"/>
      <c r="R133" s="6"/>
      <c r="S133" s="6"/>
    </row>
    <row r="134">
      <c r="A134" s="12" t="s">
        <v>69</v>
      </c>
      <c r="B134" s="13" t="str">
        <f>VLOOKUP($A134,'Реестр объектов'!$A:$I,5,0)</f>
        <v>пр-д Береговой, з/у 9/1 (Береговой пр-д, вл.9, корп.1) район Филевский парк, Береговой пр-д, вл. 9, корп. 1</v>
      </c>
      <c r="C134" s="13" t="str">
        <f>VLOOKUP($A134,'Реестр объектов'!$A:$I,6,0)</f>
        <v>55.754325</v>
      </c>
      <c r="D134" s="13" t="str">
        <f>VLOOKUP($A134,'Реестр объектов'!$A:$I,7,0)</f>
        <v>37.504466</v>
      </c>
      <c r="E134" s="14" t="s">
        <v>45</v>
      </c>
      <c r="F134" s="15" t="s">
        <v>46</v>
      </c>
      <c r="G134" s="16"/>
      <c r="H134" s="16"/>
      <c r="I134" s="17"/>
      <c r="J134" s="18" t="str">
        <f>VLOOKUP($A134,'Реестр объектов'!$A:$I,8,0)</f>
        <v>https://docs.google.com/spreadsheets/d/1rbCD10ySi4YZEkJW2_Slmn9z7AI1WEsGsZaIJmnnT18/edit?gid=3034090#gid=3034090</v>
      </c>
      <c r="K134" s="19" t="str">
        <f>VLOOKUP($A134,'Реестр объектов'!$A:$I,9,0)</f>
        <v>https://disk.yandex.ru/client/disk/Осмотры%20объектов%20АНО%20СМГ/961.%20Жилой%20дом%20Береговой%20проезд%209к1</v>
      </c>
      <c r="L134" s="6"/>
      <c r="M134" s="6"/>
      <c r="N134" s="16"/>
      <c r="O134" s="6"/>
      <c r="P134" s="16"/>
      <c r="Q134" s="6"/>
      <c r="R134" s="6"/>
      <c r="S134" s="6"/>
    </row>
    <row r="135">
      <c r="A135" s="12" t="s">
        <v>70</v>
      </c>
      <c r="B135" s="13" t="str">
        <f>VLOOKUP($A135,'Реестр объектов'!$A:$I,5,0)</f>
        <v>Велозаводская ул., з/у 2 ЮАО, район Даниловский, Велозаводская ул., вл.2</v>
      </c>
      <c r="C135" s="13" t="str">
        <f>VLOOKUP($A135,'Реестр объектов'!$A:$I,6,0)</f>
        <v>55.715704</v>
      </c>
      <c r="D135" s="13" t="str">
        <f>VLOOKUP($A135,'Реестр объектов'!$A:$I,7,0)</f>
        <v>37.663933</v>
      </c>
      <c r="E135" s="14" t="s">
        <v>45</v>
      </c>
      <c r="F135" s="15" t="s">
        <v>46</v>
      </c>
      <c r="G135" s="16"/>
      <c r="H135" s="16"/>
      <c r="I135" s="17"/>
      <c r="J135" s="18" t="str">
        <f>VLOOKUP($A135,'Реестр объектов'!$A:$I,8,0)</f>
        <v>https://docs.google.com/spreadsheets/d/1rbCD10ySi4YZEkJW2_Slmn9z7AI1WEsGsZaIJmnnT18/edit?gid=1509964288#gid=1509964288</v>
      </c>
      <c r="K135" s="19" t="str">
        <f>VLOOKUP($A135,'Реестр объектов'!$A:$I,9,0)</f>
        <v>https://disk.yandex.ru/client/disk/Осмотры%20объектов%20АНО%20СМГ/673.%20Велозаводская%20ул.%2C%20з.у%202</v>
      </c>
      <c r="L135" s="6"/>
      <c r="M135" s="6"/>
      <c r="N135" s="16"/>
      <c r="O135" s="6"/>
      <c r="P135" s="16"/>
      <c r="Q135" s="6"/>
      <c r="R135" s="6"/>
      <c r="S135" s="6"/>
    </row>
    <row r="136">
      <c r="A136" s="12" t="s">
        <v>562</v>
      </c>
      <c r="B136" s="13" t="str">
        <f>VLOOKUP($A136,'Реестр объектов'!$A:$I,5,0)</f>
        <v>Краснодарская ул., вл.8 ЮВАО, район Люблино, ул. Краснодарская, з/у 8 (Краснодарская ул., вл. 8)</v>
      </c>
      <c r="C136" s="13" t="str">
        <f>VLOOKUP($A136,'Реестр объектов'!$A:$I,6,0)</f>
        <v>55.676412</v>
      </c>
      <c r="D136" s="13" t="str">
        <f>VLOOKUP($A136,'Реестр объектов'!$A:$I,7,0)</f>
        <v>37.742216</v>
      </c>
      <c r="E136" s="14" t="s">
        <v>25</v>
      </c>
      <c r="F136" s="15" t="s">
        <v>46</v>
      </c>
      <c r="G136" s="20">
        <v>45974.56279790509</v>
      </c>
      <c r="H136" s="20">
        <v>45974.586395509265</v>
      </c>
      <c r="I136" s="2" t="s">
        <v>200</v>
      </c>
      <c r="J136" s="18" t="str">
        <f>VLOOKUP($A136,'Реестр объектов'!$A:$I,8,0)</f>
        <v>https://docs.google.com/spreadsheets/d/1rbCD10ySi4YZEkJW2_Slmn9z7AI1WEsGsZaIJmnnT18/edit?gid=573547240#gid=573547240</v>
      </c>
      <c r="K136" s="19" t="str">
        <f>VLOOKUP($A136,'Реестр объектов'!$A:$I,9,0)</f>
        <v>https://disk.yandex.ru/client/disk/Осмотры%20объектов%20АНО%20СМГ/639.%20Краснодарская%20ул.%2C%20влд.%208.%20Жилой%20дом</v>
      </c>
      <c r="L136" s="6"/>
      <c r="M136" s="6"/>
      <c r="N136" s="16"/>
      <c r="O136" s="6"/>
      <c r="P136" s="16"/>
      <c r="Q136" s="6"/>
      <c r="R136" s="6"/>
      <c r="S136" s="6"/>
    </row>
    <row r="137">
      <c r="A137" s="12" t="s">
        <v>71</v>
      </c>
      <c r="B137" s="13" t="str">
        <f>VLOOKUP($A137,'Реестр объектов'!$A:$I,5,0)</f>
        <v>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 3)</v>
      </c>
      <c r="C137" s="13" t="str">
        <f>VLOOKUP($A137,'Реестр объектов'!$A:$I,6,0)</f>
        <v>55.642963</v>
      </c>
      <c r="D137" s="13" t="str">
        <f>VLOOKUP($A137,'Реестр объектов'!$A:$I,7,0)</f>
        <v>37.542380</v>
      </c>
      <c r="E137" s="14" t="s">
        <v>31</v>
      </c>
      <c r="F137" s="15" t="s">
        <v>46</v>
      </c>
      <c r="G137" s="16"/>
      <c r="H137" s="16"/>
      <c r="I137" s="17"/>
      <c r="J137" s="18" t="str">
        <f>VLOOKUP($A137,'Реестр объектов'!$A:$I,8,0)</f>
        <v>https://docs.google.com/spreadsheets/d/1rbCD10ySi4YZEkJW2_Slmn9z7AI1WEsGsZaIJmnnT18/edit?gid=1872184030#gid=1872184030</v>
      </c>
      <c r="K137" s="19" t="str">
        <f>VLOOKUP($A137,'Реестр объектов'!$A:$I,9,0)</f>
        <v>https://disk.yandex.ru/client/disk/Осмотры%20объектов%20АНО%20СМГ/819.%20района%20Коньково%20ул.%20Введенского%2C%209%20микрорайон%206%2C%20зона%20№%201.3</v>
      </c>
      <c r="L137" s="6"/>
      <c r="M137" s="6"/>
      <c r="N137" s="16"/>
      <c r="O137" s="6"/>
      <c r="P137" s="16"/>
      <c r="Q137" s="6"/>
      <c r="R137" s="6"/>
      <c r="S137" s="6"/>
    </row>
    <row r="138">
      <c r="A138" s="12" t="s">
        <v>72</v>
      </c>
      <c r="B138" s="13" t="str">
        <f>VLOOKUP($A138,'Реестр объектов'!$A:$I,5,0)</f>
        <v>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д.45, к.2, ул. Олеко Дундича, д.47, ул. Кастанаевская, д.40, к.1, ул. Кастанаевская, д.40, к.2)</v>
      </c>
      <c r="C138" s="13" t="str">
        <f>VLOOKUP($A138,'Реестр объектов'!$A:$I,6,0)</f>
        <v>55.736265</v>
      </c>
      <c r="D138" s="13" t="str">
        <f>VLOOKUP($A138,'Реестр объектов'!$A:$I,7,0)</f>
        <v>37.477252</v>
      </c>
      <c r="E138" s="14" t="s">
        <v>45</v>
      </c>
      <c r="F138" s="15" t="s">
        <v>46</v>
      </c>
      <c r="G138" s="16"/>
      <c r="H138" s="16"/>
      <c r="I138" s="17"/>
      <c r="J138" s="18" t="str">
        <f>VLOOKUP($A138,'Реестр объектов'!$A:$I,8,0)</f>
        <v>https://docs.google.com/spreadsheets/d/1rbCD10ySi4YZEkJW2_Slmn9z7AI1WEsGsZaIJmnnT18/edit?gid=1114468550#gid=1114468550</v>
      </c>
      <c r="K138" s="19" t="str">
        <f>VLOOKUP($A138,'Реестр объектов'!$A:$I,9,0)</f>
        <v>https://disk.yandex.ru/client/disk/Осмотры%20объектов%20АНО%20СМГ/596.Жилой%20дом%20ул.%20Пивченкова%20вл14</v>
      </c>
      <c r="L138" s="6"/>
      <c r="M138" s="6"/>
      <c r="N138" s="16"/>
      <c r="O138" s="6"/>
      <c r="P138" s="16"/>
      <c r="Q138" s="6"/>
      <c r="R138" s="6"/>
      <c r="S138" s="6"/>
    </row>
    <row r="139">
      <c r="A139" s="12" t="s">
        <v>73</v>
      </c>
      <c r="B139" s="13" t="str">
        <f>VLOOKUP($A139,'Реестр объектов'!$A:$I,5,0)</f>
        <v>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v>
      </c>
      <c r="C139" s="13" t="str">
        <f>VLOOKUP($A139,'Реестр объектов'!$A:$I,6,0)</f>
        <v>55.705355</v>
      </c>
      <c r="D139" s="13" t="str">
        <f>VLOOKUP($A139,'Реестр объектов'!$A:$I,7,0)</f>
        <v>37.813629</v>
      </c>
      <c r="E139" s="14" t="s">
        <v>41</v>
      </c>
      <c r="F139" s="15" t="s">
        <v>46</v>
      </c>
      <c r="G139" s="16"/>
      <c r="H139" s="16"/>
      <c r="I139" s="17"/>
      <c r="J139" s="18" t="str">
        <f>VLOOKUP($A139,'Реестр объектов'!$A:$I,8,0)</f>
        <v>https://docs.google.com/spreadsheets/d/1rbCD10ySi4YZEkJW2_Slmn9z7AI1WEsGsZaIJmnnT18/edit?gid=830671407#gid=830671407</v>
      </c>
      <c r="K139" s="19" t="str">
        <f>VLOOKUP($A139,'Реестр объектов'!$A:$I,9,0)</f>
        <v>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м%2014%2C%20корпус%205)</v>
      </c>
      <c r="L139" s="6"/>
      <c r="M139" s="6"/>
      <c r="N139" s="16"/>
      <c r="O139" s="6"/>
      <c r="P139" s="16"/>
      <c r="Q139" s="6"/>
      <c r="R139" s="6"/>
      <c r="S139" s="6"/>
    </row>
    <row r="140">
      <c r="A140" s="12" t="s">
        <v>74</v>
      </c>
      <c r="B140" s="13" t="str">
        <f>VLOOKUP($A140,'Реестр объектов'!$A:$I,5,0)</f>
        <v>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v>
      </c>
      <c r="C140" s="13" t="str">
        <f>VLOOKUP($A140,'Реестр объектов'!$A:$I,6,0)</f>
        <v>55.651945</v>
      </c>
      <c r="D140" s="13" t="str">
        <f>VLOOKUP($A140,'Реестр объектов'!$A:$I,7,0)</f>
        <v>37.569259</v>
      </c>
      <c r="E140" s="14" t="s">
        <v>31</v>
      </c>
      <c r="F140" s="15" t="s">
        <v>46</v>
      </c>
      <c r="G140" s="16"/>
      <c r="H140" s="16"/>
      <c r="I140" s="17"/>
      <c r="J140" s="18" t="str">
        <f>VLOOKUP($A140,'Реестр объектов'!$A:$I,8,0)</f>
        <v>https://docs.google.com/spreadsheets/d/1rbCD10ySi4YZEkJW2_Slmn9z7AI1WEsGsZaIJmnnT18/edit?gid=1787224258#gid=1787224258</v>
      </c>
      <c r="K140" s="19" t="str">
        <f>VLOOKUP($A140,'Реестр объектов'!$A:$I,9,0)</f>
        <v>https://disk.yandex.ru/client/disk/Осмотры%20объектов%20АНО%20СМГ/695.%20ЮЗАО%2C%20Херсонская%20зу%2016%20кв.%2040%2C%20зона%201.3</v>
      </c>
      <c r="L140" s="6"/>
      <c r="M140" s="6"/>
      <c r="N140" s="16"/>
      <c r="O140" s="6"/>
      <c r="P140" s="16"/>
      <c r="Q140" s="6"/>
      <c r="R140" s="6"/>
      <c r="S140" s="6"/>
    </row>
    <row r="141">
      <c r="A141" s="12" t="s">
        <v>75</v>
      </c>
      <c r="B141" s="13" t="str">
        <f>VLOOKUP($A141,'Реестр объектов'!$A:$I,5,0)</f>
        <v>улица Херсонская,земельный участок 14 (участок 1.4) ЮЗАО, район Зюзино, кв. 40, ул. Херсонская, зу 14 (зона 1.4)</v>
      </c>
      <c r="C141" s="13" t="str">
        <f>VLOOKUP($A141,'Реестр объектов'!$A:$I,6,0)</f>
        <v>55.651717</v>
      </c>
      <c r="D141" s="13" t="str">
        <f>VLOOKUP($A141,'Реестр объектов'!$A:$I,7,0)</f>
        <v>37.570189</v>
      </c>
      <c r="E141" s="14" t="s">
        <v>31</v>
      </c>
      <c r="F141" s="15" t="s">
        <v>46</v>
      </c>
      <c r="G141" s="16"/>
      <c r="H141" s="16"/>
      <c r="I141" s="17"/>
      <c r="J141" s="18" t="str">
        <f>VLOOKUP($A141,'Реестр объектов'!$A:$I,8,0)</f>
        <v>https://docs.google.com/spreadsheets/d/1rbCD10ySi4YZEkJW2_Slmn9z7AI1WEsGsZaIJmnnT18/edit?gid=2069894648#gid=2069894648</v>
      </c>
      <c r="K141" s="19" t="str">
        <f>VLOOKUP($A141,'Реестр объектов'!$A:$I,9,0)</f>
        <v>https://disk.yandex.ru/client/disk/Осмотры%20объектов%20АНО%20СМГ/659.%20ЮЗАО%2C%20Зюзино%20кв%2040%2C%20Херсонская%20зу%2014%20(зона%201.4)</v>
      </c>
      <c r="L141" s="6"/>
      <c r="M141" s="6"/>
      <c r="N141" s="16"/>
      <c r="O141" s="6"/>
      <c r="P141" s="16"/>
      <c r="Q141" s="6"/>
      <c r="R141" s="6"/>
      <c r="S141" s="6"/>
    </row>
    <row r="142">
      <c r="A142" s="12" t="s">
        <v>76</v>
      </c>
      <c r="B142" s="13" t="str">
        <f>VLOOKUP($A142,'Реестр объектов'!$A:$I,5,0)</f>
        <v>улица Зарайская, земельный участок 46/1 (вл. 46, к. 1 и 2, Шатурская ул., вл. 39) ЮВАО, район Рязанский, Зарайская ул., вл. 46/1, Шатурская ул. вл.39 </v>
      </c>
      <c r="C142" s="13" t="str">
        <f>VLOOKUP($A142,'Реестр объектов'!$A:$I,6,0)</f>
        <v>55.728211</v>
      </c>
      <c r="D142" s="13" t="str">
        <f>VLOOKUP($A142,'Реестр объектов'!$A:$I,7,0)</f>
        <v>37.772367</v>
      </c>
      <c r="E142" s="14" t="s">
        <v>23</v>
      </c>
      <c r="F142" s="15" t="s">
        <v>46</v>
      </c>
      <c r="G142" s="16"/>
      <c r="H142" s="16"/>
      <c r="I142" s="17"/>
      <c r="J142" s="18" t="str">
        <f>VLOOKUP($A142,'Реестр объектов'!$A:$I,8,0)</f>
        <v>https://docs.google.com/spreadsheets/d/1rbCD10ySi4YZEkJW2_Slmn9z7AI1WEsGsZaIJmnnT18/edit?gid=1644784685#gid=1644784685</v>
      </c>
      <c r="K142" s="21" t="str">
        <f>VLOOKUP($A142,'Реестр объектов'!$A:$I,9,0)</f>
        <v>https://disk.yandex.ru/client/disk/%D0%9E%D1%81%D0%BC%D0%BE%D1%82%D1%80%D1%8B%20%D0%BE%D0%B1%D1%8A%D0%B5%D0%BA%D1%82%D0%BE%D0%B2%20%D0%90%D0%9D%D0%9E%20%D0%A1%D0%9C%D0%93/714%20%D0%97%D0%B0%D1%80%D0%B0%D0%B9%D1%81%D0%BA%D0%B0%D1%8F%20%D0%B2%D0%BB%2046.1%20%2C%20%D0%A8%D0%B0%D1%82%D1%83%D1%80%D1%81%D0%BA%D0%B0%D1%8F%20%D1%83%D0%BB%20%D0%B2%D0%BB.%2039%20</v>
      </c>
      <c r="L142" s="6"/>
      <c r="M142" s="6"/>
      <c r="N142" s="16"/>
      <c r="O142" s="6"/>
      <c r="P142" s="16"/>
      <c r="Q142" s="6"/>
      <c r="R142" s="6"/>
      <c r="S142" s="6"/>
    </row>
    <row r="143">
      <c r="A143" s="12" t="s">
        <v>77</v>
      </c>
      <c r="B143" s="13" t="str">
        <f>VLOOKUP($A143,'Реестр объектов'!$A:$I,5,0)</f>
        <v>улица Плеханова, земельный участок 24А (вл. 24А) ВАО, район Перово, ул. Плеханова зу 24А</v>
      </c>
      <c r="C143" s="13" t="str">
        <f>VLOOKUP($A143,'Реестр объектов'!$A:$I,6,0)</f>
        <v>55.741388</v>
      </c>
      <c r="D143" s="13" t="str">
        <f>VLOOKUP($A143,'Реестр объектов'!$A:$I,7,0)</f>
        <v>37.764829</v>
      </c>
      <c r="E143" s="14" t="s">
        <v>23</v>
      </c>
      <c r="F143" s="15" t="s">
        <v>46</v>
      </c>
      <c r="G143" s="16"/>
      <c r="H143" s="16"/>
      <c r="I143" s="17"/>
      <c r="J143" s="18" t="str">
        <f>VLOOKUP($A143,'Реестр объектов'!$A:$I,8,0)</f>
        <v>https://docs.google.com/spreadsheets/d/1rbCD10ySi4YZEkJW2_Slmn9z7AI1WEsGsZaIJmnnT18/edit?gid=1455430518#gid=1455430518</v>
      </c>
      <c r="K143" s="19" t="str">
        <f>VLOOKUP($A143,'Реестр объектов'!$A:$I,9,0)</f>
        <v>https://disk.yandex.ru/client/disk/Осмотры%20объектов%20АНО%20СМГ/571.%20Перово%2C%20ул.%20Плехановская%2C%2024%20А</v>
      </c>
      <c r="L143" s="6"/>
      <c r="M143" s="6"/>
      <c r="N143" s="16"/>
      <c r="O143" s="6"/>
      <c r="P143" s="16"/>
      <c r="Q143" s="6"/>
      <c r="R143" s="6"/>
      <c r="S143" s="6"/>
    </row>
    <row r="144">
      <c r="A144" s="12" t="s">
        <v>78</v>
      </c>
      <c r="B144" s="13" t="str">
        <f>VLOOKUP($A144,'Реестр объектов'!$A:$I,5,0)</f>
        <v>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Парковая ул, д.42, к.8, стр.1)</v>
      </c>
      <c r="C144" s="13" t="str">
        <f>VLOOKUP($A144,'Реестр объектов'!$A:$I,6,0)</f>
        <v>55.806119</v>
      </c>
      <c r="D144" s="13" t="str">
        <f>VLOOKUP($A144,'Реестр объектов'!$A:$I,7,0)</f>
        <v>37.824476</v>
      </c>
      <c r="E144" s="14" t="s">
        <v>45</v>
      </c>
      <c r="F144" s="15" t="s">
        <v>46</v>
      </c>
      <c r="G144" s="16"/>
      <c r="H144" s="16"/>
      <c r="I144" s="17"/>
      <c r="J144" s="18" t="str">
        <f>VLOOKUP($A144,'Реестр объектов'!$A:$I,8,0)</f>
        <v>https://docs.google.com/spreadsheets/d/1rbCD10ySi4YZEkJW2_Slmn9z7AI1WEsGsZaIJmnnT18/edit?gid=617058408#gid=617058408</v>
      </c>
      <c r="K144" s="21" t="str">
        <f>VLOOKUP($A144,'Реестр объектов'!$A:$I,9,0)</f>
        <v>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v>
      </c>
      <c r="L144" s="6"/>
      <c r="M144" s="6"/>
      <c r="N144" s="16"/>
      <c r="O144" s="6"/>
      <c r="P144" s="16"/>
      <c r="Q144" s="6"/>
      <c r="R144" s="6"/>
      <c r="S144" s="6"/>
    </row>
    <row r="145">
      <c r="A145" s="12" t="s">
        <v>79</v>
      </c>
      <c r="B145" s="13" t="str">
        <f>VLOOKUP($A145,'Реестр объектов'!$A:$I,5,0)</f>
        <v>улица Ташкентская, земельный участок 14/3 (зона 3.2 и 3.4) улица Ташкентская, земельный участок 14/3 (зона 3.2 и 3.4)</v>
      </c>
      <c r="C145" s="13" t="str">
        <f>VLOOKUP($A145,'Реестр объектов'!$A:$I,6,0)</f>
        <v>55.704688</v>
      </c>
      <c r="D145" s="13" t="str">
        <f>VLOOKUP($A145,'Реестр объектов'!$A:$I,7,0)</f>
        <v>37.813485</v>
      </c>
      <c r="E145" s="14" t="s">
        <v>41</v>
      </c>
      <c r="F145" s="15" t="s">
        <v>46</v>
      </c>
      <c r="G145" s="16"/>
      <c r="H145" s="16"/>
      <c r="I145" s="17"/>
      <c r="J145" s="18" t="str">
        <f>VLOOKUP($A145,'Реестр объектов'!$A:$I,8,0)</f>
        <v>https://docs.google.com/spreadsheets/d/1rbCD10ySi4YZEkJW2_Slmn9z7AI1WEsGsZaIJmnnT18/edit?gid=252316906#gid=252316906</v>
      </c>
      <c r="K145" s="19" t="str">
        <f>VLOOKUP($A145,'Реестр объектов'!$A:$I,9,0)</f>
        <v>https://disk.yandex.ru/client/disk/Осмотры%20объектов%20АНО%20СМГ/827.%20район%20Выхино-Жулебино%2C%20ул.%20Ташкентская%20ЗУ%2014.3%2C%20зона%20№%203.2%2C%203.4</v>
      </c>
      <c r="L145" s="6"/>
      <c r="M145" s="6"/>
      <c r="N145" s="16"/>
      <c r="O145" s="6"/>
      <c r="P145" s="16"/>
      <c r="Q145" s="6"/>
      <c r="R145" s="6"/>
      <c r="S145" s="6"/>
    </row>
    <row r="146">
      <c r="A146" s="12" t="s">
        <v>80</v>
      </c>
      <c r="B146" s="13" t="str">
        <f>VLOOKUP($A146,'Реестр объектов'!$A:$I,5,0)</f>
        <v>ул. Амурская, земельный участок 1/11 (зоны 3.1, 3.2) район Гольяново, Амурская ул., вл. 1, зона № 3.1, 3.2 (улица Амурская, з/у 1/11)</v>
      </c>
      <c r="C146" s="13" t="str">
        <f>VLOOKUP($A146,'Реестр объектов'!$A:$I,6,0)</f>
        <v>55.808457</v>
      </c>
      <c r="D146" s="13" t="str">
        <f>VLOOKUP($A146,'Реестр объектов'!$A:$I,7,0)</f>
        <v>37.753995</v>
      </c>
      <c r="E146" s="14" t="s">
        <v>45</v>
      </c>
      <c r="F146" s="15" t="s">
        <v>46</v>
      </c>
      <c r="G146" s="16"/>
      <c r="H146" s="16"/>
      <c r="I146" s="17"/>
      <c r="J146" s="18" t="str">
        <f>VLOOKUP($A146,'Реестр объектов'!$A:$I,8,0)</f>
        <v>https://docs.google.com/spreadsheets/d/1rbCD10ySi4YZEkJW2_Slmn9z7AI1WEsGsZaIJmnnT18/edit?gid=798053940#gid=798053940</v>
      </c>
      <c r="K146" s="19" t="str">
        <f>VLOOKUP($A146,'Реестр объектов'!$A:$I,9,0)</f>
        <v>https://disk.yandex.ru/client/disk/Осмотры%20объектов%20АНО%20СМГ/598.%20ВАО%2C%20Амурская%20ул%20вл.1%20зона%20N%203.1%2C3.2%20(з_у%201_11)</v>
      </c>
      <c r="L146" s="6"/>
      <c r="M146" s="6"/>
      <c r="N146" s="16"/>
      <c r="O146" s="6"/>
      <c r="P146" s="16"/>
      <c r="Q146" s="6"/>
      <c r="R146" s="6"/>
      <c r="S146" s="6"/>
    </row>
    <row r="147">
      <c r="A147" s="12" t="s">
        <v>81</v>
      </c>
      <c r="B147" s="13" t="str">
        <f>VLOOKUP($A147,'Реестр объектов'!$A:$I,5,0)</f>
        <v>улица Юных Ленинцев, земельный участок 103 (участок 12.4) улица Юных Ленинцев, земельный участок 103 (участок 12.4)</v>
      </c>
      <c r="C147" s="13" t="str">
        <f>VLOOKUP($A147,'Реестр объектов'!$A:$I,6,0)</f>
        <v>55.699947</v>
      </c>
      <c r="D147" s="13" t="str">
        <f>VLOOKUP($A147,'Реестр объектов'!$A:$I,7,0)</f>
        <v>37.781703</v>
      </c>
      <c r="E147" s="14" t="s">
        <v>41</v>
      </c>
      <c r="F147" s="15" t="s">
        <v>46</v>
      </c>
      <c r="G147" s="16"/>
      <c r="H147" s="16"/>
      <c r="I147" s="17"/>
      <c r="J147" s="18" t="str">
        <f>VLOOKUP($A147,'Реестр объектов'!$A:$I,8,0)</f>
        <v>https://docs.google.com/spreadsheets/d/1rbCD10ySi4YZEkJW2_Slmn9z7AI1WEsGsZaIJmnnT18/edit?gid=256251800#gid=256251800</v>
      </c>
      <c r="K147" s="19" t="str">
        <f>VLOOKUP($A147,'Реестр объектов'!$A:$I,9,0)</f>
        <v>https://disk.yandex.ru/client/disk/Осмотры%20объектов%20АНО%20СМГ/829.%20Ул.%20Юных%20Ленинцев%2C%20з-у%20103%20(уч.%2012.4).%20Жилой%20дом</v>
      </c>
      <c r="L147" s="6"/>
      <c r="M147" s="6"/>
      <c r="N147" s="16"/>
      <c r="O147" s="6"/>
      <c r="P147" s="16"/>
      <c r="Q147" s="6"/>
      <c r="R147" s="6"/>
      <c r="S147" s="6"/>
    </row>
    <row r="148">
      <c r="A148" s="12" t="s">
        <v>563</v>
      </c>
      <c r="B148" s="13" t="str">
        <f>VLOOKUP($A148,'Реестр объектов'!$A:$I,5,0)</f>
        <v>улица Юных Ленинцев, земельный участок 111 (участок 12.8) улица Юных Ленинцев, земельный участок 111 (участок 12.8)</v>
      </c>
      <c r="C148" s="13" t="str">
        <f>VLOOKUP($A148,'Реестр объектов'!$A:$I,6,0)</f>
        <v>55.699444</v>
      </c>
      <c r="D148" s="13" t="str">
        <f>VLOOKUP($A148,'Реестр объектов'!$A:$I,7,0)</f>
        <v>37.785650</v>
      </c>
      <c r="E148" s="14" t="s">
        <v>41</v>
      </c>
      <c r="F148" s="15" t="s">
        <v>46</v>
      </c>
      <c r="G148" s="20">
        <v>45974.60655755787</v>
      </c>
      <c r="H148" s="20">
        <v>45974.70465997685</v>
      </c>
      <c r="I148" s="2" t="s">
        <v>434</v>
      </c>
      <c r="J148" s="18" t="str">
        <f>VLOOKUP($A148,'Реестр объектов'!$A:$I,8,0)</f>
        <v>https://docs.google.com/spreadsheets/d/1rbCD10ySi4YZEkJW2_Slmn9z7AI1WEsGsZaIJmnnT18/edit?gid=580229704#gid=580229704</v>
      </c>
      <c r="K148" s="19" t="str">
        <f>VLOOKUP($A148,'Реестр объектов'!$A:$I,9,0)</f>
        <v>https://disk.yandex.ru/client/disk/Осмотры%20объектов%20АНО%20СМГ/830.%20улица%20Юных%20Ленинцев%2C%20зу%20111</v>
      </c>
      <c r="L148" s="6"/>
      <c r="M148" s="6"/>
      <c r="N148" s="16"/>
      <c r="O148" s="6"/>
      <c r="P148" s="16"/>
      <c r="Q148" s="6"/>
      <c r="R148" s="6"/>
      <c r="S148" s="6"/>
    </row>
    <row r="149">
      <c r="A149" s="12" t="s">
        <v>564</v>
      </c>
      <c r="B149" s="13" t="str">
        <f>VLOOKUP($A149,'Реестр объектов'!$A:$I,5,0)</f>
        <v>улица Юных Ленинцев, земельный участок 113 (зоны 12.9, 12.12) ЮВАО	улица Юных Ленинцев, земельный участок 113 (зоны 12.9, 12.12)</v>
      </c>
      <c r="C149" s="13" t="str">
        <f>VLOOKUP($A149,'Реестр объектов'!$A:$I,6,0)</f>
        <v>55.699232</v>
      </c>
      <c r="D149" s="13" t="str">
        <f>VLOOKUP($A149,'Реестр объектов'!$A:$I,7,0)</f>
        <v>37.786713</v>
      </c>
      <c r="E149" s="14" t="s">
        <v>41</v>
      </c>
      <c r="F149" s="15" t="s">
        <v>46</v>
      </c>
      <c r="G149" s="20">
        <v>45974.70503706019</v>
      </c>
      <c r="H149" s="20">
        <v>45974.74229318287</v>
      </c>
      <c r="I149" s="2" t="s">
        <v>565</v>
      </c>
      <c r="J149" s="18" t="str">
        <f>VLOOKUP($A149,'Реестр объектов'!$A:$I,8,0)</f>
        <v>https://docs.google.com/spreadsheets/d/1rbCD10ySi4YZEkJW2_Slmn9z7AI1WEsGsZaIJmnnT18/edit?gid=372457040#gid=372457040</v>
      </c>
      <c r="K149" s="19" t="str">
        <f>VLOOKUP($A149,'Реестр объектов'!$A:$I,9,0)</f>
        <v>https://disk.yandex.ru/client/disk/Осмотры%20объектов%20АНО%20СМГ/831.%20улица%20Юных%20Ленинцев%2C%20зу%20113</v>
      </c>
      <c r="L149" s="6"/>
      <c r="M149" s="6"/>
      <c r="N149" s="16"/>
      <c r="O149" s="6"/>
      <c r="P149" s="16"/>
      <c r="Q149" s="6"/>
      <c r="R149" s="6"/>
      <c r="S149" s="6"/>
    </row>
    <row r="150">
      <c r="A150" s="12" t="s">
        <v>83</v>
      </c>
      <c r="B150" s="13" t="str">
        <f>VLOOKUP($A150,'Реестр объектов'!$A:$I,5,0)</f>
        <v>шоссе Волоколамское, земельный участок 106 СЗАО	 шоссе Волоколамское, земельный участок 106</v>
      </c>
      <c r="C150" s="13" t="str">
        <f>VLOOKUP($A150,'Реестр объектов'!$A:$I,6,0)</f>
        <v>55.826736</v>
      </c>
      <c r="D150" s="13" t="str">
        <f>VLOOKUP($A150,'Реестр объектов'!$A:$I,7,0)</f>
        <v>37.428314</v>
      </c>
      <c r="E150" s="14" t="s">
        <v>45</v>
      </c>
      <c r="F150" s="15" t="s">
        <v>46</v>
      </c>
      <c r="G150" s="16"/>
      <c r="H150" s="16"/>
      <c r="I150" s="17"/>
      <c r="J150" s="18" t="str">
        <f>VLOOKUP($A150,'Реестр объектов'!$A:$I,8,0)</f>
        <v>https://docs.google.com/spreadsheets/d/1rbCD10ySi4YZEkJW2_Slmn9z7AI1WEsGsZaIJmnnT18/edit?gid=1402094174#gid=1402094174</v>
      </c>
      <c r="K150" s="19" t="str">
        <f>VLOOKUP($A150,'Реестр объектов'!$A:$I,9,0)</f>
        <v>https://disk.yandex.ru/client/disk/Осмотры%20объектов%20АНО%20СМГ/832.%20Волоколамское%20шоссе%2C%20зу%20106</v>
      </c>
      <c r="L150" s="6"/>
      <c r="M150" s="6"/>
      <c r="N150" s="16"/>
      <c r="O150" s="6"/>
      <c r="P150" s="16"/>
      <c r="Q150" s="6"/>
      <c r="R150" s="6"/>
      <c r="S150" s="6"/>
    </row>
    <row r="151">
      <c r="A151" s="12" t="s">
        <v>566</v>
      </c>
      <c r="B151" s="13" t="str">
        <f>VLOOKUP($A151,'Реестр объектов'!$A:$I,5,0)</f>
        <v>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v>
      </c>
      <c r="C151" s="13" t="str">
        <f>VLOOKUP($A151,'Реестр объектов'!$A:$I,6,0)</f>
        <v>55.648386</v>
      </c>
      <c r="D151" s="13" t="str">
        <f>VLOOKUP($A151,'Реестр объектов'!$A:$I,7,0)</f>
        <v>37.576613</v>
      </c>
      <c r="E151" s="14" t="s">
        <v>31</v>
      </c>
      <c r="F151" s="15" t="s">
        <v>46</v>
      </c>
      <c r="G151" s="20">
        <v>45974.664309189815</v>
      </c>
      <c r="H151" s="20">
        <v>45974.74813577546</v>
      </c>
      <c r="I151" s="2" t="s">
        <v>567</v>
      </c>
      <c r="J151" s="18" t="str">
        <f>VLOOKUP($A151,'Реестр объектов'!$A:$I,8,0)</f>
        <v>https://docs.google.com/spreadsheets/d/1rbCD10ySi4YZEkJW2_Slmn9z7AI1WEsGsZaIJmnnT18/edit?gid=1656095741#gid=1656095741</v>
      </c>
      <c r="K151" s="19" t="str">
        <f>VLOOKUP($A151,'Реестр объектов'!$A:$I,9,0)</f>
        <v>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20д.%2030)</v>
      </c>
      <c r="L151" s="6"/>
      <c r="M151" s="6"/>
      <c r="N151" s="16"/>
      <c r="O151" s="6"/>
      <c r="P151" s="16"/>
      <c r="Q151" s="6"/>
      <c r="R151" s="6"/>
      <c r="S151" s="6"/>
    </row>
    <row r="152">
      <c r="A152" s="12" t="s">
        <v>568</v>
      </c>
      <c r="B152" s="13" t="str">
        <f>VLOOKUP($A152,'Реестр объектов'!$A:$I,5,0)</f>
        <v>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 6, корп. 1, стр. 1)</v>
      </c>
      <c r="C152" s="13" t="str">
        <f>VLOOKUP($A152,'Реестр объектов'!$A:$I,6,0)</f>
        <v>55.663206</v>
      </c>
      <c r="D152" s="13" t="str">
        <f>VLOOKUP($A152,'Реестр объектов'!$A:$I,7,0)</f>
        <v>37.599810</v>
      </c>
      <c r="E152" s="14" t="s">
        <v>31</v>
      </c>
      <c r="F152" s="15" t="s">
        <v>46</v>
      </c>
      <c r="G152" s="20">
        <v>45974.61463457176</v>
      </c>
      <c r="H152" s="20">
        <v>45974.65544082176</v>
      </c>
      <c r="I152" s="2" t="s">
        <v>569</v>
      </c>
      <c r="J152" s="18" t="str">
        <f>VLOOKUP($A152,'Реестр объектов'!$A:$I,8,0)</f>
        <v>https://docs.google.com/spreadsheets/d/1rbCD10ySi4YZEkJW2_Slmn9z7AI1WEsGsZaIJmnnT18/edit?gid=1203948268#gid=1203948268</v>
      </c>
      <c r="K152" s="19" t="str">
        <f>VLOOKUP($A152,'Реестр объектов'!$A:$I,9,0)</f>
        <v>https://disk.yandex.ru/client/disk/Осмотры%20объектов%20АНО%20СМГ/706.%20район%20Зюзино%2C%20кв.%2014%2C%20зона%201.3</v>
      </c>
      <c r="L152" s="6"/>
      <c r="M152" s="6"/>
      <c r="N152" s="16"/>
      <c r="O152" s="6"/>
      <c r="P152" s="16"/>
      <c r="Q152" s="6"/>
      <c r="R152" s="6"/>
      <c r="S152" s="6"/>
    </row>
    <row r="153">
      <c r="A153" s="12" t="s">
        <v>570</v>
      </c>
      <c r="B153" s="13" t="str">
        <f>VLOOKUP($A153,'Реестр объектов'!$A:$I,5,0)</f>
        <v>Волгоградский проспект, земельный участок 140/2 ЮВАО        Волгоградский проспект, земельный участок 140/2</v>
      </c>
      <c r="C153" s="13" t="str">
        <f>VLOOKUP($A153,'Реестр объектов'!$A:$I,6,0)</f>
        <v>55.701120</v>
      </c>
      <c r="D153" s="13" t="str">
        <f>VLOOKUP($A153,'Реестр объектов'!$A:$I,7,0)</f>
        <v>37.786941</v>
      </c>
      <c r="E153" s="14" t="s">
        <v>41</v>
      </c>
      <c r="F153" s="15" t="s">
        <v>46</v>
      </c>
      <c r="G153" s="20">
        <v>45974.55841189815</v>
      </c>
      <c r="H153" s="20">
        <v>45974.59573887731</v>
      </c>
      <c r="I153" s="2" t="s">
        <v>565</v>
      </c>
      <c r="J153" s="18" t="str">
        <f>VLOOKUP($A153,'Реестр объектов'!$A:$I,8,0)</f>
        <v>https://docs.google.com/spreadsheets/d/1rbCD10ySi4YZEkJW2_Slmn9z7AI1WEsGsZaIJmnnT18/edit?gid=415706414#gid=415706414</v>
      </c>
      <c r="K153" s="19" t="str">
        <f>VLOOKUP($A153,'Реестр объектов'!$A:$I,9,0)</f>
        <v>https://disk.yandex.ru/client/disk/Осмотры%20объектов%20АНО%20СМГ/838.%20Волгоградский%20пр-т%2C%20з-у%20140-2.%20Жилой%20дом</v>
      </c>
      <c r="L153" s="6"/>
      <c r="M153" s="6"/>
      <c r="N153" s="16"/>
      <c r="O153" s="6"/>
      <c r="P153" s="16"/>
      <c r="Q153" s="6"/>
      <c r="R153" s="6"/>
      <c r="S153" s="6"/>
    </row>
    <row r="154">
      <c r="A154" s="12" t="s">
        <v>571</v>
      </c>
      <c r="B154" s="13" t="str">
        <f>VLOOKUP($A154,'Реестр объектов'!$A:$I,5,0)</f>
        <v>Волгоградский проспект, земельный участок 138/14/4 ЮВАО	Волгоградский проспект, земельный участок 138/14/4</v>
      </c>
      <c r="C154" s="13" t="str">
        <f>VLOOKUP($A154,'Реестр объектов'!$A:$I,6,0)</f>
        <v>55.701894</v>
      </c>
      <c r="D154" s="13" t="str">
        <f>VLOOKUP($A154,'Реестр объектов'!$A:$I,7,0)</f>
        <v>37.786266</v>
      </c>
      <c r="E154" s="14" t="s">
        <v>41</v>
      </c>
      <c r="F154" s="15" t="s">
        <v>46</v>
      </c>
      <c r="G154" s="20">
        <v>45974.48171760417</v>
      </c>
      <c r="H154" s="20">
        <v>45974.53432539351</v>
      </c>
      <c r="I154" s="2" t="s">
        <v>123</v>
      </c>
      <c r="J154" s="18" t="str">
        <f>VLOOKUP($A154,'Реестр объектов'!$A:$I,8,0)</f>
        <v>https://docs.google.com/spreadsheets/d/1rbCD10ySi4YZEkJW2_Slmn9z7AI1WEsGsZaIJmnnT18/edit?gid=113121864#gid=113121864</v>
      </c>
      <c r="K154" s="19" t="str">
        <f>VLOOKUP($A154,'Реестр объектов'!$A:$I,9,0)</f>
        <v>https://disk.yandex.ru/client/disk/Осмотры%20объектов%20АНО%20СМГ/849.%20Волгоградский%20пр-т%2C%20з-у%20138-14-4.%20Жилой%20дом</v>
      </c>
      <c r="L154" s="6"/>
      <c r="M154" s="6"/>
      <c r="N154" s="16"/>
      <c r="O154" s="6"/>
      <c r="P154" s="16"/>
      <c r="Q154" s="6"/>
      <c r="R154" s="6"/>
      <c r="S154" s="6"/>
    </row>
    <row r="155">
      <c r="A155" s="12" t="s">
        <v>572</v>
      </c>
      <c r="B155" s="13" t="str">
        <f>VLOOKUP($A155,'Реестр объектов'!$A:$I,5,0)</f>
        <v>проспект 40 лет Октября, земельный участок 18/13 (участки 7.1 и 7.2) ЮВАО, район Люблино, проспект 40 лет Октября, з/у 18/13 (участки 7.1 и 7.2)</v>
      </c>
      <c r="C155" s="13" t="str">
        <f>VLOOKUP($A155,'Реестр объектов'!$A:$I,6,0)</f>
        <v>55.677859</v>
      </c>
      <c r="D155" s="13" t="str">
        <f>VLOOKUP($A155,'Реестр объектов'!$A:$I,7,0)</f>
        <v>37.744810</v>
      </c>
      <c r="E155" s="14" t="s">
        <v>25</v>
      </c>
      <c r="F155" s="15" t="s">
        <v>46</v>
      </c>
      <c r="G155" s="20">
        <v>45974.59060646991</v>
      </c>
      <c r="H155" s="20">
        <v>45974.652480115736</v>
      </c>
      <c r="I155" s="2" t="s">
        <v>573</v>
      </c>
      <c r="J155" s="18" t="str">
        <f>VLOOKUP($A155,'Реестр объектов'!$A:$I,8,0)</f>
        <v>https://docs.google.com/spreadsheets/d/1rbCD10ySi4YZEkJW2_Slmn9z7AI1WEsGsZaIJmnnT18/edit?gid=282401999#gid=282401999</v>
      </c>
      <c r="K155" s="19" t="str">
        <f>VLOOKUP($A155,'Реестр объектов'!$A:$I,9,0)</f>
        <v>https://disk.yandex.ru/client/disk/Осмотры%20объектов%20АНО%20СМГ/860.%20Пр-т%2040%20лет%20Октября%2C%20з!у%2018!13%20(уч.%207.1%20и%207.2)</v>
      </c>
      <c r="L155" s="6"/>
      <c r="M155" s="6"/>
      <c r="N155" s="16"/>
      <c r="O155" s="6"/>
      <c r="P155" s="16"/>
      <c r="Q155" s="6"/>
      <c r="R155" s="6"/>
      <c r="S155" s="6"/>
    </row>
    <row r="156">
      <c r="A156" s="12" t="s">
        <v>84</v>
      </c>
      <c r="B156" s="13" t="str">
        <f>VLOOKUP($A156,'Реестр объектов'!$A:$I,5,0)</f>
        <v>Даниловская набережная, земельный участок 8 (вл. 8) ЮАО, район Даниловский, Даниловская набережная, земельный участок 8 (Даниловская наб., вл. 8) 	</v>
      </c>
      <c r="C156" s="13" t="str">
        <f>VLOOKUP($A156,'Реестр объектов'!$A:$I,6,0)</f>
        <v>55.709430</v>
      </c>
      <c r="D156" s="13" t="str">
        <f>VLOOKUP($A156,'Реестр объектов'!$A:$I,7,0)</f>
        <v>37.636083</v>
      </c>
      <c r="E156" s="14" t="s">
        <v>45</v>
      </c>
      <c r="F156" s="15" t="s">
        <v>46</v>
      </c>
      <c r="G156" s="16"/>
      <c r="H156" s="16"/>
      <c r="I156" s="17"/>
      <c r="J156" s="18" t="str">
        <f>VLOOKUP($A156,'Реестр объектов'!$A:$I,8,0)</f>
        <v>https://docs.google.com/spreadsheets/d/1rbCD10ySi4YZEkJW2_Slmn9z7AI1WEsGsZaIJmnnT18/edit?gid=756416994#gid=756416994</v>
      </c>
      <c r="K156" s="19" t="str">
        <f>VLOOKUP($A156,'Реестр объектов'!$A:$I,9,0)</f>
        <v>https://disk.yandex.ru/client/disk/Осмотры%20объектов%20АНО%20СМГ/717.%20Даниловская%20набережная%2C%20вл.%208</v>
      </c>
      <c r="L156" s="6"/>
      <c r="M156" s="6"/>
      <c r="N156" s="16"/>
      <c r="O156" s="6"/>
      <c r="P156" s="16"/>
      <c r="Q156" s="6"/>
      <c r="R156" s="6"/>
      <c r="S156" s="6"/>
    </row>
    <row r="157">
      <c r="A157" s="12" t="s">
        <v>85</v>
      </c>
      <c r="B157" s="13" t="str">
        <f>VLOOKUP($A157,'Реестр объектов'!$A:$I,5,0)</f>
        <v>улица Леснорядская, земельный участок 7 ЦАО, район Красносельский, Леснорядская ул., вл. 7, 2-я Леснорядская ул., д. 10-12, стр. 1</v>
      </c>
      <c r="C157" s="13" t="str">
        <f>VLOOKUP($A157,'Реестр объектов'!$A:$I,6,0)</f>
        <v>55.782122</v>
      </c>
      <c r="D157" s="13" t="str">
        <f>VLOOKUP($A157,'Реестр объектов'!$A:$I,7,0)</f>
        <v>37.676403</v>
      </c>
      <c r="E157" s="14" t="s">
        <v>45</v>
      </c>
      <c r="F157" s="15" t="s">
        <v>46</v>
      </c>
      <c r="G157" s="16"/>
      <c r="H157" s="16"/>
      <c r="I157" s="17"/>
      <c r="J157" s="18" t="str">
        <f>VLOOKUP($A157,'Реестр объектов'!$A:$I,8,0)</f>
        <v>https://docs.google.com/spreadsheets/d/1rbCD10ySi4YZEkJW2_Slmn9z7AI1WEsGsZaIJmnnT18/edit?gid=2030780082#gid=2030780082</v>
      </c>
      <c r="K157" s="19" t="str">
        <f>VLOOKUP($A157,'Реестр объектов'!$A:$I,9,0)</f>
        <v>https://disk.yandex.ru/client/disk/Осмотры%20объектов%20АНО%20СМГ/1156.%20Леснорядская%20улица%20земельный%20участок%207</v>
      </c>
      <c r="L157" s="6"/>
      <c r="M157" s="6"/>
      <c r="N157" s="16"/>
      <c r="O157" s="6"/>
      <c r="P157" s="16"/>
      <c r="Q157" s="6"/>
      <c r="R157" s="6"/>
      <c r="S157" s="6"/>
    </row>
    <row r="158">
      <c r="A158" s="12" t="s">
        <v>574</v>
      </c>
      <c r="B158" s="13" t="str">
        <f>VLOOKUP($A158,'Реестр объектов'!$A:$I,5,0)</f>
        <v>Свободный пр-т, вл. 12 район Новогиреево, Свободный пр-т, вл. 12</v>
      </c>
      <c r="C158" s="13" t="str">
        <f>VLOOKUP($A158,'Реестр объектов'!$A:$I,6,0)</f>
        <v>55.755177</v>
      </c>
      <c r="D158" s="13" t="str">
        <f>VLOOKUP($A158,'Реестр объектов'!$A:$I,7,0)</f>
        <v>37.817813</v>
      </c>
      <c r="E158" s="14" t="s">
        <v>23</v>
      </c>
      <c r="F158" s="15" t="s">
        <v>46</v>
      </c>
      <c r="G158" s="20">
        <v>45974.67291841435</v>
      </c>
      <c r="H158" s="20">
        <v>45974.749362291666</v>
      </c>
      <c r="I158" s="2" t="s">
        <v>522</v>
      </c>
      <c r="J158" s="18" t="str">
        <f>VLOOKUP($A158,'Реестр объектов'!$A:$I,8,0)</f>
        <v>https://docs.google.com/spreadsheets/d/1rbCD10ySi4YZEkJW2_Slmn9z7AI1WEsGsZaIJmnnT18/edit?gid=39049871#gid=39049871</v>
      </c>
      <c r="K158" s="19" t="str">
        <f>VLOOKUP($A158,'Реестр объектов'!$A:$I,9,0)</f>
        <v>https://disk.yandex.ru/client/disk/Осмотры%20объектов%20АНО%20СМГ/760.%20Свободный%20проспект%20вл%2012</v>
      </c>
      <c r="L158" s="6"/>
      <c r="M158" s="6"/>
      <c r="N158" s="16"/>
      <c r="O158" s="6"/>
      <c r="P158" s="16"/>
      <c r="Q158" s="6"/>
      <c r="R158" s="6"/>
      <c r="S158" s="6"/>
    </row>
    <row r="159">
      <c r="A159" s="12" t="s">
        <v>86</v>
      </c>
      <c r="B159" s="13" t="str">
        <f>VLOOKUP($A159,'Реестр объектов'!$A:$I,5,0)</f>
        <v>Новохорошёвский пр-д, влд. 6/1 (вл. 6) СЗАО	Новохорошёвский пр-д, влд. 6/1 (вл. 6)</v>
      </c>
      <c r="C159" s="13" t="str">
        <f>VLOOKUP($A159,'Реестр объектов'!$A:$I,6,0)</f>
        <v>55.778451</v>
      </c>
      <c r="D159" s="13" t="str">
        <f>VLOOKUP($A159,'Реестр объектов'!$A:$I,7,0)</f>
        <v>37.498935</v>
      </c>
      <c r="E159" s="14" t="s">
        <v>45</v>
      </c>
      <c r="F159" s="15" t="s">
        <v>46</v>
      </c>
      <c r="G159" s="16"/>
      <c r="H159" s="16"/>
      <c r="I159" s="17"/>
      <c r="J159" s="18" t="str">
        <f>VLOOKUP($A159,'Реестр объектов'!$A:$I,8,0)</f>
        <v>https://docs.google.com/spreadsheets/d/1rbCD10ySi4YZEkJW2_Slmn9z7AI1WEsGsZaIJmnnT18/edit?gid=808253211#gid=808253211</v>
      </c>
      <c r="K159" s="19" t="str">
        <f>VLOOKUP($A159,'Реестр объектов'!$A:$I,9,0)</f>
        <v>https://disk.yandex.ru/client/disk/Осмотры%20объектов%20АНО%20СМГ/622.%20Новохорошевский%20пр-д.%2C%20вл.%206.1</v>
      </c>
      <c r="L159" s="6"/>
      <c r="M159" s="6"/>
      <c r="N159" s="16"/>
      <c r="O159" s="6"/>
      <c r="P159" s="16"/>
      <c r="Q159" s="6"/>
      <c r="R159" s="6"/>
      <c r="S159" s="6"/>
    </row>
    <row r="160">
      <c r="A160" s="12" t="s">
        <v>87</v>
      </c>
      <c r="B160" s="13" t="str">
        <f>VLOOKUP($A160,'Реестр объектов'!$A:$I,5,0)</f>
        <v>Новохорошёвский пр-д, влд. 24/3/1 (вл. 24, к. 3) СЗАО, район Хорошево-Мневники, Новохорошевский проезд, вл. 24/3/1</v>
      </c>
      <c r="C160" s="13" t="str">
        <f>VLOOKUP($A160,'Реестр объектов'!$A:$I,6,0)</f>
        <v>55.779797</v>
      </c>
      <c r="D160" s="13" t="str">
        <f>VLOOKUP($A160,'Реестр объектов'!$A:$I,7,0)</f>
        <v>37.492350</v>
      </c>
      <c r="E160" s="14" t="s">
        <v>45</v>
      </c>
      <c r="F160" s="15" t="s">
        <v>46</v>
      </c>
      <c r="G160" s="16"/>
      <c r="H160" s="16"/>
      <c r="I160" s="17"/>
      <c r="J160" s="18" t="str">
        <f>VLOOKUP($A160,'Реестр объектов'!$A:$I,8,0)</f>
        <v>https://docs.google.com/spreadsheets/d/1rbCD10ySi4YZEkJW2_Slmn9z7AI1WEsGsZaIJmnnT18/edit?gid=326389439#gid=326389439</v>
      </c>
      <c r="K160" s="19" t="str">
        <f>VLOOKUP($A160,'Реестр объектов'!$A:$I,9,0)</f>
        <v>https://disk.yandex.ru/client/disk/Осмотры%20объектов%20АНО%20СМГ/634.%20Новохорошевский%20пр-д.%2C%20вл.%2024.3.1</v>
      </c>
      <c r="L160" s="6"/>
      <c r="M160" s="6"/>
      <c r="N160" s="16"/>
      <c r="O160" s="6"/>
      <c r="P160" s="16"/>
      <c r="Q160" s="6"/>
      <c r="R160" s="6"/>
      <c r="S160" s="6"/>
    </row>
    <row r="161">
      <c r="A161" s="12" t="s">
        <v>88</v>
      </c>
      <c r="B161" s="13" t="str">
        <f>VLOOKUP($A161,'Реестр объектов'!$A:$I,5,0)</f>
        <v>Жилой дом с инженерными сетями и благоустройством территории, САО, район Коптево, Генерала Рычагова ул., вл. 14 САО, район Коптево, Генерала Рычагова ул., вл. 14</v>
      </c>
      <c r="C161" s="13" t="str">
        <f>VLOOKUP($A161,'Реестр объектов'!$A:$I,6,0)</f>
        <v>55.840465</v>
      </c>
      <c r="D161" s="13" t="str">
        <f>VLOOKUP($A161,'Реестр объектов'!$A:$I,7,0)</f>
        <v>37.536380</v>
      </c>
      <c r="E161" s="14" t="s">
        <v>45</v>
      </c>
      <c r="F161" s="15" t="s">
        <v>46</v>
      </c>
      <c r="G161" s="16"/>
      <c r="H161" s="16"/>
      <c r="I161" s="17"/>
      <c r="J161" s="18" t="str">
        <f>VLOOKUP($A161,'Реестр объектов'!$A:$I,8,0)</f>
        <v>https://docs.google.com/spreadsheets/d/1rbCD10ySi4YZEkJW2_Slmn9z7AI1WEsGsZaIJmnnT18/edit?gid=1726616701#gid=1726616701</v>
      </c>
      <c r="K161" s="19" t="str">
        <f>VLOOKUP($A161,'Реестр объектов'!$A:$I,9,0)</f>
        <v>https://disk.yandex.ru/client/disk/Осмотры%20объектов%20АНО%20СМГ/621.%20Район%20Коптево%2C%20Генерала%20Рычагова%20ул.%2C%20вл.14</v>
      </c>
      <c r="L161" s="6"/>
      <c r="M161" s="6"/>
      <c r="N161" s="16"/>
      <c r="O161" s="6"/>
      <c r="P161" s="16"/>
      <c r="Q161" s="6"/>
      <c r="R161" s="6"/>
      <c r="S161" s="6"/>
    </row>
    <row r="162">
      <c r="A162" s="12" t="s">
        <v>575</v>
      </c>
      <c r="B162" s="13" t="str">
        <f>VLOOKUP($A162,'Реестр объектов'!$A:$I,5,0)</f>
        <v>Бакинская ул., вл. 31 г. Москва, ЮАО, район Царицыно, Бакинская ул., вл. 31</v>
      </c>
      <c r="C162" s="13" t="str">
        <f>VLOOKUP($A162,'Реестр объектов'!$A:$I,6,0)</f>
        <v>55.617219</v>
      </c>
      <c r="D162" s="13" t="str">
        <f>VLOOKUP($A162,'Реестр объектов'!$A:$I,7,0)</f>
        <v>37.661780</v>
      </c>
      <c r="E162" s="14" t="s">
        <v>27</v>
      </c>
      <c r="F162" s="15" t="s">
        <v>46</v>
      </c>
      <c r="G162" s="20">
        <v>45974.63455908565</v>
      </c>
      <c r="H162" s="20">
        <v>45974.752067407404</v>
      </c>
      <c r="I162" s="2" t="s">
        <v>576</v>
      </c>
      <c r="J162" s="18" t="str">
        <f>VLOOKUP($A162,'Реестр объектов'!$A:$I,8,0)</f>
        <v>https://docs.google.com/spreadsheets/d/1rbCD10ySi4YZEkJW2_Slmn9z7AI1WEsGsZaIJmnnT18/edit?gid=3373357#gid=3373357</v>
      </c>
      <c r="K162" s="19" t="str">
        <f>VLOOKUP($A162,'Реестр объектов'!$A:$I,9,0)</f>
        <v>https://disk.yandex.ru/client/disk/Осмотры%20объектов%20АНО%20СМГ/774.%20Бакинская%2031</v>
      </c>
      <c r="L162" s="6"/>
      <c r="M162" s="6"/>
      <c r="N162" s="16"/>
      <c r="O162" s="6"/>
      <c r="P162" s="16"/>
      <c r="Q162" s="6"/>
      <c r="R162" s="6"/>
      <c r="S162" s="6"/>
    </row>
    <row r="163">
      <c r="A163" s="12" t="s">
        <v>89</v>
      </c>
      <c r="B163" s="13" t="str">
        <f>VLOOKUP($A163,'Реестр объектов'!$A:$I,5,0)</f>
        <v>ул. Давыдковская, вл.16 ЗАО, район Фили-Давыдково, Давыдковская ул., вл. 16 (рефинансирование)</v>
      </c>
      <c r="C163" s="13" t="str">
        <f>VLOOKUP($A163,'Реестр объектов'!$A:$I,6,0)</f>
        <v>55.719924</v>
      </c>
      <c r="D163" s="13" t="str">
        <f>VLOOKUP($A163,'Реестр объектов'!$A:$I,7,0)</f>
        <v>37.466579</v>
      </c>
      <c r="E163" s="14" t="s">
        <v>45</v>
      </c>
      <c r="F163" s="15" t="s">
        <v>46</v>
      </c>
      <c r="G163" s="16"/>
      <c r="H163" s="16"/>
      <c r="I163" s="17"/>
      <c r="J163" s="18" t="str">
        <f>VLOOKUP($A163,'Реестр объектов'!$A:$I,8,0)</f>
        <v>https://docs.google.com/spreadsheets/d/1rbCD10ySi4YZEkJW2_Slmn9z7AI1WEsGsZaIJmnnT18/edit?gid=676192549#gid=676192549</v>
      </c>
      <c r="K163" s="19" t="str">
        <f>VLOOKUP($A163,'Реестр объектов'!$A:$I,9,0)</f>
        <v>https://disk.yandex.ru/client/disk/Осмотры%20объектов%20АНО%20СМГ/647.%20Жилой%20дом%20ул.%20Давыдковская%20вл16</v>
      </c>
      <c r="L163" s="6"/>
      <c r="M163" s="6"/>
      <c r="N163" s="16"/>
      <c r="O163" s="6"/>
      <c r="P163" s="16"/>
      <c r="Q163" s="6"/>
      <c r="R163" s="6"/>
      <c r="S163" s="6"/>
    </row>
    <row r="164">
      <c r="A164" s="12" t="s">
        <v>90</v>
      </c>
      <c r="B164" s="13" t="str">
        <f>VLOOKUP($A164,'Реестр объектов'!$A:$I,5,0)</f>
        <v>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v>
      </c>
      <c r="C164" s="13" t="str">
        <f>VLOOKUP($A164,'Реестр объектов'!$A:$I,6,0)</f>
        <v>55.677745</v>
      </c>
      <c r="D164" s="13" t="str">
        <f>VLOOKUP($A164,'Реестр объектов'!$A:$I,7,0)</f>
        <v>37.592998</v>
      </c>
      <c r="E164" s="14" t="s">
        <v>45</v>
      </c>
      <c r="F164" s="15" t="s">
        <v>46</v>
      </c>
      <c r="G164" s="16"/>
      <c r="H164" s="16"/>
      <c r="I164" s="17"/>
      <c r="J164" s="18" t="str">
        <f>VLOOKUP($A164,'Реестр объектов'!$A:$I,8,0)</f>
        <v>https://docs.google.com/spreadsheets/d/1rbCD10ySi4YZEkJW2_Slmn9z7AI1WEsGsZaIJmnnT18/edit?gid=2138822298#gid=2138822298</v>
      </c>
      <c r="K164" s="19" t="str">
        <f>VLOOKUP($A164,'Реестр объектов'!$A:$I,9,0)</f>
        <v>https://disk.yandex.ru/client/disk/Осмотры%20объектов%20АНО%20СМГ/573.%20Б.Черемушкинская%2025Б%20Жилой%20дом</v>
      </c>
      <c r="L164" s="6"/>
      <c r="M164" s="6"/>
      <c r="N164" s="16"/>
      <c r="O164" s="6"/>
      <c r="P164" s="16"/>
      <c r="Q164" s="6"/>
      <c r="R164" s="6"/>
      <c r="S164" s="6"/>
    </row>
    <row r="165">
      <c r="A165" s="12" t="s">
        <v>91</v>
      </c>
      <c r="B165" s="13" t="str">
        <f>VLOOKUP($A165,'Реестр объектов'!$A:$I,5,0)</f>
        <v>ул. Подвойского, з/у 12/15 (зона 1.1) ЦАО, район Пресненский,кв. 804, 798 зона 1.1 Подвойского ул., вл. 12/15</v>
      </c>
      <c r="C165" s="13" t="str">
        <f>VLOOKUP($A165,'Реестр объектов'!$A:$I,6,0)</f>
        <v>55.761833</v>
      </c>
      <c r="D165" s="13" t="str">
        <f>VLOOKUP($A165,'Реестр объектов'!$A:$I,7,0)</f>
        <v>37.537364</v>
      </c>
      <c r="E165" s="14" t="s">
        <v>45</v>
      </c>
      <c r="F165" s="15" t="s">
        <v>46</v>
      </c>
      <c r="G165" s="16"/>
      <c r="H165" s="16"/>
      <c r="I165" s="17"/>
      <c r="J165" s="18" t="str">
        <f>VLOOKUP($A165,'Реестр объектов'!$A:$I,8,0)</f>
        <v>https://docs.google.com/spreadsheets/d/1rbCD10ySi4YZEkJW2_Slmn9z7AI1WEsGsZaIJmnnT18/edit?gid=188482008#gid=188482008</v>
      </c>
      <c r="K165" s="19" t="str">
        <f>VLOOKUP($A165,'Реестр объектов'!$A:$I,9,0)</f>
        <v>https://disk.yandex.ru/client/disk/Осмотры%20объектов%20АНО%20СМГ/618.%20Подвойского%20вл%2012%5C15</v>
      </c>
      <c r="L165" s="6"/>
      <c r="M165" s="6"/>
      <c r="N165" s="16"/>
      <c r="O165" s="6"/>
      <c r="P165" s="16"/>
      <c r="Q165" s="6"/>
      <c r="R165" s="6"/>
      <c r="S165" s="6"/>
    </row>
    <row r="166">
      <c r="A166" s="12" t="s">
        <v>577</v>
      </c>
      <c r="B166" s="13" t="str">
        <f>VLOOKUP($A166,'Реестр объектов'!$A:$I,5,0)</f>
        <v>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v>
      </c>
      <c r="C166" s="13" t="str">
        <f>VLOOKUP($A166,'Реестр объектов'!$A:$I,6,0)</f>
        <v>55.752857</v>
      </c>
      <c r="D166" s="13" t="str">
        <f>VLOOKUP($A166,'Реестр объектов'!$A:$I,7,0)</f>
        <v>37.782952</v>
      </c>
      <c r="E166" s="14" t="s">
        <v>23</v>
      </c>
      <c r="F166" s="15" t="s">
        <v>46</v>
      </c>
      <c r="G166" s="20">
        <v>45974.58073261574</v>
      </c>
      <c r="H166" s="20">
        <v>45974.64240201389</v>
      </c>
      <c r="I166" s="2" t="s">
        <v>573</v>
      </c>
      <c r="J166" s="18" t="str">
        <f>VLOOKUP($A166,'Реестр объектов'!$A:$I,8,0)</f>
        <v>https://docs.google.com/spreadsheets/d/1rbCD10ySi4YZEkJW2_Slmn9z7AI1WEsGsZaIJmnnT18/edit?gid=1984267459#gid=1984267459</v>
      </c>
      <c r="K166" s="19" t="str">
        <f>VLOOKUP($A166,'Реестр объектов'!$A:$I,9,0)</f>
        <v>https://disk.yandex.ru/client/disk/Осмотры%20объектов%20АНО%20СМГ/668%20ВАО%2C%20район%20Перово%2C%202-я%20Владимирская%20ул.%2C%20з.у%2028.30%20подзона%202%20мкр.%2011-12%2C%2021-22%2C%2023-24%2C%2029%2C%2068%2C%20зона%20№%203.2</v>
      </c>
      <c r="L166" s="15" t="s">
        <v>23</v>
      </c>
      <c r="M166" s="6"/>
      <c r="N166" s="16"/>
      <c r="O166" s="6"/>
      <c r="P166" s="16"/>
      <c r="Q166" s="6"/>
      <c r="R166" s="6"/>
      <c r="S166" s="6"/>
    </row>
    <row r="167">
      <c r="A167" s="12" t="s">
        <v>578</v>
      </c>
      <c r="B167" s="13" t="str">
        <f>VLOOKUP($A167,'Реестр объектов'!$A:$I,5,0)</f>
        <v>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v>
      </c>
      <c r="C167" s="13" t="str">
        <f>VLOOKUP($A167,'Реестр объектов'!$A:$I,6,0)</f>
        <v>55.753812</v>
      </c>
      <c r="D167" s="13" t="str">
        <f>VLOOKUP($A167,'Реестр объектов'!$A:$I,7,0)</f>
        <v>37.782387</v>
      </c>
      <c r="E167" s="14" t="s">
        <v>23</v>
      </c>
      <c r="F167" s="15" t="s">
        <v>46</v>
      </c>
      <c r="G167" s="20">
        <v>45974.64261232639</v>
      </c>
      <c r="H167" s="20">
        <v>45974.661940081016</v>
      </c>
      <c r="I167" s="2" t="s">
        <v>171</v>
      </c>
      <c r="J167" s="18" t="str">
        <f>VLOOKUP($A167,'Реестр объектов'!$A:$I,8,0)</f>
        <v>https://docs.google.com/spreadsheets/d/1rbCD10ySi4YZEkJW2_Slmn9z7AI1WEsGsZaIJmnnT18/edit?gid=1480745629#gid=1480745629</v>
      </c>
      <c r="K167" s="19" t="str">
        <f>VLOOKUP($A167,'Реестр объектов'!$A:$I,9,0)</f>
        <v>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20здания%20по%20адресу%3A%202-я%20Владимирская%20ул.%2C%20д.28%2C%20к.1)</v>
      </c>
      <c r="L167" s="6"/>
      <c r="M167" s="6"/>
      <c r="N167" s="16"/>
      <c r="O167" s="6"/>
      <c r="P167" s="16"/>
      <c r="Q167" s="6"/>
      <c r="R167" s="6"/>
      <c r="S167" s="6"/>
    </row>
    <row r="168">
      <c r="A168" s="12" t="s">
        <v>92</v>
      </c>
      <c r="B168" s="13" t="str">
        <f>VLOOKUP($A168,'Реестр объектов'!$A:$I,5,0)</f>
        <v>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v>
      </c>
      <c r="C168" s="13" t="str">
        <f>VLOOKUP($A168,'Реестр объектов'!$A:$I,6,0)</f>
        <v>55.782351</v>
      </c>
      <c r="D168" s="13" t="str">
        <f>VLOOKUP($A168,'Реестр объектов'!$A:$I,7,0)</f>
        <v>37.448956</v>
      </c>
      <c r="E168" s="14" t="s">
        <v>45</v>
      </c>
      <c r="F168" s="15" t="s">
        <v>46</v>
      </c>
      <c r="G168" s="16"/>
      <c r="H168" s="16"/>
      <c r="I168" s="17"/>
      <c r="J168" s="18" t="str">
        <f>VLOOKUP($A168,'Реестр объектов'!$A:$I,8,0)</f>
        <v>https://docs.google.com/spreadsheets/d/1rbCD10ySi4YZEkJW2_Slmn9z7AI1WEsGsZaIJmnnT18/edit?gid=370993780#gid=370993780</v>
      </c>
      <c r="K168" s="19" t="str">
        <f>VLOOKUP($A168,'Реестр объектов'!$A:$I,9,0)</f>
        <v>https://disk.yandex.ru/client/disk/Осмотры%20объектов%20АНО%20СМГ/637.%20Хорошево-Мневники%2CНовикова%20Прибоя%2C%20зу%206.2</v>
      </c>
      <c r="L168" s="6"/>
      <c r="M168" s="6"/>
      <c r="N168" s="16"/>
      <c r="O168" s="6"/>
      <c r="P168" s="16"/>
      <c r="Q168" s="6"/>
      <c r="R168" s="6"/>
      <c r="S168" s="6"/>
    </row>
    <row r="169">
      <c r="A169" s="12" t="s">
        <v>93</v>
      </c>
      <c r="B169" s="13" t="str">
        <f>VLOOKUP($A169,'Реестр объектов'!$A:$I,5,0)</f>
        <v>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v>
      </c>
      <c r="C169" s="13" t="str">
        <f>VLOOKUP($A169,'Реестр объектов'!$A:$I,6,0)</f>
        <v>55.893782</v>
      </c>
      <c r="D169" s="13" t="str">
        <f>VLOOKUP($A169,'Реестр объектов'!$A:$I,7,0)</f>
        <v>37.540875</v>
      </c>
      <c r="E169" s="14" t="s">
        <v>45</v>
      </c>
      <c r="F169" s="15" t="s">
        <v>46</v>
      </c>
      <c r="G169" s="16"/>
      <c r="H169" s="16"/>
      <c r="I169" s="17"/>
      <c r="J169" s="18" t="str">
        <f>VLOOKUP($A169,'Реестр объектов'!$A:$I,8,0)</f>
        <v>https://docs.google.com/spreadsheets/d/1rbCD10ySi4YZEkJW2_Slmn9z7AI1WEsGsZaIJmnnT18/edit?gid=953902791#gid=953902791</v>
      </c>
      <c r="K169" s="19" t="str">
        <f>VLOOKUP($A169,'Реестр объектов'!$A:$I,9,0)</f>
        <v>https://disk.yandex.ru/client/disk/Осмотры%20объектов%20АНО%20СМГ/620.%20%20ул.%20Долгопрудная%20з.у.%206</v>
      </c>
      <c r="L169" s="6"/>
      <c r="M169" s="6"/>
      <c r="N169" s="16"/>
      <c r="O169" s="6"/>
      <c r="P169" s="16"/>
      <c r="Q169" s="6"/>
      <c r="R169" s="6"/>
      <c r="S169" s="6"/>
    </row>
    <row r="170">
      <c r="A170" s="12" t="s">
        <v>94</v>
      </c>
      <c r="B170" s="13" t="str">
        <f>VLOOKUP($A170,'Реестр объектов'!$A:$I,5,0)</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внутригородское муниципальное образование Лосиноостровское, Изумрудная улица, земельный участок 12А Лосиноостровское, Изумрудная улица, земельный участок 12А</v>
      </c>
      <c r="C170" s="13" t="str">
        <f>VLOOKUP($A170,'Реестр объектов'!$A:$I,6,0)</f>
        <v>55.869268</v>
      </c>
      <c r="D170" s="13" t="str">
        <f>VLOOKUP($A170,'Реестр объектов'!$A:$I,7,0)</f>
        <v>37.680814</v>
      </c>
      <c r="E170" s="14" t="s">
        <v>45</v>
      </c>
      <c r="F170" s="15" t="s">
        <v>46</v>
      </c>
      <c r="G170" s="16"/>
      <c r="H170" s="16"/>
      <c r="I170" s="17"/>
      <c r="J170" s="18" t="str">
        <f>VLOOKUP($A170,'Реестр объектов'!$A:$I,8,0)</f>
        <v>https://docs.google.com/spreadsheets/d/1rbCD10ySi4YZEkJW2_Slmn9z7AI1WEsGsZaIJmnnT18/edit?gid=1131436691#gid=1131436691</v>
      </c>
      <c r="K170" s="19" t="str">
        <f>VLOOKUP($A170,'Реестр объектов'!$A:$I,9,0)</f>
        <v>https://disk.yandex.ru/client/disk/Осмотры%20объектов%20АНО%20СМГ/930%20Изумрудная%20ул.%2C%20зу%2012А</v>
      </c>
      <c r="L170" s="6"/>
      <c r="M170" s="6"/>
      <c r="N170" s="16"/>
      <c r="O170" s="6"/>
      <c r="P170" s="16"/>
      <c r="Q170" s="6"/>
      <c r="R170" s="6"/>
      <c r="S170" s="6"/>
    </row>
    <row r="171">
      <c r="A171" s="12" t="s">
        <v>95</v>
      </c>
      <c r="B171" s="13" t="str">
        <f>VLOOKUP($A171,'Реестр объектов'!$A:$I,5,0)</f>
        <v>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v>
      </c>
      <c r="C171" s="13" t="str">
        <f>VLOOKUP($A171,'Реестр объектов'!$A:$I,6,0)</f>
        <v>55.635583</v>
      </c>
      <c r="D171" s="13" t="str">
        <f>VLOOKUP($A171,'Реестр объектов'!$A:$I,7,0)</f>
        <v>37.649688</v>
      </c>
      <c r="E171" s="14" t="s">
        <v>27</v>
      </c>
      <c r="F171" s="15" t="s">
        <v>46</v>
      </c>
      <c r="G171" s="16"/>
      <c r="H171" s="16"/>
      <c r="I171" s="17"/>
      <c r="J171" s="18" t="str">
        <f>VLOOKUP($A171,'Реестр объектов'!$A:$I,8,0)</f>
        <v>https://docs.google.com/spreadsheets/d/1rbCD10ySi4YZEkJW2_Slmn9z7AI1WEsGsZaIJmnnT18/edit?gid=657849366#gid=657849366</v>
      </c>
      <c r="K171" s="19" t="str">
        <f>VLOOKUP($A171,'Реестр объектов'!$A:$I,9,0)</f>
        <v>https://disk.yandex.ru/client/disk/Осмотры%20объектов%20АНО%20СМГ/923.%20Бехтерева%20ул.%2C%20з-у%203-5.%20Жилой%20дом</v>
      </c>
      <c r="L171" s="6"/>
      <c r="M171" s="6"/>
      <c r="N171" s="16"/>
      <c r="O171" s="6"/>
      <c r="P171" s="16"/>
      <c r="Q171" s="6"/>
      <c r="R171" s="6"/>
      <c r="S171" s="6"/>
    </row>
    <row r="172">
      <c r="A172" s="12" t="s">
        <v>579</v>
      </c>
      <c r="B172" s="13" t="str">
        <f>VLOOKUP($A172,'Реестр объектов'!$A:$I,5,0)</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земельный участок 27 (участок 3.1)</v>
      </c>
      <c r="C172" s="13" t="str">
        <f>VLOOKUP($A172,'Реестр объектов'!$A:$I,6,0)</f>
        <v>55.660140</v>
      </c>
      <c r="D172" s="13" t="str">
        <f>VLOOKUP($A172,'Реестр объектов'!$A:$I,7,0)</f>
        <v>37.564538</v>
      </c>
      <c r="E172" s="14" t="s">
        <v>31</v>
      </c>
      <c r="F172" s="15" t="s">
        <v>46</v>
      </c>
      <c r="G172" s="20">
        <v>45974.55812271991</v>
      </c>
      <c r="H172" s="20">
        <v>45974.60319185186</v>
      </c>
      <c r="I172" s="2" t="s">
        <v>429</v>
      </c>
      <c r="J172" s="18" t="str">
        <f>VLOOKUP($A172,'Реестр объектов'!$A:$I,8,0)</f>
        <v>https://docs.google.com/spreadsheets/d/1rbCD10ySi4YZEkJW2_Slmn9z7AI1WEsGsZaIJmnnT18/edit?gid=733134081#gid=733134081</v>
      </c>
      <c r="K172" s="19" t="str">
        <f>VLOOKUP($A172,'Реестр объектов'!$A:$I,9,0)</f>
        <v>https://disk.yandex.ru/client/disk/Осмотры%20объектов%20АНО%20СМГ/919.%20Перекопская%20зу%2027(участок%203.1)</v>
      </c>
      <c r="L172" s="6"/>
      <c r="M172" s="6"/>
      <c r="N172" s="16"/>
      <c r="O172" s="6"/>
      <c r="P172" s="16"/>
      <c r="Q172" s="6"/>
      <c r="R172" s="6"/>
      <c r="S172" s="6"/>
    </row>
    <row r="173">
      <c r="A173" s="12" t="s">
        <v>580</v>
      </c>
      <c r="B173" s="13" t="str">
        <f>VLOOKUP($A173,'Реестр объектов'!$A:$I,5,0)</f>
        <v>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 шоссе, земельный участок 90/1 (участок 5.1)</v>
      </c>
      <c r="C173" s="13" t="str">
        <f>VLOOKUP($A173,'Реестр объектов'!$A:$I,6,0)</f>
        <v>55.648059</v>
      </c>
      <c r="D173" s="13" t="str">
        <f>VLOOKUP($A173,'Реестр объектов'!$A:$I,7,0)</f>
        <v>37.618870</v>
      </c>
      <c r="E173" s="14" t="s">
        <v>27</v>
      </c>
      <c r="F173" s="15" t="s">
        <v>46</v>
      </c>
      <c r="G173" s="20">
        <v>45974.501472511576</v>
      </c>
      <c r="H173" s="20">
        <v>45974.52263314815</v>
      </c>
      <c r="I173" s="2" t="s">
        <v>487</v>
      </c>
      <c r="J173" s="18" t="str">
        <f>VLOOKUP($A173,'Реестр объектов'!$A:$I,8,0)</f>
        <v>https://docs.google.com/spreadsheets/d/1rbCD10ySi4YZEkJW2_Slmn9z7AI1WEsGsZaIJmnnT18/edit?gid=1868311876#gid=1868311876</v>
      </c>
      <c r="K173" s="21" t="str">
        <f>VLOOKUP($A173,'Реестр объектов'!$A:$I,9,0)</f>
        <v>https://disk.yandex.ru/client/disk/%D0%9E%D1%81%D0%BC%D0%BE%D1%82%D1%80%D1%8B%20%D0%BE%D0%B1%D1%8A%D0%B5%D0%BA%D1%82%D0%BE%D0%B2%20%D0%90%D0%9D%D0%9E%20%D0%A1%D0%9C%D0%93/699.%20%D0%92%D0%B0%D1%80%D1%88%D0%B0%D0%B2%D1%81%D0%BA%D0%BE%D0%B5%20%D1%88.%20%D0%B7.%D1%83.%2090.1%20(%D1%83%D1%87%D0%B0%D1%81%D1%82%D0%BE%D0%BA%205.1)</v>
      </c>
      <c r="L173" s="6"/>
      <c r="M173" s="6"/>
      <c r="N173" s="16"/>
      <c r="O173" s="6"/>
      <c r="P173" s="16"/>
      <c r="Q173" s="6"/>
      <c r="R173" s="6"/>
      <c r="S173" s="6"/>
    </row>
    <row r="174">
      <c r="A174" s="12" t="s">
        <v>581</v>
      </c>
      <c r="B174" s="13" t="str">
        <f>VLOOKUP($A174,'Реестр объектов'!$A:$I,5,0)</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 д.7 к.5; д.7 к.6) по адресу: Нагорный район, ул. Артековская, земельный участок 7/6 (зона 2.4) ул. Артековская, з/у 7/6 (зона 2.4)</v>
      </c>
      <c r="C174" s="13" t="str">
        <f>VLOOKUP($A174,'Реестр объектов'!$A:$I,6,0)</f>
        <v>55.649428</v>
      </c>
      <c r="D174" s="13" t="str">
        <f>VLOOKUP($A174,'Реестр объектов'!$A:$I,7,0)</f>
        <v>37.618333</v>
      </c>
      <c r="E174" s="14" t="s">
        <v>27</v>
      </c>
      <c r="F174" s="15" t="s">
        <v>46</v>
      </c>
      <c r="G174" s="20">
        <v>45974.523022002315</v>
      </c>
      <c r="H174" s="20">
        <v>45974.62826747685</v>
      </c>
      <c r="I174" s="2" t="s">
        <v>582</v>
      </c>
      <c r="J174" s="18" t="str">
        <f>VLOOKUP($A174,'Реестр объектов'!$A:$I,8,0)</f>
        <v>https://docs.google.com/spreadsheets/d/1rbCD10ySi4YZEkJW2_Slmn9z7AI1WEsGsZaIJmnnT18/edit?gid=1509093390#gid=1509093390</v>
      </c>
      <c r="K174" s="19" t="str">
        <f>VLOOKUP($A174,'Реестр объектов'!$A:$I,9,0)</f>
        <v>https://disk.yandex.ru/client/disk/Осмотры%20объектов%20АНО%20СМГ/906.%20ул.%20Артековская%2C%20з.у.%2076%20(зона2.4)</v>
      </c>
      <c r="L174" s="6"/>
      <c r="M174" s="6"/>
      <c r="N174" s="16"/>
      <c r="O174" s="6"/>
      <c r="P174" s="16"/>
      <c r="Q174" s="6"/>
      <c r="R174" s="6"/>
      <c r="S174" s="6"/>
    </row>
    <row r="175">
      <c r="A175" s="12" t="s">
        <v>583</v>
      </c>
      <c r="B175" s="13" t="str">
        <f>VLOOKUP($A175,'Реестр объектов'!$A:$I,5,0)</f>
        <v>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Краснодарская ул., з/у 18 (Краснодарская ул., вл. 18)</v>
      </c>
      <c r="C175" s="13" t="str">
        <f>VLOOKUP($A175,'Реестр объектов'!$A:$I,6,0)</f>
        <v>55.676382</v>
      </c>
      <c r="D175" s="13" t="str">
        <f>VLOOKUP($A175,'Реестр объектов'!$A:$I,7,0)</f>
        <v>37.748418</v>
      </c>
      <c r="E175" s="14" t="s">
        <v>25</v>
      </c>
      <c r="F175" s="15" t="s">
        <v>46</v>
      </c>
      <c r="G175" s="20">
        <v>45974.65573157408</v>
      </c>
      <c r="H175" s="20">
        <v>45974.74283884259</v>
      </c>
      <c r="I175" s="2" t="s">
        <v>584</v>
      </c>
      <c r="J175" s="18" t="str">
        <f>VLOOKUP($A175,'Реестр объектов'!$A:$I,8,0)</f>
        <v>https://docs.google.com/spreadsheets/d/1rbCD10ySi4YZEkJW2_Slmn9z7AI1WEsGsZaIJmnnT18/edit?gid=2115012790#gid=2115012790</v>
      </c>
      <c r="K175" s="19" t="str">
        <f>VLOOKUP($A175,'Реестр объектов'!$A:$I,9,0)</f>
        <v>https://disk.yandex.ru/client/disk/Осмотры%20объектов%20АНО%20СМГ/903%20ул.%20Краснодарская%20ул.%2C%20зу%2018%20(Краснодарская%20ул.%2C%20вл.%2018)</v>
      </c>
      <c r="L175" s="6"/>
      <c r="M175" s="6"/>
      <c r="N175" s="16"/>
      <c r="O175" s="6"/>
      <c r="P175" s="16"/>
      <c r="Q175" s="6"/>
      <c r="R175" s="6"/>
      <c r="S175" s="6"/>
    </row>
    <row r="176">
      <c r="A176" s="12" t="s">
        <v>97</v>
      </c>
      <c r="B176" s="13" t="str">
        <f>VLOOKUP($A176,'Реестр объектов'!$A:$I,5,0)</f>
        <v>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v>
      </c>
      <c r="C176" s="13" t="str">
        <f>VLOOKUP($A176,'Реестр объектов'!$A:$I,6,0)</f>
        <v>55.892306</v>
      </c>
      <c r="D176" s="13" t="str">
        <f>VLOOKUP($A176,'Реестр объектов'!$A:$I,7,0)</f>
        <v>37.530438</v>
      </c>
      <c r="E176" s="14" t="s">
        <v>45</v>
      </c>
      <c r="F176" s="15" t="s">
        <v>46</v>
      </c>
      <c r="G176" s="16"/>
      <c r="H176" s="16"/>
      <c r="I176" s="17"/>
      <c r="J176" s="18" t="str">
        <f>VLOOKUP($A176,'Реестр объектов'!$A:$I,8,0)</f>
        <v>https://docs.google.com/spreadsheets/d/1rbCD10ySi4YZEkJW2_Slmn9z7AI1WEsGsZaIJmnnT18/edit?gid=44169429#gid=44169429</v>
      </c>
      <c r="K176" s="19" t="str">
        <f>VLOOKUP($A176,'Реестр объектов'!$A:$I,9,0)</f>
        <v>https://disk.yandex.ru/client/disk/Осмотры%20объектов%20АНО%20СМГ/611.%20Карельский%20бульвар%2C%20вл.%201.24</v>
      </c>
      <c r="L176" s="6"/>
      <c r="M176" s="6"/>
      <c r="N176" s="16"/>
      <c r="O176" s="6"/>
      <c r="P176" s="16"/>
      <c r="Q176" s="6"/>
      <c r="R176" s="6"/>
      <c r="S176" s="6"/>
    </row>
    <row r="177">
      <c r="A177" s="12" t="s">
        <v>98</v>
      </c>
      <c r="B177" s="13" t="str">
        <f>VLOOKUP($A177,'Реестр объектов'!$A:$I,5,0)</f>
        <v>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v>
      </c>
      <c r="C177" s="13" t="str">
        <f>VLOOKUP($A177,'Реестр объектов'!$A:$I,6,0)</f>
        <v>55.670546</v>
      </c>
      <c r="D177" s="13" t="str">
        <f>VLOOKUP($A177,'Реестр объектов'!$A:$I,7,0)</f>
        <v>37.556150</v>
      </c>
      <c r="E177" s="14" t="s">
        <v>45</v>
      </c>
      <c r="F177" s="15" t="s">
        <v>46</v>
      </c>
      <c r="G177" s="16"/>
      <c r="H177" s="16"/>
      <c r="I177" s="17"/>
      <c r="J177" s="18" t="str">
        <f>VLOOKUP($A177,'Реестр объектов'!$A:$I,8,0)</f>
        <v>https://docs.google.com/spreadsheets/d/1rbCD10ySi4YZEkJW2_Slmn9z7AI1WEsGsZaIJmnnT18/edit?gid=1797830857#gid=1797830857</v>
      </c>
      <c r="K177" s="19" t="str">
        <f>VLOOKUP($A177,'Реестр объектов'!$A:$I,9,0)</f>
        <v>https://disk.yandex.ru/client/disk/Осмотры%20объектов%20АНО%20СМГ/719.%20ул.%20Грибальди%20вл25%2C%20Профсоюзная%20д39%20(Гарибальди%20д25%20к1%2C%20д25%20стр2)</v>
      </c>
      <c r="L177" s="6"/>
      <c r="M177" s="6"/>
      <c r="N177" s="16"/>
      <c r="O177" s="6"/>
      <c r="P177" s="16"/>
      <c r="Q177" s="6"/>
      <c r="R177" s="6"/>
      <c r="S177" s="6"/>
    </row>
    <row r="178">
      <c r="A178" s="12" t="s">
        <v>99</v>
      </c>
      <c r="B178" s="13" t="str">
        <f>VLOOKUP($A178,'Реестр объектов'!$A:$I,5,0)</f>
        <v>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v>
      </c>
      <c r="C178" s="13" t="str">
        <f>VLOOKUP($A178,'Реестр объектов'!$A:$I,6,0)</f>
        <v>55.716559</v>
      </c>
      <c r="D178" s="13" t="str">
        <f>VLOOKUP($A178,'Реестр объектов'!$A:$I,7,0)</f>
        <v>37.662180</v>
      </c>
      <c r="E178" s="14" t="s">
        <v>45</v>
      </c>
      <c r="F178" s="15" t="s">
        <v>46</v>
      </c>
      <c r="G178" s="16"/>
      <c r="H178" s="16"/>
      <c r="I178" s="17"/>
      <c r="J178" s="18" t="str">
        <f>VLOOKUP($A178,'Реестр объектов'!$A:$I,8,0)</f>
        <v>https://docs.google.com/spreadsheets/d/1rbCD10ySi4YZEkJW2_Slmn9z7AI1WEsGsZaIJmnnT18/edit?gid=1343620006#gid=1343620006</v>
      </c>
      <c r="K178" s="19" t="str">
        <f>VLOOKUP($A178,'Реестр объектов'!$A:$I,9,0)</f>
        <v>https://disk.yandex.ru/client/disk/Осмотры%20объектов%20АНО%20СМГ/687.%20Даниловский%2C%20Восточная%20ул%201</v>
      </c>
      <c r="L178" s="6"/>
      <c r="M178" s="6"/>
      <c r="N178" s="16"/>
      <c r="O178" s="6"/>
      <c r="P178" s="16"/>
      <c r="Q178" s="6"/>
      <c r="R178" s="6"/>
      <c r="S178" s="6"/>
    </row>
    <row r="179">
      <c r="A179" s="12" t="s">
        <v>100</v>
      </c>
      <c r="B179" s="13" t="str">
        <f>VLOOKUP($A179,'Реестр объектов'!$A:$I,5,0)</f>
        <v>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v>
      </c>
      <c r="C179" s="13" t="str">
        <f>VLOOKUP($A179,'Реестр объектов'!$A:$I,6,0)</f>
        <v>55.828250</v>
      </c>
      <c r="D179" s="13" t="str">
        <f>VLOOKUP($A179,'Реестр объектов'!$A:$I,7,0)</f>
        <v>37.450018</v>
      </c>
      <c r="E179" s="14" t="s">
        <v>45</v>
      </c>
      <c r="F179" s="15" t="s">
        <v>46</v>
      </c>
      <c r="G179" s="16"/>
      <c r="H179" s="16"/>
      <c r="I179" s="17"/>
      <c r="J179" s="18" t="str">
        <f>VLOOKUP($A179,'Реестр объектов'!$A:$I,8,0)</f>
        <v>https://docs.google.com/spreadsheets/d/1rbCD10ySi4YZEkJW2_Slmn9z7AI1WEsGsZaIJmnnT18/edit?gid=24415394#gid=24415394</v>
      </c>
      <c r="K179" s="19" t="str">
        <f>VLOOKUP($A179,'Реестр объектов'!$A:$I,9,0)</f>
        <v>https://disk.yandex.ru/client/disk/Осмотры%20объектов%20АНО%20СМГ/731.%20ул.%20Циолковского%2C%20вл.%203</v>
      </c>
      <c r="L179" s="6"/>
      <c r="M179" s="6"/>
      <c r="N179" s="16"/>
      <c r="O179" s="6"/>
      <c r="P179" s="16"/>
      <c r="Q179" s="6"/>
      <c r="R179" s="6"/>
      <c r="S179" s="6"/>
    </row>
    <row r="180">
      <c r="A180" s="12" t="s">
        <v>101</v>
      </c>
      <c r="B180" s="13" t="str">
        <f>VLOOKUP($A180,'Реестр объектов'!$A:$I,5,0)</f>
        <v>Рязанский просп., з/у 6А (Рязанский пр-т, вл. 6А) ЮВАО, район Рязанский, Рязанский проспект, земельный участок 6А (Рязанский пр-т, вл.6А)</v>
      </c>
      <c r="C180" s="13" t="str">
        <f>VLOOKUP($A180,'Реестр объектов'!$A:$I,6,0)</f>
        <v>55.723657</v>
      </c>
      <c r="D180" s="13" t="str">
        <f>VLOOKUP($A180,'Реестр объектов'!$A:$I,7,0)</f>
        <v>37.742319</v>
      </c>
      <c r="E180" s="14" t="s">
        <v>45</v>
      </c>
      <c r="F180" s="15" t="s">
        <v>46</v>
      </c>
      <c r="G180" s="16"/>
      <c r="H180" s="16"/>
      <c r="I180" s="17"/>
      <c r="J180" s="18" t="str">
        <f>VLOOKUP($A180,'Реестр объектов'!$A:$I,8,0)</f>
        <v>https://docs.google.com/spreadsheets/d/1rbCD10ySi4YZEkJW2_Slmn9z7AI1WEsGsZaIJmnnT18/edit?gid=1617286788#gid=1617286788</v>
      </c>
      <c r="K180" s="19" t="str">
        <f>VLOOKUP($A180,'Реестр объектов'!$A:$I,9,0)</f>
        <v>https://disk.yandex.ru/client/disk/Осмотры%20объектов%20АНО%20СМГ/688.%20ЮВАО%2C%20район%20Рязанский%2C%20Рязанский%20проспект%2C%20земельный%20участок%206А%20(Рязанский%20пр-т%2C%20вл.6А)</v>
      </c>
      <c r="L180" s="6"/>
      <c r="M180" s="6"/>
      <c r="N180" s="16"/>
      <c r="O180" s="6"/>
      <c r="P180" s="16"/>
      <c r="Q180" s="6"/>
      <c r="R180" s="6"/>
      <c r="S180" s="6"/>
    </row>
    <row r="181">
      <c r="A181" s="12" t="s">
        <v>103</v>
      </c>
      <c r="B181" s="13" t="str">
        <f>VLOOKUP($A181,'Реестр объектов'!$A:$I,5,0)</f>
        <v>ул. Байкальская, з/у 28/3 (ул. Байкалькая, влд.28) ВАО, район Гольяново, ул. Байкальская, з/у. 28/3, мкр. 3, 4, 5, зона 8.1 (со сносом зданий по адресу: ул. Байкальская, д. 28, к. 3)</v>
      </c>
      <c r="C181" s="13" t="str">
        <f>VLOOKUP($A181,'Реестр объектов'!$A:$I,6,0)</f>
        <v>55.814913</v>
      </c>
      <c r="D181" s="13" t="str">
        <f>VLOOKUP($A181,'Реестр объектов'!$A:$I,7,0)</f>
        <v>37.802368</v>
      </c>
      <c r="E181" s="14" t="s">
        <v>45</v>
      </c>
      <c r="F181" s="15" t="s">
        <v>46</v>
      </c>
      <c r="G181" s="16"/>
      <c r="H181" s="16"/>
      <c r="I181" s="17"/>
      <c r="J181" s="18" t="str">
        <f>VLOOKUP($A181,'Реестр объектов'!$A:$I,8,0)</f>
        <v>https://docs.google.com/spreadsheets/d/1rbCD10ySi4YZEkJW2_Slmn9z7AI1WEsGsZaIJmnnT18/edit?gid=1349297378#gid=1349297378</v>
      </c>
      <c r="K181" s="19" t="str">
        <f>VLOOKUP($A181,'Реестр объектов'!$A:$I,9,0)</f>
        <v>https://disk.yandex.ru/client/disk/Осмотры%20объектов%20АНО%20СМГ/675%20Гольяново%2C%20ул%20Байкальская%20зу%2028.3%20мкрн%203%2C4%2C5%20зона%208.1%20со%20сносом%20здания</v>
      </c>
      <c r="L181" s="6"/>
      <c r="M181" s="6"/>
      <c r="N181" s="16"/>
      <c r="O181" s="6"/>
      <c r="P181" s="16"/>
      <c r="Q181" s="6"/>
      <c r="R181" s="6"/>
      <c r="S181" s="6"/>
    </row>
    <row r="182">
      <c r="A182" s="12" t="s">
        <v>104</v>
      </c>
      <c r="B182" s="13" t="str">
        <f>VLOOKUP($A182,'Реестр объектов'!$A:$I,5,0)</f>
        <v>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Рязанский проспект д. 91, корп. 4)</v>
      </c>
      <c r="C182" s="13" t="str">
        <f>VLOOKUP($A182,'Реестр объектов'!$A:$I,6,0)</f>
        <v>55.716129</v>
      </c>
      <c r="D182" s="13" t="str">
        <f>VLOOKUP($A182,'Реестр объектов'!$A:$I,7,0)</f>
        <v>37.807696</v>
      </c>
      <c r="E182" s="14" t="s">
        <v>41</v>
      </c>
      <c r="F182" s="15" t="s">
        <v>46</v>
      </c>
      <c r="G182" s="16"/>
      <c r="H182" s="16"/>
      <c r="I182" s="17"/>
      <c r="J182" s="18" t="str">
        <f>VLOOKUP($A182,'Реестр объектов'!$A:$I,8,0)</f>
        <v>https://docs.google.com/spreadsheets/d/1rbCD10ySi4YZEkJW2_Slmn9z7AI1WEsGsZaIJmnnT18/edit?gid=1910790925#gid=1910790925</v>
      </c>
      <c r="K182" s="19" t="str">
        <f>VLOOKUP($A182,'Реестр объектов'!$A:$I,9,0)</f>
        <v>https://disk.yandex.ru/client/disk/Осмотры%20объектов%20АНО%20СМГ/729%20ЮВАО%2C%20мкр.%20128%20Б-В%2C%20район%20Выхино-Жулебино%20зона%201.1%2C%201.2%2C%201.3%20Хлобыстова%20ул.%2C%20зу%2016.2.1</v>
      </c>
      <c r="L182" s="6"/>
      <c r="M182" s="6"/>
      <c r="N182" s="16"/>
      <c r="O182" s="6"/>
      <c r="P182" s="16"/>
      <c r="Q182" s="6"/>
      <c r="R182" s="6"/>
      <c r="S182" s="6"/>
    </row>
    <row r="183">
      <c r="A183" s="12" t="s">
        <v>105</v>
      </c>
      <c r="B183" s="13" t="str">
        <f>VLOOKUP($A183,'Реестр объектов'!$A:$I,5,0)</f>
        <v>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v>
      </c>
      <c r="C183" s="13" t="str">
        <f>VLOOKUP($A183,'Реестр объектов'!$A:$I,6,0)</f>
        <v>55.680083</v>
      </c>
      <c r="D183" s="13" t="str">
        <f>VLOOKUP($A183,'Реестр объектов'!$A:$I,7,0)</f>
        <v>37.544428</v>
      </c>
      <c r="E183" s="14" t="s">
        <v>45</v>
      </c>
      <c r="F183" s="15" t="s">
        <v>46</v>
      </c>
      <c r="G183" s="16"/>
      <c r="H183" s="16"/>
      <c r="I183" s="17"/>
      <c r="J183" s="18" t="str">
        <f>VLOOKUP($A183,'Реестр объектов'!$A:$I,8,0)</f>
        <v>https://docs.google.com/spreadsheets/d/1rbCD10ySi4YZEkJW2_Slmn9z7AI1WEsGsZaIJmnnT18/edit?gid=1573037531#gid=1573037531</v>
      </c>
      <c r="K183" s="19" t="str">
        <f>VLOOKUP($A183,'Реестр объектов'!$A:$I,9,0)</f>
        <v>https://disk.yandex.ru/client/disk/Осмотры%20объектов%20АНО%20СМГ/690.%20район%20Ломоносовский%2C%20ул.%20Вавилова%20ул.%2C%2076%2C%20микрорайон%2015%2C%20зона%201.2%2C</v>
      </c>
      <c r="L183" s="6"/>
      <c r="M183" s="6"/>
      <c r="N183" s="16"/>
      <c r="O183" s="6"/>
      <c r="P183" s="16"/>
      <c r="Q183" s="6"/>
      <c r="R183" s="6"/>
      <c r="S183" s="6"/>
    </row>
    <row r="184">
      <c r="A184" s="12" t="s">
        <v>106</v>
      </c>
      <c r="B184" s="13" t="str">
        <f>VLOOKUP($A184,'Реестр объектов'!$A:$I,5,0)</f>
        <v>Полярная ул., з/у 16 (Полярная ул., вл. 16) СВАО, район Южное Медведково, ул. Полярная, з/у 16 (со сносом жилого здания по адресу: ул. Полярная д.16, корп.1) (рефинансирование)</v>
      </c>
      <c r="C184" s="13" t="str">
        <f>VLOOKUP($A184,'Реестр объектов'!$A:$I,6,0)</f>
        <v>55.876612</v>
      </c>
      <c r="D184" s="13" t="str">
        <f>VLOOKUP($A184,'Реестр объектов'!$A:$I,7,0)</f>
        <v>37.637299</v>
      </c>
      <c r="E184" s="14" t="s">
        <v>45</v>
      </c>
      <c r="F184" s="15" t="s">
        <v>46</v>
      </c>
      <c r="G184" s="16"/>
      <c r="H184" s="16"/>
      <c r="I184" s="17"/>
      <c r="J184" s="18" t="str">
        <f>VLOOKUP($A184,'Реестр объектов'!$A:$I,8,0)</f>
        <v>https://docs.google.com/spreadsheets/d/1rbCD10ySi4YZEkJW2_Slmn9z7AI1WEsGsZaIJmnnT18/edit?gid=877224124#gid=877224124</v>
      </c>
      <c r="K184" s="19" t="str">
        <f>VLOOKUP($A184,'Реестр объектов'!$A:$I,9,0)</f>
        <v>https://disk.yandex.ru/client/disk/Осмотры%20объектов%20АНО%20СМГ/654.%20ул.%20Полярная%2C%20з.у.%2016</v>
      </c>
      <c r="L184" s="6"/>
      <c r="M184" s="6"/>
      <c r="N184" s="16"/>
      <c r="O184" s="6"/>
      <c r="P184" s="16"/>
      <c r="Q184" s="6"/>
      <c r="R184" s="6"/>
      <c r="S184" s="6"/>
    </row>
    <row r="185">
      <c r="A185" s="12" t="s">
        <v>107</v>
      </c>
      <c r="B185" s="13" t="str">
        <f>VLOOKUP($A185,'Реестр объектов'!$A:$I,5,0)</f>
        <v>3-я Прядильная ул., з/у 4 (3-я Прядильная ул. вл.4) ВАО, район Измайлово, 3-я Прядильная ул., зу 4  (рефинансирование)</v>
      </c>
      <c r="C185" s="13" t="str">
        <f>VLOOKUP($A185,'Реестр объектов'!$A:$I,6,0)</f>
        <v>55.797134</v>
      </c>
      <c r="D185" s="13" t="str">
        <f>VLOOKUP($A185,'Реестр объектов'!$A:$I,7,0)</f>
        <v>37.771091</v>
      </c>
      <c r="E185" s="14" t="s">
        <v>45</v>
      </c>
      <c r="F185" s="15" t="s">
        <v>46</v>
      </c>
      <c r="G185" s="16"/>
      <c r="H185" s="16"/>
      <c r="I185" s="17"/>
      <c r="J185" s="18" t="str">
        <f>VLOOKUP($A185,'Реестр объектов'!$A:$I,8,0)</f>
        <v>https://docs.google.com/spreadsheets/d/1rbCD10ySi4YZEkJW2_Slmn9z7AI1WEsGsZaIJmnnT18/edit?gid=9074212#gid=9074212</v>
      </c>
      <c r="K185" s="19" t="str">
        <f>VLOOKUP($A185,'Реестр объектов'!$A:$I,9,0)</f>
        <v>https://disk.yandex.ru/client/disk/Осмотры%20объектов%20АНО%20СМГ/649%203-я%20Прядильная%20ул.%2C%20зу%204</v>
      </c>
      <c r="L185" s="6"/>
      <c r="M185" s="6"/>
      <c r="N185" s="16"/>
      <c r="O185" s="6"/>
      <c r="P185" s="16"/>
      <c r="Q185" s="6"/>
      <c r="R185" s="6"/>
      <c r="S185" s="6"/>
    </row>
    <row r="186">
      <c r="A186" s="12" t="s">
        <v>109</v>
      </c>
      <c r="B186" s="13" t="str">
        <f>VLOOKUP($A186,'Реестр объектов'!$A:$I,5,0)</f>
        <v>ул. Судакова, з/у 5 (Судакова ул., влд. 5) ул. Судакова, з/у 5 (судакова ул., влд. 5)</v>
      </c>
      <c r="C186" s="13" t="str">
        <f>VLOOKUP($A186,'Реестр объектов'!$A:$I,6,0)</f>
        <v>55.672750</v>
      </c>
      <c r="D186" s="13" t="str">
        <f>VLOOKUP($A186,'Реестр объектов'!$A:$I,7,0)</f>
        <v>37.742580</v>
      </c>
      <c r="E186" s="14" t="s">
        <v>25</v>
      </c>
      <c r="F186" s="15" t="s">
        <v>46</v>
      </c>
      <c r="G186" s="16"/>
      <c r="H186" s="16"/>
      <c r="I186" s="17"/>
      <c r="J186" s="18" t="str">
        <f>VLOOKUP($A186,'Реестр объектов'!$A:$I,8,0)</f>
        <v>https://docs.google.com/spreadsheets/d/1rbCD10ySi4YZEkJW2_Slmn9z7AI1WEsGsZaIJmnnT18/edit?gid=1956094116#gid=1956094116</v>
      </c>
      <c r="K186" s="19" t="str">
        <f>VLOOKUP($A186,'Реестр объектов'!$A:$I,9,0)</f>
        <v>https://disk.yandex.ru/client/disk/Осмотры%20объектов%20АНО%20СМГ/971.%20ул.%20Судакова%2C%20з.у%205%20(Судакова%20ул.%2C%20влд.%205)</v>
      </c>
      <c r="L186" s="6"/>
      <c r="M186" s="6"/>
      <c r="N186" s="16"/>
      <c r="O186" s="6"/>
      <c r="P186" s="16"/>
      <c r="Q186" s="6"/>
      <c r="R186" s="6"/>
      <c r="S186" s="6"/>
    </row>
    <row r="187">
      <c r="A187" s="12" t="s">
        <v>111</v>
      </c>
      <c r="B187" s="13" t="str">
        <f>VLOOKUP($A187,'Реестр объектов'!$A:$I,5,0)</f>
        <v>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v>
      </c>
      <c r="C187" s="13" t="str">
        <f>VLOOKUP($A187,'Реестр объектов'!$A:$I,6,0)</f>
        <v>55.873961</v>
      </c>
      <c r="D187" s="13" t="str">
        <f>VLOOKUP($A187,'Реестр объектов'!$A:$I,7,0)</f>
        <v>37.542338</v>
      </c>
      <c r="E187" s="14" t="s">
        <v>45</v>
      </c>
      <c r="F187" s="15" t="s">
        <v>46</v>
      </c>
      <c r="G187" s="16"/>
      <c r="H187" s="16"/>
      <c r="I187" s="17"/>
      <c r="J187" s="18" t="str">
        <f>VLOOKUP($A187,'Реестр объектов'!$A:$I,8,0)</f>
        <v>https://docs.google.com/spreadsheets/d/1rbCD10ySi4YZEkJW2_Slmn9z7AI1WEsGsZaIJmnnT18/edit?gid=105663629#gid=105663629</v>
      </c>
      <c r="K187" s="19" t="str">
        <f>VLOOKUP($A187,'Реестр объектов'!$A:$I,9,0)</f>
        <v>https://disk.yandex.ru/client/disk/Осмотры%20объектов%20АНО%20СМГ/792.%20Бескудниковский%20бульвар%2048</v>
      </c>
      <c r="L187" s="6"/>
      <c r="M187" s="6"/>
      <c r="N187" s="16"/>
      <c r="O187" s="6"/>
      <c r="P187" s="16"/>
      <c r="Q187" s="6"/>
      <c r="R187" s="6"/>
      <c r="S187" s="6"/>
    </row>
    <row r="188">
      <c r="A188" s="12" t="s">
        <v>112</v>
      </c>
      <c r="B188" s="13" t="str">
        <f>VLOOKUP($A188,'Реестр объектов'!$A:$I,5,0)</f>
        <v>ул. Кубинка, з/у 16/1 (ул. Кубинка вл. 16-1) ЗАО, Можайский район, ул. Кубинка, земельный участок 16/1  (со сносом жилых зданий по адресу: ул. Кубинка, д.16 к.1) (кв. 71-72, 75 зона 4.1)</v>
      </c>
      <c r="C188" s="13" t="str">
        <f>VLOOKUP($A188,'Реестр объектов'!$A:$I,6,0)</f>
        <v>55.721179</v>
      </c>
      <c r="D188" s="13" t="str">
        <f>VLOOKUP($A188,'Реестр объектов'!$A:$I,7,0)</f>
        <v>37.407834</v>
      </c>
      <c r="E188" s="14" t="s">
        <v>33</v>
      </c>
      <c r="F188" s="15" t="s">
        <v>46</v>
      </c>
      <c r="G188" s="16"/>
      <c r="H188" s="16"/>
      <c r="I188" s="17"/>
      <c r="J188" s="18" t="str">
        <f>VLOOKUP($A188,'Реестр объектов'!$A:$I,8,0)</f>
        <v>https://docs.google.com/spreadsheets/d/1rbCD10ySi4YZEkJW2_Slmn9z7AI1WEsGsZaIJmnnT18/edit?gid=795869723#gid=795869723</v>
      </c>
      <c r="K188" s="19" t="str">
        <f>VLOOKUP($A188,'Реестр объектов'!$A:$I,9,0)</f>
        <v>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2075%20зона%204.1)</v>
      </c>
      <c r="L188" s="15" t="s">
        <v>35</v>
      </c>
      <c r="M188" s="6"/>
      <c r="N188" s="16"/>
      <c r="O188" s="6"/>
      <c r="P188" s="16"/>
      <c r="Q188" s="6"/>
      <c r="R188" s="6"/>
      <c r="S188" s="6"/>
    </row>
    <row r="189">
      <c r="A189" s="12" t="s">
        <v>113</v>
      </c>
      <c r="B189" s="13" t="str">
        <f>VLOOKUP($A189,'Реестр объектов'!$A:$I,5,0)</f>
        <v>кв-л 9 района Академический, зона № 2.1 кв-л 9 района Академический, зона № 2.1</v>
      </c>
      <c r="C189" s="13" t="str">
        <f>VLOOKUP($A189,'Реестр объектов'!$A:$I,6,0)</f>
        <v>55.675145</v>
      </c>
      <c r="D189" s="13" t="str">
        <f>VLOOKUP($A189,'Реестр объектов'!$A:$I,7,0)</f>
        <v>37.574192</v>
      </c>
      <c r="E189" s="14" t="s">
        <v>45</v>
      </c>
      <c r="F189" s="15" t="s">
        <v>46</v>
      </c>
      <c r="G189" s="16"/>
      <c r="H189" s="16"/>
      <c r="I189" s="17"/>
      <c r="J189" s="18" t="str">
        <f>VLOOKUP($A189,'Реестр объектов'!$A:$I,8,0)</f>
        <v>https://docs.google.com/spreadsheets/d/1rbCD10ySi4YZEkJW2_Slmn9z7AI1WEsGsZaIJmnnT18/edit?gid=1264505014#gid=1264505014</v>
      </c>
      <c r="K189" s="19" t="str">
        <f>VLOOKUP($A189,'Реестр объектов'!$A:$I,9,0)</f>
        <v>https://disk.yandex.ru/client/disk/Осмотры%20объектов%20АНО%20СМГ/900.%20кв-л%209%20района%20Академический%2C%20зона%20№%202.1</v>
      </c>
      <c r="L189" s="6"/>
      <c r="M189" s="6"/>
      <c r="N189" s="16"/>
      <c r="O189" s="6"/>
      <c r="P189" s="16"/>
      <c r="Q189" s="6"/>
      <c r="R189" s="6"/>
      <c r="S189" s="6"/>
    </row>
    <row r="190">
      <c r="A190" s="12" t="s">
        <v>114</v>
      </c>
      <c r="B190" s="13" t="str">
        <f>VLOOKUP($A190,'Реестр объектов'!$A:$I,5,0)</f>
        <v>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шоссе, вл.8А-10А</v>
      </c>
      <c r="C190" s="13" t="str">
        <f>VLOOKUP($A190,'Реестр объектов'!$A:$I,6,0)</f>
        <v>55.699085</v>
      </c>
      <c r="D190" s="13" t="str">
        <f>VLOOKUP($A190,'Реестр объектов'!$A:$I,7,0)</f>
        <v> 37.617942</v>
      </c>
      <c r="E190" s="14" t="s">
        <v>45</v>
      </c>
      <c r="F190" s="15" t="s">
        <v>46</v>
      </c>
      <c r="G190" s="16"/>
      <c r="H190" s="16"/>
      <c r="I190" s="17"/>
      <c r="J190" s="18" t="str">
        <f>VLOOKUP($A190,'Реестр объектов'!$A:$I,8,0)</f>
        <v>https://docs.google.com/spreadsheets/d/1rbCD10ySi4YZEkJW2_Slmn9z7AI1WEsGsZaIJmnnT18/edit?gid=1676819339#gid=1676819339</v>
      </c>
      <c r="K190" s="19" t="str">
        <f>VLOOKUP($A190,'Реестр объектов'!$A:$I,9,0)</f>
        <v/>
      </c>
      <c r="L190" s="6"/>
      <c r="M190" s="6"/>
      <c r="N190" s="16"/>
      <c r="O190" s="6"/>
      <c r="P190" s="16"/>
      <c r="Q190" s="6"/>
      <c r="R190" s="6"/>
      <c r="S190" s="6"/>
    </row>
    <row r="191">
      <c r="A191" s="12" t="s">
        <v>115</v>
      </c>
      <c r="B191" s="13" t="str">
        <f>VLOOKUP($A191,'Реестр объектов'!$A:$I,5,0)</f>
        <v>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Минусинская, вл. 12-14) Минусинская ул., з/у 14А (ул. Минусинская, вл. 12-14)</v>
      </c>
      <c r="C191" s="13" t="str">
        <f>VLOOKUP($A191,'Реестр объектов'!$A:$I,6,0)</f>
        <v>55.874321</v>
      </c>
      <c r="D191" s="13" t="str">
        <f>VLOOKUP($A191,'Реестр объектов'!$A:$I,7,0)</f>
        <v>37.692214</v>
      </c>
      <c r="E191" s="14" t="s">
        <v>45</v>
      </c>
      <c r="F191" s="15" t="s">
        <v>46</v>
      </c>
      <c r="G191" s="16"/>
      <c r="H191" s="16"/>
      <c r="I191" s="17"/>
      <c r="J191" s="18" t="str">
        <f>VLOOKUP($A191,'Реестр объектов'!$A:$I,8,0)</f>
        <v>https://docs.google.com/spreadsheets/d/1rbCD10ySi4YZEkJW2_Slmn9z7AI1WEsGsZaIJmnnT18/edit?gid=1472127211#gid=1472127211</v>
      </c>
      <c r="K191" s="19" t="str">
        <f>VLOOKUP($A191,'Реестр объектов'!$A:$I,9,0)</f>
        <v>https://disk.yandex.ru/client/disk/Осмотры%20объектов%20АНО%20СМГ/926%20Минусинская%2C%20зу%2014%20А</v>
      </c>
      <c r="L191" s="6"/>
      <c r="M191" s="6"/>
      <c r="N191" s="16"/>
      <c r="O191" s="6"/>
      <c r="P191" s="16"/>
      <c r="Q191" s="6"/>
      <c r="R191" s="6"/>
      <c r="S191" s="6"/>
    </row>
    <row r="192">
      <c r="A192" s="12" t="s">
        <v>116</v>
      </c>
      <c r="B192" s="13" t="str">
        <f>VLOOKUP($A192,'Реестр объектов'!$A:$I,5,0)</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v>
      </c>
      <c r="C192" s="13" t="str">
        <f>VLOOKUP($A192,'Реестр объектов'!$A:$I,6,0)</f>
        <v>55.773687</v>
      </c>
      <c r="D192" s="13" t="str">
        <f>VLOOKUP($A192,'Реестр объектов'!$A:$I,7,0)</f>
        <v>37.533742</v>
      </c>
      <c r="E192" s="14" t="s">
        <v>45</v>
      </c>
      <c r="F192" s="15" t="s">
        <v>46</v>
      </c>
      <c r="G192" s="16"/>
      <c r="H192" s="16"/>
      <c r="I192" s="17"/>
      <c r="J192" s="18" t="str">
        <f>VLOOKUP($A192,'Реестр объектов'!$A:$I,8,0)</f>
        <v>https://docs.google.com/spreadsheets/d/1rbCD10ySi4YZEkJW2_Slmn9z7AI1WEsGsZaIJmnnT18/edit?gid=868904483#gid=868904483</v>
      </c>
      <c r="K192" s="19" t="str">
        <f>VLOOKUP($A192,'Реестр объектов'!$A:$I,9,0)</f>
        <v>https://disk.yandex.ru/client/disk/Осмотры%20объектов%20АНО%20СМГ/959.%203-й%20Хорошевский%20пр-д%2C%20вл.%205%2C%20корп.%201</v>
      </c>
      <c r="L192" s="6"/>
      <c r="M192" s="6"/>
      <c r="N192" s="16"/>
      <c r="O192" s="6"/>
      <c r="P192" s="16"/>
      <c r="Q192" s="6"/>
      <c r="R192" s="6"/>
      <c r="S192" s="6"/>
    </row>
    <row r="193">
      <c r="A193" s="12" t="s">
        <v>117</v>
      </c>
      <c r="B193" s="13" t="str">
        <f>VLOOKUP($A193,'Реестр объектов'!$A:$I,5,0)</f>
        <v>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(со сносом жилых домов по адресам: 1-й квартал Капотня, дом 3; 1-й квартал Капотня, дом 4; 1-й квартал Капотня, дом 5; 1-й квартал Капотня, дом 12)</v>
      </c>
      <c r="C193" s="13" t="str">
        <f>VLOOKUP($A193,'Реестр объектов'!$A:$I,6,0)</f>
        <v>55.641518</v>
      </c>
      <c r="D193" s="13" t="str">
        <f>VLOOKUP($A193,'Реестр объектов'!$A:$I,7,0)</f>
        <v>37.789049</v>
      </c>
      <c r="E193" s="14" t="s">
        <v>41</v>
      </c>
      <c r="F193" s="15" t="s">
        <v>46</v>
      </c>
      <c r="G193" s="16"/>
      <c r="H193" s="16"/>
      <c r="I193" s="17"/>
      <c r="J193" s="18" t="str">
        <f>VLOOKUP($A193,'Реестр объектов'!$A:$I,8,0)</f>
        <v>https://docs.google.com/spreadsheets/d/1rbCD10ySi4YZEkJW2_Slmn9z7AI1WEsGsZaIJmnnT18/edit?gid=482221305#gid=482221305</v>
      </c>
      <c r="K193" s="19" t="str">
        <f>VLOOKUP($A193,'Реестр объектов'!$A:$I,9,0)</f>
        <v>https://disk.yandex.ru/client/disk/Осмотры%20объектов%20АНО%20СМГ/709.%201-й%20Квартал%20Капотни%2C%20з!у%204%2C%20д.3%2C%204%2C%205%2C%2012.%20Жилой%20дом</v>
      </c>
      <c r="L193" s="6"/>
      <c r="M193" s="6"/>
      <c r="N193" s="16"/>
      <c r="O193" s="6"/>
      <c r="P193" s="16"/>
      <c r="Q193" s="6"/>
      <c r="R193" s="6"/>
      <c r="S193" s="6"/>
    </row>
    <row r="194">
      <c r="A194" s="12" t="s">
        <v>118</v>
      </c>
      <c r="B194" s="13" t="str">
        <f>VLOOKUP($A194,'Реестр объектов'!$A:$I,5,0)</f>
        <v>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2/1, корп. 4; ул. Суворовская, д. 2/1, корп. 3)</v>
      </c>
      <c r="C194" s="13" t="str">
        <f>VLOOKUP($A194,'Реестр объектов'!$A:$I,6,0)</f>
        <v>55.787566</v>
      </c>
      <c r="D194" s="13" t="str">
        <f>VLOOKUP($A194,'Реестр объектов'!$A:$I,7,0)</f>
        <v>37.710284</v>
      </c>
      <c r="E194" s="14" t="s">
        <v>45</v>
      </c>
      <c r="F194" s="15" t="s">
        <v>46</v>
      </c>
      <c r="G194" s="16"/>
      <c r="H194" s="16"/>
      <c r="I194" s="17"/>
      <c r="J194" s="18" t="str">
        <f>VLOOKUP($A194,'Реестр объектов'!$A:$I,8,0)</f>
        <v>https://docs.google.com/spreadsheets/d/1rbCD10ySi4YZEkJW2_Slmn9z7AI1WEsGsZaIJmnnT18/edit?gid=1703617430#gid=1703617430</v>
      </c>
      <c r="K194" s="19" t="str">
        <f>VLOOKUP($A194,'Реестр объектов'!$A:$I,9,0)</f>
        <v>https://disk.yandex.ru/client/disk/Осмотры%20объектов%20АНО%20СМГ/640.%20Суворовская%20ул.%2C%20зу%202А-1</v>
      </c>
      <c r="L194" s="6"/>
      <c r="M194" s="6"/>
      <c r="N194" s="16"/>
      <c r="O194" s="6"/>
      <c r="P194" s="16"/>
      <c r="Q194" s="6"/>
      <c r="R194" s="6"/>
      <c r="S194" s="6"/>
    </row>
    <row r="195">
      <c r="A195" s="12" t="s">
        <v>119</v>
      </c>
      <c r="B195" s="13" t="str">
        <f>VLOOKUP($A195,'Реестр объектов'!$A:$I,5,0)</f>
        <v>Дмитровское ш., влд. 89 САО, район Бескудниковский, Дмитровское ш., вл. 89 (рефинансирование - 29,5 тыс.кв.м)</v>
      </c>
      <c r="C195" s="13" t="str">
        <f>VLOOKUP($A195,'Реестр объектов'!$A:$I,6,0)</f>
        <v>55.869208</v>
      </c>
      <c r="D195" s="13" t="str">
        <f>VLOOKUP($A195,'Реестр объектов'!$A:$I,7,0)</f>
        <v>37.545436</v>
      </c>
      <c r="E195" s="14" t="s">
        <v>45</v>
      </c>
      <c r="F195" s="15" t="s">
        <v>46</v>
      </c>
      <c r="G195" s="16"/>
      <c r="H195" s="16"/>
      <c r="I195" s="17"/>
      <c r="J195" s="18" t="str">
        <f>VLOOKUP($A195,'Реестр объектов'!$A:$I,8,0)</f>
        <v>https://docs.google.com/spreadsheets/d/1rbCD10ySi4YZEkJW2_Slmn9z7AI1WEsGsZaIJmnnT18/edit?gid=915615615#gid=915615615</v>
      </c>
      <c r="K195" s="19" t="str">
        <f>VLOOKUP($A195,'Реестр объектов'!$A:$I,9,0)</f>
        <v>https://disk.yandex.ru/client/disk/Осмотры%20объектов%20АНО%20СМГ/676%20Дмитровское%20шоссе%20вл%2089</v>
      </c>
      <c r="L195" s="6"/>
      <c r="M195" s="6"/>
      <c r="N195" s="16"/>
      <c r="O195" s="6"/>
      <c r="P195" s="16"/>
      <c r="Q195" s="6"/>
      <c r="R195" s="6"/>
      <c r="S195" s="6"/>
    </row>
    <row r="196">
      <c r="A196" s="12" t="s">
        <v>120</v>
      </c>
      <c r="B196" s="13" t="str">
        <f>VLOOKUP($A196,'Реестр объектов'!$A:$I,5,0)</f>
        <v>Сиреневый б-р, вл. 70 (Приобретение объектов недвижимости) ул. Сиреневый бульвар вл. 70 </v>
      </c>
      <c r="C196" s="13" t="str">
        <f>VLOOKUP($A196,'Реестр объектов'!$A:$I,6,0)</f>
        <v>55.801611</v>
      </c>
      <c r="D196" s="13" t="str">
        <f>VLOOKUP($A196,'Реестр объектов'!$A:$I,7,0)</f>
        <v>37.833587</v>
      </c>
      <c r="E196" s="14" t="s">
        <v>45</v>
      </c>
      <c r="F196" s="15" t="s">
        <v>46</v>
      </c>
      <c r="G196" s="16"/>
      <c r="H196" s="16"/>
      <c r="I196" s="17"/>
      <c r="J196" s="18" t="str">
        <f>VLOOKUP($A196,'Реестр объектов'!$A:$I,8,0)</f>
        <v>https://docs.google.com/spreadsheets/d/1rbCD10ySi4YZEkJW2_Slmn9z7AI1WEsGsZaIJmnnT18/edit?gid=64186922#gid=64186922</v>
      </c>
      <c r="K196" s="19" t="str">
        <f>VLOOKUP($A196,'Реестр объектов'!$A:$I,9,0)</f>
        <v>https://disk.yandex.ru/client/disk/Осмотры%20объектов%20АНО%20СМГ/739.%20Сиреневый%20бульвар%20вл%2070</v>
      </c>
      <c r="L196" s="6"/>
      <c r="M196" s="6"/>
      <c r="N196" s="16"/>
      <c r="O196" s="6"/>
      <c r="P196" s="16"/>
      <c r="Q196" s="6"/>
      <c r="R196" s="6"/>
      <c r="S196" s="6"/>
    </row>
    <row r="197">
      <c r="A197" s="12" t="s">
        <v>121</v>
      </c>
      <c r="B197" s="13" t="str">
        <f>VLOOKUP($A197,'Реестр объектов'!$A:$I,5,0)</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v>
      </c>
      <c r="C197" s="13" t="str">
        <f>VLOOKUP($A197,'Реестр объектов'!$A:$I,6,0)</f>
        <v>55.697530</v>
      </c>
      <c r="D197" s="13" t="str">
        <f>VLOOKUP($A197,'Реестр объектов'!$A:$I,7,0)</f>
        <v>37.817079</v>
      </c>
      <c r="E197" s="14" t="s">
        <v>41</v>
      </c>
      <c r="F197" s="15" t="s">
        <v>46</v>
      </c>
      <c r="G197" s="16"/>
      <c r="H197" s="16"/>
      <c r="I197" s="17"/>
      <c r="J197" s="18" t="str">
        <f>VLOOKUP($A197,'Реестр объектов'!$A:$I,8,0)</f>
        <v>https://docs.google.com/spreadsheets/d/1rbCD10ySi4YZEkJW2_Slmn9z7AI1WEsGsZaIJmnnT18/edit?gid=178347413#gid=178347413</v>
      </c>
      <c r="K197" s="19" t="str">
        <f>VLOOKUP($A197,'Реестр объектов'!$A:$I,9,0)</f>
        <v>https://disk.yandex.ru/client/disk/Осмотры%20объектов%20АНО%20СМГ/726.%20Самаркандский%20б-р%2C%2015-5(реновация)</v>
      </c>
      <c r="L197" s="6"/>
      <c r="M197" s="6"/>
      <c r="N197" s="16"/>
      <c r="O197" s="6"/>
      <c r="P197" s="16"/>
      <c r="Q197" s="6"/>
      <c r="R197" s="6"/>
      <c r="S197" s="6"/>
    </row>
    <row r="198">
      <c r="A198" s="12" t="s">
        <v>122</v>
      </c>
      <c r="B198" s="13" t="str">
        <f>VLOOKUP($A198,'Реестр объектов'!$A:$I,5,0)</f>
        <v>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бульвар, земельный участок 15/2 (участок 5.1) ЮВАО	Самаркандский бульвар, земельный участок 15/2 (участок 5.1) (ЮВАО)</v>
      </c>
      <c r="C198" s="13" t="str">
        <f>VLOOKUP($A198,'Реестр объектов'!$A:$I,6,0)</f>
        <v>55.696783</v>
      </c>
      <c r="D198" s="13" t="str">
        <f>VLOOKUP($A198,'Реестр объектов'!$A:$I,7,0)</f>
        <v>37.816855</v>
      </c>
      <c r="E198" s="14" t="s">
        <v>41</v>
      </c>
      <c r="F198" s="15" t="s">
        <v>46</v>
      </c>
      <c r="G198" s="16"/>
      <c r="H198" s="16"/>
      <c r="I198" s="17"/>
      <c r="J198" s="18" t="str">
        <f>VLOOKUP($A198,'Реестр объектов'!$A:$I,8,0)</f>
        <v>https://docs.google.com/spreadsheets/d/1rbCD10ySi4YZEkJW2_Slmn9z7AI1WEsGsZaIJmnnT18/edit?gid=607897783#gid=607897783</v>
      </c>
      <c r="K198" s="19" t="str">
        <f>VLOOKUP($A198,'Реестр объектов'!$A:$I,9,0)</f>
        <v>https://disk.yandex.ru/client/disk/Осмотры%20объектов%20АНО%20СМГ/761.%20Самаркандский%20б-р%2C%20уч.%2015-2</v>
      </c>
      <c r="L198" s="6"/>
      <c r="M198" s="6"/>
      <c r="N198" s="16"/>
      <c r="O198" s="6"/>
      <c r="P198" s="16"/>
      <c r="Q198" s="6"/>
      <c r="R198" s="6"/>
      <c r="S198" s="6"/>
    </row>
    <row r="199">
      <c r="A199" s="12" t="s">
        <v>124</v>
      </c>
      <c r="B199" s="13" t="str">
        <f>VLOOKUP($A199,'Реестр объектов'!$A:$I,5,0)</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v>
      </c>
      <c r="C199" s="13" t="str">
        <f>VLOOKUP($A199,'Реестр объектов'!$A:$I,6,0)</f>
        <v>55.696051</v>
      </c>
      <c r="D199" s="13" t="str">
        <f>VLOOKUP($A199,'Реестр объектов'!$A:$I,7,0)</f>
        <v>37.818209</v>
      </c>
      <c r="E199" s="14" t="s">
        <v>41</v>
      </c>
      <c r="F199" s="15" t="s">
        <v>46</v>
      </c>
      <c r="G199" s="16"/>
      <c r="H199" s="16"/>
      <c r="I199" s="17"/>
      <c r="J199" s="18" t="str">
        <f>VLOOKUP($A199,'Реестр объектов'!$A:$I,8,0)</f>
        <v>https://docs.google.com/spreadsheets/d/1rbCD10ySi4YZEkJW2_Slmn9z7AI1WEsGsZaIJmnnT18/edit?gid=829089146#gid=829089146</v>
      </c>
      <c r="K199" s="19" t="str">
        <f>VLOOKUP($A199,'Реестр объектов'!$A:$I,9,0)</f>
        <v>https://disk.yandex.ru/client/disk/Осмотры%20объектов%20АНО%20СМГ/763.%20Самаркандский%2015-4%20(Фонд%20реновации)</v>
      </c>
      <c r="L199" s="6"/>
      <c r="M199" s="6"/>
      <c r="N199" s="16"/>
      <c r="O199" s="6"/>
      <c r="P199" s="16"/>
      <c r="Q199" s="6"/>
      <c r="R199" s="6"/>
      <c r="S199" s="6"/>
    </row>
    <row r="200">
      <c r="A200" s="12" t="s">
        <v>125</v>
      </c>
      <c r="B200" s="13" t="str">
        <f>VLOOKUP($A200,'Реестр объектов'!$A:$I,5,0)</f>
        <v>Жилой дом с инженерными сетями и благоустройством территории, СЗАО, район Южное Тушино, Новопоселковая ул., вл.6 ул. Новопоселковая, вл. 6</v>
      </c>
      <c r="C200" s="13" t="str">
        <f>VLOOKUP($A200,'Реестр объектов'!$A:$I,6,0)</f>
        <v>55.841008</v>
      </c>
      <c r="D200" s="13" t="str">
        <f>VLOOKUP($A200,'Реестр объектов'!$A:$I,7,0)</f>
        <v>37.443541</v>
      </c>
      <c r="E200" s="14" t="s">
        <v>45</v>
      </c>
      <c r="F200" s="15" t="s">
        <v>46</v>
      </c>
      <c r="G200" s="16"/>
      <c r="H200" s="16"/>
      <c r="I200" s="17"/>
      <c r="J200" s="18" t="str">
        <f>VLOOKUP($A200,'Реестр объектов'!$A:$I,8,0)</f>
        <v>https://docs.google.com/spreadsheets/d/1rbCD10ySi4YZEkJW2_Slmn9z7AI1WEsGsZaIJmnnT18/edit?gid=402405412#gid=402405412</v>
      </c>
      <c r="K200" s="19" t="str">
        <f>VLOOKUP($A200,'Реестр объектов'!$A:$I,9,0)</f>
        <v>https://disk.yandex.ru/client/disk/Осмотры%20объектов%20АНО%20СМГ/920.%20Новопоселковая%20вл.%206</v>
      </c>
      <c r="L200" s="6"/>
      <c r="M200" s="6"/>
      <c r="N200" s="16"/>
      <c r="O200" s="6"/>
      <c r="P200" s="16"/>
      <c r="Q200" s="6"/>
      <c r="R200" s="6"/>
      <c r="S200" s="6"/>
    </row>
    <row r="201">
      <c r="A201" s="32" t="s">
        <v>585</v>
      </c>
      <c r="B201" s="15" t="s">
        <v>586</v>
      </c>
      <c r="C201" s="15" t="s">
        <v>587</v>
      </c>
      <c r="D201" s="15" t="s">
        <v>588</v>
      </c>
      <c r="E201" s="14" t="s">
        <v>35</v>
      </c>
      <c r="F201" s="15" t="s">
        <v>129</v>
      </c>
      <c r="G201" s="20">
        <v>45974.4799100463</v>
      </c>
      <c r="H201" s="20">
        <v>45974.515555370366</v>
      </c>
      <c r="I201" s="2" t="s">
        <v>185</v>
      </c>
      <c r="J201" s="17"/>
      <c r="K201" s="17"/>
      <c r="L201" s="6"/>
      <c r="M201" s="6"/>
      <c r="N201" s="16"/>
      <c r="O201" s="6"/>
      <c r="P201" s="16"/>
      <c r="Q201" s="6"/>
      <c r="R201" s="6"/>
      <c r="S201" s="6"/>
    </row>
    <row r="202">
      <c r="A202" s="22">
        <v>11112.0</v>
      </c>
      <c r="B202" s="15" t="s">
        <v>589</v>
      </c>
      <c r="C202" s="15" t="s">
        <v>590</v>
      </c>
      <c r="D202" s="15" t="s">
        <v>591</v>
      </c>
      <c r="E202" s="14" t="s">
        <v>35</v>
      </c>
      <c r="F202" s="15" t="s">
        <v>129</v>
      </c>
      <c r="G202" s="20">
        <v>45974.73071787037</v>
      </c>
      <c r="H202" s="20">
        <v>45974.74750508102</v>
      </c>
      <c r="I202" s="2" t="s">
        <v>531</v>
      </c>
      <c r="J202" s="17"/>
      <c r="K202" s="17"/>
      <c r="L202" s="6"/>
      <c r="M202" s="6"/>
      <c r="N202" s="16"/>
      <c r="O202" s="6"/>
      <c r="P202" s="16"/>
      <c r="Q202" s="6"/>
      <c r="R202" s="6"/>
      <c r="S202" s="6"/>
    </row>
    <row r="203">
      <c r="A203" s="22">
        <v>11113.0</v>
      </c>
      <c r="B203" s="15" t="s">
        <v>126</v>
      </c>
      <c r="C203" s="15" t="s">
        <v>127</v>
      </c>
      <c r="D203" s="15" t="s">
        <v>128</v>
      </c>
      <c r="E203" s="14" t="s">
        <v>17</v>
      </c>
      <c r="F203" s="15" t="s">
        <v>129</v>
      </c>
      <c r="G203" s="16"/>
      <c r="H203" s="16"/>
      <c r="I203" s="17"/>
      <c r="J203" s="17"/>
      <c r="K203" s="17"/>
      <c r="L203" s="6"/>
      <c r="M203" s="6"/>
      <c r="N203" s="16"/>
      <c r="O203" s="6"/>
      <c r="P203" s="16"/>
      <c r="Q203" s="6"/>
      <c r="R203" s="6"/>
      <c r="S203" s="6"/>
    </row>
    <row r="204">
      <c r="A204" s="22">
        <v>11114.0</v>
      </c>
      <c r="B204" s="15" t="s">
        <v>130</v>
      </c>
      <c r="C204" s="15" t="s">
        <v>127</v>
      </c>
      <c r="D204" s="15" t="s">
        <v>128</v>
      </c>
      <c r="E204" s="14" t="s">
        <v>17</v>
      </c>
      <c r="F204" s="15" t="s">
        <v>129</v>
      </c>
      <c r="G204" s="16"/>
      <c r="H204" s="16"/>
      <c r="I204" s="17"/>
      <c r="J204" s="17"/>
      <c r="K204" s="17"/>
      <c r="L204" s="6"/>
      <c r="M204" s="6"/>
      <c r="N204" s="16"/>
      <c r="O204" s="6"/>
      <c r="P204" s="16"/>
      <c r="Q204" s="6"/>
      <c r="R204" s="6"/>
      <c r="S204" s="6"/>
    </row>
    <row r="205">
      <c r="A205" s="22">
        <v>11115.0</v>
      </c>
      <c r="B205" s="15" t="s">
        <v>592</v>
      </c>
      <c r="C205" s="15" t="s">
        <v>593</v>
      </c>
      <c r="D205" s="15" t="s">
        <v>594</v>
      </c>
      <c r="E205" s="14" t="s">
        <v>35</v>
      </c>
      <c r="F205" s="15" t="s">
        <v>129</v>
      </c>
      <c r="G205" s="20">
        <v>45974.75099726852</v>
      </c>
      <c r="H205" s="20">
        <v>45974.759455277774</v>
      </c>
      <c r="I205" s="2" t="s">
        <v>595</v>
      </c>
      <c r="J205" s="17"/>
      <c r="K205" s="17"/>
      <c r="L205" s="6"/>
      <c r="M205" s="6"/>
      <c r="N205" s="16"/>
      <c r="O205" s="6"/>
      <c r="P205" s="16"/>
      <c r="Q205" s="6"/>
      <c r="R205" s="6"/>
      <c r="S205" s="6"/>
    </row>
    <row r="206">
      <c r="A206" s="22">
        <v>11116.0</v>
      </c>
      <c r="B206" s="15" t="s">
        <v>131</v>
      </c>
      <c r="C206" s="15" t="s">
        <v>132</v>
      </c>
      <c r="D206" s="15" t="s">
        <v>133</v>
      </c>
      <c r="E206" s="14" t="s">
        <v>19</v>
      </c>
      <c r="F206" s="15" t="s">
        <v>129</v>
      </c>
      <c r="G206" s="16"/>
      <c r="H206" s="16"/>
      <c r="I206" s="17"/>
      <c r="J206" s="17"/>
      <c r="K206" s="17"/>
      <c r="L206" s="6"/>
      <c r="M206" s="6"/>
      <c r="N206" s="16"/>
      <c r="O206" s="6"/>
      <c r="P206" s="16"/>
      <c r="Q206" s="6"/>
      <c r="R206" s="6"/>
      <c r="S206" s="6"/>
    </row>
    <row r="207">
      <c r="A207" s="22">
        <v>11117.0</v>
      </c>
      <c r="B207" s="15" t="s">
        <v>135</v>
      </c>
      <c r="C207" s="15" t="s">
        <v>136</v>
      </c>
      <c r="D207" s="15" t="s">
        <v>137</v>
      </c>
      <c r="E207" s="14" t="s">
        <v>17</v>
      </c>
      <c r="F207" s="15" t="s">
        <v>129</v>
      </c>
      <c r="G207" s="16"/>
      <c r="H207" s="16"/>
      <c r="I207" s="17"/>
      <c r="J207" s="17"/>
      <c r="K207" s="17"/>
      <c r="L207" s="6"/>
      <c r="M207" s="6"/>
      <c r="N207" s="16"/>
      <c r="O207" s="6"/>
      <c r="P207" s="16"/>
      <c r="Q207" s="6"/>
      <c r="R207" s="6"/>
      <c r="S207" s="6"/>
    </row>
    <row r="208">
      <c r="A208" s="22">
        <v>11118.0</v>
      </c>
      <c r="B208" s="15" t="s">
        <v>139</v>
      </c>
      <c r="C208" s="15" t="s">
        <v>140</v>
      </c>
      <c r="D208" s="15" t="s">
        <v>141</v>
      </c>
      <c r="E208" s="14" t="s">
        <v>17</v>
      </c>
      <c r="F208" s="15" t="s">
        <v>129</v>
      </c>
      <c r="G208" s="16"/>
      <c r="H208" s="16"/>
      <c r="I208" s="17"/>
      <c r="J208" s="17"/>
      <c r="K208" s="17"/>
      <c r="L208" s="15" t="s">
        <v>19</v>
      </c>
      <c r="M208" s="6"/>
      <c r="N208" s="16"/>
      <c r="O208" s="6"/>
      <c r="P208" s="16"/>
      <c r="Q208" s="6"/>
      <c r="R208" s="6"/>
      <c r="S208" s="6"/>
    </row>
    <row r="209">
      <c r="A209" s="22">
        <v>11119.0</v>
      </c>
      <c r="B209" s="15" t="s">
        <v>142</v>
      </c>
      <c r="C209" s="15" t="s">
        <v>143</v>
      </c>
      <c r="D209" s="15" t="s">
        <v>144</v>
      </c>
      <c r="E209" s="14" t="s">
        <v>33</v>
      </c>
      <c r="F209" s="15" t="s">
        <v>129</v>
      </c>
      <c r="G209" s="16"/>
      <c r="H209" s="16"/>
      <c r="I209" s="17"/>
      <c r="J209" s="17"/>
      <c r="K209" s="17"/>
      <c r="L209" s="6"/>
      <c r="M209" s="6"/>
      <c r="N209" s="16"/>
      <c r="O209" s="6"/>
      <c r="P209" s="16"/>
      <c r="Q209" s="6"/>
      <c r="R209" s="6"/>
      <c r="S209" s="6"/>
    </row>
    <row r="210">
      <c r="A210" s="22">
        <v>11120.0</v>
      </c>
      <c r="B210" s="15" t="s">
        <v>145</v>
      </c>
      <c r="C210" s="15" t="s">
        <v>146</v>
      </c>
      <c r="D210" s="15" t="s">
        <v>147</v>
      </c>
      <c r="E210" s="14" t="s">
        <v>29</v>
      </c>
      <c r="F210" s="15" t="s">
        <v>129</v>
      </c>
      <c r="G210" s="16"/>
      <c r="H210" s="16"/>
      <c r="I210" s="17"/>
      <c r="J210" s="17"/>
      <c r="K210" s="17"/>
      <c r="L210" s="6"/>
      <c r="M210" s="6"/>
      <c r="N210" s="16"/>
      <c r="O210" s="6"/>
      <c r="P210" s="16"/>
      <c r="Q210" s="6"/>
      <c r="R210" s="6"/>
      <c r="S210" s="6"/>
    </row>
    <row r="211">
      <c r="A211" s="22">
        <v>11121.0</v>
      </c>
      <c r="B211" s="15" t="s">
        <v>148</v>
      </c>
      <c r="C211" s="15" t="s">
        <v>149</v>
      </c>
      <c r="D211" s="15" t="s">
        <v>150</v>
      </c>
      <c r="E211" s="14" t="s">
        <v>19</v>
      </c>
      <c r="F211" s="15" t="s">
        <v>129</v>
      </c>
      <c r="G211" s="16"/>
      <c r="H211" s="16"/>
      <c r="I211" s="17"/>
      <c r="J211" s="17"/>
      <c r="K211" s="17"/>
      <c r="L211" s="6"/>
      <c r="M211" s="6"/>
      <c r="N211" s="16"/>
      <c r="O211" s="6"/>
      <c r="P211" s="16"/>
      <c r="Q211" s="6"/>
      <c r="R211" s="6"/>
      <c r="S211" s="6"/>
    </row>
    <row r="212">
      <c r="A212" s="22">
        <v>11122.0</v>
      </c>
      <c r="B212" s="15" t="s">
        <v>596</v>
      </c>
      <c r="C212" s="15" t="s">
        <v>597</v>
      </c>
      <c r="D212" s="15" t="s">
        <v>598</v>
      </c>
      <c r="E212" s="14" t="s">
        <v>35</v>
      </c>
      <c r="F212" s="15" t="s">
        <v>129</v>
      </c>
      <c r="G212" s="20">
        <v>45974.634120243056</v>
      </c>
      <c r="H212" s="20">
        <v>45974.64533547453</v>
      </c>
      <c r="I212" s="2" t="s">
        <v>211</v>
      </c>
      <c r="J212" s="17"/>
      <c r="K212" s="17"/>
      <c r="L212" s="6"/>
      <c r="M212" s="6"/>
      <c r="N212" s="16"/>
      <c r="O212" s="6"/>
      <c r="P212" s="16"/>
      <c r="Q212" s="6"/>
      <c r="R212" s="6"/>
      <c r="S212" s="6"/>
    </row>
    <row r="213">
      <c r="A213" s="22">
        <v>11123.0</v>
      </c>
      <c r="B213" s="15" t="s">
        <v>152</v>
      </c>
      <c r="C213" s="15" t="s">
        <v>153</v>
      </c>
      <c r="D213" s="15" t="s">
        <v>154</v>
      </c>
      <c r="E213" s="14" t="s">
        <v>33</v>
      </c>
      <c r="F213" s="15" t="s">
        <v>129</v>
      </c>
      <c r="G213" s="16"/>
      <c r="H213" s="16"/>
      <c r="I213" s="17"/>
      <c r="J213" s="17"/>
      <c r="K213" s="17"/>
      <c r="L213" s="6"/>
      <c r="M213" s="6"/>
      <c r="N213" s="16"/>
      <c r="O213" s="6"/>
      <c r="P213" s="16"/>
      <c r="Q213" s="6"/>
      <c r="R213" s="6"/>
      <c r="S213" s="6"/>
    </row>
    <row r="214">
      <c r="A214" s="22">
        <v>11124.0</v>
      </c>
      <c r="B214" s="15" t="s">
        <v>155</v>
      </c>
      <c r="C214" s="15" t="s">
        <v>156</v>
      </c>
      <c r="D214" s="15" t="s">
        <v>157</v>
      </c>
      <c r="E214" s="14" t="s">
        <v>45</v>
      </c>
      <c r="F214" s="15" t="s">
        <v>129</v>
      </c>
      <c r="G214" s="16"/>
      <c r="H214" s="16"/>
      <c r="I214" s="17"/>
      <c r="J214" s="17"/>
      <c r="K214" s="17"/>
      <c r="L214" s="6"/>
      <c r="M214" s="6"/>
      <c r="N214" s="16"/>
      <c r="O214" s="6"/>
      <c r="P214" s="16"/>
      <c r="Q214" s="6"/>
      <c r="R214" s="6"/>
      <c r="S214" s="6"/>
    </row>
    <row r="215">
      <c r="A215" s="22">
        <v>11125.0</v>
      </c>
      <c r="B215" s="15" t="s">
        <v>599</v>
      </c>
      <c r="C215" s="15" t="s">
        <v>600</v>
      </c>
      <c r="D215" s="15" t="s">
        <v>601</v>
      </c>
      <c r="E215" s="14" t="s">
        <v>35</v>
      </c>
      <c r="F215" s="15" t="s">
        <v>129</v>
      </c>
      <c r="G215" s="20">
        <v>45974.54242424769</v>
      </c>
      <c r="H215" s="20">
        <v>45974.56928960649</v>
      </c>
      <c r="I215" s="2" t="s">
        <v>59</v>
      </c>
      <c r="J215" s="17"/>
      <c r="K215" s="17"/>
      <c r="L215" s="6"/>
      <c r="M215" s="6"/>
      <c r="N215" s="16"/>
      <c r="O215" s="6"/>
      <c r="P215" s="16"/>
      <c r="Q215" s="6"/>
      <c r="R215" s="6"/>
      <c r="S215" s="6"/>
    </row>
    <row r="216">
      <c r="A216" s="22">
        <v>11126.0</v>
      </c>
      <c r="B216" s="15" t="s">
        <v>602</v>
      </c>
      <c r="C216" s="15" t="s">
        <v>603</v>
      </c>
      <c r="D216" s="15" t="s">
        <v>604</v>
      </c>
      <c r="E216" s="14" t="s">
        <v>35</v>
      </c>
      <c r="F216" s="15" t="s">
        <v>129</v>
      </c>
      <c r="G216" s="20">
        <v>45974.59164702546</v>
      </c>
      <c r="H216" s="20">
        <v>45974.60784427084</v>
      </c>
      <c r="I216" s="2" t="s">
        <v>250</v>
      </c>
      <c r="J216" s="17"/>
      <c r="K216" s="17"/>
      <c r="L216" s="6"/>
      <c r="M216" s="6"/>
      <c r="N216" s="16"/>
      <c r="O216" s="6"/>
      <c r="P216" s="16"/>
      <c r="Q216" s="6"/>
      <c r="R216" s="6"/>
      <c r="S216" s="6"/>
    </row>
    <row r="217">
      <c r="A217" s="22">
        <v>11127.0</v>
      </c>
      <c r="B217" s="15" t="s">
        <v>605</v>
      </c>
      <c r="C217" s="15" t="s">
        <v>606</v>
      </c>
      <c r="D217" s="15" t="s">
        <v>607</v>
      </c>
      <c r="E217" s="14" t="s">
        <v>35</v>
      </c>
      <c r="F217" s="15" t="s">
        <v>129</v>
      </c>
      <c r="G217" s="20">
        <v>45974.60811681713</v>
      </c>
      <c r="H217" s="20">
        <v>45974.61016899305</v>
      </c>
      <c r="I217" s="2" t="s">
        <v>409</v>
      </c>
      <c r="J217" s="17"/>
      <c r="K217" s="17"/>
      <c r="L217" s="6"/>
      <c r="M217" s="6"/>
      <c r="N217" s="16"/>
      <c r="O217" s="6"/>
      <c r="P217" s="16"/>
      <c r="Q217" s="6"/>
      <c r="R217" s="6"/>
      <c r="S217" s="6"/>
    </row>
    <row r="218">
      <c r="A218" s="22">
        <v>11128.0</v>
      </c>
      <c r="B218" s="15" t="s">
        <v>608</v>
      </c>
      <c r="C218" s="15" t="s">
        <v>609</v>
      </c>
      <c r="D218" s="15" t="s">
        <v>610</v>
      </c>
      <c r="E218" s="14" t="s">
        <v>33</v>
      </c>
      <c r="F218" s="15" t="s">
        <v>129</v>
      </c>
      <c r="G218" s="20">
        <v>45974.73077274306</v>
      </c>
      <c r="H218" s="20">
        <v>45974.73096075232</v>
      </c>
      <c r="I218" s="2" t="s">
        <v>611</v>
      </c>
      <c r="J218" s="17"/>
      <c r="K218" s="17"/>
      <c r="L218" s="6"/>
      <c r="M218" s="6"/>
      <c r="N218" s="16"/>
      <c r="O218" s="6"/>
      <c r="P218" s="16"/>
      <c r="Q218" s="6"/>
      <c r="R218" s="6"/>
      <c r="S218" s="6"/>
    </row>
    <row r="219">
      <c r="A219" s="22">
        <v>11129.0</v>
      </c>
      <c r="B219" s="15" t="s">
        <v>612</v>
      </c>
      <c r="C219" s="15" t="s">
        <v>609</v>
      </c>
      <c r="D219" s="15" t="s">
        <v>610</v>
      </c>
      <c r="E219" s="14" t="s">
        <v>33</v>
      </c>
      <c r="F219" s="15" t="s">
        <v>129</v>
      </c>
      <c r="G219" s="20">
        <v>45974.72871488426</v>
      </c>
      <c r="H219" s="20">
        <v>45974.72934068287</v>
      </c>
      <c r="I219" s="2" t="s">
        <v>243</v>
      </c>
      <c r="J219" s="17"/>
      <c r="K219" s="17"/>
      <c r="L219" s="6"/>
      <c r="M219" s="6"/>
      <c r="N219" s="16"/>
      <c r="O219" s="6"/>
      <c r="P219" s="16"/>
      <c r="Q219" s="6"/>
      <c r="R219" s="6"/>
      <c r="S219" s="6"/>
    </row>
    <row r="220">
      <c r="A220" s="22">
        <v>11130.0</v>
      </c>
      <c r="B220" s="15" t="s">
        <v>158</v>
      </c>
      <c r="C220" s="15" t="s">
        <v>159</v>
      </c>
      <c r="D220" s="15" t="s">
        <v>160</v>
      </c>
      <c r="E220" s="14" t="s">
        <v>45</v>
      </c>
      <c r="F220" s="15" t="s">
        <v>129</v>
      </c>
      <c r="G220" s="16"/>
      <c r="H220" s="16"/>
      <c r="I220" s="17"/>
      <c r="J220" s="17"/>
      <c r="K220" s="17"/>
      <c r="L220" s="6"/>
      <c r="M220" s="6"/>
      <c r="N220" s="16"/>
      <c r="O220" s="6"/>
      <c r="P220" s="16"/>
      <c r="Q220" s="6"/>
      <c r="R220" s="6"/>
      <c r="S220" s="6"/>
    </row>
    <row r="221">
      <c r="A221" s="22">
        <v>11131.0</v>
      </c>
      <c r="B221" s="15" t="s">
        <v>161</v>
      </c>
      <c r="C221" s="15" t="s">
        <v>162</v>
      </c>
      <c r="D221" s="15" t="s">
        <v>163</v>
      </c>
      <c r="E221" s="14" t="s">
        <v>45</v>
      </c>
      <c r="F221" s="15" t="s">
        <v>129</v>
      </c>
      <c r="G221" s="16"/>
      <c r="H221" s="16"/>
      <c r="I221" s="17"/>
      <c r="J221" s="17"/>
      <c r="K221" s="17"/>
      <c r="L221" s="6"/>
      <c r="M221" s="6"/>
      <c r="N221" s="16"/>
      <c r="O221" s="6"/>
      <c r="P221" s="16"/>
      <c r="Q221" s="6"/>
      <c r="R221" s="6"/>
      <c r="S221" s="6"/>
    </row>
    <row r="222">
      <c r="A222" s="22">
        <v>11132.0</v>
      </c>
      <c r="B222" s="15" t="s">
        <v>164</v>
      </c>
      <c r="C222" s="15" t="s">
        <v>165</v>
      </c>
      <c r="D222" s="15" t="s">
        <v>166</v>
      </c>
      <c r="E222" s="14" t="s">
        <v>45</v>
      </c>
      <c r="F222" s="15" t="s">
        <v>129</v>
      </c>
      <c r="G222" s="16"/>
      <c r="H222" s="16"/>
      <c r="I222" s="17"/>
      <c r="J222" s="17"/>
      <c r="K222" s="17"/>
      <c r="L222" s="6"/>
      <c r="M222" s="6"/>
      <c r="N222" s="16"/>
      <c r="O222" s="6"/>
      <c r="P222" s="16"/>
      <c r="Q222" s="6"/>
      <c r="R222" s="6"/>
      <c r="S222" s="6"/>
    </row>
    <row r="223">
      <c r="A223" s="22">
        <v>11133.0</v>
      </c>
      <c r="B223" s="15" t="s">
        <v>168</v>
      </c>
      <c r="C223" s="15" t="s">
        <v>169</v>
      </c>
      <c r="D223" s="15" t="s">
        <v>170</v>
      </c>
      <c r="E223" s="14" t="s">
        <v>45</v>
      </c>
      <c r="F223" s="15" t="s">
        <v>129</v>
      </c>
      <c r="G223" s="16"/>
      <c r="H223" s="16"/>
      <c r="I223" s="17"/>
      <c r="J223" s="17"/>
      <c r="K223" s="17"/>
      <c r="L223" s="6"/>
      <c r="M223" s="6"/>
      <c r="N223" s="16"/>
      <c r="O223" s="6"/>
      <c r="P223" s="16"/>
      <c r="Q223" s="6"/>
      <c r="R223" s="6"/>
      <c r="S223" s="6"/>
    </row>
    <row r="224">
      <c r="A224" s="22">
        <v>11134.0</v>
      </c>
      <c r="B224" s="15" t="s">
        <v>172</v>
      </c>
      <c r="C224" s="15" t="s">
        <v>173</v>
      </c>
      <c r="D224" s="15" t="s">
        <v>174</v>
      </c>
      <c r="E224" s="14" t="s">
        <v>33</v>
      </c>
      <c r="F224" s="15" t="s">
        <v>129</v>
      </c>
      <c r="G224" s="16"/>
      <c r="H224" s="16"/>
      <c r="I224" s="17"/>
      <c r="J224" s="17"/>
      <c r="K224" s="17"/>
      <c r="L224" s="15" t="s">
        <v>35</v>
      </c>
      <c r="M224" s="6"/>
      <c r="N224" s="16"/>
      <c r="O224" s="6"/>
      <c r="P224" s="16"/>
      <c r="Q224" s="6"/>
      <c r="R224" s="6"/>
      <c r="S224" s="6"/>
    </row>
    <row r="225">
      <c r="A225" s="22">
        <v>11135.0</v>
      </c>
      <c r="B225" s="15" t="s">
        <v>175</v>
      </c>
      <c r="C225" s="15" t="s">
        <v>173</v>
      </c>
      <c r="D225" s="15" t="s">
        <v>174</v>
      </c>
      <c r="E225" s="14" t="s">
        <v>33</v>
      </c>
      <c r="F225" s="15" t="s">
        <v>129</v>
      </c>
      <c r="G225" s="16"/>
      <c r="H225" s="16"/>
      <c r="I225" s="17"/>
      <c r="J225" s="17"/>
      <c r="K225" s="17"/>
      <c r="L225" s="15" t="s">
        <v>35</v>
      </c>
      <c r="M225" s="6"/>
      <c r="N225" s="16"/>
      <c r="O225" s="6"/>
      <c r="P225" s="16"/>
      <c r="Q225" s="6"/>
      <c r="R225" s="6"/>
      <c r="S225" s="6"/>
    </row>
    <row r="226">
      <c r="A226" s="22">
        <v>11136.0</v>
      </c>
      <c r="B226" s="15" t="s">
        <v>613</v>
      </c>
      <c r="C226" s="15" t="s">
        <v>173</v>
      </c>
      <c r="D226" s="15" t="s">
        <v>174</v>
      </c>
      <c r="E226" s="14" t="s">
        <v>35</v>
      </c>
      <c r="F226" s="15" t="s">
        <v>129</v>
      </c>
      <c r="G226" s="20">
        <v>45974.57400479166</v>
      </c>
      <c r="H226" s="20">
        <v>45974.59138950231</v>
      </c>
      <c r="I226" s="2" t="s">
        <v>524</v>
      </c>
      <c r="J226" s="17"/>
      <c r="K226" s="17"/>
      <c r="L226" s="6"/>
      <c r="M226" s="6"/>
      <c r="N226" s="16"/>
      <c r="O226" s="6"/>
      <c r="P226" s="16"/>
      <c r="Q226" s="6"/>
      <c r="R226" s="6"/>
      <c r="S226" s="6"/>
    </row>
    <row r="227">
      <c r="A227" s="22">
        <v>11137.0</v>
      </c>
      <c r="B227" s="15" t="s">
        <v>176</v>
      </c>
      <c r="C227" s="15" t="s">
        <v>177</v>
      </c>
      <c r="D227" s="15" t="s">
        <v>178</v>
      </c>
      <c r="E227" s="14" t="s">
        <v>45</v>
      </c>
      <c r="F227" s="15" t="s">
        <v>129</v>
      </c>
      <c r="G227" s="16"/>
      <c r="H227" s="16"/>
      <c r="I227" s="17"/>
      <c r="J227" s="17"/>
      <c r="K227" s="17"/>
      <c r="L227" s="6"/>
      <c r="M227" s="6"/>
      <c r="N227" s="16"/>
      <c r="O227" s="6"/>
      <c r="P227" s="16"/>
      <c r="Q227" s="6"/>
      <c r="R227" s="6"/>
      <c r="S227" s="6"/>
    </row>
    <row r="228">
      <c r="A228" s="22">
        <v>11138.0</v>
      </c>
      <c r="B228" s="15" t="s">
        <v>179</v>
      </c>
      <c r="C228" s="15" t="s">
        <v>180</v>
      </c>
      <c r="D228" s="15" t="s">
        <v>181</v>
      </c>
      <c r="E228" s="14" t="s">
        <v>17</v>
      </c>
      <c r="F228" s="15" t="s">
        <v>129</v>
      </c>
      <c r="G228" s="16"/>
      <c r="H228" s="16"/>
      <c r="I228" s="17"/>
      <c r="J228" s="17"/>
      <c r="K228" s="17"/>
      <c r="L228" s="6"/>
      <c r="M228" s="6"/>
      <c r="N228" s="16"/>
      <c r="O228" s="6"/>
      <c r="P228" s="16"/>
      <c r="Q228" s="6"/>
      <c r="R228" s="6"/>
      <c r="S228" s="6"/>
    </row>
    <row r="229">
      <c r="A229" s="22">
        <v>11139.0</v>
      </c>
      <c r="B229" s="15" t="s">
        <v>182</v>
      </c>
      <c r="C229" s="15" t="s">
        <v>183</v>
      </c>
      <c r="D229" s="15" t="s">
        <v>184</v>
      </c>
      <c r="E229" s="14" t="s">
        <v>29</v>
      </c>
      <c r="F229" s="15" t="s">
        <v>129</v>
      </c>
      <c r="G229" s="16"/>
      <c r="H229" s="16"/>
      <c r="I229" s="17"/>
      <c r="J229" s="17"/>
      <c r="K229" s="17"/>
      <c r="L229" s="6"/>
      <c r="M229" s="6"/>
      <c r="N229" s="16"/>
      <c r="O229" s="6"/>
      <c r="P229" s="16"/>
      <c r="Q229" s="6"/>
      <c r="R229" s="6"/>
      <c r="S229" s="6"/>
    </row>
    <row r="230">
      <c r="A230" s="22">
        <v>11140.0</v>
      </c>
      <c r="B230" s="15" t="s">
        <v>186</v>
      </c>
      <c r="C230" s="15" t="s">
        <v>187</v>
      </c>
      <c r="D230" s="15" t="s">
        <v>188</v>
      </c>
      <c r="E230" s="14" t="s">
        <v>33</v>
      </c>
      <c r="F230" s="15" t="s">
        <v>129</v>
      </c>
      <c r="G230" s="16"/>
      <c r="H230" s="16"/>
      <c r="I230" s="17"/>
      <c r="J230" s="17"/>
      <c r="K230" s="17"/>
      <c r="L230" s="15" t="s">
        <v>33</v>
      </c>
      <c r="M230" s="6"/>
      <c r="N230" s="16"/>
      <c r="O230" s="6"/>
      <c r="P230" s="16"/>
      <c r="Q230" s="6"/>
      <c r="R230" s="6"/>
      <c r="S230" s="6"/>
    </row>
    <row r="231">
      <c r="A231" s="22">
        <v>11141.0</v>
      </c>
      <c r="B231" s="15" t="s">
        <v>189</v>
      </c>
      <c r="C231" s="15" t="s">
        <v>190</v>
      </c>
      <c r="D231" s="15" t="s">
        <v>191</v>
      </c>
      <c r="E231" s="14" t="s">
        <v>33</v>
      </c>
      <c r="F231" s="15" t="s">
        <v>129</v>
      </c>
      <c r="G231" s="16"/>
      <c r="H231" s="16"/>
      <c r="I231" s="17"/>
      <c r="J231" s="17"/>
      <c r="K231" s="17"/>
      <c r="L231" s="15" t="s">
        <v>35</v>
      </c>
      <c r="M231" s="6"/>
      <c r="N231" s="16"/>
      <c r="O231" s="6"/>
      <c r="P231" s="16"/>
      <c r="Q231" s="6"/>
      <c r="R231" s="6"/>
      <c r="S231" s="6"/>
    </row>
    <row r="232">
      <c r="A232" s="22">
        <v>11142.0</v>
      </c>
      <c r="B232" s="15" t="s">
        <v>193</v>
      </c>
      <c r="C232" s="15" t="s">
        <v>194</v>
      </c>
      <c r="D232" s="15" t="s">
        <v>195</v>
      </c>
      <c r="E232" s="14" t="s">
        <v>33</v>
      </c>
      <c r="F232" s="15" t="s">
        <v>129</v>
      </c>
      <c r="G232" s="16"/>
      <c r="H232" s="16"/>
      <c r="I232" s="17"/>
      <c r="J232" s="17"/>
      <c r="K232" s="17"/>
      <c r="L232" s="15" t="s">
        <v>35</v>
      </c>
      <c r="M232" s="6"/>
      <c r="N232" s="16"/>
      <c r="O232" s="6"/>
      <c r="P232" s="16"/>
      <c r="Q232" s="6"/>
      <c r="R232" s="6"/>
      <c r="S232" s="6"/>
    </row>
    <row r="233">
      <c r="A233" s="22">
        <v>11143.0</v>
      </c>
      <c r="B233" s="15" t="s">
        <v>197</v>
      </c>
      <c r="C233" s="15" t="s">
        <v>198</v>
      </c>
      <c r="D233" s="15" t="s">
        <v>199</v>
      </c>
      <c r="E233" s="14" t="s">
        <v>29</v>
      </c>
      <c r="F233" s="15" t="s">
        <v>129</v>
      </c>
      <c r="G233" s="16"/>
      <c r="H233" s="16"/>
      <c r="I233" s="17"/>
      <c r="J233" s="17"/>
      <c r="K233" s="17"/>
      <c r="L233" s="6"/>
      <c r="M233" s="6"/>
      <c r="N233" s="16"/>
      <c r="O233" s="6"/>
      <c r="P233" s="16"/>
      <c r="Q233" s="6"/>
      <c r="R233" s="6"/>
      <c r="S233" s="6"/>
    </row>
    <row r="234">
      <c r="A234" s="22">
        <v>11144.0</v>
      </c>
      <c r="B234" s="15" t="s">
        <v>201</v>
      </c>
      <c r="C234" s="15" t="s">
        <v>202</v>
      </c>
      <c r="D234" s="15" t="s">
        <v>203</v>
      </c>
      <c r="E234" s="14" t="s">
        <v>17</v>
      </c>
      <c r="F234" s="15" t="s">
        <v>129</v>
      </c>
      <c r="G234" s="16"/>
      <c r="H234" s="16"/>
      <c r="I234" s="17"/>
      <c r="J234" s="17"/>
      <c r="K234" s="17"/>
      <c r="L234" s="6"/>
      <c r="M234" s="6"/>
      <c r="N234" s="16"/>
      <c r="O234" s="6"/>
      <c r="P234" s="16"/>
      <c r="Q234" s="6"/>
      <c r="R234" s="6"/>
      <c r="S234" s="6"/>
    </row>
    <row r="235">
      <c r="A235" s="22">
        <v>11145.0</v>
      </c>
      <c r="B235" s="15" t="s">
        <v>205</v>
      </c>
      <c r="C235" s="15" t="s">
        <v>206</v>
      </c>
      <c r="D235" s="15" t="s">
        <v>207</v>
      </c>
      <c r="E235" s="14" t="s">
        <v>17</v>
      </c>
      <c r="F235" s="15" t="s">
        <v>129</v>
      </c>
      <c r="G235" s="16"/>
      <c r="H235" s="16"/>
      <c r="I235" s="17"/>
      <c r="J235" s="17"/>
      <c r="K235" s="17"/>
      <c r="L235" s="6"/>
      <c r="M235" s="6"/>
      <c r="N235" s="16"/>
      <c r="O235" s="6"/>
      <c r="P235" s="16"/>
      <c r="Q235" s="6"/>
      <c r="R235" s="6"/>
      <c r="S235" s="6"/>
    </row>
    <row r="236">
      <c r="A236" s="22">
        <v>11146.0</v>
      </c>
      <c r="B236" s="15" t="s">
        <v>208</v>
      </c>
      <c r="C236" s="15" t="s">
        <v>209</v>
      </c>
      <c r="D236" s="15" t="s">
        <v>210</v>
      </c>
      <c r="E236" s="14" t="s">
        <v>19</v>
      </c>
      <c r="F236" s="15" t="s">
        <v>129</v>
      </c>
      <c r="G236" s="16"/>
      <c r="H236" s="16"/>
      <c r="I236" s="17"/>
      <c r="J236" s="17"/>
      <c r="K236" s="17"/>
      <c r="L236" s="6"/>
      <c r="M236" s="6"/>
      <c r="N236" s="16"/>
      <c r="O236" s="6"/>
      <c r="P236" s="16"/>
      <c r="Q236" s="6"/>
      <c r="R236" s="6"/>
      <c r="S236" s="6"/>
    </row>
    <row r="237">
      <c r="A237" s="22">
        <v>11147.0</v>
      </c>
      <c r="B237" s="15" t="s">
        <v>212</v>
      </c>
      <c r="C237" s="15" t="s">
        <v>213</v>
      </c>
      <c r="D237" s="15" t="s">
        <v>214</v>
      </c>
      <c r="E237" s="14" t="s">
        <v>19</v>
      </c>
      <c r="F237" s="15" t="s">
        <v>129</v>
      </c>
      <c r="G237" s="16"/>
      <c r="H237" s="16"/>
      <c r="I237" s="17"/>
      <c r="J237" s="17"/>
      <c r="K237" s="17"/>
      <c r="L237" s="6"/>
      <c r="M237" s="6"/>
      <c r="N237" s="16"/>
      <c r="O237" s="6"/>
      <c r="P237" s="16"/>
      <c r="Q237" s="6"/>
      <c r="R237" s="6"/>
      <c r="S237" s="6"/>
    </row>
    <row r="238">
      <c r="A238" s="22">
        <v>11148.0</v>
      </c>
      <c r="B238" s="15" t="s">
        <v>614</v>
      </c>
      <c r="C238" s="15" t="s">
        <v>615</v>
      </c>
      <c r="D238" s="15" t="s">
        <v>616</v>
      </c>
      <c r="E238" s="14" t="s">
        <v>33</v>
      </c>
      <c r="F238" s="15" t="s">
        <v>129</v>
      </c>
      <c r="G238" s="20">
        <v>45974.759701076386</v>
      </c>
      <c r="H238" s="20">
        <v>45974.761823900466</v>
      </c>
      <c r="I238" s="2" t="s">
        <v>409</v>
      </c>
      <c r="J238" s="17"/>
      <c r="K238" s="17"/>
      <c r="L238" s="6"/>
      <c r="M238" s="6"/>
      <c r="N238" s="16"/>
      <c r="O238" s="6"/>
      <c r="P238" s="16"/>
      <c r="Q238" s="6"/>
      <c r="R238" s="6"/>
      <c r="S238" s="6"/>
    </row>
    <row r="239">
      <c r="A239" s="22">
        <v>11149.0</v>
      </c>
      <c r="B239" s="15" t="s">
        <v>216</v>
      </c>
      <c r="C239" s="15" t="s">
        <v>217</v>
      </c>
      <c r="D239" s="15" t="s">
        <v>218</v>
      </c>
      <c r="E239" s="14" t="s">
        <v>33</v>
      </c>
      <c r="F239" s="15" t="s">
        <v>129</v>
      </c>
      <c r="G239" s="16"/>
      <c r="H239" s="16"/>
      <c r="I239" s="17"/>
      <c r="J239" s="17"/>
      <c r="K239" s="17"/>
      <c r="L239" s="6"/>
      <c r="M239" s="6"/>
      <c r="N239" s="16"/>
      <c r="O239" s="6"/>
      <c r="P239" s="16"/>
      <c r="Q239" s="6"/>
      <c r="R239" s="6"/>
      <c r="S239" s="6"/>
    </row>
    <row r="240">
      <c r="A240" s="22">
        <v>11150.0</v>
      </c>
      <c r="B240" s="15" t="s">
        <v>219</v>
      </c>
      <c r="C240" s="15" t="s">
        <v>220</v>
      </c>
      <c r="D240" s="15" t="s">
        <v>221</v>
      </c>
      <c r="E240" s="14" t="s">
        <v>33</v>
      </c>
      <c r="F240" s="15" t="s">
        <v>129</v>
      </c>
      <c r="G240" s="16"/>
      <c r="H240" s="16"/>
      <c r="I240" s="17"/>
      <c r="J240" s="17"/>
      <c r="K240" s="17"/>
      <c r="L240" s="6"/>
      <c r="M240" s="6"/>
      <c r="N240" s="16"/>
      <c r="O240" s="6"/>
      <c r="P240" s="16"/>
      <c r="Q240" s="6"/>
      <c r="R240" s="6"/>
      <c r="S240" s="6"/>
    </row>
    <row r="241">
      <c r="A241" s="22">
        <v>11151.0</v>
      </c>
      <c r="B241" s="15" t="s">
        <v>617</v>
      </c>
      <c r="C241" s="15" t="s">
        <v>618</v>
      </c>
      <c r="D241" s="15" t="s">
        <v>619</v>
      </c>
      <c r="E241" s="14" t="s">
        <v>33</v>
      </c>
      <c r="F241" s="15" t="s">
        <v>129</v>
      </c>
      <c r="G241" s="20">
        <v>45974.73559193287</v>
      </c>
      <c r="H241" s="20">
        <v>45974.74696454861</v>
      </c>
      <c r="I241" s="2" t="s">
        <v>211</v>
      </c>
      <c r="J241" s="17"/>
      <c r="K241" s="17"/>
      <c r="L241" s="6"/>
      <c r="M241" s="6"/>
      <c r="N241" s="16"/>
      <c r="O241" s="6"/>
      <c r="P241" s="16"/>
      <c r="Q241" s="6"/>
      <c r="R241" s="6"/>
      <c r="S241" s="6"/>
    </row>
    <row r="242">
      <c r="A242" s="22">
        <v>11152.0</v>
      </c>
      <c r="B242" s="15" t="s">
        <v>620</v>
      </c>
      <c r="C242" s="15" t="s">
        <v>621</v>
      </c>
      <c r="D242" s="15" t="s">
        <v>622</v>
      </c>
      <c r="E242" s="14" t="s">
        <v>35</v>
      </c>
      <c r="F242" s="15" t="s">
        <v>129</v>
      </c>
      <c r="G242" s="20">
        <v>45974.660368425924</v>
      </c>
      <c r="H242" s="20">
        <v>45974.691316446755</v>
      </c>
      <c r="I242" s="2" t="s">
        <v>167</v>
      </c>
      <c r="J242" s="17"/>
      <c r="K242" s="17"/>
      <c r="L242" s="6"/>
      <c r="M242" s="6"/>
      <c r="N242" s="16"/>
      <c r="O242" s="6"/>
      <c r="P242" s="16"/>
      <c r="Q242" s="6"/>
      <c r="R242" s="6"/>
      <c r="S242" s="6"/>
    </row>
    <row r="243">
      <c r="A243" s="22">
        <v>11153.0</v>
      </c>
      <c r="B243" s="15" t="s">
        <v>222</v>
      </c>
      <c r="C243" s="15" t="s">
        <v>223</v>
      </c>
      <c r="D243" s="15" t="s">
        <v>224</v>
      </c>
      <c r="E243" s="14" t="s">
        <v>33</v>
      </c>
      <c r="F243" s="15" t="s">
        <v>129</v>
      </c>
      <c r="G243" s="16"/>
      <c r="H243" s="16"/>
      <c r="I243" s="17"/>
      <c r="J243" s="17"/>
      <c r="K243" s="17"/>
      <c r="L243" s="6"/>
      <c r="M243" s="6"/>
      <c r="N243" s="16"/>
      <c r="O243" s="6"/>
      <c r="P243" s="16"/>
      <c r="Q243" s="6"/>
      <c r="R243" s="6"/>
      <c r="S243" s="6"/>
    </row>
    <row r="244">
      <c r="A244" s="22">
        <v>11154.0</v>
      </c>
      <c r="B244" s="15" t="s">
        <v>225</v>
      </c>
      <c r="C244" s="15" t="s">
        <v>226</v>
      </c>
      <c r="D244" s="15" t="s">
        <v>227</v>
      </c>
      <c r="E244" s="14" t="s">
        <v>45</v>
      </c>
      <c r="F244" s="15" t="s">
        <v>129</v>
      </c>
      <c r="G244" s="16"/>
      <c r="H244" s="16"/>
      <c r="I244" s="17"/>
      <c r="J244" s="17"/>
      <c r="K244" s="17"/>
      <c r="L244" s="6"/>
      <c r="M244" s="6"/>
      <c r="N244" s="16"/>
      <c r="O244" s="6"/>
      <c r="P244" s="16"/>
      <c r="Q244" s="6"/>
      <c r="R244" s="6"/>
      <c r="S244" s="6"/>
    </row>
    <row r="245">
      <c r="A245" s="22">
        <v>11155.0</v>
      </c>
      <c r="B245" s="15" t="s">
        <v>228</v>
      </c>
      <c r="C245" s="15" t="s">
        <v>229</v>
      </c>
      <c r="D245" s="15" t="s">
        <v>230</v>
      </c>
      <c r="E245" s="14" t="s">
        <v>45</v>
      </c>
      <c r="F245" s="15" t="s">
        <v>129</v>
      </c>
      <c r="G245" s="16"/>
      <c r="H245" s="16"/>
      <c r="I245" s="17"/>
      <c r="J245" s="17"/>
      <c r="K245" s="17"/>
      <c r="L245" s="6"/>
      <c r="M245" s="6"/>
      <c r="N245" s="16"/>
      <c r="O245" s="6"/>
      <c r="P245" s="16"/>
      <c r="Q245" s="6"/>
      <c r="R245" s="6"/>
      <c r="S245" s="6"/>
    </row>
    <row r="246">
      <c r="A246" s="22">
        <v>11156.0</v>
      </c>
      <c r="B246" s="15" t="s">
        <v>232</v>
      </c>
      <c r="C246" s="15" t="s">
        <v>233</v>
      </c>
      <c r="D246" s="15" t="s">
        <v>234</v>
      </c>
      <c r="E246" s="14" t="s">
        <v>45</v>
      </c>
      <c r="F246" s="15" t="s">
        <v>129</v>
      </c>
      <c r="G246" s="16"/>
      <c r="H246" s="16"/>
      <c r="I246" s="17"/>
      <c r="J246" s="17"/>
      <c r="K246" s="17"/>
      <c r="L246" s="6"/>
      <c r="M246" s="6"/>
      <c r="N246" s="16"/>
      <c r="O246" s="6"/>
      <c r="P246" s="16"/>
      <c r="Q246" s="6"/>
      <c r="R246" s="6"/>
      <c r="S246" s="6"/>
    </row>
    <row r="247">
      <c r="A247" s="22">
        <v>11157.0</v>
      </c>
      <c r="B247" s="15" t="s">
        <v>236</v>
      </c>
      <c r="C247" s="15" t="s">
        <v>237</v>
      </c>
      <c r="D247" s="15" t="s">
        <v>238</v>
      </c>
      <c r="E247" s="14" t="s">
        <v>45</v>
      </c>
      <c r="F247" s="15" t="s">
        <v>129</v>
      </c>
      <c r="G247" s="16"/>
      <c r="H247" s="16"/>
      <c r="I247" s="17"/>
      <c r="J247" s="17"/>
      <c r="K247" s="17"/>
      <c r="L247" s="6"/>
      <c r="M247" s="6"/>
      <c r="N247" s="16"/>
      <c r="O247" s="6"/>
      <c r="P247" s="16"/>
      <c r="Q247" s="6"/>
      <c r="R247" s="6"/>
      <c r="S247" s="6"/>
    </row>
    <row r="248">
      <c r="A248" s="22">
        <v>11158.0</v>
      </c>
      <c r="B248" s="15" t="s">
        <v>240</v>
      </c>
      <c r="C248" s="15" t="s">
        <v>241</v>
      </c>
      <c r="D248" s="15" t="s">
        <v>242</v>
      </c>
      <c r="E248" s="14" t="s">
        <v>45</v>
      </c>
      <c r="F248" s="15" t="s">
        <v>129</v>
      </c>
      <c r="G248" s="16"/>
      <c r="H248" s="16"/>
      <c r="I248" s="17"/>
      <c r="J248" s="17"/>
      <c r="K248" s="17"/>
      <c r="L248" s="6"/>
      <c r="M248" s="6"/>
      <c r="N248" s="16"/>
      <c r="O248" s="6"/>
      <c r="P248" s="16"/>
      <c r="Q248" s="6"/>
      <c r="R248" s="6"/>
      <c r="S248" s="6"/>
    </row>
    <row r="249">
      <c r="A249" s="22">
        <v>11159.0</v>
      </c>
      <c r="B249" s="15" t="s">
        <v>244</v>
      </c>
      <c r="C249" s="15" t="s">
        <v>245</v>
      </c>
      <c r="D249" s="15" t="s">
        <v>246</v>
      </c>
      <c r="E249" s="14" t="s">
        <v>45</v>
      </c>
      <c r="F249" s="15" t="s">
        <v>129</v>
      </c>
      <c r="G249" s="16"/>
      <c r="H249" s="16"/>
      <c r="I249" s="17"/>
      <c r="J249" s="17"/>
      <c r="K249" s="17"/>
      <c r="L249" s="6"/>
      <c r="M249" s="6"/>
      <c r="N249" s="16"/>
      <c r="O249" s="6"/>
      <c r="P249" s="16"/>
      <c r="Q249" s="6"/>
      <c r="R249" s="6"/>
      <c r="S249" s="6"/>
    </row>
    <row r="250">
      <c r="A250" s="22">
        <v>11160.0</v>
      </c>
      <c r="B250" s="15" t="s">
        <v>247</v>
      </c>
      <c r="C250" s="15" t="s">
        <v>248</v>
      </c>
      <c r="D250" s="15" t="s">
        <v>249</v>
      </c>
      <c r="E250" s="14" t="s">
        <v>45</v>
      </c>
      <c r="F250" s="15" t="s">
        <v>129</v>
      </c>
      <c r="G250" s="16"/>
      <c r="H250" s="16"/>
      <c r="I250" s="17"/>
      <c r="J250" s="17"/>
      <c r="K250" s="17"/>
      <c r="L250" s="6"/>
      <c r="M250" s="6"/>
      <c r="N250" s="16"/>
      <c r="O250" s="6"/>
      <c r="P250" s="16"/>
      <c r="Q250" s="6"/>
      <c r="R250" s="6"/>
      <c r="S250" s="6"/>
    </row>
    <row r="251">
      <c r="A251" s="22">
        <v>11161.0</v>
      </c>
      <c r="B251" s="15" t="s">
        <v>251</v>
      </c>
      <c r="C251" s="15" t="s">
        <v>252</v>
      </c>
      <c r="D251" s="15" t="s">
        <v>253</v>
      </c>
      <c r="E251" s="14" t="s">
        <v>29</v>
      </c>
      <c r="F251" s="15" t="s">
        <v>129</v>
      </c>
      <c r="G251" s="16"/>
      <c r="H251" s="16"/>
      <c r="I251" s="17"/>
      <c r="J251" s="17"/>
      <c r="K251" s="17"/>
      <c r="L251" s="6"/>
      <c r="M251" s="6"/>
      <c r="N251" s="16"/>
      <c r="O251" s="6"/>
      <c r="P251" s="16"/>
      <c r="Q251" s="6"/>
      <c r="R251" s="6"/>
      <c r="S251" s="6"/>
    </row>
    <row r="252">
      <c r="A252" s="22">
        <v>11162.0</v>
      </c>
      <c r="B252" s="15" t="s">
        <v>255</v>
      </c>
      <c r="C252" s="15" t="s">
        <v>256</v>
      </c>
      <c r="D252" s="15" t="s">
        <v>257</v>
      </c>
      <c r="E252" s="14" t="s">
        <v>45</v>
      </c>
      <c r="F252" s="15" t="s">
        <v>129</v>
      </c>
      <c r="G252" s="16"/>
      <c r="H252" s="16"/>
      <c r="I252" s="17"/>
      <c r="J252" s="17"/>
      <c r="K252" s="17"/>
      <c r="L252" s="6"/>
      <c r="M252" s="6"/>
      <c r="N252" s="16"/>
      <c r="O252" s="6"/>
      <c r="P252" s="16"/>
      <c r="Q252" s="6"/>
      <c r="R252" s="6"/>
      <c r="S252" s="6"/>
    </row>
    <row r="253">
      <c r="A253" s="22">
        <v>11163.0</v>
      </c>
      <c r="B253" s="15" t="s">
        <v>258</v>
      </c>
      <c r="C253" s="15" t="s">
        <v>256</v>
      </c>
      <c r="D253" s="15" t="s">
        <v>257</v>
      </c>
      <c r="E253" s="14" t="s">
        <v>45</v>
      </c>
      <c r="F253" s="15" t="s">
        <v>129</v>
      </c>
      <c r="G253" s="16"/>
      <c r="H253" s="16"/>
      <c r="I253" s="17"/>
      <c r="J253" s="17"/>
      <c r="K253" s="17"/>
      <c r="L253" s="6"/>
      <c r="M253" s="6"/>
      <c r="N253" s="16"/>
      <c r="O253" s="6"/>
      <c r="P253" s="16"/>
      <c r="Q253" s="6"/>
      <c r="R253" s="6"/>
      <c r="S253" s="6"/>
    </row>
    <row r="254">
      <c r="A254" s="23" t="s">
        <v>259</v>
      </c>
      <c r="B254" s="24" t="s">
        <v>260</v>
      </c>
      <c r="C254" s="25" t="s">
        <v>261</v>
      </c>
      <c r="D254" s="6" t="s">
        <v>262</v>
      </c>
      <c r="E254" s="14" t="s">
        <v>45</v>
      </c>
      <c r="F254" s="15" t="s">
        <v>263</v>
      </c>
      <c r="G254" s="16"/>
      <c r="H254" s="16"/>
      <c r="I254" s="17"/>
      <c r="J254" s="18" t="str">
        <f>VLOOKUP($A254,'Реестр объектов'!$A:$I,8,0)</f>
        <v>https://docs.google.com/spreadsheets/d/19THEBTE9q0fhN2eApZr6BgenIvLGh0AckaYxHQfHk5w/edit?gid=673886496#gid=673886496</v>
      </c>
      <c r="K254" s="21" t="str">
        <f>VLOOKUP($A254,'Реестр объектов'!$A:$I,9,0)</f>
        <v>https://disk.yandex.ru/client/disk/%D0%9E%D1%81%D0%BC%D0%BE%D1%82%D1%80%D1%8B%20%D0%BE%D0%B1%D1%8A%D0%B5%D0%BA%D1%82%D0%BE%D0%B2%20%D0%90%D0%9D%D0%9E%20%D0%A1%D0%9C%D0%93/202.%20%D0%91.%20%D0%A2%D0%B8%D1%88%D0%B8%D0%BD%D1%81%D0%BA%D0%B8%D0%B9%20%D0%BF%D0%B5%D1%80.%20%D0%B4.39%20</v>
      </c>
      <c r="L254" s="6"/>
      <c r="M254" s="6"/>
      <c r="N254" s="16"/>
      <c r="O254" s="6"/>
      <c r="P254" s="16"/>
      <c r="Q254" s="6"/>
      <c r="R254" s="6"/>
      <c r="S254" s="6"/>
    </row>
    <row r="255">
      <c r="A255" s="23" t="s">
        <v>264</v>
      </c>
      <c r="B255" s="24" t="s">
        <v>265</v>
      </c>
      <c r="C255" s="25" t="s">
        <v>266</v>
      </c>
      <c r="D255" s="6" t="s">
        <v>267</v>
      </c>
      <c r="E255" s="14" t="s">
        <v>45</v>
      </c>
      <c r="F255" s="15" t="s">
        <v>263</v>
      </c>
      <c r="G255" s="16"/>
      <c r="H255" s="16"/>
      <c r="I255" s="17"/>
      <c r="J255" s="18" t="str">
        <f>VLOOKUP($A255,'Реестр объектов'!$A:$I,8,0)</f>
        <v>https://docs.google.com/spreadsheets/d/19THEBTE9q0fhN2eApZr6BgenIvLGh0AckaYxHQfHk5w/edit?gid=1676523530#gid=1676523530</v>
      </c>
      <c r="K255" s="19" t="str">
        <f>VLOOKUP($A255,'Реестр объектов'!$A:$I,9,0)</f>
        <v>https://disk.yandex.ru/client/disk/Осмотры%20объектов%20АНО%20СМГ/211.%20ул.%20Летная%2C%20уч.%204</v>
      </c>
      <c r="L255" s="6"/>
      <c r="M255" s="6"/>
      <c r="N255" s="16"/>
      <c r="O255" s="6"/>
      <c r="P255" s="16"/>
      <c r="Q255" s="6"/>
      <c r="R255" s="6"/>
      <c r="S255" s="6"/>
    </row>
    <row r="256">
      <c r="A256" s="26" t="s">
        <v>268</v>
      </c>
      <c r="B256" s="13" t="str">
        <f>VLOOKUP($A256,'Реестр объектов'!$A:$I,5,0)</f>
        <v>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v>
      </c>
      <c r="C256" s="13" t="str">
        <f>VLOOKUP($A256,'Реестр объектов'!$A:$I,6,0)</f>
        <v>55.500902</v>
      </c>
      <c r="D256" s="13" t="str">
        <f>VLOOKUP($A256,'Реестр объектов'!$A:$I,7,0)</f>
        <v> 37.306494</v>
      </c>
      <c r="E256" s="14" t="s">
        <v>45</v>
      </c>
      <c r="F256" s="15" t="s">
        <v>269</v>
      </c>
      <c r="G256" s="20"/>
      <c r="H256" s="20"/>
      <c r="I256" s="2"/>
      <c r="J256" s="18" t="str">
        <f>VLOOKUP($A256,'Реестр объектов'!$A:$I,8,0)</f>
        <v>https://docs.google.com/spreadsheets/d/19THEBTE9q0fhN2eApZr6BgenIvLGh0AckaYxHQfHk5w/edit?gid=2126809757#gid=2126809757</v>
      </c>
      <c r="K256" s="19" t="str">
        <f>VLOOKUP($A256,'Реестр объектов'!$A:$I,9,0)</f>
        <v>https://disk.yandex.ru/client/disk/Осмотры%20объектов%20АНО%20СМГ/198.%20РЦИ%20ул.%20Теннисная%202</v>
      </c>
      <c r="L256" s="27" t="s">
        <v>270</v>
      </c>
      <c r="M256" s="28"/>
      <c r="N256" s="29"/>
      <c r="O256" s="28"/>
      <c r="P256" s="29"/>
      <c r="Q256" s="28"/>
      <c r="R256" s="28"/>
      <c r="S256" s="28"/>
      <c r="T256" s="30"/>
      <c r="U256" s="30"/>
      <c r="V256" s="30"/>
      <c r="W256" s="30"/>
      <c r="X256" s="30"/>
      <c r="Y256" s="30"/>
      <c r="Z256" s="30"/>
    </row>
    <row r="257">
      <c r="A257" s="31" t="s">
        <v>50</v>
      </c>
      <c r="B257" s="14" t="s">
        <v>271</v>
      </c>
      <c r="C257" s="25" t="s">
        <v>272</v>
      </c>
      <c r="D257" s="6" t="s">
        <v>273</v>
      </c>
      <c r="E257" s="15" t="s">
        <v>19</v>
      </c>
      <c r="F257" s="15" t="s">
        <v>274</v>
      </c>
      <c r="G257" s="16"/>
      <c r="H257" s="16"/>
      <c r="I257" s="17"/>
      <c r="J257" s="18" t="s">
        <v>275</v>
      </c>
      <c r="K257" s="19" t="s">
        <v>276</v>
      </c>
      <c r="L257" s="6"/>
      <c r="M257" s="6"/>
      <c r="N257" s="16"/>
      <c r="O257" s="6"/>
      <c r="P257" s="16"/>
      <c r="Q257" s="6"/>
      <c r="R257" s="6"/>
      <c r="S257" s="6"/>
    </row>
    <row r="258">
      <c r="A258" s="31" t="s">
        <v>277</v>
      </c>
      <c r="B258" s="14" t="s">
        <v>278</v>
      </c>
      <c r="C258" s="25" t="s">
        <v>279</v>
      </c>
      <c r="D258" s="6" t="s">
        <v>280</v>
      </c>
      <c r="E258" s="15" t="s">
        <v>19</v>
      </c>
      <c r="F258" s="15" t="s">
        <v>274</v>
      </c>
      <c r="G258" s="16"/>
      <c r="H258" s="16"/>
      <c r="I258" s="17"/>
      <c r="J258" s="18" t="s">
        <v>281</v>
      </c>
      <c r="K258" s="19" t="s">
        <v>282</v>
      </c>
      <c r="L258" s="6"/>
      <c r="M258" s="6"/>
      <c r="N258" s="16"/>
      <c r="O258" s="6"/>
      <c r="P258" s="16"/>
      <c r="Q258" s="6"/>
      <c r="R258" s="6"/>
      <c r="S258" s="6"/>
    </row>
    <row r="259">
      <c r="A259" s="31" t="s">
        <v>283</v>
      </c>
      <c r="B259" s="14" t="s">
        <v>284</v>
      </c>
      <c r="C259" s="25" t="s">
        <v>285</v>
      </c>
      <c r="D259" s="6" t="s">
        <v>286</v>
      </c>
      <c r="E259" s="15" t="s">
        <v>19</v>
      </c>
      <c r="F259" s="15" t="s">
        <v>274</v>
      </c>
      <c r="G259" s="16"/>
      <c r="H259" s="16"/>
      <c r="I259" s="17"/>
      <c r="J259" s="18" t="s">
        <v>287</v>
      </c>
      <c r="K259" s="19" t="s">
        <v>288</v>
      </c>
      <c r="L259" s="6"/>
      <c r="M259" s="6"/>
      <c r="N259" s="16"/>
      <c r="O259" s="6"/>
      <c r="P259" s="16"/>
      <c r="Q259" s="6"/>
      <c r="R259" s="6"/>
      <c r="S259" s="6"/>
    </row>
    <row r="260">
      <c r="A260" s="31" t="s">
        <v>289</v>
      </c>
      <c r="B260" s="14" t="s">
        <v>290</v>
      </c>
      <c r="C260" s="25" t="s">
        <v>291</v>
      </c>
      <c r="D260" s="6" t="s">
        <v>292</v>
      </c>
      <c r="E260" s="15" t="s">
        <v>35</v>
      </c>
      <c r="F260" s="15" t="s">
        <v>293</v>
      </c>
      <c r="G260" s="16"/>
      <c r="H260" s="16"/>
      <c r="I260" s="17"/>
      <c r="J260" s="18" t="s">
        <v>295</v>
      </c>
      <c r="K260" s="19" t="s">
        <v>296</v>
      </c>
      <c r="L260" s="6"/>
      <c r="M260" s="6"/>
      <c r="N260" s="16"/>
      <c r="O260" s="6"/>
      <c r="P260" s="16"/>
      <c r="Q260" s="6"/>
      <c r="R260" s="6"/>
      <c r="S260" s="6"/>
    </row>
    <row r="261">
      <c r="A261" s="31" t="s">
        <v>297</v>
      </c>
      <c r="B261" s="14" t="s">
        <v>298</v>
      </c>
      <c r="C261" s="25" t="s">
        <v>299</v>
      </c>
      <c r="D261" s="6" t="s">
        <v>300</v>
      </c>
      <c r="E261" s="15" t="s">
        <v>35</v>
      </c>
      <c r="F261" s="15" t="s">
        <v>293</v>
      </c>
      <c r="G261" s="16"/>
      <c r="H261" s="16"/>
      <c r="I261" s="17"/>
      <c r="J261" s="18" t="s">
        <v>301</v>
      </c>
      <c r="K261" s="19" t="s">
        <v>302</v>
      </c>
      <c r="L261" s="6"/>
      <c r="M261" s="6"/>
      <c r="N261" s="16"/>
      <c r="O261" s="6"/>
      <c r="P261" s="16"/>
      <c r="Q261" s="6"/>
      <c r="R261" s="6"/>
      <c r="S261" s="6"/>
    </row>
    <row r="262">
      <c r="A262" s="22"/>
      <c r="B262" s="6"/>
      <c r="C262" s="6"/>
      <c r="D262" s="6"/>
      <c r="E262" s="6"/>
      <c r="F262" s="6"/>
      <c r="G262" s="16"/>
      <c r="H262" s="16"/>
      <c r="I262" s="17"/>
      <c r="J262" s="17"/>
      <c r="K262" s="17"/>
      <c r="L262" s="6"/>
      <c r="M262" s="6"/>
      <c r="N262" s="16"/>
      <c r="O262" s="6"/>
      <c r="P262" s="16"/>
      <c r="Q262" s="6"/>
      <c r="R262" s="6"/>
      <c r="S262" s="6"/>
    </row>
    <row r="263">
      <c r="A263" s="22"/>
      <c r="B263" s="6"/>
      <c r="C263" s="6"/>
      <c r="D263" s="6"/>
      <c r="E263" s="6"/>
      <c r="F263" s="6"/>
      <c r="G263" s="16"/>
      <c r="H263" s="16"/>
      <c r="I263" s="17"/>
      <c r="J263" s="17"/>
      <c r="K263" s="17"/>
      <c r="L263" s="6"/>
      <c r="M263" s="6"/>
      <c r="N263" s="16"/>
      <c r="O263" s="6"/>
      <c r="P263" s="16"/>
      <c r="Q263" s="6"/>
      <c r="R263" s="6"/>
      <c r="S263" s="6"/>
    </row>
    <row r="264">
      <c r="A264" s="22"/>
      <c r="B264" s="6"/>
      <c r="C264" s="6"/>
      <c r="D264" s="6"/>
      <c r="E264" s="6"/>
      <c r="F264" s="6"/>
      <c r="G264" s="16"/>
      <c r="H264" s="16"/>
      <c r="I264" s="17"/>
      <c r="J264" s="17"/>
      <c r="K264" s="17"/>
      <c r="L264" s="6"/>
      <c r="M264" s="6"/>
      <c r="N264" s="16"/>
      <c r="O264" s="6"/>
      <c r="P264" s="16"/>
      <c r="Q264" s="6"/>
      <c r="R264" s="6"/>
      <c r="S264" s="6"/>
    </row>
    <row r="265">
      <c r="A265" s="22"/>
      <c r="B265" s="6"/>
      <c r="C265" s="6"/>
      <c r="D265" s="6"/>
      <c r="E265" s="6"/>
      <c r="F265" s="6"/>
      <c r="G265" s="16"/>
      <c r="H265" s="16"/>
      <c r="I265" s="17"/>
      <c r="J265" s="17"/>
      <c r="K265" s="17"/>
      <c r="L265" s="6"/>
      <c r="M265" s="6"/>
      <c r="N265" s="16"/>
      <c r="O265" s="6"/>
      <c r="P265" s="16"/>
      <c r="Q265" s="6"/>
      <c r="R265" s="6"/>
      <c r="S265" s="6"/>
    </row>
    <row r="266">
      <c r="A266" s="22"/>
      <c r="B266" s="6"/>
      <c r="C266" s="6"/>
      <c r="D266" s="6"/>
      <c r="E266" s="6"/>
      <c r="F266" s="6"/>
      <c r="G266" s="16"/>
      <c r="H266" s="16"/>
      <c r="I266" s="17"/>
      <c r="J266" s="17"/>
      <c r="K266" s="17"/>
      <c r="L266" s="6"/>
      <c r="M266" s="6"/>
      <c r="N266" s="16"/>
      <c r="O266" s="6"/>
      <c r="P266" s="16"/>
      <c r="Q266" s="6"/>
      <c r="R266" s="6"/>
      <c r="S266" s="6"/>
    </row>
    <row r="267">
      <c r="A267" s="22"/>
      <c r="B267" s="6"/>
      <c r="C267" s="6"/>
      <c r="D267" s="6"/>
      <c r="E267" s="6"/>
      <c r="F267" s="6"/>
      <c r="G267" s="16"/>
      <c r="H267" s="16"/>
      <c r="I267" s="17"/>
      <c r="J267" s="17"/>
      <c r="K267" s="17"/>
      <c r="L267" s="6"/>
      <c r="M267" s="6"/>
      <c r="N267" s="16"/>
      <c r="O267" s="6"/>
      <c r="P267" s="16"/>
      <c r="Q267" s="6"/>
      <c r="R267" s="6"/>
      <c r="S267" s="6"/>
    </row>
    <row r="268">
      <c r="A268" s="22"/>
      <c r="B268" s="6"/>
      <c r="C268" s="6"/>
      <c r="D268" s="6"/>
      <c r="E268" s="6"/>
      <c r="F268" s="6"/>
      <c r="G268" s="16"/>
      <c r="H268" s="16"/>
      <c r="I268" s="17"/>
      <c r="J268" s="17"/>
      <c r="K268" s="17"/>
      <c r="L268" s="6"/>
      <c r="M268" s="6"/>
      <c r="N268" s="16"/>
      <c r="O268" s="6"/>
      <c r="P268" s="16"/>
      <c r="Q268" s="6"/>
      <c r="R268" s="6"/>
      <c r="S268" s="6"/>
    </row>
    <row r="269">
      <c r="A269" s="22"/>
      <c r="B269" s="6"/>
      <c r="C269" s="6"/>
      <c r="D269" s="6"/>
      <c r="E269" s="6"/>
      <c r="F269" s="6"/>
      <c r="G269" s="16"/>
      <c r="H269" s="16"/>
      <c r="I269" s="17"/>
      <c r="J269" s="17"/>
      <c r="K269" s="17"/>
      <c r="L269" s="6"/>
      <c r="M269" s="6"/>
      <c r="N269" s="16"/>
      <c r="O269" s="6"/>
      <c r="P269" s="16"/>
      <c r="Q269" s="6"/>
      <c r="R269" s="6"/>
      <c r="S269" s="6"/>
    </row>
    <row r="270">
      <c r="A270" s="22"/>
      <c r="B270" s="6"/>
      <c r="C270" s="6"/>
      <c r="D270" s="6"/>
      <c r="E270" s="6"/>
      <c r="F270" s="6"/>
      <c r="G270" s="16"/>
      <c r="H270" s="16"/>
      <c r="I270" s="17"/>
      <c r="J270" s="17"/>
      <c r="K270" s="17"/>
      <c r="L270" s="6"/>
      <c r="M270" s="6"/>
      <c r="N270" s="16"/>
      <c r="O270" s="6"/>
      <c r="P270" s="16"/>
      <c r="Q270" s="6"/>
      <c r="R270" s="6"/>
      <c r="S270" s="6"/>
    </row>
    <row r="271">
      <c r="A271" s="22"/>
      <c r="B271" s="6"/>
      <c r="C271" s="6"/>
      <c r="D271" s="6"/>
      <c r="E271" s="6"/>
      <c r="F271" s="6"/>
      <c r="G271" s="16"/>
      <c r="H271" s="16"/>
      <c r="I271" s="17"/>
      <c r="J271" s="17"/>
      <c r="K271" s="17"/>
      <c r="L271" s="6"/>
      <c r="M271" s="6"/>
      <c r="N271" s="16"/>
      <c r="O271" s="6"/>
      <c r="P271" s="16"/>
      <c r="Q271" s="6"/>
      <c r="R271" s="6"/>
      <c r="S271" s="6"/>
    </row>
    <row r="272">
      <c r="A272" s="22"/>
      <c r="B272" s="6"/>
      <c r="C272" s="6"/>
      <c r="D272" s="6"/>
      <c r="E272" s="6"/>
      <c r="F272" s="6"/>
      <c r="G272" s="16"/>
      <c r="H272" s="16"/>
      <c r="I272" s="17"/>
      <c r="J272" s="17"/>
      <c r="K272" s="17"/>
      <c r="L272" s="6"/>
      <c r="M272" s="6"/>
      <c r="N272" s="16"/>
      <c r="O272" s="6"/>
      <c r="P272" s="16"/>
      <c r="Q272" s="6"/>
      <c r="R272" s="6"/>
      <c r="S272" s="6"/>
    </row>
    <row r="273">
      <c r="A273" s="22"/>
      <c r="B273" s="6"/>
      <c r="C273" s="6"/>
      <c r="D273" s="6"/>
      <c r="E273" s="6"/>
      <c r="F273" s="6"/>
      <c r="G273" s="16"/>
      <c r="H273" s="16"/>
      <c r="I273" s="17"/>
      <c r="J273" s="17"/>
      <c r="K273" s="17"/>
      <c r="L273" s="6"/>
      <c r="M273" s="6"/>
      <c r="N273" s="16"/>
      <c r="O273" s="6"/>
      <c r="P273" s="16"/>
      <c r="Q273" s="6"/>
      <c r="R273" s="6"/>
      <c r="S273" s="6"/>
    </row>
    <row r="274">
      <c r="A274" s="22"/>
      <c r="B274" s="6"/>
      <c r="C274" s="6"/>
      <c r="D274" s="6"/>
      <c r="E274" s="6"/>
      <c r="F274" s="6"/>
      <c r="G274" s="16"/>
      <c r="H274" s="16"/>
      <c r="I274" s="17"/>
      <c r="J274" s="17"/>
      <c r="K274" s="17"/>
      <c r="L274" s="6"/>
      <c r="M274" s="6"/>
      <c r="N274" s="16"/>
      <c r="O274" s="6"/>
      <c r="P274" s="16"/>
      <c r="Q274" s="6"/>
      <c r="R274" s="6"/>
      <c r="S274" s="6"/>
    </row>
    <row r="275">
      <c r="A275" s="22"/>
      <c r="B275" s="6"/>
      <c r="C275" s="6"/>
      <c r="D275" s="6"/>
      <c r="E275" s="6"/>
      <c r="F275" s="6"/>
      <c r="G275" s="16"/>
      <c r="H275" s="16"/>
      <c r="I275" s="17"/>
      <c r="J275" s="17"/>
      <c r="K275" s="17"/>
      <c r="L275" s="6"/>
      <c r="M275" s="6"/>
      <c r="N275" s="16"/>
      <c r="O275" s="6"/>
      <c r="P275" s="16"/>
      <c r="Q275" s="6"/>
      <c r="R275" s="6"/>
      <c r="S275" s="6"/>
    </row>
    <row r="276">
      <c r="A276" s="22"/>
      <c r="B276" s="6"/>
      <c r="C276" s="6"/>
      <c r="D276" s="6"/>
      <c r="E276" s="6"/>
      <c r="F276" s="6"/>
      <c r="G276" s="16"/>
      <c r="H276" s="16"/>
      <c r="I276" s="17"/>
      <c r="J276" s="17"/>
      <c r="K276" s="17"/>
      <c r="L276" s="6"/>
      <c r="M276" s="6"/>
      <c r="N276" s="16"/>
      <c r="O276" s="6"/>
      <c r="P276" s="16"/>
      <c r="Q276" s="6"/>
      <c r="R276" s="6"/>
      <c r="S276" s="6"/>
    </row>
    <row r="277">
      <c r="A277" s="22"/>
      <c r="B277" s="6"/>
      <c r="C277" s="6"/>
      <c r="D277" s="6"/>
      <c r="E277" s="6"/>
      <c r="F277" s="6"/>
      <c r="G277" s="16"/>
      <c r="H277" s="16"/>
      <c r="I277" s="17"/>
      <c r="J277" s="17"/>
      <c r="K277" s="17"/>
      <c r="L277" s="6"/>
      <c r="M277" s="6"/>
      <c r="N277" s="16"/>
      <c r="O277" s="6"/>
      <c r="P277" s="16"/>
      <c r="Q277" s="6"/>
      <c r="R277" s="6"/>
      <c r="S277" s="6"/>
    </row>
    <row r="278">
      <c r="A278" s="22"/>
      <c r="B278" s="6"/>
      <c r="C278" s="6"/>
      <c r="D278" s="6"/>
      <c r="E278" s="6"/>
      <c r="F278" s="6"/>
      <c r="G278" s="16"/>
      <c r="H278" s="16"/>
      <c r="I278" s="17"/>
      <c r="J278" s="17"/>
      <c r="K278" s="17"/>
      <c r="L278" s="6"/>
      <c r="M278" s="6"/>
      <c r="N278" s="16"/>
      <c r="O278" s="6"/>
      <c r="P278" s="16"/>
      <c r="Q278" s="6"/>
      <c r="R278" s="6"/>
      <c r="S278" s="6"/>
    </row>
    <row r="279">
      <c r="A279" s="22"/>
      <c r="B279" s="6"/>
      <c r="C279" s="6"/>
      <c r="D279" s="6"/>
      <c r="E279" s="6"/>
      <c r="F279" s="6"/>
      <c r="G279" s="16"/>
      <c r="H279" s="16"/>
      <c r="I279" s="17"/>
      <c r="J279" s="17"/>
      <c r="K279" s="17"/>
      <c r="L279" s="6"/>
      <c r="M279" s="6"/>
      <c r="N279" s="16"/>
      <c r="O279" s="6"/>
      <c r="P279" s="16"/>
      <c r="Q279" s="6"/>
      <c r="R279" s="6"/>
      <c r="S279" s="6"/>
    </row>
    <row r="280">
      <c r="A280" s="22"/>
      <c r="B280" s="6"/>
      <c r="C280" s="6"/>
      <c r="D280" s="6"/>
      <c r="E280" s="6"/>
      <c r="F280" s="6"/>
      <c r="G280" s="16"/>
      <c r="H280" s="16"/>
      <c r="I280" s="17"/>
      <c r="J280" s="17"/>
      <c r="K280" s="17"/>
      <c r="L280" s="6"/>
      <c r="M280" s="6"/>
      <c r="N280" s="16"/>
      <c r="O280" s="6"/>
      <c r="P280" s="16"/>
      <c r="Q280" s="6"/>
      <c r="R280" s="6"/>
      <c r="S280" s="6"/>
    </row>
    <row r="281">
      <c r="A281" s="22"/>
      <c r="B281" s="6"/>
      <c r="C281" s="6"/>
      <c r="D281" s="6"/>
      <c r="E281" s="6"/>
      <c r="F281" s="6"/>
      <c r="G281" s="16"/>
      <c r="H281" s="16"/>
      <c r="I281" s="17"/>
      <c r="J281" s="17"/>
      <c r="K281" s="17"/>
      <c r="L281" s="6"/>
      <c r="M281" s="6"/>
      <c r="N281" s="16"/>
      <c r="O281" s="6"/>
      <c r="P281" s="16"/>
      <c r="Q281" s="6"/>
      <c r="R281" s="6"/>
      <c r="S281" s="6"/>
    </row>
    <row r="282">
      <c r="A282" s="22"/>
      <c r="B282" s="6"/>
      <c r="C282" s="6"/>
      <c r="D282" s="6"/>
      <c r="E282" s="6"/>
      <c r="F282" s="6"/>
      <c r="G282" s="16"/>
      <c r="H282" s="16"/>
      <c r="I282" s="17"/>
      <c r="J282" s="17"/>
      <c r="K282" s="17"/>
      <c r="L282" s="6"/>
      <c r="M282" s="6"/>
      <c r="N282" s="16"/>
      <c r="O282" s="6"/>
      <c r="P282" s="16"/>
      <c r="Q282" s="6"/>
      <c r="R282" s="6"/>
      <c r="S282" s="6"/>
    </row>
    <row r="283">
      <c r="A283" s="22"/>
      <c r="B283" s="6"/>
      <c r="C283" s="6"/>
      <c r="D283" s="6"/>
      <c r="E283" s="6"/>
      <c r="F283" s="6"/>
      <c r="G283" s="16"/>
      <c r="H283" s="16"/>
      <c r="I283" s="17"/>
      <c r="J283" s="17"/>
      <c r="K283" s="17"/>
      <c r="L283" s="6"/>
      <c r="M283" s="6"/>
      <c r="N283" s="16"/>
      <c r="O283" s="6"/>
      <c r="P283" s="16"/>
      <c r="Q283" s="6"/>
      <c r="R283" s="6"/>
      <c r="S283" s="6"/>
    </row>
    <row r="284">
      <c r="A284" s="22"/>
      <c r="B284" s="6"/>
      <c r="C284" s="6"/>
      <c r="D284" s="6"/>
      <c r="E284" s="6"/>
      <c r="F284" s="6"/>
      <c r="G284" s="16"/>
      <c r="H284" s="16"/>
      <c r="I284" s="17"/>
      <c r="J284" s="17"/>
      <c r="K284" s="17"/>
      <c r="L284" s="6"/>
      <c r="M284" s="6"/>
      <c r="N284" s="16"/>
      <c r="O284" s="6"/>
      <c r="P284" s="16"/>
      <c r="Q284" s="6"/>
      <c r="R284" s="6"/>
      <c r="S284" s="6"/>
    </row>
    <row r="285">
      <c r="A285" s="22"/>
      <c r="B285" s="6"/>
      <c r="C285" s="6"/>
      <c r="D285" s="6"/>
      <c r="E285" s="6"/>
      <c r="F285" s="6"/>
      <c r="G285" s="16"/>
      <c r="H285" s="16"/>
      <c r="I285" s="17"/>
      <c r="J285" s="17"/>
      <c r="K285" s="17"/>
      <c r="L285" s="6"/>
      <c r="M285" s="6"/>
      <c r="N285" s="16"/>
      <c r="O285" s="6"/>
      <c r="P285" s="16"/>
      <c r="Q285" s="6"/>
      <c r="R285" s="6"/>
      <c r="S285" s="6"/>
    </row>
    <row r="286">
      <c r="A286" s="22"/>
      <c r="B286" s="6"/>
      <c r="C286" s="6"/>
      <c r="D286" s="6"/>
      <c r="E286" s="6"/>
      <c r="F286" s="6"/>
      <c r="G286" s="16"/>
      <c r="H286" s="16"/>
      <c r="I286" s="17"/>
      <c r="J286" s="17"/>
      <c r="K286" s="17"/>
      <c r="L286" s="6"/>
      <c r="M286" s="6"/>
      <c r="N286" s="16"/>
      <c r="O286" s="6"/>
      <c r="P286" s="16"/>
      <c r="Q286" s="6"/>
      <c r="R286" s="6"/>
      <c r="S286" s="6"/>
    </row>
    <row r="287">
      <c r="A287" s="22"/>
      <c r="B287" s="6"/>
      <c r="C287" s="6"/>
      <c r="D287" s="6"/>
      <c r="E287" s="6"/>
      <c r="F287" s="6"/>
      <c r="G287" s="16"/>
      <c r="H287" s="16"/>
      <c r="I287" s="17"/>
      <c r="J287" s="17"/>
      <c r="K287" s="17"/>
      <c r="L287" s="6"/>
      <c r="M287" s="6"/>
      <c r="N287" s="16"/>
      <c r="O287" s="6"/>
      <c r="P287" s="16"/>
      <c r="Q287" s="6"/>
      <c r="R287" s="6"/>
      <c r="S287" s="6"/>
    </row>
    <row r="288">
      <c r="A288" s="22"/>
      <c r="B288" s="6"/>
      <c r="C288" s="6"/>
      <c r="D288" s="6"/>
      <c r="E288" s="6"/>
      <c r="F288" s="6"/>
      <c r="G288" s="16"/>
      <c r="H288" s="16"/>
      <c r="I288" s="17"/>
      <c r="J288" s="17"/>
      <c r="K288" s="17"/>
      <c r="L288" s="6"/>
      <c r="M288" s="6"/>
      <c r="N288" s="16"/>
      <c r="O288" s="6"/>
      <c r="P288" s="16"/>
      <c r="Q288" s="6"/>
      <c r="R288" s="6"/>
      <c r="S288" s="6"/>
    </row>
    <row r="289">
      <c r="A289" s="22"/>
      <c r="B289" s="6"/>
      <c r="C289" s="6"/>
      <c r="D289" s="6"/>
      <c r="E289" s="6"/>
      <c r="F289" s="6"/>
      <c r="G289" s="16"/>
      <c r="H289" s="16"/>
      <c r="I289" s="17"/>
      <c r="J289" s="17"/>
      <c r="K289" s="17"/>
      <c r="L289" s="6"/>
      <c r="M289" s="6"/>
      <c r="N289" s="16"/>
      <c r="O289" s="6"/>
      <c r="P289" s="16"/>
      <c r="Q289" s="6"/>
      <c r="R289" s="6"/>
      <c r="S289" s="6"/>
    </row>
    <row r="290">
      <c r="A290" s="22"/>
      <c r="B290" s="6"/>
      <c r="C290" s="6"/>
      <c r="D290" s="6"/>
      <c r="E290" s="6"/>
      <c r="F290" s="6"/>
      <c r="G290" s="16"/>
      <c r="H290" s="16"/>
      <c r="I290" s="17"/>
      <c r="J290" s="17"/>
      <c r="K290" s="17"/>
      <c r="L290" s="6"/>
      <c r="M290" s="6"/>
      <c r="N290" s="16"/>
      <c r="O290" s="6"/>
      <c r="P290" s="16"/>
      <c r="Q290" s="6"/>
      <c r="R290" s="6"/>
      <c r="S290" s="6"/>
    </row>
    <row r="291">
      <c r="A291" s="22"/>
      <c r="B291" s="6"/>
      <c r="C291" s="6"/>
      <c r="D291" s="6"/>
      <c r="E291" s="6"/>
      <c r="F291" s="6"/>
      <c r="G291" s="16"/>
      <c r="H291" s="16"/>
      <c r="I291" s="17"/>
      <c r="J291" s="17"/>
      <c r="K291" s="17"/>
      <c r="L291" s="6"/>
      <c r="M291" s="6"/>
      <c r="N291" s="16"/>
      <c r="O291" s="6"/>
      <c r="P291" s="16"/>
      <c r="Q291" s="6"/>
      <c r="R291" s="6"/>
      <c r="S291" s="6"/>
    </row>
    <row r="292">
      <c r="A292" s="22"/>
      <c r="B292" s="6"/>
      <c r="C292" s="6"/>
      <c r="D292" s="6"/>
      <c r="E292" s="6"/>
      <c r="F292" s="6"/>
      <c r="G292" s="16"/>
      <c r="H292" s="16"/>
      <c r="I292" s="17"/>
      <c r="J292" s="17"/>
      <c r="K292" s="17"/>
      <c r="L292" s="6"/>
      <c r="M292" s="6"/>
      <c r="N292" s="16"/>
      <c r="O292" s="6"/>
      <c r="P292" s="16"/>
      <c r="Q292" s="6"/>
      <c r="R292" s="6"/>
      <c r="S292" s="6"/>
    </row>
    <row r="293">
      <c r="A293" s="22"/>
      <c r="B293" s="6"/>
      <c r="C293" s="6"/>
      <c r="D293" s="6"/>
      <c r="E293" s="6"/>
      <c r="F293" s="6"/>
      <c r="G293" s="16"/>
      <c r="H293" s="16"/>
      <c r="I293" s="17"/>
      <c r="J293" s="17"/>
      <c r="K293" s="17"/>
      <c r="L293" s="6"/>
      <c r="M293" s="6"/>
      <c r="N293" s="16"/>
      <c r="O293" s="6"/>
      <c r="P293" s="16"/>
      <c r="Q293" s="6"/>
      <c r="R293" s="6"/>
      <c r="S293" s="6"/>
    </row>
    <row r="294">
      <c r="A294" s="22"/>
      <c r="B294" s="6"/>
      <c r="C294" s="6"/>
      <c r="D294" s="6"/>
      <c r="E294" s="6"/>
      <c r="F294" s="6"/>
      <c r="G294" s="16"/>
      <c r="H294" s="16"/>
      <c r="I294" s="17"/>
      <c r="J294" s="17"/>
      <c r="K294" s="17"/>
      <c r="L294" s="6"/>
      <c r="M294" s="6"/>
      <c r="N294" s="16"/>
      <c r="O294" s="6"/>
      <c r="P294" s="16"/>
      <c r="Q294" s="6"/>
      <c r="R294" s="6"/>
      <c r="S294" s="6"/>
    </row>
    <row r="295">
      <c r="A295" s="22"/>
      <c r="B295" s="6"/>
      <c r="C295" s="6"/>
      <c r="D295" s="6"/>
      <c r="E295" s="6"/>
      <c r="F295" s="6"/>
      <c r="G295" s="16"/>
      <c r="H295" s="16"/>
      <c r="I295" s="17"/>
      <c r="J295" s="17"/>
      <c r="K295" s="17"/>
      <c r="L295" s="6"/>
      <c r="M295" s="6"/>
      <c r="N295" s="16"/>
      <c r="O295" s="6"/>
      <c r="P295" s="16"/>
      <c r="Q295" s="6"/>
      <c r="R295" s="6"/>
      <c r="S295" s="6"/>
    </row>
    <row r="296">
      <c r="A296" s="22"/>
      <c r="B296" s="6"/>
      <c r="C296" s="6"/>
      <c r="D296" s="6"/>
      <c r="E296" s="6"/>
      <c r="F296" s="6"/>
      <c r="G296" s="16"/>
      <c r="H296" s="16"/>
      <c r="I296" s="17"/>
      <c r="J296" s="17"/>
      <c r="K296" s="17"/>
      <c r="L296" s="6"/>
      <c r="M296" s="6"/>
      <c r="N296" s="16"/>
      <c r="O296" s="6"/>
      <c r="P296" s="16"/>
      <c r="Q296" s="6"/>
      <c r="R296" s="6"/>
      <c r="S296" s="6"/>
    </row>
    <row r="297">
      <c r="A297" s="22"/>
      <c r="B297" s="6"/>
      <c r="C297" s="6"/>
      <c r="D297" s="6"/>
      <c r="E297" s="6"/>
      <c r="F297" s="6"/>
      <c r="G297" s="16"/>
      <c r="H297" s="16"/>
      <c r="I297" s="17"/>
      <c r="J297" s="17"/>
      <c r="K297" s="17"/>
      <c r="L297" s="6"/>
      <c r="M297" s="6"/>
      <c r="N297" s="16"/>
      <c r="O297" s="6"/>
      <c r="P297" s="16"/>
      <c r="Q297" s="6"/>
      <c r="R297" s="6"/>
      <c r="S297" s="6"/>
    </row>
    <row r="298">
      <c r="A298" s="22"/>
      <c r="B298" s="6"/>
      <c r="C298" s="6"/>
      <c r="D298" s="6"/>
      <c r="E298" s="6"/>
      <c r="F298" s="6"/>
      <c r="G298" s="16"/>
      <c r="H298" s="16"/>
      <c r="I298" s="17"/>
      <c r="J298" s="17"/>
      <c r="K298" s="17"/>
      <c r="L298" s="6"/>
      <c r="M298" s="6"/>
      <c r="N298" s="16"/>
      <c r="O298" s="6"/>
      <c r="P298" s="16"/>
      <c r="Q298" s="6"/>
      <c r="R298" s="6"/>
      <c r="S298" s="6"/>
    </row>
    <row r="299">
      <c r="A299" s="22"/>
      <c r="B299" s="6"/>
      <c r="C299" s="6"/>
      <c r="D299" s="6"/>
      <c r="E299" s="6"/>
      <c r="F299" s="6"/>
      <c r="G299" s="16"/>
      <c r="H299" s="16"/>
      <c r="I299" s="17"/>
      <c r="J299" s="17"/>
      <c r="K299" s="17"/>
      <c r="L299" s="6"/>
      <c r="M299" s="6"/>
      <c r="N299" s="16"/>
      <c r="O299" s="6"/>
      <c r="P299" s="16"/>
      <c r="Q299" s="6"/>
      <c r="R299" s="6"/>
      <c r="S299" s="6"/>
    </row>
    <row r="300">
      <c r="A300" s="22"/>
      <c r="B300" s="6"/>
      <c r="C300" s="6"/>
      <c r="D300" s="6"/>
      <c r="E300" s="6"/>
      <c r="F300" s="6"/>
      <c r="G300" s="16"/>
      <c r="H300" s="16"/>
      <c r="I300" s="17"/>
      <c r="J300" s="17"/>
      <c r="K300" s="17"/>
      <c r="L300" s="6"/>
      <c r="M300" s="6"/>
      <c r="N300" s="16"/>
      <c r="O300" s="6"/>
      <c r="P300" s="16"/>
      <c r="Q300" s="6"/>
      <c r="R300" s="6"/>
      <c r="S300" s="6"/>
    </row>
    <row r="301">
      <c r="A301" s="22"/>
      <c r="B301" s="6"/>
      <c r="C301" s="6"/>
      <c r="D301" s="6"/>
      <c r="E301" s="6"/>
      <c r="F301" s="6"/>
      <c r="G301" s="16"/>
      <c r="H301" s="16"/>
      <c r="I301" s="17"/>
      <c r="J301" s="17"/>
      <c r="K301" s="17"/>
      <c r="L301" s="6"/>
      <c r="M301" s="6"/>
      <c r="N301" s="16"/>
      <c r="O301" s="6"/>
      <c r="P301" s="16"/>
      <c r="Q301" s="6"/>
      <c r="R301" s="6"/>
      <c r="S301" s="6"/>
    </row>
    <row r="302">
      <c r="A302" s="22"/>
      <c r="B302" s="6"/>
      <c r="C302" s="6"/>
      <c r="D302" s="6"/>
      <c r="E302" s="6"/>
      <c r="F302" s="6"/>
      <c r="G302" s="16"/>
      <c r="H302" s="16"/>
      <c r="I302" s="17"/>
      <c r="J302" s="17"/>
      <c r="K302" s="17"/>
      <c r="L302" s="6"/>
      <c r="M302" s="6"/>
      <c r="N302" s="16"/>
      <c r="O302" s="6"/>
      <c r="P302" s="16"/>
      <c r="Q302" s="6"/>
      <c r="R302" s="6"/>
      <c r="S302" s="6"/>
    </row>
    <row r="303">
      <c r="A303" s="22"/>
      <c r="B303" s="6"/>
      <c r="C303" s="6"/>
      <c r="D303" s="6"/>
      <c r="E303" s="6"/>
      <c r="F303" s="6"/>
      <c r="G303" s="16"/>
      <c r="H303" s="16"/>
      <c r="I303" s="17"/>
      <c r="J303" s="17"/>
      <c r="K303" s="17"/>
      <c r="L303" s="6"/>
      <c r="M303" s="6"/>
      <c r="N303" s="16"/>
      <c r="O303" s="6"/>
      <c r="P303" s="16"/>
      <c r="Q303" s="6"/>
      <c r="R303" s="6"/>
      <c r="S303" s="6"/>
    </row>
    <row r="304">
      <c r="A304" s="22"/>
      <c r="B304" s="6"/>
      <c r="C304" s="6"/>
      <c r="D304" s="6"/>
      <c r="E304" s="6"/>
      <c r="F304" s="6"/>
      <c r="G304" s="16"/>
      <c r="H304" s="16"/>
      <c r="I304" s="17"/>
      <c r="J304" s="17"/>
      <c r="K304" s="17"/>
      <c r="L304" s="6"/>
      <c r="M304" s="6"/>
      <c r="N304" s="16"/>
      <c r="O304" s="6"/>
      <c r="P304" s="16"/>
      <c r="Q304" s="6"/>
      <c r="R304" s="6"/>
      <c r="S304" s="6"/>
    </row>
    <row r="305">
      <c r="A305" s="22"/>
      <c r="B305" s="6"/>
      <c r="C305" s="6"/>
      <c r="D305" s="6"/>
      <c r="E305" s="6"/>
      <c r="F305" s="6"/>
      <c r="G305" s="16"/>
      <c r="H305" s="16"/>
      <c r="I305" s="17"/>
      <c r="J305" s="17"/>
      <c r="K305" s="17"/>
      <c r="L305" s="6"/>
      <c r="M305" s="6"/>
      <c r="N305" s="16"/>
      <c r="O305" s="6"/>
      <c r="P305" s="16"/>
      <c r="Q305" s="6"/>
      <c r="R305" s="6"/>
      <c r="S305" s="6"/>
    </row>
    <row r="306">
      <c r="A306" s="22"/>
      <c r="B306" s="6"/>
      <c r="C306" s="6"/>
      <c r="D306" s="6"/>
      <c r="E306" s="6"/>
      <c r="F306" s="6"/>
      <c r="G306" s="16"/>
      <c r="H306" s="16"/>
      <c r="I306" s="17"/>
      <c r="J306" s="17"/>
      <c r="K306" s="17"/>
      <c r="L306" s="6"/>
      <c r="M306" s="6"/>
      <c r="N306" s="16"/>
      <c r="O306" s="6"/>
      <c r="P306" s="16"/>
      <c r="Q306" s="6"/>
      <c r="R306" s="6"/>
      <c r="S306" s="6"/>
    </row>
    <row r="307">
      <c r="A307" s="22"/>
      <c r="B307" s="6"/>
      <c r="C307" s="6"/>
      <c r="D307" s="6"/>
      <c r="E307" s="6"/>
      <c r="F307" s="6"/>
      <c r="G307" s="16"/>
      <c r="H307" s="16"/>
      <c r="I307" s="17"/>
      <c r="J307" s="17"/>
      <c r="K307" s="17"/>
      <c r="L307" s="6"/>
      <c r="M307" s="6"/>
      <c r="N307" s="16"/>
      <c r="O307" s="6"/>
      <c r="P307" s="16"/>
      <c r="Q307" s="6"/>
      <c r="R307" s="6"/>
      <c r="S307" s="6"/>
    </row>
    <row r="308">
      <c r="A308" s="22"/>
      <c r="B308" s="6"/>
      <c r="C308" s="6"/>
      <c r="D308" s="6"/>
      <c r="E308" s="6"/>
      <c r="F308" s="6"/>
      <c r="G308" s="16"/>
      <c r="H308" s="16"/>
      <c r="I308" s="17"/>
      <c r="J308" s="17"/>
      <c r="K308" s="17"/>
      <c r="L308" s="6"/>
      <c r="M308" s="6"/>
      <c r="N308" s="16"/>
      <c r="O308" s="6"/>
      <c r="P308" s="16"/>
      <c r="Q308" s="6"/>
      <c r="R308" s="6"/>
      <c r="S308" s="6"/>
    </row>
    <row r="309">
      <c r="A309" s="22"/>
      <c r="B309" s="6"/>
      <c r="C309" s="6"/>
      <c r="D309" s="6"/>
      <c r="E309" s="6"/>
      <c r="F309" s="6"/>
      <c r="G309" s="16"/>
      <c r="H309" s="16"/>
      <c r="I309" s="17"/>
      <c r="J309" s="17"/>
      <c r="K309" s="17"/>
      <c r="L309" s="6"/>
      <c r="M309" s="6"/>
      <c r="N309" s="16"/>
      <c r="O309" s="6"/>
      <c r="P309" s="16"/>
      <c r="Q309" s="6"/>
      <c r="R309" s="6"/>
      <c r="S309" s="6"/>
    </row>
    <row r="310">
      <c r="A310" s="22"/>
      <c r="B310" s="6"/>
      <c r="C310" s="6"/>
      <c r="D310" s="6"/>
      <c r="E310" s="6"/>
      <c r="F310" s="6"/>
      <c r="G310" s="16"/>
      <c r="H310" s="16"/>
      <c r="I310" s="17"/>
      <c r="J310" s="17"/>
      <c r="K310" s="17"/>
      <c r="L310" s="6"/>
      <c r="M310" s="6"/>
      <c r="N310" s="16"/>
      <c r="O310" s="6"/>
      <c r="P310" s="16"/>
      <c r="Q310" s="6"/>
      <c r="R310" s="6"/>
      <c r="S310" s="6"/>
    </row>
    <row r="311">
      <c r="A311" s="22"/>
      <c r="B311" s="6"/>
      <c r="C311" s="6"/>
      <c r="D311" s="6"/>
      <c r="E311" s="6"/>
      <c r="F311" s="6"/>
      <c r="G311" s="16"/>
      <c r="H311" s="16"/>
      <c r="I311" s="17"/>
      <c r="J311" s="17"/>
      <c r="K311" s="17"/>
      <c r="L311" s="6"/>
      <c r="M311" s="6"/>
      <c r="N311" s="16"/>
      <c r="O311" s="6"/>
      <c r="P311" s="16"/>
      <c r="Q311" s="6"/>
      <c r="R311" s="6"/>
      <c r="S311" s="6"/>
    </row>
    <row r="312">
      <c r="A312" s="22"/>
      <c r="B312" s="6"/>
      <c r="C312" s="6"/>
      <c r="D312" s="6"/>
      <c r="E312" s="6"/>
      <c r="F312" s="6"/>
      <c r="G312" s="16"/>
      <c r="H312" s="16"/>
      <c r="I312" s="17"/>
      <c r="J312" s="17"/>
      <c r="K312" s="17"/>
      <c r="L312" s="6"/>
      <c r="M312" s="6"/>
      <c r="N312" s="16"/>
      <c r="O312" s="6"/>
      <c r="P312" s="16"/>
      <c r="Q312" s="6"/>
      <c r="R312" s="6"/>
      <c r="S312" s="6"/>
    </row>
    <row r="313">
      <c r="A313" s="22"/>
      <c r="B313" s="6"/>
      <c r="C313" s="6"/>
      <c r="D313" s="6"/>
      <c r="E313" s="6"/>
      <c r="F313" s="6"/>
      <c r="G313" s="16"/>
      <c r="H313" s="16"/>
      <c r="I313" s="17"/>
      <c r="J313" s="17"/>
      <c r="K313" s="17"/>
      <c r="L313" s="6"/>
      <c r="M313" s="6"/>
      <c r="N313" s="16"/>
      <c r="O313" s="6"/>
      <c r="P313" s="16"/>
      <c r="Q313" s="6"/>
      <c r="R313" s="6"/>
      <c r="S313" s="6"/>
    </row>
    <row r="314">
      <c r="A314" s="22"/>
      <c r="B314" s="6"/>
      <c r="C314" s="6"/>
      <c r="D314" s="6"/>
      <c r="E314" s="6"/>
      <c r="F314" s="6"/>
      <c r="G314" s="16"/>
      <c r="H314" s="16"/>
      <c r="I314" s="17"/>
      <c r="J314" s="17"/>
      <c r="K314" s="17"/>
      <c r="L314" s="6"/>
      <c r="M314" s="6"/>
      <c r="N314" s="16"/>
      <c r="O314" s="6"/>
      <c r="P314" s="16"/>
      <c r="Q314" s="6"/>
      <c r="R314" s="6"/>
      <c r="S314" s="6"/>
    </row>
    <row r="315">
      <c r="A315" s="22"/>
      <c r="B315" s="6"/>
      <c r="C315" s="6"/>
      <c r="D315" s="6"/>
      <c r="E315" s="6"/>
      <c r="F315" s="6"/>
      <c r="G315" s="16"/>
      <c r="H315" s="16"/>
      <c r="I315" s="17"/>
      <c r="J315" s="17"/>
      <c r="K315" s="17"/>
      <c r="L315" s="6"/>
      <c r="M315" s="6"/>
      <c r="N315" s="16"/>
      <c r="O315" s="6"/>
      <c r="P315" s="16"/>
      <c r="Q315" s="6"/>
      <c r="R315" s="6"/>
      <c r="S315" s="6"/>
    </row>
    <row r="316">
      <c r="A316" s="22"/>
      <c r="B316" s="6"/>
      <c r="C316" s="6"/>
      <c r="D316" s="6"/>
      <c r="E316" s="6"/>
      <c r="F316" s="6"/>
      <c r="G316" s="16"/>
      <c r="H316" s="16"/>
      <c r="I316" s="17"/>
      <c r="J316" s="17"/>
      <c r="K316" s="17"/>
      <c r="L316" s="6"/>
      <c r="M316" s="6"/>
      <c r="N316" s="16"/>
      <c r="O316" s="6"/>
      <c r="P316" s="16"/>
      <c r="Q316" s="6"/>
      <c r="R316" s="6"/>
      <c r="S316" s="6"/>
    </row>
    <row r="317">
      <c r="A317" s="22"/>
      <c r="B317" s="6"/>
      <c r="C317" s="6"/>
      <c r="D317" s="6"/>
      <c r="E317" s="6"/>
      <c r="F317" s="6"/>
      <c r="G317" s="16"/>
      <c r="H317" s="16"/>
      <c r="I317" s="17"/>
      <c r="J317" s="17"/>
      <c r="K317" s="17"/>
      <c r="L317" s="6"/>
      <c r="M317" s="6"/>
      <c r="N317" s="16"/>
      <c r="O317" s="6"/>
      <c r="P317" s="16"/>
      <c r="Q317" s="6"/>
      <c r="R317" s="6"/>
      <c r="S317" s="6"/>
    </row>
    <row r="318">
      <c r="A318" s="22"/>
      <c r="B318" s="6"/>
      <c r="C318" s="6"/>
      <c r="D318" s="6"/>
      <c r="E318" s="6"/>
      <c r="F318" s="6"/>
      <c r="G318" s="16"/>
      <c r="H318" s="16"/>
      <c r="I318" s="17"/>
      <c r="J318" s="17"/>
      <c r="K318" s="17"/>
      <c r="L318" s="6"/>
      <c r="M318" s="6"/>
      <c r="N318" s="16"/>
      <c r="O318" s="6"/>
      <c r="P318" s="16"/>
      <c r="Q318" s="6"/>
      <c r="R318" s="6"/>
      <c r="S318" s="6"/>
    </row>
    <row r="319">
      <c r="A319" s="22"/>
      <c r="B319" s="6"/>
      <c r="C319" s="6"/>
      <c r="D319" s="6"/>
      <c r="E319" s="6"/>
      <c r="F319" s="6"/>
      <c r="G319" s="16"/>
      <c r="H319" s="16"/>
      <c r="I319" s="17"/>
      <c r="J319" s="17"/>
      <c r="K319" s="17"/>
      <c r="L319" s="6"/>
      <c r="M319" s="6"/>
      <c r="N319" s="16"/>
      <c r="O319" s="6"/>
      <c r="P319" s="16"/>
      <c r="Q319" s="6"/>
      <c r="R319" s="6"/>
      <c r="S319" s="6"/>
    </row>
    <row r="320">
      <c r="A320" s="22"/>
      <c r="B320" s="6"/>
      <c r="C320" s="6"/>
      <c r="D320" s="6"/>
      <c r="E320" s="6"/>
      <c r="F320" s="6"/>
      <c r="G320" s="16"/>
      <c r="H320" s="16"/>
      <c r="I320" s="17"/>
      <c r="J320" s="17"/>
      <c r="K320" s="17"/>
      <c r="L320" s="6"/>
      <c r="M320" s="6"/>
      <c r="N320" s="16"/>
      <c r="O320" s="6"/>
      <c r="P320" s="16"/>
      <c r="Q320" s="6"/>
      <c r="R320" s="6"/>
      <c r="S320" s="6"/>
    </row>
    <row r="321">
      <c r="A321" s="22"/>
      <c r="B321" s="6"/>
      <c r="C321" s="6"/>
      <c r="D321" s="6"/>
      <c r="E321" s="6"/>
      <c r="F321" s="6"/>
      <c r="G321" s="16"/>
      <c r="H321" s="16"/>
      <c r="I321" s="17"/>
      <c r="J321" s="17"/>
      <c r="K321" s="17"/>
      <c r="L321" s="6"/>
      <c r="M321" s="6"/>
      <c r="N321" s="16"/>
      <c r="O321" s="6"/>
      <c r="P321" s="16"/>
      <c r="Q321" s="6"/>
      <c r="R321" s="6"/>
      <c r="S321" s="6"/>
    </row>
    <row r="322">
      <c r="A322" s="22"/>
      <c r="B322" s="6"/>
      <c r="C322" s="6"/>
      <c r="D322" s="6"/>
      <c r="E322" s="6"/>
      <c r="F322" s="6"/>
      <c r="G322" s="16"/>
      <c r="H322" s="16"/>
      <c r="I322" s="17"/>
      <c r="J322" s="17"/>
      <c r="K322" s="17"/>
      <c r="L322" s="6"/>
      <c r="M322" s="6"/>
      <c r="N322" s="16"/>
      <c r="O322" s="6"/>
      <c r="P322" s="16"/>
      <c r="Q322" s="6"/>
      <c r="R322" s="6"/>
      <c r="S322" s="6"/>
    </row>
    <row r="323">
      <c r="A323" s="22"/>
      <c r="B323" s="6"/>
      <c r="C323" s="6"/>
      <c r="D323" s="6"/>
      <c r="E323" s="6"/>
      <c r="F323" s="6"/>
      <c r="G323" s="16"/>
      <c r="H323" s="16"/>
      <c r="I323" s="17"/>
      <c r="J323" s="17"/>
      <c r="K323" s="17"/>
      <c r="L323" s="6"/>
      <c r="M323" s="6"/>
      <c r="N323" s="16"/>
      <c r="O323" s="6"/>
      <c r="P323" s="16"/>
      <c r="Q323" s="6"/>
      <c r="R323" s="6"/>
      <c r="S323" s="6"/>
    </row>
    <row r="324">
      <c r="A324" s="22"/>
      <c r="B324" s="6"/>
      <c r="C324" s="6"/>
      <c r="D324" s="6"/>
      <c r="E324" s="6"/>
      <c r="F324" s="6"/>
      <c r="G324" s="16"/>
      <c r="H324" s="16"/>
      <c r="I324" s="17"/>
      <c r="J324" s="17"/>
      <c r="K324" s="17"/>
      <c r="L324" s="6"/>
      <c r="M324" s="6"/>
      <c r="N324" s="16"/>
      <c r="O324" s="6"/>
      <c r="P324" s="16"/>
      <c r="Q324" s="6"/>
      <c r="R324" s="6"/>
      <c r="S324" s="6"/>
    </row>
    <row r="325">
      <c r="A325" s="22"/>
      <c r="B325" s="6"/>
      <c r="C325" s="6"/>
      <c r="D325" s="6"/>
      <c r="E325" s="6"/>
      <c r="F325" s="6"/>
      <c r="G325" s="16"/>
      <c r="H325" s="16"/>
      <c r="I325" s="17"/>
      <c r="J325" s="17"/>
      <c r="K325" s="17"/>
      <c r="L325" s="6"/>
      <c r="M325" s="6"/>
      <c r="N325" s="16"/>
      <c r="O325" s="6"/>
      <c r="P325" s="16"/>
      <c r="Q325" s="6"/>
      <c r="R325" s="6"/>
      <c r="S325" s="6"/>
    </row>
    <row r="326">
      <c r="A326" s="22"/>
      <c r="B326" s="6"/>
      <c r="C326" s="6"/>
      <c r="D326" s="6"/>
      <c r="E326" s="6"/>
      <c r="F326" s="6"/>
      <c r="G326" s="16"/>
      <c r="H326" s="16"/>
      <c r="I326" s="17"/>
      <c r="J326" s="17"/>
      <c r="K326" s="17"/>
      <c r="L326" s="6"/>
      <c r="M326" s="6"/>
      <c r="N326" s="16"/>
      <c r="O326" s="6"/>
      <c r="P326" s="16"/>
      <c r="Q326" s="6"/>
      <c r="R326" s="6"/>
      <c r="S326" s="6"/>
    </row>
    <row r="327">
      <c r="A327" s="22"/>
      <c r="B327" s="6"/>
      <c r="C327" s="6"/>
      <c r="D327" s="6"/>
      <c r="E327" s="6"/>
      <c r="F327" s="6"/>
      <c r="G327" s="16"/>
      <c r="H327" s="16"/>
      <c r="I327" s="17"/>
      <c r="J327" s="17"/>
      <c r="K327" s="17"/>
      <c r="L327" s="6"/>
      <c r="M327" s="6"/>
      <c r="N327" s="16"/>
      <c r="O327" s="6"/>
      <c r="P327" s="16"/>
      <c r="Q327" s="6"/>
      <c r="R327" s="6"/>
      <c r="S327" s="6"/>
    </row>
    <row r="328">
      <c r="A328" s="22"/>
      <c r="B328" s="6"/>
      <c r="C328" s="6"/>
      <c r="D328" s="6"/>
      <c r="E328" s="6"/>
      <c r="F328" s="6"/>
      <c r="G328" s="16"/>
      <c r="H328" s="16"/>
      <c r="I328" s="17"/>
      <c r="J328" s="17"/>
      <c r="K328" s="17"/>
      <c r="L328" s="6"/>
      <c r="M328" s="6"/>
      <c r="N328" s="16"/>
      <c r="O328" s="6"/>
      <c r="P328" s="16"/>
      <c r="Q328" s="6"/>
      <c r="R328" s="6"/>
      <c r="S328" s="6"/>
    </row>
    <row r="329">
      <c r="A329" s="22"/>
      <c r="B329" s="6"/>
      <c r="C329" s="6"/>
      <c r="D329" s="6"/>
      <c r="E329" s="6"/>
      <c r="F329" s="6"/>
      <c r="G329" s="16"/>
      <c r="H329" s="16"/>
      <c r="I329" s="17"/>
      <c r="J329" s="17"/>
      <c r="K329" s="17"/>
      <c r="L329" s="6"/>
      <c r="M329" s="6"/>
      <c r="N329" s="16"/>
      <c r="O329" s="6"/>
      <c r="P329" s="16"/>
      <c r="Q329" s="6"/>
      <c r="R329" s="6"/>
      <c r="S329" s="6"/>
    </row>
    <row r="330">
      <c r="A330" s="22"/>
      <c r="B330" s="6"/>
      <c r="C330" s="6"/>
      <c r="D330" s="6"/>
      <c r="E330" s="6"/>
      <c r="F330" s="6"/>
      <c r="G330" s="16"/>
      <c r="H330" s="16"/>
      <c r="I330" s="17"/>
      <c r="J330" s="17"/>
      <c r="K330" s="17"/>
      <c r="L330" s="6"/>
      <c r="M330" s="6"/>
      <c r="N330" s="16"/>
      <c r="O330" s="6"/>
      <c r="P330" s="16"/>
      <c r="Q330" s="6"/>
      <c r="R330" s="6"/>
      <c r="S330" s="6"/>
    </row>
    <row r="331">
      <c r="A331" s="22"/>
      <c r="B331" s="6"/>
      <c r="C331" s="6"/>
      <c r="D331" s="6"/>
      <c r="E331" s="6"/>
      <c r="F331" s="6"/>
      <c r="G331" s="16"/>
      <c r="H331" s="16"/>
      <c r="I331" s="17"/>
      <c r="J331" s="17"/>
      <c r="K331" s="17"/>
      <c r="L331" s="6"/>
      <c r="M331" s="6"/>
      <c r="N331" s="16"/>
      <c r="O331" s="6"/>
      <c r="P331" s="16"/>
      <c r="Q331" s="6"/>
      <c r="R331" s="6"/>
      <c r="S331" s="6"/>
    </row>
    <row r="332">
      <c r="A332" s="22"/>
      <c r="B332" s="6"/>
      <c r="C332" s="6"/>
      <c r="D332" s="6"/>
      <c r="E332" s="6"/>
      <c r="F332" s="6"/>
      <c r="G332" s="16"/>
      <c r="H332" s="16"/>
      <c r="I332" s="17"/>
      <c r="J332" s="17"/>
      <c r="K332" s="17"/>
      <c r="L332" s="6"/>
      <c r="M332" s="6"/>
      <c r="N332" s="16"/>
      <c r="O332" s="6"/>
      <c r="P332" s="16"/>
      <c r="Q332" s="6"/>
      <c r="R332" s="6"/>
      <c r="S332" s="6"/>
    </row>
    <row r="333">
      <c r="A333" s="22"/>
      <c r="B333" s="6"/>
      <c r="C333" s="6"/>
      <c r="D333" s="6"/>
      <c r="E333" s="6"/>
      <c r="F333" s="6"/>
      <c r="G333" s="16"/>
      <c r="H333" s="16"/>
      <c r="I333" s="17"/>
      <c r="J333" s="17"/>
      <c r="K333" s="17"/>
      <c r="L333" s="6"/>
      <c r="M333" s="6"/>
      <c r="N333" s="16"/>
      <c r="O333" s="6"/>
      <c r="P333" s="16"/>
      <c r="Q333" s="6"/>
      <c r="R333" s="6"/>
      <c r="S333" s="6"/>
    </row>
    <row r="334">
      <c r="A334" s="22"/>
      <c r="B334" s="6"/>
      <c r="C334" s="6"/>
      <c r="D334" s="6"/>
      <c r="E334" s="6"/>
      <c r="F334" s="6"/>
      <c r="G334" s="16"/>
      <c r="H334" s="16"/>
      <c r="I334" s="17"/>
      <c r="J334" s="17"/>
      <c r="K334" s="17"/>
      <c r="L334" s="6"/>
      <c r="M334" s="6"/>
      <c r="N334" s="16"/>
      <c r="O334" s="6"/>
      <c r="P334" s="16"/>
      <c r="Q334" s="6"/>
      <c r="R334" s="6"/>
      <c r="S334" s="6"/>
    </row>
    <row r="335">
      <c r="A335" s="22"/>
      <c r="B335" s="6"/>
      <c r="C335" s="6"/>
      <c r="D335" s="6"/>
      <c r="E335" s="6"/>
      <c r="F335" s="6"/>
      <c r="G335" s="16"/>
      <c r="H335" s="16"/>
      <c r="I335" s="17"/>
      <c r="J335" s="17"/>
      <c r="K335" s="17"/>
      <c r="L335" s="6"/>
      <c r="M335" s="6"/>
      <c r="N335" s="16"/>
      <c r="O335" s="6"/>
      <c r="P335" s="16"/>
      <c r="Q335" s="6"/>
      <c r="R335" s="6"/>
      <c r="S335" s="6"/>
    </row>
    <row r="336">
      <c r="A336" s="22"/>
      <c r="B336" s="6"/>
      <c r="C336" s="6"/>
      <c r="D336" s="6"/>
      <c r="E336" s="6"/>
      <c r="F336" s="6"/>
      <c r="G336" s="16"/>
      <c r="H336" s="16"/>
      <c r="I336" s="17"/>
      <c r="J336" s="17"/>
      <c r="K336" s="17"/>
      <c r="L336" s="6"/>
      <c r="M336" s="6"/>
      <c r="N336" s="16"/>
      <c r="O336" s="6"/>
      <c r="P336" s="16"/>
      <c r="Q336" s="6"/>
      <c r="R336" s="6"/>
      <c r="S336" s="6"/>
    </row>
    <row r="337">
      <c r="A337" s="22"/>
      <c r="B337" s="6"/>
      <c r="C337" s="6"/>
      <c r="D337" s="6"/>
      <c r="E337" s="6"/>
      <c r="F337" s="6"/>
      <c r="G337" s="16"/>
      <c r="H337" s="16"/>
      <c r="I337" s="17"/>
      <c r="J337" s="17"/>
      <c r="K337" s="17"/>
      <c r="L337" s="6"/>
      <c r="M337" s="6"/>
      <c r="N337" s="16"/>
      <c r="O337" s="6"/>
      <c r="P337" s="16"/>
      <c r="Q337" s="6"/>
      <c r="R337" s="6"/>
      <c r="S337" s="6"/>
    </row>
    <row r="338">
      <c r="A338" s="22"/>
      <c r="B338" s="6"/>
      <c r="C338" s="6"/>
      <c r="D338" s="6"/>
      <c r="E338" s="6"/>
      <c r="F338" s="6"/>
      <c r="G338" s="16"/>
      <c r="H338" s="16"/>
      <c r="I338" s="17"/>
      <c r="J338" s="17"/>
      <c r="K338" s="17"/>
      <c r="L338" s="6"/>
      <c r="M338" s="6"/>
      <c r="N338" s="16"/>
      <c r="O338" s="6"/>
      <c r="P338" s="16"/>
      <c r="Q338" s="6"/>
      <c r="R338" s="6"/>
      <c r="S338" s="6"/>
    </row>
    <row r="339">
      <c r="A339" s="22"/>
      <c r="B339" s="6"/>
      <c r="C339" s="6"/>
      <c r="D339" s="6"/>
      <c r="E339" s="6"/>
      <c r="F339" s="6"/>
      <c r="G339" s="16"/>
      <c r="H339" s="16"/>
      <c r="I339" s="17"/>
      <c r="J339" s="17"/>
      <c r="K339" s="17"/>
      <c r="L339" s="6"/>
      <c r="M339" s="6"/>
      <c r="N339" s="16"/>
      <c r="O339" s="6"/>
      <c r="P339" s="16"/>
      <c r="Q339" s="6"/>
      <c r="R339" s="6"/>
      <c r="S339" s="6"/>
    </row>
    <row r="340">
      <c r="A340" s="22"/>
      <c r="B340" s="6"/>
      <c r="C340" s="6"/>
      <c r="D340" s="6"/>
      <c r="E340" s="6"/>
      <c r="F340" s="6"/>
      <c r="G340" s="16"/>
      <c r="H340" s="16"/>
      <c r="I340" s="17"/>
      <c r="J340" s="17"/>
      <c r="K340" s="17"/>
      <c r="L340" s="6"/>
      <c r="M340" s="6"/>
      <c r="N340" s="16"/>
      <c r="O340" s="6"/>
      <c r="P340" s="16"/>
      <c r="Q340" s="6"/>
      <c r="R340" s="6"/>
      <c r="S340" s="6"/>
    </row>
    <row r="341">
      <c r="A341" s="22"/>
      <c r="B341" s="6"/>
      <c r="C341" s="6"/>
      <c r="D341" s="6"/>
      <c r="E341" s="6"/>
      <c r="F341" s="6"/>
      <c r="G341" s="16"/>
      <c r="H341" s="16"/>
      <c r="I341" s="17"/>
      <c r="J341" s="17"/>
      <c r="K341" s="17"/>
      <c r="L341" s="6"/>
      <c r="M341" s="6"/>
      <c r="N341" s="16"/>
      <c r="O341" s="6"/>
      <c r="P341" s="16"/>
      <c r="Q341" s="6"/>
      <c r="R341" s="6"/>
      <c r="S341" s="6"/>
    </row>
    <row r="342">
      <c r="A342" s="22"/>
      <c r="B342" s="6"/>
      <c r="C342" s="6"/>
      <c r="D342" s="6"/>
      <c r="E342" s="6"/>
      <c r="F342" s="6"/>
      <c r="G342" s="16"/>
      <c r="H342" s="16"/>
      <c r="I342" s="17"/>
      <c r="J342" s="17"/>
      <c r="K342" s="17"/>
      <c r="L342" s="6"/>
      <c r="M342" s="6"/>
      <c r="N342" s="16"/>
      <c r="O342" s="6"/>
      <c r="P342" s="16"/>
      <c r="Q342" s="6"/>
      <c r="R342" s="6"/>
      <c r="S342" s="6"/>
    </row>
    <row r="343">
      <c r="A343" s="22"/>
      <c r="B343" s="6"/>
      <c r="C343" s="6"/>
      <c r="D343" s="6"/>
      <c r="E343" s="6"/>
      <c r="F343" s="6"/>
      <c r="G343" s="16"/>
      <c r="H343" s="16"/>
      <c r="I343" s="17"/>
      <c r="J343" s="17"/>
      <c r="K343" s="17"/>
      <c r="L343" s="6"/>
      <c r="M343" s="6"/>
      <c r="N343" s="16"/>
      <c r="O343" s="6"/>
      <c r="P343" s="16"/>
      <c r="Q343" s="6"/>
      <c r="R343" s="6"/>
      <c r="S343" s="6"/>
    </row>
    <row r="344">
      <c r="A344" s="22"/>
      <c r="B344" s="6"/>
      <c r="C344" s="6"/>
      <c r="D344" s="6"/>
      <c r="E344" s="6"/>
      <c r="F344" s="6"/>
      <c r="G344" s="16"/>
      <c r="H344" s="16"/>
      <c r="I344" s="17"/>
      <c r="J344" s="17"/>
      <c r="K344" s="17"/>
      <c r="L344" s="6"/>
      <c r="M344" s="6"/>
      <c r="N344" s="16"/>
      <c r="O344" s="6"/>
      <c r="P344" s="16"/>
      <c r="Q344" s="6"/>
      <c r="R344" s="6"/>
      <c r="S344" s="6"/>
    </row>
    <row r="345">
      <c r="A345" s="22"/>
      <c r="B345" s="6"/>
      <c r="C345" s="6"/>
      <c r="D345" s="6"/>
      <c r="E345" s="6"/>
      <c r="F345" s="6"/>
      <c r="G345" s="16"/>
      <c r="H345" s="16"/>
      <c r="I345" s="17"/>
      <c r="J345" s="17"/>
      <c r="K345" s="17"/>
      <c r="L345" s="6"/>
      <c r="M345" s="6"/>
      <c r="N345" s="16"/>
      <c r="O345" s="6"/>
      <c r="P345" s="16"/>
      <c r="Q345" s="6"/>
      <c r="R345" s="6"/>
      <c r="S345" s="6"/>
    </row>
    <row r="346">
      <c r="A346" s="22"/>
      <c r="B346" s="6"/>
      <c r="C346" s="6"/>
      <c r="D346" s="6"/>
      <c r="E346" s="6"/>
      <c r="F346" s="6"/>
      <c r="G346" s="16"/>
      <c r="H346" s="16"/>
      <c r="I346" s="17"/>
      <c r="J346" s="17"/>
      <c r="K346" s="17"/>
      <c r="L346" s="6"/>
      <c r="M346" s="6"/>
      <c r="N346" s="16"/>
      <c r="O346" s="6"/>
      <c r="P346" s="16"/>
      <c r="Q346" s="6"/>
      <c r="R346" s="6"/>
      <c r="S346" s="6"/>
    </row>
    <row r="347">
      <c r="A347" s="22"/>
      <c r="B347" s="6"/>
      <c r="C347" s="6"/>
      <c r="D347" s="6"/>
      <c r="E347" s="6"/>
      <c r="F347" s="6"/>
      <c r="G347" s="16"/>
      <c r="H347" s="16"/>
      <c r="I347" s="17"/>
      <c r="J347" s="17"/>
      <c r="K347" s="17"/>
      <c r="L347" s="6"/>
      <c r="M347" s="6"/>
      <c r="N347" s="16"/>
      <c r="O347" s="6"/>
      <c r="P347" s="16"/>
      <c r="Q347" s="6"/>
      <c r="R347" s="6"/>
      <c r="S347" s="6"/>
    </row>
    <row r="348">
      <c r="A348" s="22"/>
      <c r="B348" s="6"/>
      <c r="C348" s="6"/>
      <c r="D348" s="6"/>
      <c r="E348" s="6"/>
      <c r="F348" s="6"/>
      <c r="G348" s="16"/>
      <c r="H348" s="16"/>
      <c r="I348" s="17"/>
      <c r="J348" s="17"/>
      <c r="K348" s="17"/>
      <c r="L348" s="6"/>
      <c r="M348" s="6"/>
      <c r="N348" s="16"/>
      <c r="O348" s="6"/>
      <c r="P348" s="16"/>
      <c r="Q348" s="6"/>
      <c r="R348" s="6"/>
      <c r="S348" s="6"/>
    </row>
    <row r="349">
      <c r="A349" s="22"/>
      <c r="B349" s="6"/>
      <c r="C349" s="6"/>
      <c r="D349" s="6"/>
      <c r="E349" s="6"/>
      <c r="F349" s="6"/>
      <c r="G349" s="16"/>
      <c r="H349" s="16"/>
      <c r="I349" s="17"/>
      <c r="J349" s="17"/>
      <c r="K349" s="17"/>
      <c r="L349" s="6"/>
      <c r="M349" s="6"/>
      <c r="N349" s="16"/>
      <c r="O349" s="6"/>
      <c r="P349" s="16"/>
      <c r="Q349" s="6"/>
      <c r="R349" s="6"/>
      <c r="S349" s="6"/>
    </row>
    <row r="350">
      <c r="A350" s="22"/>
      <c r="B350" s="6"/>
      <c r="C350" s="6"/>
      <c r="D350" s="6"/>
      <c r="E350" s="6"/>
      <c r="F350" s="6"/>
      <c r="G350" s="16"/>
      <c r="H350" s="16"/>
      <c r="I350" s="17"/>
      <c r="J350" s="17"/>
      <c r="K350" s="17"/>
      <c r="L350" s="6"/>
      <c r="M350" s="6"/>
      <c r="N350" s="16"/>
      <c r="O350" s="6"/>
      <c r="P350" s="16"/>
      <c r="Q350" s="6"/>
      <c r="R350" s="6"/>
      <c r="S350" s="6"/>
    </row>
    <row r="351">
      <c r="A351" s="22"/>
      <c r="B351" s="6"/>
      <c r="C351" s="6"/>
      <c r="D351" s="6"/>
      <c r="E351" s="6"/>
      <c r="F351" s="6"/>
      <c r="G351" s="16"/>
      <c r="H351" s="16"/>
      <c r="I351" s="17"/>
      <c r="J351" s="17"/>
      <c r="K351" s="17"/>
      <c r="L351" s="6"/>
      <c r="M351" s="6"/>
      <c r="N351" s="16"/>
      <c r="O351" s="6"/>
      <c r="P351" s="16"/>
      <c r="Q351" s="6"/>
      <c r="R351" s="6"/>
      <c r="S351" s="6"/>
    </row>
    <row r="352">
      <c r="A352" s="22"/>
      <c r="B352" s="6"/>
      <c r="C352" s="6"/>
      <c r="D352" s="6"/>
      <c r="E352" s="6"/>
      <c r="F352" s="6"/>
      <c r="G352" s="16"/>
      <c r="H352" s="16"/>
      <c r="I352" s="17"/>
      <c r="J352" s="17"/>
      <c r="K352" s="17"/>
      <c r="L352" s="6"/>
      <c r="M352" s="6"/>
      <c r="N352" s="16"/>
      <c r="O352" s="6"/>
      <c r="P352" s="16"/>
      <c r="Q352" s="6"/>
      <c r="R352" s="6"/>
      <c r="S352" s="6"/>
    </row>
    <row r="353">
      <c r="A353" s="22"/>
      <c r="B353" s="6"/>
      <c r="C353" s="6"/>
      <c r="D353" s="6"/>
      <c r="E353" s="6"/>
      <c r="F353" s="6"/>
      <c r="G353" s="16"/>
      <c r="H353" s="16"/>
      <c r="I353" s="17"/>
      <c r="J353" s="17"/>
      <c r="K353" s="17"/>
      <c r="L353" s="6"/>
      <c r="M353" s="6"/>
      <c r="N353" s="16"/>
      <c r="O353" s="6"/>
      <c r="P353" s="16"/>
      <c r="Q353" s="6"/>
      <c r="R353" s="6"/>
      <c r="S353" s="6"/>
    </row>
    <row r="354">
      <c r="A354" s="22"/>
      <c r="B354" s="6"/>
      <c r="C354" s="6"/>
      <c r="D354" s="6"/>
      <c r="E354" s="6"/>
      <c r="F354" s="6"/>
      <c r="G354" s="16"/>
      <c r="H354" s="16"/>
      <c r="I354" s="17"/>
      <c r="J354" s="17"/>
      <c r="K354" s="17"/>
      <c r="L354" s="6"/>
      <c r="M354" s="6"/>
      <c r="N354" s="16"/>
      <c r="O354" s="6"/>
      <c r="P354" s="16"/>
      <c r="Q354" s="6"/>
      <c r="R354" s="6"/>
      <c r="S354" s="6"/>
    </row>
    <row r="355">
      <c r="A355" s="22"/>
      <c r="B355" s="6"/>
      <c r="C355" s="6"/>
      <c r="D355" s="6"/>
      <c r="E355" s="6"/>
      <c r="F355" s="6"/>
      <c r="G355" s="16"/>
      <c r="H355" s="16"/>
      <c r="I355" s="17"/>
      <c r="J355" s="17"/>
      <c r="K355" s="17"/>
      <c r="L355" s="6"/>
      <c r="M355" s="6"/>
      <c r="N355" s="16"/>
      <c r="O355" s="6"/>
      <c r="P355" s="16"/>
      <c r="Q355" s="6"/>
      <c r="R355" s="6"/>
      <c r="S355" s="6"/>
    </row>
    <row r="356">
      <c r="A356" s="22"/>
      <c r="B356" s="6"/>
      <c r="C356" s="6"/>
      <c r="D356" s="6"/>
      <c r="E356" s="6"/>
      <c r="F356" s="6"/>
      <c r="G356" s="16"/>
      <c r="H356" s="16"/>
      <c r="I356" s="17"/>
      <c r="J356" s="17"/>
      <c r="K356" s="17"/>
      <c r="L356" s="6"/>
      <c r="M356" s="6"/>
      <c r="N356" s="16"/>
      <c r="O356" s="6"/>
      <c r="P356" s="16"/>
      <c r="Q356" s="6"/>
      <c r="R356" s="6"/>
      <c r="S356" s="6"/>
    </row>
    <row r="357">
      <c r="A357" s="22"/>
      <c r="B357" s="6"/>
      <c r="C357" s="6"/>
      <c r="D357" s="6"/>
      <c r="E357" s="6"/>
      <c r="F357" s="6"/>
      <c r="G357" s="16"/>
      <c r="H357" s="16"/>
      <c r="I357" s="17"/>
      <c r="J357" s="17"/>
      <c r="K357" s="17"/>
      <c r="L357" s="6"/>
      <c r="M357" s="6"/>
      <c r="N357" s="16"/>
      <c r="O357" s="6"/>
      <c r="P357" s="16"/>
      <c r="Q357" s="6"/>
      <c r="R357" s="6"/>
      <c r="S357" s="6"/>
    </row>
    <row r="358">
      <c r="A358" s="22"/>
      <c r="B358" s="6"/>
      <c r="C358" s="6"/>
      <c r="D358" s="6"/>
      <c r="E358" s="6"/>
      <c r="F358" s="6"/>
      <c r="G358" s="16"/>
      <c r="H358" s="16"/>
      <c r="I358" s="17"/>
      <c r="J358" s="17"/>
      <c r="K358" s="17"/>
      <c r="L358" s="6"/>
      <c r="M358" s="6"/>
      <c r="N358" s="16"/>
      <c r="O358" s="6"/>
      <c r="P358" s="16"/>
      <c r="Q358" s="6"/>
      <c r="R358" s="6"/>
      <c r="S358" s="6"/>
    </row>
    <row r="359">
      <c r="A359" s="22"/>
      <c r="B359" s="6"/>
      <c r="C359" s="6"/>
      <c r="D359" s="6"/>
      <c r="E359" s="6"/>
      <c r="F359" s="6"/>
      <c r="G359" s="16"/>
      <c r="H359" s="16"/>
      <c r="I359" s="17"/>
      <c r="J359" s="17"/>
      <c r="K359" s="17"/>
      <c r="L359" s="6"/>
      <c r="M359" s="6"/>
      <c r="N359" s="16"/>
      <c r="O359" s="6"/>
      <c r="P359" s="16"/>
      <c r="Q359" s="6"/>
      <c r="R359" s="6"/>
      <c r="S359" s="6"/>
    </row>
    <row r="360">
      <c r="A360" s="22"/>
      <c r="B360" s="6"/>
      <c r="C360" s="6"/>
      <c r="D360" s="6"/>
      <c r="E360" s="6"/>
      <c r="F360" s="6"/>
      <c r="G360" s="16"/>
      <c r="H360" s="16"/>
      <c r="I360" s="17"/>
      <c r="J360" s="17"/>
      <c r="K360" s="17"/>
      <c r="L360" s="6"/>
      <c r="M360" s="6"/>
      <c r="N360" s="16"/>
      <c r="O360" s="6"/>
      <c r="P360" s="16"/>
      <c r="Q360" s="6"/>
      <c r="R360" s="6"/>
      <c r="S360" s="6"/>
    </row>
    <row r="361">
      <c r="A361" s="22"/>
      <c r="B361" s="6"/>
      <c r="C361" s="6"/>
      <c r="D361" s="6"/>
      <c r="E361" s="6"/>
      <c r="F361" s="6"/>
      <c r="G361" s="16"/>
      <c r="H361" s="16"/>
      <c r="I361" s="17"/>
      <c r="J361" s="17"/>
      <c r="K361" s="17"/>
      <c r="L361" s="6"/>
      <c r="M361" s="6"/>
      <c r="N361" s="16"/>
      <c r="O361" s="6"/>
      <c r="P361" s="16"/>
      <c r="Q361" s="6"/>
      <c r="R361" s="6"/>
      <c r="S361" s="6"/>
    </row>
    <row r="362">
      <c r="A362" s="22"/>
      <c r="B362" s="6"/>
      <c r="C362" s="6"/>
      <c r="D362" s="6"/>
      <c r="E362" s="6"/>
      <c r="F362" s="6"/>
      <c r="G362" s="16"/>
      <c r="H362" s="16"/>
      <c r="I362" s="17"/>
      <c r="J362" s="17"/>
      <c r="K362" s="17"/>
      <c r="L362" s="6"/>
      <c r="M362" s="6"/>
      <c r="N362" s="16"/>
      <c r="O362" s="6"/>
      <c r="P362" s="16"/>
      <c r="Q362" s="6"/>
      <c r="R362" s="6"/>
      <c r="S362" s="6"/>
    </row>
    <row r="363">
      <c r="A363" s="22"/>
      <c r="B363" s="6"/>
      <c r="C363" s="6"/>
      <c r="D363" s="6"/>
      <c r="E363" s="6"/>
      <c r="F363" s="6"/>
      <c r="G363" s="16"/>
      <c r="H363" s="16"/>
      <c r="I363" s="17"/>
      <c r="J363" s="17"/>
      <c r="K363" s="17"/>
      <c r="L363" s="6"/>
      <c r="M363" s="6"/>
      <c r="N363" s="16"/>
      <c r="O363" s="6"/>
      <c r="P363" s="16"/>
      <c r="Q363" s="6"/>
      <c r="R363" s="6"/>
      <c r="S363" s="6"/>
    </row>
    <row r="364">
      <c r="A364" s="22"/>
      <c r="B364" s="6"/>
      <c r="C364" s="6"/>
      <c r="D364" s="6"/>
      <c r="E364" s="6"/>
      <c r="F364" s="6"/>
      <c r="G364" s="16"/>
      <c r="H364" s="16"/>
      <c r="I364" s="17"/>
      <c r="J364" s="17"/>
      <c r="K364" s="17"/>
      <c r="L364" s="6"/>
      <c r="M364" s="6"/>
      <c r="N364" s="16"/>
      <c r="O364" s="6"/>
      <c r="P364" s="16"/>
      <c r="Q364" s="6"/>
      <c r="R364" s="6"/>
      <c r="S364" s="6"/>
    </row>
    <row r="365">
      <c r="A365" s="22"/>
      <c r="B365" s="6"/>
      <c r="C365" s="6"/>
      <c r="D365" s="6"/>
      <c r="E365" s="6"/>
      <c r="F365" s="6"/>
      <c r="G365" s="16"/>
      <c r="H365" s="16"/>
      <c r="I365" s="17"/>
      <c r="J365" s="17"/>
      <c r="K365" s="17"/>
      <c r="L365" s="6"/>
      <c r="M365" s="6"/>
      <c r="N365" s="16"/>
      <c r="O365" s="6"/>
      <c r="P365" s="16"/>
      <c r="Q365" s="6"/>
      <c r="R365" s="6"/>
      <c r="S365" s="6"/>
    </row>
    <row r="366">
      <c r="A366" s="22"/>
      <c r="B366" s="6"/>
      <c r="C366" s="6"/>
      <c r="D366" s="6"/>
      <c r="E366" s="6"/>
      <c r="F366" s="6"/>
      <c r="G366" s="16"/>
      <c r="H366" s="16"/>
      <c r="I366" s="17"/>
      <c r="J366" s="17"/>
      <c r="K366" s="17"/>
      <c r="L366" s="6"/>
      <c r="M366" s="6"/>
      <c r="N366" s="16"/>
      <c r="O366" s="6"/>
      <c r="P366" s="16"/>
      <c r="Q366" s="6"/>
      <c r="R366" s="6"/>
      <c r="S366" s="6"/>
    </row>
    <row r="367">
      <c r="A367" s="22"/>
      <c r="B367" s="6"/>
      <c r="C367" s="6"/>
      <c r="D367" s="6"/>
      <c r="E367" s="6"/>
      <c r="F367" s="6"/>
      <c r="G367" s="16"/>
      <c r="H367" s="16"/>
      <c r="I367" s="17"/>
      <c r="J367" s="17"/>
      <c r="K367" s="17"/>
      <c r="L367" s="6"/>
      <c r="M367" s="6"/>
      <c r="N367" s="16"/>
      <c r="O367" s="6"/>
      <c r="P367" s="16"/>
      <c r="Q367" s="6"/>
      <c r="R367" s="6"/>
      <c r="S367" s="6"/>
    </row>
    <row r="368">
      <c r="A368" s="22"/>
      <c r="B368" s="6"/>
      <c r="C368" s="6"/>
      <c r="D368" s="6"/>
      <c r="E368" s="6"/>
      <c r="F368" s="6"/>
      <c r="G368" s="16"/>
      <c r="H368" s="16"/>
      <c r="I368" s="17"/>
      <c r="J368" s="17"/>
      <c r="K368" s="17"/>
      <c r="L368" s="6"/>
      <c r="M368" s="6"/>
      <c r="N368" s="16"/>
      <c r="O368" s="6"/>
      <c r="P368" s="16"/>
      <c r="Q368" s="6"/>
      <c r="R368" s="6"/>
      <c r="S368" s="6"/>
    </row>
    <row r="369">
      <c r="A369" s="22"/>
      <c r="B369" s="6"/>
      <c r="C369" s="6"/>
      <c r="D369" s="6"/>
      <c r="E369" s="6"/>
      <c r="F369" s="6"/>
      <c r="G369" s="16"/>
      <c r="H369" s="16"/>
      <c r="I369" s="17"/>
      <c r="J369" s="17"/>
      <c r="K369" s="17"/>
      <c r="L369" s="6"/>
      <c r="M369" s="6"/>
      <c r="N369" s="16"/>
      <c r="O369" s="6"/>
      <c r="P369" s="16"/>
      <c r="Q369" s="6"/>
      <c r="R369" s="6"/>
      <c r="S369" s="6"/>
    </row>
    <row r="370">
      <c r="A370" s="22"/>
      <c r="B370" s="6"/>
      <c r="C370" s="6"/>
      <c r="D370" s="6"/>
      <c r="E370" s="6"/>
      <c r="F370" s="6"/>
      <c r="G370" s="16"/>
      <c r="H370" s="16"/>
      <c r="I370" s="17"/>
      <c r="J370" s="17"/>
      <c r="K370" s="17"/>
      <c r="L370" s="6"/>
      <c r="M370" s="6"/>
      <c r="N370" s="16"/>
      <c r="O370" s="6"/>
      <c r="P370" s="16"/>
      <c r="Q370" s="6"/>
      <c r="R370" s="6"/>
      <c r="S370" s="6"/>
    </row>
    <row r="371">
      <c r="A371" s="22"/>
      <c r="B371" s="6"/>
      <c r="C371" s="6"/>
      <c r="D371" s="6"/>
      <c r="E371" s="6"/>
      <c r="F371" s="6"/>
      <c r="G371" s="16"/>
      <c r="H371" s="16"/>
      <c r="I371" s="17"/>
      <c r="J371" s="17"/>
      <c r="K371" s="17"/>
      <c r="L371" s="6"/>
      <c r="M371" s="6"/>
      <c r="N371" s="16"/>
      <c r="O371" s="6"/>
      <c r="P371" s="16"/>
      <c r="Q371" s="6"/>
      <c r="R371" s="6"/>
      <c r="S371" s="6"/>
    </row>
    <row r="372">
      <c r="A372" s="22"/>
      <c r="B372" s="6"/>
      <c r="C372" s="6"/>
      <c r="D372" s="6"/>
      <c r="E372" s="6"/>
      <c r="F372" s="6"/>
      <c r="G372" s="16"/>
      <c r="H372" s="16"/>
      <c r="I372" s="17"/>
      <c r="J372" s="17"/>
      <c r="K372" s="17"/>
      <c r="L372" s="6"/>
      <c r="M372" s="6"/>
      <c r="N372" s="16"/>
      <c r="O372" s="6"/>
      <c r="P372" s="16"/>
      <c r="Q372" s="6"/>
      <c r="R372" s="6"/>
      <c r="S372" s="6"/>
    </row>
    <row r="373">
      <c r="A373" s="22"/>
      <c r="B373" s="6"/>
      <c r="C373" s="6"/>
      <c r="D373" s="6"/>
      <c r="E373" s="6"/>
      <c r="F373" s="6"/>
      <c r="G373" s="16"/>
      <c r="H373" s="16"/>
      <c r="I373" s="17"/>
      <c r="J373" s="17"/>
      <c r="K373" s="17"/>
      <c r="L373" s="6"/>
      <c r="M373" s="6"/>
      <c r="N373" s="16"/>
      <c r="O373" s="6"/>
      <c r="P373" s="16"/>
      <c r="Q373" s="6"/>
      <c r="R373" s="6"/>
      <c r="S373" s="6"/>
    </row>
    <row r="374">
      <c r="A374" s="22"/>
      <c r="B374" s="6"/>
      <c r="C374" s="6"/>
      <c r="D374" s="6"/>
      <c r="E374" s="6"/>
      <c r="F374" s="6"/>
      <c r="G374" s="16"/>
      <c r="H374" s="16"/>
      <c r="I374" s="17"/>
      <c r="J374" s="17"/>
      <c r="K374" s="17"/>
      <c r="L374" s="6"/>
      <c r="M374" s="6"/>
      <c r="N374" s="16"/>
      <c r="O374" s="6"/>
      <c r="P374" s="16"/>
      <c r="Q374" s="6"/>
      <c r="R374" s="6"/>
      <c r="S374" s="6"/>
    </row>
    <row r="375">
      <c r="A375" s="22"/>
      <c r="B375" s="6"/>
      <c r="C375" s="6"/>
      <c r="D375" s="6"/>
      <c r="E375" s="6"/>
      <c r="F375" s="6"/>
      <c r="G375" s="16"/>
      <c r="H375" s="16"/>
      <c r="I375" s="17"/>
      <c r="J375" s="17"/>
      <c r="K375" s="17"/>
      <c r="L375" s="6"/>
      <c r="M375" s="6"/>
      <c r="N375" s="16"/>
      <c r="O375" s="6"/>
      <c r="P375" s="16"/>
      <c r="Q375" s="6"/>
      <c r="R375" s="6"/>
      <c r="S375" s="6"/>
    </row>
    <row r="376">
      <c r="A376" s="22"/>
      <c r="B376" s="6"/>
      <c r="C376" s="6"/>
      <c r="D376" s="6"/>
      <c r="E376" s="6"/>
      <c r="F376" s="6"/>
      <c r="G376" s="16"/>
      <c r="H376" s="16"/>
      <c r="I376" s="17"/>
      <c r="J376" s="17"/>
      <c r="K376" s="17"/>
      <c r="L376" s="6"/>
      <c r="M376" s="6"/>
      <c r="N376" s="16"/>
      <c r="O376" s="6"/>
      <c r="P376" s="16"/>
      <c r="Q376" s="6"/>
      <c r="R376" s="6"/>
      <c r="S376" s="6"/>
    </row>
    <row r="377">
      <c r="A377" s="22"/>
      <c r="B377" s="6"/>
      <c r="C377" s="6"/>
      <c r="D377" s="6"/>
      <c r="E377" s="6"/>
      <c r="F377" s="6"/>
      <c r="G377" s="16"/>
      <c r="H377" s="16"/>
      <c r="I377" s="17"/>
      <c r="J377" s="17"/>
      <c r="K377" s="17"/>
      <c r="L377" s="6"/>
      <c r="M377" s="6"/>
      <c r="N377" s="16"/>
      <c r="O377" s="6"/>
      <c r="P377" s="16"/>
      <c r="Q377" s="6"/>
      <c r="R377" s="6"/>
      <c r="S377" s="6"/>
    </row>
    <row r="378">
      <c r="A378" s="22"/>
      <c r="B378" s="6"/>
      <c r="C378" s="6"/>
      <c r="D378" s="6"/>
      <c r="E378" s="6"/>
      <c r="F378" s="6"/>
      <c r="G378" s="16"/>
      <c r="H378" s="16"/>
      <c r="I378" s="17"/>
      <c r="J378" s="17"/>
      <c r="K378" s="17"/>
      <c r="L378" s="6"/>
      <c r="M378" s="6"/>
      <c r="N378" s="16"/>
      <c r="O378" s="6"/>
      <c r="P378" s="16"/>
      <c r="Q378" s="6"/>
      <c r="R378" s="6"/>
      <c r="S378" s="6"/>
    </row>
    <row r="379">
      <c r="A379" s="22"/>
      <c r="B379" s="6"/>
      <c r="C379" s="6"/>
      <c r="D379" s="6"/>
      <c r="E379" s="6"/>
      <c r="F379" s="6"/>
      <c r="G379" s="16"/>
      <c r="H379" s="16"/>
      <c r="I379" s="17"/>
      <c r="J379" s="17"/>
      <c r="K379" s="17"/>
      <c r="L379" s="6"/>
      <c r="M379" s="6"/>
      <c r="N379" s="16"/>
      <c r="O379" s="6"/>
      <c r="P379" s="16"/>
      <c r="Q379" s="6"/>
      <c r="R379" s="6"/>
      <c r="S379" s="6"/>
    </row>
    <row r="380">
      <c r="A380" s="22"/>
      <c r="B380" s="6"/>
      <c r="C380" s="6"/>
      <c r="D380" s="6"/>
      <c r="E380" s="6"/>
      <c r="F380" s="6"/>
      <c r="G380" s="16"/>
      <c r="H380" s="16"/>
      <c r="I380" s="17"/>
      <c r="J380" s="17"/>
      <c r="K380" s="17"/>
      <c r="L380" s="6"/>
      <c r="M380" s="6"/>
      <c r="N380" s="16"/>
      <c r="O380" s="6"/>
      <c r="P380" s="16"/>
      <c r="Q380" s="6"/>
      <c r="R380" s="6"/>
      <c r="S380" s="6"/>
    </row>
    <row r="381">
      <c r="A381" s="22"/>
      <c r="B381" s="6"/>
      <c r="C381" s="6"/>
      <c r="D381" s="6"/>
      <c r="E381" s="6"/>
      <c r="F381" s="6"/>
      <c r="G381" s="16"/>
      <c r="H381" s="16"/>
      <c r="I381" s="17"/>
      <c r="J381" s="17"/>
      <c r="K381" s="17"/>
      <c r="L381" s="6"/>
      <c r="M381" s="6"/>
      <c r="N381" s="16"/>
      <c r="O381" s="6"/>
      <c r="P381" s="16"/>
      <c r="Q381" s="6"/>
      <c r="R381" s="6"/>
      <c r="S381" s="6"/>
    </row>
    <row r="382">
      <c r="A382" s="22"/>
      <c r="B382" s="6"/>
      <c r="C382" s="6"/>
      <c r="D382" s="6"/>
      <c r="E382" s="6"/>
      <c r="F382" s="6"/>
      <c r="G382" s="16"/>
      <c r="H382" s="16"/>
      <c r="I382" s="17"/>
      <c r="J382" s="17"/>
      <c r="K382" s="17"/>
      <c r="L382" s="6"/>
      <c r="M382" s="6"/>
      <c r="N382" s="16"/>
      <c r="O382" s="6"/>
      <c r="P382" s="16"/>
      <c r="Q382" s="6"/>
      <c r="R382" s="6"/>
      <c r="S382" s="6"/>
    </row>
    <row r="383">
      <c r="A383" s="22"/>
      <c r="B383" s="6"/>
      <c r="C383" s="6"/>
      <c r="D383" s="6"/>
      <c r="E383" s="6"/>
      <c r="F383" s="6"/>
      <c r="G383" s="16"/>
      <c r="H383" s="16"/>
      <c r="I383" s="17"/>
      <c r="J383" s="17"/>
      <c r="K383" s="17"/>
      <c r="L383" s="6"/>
      <c r="M383" s="6"/>
      <c r="N383" s="16"/>
      <c r="O383" s="6"/>
      <c r="P383" s="16"/>
      <c r="Q383" s="6"/>
      <c r="R383" s="6"/>
      <c r="S383" s="6"/>
    </row>
    <row r="384">
      <c r="A384" s="22"/>
      <c r="B384" s="6"/>
      <c r="C384" s="6"/>
      <c r="D384" s="6"/>
      <c r="E384" s="6"/>
      <c r="F384" s="6"/>
      <c r="G384" s="16"/>
      <c r="H384" s="16"/>
      <c r="I384" s="17"/>
      <c r="J384" s="17"/>
      <c r="K384" s="17"/>
      <c r="L384" s="6"/>
      <c r="M384" s="6"/>
      <c r="N384" s="16"/>
      <c r="O384" s="6"/>
      <c r="P384" s="16"/>
      <c r="Q384" s="6"/>
      <c r="R384" s="6"/>
      <c r="S384" s="6"/>
    </row>
    <row r="385">
      <c r="A385" s="22"/>
      <c r="B385" s="6"/>
      <c r="C385" s="6"/>
      <c r="D385" s="6"/>
      <c r="E385" s="6"/>
      <c r="F385" s="6"/>
      <c r="G385" s="16"/>
      <c r="H385" s="16"/>
      <c r="I385" s="17"/>
      <c r="J385" s="17"/>
      <c r="K385" s="17"/>
      <c r="L385" s="6"/>
      <c r="M385" s="6"/>
      <c r="N385" s="16"/>
      <c r="O385" s="6"/>
      <c r="P385" s="16"/>
      <c r="Q385" s="6"/>
      <c r="R385" s="6"/>
      <c r="S385" s="6"/>
    </row>
    <row r="386">
      <c r="A386" s="22"/>
      <c r="B386" s="6"/>
      <c r="C386" s="6"/>
      <c r="D386" s="6"/>
      <c r="E386" s="6"/>
      <c r="F386" s="6"/>
      <c r="G386" s="16"/>
      <c r="H386" s="16"/>
      <c r="I386" s="17"/>
      <c r="J386" s="17"/>
      <c r="K386" s="17"/>
      <c r="L386" s="6"/>
      <c r="M386" s="6"/>
      <c r="N386" s="16"/>
      <c r="O386" s="6"/>
      <c r="P386" s="16"/>
      <c r="Q386" s="6"/>
      <c r="R386" s="6"/>
      <c r="S386" s="6"/>
    </row>
    <row r="387">
      <c r="A387" s="22"/>
      <c r="B387" s="6"/>
      <c r="C387" s="6"/>
      <c r="D387" s="6"/>
      <c r="E387" s="6"/>
      <c r="F387" s="6"/>
      <c r="G387" s="16"/>
      <c r="H387" s="16"/>
      <c r="I387" s="17"/>
      <c r="J387" s="17"/>
      <c r="K387" s="17"/>
      <c r="L387" s="6"/>
      <c r="M387" s="6"/>
      <c r="N387" s="16"/>
      <c r="O387" s="6"/>
      <c r="P387" s="16"/>
      <c r="Q387" s="6"/>
      <c r="R387" s="6"/>
      <c r="S387" s="6"/>
    </row>
    <row r="388">
      <c r="A388" s="22"/>
      <c r="B388" s="6"/>
      <c r="C388" s="6"/>
      <c r="D388" s="6"/>
      <c r="E388" s="6"/>
      <c r="F388" s="6"/>
      <c r="G388" s="16"/>
      <c r="H388" s="16"/>
      <c r="I388" s="17"/>
      <c r="J388" s="17"/>
      <c r="K388" s="17"/>
      <c r="L388" s="6"/>
      <c r="M388" s="6"/>
      <c r="N388" s="16"/>
      <c r="O388" s="6"/>
      <c r="P388" s="16"/>
      <c r="Q388" s="6"/>
      <c r="R388" s="6"/>
      <c r="S388" s="6"/>
    </row>
    <row r="389">
      <c r="A389" s="22"/>
      <c r="B389" s="6"/>
      <c r="C389" s="6"/>
      <c r="D389" s="6"/>
      <c r="E389" s="6"/>
      <c r="F389" s="6"/>
      <c r="G389" s="16"/>
      <c r="H389" s="16"/>
      <c r="I389" s="17"/>
      <c r="J389" s="17"/>
      <c r="K389" s="17"/>
      <c r="L389" s="6"/>
      <c r="M389" s="6"/>
      <c r="N389" s="16"/>
      <c r="O389" s="6"/>
      <c r="P389" s="16"/>
      <c r="Q389" s="6"/>
      <c r="R389" s="6"/>
      <c r="S389" s="6"/>
    </row>
    <row r="390">
      <c r="A390" s="22"/>
      <c r="B390" s="6"/>
      <c r="C390" s="6"/>
      <c r="D390" s="6"/>
      <c r="E390" s="6"/>
      <c r="F390" s="6"/>
      <c r="G390" s="16"/>
      <c r="H390" s="16"/>
      <c r="I390" s="17"/>
      <c r="J390" s="17"/>
      <c r="K390" s="17"/>
      <c r="L390" s="6"/>
      <c r="M390" s="6"/>
      <c r="N390" s="16"/>
      <c r="O390" s="6"/>
      <c r="P390" s="16"/>
      <c r="Q390" s="6"/>
      <c r="R390" s="6"/>
      <c r="S390" s="6"/>
    </row>
    <row r="391">
      <c r="A391" s="22"/>
      <c r="B391" s="6"/>
      <c r="C391" s="6"/>
      <c r="D391" s="6"/>
      <c r="E391" s="6"/>
      <c r="F391" s="6"/>
      <c r="G391" s="16"/>
      <c r="H391" s="16"/>
      <c r="I391" s="17"/>
      <c r="J391" s="17"/>
      <c r="K391" s="17"/>
      <c r="L391" s="6"/>
      <c r="M391" s="6"/>
      <c r="N391" s="16"/>
      <c r="O391" s="6"/>
      <c r="P391" s="16"/>
      <c r="Q391" s="6"/>
      <c r="R391" s="6"/>
      <c r="S391" s="6"/>
    </row>
    <row r="392">
      <c r="A392" s="22"/>
      <c r="B392" s="6"/>
      <c r="C392" s="6"/>
      <c r="D392" s="6"/>
      <c r="E392" s="6"/>
      <c r="F392" s="6"/>
      <c r="G392" s="16"/>
      <c r="H392" s="16"/>
      <c r="I392" s="17"/>
      <c r="J392" s="17"/>
      <c r="K392" s="17"/>
      <c r="L392" s="6"/>
      <c r="M392" s="6"/>
      <c r="N392" s="16"/>
      <c r="O392" s="6"/>
      <c r="P392" s="16"/>
      <c r="Q392" s="6"/>
      <c r="R392" s="6"/>
      <c r="S392" s="6"/>
    </row>
    <row r="393">
      <c r="A393" s="22"/>
      <c r="B393" s="6"/>
      <c r="C393" s="6"/>
      <c r="D393" s="6"/>
      <c r="E393" s="6"/>
      <c r="F393" s="6"/>
      <c r="G393" s="16"/>
      <c r="H393" s="16"/>
      <c r="I393" s="17"/>
      <c r="J393" s="17"/>
      <c r="K393" s="17"/>
      <c r="L393" s="6"/>
      <c r="M393" s="6"/>
      <c r="N393" s="16"/>
      <c r="O393" s="6"/>
      <c r="P393" s="16"/>
      <c r="Q393" s="6"/>
      <c r="R393" s="6"/>
      <c r="S393" s="6"/>
    </row>
    <row r="394">
      <c r="A394" s="22"/>
      <c r="B394" s="6"/>
      <c r="C394" s="6"/>
      <c r="D394" s="6"/>
      <c r="E394" s="6"/>
      <c r="F394" s="6"/>
      <c r="G394" s="16"/>
      <c r="H394" s="16"/>
      <c r="I394" s="17"/>
      <c r="J394" s="17"/>
      <c r="K394" s="17"/>
      <c r="L394" s="6"/>
      <c r="M394" s="6"/>
      <c r="N394" s="16"/>
      <c r="O394" s="6"/>
      <c r="P394" s="16"/>
      <c r="Q394" s="6"/>
      <c r="R394" s="6"/>
      <c r="S394" s="6"/>
    </row>
    <row r="395">
      <c r="A395" s="22"/>
      <c r="B395" s="6"/>
      <c r="C395" s="6"/>
      <c r="D395" s="6"/>
      <c r="E395" s="6"/>
      <c r="F395" s="6"/>
      <c r="G395" s="16"/>
      <c r="H395" s="16"/>
      <c r="I395" s="17"/>
      <c r="J395" s="17"/>
      <c r="K395" s="17"/>
      <c r="L395" s="6"/>
      <c r="M395" s="6"/>
      <c r="N395" s="16"/>
      <c r="O395" s="6"/>
      <c r="P395" s="16"/>
      <c r="Q395" s="6"/>
      <c r="R395" s="6"/>
      <c r="S395" s="6"/>
    </row>
    <row r="396">
      <c r="A396" s="22"/>
      <c r="B396" s="6"/>
      <c r="C396" s="6"/>
      <c r="D396" s="6"/>
      <c r="E396" s="6"/>
      <c r="F396" s="6"/>
      <c r="G396" s="16"/>
      <c r="H396" s="16"/>
      <c r="I396" s="17"/>
      <c r="J396" s="17"/>
      <c r="K396" s="17"/>
      <c r="L396" s="6"/>
      <c r="M396" s="6"/>
      <c r="N396" s="16"/>
      <c r="O396" s="6"/>
      <c r="P396" s="16"/>
      <c r="Q396" s="6"/>
      <c r="R396" s="6"/>
      <c r="S396" s="6"/>
    </row>
    <row r="397">
      <c r="A397" s="22"/>
      <c r="B397" s="6"/>
      <c r="C397" s="6"/>
      <c r="D397" s="6"/>
      <c r="E397" s="6"/>
      <c r="F397" s="6"/>
      <c r="G397" s="16"/>
      <c r="H397" s="16"/>
      <c r="I397" s="17"/>
      <c r="J397" s="17"/>
      <c r="K397" s="17"/>
      <c r="L397" s="6"/>
      <c r="M397" s="6"/>
      <c r="N397" s="16"/>
      <c r="O397" s="6"/>
      <c r="P397" s="16"/>
      <c r="Q397" s="6"/>
      <c r="R397" s="6"/>
      <c r="S397" s="6"/>
    </row>
    <row r="398">
      <c r="A398" s="22"/>
      <c r="B398" s="6"/>
      <c r="C398" s="6"/>
      <c r="D398" s="6"/>
      <c r="E398" s="6"/>
      <c r="F398" s="6"/>
      <c r="G398" s="16"/>
      <c r="H398" s="16"/>
      <c r="I398" s="17"/>
      <c r="J398" s="17"/>
      <c r="K398" s="17"/>
      <c r="L398" s="6"/>
      <c r="M398" s="6"/>
      <c r="N398" s="16"/>
      <c r="O398" s="6"/>
      <c r="P398" s="16"/>
      <c r="Q398" s="6"/>
      <c r="R398" s="6"/>
      <c r="S398" s="6"/>
    </row>
    <row r="399">
      <c r="A399" s="22"/>
      <c r="B399" s="6"/>
      <c r="C399" s="6"/>
      <c r="D399" s="6"/>
      <c r="E399" s="6"/>
      <c r="F399" s="6"/>
      <c r="G399" s="16"/>
      <c r="H399" s="16"/>
      <c r="I399" s="17"/>
      <c r="J399" s="17"/>
      <c r="K399" s="17"/>
      <c r="L399" s="6"/>
      <c r="M399" s="6"/>
      <c r="N399" s="16"/>
      <c r="O399" s="6"/>
      <c r="P399" s="16"/>
      <c r="Q399" s="6"/>
      <c r="R399" s="6"/>
      <c r="S399" s="6"/>
    </row>
    <row r="400">
      <c r="A400" s="22"/>
      <c r="B400" s="6"/>
      <c r="C400" s="6"/>
      <c r="D400" s="6"/>
      <c r="E400" s="6"/>
      <c r="F400" s="6"/>
      <c r="G400" s="16"/>
      <c r="H400" s="16"/>
      <c r="I400" s="17"/>
      <c r="J400" s="17"/>
      <c r="K400" s="17"/>
      <c r="L400" s="6"/>
      <c r="M400" s="6"/>
      <c r="N400" s="16"/>
      <c r="O400" s="6"/>
      <c r="P400" s="16"/>
      <c r="Q400" s="6"/>
      <c r="R400" s="6"/>
      <c r="S400" s="6"/>
    </row>
    <row r="401">
      <c r="A401" s="22"/>
      <c r="B401" s="6"/>
      <c r="C401" s="6"/>
      <c r="D401" s="6"/>
      <c r="E401" s="6"/>
      <c r="F401" s="6"/>
      <c r="G401" s="16"/>
      <c r="H401" s="16"/>
      <c r="I401" s="17"/>
      <c r="J401" s="17"/>
      <c r="K401" s="17"/>
      <c r="L401" s="6"/>
      <c r="M401" s="6"/>
      <c r="N401" s="16"/>
      <c r="O401" s="6"/>
      <c r="P401" s="16"/>
      <c r="Q401" s="6"/>
      <c r="R401" s="6"/>
      <c r="S401" s="6"/>
    </row>
    <row r="402">
      <c r="A402" s="22"/>
      <c r="B402" s="6"/>
      <c r="C402" s="6"/>
      <c r="D402" s="6"/>
      <c r="E402" s="6"/>
      <c r="F402" s="6"/>
      <c r="G402" s="16"/>
      <c r="H402" s="16"/>
      <c r="I402" s="17"/>
      <c r="J402" s="17"/>
      <c r="K402" s="17"/>
      <c r="L402" s="6"/>
      <c r="M402" s="6"/>
      <c r="N402" s="16"/>
      <c r="O402" s="6"/>
      <c r="P402" s="16"/>
      <c r="Q402" s="6"/>
      <c r="R402" s="6"/>
      <c r="S402" s="6"/>
    </row>
    <row r="403">
      <c r="A403" s="22"/>
      <c r="B403" s="6"/>
      <c r="C403" s="6"/>
      <c r="D403" s="6"/>
      <c r="E403" s="6"/>
      <c r="F403" s="6"/>
      <c r="G403" s="16"/>
      <c r="H403" s="16"/>
      <c r="I403" s="17"/>
      <c r="J403" s="17"/>
      <c r="K403" s="17"/>
      <c r="L403" s="6"/>
      <c r="M403" s="6"/>
      <c r="N403" s="16"/>
      <c r="O403" s="6"/>
      <c r="P403" s="16"/>
      <c r="Q403" s="6"/>
      <c r="R403" s="6"/>
      <c r="S403" s="6"/>
    </row>
    <row r="404">
      <c r="A404" s="22"/>
      <c r="B404" s="6"/>
      <c r="C404" s="6"/>
      <c r="D404" s="6"/>
      <c r="E404" s="6"/>
      <c r="F404" s="6"/>
      <c r="G404" s="16"/>
      <c r="H404" s="16"/>
      <c r="I404" s="17"/>
      <c r="J404" s="17"/>
      <c r="K404" s="17"/>
      <c r="L404" s="6"/>
      <c r="M404" s="6"/>
      <c r="N404" s="16"/>
      <c r="O404" s="6"/>
      <c r="P404" s="16"/>
      <c r="Q404" s="6"/>
      <c r="R404" s="6"/>
      <c r="S404" s="6"/>
    </row>
    <row r="405">
      <c r="A405" s="22"/>
      <c r="B405" s="6"/>
      <c r="C405" s="6"/>
      <c r="D405" s="6"/>
      <c r="E405" s="6"/>
      <c r="F405" s="6"/>
      <c r="G405" s="16"/>
      <c r="H405" s="16"/>
      <c r="I405" s="17"/>
      <c r="J405" s="17"/>
      <c r="K405" s="17"/>
      <c r="L405" s="6"/>
      <c r="M405" s="6"/>
      <c r="N405" s="16"/>
      <c r="O405" s="6"/>
      <c r="P405" s="16"/>
      <c r="Q405" s="6"/>
      <c r="R405" s="6"/>
      <c r="S405" s="6"/>
    </row>
    <row r="406">
      <c r="A406" s="22"/>
      <c r="B406" s="6"/>
      <c r="C406" s="6"/>
      <c r="D406" s="6"/>
      <c r="E406" s="6"/>
      <c r="F406" s="6"/>
      <c r="G406" s="16"/>
      <c r="H406" s="16"/>
      <c r="I406" s="17"/>
      <c r="J406" s="17"/>
      <c r="K406" s="17"/>
      <c r="L406" s="6"/>
      <c r="M406" s="6"/>
      <c r="N406" s="16"/>
      <c r="O406" s="6"/>
      <c r="P406" s="16"/>
      <c r="Q406" s="6"/>
      <c r="R406" s="6"/>
      <c r="S406" s="6"/>
    </row>
    <row r="407">
      <c r="A407" s="22"/>
      <c r="B407" s="6"/>
      <c r="C407" s="6"/>
      <c r="D407" s="6"/>
      <c r="E407" s="6"/>
      <c r="F407" s="6"/>
      <c r="G407" s="16"/>
      <c r="H407" s="16"/>
      <c r="I407" s="17"/>
      <c r="J407" s="17"/>
      <c r="K407" s="17"/>
      <c r="L407" s="6"/>
      <c r="M407" s="6"/>
      <c r="N407" s="16"/>
      <c r="O407" s="6"/>
      <c r="P407" s="16"/>
      <c r="Q407" s="6"/>
      <c r="R407" s="6"/>
      <c r="S407" s="6"/>
    </row>
    <row r="408">
      <c r="A408" s="22"/>
      <c r="B408" s="6"/>
      <c r="C408" s="6"/>
      <c r="D408" s="6"/>
      <c r="E408" s="6"/>
      <c r="F408" s="6"/>
      <c r="G408" s="16"/>
      <c r="H408" s="16"/>
      <c r="I408" s="17"/>
      <c r="J408" s="17"/>
      <c r="K408" s="17"/>
      <c r="L408" s="6"/>
      <c r="M408" s="6"/>
      <c r="N408" s="16"/>
      <c r="O408" s="6"/>
      <c r="P408" s="16"/>
      <c r="Q408" s="6"/>
      <c r="R408" s="6"/>
      <c r="S408" s="6"/>
    </row>
    <row r="409">
      <c r="A409" s="22"/>
      <c r="B409" s="6"/>
      <c r="C409" s="6"/>
      <c r="D409" s="6"/>
      <c r="E409" s="6"/>
      <c r="F409" s="6"/>
      <c r="G409" s="16"/>
      <c r="H409" s="16"/>
      <c r="I409" s="17"/>
      <c r="J409" s="17"/>
      <c r="K409" s="17"/>
      <c r="L409" s="6"/>
      <c r="M409" s="6"/>
      <c r="N409" s="16"/>
      <c r="O409" s="6"/>
      <c r="P409" s="16"/>
      <c r="Q409" s="6"/>
      <c r="R409" s="6"/>
      <c r="S409" s="6"/>
    </row>
    <row r="410">
      <c r="A410" s="22"/>
      <c r="B410" s="6"/>
      <c r="C410" s="6"/>
      <c r="D410" s="6"/>
      <c r="E410" s="6"/>
      <c r="F410" s="6"/>
      <c r="G410" s="16"/>
      <c r="H410" s="16"/>
      <c r="I410" s="17"/>
      <c r="J410" s="17"/>
      <c r="K410" s="17"/>
      <c r="L410" s="6"/>
      <c r="M410" s="6"/>
      <c r="N410" s="16"/>
      <c r="O410" s="6"/>
      <c r="P410" s="16"/>
      <c r="Q410" s="6"/>
      <c r="R410" s="6"/>
      <c r="S410" s="6"/>
    </row>
    <row r="411">
      <c r="A411" s="22"/>
      <c r="B411" s="6"/>
      <c r="C411" s="6"/>
      <c r="D411" s="6"/>
      <c r="E411" s="6"/>
      <c r="F411" s="6"/>
      <c r="G411" s="16"/>
      <c r="H411" s="16"/>
      <c r="I411" s="17"/>
      <c r="J411" s="17"/>
      <c r="K411" s="17"/>
      <c r="L411" s="6"/>
      <c r="M411" s="6"/>
      <c r="N411" s="16"/>
      <c r="O411" s="6"/>
      <c r="P411" s="16"/>
      <c r="Q411" s="6"/>
      <c r="R411" s="6"/>
      <c r="S411" s="6"/>
    </row>
    <row r="412">
      <c r="A412" s="22"/>
      <c r="B412" s="6"/>
      <c r="C412" s="6"/>
      <c r="D412" s="6"/>
      <c r="E412" s="6"/>
      <c r="F412" s="6"/>
      <c r="G412" s="16"/>
      <c r="H412" s="16"/>
      <c r="I412" s="17"/>
      <c r="J412" s="17"/>
      <c r="K412" s="17"/>
      <c r="L412" s="6"/>
      <c r="M412" s="6"/>
      <c r="N412" s="16"/>
      <c r="O412" s="6"/>
      <c r="P412" s="16"/>
      <c r="Q412" s="6"/>
      <c r="R412" s="6"/>
      <c r="S412" s="6"/>
    </row>
    <row r="413">
      <c r="A413" s="22"/>
      <c r="B413" s="6"/>
      <c r="C413" s="6"/>
      <c r="D413" s="6"/>
      <c r="E413" s="6"/>
      <c r="F413" s="6"/>
      <c r="G413" s="16"/>
      <c r="H413" s="16"/>
      <c r="I413" s="17"/>
      <c r="J413" s="17"/>
      <c r="K413" s="17"/>
      <c r="L413" s="6"/>
      <c r="M413" s="6"/>
      <c r="N413" s="16"/>
      <c r="O413" s="6"/>
      <c r="P413" s="16"/>
      <c r="Q413" s="6"/>
      <c r="R413" s="6"/>
      <c r="S413" s="6"/>
    </row>
    <row r="414">
      <c r="A414" s="22"/>
      <c r="B414" s="6"/>
      <c r="C414" s="6"/>
      <c r="D414" s="6"/>
      <c r="E414" s="6"/>
      <c r="F414" s="6"/>
      <c r="G414" s="16"/>
      <c r="H414" s="16"/>
      <c r="I414" s="17"/>
      <c r="J414" s="17"/>
      <c r="K414" s="17"/>
      <c r="L414" s="6"/>
      <c r="M414" s="6"/>
      <c r="N414" s="16"/>
      <c r="O414" s="6"/>
      <c r="P414" s="16"/>
      <c r="Q414" s="6"/>
      <c r="R414" s="6"/>
      <c r="S414" s="6"/>
    </row>
    <row r="415">
      <c r="A415" s="22"/>
      <c r="B415" s="6"/>
      <c r="C415" s="6"/>
      <c r="D415" s="6"/>
      <c r="E415" s="6"/>
      <c r="F415" s="6"/>
      <c r="G415" s="16"/>
      <c r="H415" s="16"/>
      <c r="I415" s="17"/>
      <c r="J415" s="17"/>
      <c r="K415" s="17"/>
      <c r="L415" s="6"/>
      <c r="M415" s="6"/>
      <c r="N415" s="16"/>
      <c r="O415" s="6"/>
      <c r="P415" s="16"/>
      <c r="Q415" s="6"/>
      <c r="R415" s="6"/>
      <c r="S415" s="6"/>
    </row>
    <row r="416">
      <c r="A416" s="22"/>
      <c r="B416" s="6"/>
      <c r="C416" s="6"/>
      <c r="D416" s="6"/>
      <c r="E416" s="6"/>
      <c r="F416" s="6"/>
      <c r="G416" s="16"/>
      <c r="H416" s="16"/>
      <c r="I416" s="17"/>
      <c r="J416" s="17"/>
      <c r="K416" s="17"/>
      <c r="L416" s="6"/>
      <c r="M416" s="6"/>
      <c r="N416" s="16"/>
      <c r="O416" s="6"/>
      <c r="P416" s="16"/>
      <c r="Q416" s="6"/>
      <c r="R416" s="6"/>
      <c r="S416" s="6"/>
    </row>
    <row r="417">
      <c r="A417" s="22"/>
      <c r="B417" s="6"/>
      <c r="C417" s="6"/>
      <c r="D417" s="6"/>
      <c r="E417" s="6"/>
      <c r="F417" s="6"/>
      <c r="G417" s="16"/>
      <c r="H417" s="16"/>
      <c r="I417" s="17"/>
      <c r="J417" s="17"/>
      <c r="K417" s="17"/>
      <c r="L417" s="6"/>
      <c r="M417" s="6"/>
      <c r="N417" s="16"/>
      <c r="O417" s="6"/>
      <c r="P417" s="16"/>
      <c r="Q417" s="6"/>
      <c r="R417" s="6"/>
      <c r="S417" s="6"/>
    </row>
    <row r="418">
      <c r="A418" s="22"/>
      <c r="B418" s="6"/>
      <c r="C418" s="6"/>
      <c r="D418" s="6"/>
      <c r="E418" s="6"/>
      <c r="F418" s="6"/>
      <c r="G418" s="16"/>
      <c r="H418" s="16"/>
      <c r="I418" s="17"/>
      <c r="J418" s="17"/>
      <c r="K418" s="17"/>
      <c r="L418" s="6"/>
      <c r="M418" s="6"/>
      <c r="N418" s="16"/>
      <c r="O418" s="6"/>
      <c r="P418" s="16"/>
      <c r="Q418" s="6"/>
      <c r="R418" s="6"/>
      <c r="S418" s="6"/>
    </row>
    <row r="419">
      <c r="A419" s="22"/>
      <c r="B419" s="6"/>
      <c r="C419" s="6"/>
      <c r="D419" s="6"/>
      <c r="E419" s="6"/>
      <c r="F419" s="6"/>
      <c r="G419" s="16"/>
      <c r="H419" s="16"/>
      <c r="I419" s="17"/>
      <c r="J419" s="17"/>
      <c r="K419" s="17"/>
      <c r="L419" s="6"/>
      <c r="M419" s="6"/>
      <c r="N419" s="16"/>
      <c r="O419" s="6"/>
      <c r="P419" s="16"/>
      <c r="Q419" s="6"/>
      <c r="R419" s="6"/>
      <c r="S419" s="6"/>
    </row>
    <row r="420">
      <c r="A420" s="22"/>
      <c r="B420" s="6"/>
      <c r="C420" s="6"/>
      <c r="D420" s="6"/>
      <c r="E420" s="6"/>
      <c r="F420" s="6"/>
      <c r="G420" s="16"/>
      <c r="H420" s="16"/>
      <c r="I420" s="17"/>
      <c r="J420" s="17"/>
      <c r="K420" s="17"/>
      <c r="L420" s="6"/>
      <c r="M420" s="6"/>
      <c r="N420" s="16"/>
      <c r="O420" s="6"/>
      <c r="P420" s="16"/>
      <c r="Q420" s="6"/>
      <c r="R420" s="6"/>
      <c r="S420" s="6"/>
    </row>
    <row r="421">
      <c r="A421" s="22"/>
      <c r="B421" s="6"/>
      <c r="C421" s="6"/>
      <c r="D421" s="6"/>
      <c r="E421" s="6"/>
      <c r="F421" s="6"/>
      <c r="G421" s="16"/>
      <c r="H421" s="16"/>
      <c r="I421" s="17"/>
      <c r="J421" s="17"/>
      <c r="K421" s="17"/>
      <c r="L421" s="6"/>
      <c r="M421" s="6"/>
      <c r="N421" s="16"/>
      <c r="O421" s="6"/>
      <c r="P421" s="16"/>
      <c r="Q421" s="6"/>
      <c r="R421" s="6"/>
      <c r="S421" s="6"/>
    </row>
    <row r="422">
      <c r="A422" s="22"/>
      <c r="B422" s="6"/>
      <c r="C422" s="6"/>
      <c r="D422" s="6"/>
      <c r="E422" s="6"/>
      <c r="F422" s="6"/>
      <c r="G422" s="16"/>
      <c r="H422" s="16"/>
      <c r="I422" s="17"/>
      <c r="J422" s="17"/>
      <c r="K422" s="17"/>
      <c r="L422" s="6"/>
      <c r="M422" s="6"/>
      <c r="N422" s="16"/>
      <c r="O422" s="6"/>
      <c r="P422" s="16"/>
      <c r="Q422" s="6"/>
      <c r="R422" s="6"/>
      <c r="S422" s="6"/>
    </row>
    <row r="423">
      <c r="A423" s="22"/>
      <c r="B423" s="6"/>
      <c r="C423" s="6"/>
      <c r="D423" s="6"/>
      <c r="E423" s="6"/>
      <c r="F423" s="6"/>
      <c r="G423" s="16"/>
      <c r="H423" s="16"/>
      <c r="I423" s="17"/>
      <c r="J423" s="17"/>
      <c r="K423" s="17"/>
      <c r="L423" s="6"/>
      <c r="M423" s="6"/>
      <c r="N423" s="16"/>
      <c r="O423" s="6"/>
      <c r="P423" s="16"/>
      <c r="Q423" s="6"/>
      <c r="R423" s="6"/>
      <c r="S423" s="6"/>
    </row>
    <row r="424">
      <c r="A424" s="22"/>
      <c r="B424" s="6"/>
      <c r="C424" s="6"/>
      <c r="D424" s="6"/>
      <c r="E424" s="6"/>
      <c r="F424" s="6"/>
      <c r="G424" s="16"/>
      <c r="H424" s="16"/>
      <c r="I424" s="17"/>
      <c r="J424" s="17"/>
      <c r="K424" s="17"/>
      <c r="L424" s="6"/>
      <c r="M424" s="6"/>
      <c r="N424" s="16"/>
      <c r="O424" s="6"/>
      <c r="P424" s="16"/>
      <c r="Q424" s="6"/>
      <c r="R424" s="6"/>
      <c r="S424" s="6"/>
    </row>
    <row r="425">
      <c r="A425" s="22"/>
      <c r="B425" s="6"/>
      <c r="C425" s="6"/>
      <c r="D425" s="6"/>
      <c r="E425" s="6"/>
      <c r="F425" s="6"/>
      <c r="G425" s="16"/>
      <c r="H425" s="16"/>
      <c r="I425" s="17"/>
      <c r="J425" s="17"/>
      <c r="K425" s="17"/>
      <c r="L425" s="6"/>
      <c r="M425" s="6"/>
      <c r="N425" s="16"/>
      <c r="O425" s="6"/>
      <c r="P425" s="16"/>
      <c r="Q425" s="6"/>
      <c r="R425" s="6"/>
      <c r="S425" s="6"/>
    </row>
    <row r="426">
      <c r="A426" s="22"/>
      <c r="B426" s="6"/>
      <c r="C426" s="6"/>
      <c r="D426" s="6"/>
      <c r="E426" s="6"/>
      <c r="F426" s="6"/>
      <c r="G426" s="16"/>
      <c r="H426" s="16"/>
      <c r="I426" s="17"/>
      <c r="J426" s="17"/>
      <c r="K426" s="17"/>
      <c r="L426" s="6"/>
      <c r="M426" s="6"/>
      <c r="N426" s="16"/>
      <c r="O426" s="6"/>
      <c r="P426" s="16"/>
      <c r="Q426" s="6"/>
      <c r="R426" s="6"/>
      <c r="S426" s="6"/>
    </row>
    <row r="427">
      <c r="A427" s="22"/>
      <c r="B427" s="6"/>
      <c r="C427" s="6"/>
      <c r="D427" s="6"/>
      <c r="E427" s="6"/>
      <c r="F427" s="6"/>
      <c r="G427" s="16"/>
      <c r="H427" s="16"/>
      <c r="I427" s="17"/>
      <c r="J427" s="17"/>
      <c r="K427" s="17"/>
      <c r="L427" s="6"/>
      <c r="M427" s="6"/>
      <c r="N427" s="16"/>
      <c r="O427" s="6"/>
      <c r="P427" s="16"/>
      <c r="Q427" s="6"/>
      <c r="R427" s="6"/>
      <c r="S427" s="6"/>
    </row>
    <row r="428">
      <c r="A428" s="22"/>
      <c r="B428" s="6"/>
      <c r="C428" s="6"/>
      <c r="D428" s="6"/>
      <c r="E428" s="6"/>
      <c r="F428" s="6"/>
      <c r="G428" s="16"/>
      <c r="H428" s="16"/>
      <c r="I428" s="17"/>
      <c r="J428" s="17"/>
      <c r="K428" s="17"/>
      <c r="L428" s="6"/>
      <c r="M428" s="6"/>
      <c r="N428" s="16"/>
      <c r="O428" s="6"/>
      <c r="P428" s="16"/>
      <c r="Q428" s="6"/>
      <c r="R428" s="6"/>
      <c r="S428" s="6"/>
    </row>
    <row r="429">
      <c r="A429" s="22"/>
      <c r="B429" s="6"/>
      <c r="C429" s="6"/>
      <c r="D429" s="6"/>
      <c r="E429" s="6"/>
      <c r="F429" s="6"/>
      <c r="G429" s="16"/>
      <c r="H429" s="16"/>
      <c r="I429" s="17"/>
      <c r="J429" s="17"/>
      <c r="K429" s="17"/>
      <c r="L429" s="6"/>
      <c r="M429" s="6"/>
      <c r="N429" s="16"/>
      <c r="O429" s="6"/>
      <c r="P429" s="16"/>
      <c r="Q429" s="6"/>
      <c r="R429" s="6"/>
      <c r="S429" s="6"/>
    </row>
    <row r="430">
      <c r="A430" s="22"/>
      <c r="B430" s="6"/>
      <c r="C430" s="6"/>
      <c r="D430" s="6"/>
      <c r="E430" s="6"/>
      <c r="F430" s="6"/>
      <c r="G430" s="16"/>
      <c r="H430" s="16"/>
      <c r="I430" s="17"/>
      <c r="J430" s="17"/>
      <c r="K430" s="17"/>
      <c r="L430" s="6"/>
      <c r="M430" s="6"/>
      <c r="N430" s="16"/>
      <c r="O430" s="6"/>
      <c r="P430" s="16"/>
      <c r="Q430" s="6"/>
      <c r="R430" s="6"/>
      <c r="S430" s="6"/>
    </row>
    <row r="431">
      <c r="A431" s="22"/>
      <c r="B431" s="6"/>
      <c r="C431" s="6"/>
      <c r="D431" s="6"/>
      <c r="E431" s="6"/>
      <c r="F431" s="6"/>
      <c r="G431" s="16"/>
      <c r="H431" s="16"/>
      <c r="I431" s="17"/>
      <c r="J431" s="17"/>
      <c r="K431" s="17"/>
      <c r="L431" s="6"/>
      <c r="M431" s="6"/>
      <c r="N431" s="16"/>
      <c r="O431" s="6"/>
      <c r="P431" s="16"/>
      <c r="Q431" s="6"/>
      <c r="R431" s="6"/>
      <c r="S431" s="6"/>
    </row>
    <row r="432">
      <c r="A432" s="22"/>
      <c r="B432" s="6"/>
      <c r="C432" s="6"/>
      <c r="D432" s="6"/>
      <c r="E432" s="6"/>
      <c r="F432" s="6"/>
      <c r="G432" s="16"/>
      <c r="H432" s="16"/>
      <c r="I432" s="17"/>
      <c r="J432" s="17"/>
      <c r="K432" s="17"/>
      <c r="L432" s="6"/>
      <c r="M432" s="6"/>
      <c r="N432" s="16"/>
      <c r="O432" s="6"/>
      <c r="P432" s="16"/>
      <c r="Q432" s="6"/>
      <c r="R432" s="6"/>
      <c r="S432" s="6"/>
    </row>
    <row r="433">
      <c r="A433" s="22"/>
      <c r="B433" s="6"/>
      <c r="C433" s="6"/>
      <c r="D433" s="6"/>
      <c r="E433" s="6"/>
      <c r="F433" s="6"/>
      <c r="G433" s="16"/>
      <c r="H433" s="16"/>
      <c r="I433" s="17"/>
      <c r="J433" s="17"/>
      <c r="K433" s="17"/>
      <c r="L433" s="6"/>
      <c r="M433" s="6"/>
      <c r="N433" s="16"/>
      <c r="O433" s="6"/>
      <c r="P433" s="16"/>
      <c r="Q433" s="6"/>
      <c r="R433" s="6"/>
      <c r="S433" s="6"/>
    </row>
    <row r="434">
      <c r="A434" s="22"/>
      <c r="B434" s="6"/>
      <c r="C434" s="6"/>
      <c r="D434" s="6"/>
      <c r="E434" s="6"/>
      <c r="F434" s="6"/>
      <c r="G434" s="16"/>
      <c r="H434" s="16"/>
      <c r="I434" s="17"/>
      <c r="J434" s="17"/>
      <c r="K434" s="17"/>
      <c r="L434" s="6"/>
      <c r="M434" s="6"/>
      <c r="N434" s="16"/>
      <c r="O434" s="6"/>
      <c r="P434" s="16"/>
      <c r="Q434" s="6"/>
      <c r="R434" s="6"/>
      <c r="S434" s="6"/>
    </row>
    <row r="435">
      <c r="A435" s="22"/>
      <c r="B435" s="6"/>
      <c r="C435" s="6"/>
      <c r="D435" s="6"/>
      <c r="E435" s="6"/>
      <c r="F435" s="6"/>
      <c r="G435" s="16"/>
      <c r="H435" s="16"/>
      <c r="I435" s="17"/>
      <c r="J435" s="17"/>
      <c r="K435" s="17"/>
      <c r="L435" s="6"/>
      <c r="M435" s="6"/>
      <c r="N435" s="16"/>
      <c r="O435" s="6"/>
      <c r="P435" s="16"/>
      <c r="Q435" s="6"/>
      <c r="R435" s="6"/>
      <c r="S435" s="6"/>
    </row>
    <row r="436">
      <c r="A436" s="22"/>
      <c r="B436" s="6"/>
      <c r="C436" s="6"/>
      <c r="D436" s="6"/>
      <c r="E436" s="6"/>
      <c r="F436" s="6"/>
      <c r="G436" s="16"/>
      <c r="H436" s="16"/>
      <c r="I436" s="17"/>
      <c r="J436" s="17"/>
      <c r="K436" s="17"/>
      <c r="L436" s="6"/>
      <c r="M436" s="6"/>
      <c r="N436" s="16"/>
      <c r="O436" s="6"/>
      <c r="P436" s="16"/>
      <c r="Q436" s="6"/>
      <c r="R436" s="6"/>
      <c r="S436" s="6"/>
    </row>
    <row r="437">
      <c r="A437" s="22"/>
      <c r="B437" s="6"/>
      <c r="C437" s="6"/>
      <c r="D437" s="6"/>
      <c r="E437" s="6"/>
      <c r="F437" s="6"/>
      <c r="G437" s="16"/>
      <c r="H437" s="16"/>
      <c r="I437" s="17"/>
      <c r="J437" s="17"/>
      <c r="K437" s="17"/>
      <c r="L437" s="6"/>
      <c r="M437" s="6"/>
      <c r="N437" s="16"/>
      <c r="O437" s="6"/>
      <c r="P437" s="16"/>
      <c r="Q437" s="6"/>
      <c r="R437" s="6"/>
      <c r="S437" s="6"/>
    </row>
    <row r="438">
      <c r="A438" s="22"/>
      <c r="B438" s="6"/>
      <c r="C438" s="6"/>
      <c r="D438" s="6"/>
      <c r="E438" s="6"/>
      <c r="F438" s="6"/>
      <c r="G438" s="16"/>
      <c r="H438" s="16"/>
      <c r="I438" s="17"/>
      <c r="J438" s="17"/>
      <c r="K438" s="17"/>
      <c r="L438" s="6"/>
      <c r="M438" s="6"/>
      <c r="N438" s="16"/>
      <c r="O438" s="6"/>
      <c r="P438" s="16"/>
      <c r="Q438" s="6"/>
      <c r="R438" s="6"/>
      <c r="S438" s="6"/>
    </row>
    <row r="439">
      <c r="A439" s="22"/>
      <c r="B439" s="6"/>
      <c r="C439" s="6"/>
      <c r="D439" s="6"/>
      <c r="E439" s="6"/>
      <c r="F439" s="6"/>
      <c r="G439" s="16"/>
      <c r="H439" s="16"/>
      <c r="I439" s="17"/>
      <c r="J439" s="17"/>
      <c r="K439" s="17"/>
      <c r="L439" s="6"/>
      <c r="M439" s="6"/>
      <c r="N439" s="16"/>
      <c r="O439" s="6"/>
      <c r="P439" s="16"/>
      <c r="Q439" s="6"/>
      <c r="R439" s="6"/>
      <c r="S439" s="6"/>
    </row>
    <row r="440">
      <c r="A440" s="22"/>
      <c r="B440" s="6"/>
      <c r="C440" s="6"/>
      <c r="D440" s="6"/>
      <c r="E440" s="6"/>
      <c r="F440" s="6"/>
      <c r="G440" s="16"/>
      <c r="H440" s="16"/>
      <c r="I440" s="17"/>
      <c r="J440" s="17"/>
      <c r="K440" s="17"/>
      <c r="L440" s="6"/>
      <c r="M440" s="6"/>
      <c r="N440" s="16"/>
      <c r="O440" s="6"/>
      <c r="P440" s="16"/>
      <c r="Q440" s="6"/>
      <c r="R440" s="6"/>
      <c r="S440" s="6"/>
    </row>
    <row r="441">
      <c r="A441" s="22"/>
      <c r="B441" s="6"/>
      <c r="C441" s="6"/>
      <c r="D441" s="6"/>
      <c r="E441" s="6"/>
      <c r="F441" s="6"/>
      <c r="G441" s="16"/>
      <c r="H441" s="16"/>
      <c r="I441" s="17"/>
      <c r="J441" s="17"/>
      <c r="K441" s="17"/>
      <c r="L441" s="6"/>
      <c r="M441" s="6"/>
      <c r="N441" s="16"/>
      <c r="O441" s="6"/>
      <c r="P441" s="16"/>
      <c r="Q441" s="6"/>
      <c r="R441" s="6"/>
      <c r="S441" s="6"/>
    </row>
    <row r="442">
      <c r="A442" s="22"/>
      <c r="B442" s="6"/>
      <c r="C442" s="6"/>
      <c r="D442" s="6"/>
      <c r="E442" s="6"/>
      <c r="F442" s="6"/>
      <c r="G442" s="16"/>
      <c r="H442" s="16"/>
      <c r="I442" s="17"/>
      <c r="J442" s="17"/>
      <c r="K442" s="17"/>
      <c r="L442" s="6"/>
      <c r="M442" s="6"/>
      <c r="N442" s="16"/>
      <c r="O442" s="6"/>
      <c r="P442" s="16"/>
      <c r="Q442" s="6"/>
      <c r="R442" s="6"/>
      <c r="S442" s="6"/>
    </row>
    <row r="443">
      <c r="A443" s="22"/>
      <c r="B443" s="6"/>
      <c r="C443" s="6"/>
      <c r="D443" s="6"/>
      <c r="E443" s="6"/>
      <c r="F443" s="6"/>
      <c r="G443" s="16"/>
      <c r="H443" s="16"/>
      <c r="I443" s="17"/>
      <c r="J443" s="17"/>
      <c r="K443" s="17"/>
      <c r="L443" s="6"/>
      <c r="M443" s="6"/>
      <c r="N443" s="16"/>
      <c r="O443" s="6"/>
      <c r="P443" s="16"/>
      <c r="Q443" s="6"/>
      <c r="R443" s="6"/>
      <c r="S443" s="6"/>
    </row>
    <row r="444">
      <c r="A444" s="22"/>
      <c r="B444" s="6"/>
      <c r="C444" s="6"/>
      <c r="D444" s="6"/>
      <c r="E444" s="6"/>
      <c r="F444" s="6"/>
      <c r="G444" s="16"/>
      <c r="H444" s="16"/>
      <c r="I444" s="17"/>
      <c r="J444" s="17"/>
      <c r="K444" s="17"/>
      <c r="L444" s="6"/>
      <c r="M444" s="6"/>
      <c r="N444" s="16"/>
      <c r="O444" s="6"/>
      <c r="P444" s="16"/>
      <c r="Q444" s="6"/>
      <c r="R444" s="6"/>
      <c r="S444" s="6"/>
    </row>
    <row r="445">
      <c r="A445" s="22"/>
      <c r="B445" s="6"/>
      <c r="C445" s="6"/>
      <c r="D445" s="6"/>
      <c r="E445" s="6"/>
      <c r="F445" s="6"/>
      <c r="G445" s="16"/>
      <c r="H445" s="16"/>
      <c r="I445" s="17"/>
      <c r="J445" s="17"/>
      <c r="K445" s="17"/>
      <c r="L445" s="6"/>
      <c r="M445" s="6"/>
      <c r="N445" s="16"/>
      <c r="O445" s="6"/>
      <c r="P445" s="16"/>
      <c r="Q445" s="6"/>
      <c r="R445" s="6"/>
      <c r="S445" s="6"/>
    </row>
    <row r="446">
      <c r="A446" s="22"/>
      <c r="B446" s="6"/>
      <c r="C446" s="6"/>
      <c r="D446" s="6"/>
      <c r="E446" s="6"/>
      <c r="F446" s="6"/>
      <c r="G446" s="16"/>
      <c r="H446" s="16"/>
      <c r="I446" s="17"/>
      <c r="J446" s="17"/>
      <c r="K446" s="17"/>
      <c r="L446" s="6"/>
      <c r="M446" s="6"/>
      <c r="N446" s="16"/>
      <c r="O446" s="6"/>
      <c r="P446" s="16"/>
      <c r="Q446" s="6"/>
      <c r="R446" s="6"/>
      <c r="S446" s="6"/>
    </row>
    <row r="447">
      <c r="A447" s="22"/>
      <c r="B447" s="6"/>
      <c r="C447" s="6"/>
      <c r="D447" s="6"/>
      <c r="E447" s="6"/>
      <c r="F447" s="6"/>
      <c r="G447" s="16"/>
      <c r="H447" s="16"/>
      <c r="I447" s="17"/>
      <c r="J447" s="17"/>
      <c r="K447" s="17"/>
      <c r="L447" s="6"/>
      <c r="M447" s="6"/>
      <c r="N447" s="16"/>
      <c r="O447" s="6"/>
      <c r="P447" s="16"/>
      <c r="Q447" s="6"/>
      <c r="R447" s="6"/>
      <c r="S447" s="6"/>
    </row>
    <row r="448">
      <c r="A448" s="22"/>
      <c r="B448" s="6"/>
      <c r="C448" s="6"/>
      <c r="D448" s="6"/>
      <c r="E448" s="6"/>
      <c r="F448" s="6"/>
      <c r="G448" s="16"/>
      <c r="H448" s="16"/>
      <c r="I448" s="17"/>
      <c r="J448" s="17"/>
      <c r="K448" s="17"/>
      <c r="L448" s="6"/>
      <c r="M448" s="6"/>
      <c r="N448" s="16"/>
      <c r="O448" s="6"/>
      <c r="P448" s="16"/>
      <c r="Q448" s="6"/>
      <c r="R448" s="6"/>
      <c r="S448" s="6"/>
    </row>
    <row r="449">
      <c r="A449" s="22"/>
      <c r="B449" s="6"/>
      <c r="C449" s="6"/>
      <c r="D449" s="6"/>
      <c r="E449" s="6"/>
      <c r="F449" s="6"/>
      <c r="G449" s="16"/>
      <c r="H449" s="16"/>
      <c r="I449" s="17"/>
      <c r="J449" s="17"/>
      <c r="K449" s="17"/>
      <c r="L449" s="6"/>
      <c r="M449" s="6"/>
      <c r="N449" s="16"/>
      <c r="O449" s="6"/>
      <c r="P449" s="16"/>
      <c r="Q449" s="6"/>
      <c r="R449" s="6"/>
      <c r="S449" s="6"/>
    </row>
    <row r="450">
      <c r="A450" s="22"/>
      <c r="B450" s="6"/>
      <c r="C450" s="6"/>
      <c r="D450" s="6"/>
      <c r="E450" s="6"/>
      <c r="F450" s="6"/>
      <c r="G450" s="16"/>
      <c r="H450" s="16"/>
      <c r="I450" s="17"/>
      <c r="J450" s="17"/>
      <c r="K450" s="17"/>
      <c r="L450" s="6"/>
      <c r="M450" s="6"/>
      <c r="N450" s="16"/>
      <c r="O450" s="6"/>
      <c r="P450" s="16"/>
      <c r="Q450" s="6"/>
      <c r="R450" s="6"/>
      <c r="S450" s="6"/>
    </row>
    <row r="451">
      <c r="A451" s="22"/>
      <c r="B451" s="6"/>
      <c r="C451" s="6"/>
      <c r="D451" s="6"/>
      <c r="E451" s="6"/>
      <c r="F451" s="6"/>
      <c r="G451" s="16"/>
      <c r="H451" s="16"/>
      <c r="I451" s="17"/>
      <c r="J451" s="17"/>
      <c r="K451" s="17"/>
      <c r="L451" s="6"/>
      <c r="M451" s="6"/>
      <c r="N451" s="16"/>
      <c r="O451" s="6"/>
      <c r="P451" s="16"/>
      <c r="Q451" s="6"/>
      <c r="R451" s="6"/>
      <c r="S451" s="6"/>
    </row>
    <row r="452">
      <c r="A452" s="22"/>
      <c r="B452" s="6"/>
      <c r="C452" s="6"/>
      <c r="D452" s="6"/>
      <c r="E452" s="6"/>
      <c r="F452" s="6"/>
      <c r="G452" s="16"/>
      <c r="H452" s="16"/>
      <c r="I452" s="17"/>
      <c r="J452" s="17"/>
      <c r="K452" s="17"/>
      <c r="L452" s="6"/>
      <c r="M452" s="6"/>
      <c r="N452" s="16"/>
      <c r="O452" s="6"/>
      <c r="P452" s="16"/>
      <c r="Q452" s="6"/>
      <c r="R452" s="6"/>
      <c r="S452" s="6"/>
    </row>
    <row r="453">
      <c r="A453" s="22"/>
      <c r="B453" s="6"/>
      <c r="C453" s="6"/>
      <c r="D453" s="6"/>
      <c r="E453" s="6"/>
      <c r="F453" s="6"/>
      <c r="G453" s="16"/>
      <c r="H453" s="16"/>
      <c r="I453" s="17"/>
      <c r="J453" s="17"/>
      <c r="K453" s="17"/>
      <c r="L453" s="6"/>
      <c r="M453" s="6"/>
      <c r="N453" s="16"/>
      <c r="O453" s="6"/>
      <c r="P453" s="16"/>
      <c r="Q453" s="6"/>
      <c r="R453" s="6"/>
      <c r="S453" s="6"/>
    </row>
    <row r="454">
      <c r="A454" s="22"/>
      <c r="B454" s="6"/>
      <c r="C454" s="6"/>
      <c r="D454" s="6"/>
      <c r="E454" s="6"/>
      <c r="F454" s="6"/>
      <c r="G454" s="16"/>
      <c r="H454" s="16"/>
      <c r="I454" s="17"/>
      <c r="J454" s="17"/>
      <c r="K454" s="17"/>
      <c r="L454" s="6"/>
      <c r="M454" s="6"/>
      <c r="N454" s="16"/>
      <c r="O454" s="6"/>
      <c r="P454" s="16"/>
      <c r="Q454" s="6"/>
      <c r="R454" s="6"/>
      <c r="S454" s="6"/>
    </row>
    <row r="455">
      <c r="A455" s="22"/>
      <c r="B455" s="6"/>
      <c r="C455" s="6"/>
      <c r="D455" s="6"/>
      <c r="E455" s="6"/>
      <c r="F455" s="6"/>
      <c r="G455" s="16"/>
      <c r="H455" s="16"/>
      <c r="I455" s="17"/>
      <c r="J455" s="17"/>
      <c r="K455" s="17"/>
      <c r="L455" s="6"/>
      <c r="M455" s="6"/>
      <c r="N455" s="16"/>
      <c r="O455" s="6"/>
      <c r="P455" s="16"/>
      <c r="Q455" s="6"/>
      <c r="R455" s="6"/>
      <c r="S455" s="6"/>
    </row>
    <row r="456">
      <c r="A456" s="22"/>
      <c r="B456" s="6"/>
      <c r="C456" s="6"/>
      <c r="D456" s="6"/>
      <c r="E456" s="6"/>
      <c r="F456" s="6"/>
      <c r="G456" s="16"/>
      <c r="H456" s="16"/>
      <c r="I456" s="17"/>
      <c r="J456" s="17"/>
      <c r="K456" s="17"/>
      <c r="L456" s="6"/>
      <c r="M456" s="6"/>
      <c r="N456" s="16"/>
      <c r="O456" s="6"/>
      <c r="P456" s="16"/>
      <c r="Q456" s="6"/>
      <c r="R456" s="6"/>
      <c r="S456" s="6"/>
    </row>
    <row r="457">
      <c r="A457" s="22"/>
      <c r="B457" s="6"/>
      <c r="C457" s="6"/>
      <c r="D457" s="6"/>
      <c r="E457" s="6"/>
      <c r="F457" s="6"/>
      <c r="G457" s="16"/>
      <c r="H457" s="16"/>
      <c r="I457" s="17"/>
      <c r="J457" s="17"/>
      <c r="K457" s="17"/>
      <c r="L457" s="6"/>
      <c r="M457" s="6"/>
      <c r="N457" s="16"/>
      <c r="O457" s="6"/>
      <c r="P457" s="16"/>
      <c r="Q457" s="6"/>
      <c r="R457" s="6"/>
      <c r="S457" s="6"/>
    </row>
    <row r="458">
      <c r="A458" s="22"/>
      <c r="B458" s="6"/>
      <c r="C458" s="6"/>
      <c r="D458" s="6"/>
      <c r="E458" s="6"/>
      <c r="F458" s="6"/>
      <c r="G458" s="16"/>
      <c r="H458" s="16"/>
      <c r="I458" s="17"/>
      <c r="J458" s="17"/>
      <c r="K458" s="17"/>
      <c r="L458" s="6"/>
      <c r="M458" s="6"/>
      <c r="N458" s="16"/>
      <c r="O458" s="6"/>
      <c r="P458" s="16"/>
      <c r="Q458" s="6"/>
      <c r="R458" s="6"/>
      <c r="S458" s="6"/>
    </row>
    <row r="459">
      <c r="A459" s="22"/>
      <c r="B459" s="6"/>
      <c r="C459" s="6"/>
      <c r="D459" s="6"/>
      <c r="E459" s="6"/>
      <c r="F459" s="6"/>
      <c r="G459" s="16"/>
      <c r="H459" s="16"/>
      <c r="I459" s="17"/>
      <c r="J459" s="17"/>
      <c r="K459" s="17"/>
      <c r="L459" s="6"/>
      <c r="M459" s="6"/>
      <c r="N459" s="16"/>
      <c r="O459" s="6"/>
      <c r="P459" s="16"/>
      <c r="Q459" s="6"/>
      <c r="R459" s="6"/>
      <c r="S459" s="6"/>
    </row>
    <row r="460">
      <c r="A460" s="22"/>
      <c r="B460" s="6"/>
      <c r="C460" s="6"/>
      <c r="D460" s="6"/>
      <c r="E460" s="6"/>
      <c r="F460" s="6"/>
      <c r="G460" s="16"/>
      <c r="H460" s="16"/>
      <c r="I460" s="17"/>
      <c r="J460" s="17"/>
      <c r="K460" s="17"/>
      <c r="L460" s="6"/>
      <c r="M460" s="6"/>
      <c r="N460" s="16"/>
      <c r="O460" s="6"/>
      <c r="P460" s="16"/>
      <c r="Q460" s="6"/>
      <c r="R460" s="6"/>
      <c r="S460" s="6"/>
    </row>
    <row r="461">
      <c r="A461" s="22"/>
      <c r="B461" s="6"/>
      <c r="C461" s="6"/>
      <c r="D461" s="6"/>
      <c r="E461" s="6"/>
      <c r="F461" s="6"/>
      <c r="G461" s="16"/>
      <c r="H461" s="16"/>
      <c r="I461" s="17"/>
      <c r="J461" s="17"/>
      <c r="K461" s="17"/>
      <c r="L461" s="6"/>
      <c r="M461" s="6"/>
      <c r="N461" s="16"/>
      <c r="O461" s="6"/>
      <c r="P461" s="16"/>
      <c r="Q461" s="6"/>
      <c r="R461" s="6"/>
      <c r="S461" s="6"/>
    </row>
    <row r="462">
      <c r="A462" s="22"/>
      <c r="B462" s="6"/>
      <c r="C462" s="6"/>
      <c r="D462" s="6"/>
      <c r="E462" s="6"/>
      <c r="F462" s="6"/>
      <c r="G462" s="16"/>
      <c r="H462" s="16"/>
      <c r="I462" s="17"/>
      <c r="J462" s="17"/>
      <c r="K462" s="17"/>
      <c r="L462" s="6"/>
      <c r="M462" s="6"/>
      <c r="N462" s="16"/>
      <c r="O462" s="6"/>
      <c r="P462" s="16"/>
      <c r="Q462" s="6"/>
      <c r="R462" s="6"/>
      <c r="S462" s="6"/>
    </row>
    <row r="463">
      <c r="A463" s="22"/>
      <c r="B463" s="6"/>
      <c r="C463" s="6"/>
      <c r="D463" s="6"/>
      <c r="E463" s="6"/>
      <c r="F463" s="6"/>
      <c r="G463" s="16"/>
      <c r="H463" s="16"/>
      <c r="I463" s="17"/>
      <c r="J463" s="17"/>
      <c r="K463" s="17"/>
      <c r="L463" s="6"/>
      <c r="M463" s="6"/>
      <c r="N463" s="16"/>
      <c r="O463" s="6"/>
      <c r="P463" s="16"/>
      <c r="Q463" s="6"/>
      <c r="R463" s="6"/>
      <c r="S463" s="6"/>
    </row>
    <row r="464">
      <c r="A464" s="22"/>
      <c r="B464" s="6"/>
      <c r="C464" s="6"/>
      <c r="D464" s="6"/>
      <c r="E464" s="6"/>
      <c r="F464" s="6"/>
      <c r="G464" s="16"/>
      <c r="H464" s="16"/>
      <c r="I464" s="17"/>
      <c r="J464" s="17"/>
      <c r="K464" s="17"/>
      <c r="L464" s="6"/>
      <c r="M464" s="6"/>
      <c r="N464" s="16"/>
      <c r="O464" s="6"/>
      <c r="P464" s="16"/>
      <c r="Q464" s="6"/>
      <c r="R464" s="6"/>
      <c r="S464" s="6"/>
    </row>
    <row r="465">
      <c r="A465" s="22"/>
      <c r="B465" s="6"/>
      <c r="C465" s="6"/>
      <c r="D465" s="6"/>
      <c r="E465" s="6"/>
      <c r="F465" s="6"/>
      <c r="G465" s="16"/>
      <c r="H465" s="16"/>
      <c r="I465" s="17"/>
      <c r="J465" s="17"/>
      <c r="K465" s="17"/>
      <c r="L465" s="6"/>
      <c r="M465" s="6"/>
      <c r="N465" s="16"/>
      <c r="O465" s="6"/>
      <c r="P465" s="16"/>
      <c r="Q465" s="6"/>
      <c r="R465" s="6"/>
      <c r="S465" s="6"/>
    </row>
    <row r="466">
      <c r="A466" s="22"/>
      <c r="B466" s="6"/>
      <c r="C466" s="6"/>
      <c r="D466" s="6"/>
      <c r="E466" s="6"/>
      <c r="F466" s="6"/>
      <c r="G466" s="16"/>
      <c r="H466" s="16"/>
      <c r="I466" s="17"/>
      <c r="J466" s="17"/>
      <c r="K466" s="17"/>
      <c r="L466" s="6"/>
      <c r="M466" s="6"/>
      <c r="N466" s="16"/>
      <c r="O466" s="6"/>
      <c r="P466" s="16"/>
      <c r="Q466" s="6"/>
      <c r="R466" s="6"/>
      <c r="S466" s="6"/>
    </row>
    <row r="467">
      <c r="A467" s="22"/>
      <c r="B467" s="6"/>
      <c r="C467" s="6"/>
      <c r="D467" s="6"/>
      <c r="E467" s="6"/>
      <c r="F467" s="6"/>
      <c r="G467" s="16"/>
      <c r="H467" s="16"/>
      <c r="I467" s="17"/>
      <c r="J467" s="17"/>
      <c r="K467" s="17"/>
      <c r="L467" s="6"/>
      <c r="M467" s="6"/>
      <c r="N467" s="16"/>
      <c r="O467" s="6"/>
      <c r="P467" s="16"/>
      <c r="Q467" s="6"/>
      <c r="R467" s="6"/>
      <c r="S467" s="6"/>
    </row>
    <row r="468">
      <c r="A468" s="22"/>
      <c r="B468" s="6"/>
      <c r="C468" s="6"/>
      <c r="D468" s="6"/>
      <c r="E468" s="6"/>
      <c r="F468" s="6"/>
      <c r="G468" s="16"/>
      <c r="H468" s="16"/>
      <c r="I468" s="17"/>
      <c r="J468" s="17"/>
      <c r="K468" s="17"/>
      <c r="L468" s="6"/>
      <c r="M468" s="6"/>
      <c r="N468" s="16"/>
      <c r="O468" s="6"/>
      <c r="P468" s="16"/>
      <c r="Q468" s="6"/>
      <c r="R468" s="6"/>
      <c r="S468" s="6"/>
    </row>
    <row r="469">
      <c r="A469" s="22"/>
      <c r="B469" s="6"/>
      <c r="C469" s="6"/>
      <c r="D469" s="6"/>
      <c r="E469" s="6"/>
      <c r="F469" s="6"/>
      <c r="G469" s="16"/>
      <c r="H469" s="16"/>
      <c r="I469" s="17"/>
      <c r="J469" s="17"/>
      <c r="K469" s="17"/>
      <c r="L469" s="6"/>
      <c r="M469" s="6"/>
      <c r="N469" s="16"/>
      <c r="O469" s="6"/>
      <c r="P469" s="16"/>
      <c r="Q469" s="6"/>
      <c r="R469" s="6"/>
      <c r="S469" s="6"/>
    </row>
    <row r="470">
      <c r="A470" s="22"/>
      <c r="B470" s="6"/>
      <c r="C470" s="6"/>
      <c r="D470" s="6"/>
      <c r="E470" s="6"/>
      <c r="F470" s="6"/>
      <c r="G470" s="16"/>
      <c r="H470" s="16"/>
      <c r="I470" s="17"/>
      <c r="J470" s="17"/>
      <c r="K470" s="17"/>
      <c r="L470" s="6"/>
      <c r="M470" s="6"/>
      <c r="N470" s="16"/>
      <c r="O470" s="6"/>
      <c r="P470" s="16"/>
      <c r="Q470" s="6"/>
      <c r="R470" s="6"/>
      <c r="S470" s="6"/>
    </row>
    <row r="471">
      <c r="A471" s="22"/>
      <c r="B471" s="6"/>
      <c r="C471" s="6"/>
      <c r="D471" s="6"/>
      <c r="E471" s="6"/>
      <c r="F471" s="6"/>
      <c r="G471" s="16"/>
      <c r="H471" s="16"/>
      <c r="I471" s="17"/>
      <c r="J471" s="17"/>
      <c r="K471" s="17"/>
      <c r="L471" s="6"/>
      <c r="M471" s="6"/>
      <c r="N471" s="16"/>
      <c r="O471" s="6"/>
      <c r="P471" s="16"/>
      <c r="Q471" s="6"/>
      <c r="R471" s="6"/>
      <c r="S471" s="6"/>
    </row>
    <row r="472">
      <c r="A472" s="22"/>
      <c r="B472" s="6"/>
      <c r="C472" s="6"/>
      <c r="D472" s="6"/>
      <c r="E472" s="6"/>
      <c r="F472" s="6"/>
      <c r="G472" s="16"/>
      <c r="H472" s="16"/>
      <c r="I472" s="17"/>
      <c r="J472" s="17"/>
      <c r="K472" s="17"/>
      <c r="L472" s="6"/>
      <c r="M472" s="6"/>
      <c r="N472" s="16"/>
      <c r="O472" s="6"/>
      <c r="P472" s="16"/>
      <c r="Q472" s="6"/>
      <c r="R472" s="6"/>
      <c r="S472" s="6"/>
    </row>
    <row r="473">
      <c r="A473" s="22"/>
      <c r="B473" s="6"/>
      <c r="C473" s="6"/>
      <c r="D473" s="6"/>
      <c r="E473" s="6"/>
      <c r="F473" s="6"/>
      <c r="G473" s="16"/>
      <c r="H473" s="16"/>
      <c r="I473" s="17"/>
      <c r="J473" s="17"/>
      <c r="K473" s="17"/>
      <c r="L473" s="6"/>
      <c r="M473" s="6"/>
      <c r="N473" s="16"/>
      <c r="O473" s="6"/>
      <c r="P473" s="16"/>
      <c r="Q473" s="6"/>
      <c r="R473" s="6"/>
      <c r="S473" s="6"/>
    </row>
    <row r="474">
      <c r="A474" s="22"/>
      <c r="B474" s="6"/>
      <c r="C474" s="6"/>
      <c r="D474" s="6"/>
      <c r="E474" s="6"/>
      <c r="F474" s="6"/>
      <c r="G474" s="16"/>
      <c r="H474" s="16"/>
      <c r="I474" s="17"/>
      <c r="J474" s="17"/>
      <c r="K474" s="17"/>
      <c r="L474" s="6"/>
      <c r="M474" s="6"/>
      <c r="N474" s="16"/>
      <c r="O474" s="6"/>
      <c r="P474" s="16"/>
      <c r="Q474" s="6"/>
      <c r="R474" s="6"/>
      <c r="S474" s="6"/>
    </row>
    <row r="475">
      <c r="A475" s="22"/>
      <c r="B475" s="6"/>
      <c r="C475" s="6"/>
      <c r="D475" s="6"/>
      <c r="E475" s="6"/>
      <c r="F475" s="6"/>
      <c r="G475" s="16"/>
      <c r="H475" s="16"/>
      <c r="I475" s="17"/>
      <c r="J475" s="17"/>
      <c r="K475" s="17"/>
      <c r="L475" s="6"/>
      <c r="M475" s="6"/>
      <c r="N475" s="16"/>
      <c r="O475" s="6"/>
      <c r="P475" s="16"/>
      <c r="Q475" s="6"/>
      <c r="R475" s="6"/>
      <c r="S475" s="6"/>
    </row>
    <row r="476">
      <c r="A476" s="22"/>
      <c r="B476" s="6"/>
      <c r="C476" s="6"/>
      <c r="D476" s="6"/>
      <c r="E476" s="6"/>
      <c r="F476" s="6"/>
      <c r="G476" s="16"/>
      <c r="H476" s="16"/>
      <c r="I476" s="17"/>
      <c r="J476" s="17"/>
      <c r="K476" s="17"/>
      <c r="L476" s="6"/>
      <c r="M476" s="6"/>
      <c r="N476" s="16"/>
      <c r="O476" s="6"/>
      <c r="P476" s="16"/>
      <c r="Q476" s="6"/>
      <c r="R476" s="6"/>
      <c r="S476" s="6"/>
    </row>
    <row r="477">
      <c r="A477" s="22"/>
      <c r="B477" s="6"/>
      <c r="C477" s="6"/>
      <c r="D477" s="6"/>
      <c r="E477" s="6"/>
      <c r="F477" s="6"/>
      <c r="G477" s="16"/>
      <c r="H477" s="16"/>
      <c r="I477" s="17"/>
      <c r="J477" s="17"/>
      <c r="K477" s="17"/>
      <c r="L477" s="6"/>
      <c r="M477" s="6"/>
      <c r="N477" s="16"/>
      <c r="O477" s="6"/>
      <c r="P477" s="16"/>
      <c r="Q477" s="6"/>
      <c r="R477" s="6"/>
      <c r="S477" s="6"/>
    </row>
    <row r="478">
      <c r="A478" s="22"/>
      <c r="B478" s="6"/>
      <c r="C478" s="6"/>
      <c r="D478" s="6"/>
      <c r="E478" s="6"/>
      <c r="F478" s="6"/>
      <c r="G478" s="16"/>
      <c r="H478" s="16"/>
      <c r="I478" s="17"/>
      <c r="J478" s="17"/>
      <c r="K478" s="17"/>
      <c r="L478" s="6"/>
      <c r="M478" s="6"/>
      <c r="N478" s="16"/>
      <c r="O478" s="6"/>
      <c r="P478" s="16"/>
      <c r="Q478" s="6"/>
      <c r="R478" s="6"/>
      <c r="S478" s="6"/>
    </row>
    <row r="479">
      <c r="A479" s="22"/>
      <c r="B479" s="6"/>
      <c r="C479" s="6"/>
      <c r="D479" s="6"/>
      <c r="E479" s="6"/>
      <c r="F479" s="6"/>
      <c r="G479" s="16"/>
      <c r="H479" s="16"/>
      <c r="I479" s="17"/>
      <c r="J479" s="17"/>
      <c r="K479" s="17"/>
      <c r="L479" s="6"/>
      <c r="M479" s="6"/>
      <c r="N479" s="16"/>
      <c r="O479" s="6"/>
      <c r="P479" s="16"/>
      <c r="Q479" s="6"/>
      <c r="R479" s="6"/>
      <c r="S479" s="6"/>
    </row>
    <row r="480">
      <c r="A480" s="22"/>
      <c r="B480" s="6"/>
      <c r="C480" s="6"/>
      <c r="D480" s="6"/>
      <c r="E480" s="6"/>
      <c r="F480" s="6"/>
      <c r="G480" s="16"/>
      <c r="H480" s="16"/>
      <c r="I480" s="17"/>
      <c r="J480" s="17"/>
      <c r="K480" s="17"/>
      <c r="L480" s="6"/>
      <c r="M480" s="6"/>
      <c r="N480" s="16"/>
      <c r="O480" s="6"/>
      <c r="P480" s="16"/>
      <c r="Q480" s="6"/>
      <c r="R480" s="6"/>
      <c r="S480" s="6"/>
    </row>
    <row r="481">
      <c r="A481" s="22"/>
      <c r="B481" s="6"/>
      <c r="C481" s="6"/>
      <c r="D481" s="6"/>
      <c r="E481" s="6"/>
      <c r="F481" s="6"/>
      <c r="G481" s="16"/>
      <c r="H481" s="16"/>
      <c r="I481" s="17"/>
      <c r="J481" s="17"/>
      <c r="K481" s="17"/>
      <c r="L481" s="6"/>
      <c r="M481" s="6"/>
      <c r="N481" s="16"/>
      <c r="O481" s="6"/>
      <c r="P481" s="16"/>
      <c r="Q481" s="6"/>
      <c r="R481" s="6"/>
      <c r="S481" s="6"/>
    </row>
    <row r="482">
      <c r="A482" s="22"/>
      <c r="B482" s="6"/>
      <c r="C482" s="6"/>
      <c r="D482" s="6"/>
      <c r="E482" s="6"/>
      <c r="F482" s="6"/>
      <c r="G482" s="16"/>
      <c r="H482" s="16"/>
      <c r="I482" s="17"/>
      <c r="J482" s="17"/>
      <c r="K482" s="17"/>
      <c r="L482" s="6"/>
      <c r="M482" s="6"/>
      <c r="N482" s="16"/>
      <c r="O482" s="6"/>
      <c r="P482" s="16"/>
      <c r="Q482" s="6"/>
      <c r="R482" s="6"/>
      <c r="S482" s="6"/>
    </row>
    <row r="483">
      <c r="A483" s="22"/>
      <c r="B483" s="6"/>
      <c r="C483" s="6"/>
      <c r="D483" s="6"/>
      <c r="E483" s="6"/>
      <c r="F483" s="6"/>
      <c r="G483" s="16"/>
      <c r="H483" s="16"/>
      <c r="I483" s="17"/>
      <c r="J483" s="17"/>
      <c r="K483" s="17"/>
      <c r="L483" s="6"/>
      <c r="M483" s="6"/>
      <c r="N483" s="16"/>
      <c r="O483" s="6"/>
      <c r="P483" s="16"/>
      <c r="Q483" s="6"/>
      <c r="R483" s="6"/>
      <c r="S483" s="6"/>
    </row>
    <row r="484">
      <c r="A484" s="22"/>
      <c r="B484" s="6"/>
      <c r="C484" s="6"/>
      <c r="D484" s="6"/>
      <c r="E484" s="6"/>
      <c r="F484" s="6"/>
      <c r="G484" s="16"/>
      <c r="H484" s="16"/>
      <c r="I484" s="17"/>
      <c r="J484" s="17"/>
      <c r="K484" s="17"/>
      <c r="L484" s="6"/>
      <c r="M484" s="6"/>
      <c r="N484" s="16"/>
      <c r="O484" s="6"/>
      <c r="P484" s="16"/>
      <c r="Q484" s="6"/>
      <c r="R484" s="6"/>
      <c r="S484" s="6"/>
    </row>
    <row r="485">
      <c r="A485" s="22"/>
      <c r="B485" s="6"/>
      <c r="C485" s="6"/>
      <c r="D485" s="6"/>
      <c r="E485" s="6"/>
      <c r="F485" s="6"/>
      <c r="G485" s="16"/>
      <c r="H485" s="16"/>
      <c r="I485" s="17"/>
      <c r="J485" s="17"/>
      <c r="K485" s="17"/>
      <c r="L485" s="6"/>
      <c r="M485" s="6"/>
      <c r="N485" s="16"/>
      <c r="O485" s="6"/>
      <c r="P485" s="16"/>
      <c r="Q485" s="6"/>
      <c r="R485" s="6"/>
      <c r="S485" s="6"/>
    </row>
    <row r="486">
      <c r="A486" s="22"/>
      <c r="B486" s="6"/>
      <c r="C486" s="6"/>
      <c r="D486" s="6"/>
      <c r="E486" s="6"/>
      <c r="F486" s="6"/>
      <c r="G486" s="16"/>
      <c r="H486" s="16"/>
      <c r="I486" s="17"/>
      <c r="J486" s="17"/>
      <c r="K486" s="17"/>
      <c r="L486" s="6"/>
      <c r="M486" s="6"/>
      <c r="N486" s="16"/>
      <c r="O486" s="6"/>
      <c r="P486" s="16"/>
      <c r="Q486" s="6"/>
      <c r="R486" s="6"/>
      <c r="S486" s="6"/>
    </row>
    <row r="487">
      <c r="A487" s="22"/>
      <c r="B487" s="6"/>
      <c r="C487" s="6"/>
      <c r="D487" s="6"/>
      <c r="E487" s="6"/>
      <c r="F487" s="6"/>
      <c r="G487" s="16"/>
      <c r="H487" s="16"/>
      <c r="I487" s="17"/>
      <c r="J487" s="17"/>
      <c r="K487" s="17"/>
      <c r="L487" s="6"/>
      <c r="M487" s="6"/>
      <c r="N487" s="16"/>
      <c r="O487" s="6"/>
      <c r="P487" s="16"/>
      <c r="Q487" s="6"/>
      <c r="R487" s="6"/>
      <c r="S487" s="6"/>
    </row>
    <row r="488">
      <c r="A488" s="22"/>
      <c r="B488" s="6"/>
      <c r="C488" s="6"/>
      <c r="D488" s="6"/>
      <c r="E488" s="6"/>
      <c r="F488" s="6"/>
      <c r="G488" s="16"/>
      <c r="H488" s="16"/>
      <c r="I488" s="17"/>
      <c r="J488" s="17"/>
      <c r="K488" s="17"/>
      <c r="L488" s="6"/>
      <c r="M488" s="6"/>
      <c r="N488" s="16"/>
      <c r="O488" s="6"/>
      <c r="P488" s="16"/>
      <c r="Q488" s="6"/>
      <c r="R488" s="6"/>
      <c r="S488" s="6"/>
    </row>
    <row r="489">
      <c r="A489" s="22"/>
      <c r="B489" s="6"/>
      <c r="C489" s="6"/>
      <c r="D489" s="6"/>
      <c r="E489" s="6"/>
      <c r="F489" s="6"/>
      <c r="G489" s="16"/>
      <c r="H489" s="16"/>
      <c r="I489" s="17"/>
      <c r="J489" s="17"/>
      <c r="K489" s="17"/>
      <c r="L489" s="6"/>
      <c r="M489" s="6"/>
      <c r="N489" s="16"/>
      <c r="O489" s="6"/>
      <c r="P489" s="16"/>
      <c r="Q489" s="6"/>
      <c r="R489" s="6"/>
      <c r="S489" s="6"/>
    </row>
    <row r="490">
      <c r="A490" s="22"/>
      <c r="B490" s="6"/>
      <c r="C490" s="6"/>
      <c r="D490" s="6"/>
      <c r="E490" s="6"/>
      <c r="F490" s="6"/>
      <c r="G490" s="16"/>
      <c r="H490" s="16"/>
      <c r="I490" s="17"/>
      <c r="J490" s="17"/>
      <c r="K490" s="17"/>
      <c r="L490" s="6"/>
      <c r="M490" s="6"/>
      <c r="N490" s="16"/>
      <c r="O490" s="6"/>
      <c r="P490" s="16"/>
      <c r="Q490" s="6"/>
      <c r="R490" s="6"/>
      <c r="S490" s="6"/>
    </row>
    <row r="491">
      <c r="A491" s="22"/>
      <c r="B491" s="6"/>
      <c r="C491" s="6"/>
      <c r="D491" s="6"/>
      <c r="E491" s="6"/>
      <c r="F491" s="6"/>
      <c r="G491" s="16"/>
      <c r="H491" s="16"/>
      <c r="I491" s="17"/>
      <c r="J491" s="17"/>
      <c r="K491" s="17"/>
      <c r="L491" s="6"/>
      <c r="M491" s="6"/>
      <c r="N491" s="16"/>
      <c r="O491" s="6"/>
      <c r="P491" s="16"/>
      <c r="Q491" s="6"/>
      <c r="R491" s="6"/>
      <c r="S491" s="6"/>
    </row>
    <row r="492">
      <c r="A492" s="22"/>
      <c r="B492" s="6"/>
      <c r="C492" s="6"/>
      <c r="D492" s="6"/>
      <c r="E492" s="6"/>
      <c r="F492" s="6"/>
      <c r="G492" s="16"/>
      <c r="H492" s="16"/>
      <c r="I492" s="17"/>
      <c r="J492" s="17"/>
      <c r="K492" s="17"/>
      <c r="L492" s="6"/>
      <c r="M492" s="6"/>
      <c r="N492" s="16"/>
      <c r="O492" s="6"/>
      <c r="P492" s="16"/>
      <c r="Q492" s="6"/>
      <c r="R492" s="6"/>
      <c r="S492" s="6"/>
    </row>
    <row r="493">
      <c r="A493" s="22"/>
      <c r="B493" s="6"/>
      <c r="C493" s="6"/>
      <c r="D493" s="6"/>
      <c r="E493" s="6"/>
      <c r="F493" s="6"/>
      <c r="G493" s="16"/>
      <c r="H493" s="16"/>
      <c r="I493" s="17"/>
      <c r="J493" s="17"/>
      <c r="K493" s="17"/>
      <c r="L493" s="6"/>
      <c r="M493" s="6"/>
      <c r="N493" s="16"/>
      <c r="O493" s="6"/>
      <c r="P493" s="16"/>
      <c r="Q493" s="6"/>
      <c r="R493" s="6"/>
      <c r="S493" s="6"/>
    </row>
    <row r="494">
      <c r="A494" s="22"/>
      <c r="B494" s="6"/>
      <c r="C494" s="6"/>
      <c r="D494" s="6"/>
      <c r="E494" s="6"/>
      <c r="F494" s="6"/>
      <c r="G494" s="16"/>
      <c r="H494" s="16"/>
      <c r="I494" s="17"/>
      <c r="J494" s="17"/>
      <c r="K494" s="17"/>
      <c r="L494" s="6"/>
      <c r="M494" s="6"/>
      <c r="N494" s="16"/>
      <c r="O494" s="6"/>
      <c r="P494" s="16"/>
      <c r="Q494" s="6"/>
      <c r="R494" s="6"/>
      <c r="S494" s="6"/>
    </row>
    <row r="495">
      <c r="A495" s="22"/>
      <c r="B495" s="6"/>
      <c r="C495" s="6"/>
      <c r="D495" s="6"/>
      <c r="E495" s="6"/>
      <c r="F495" s="6"/>
      <c r="G495" s="16"/>
      <c r="H495" s="16"/>
      <c r="I495" s="17"/>
      <c r="J495" s="17"/>
      <c r="K495" s="17"/>
      <c r="L495" s="6"/>
      <c r="M495" s="6"/>
      <c r="N495" s="16"/>
      <c r="O495" s="6"/>
      <c r="P495" s="16"/>
      <c r="Q495" s="6"/>
      <c r="R495" s="6"/>
      <c r="S495" s="6"/>
    </row>
    <row r="496">
      <c r="A496" s="22"/>
      <c r="B496" s="6"/>
      <c r="C496" s="6"/>
      <c r="D496" s="6"/>
      <c r="E496" s="6"/>
      <c r="F496" s="6"/>
      <c r="G496" s="16"/>
      <c r="H496" s="16"/>
      <c r="I496" s="17"/>
      <c r="J496" s="17"/>
      <c r="K496" s="17"/>
      <c r="L496" s="6"/>
      <c r="M496" s="6"/>
      <c r="N496" s="16"/>
      <c r="O496" s="6"/>
      <c r="P496" s="16"/>
      <c r="Q496" s="6"/>
      <c r="R496" s="6"/>
      <c r="S496" s="6"/>
    </row>
    <row r="497">
      <c r="A497" s="22"/>
      <c r="B497" s="6"/>
      <c r="C497" s="6"/>
      <c r="D497" s="6"/>
      <c r="E497" s="6"/>
      <c r="F497" s="6"/>
      <c r="G497" s="16"/>
      <c r="H497" s="16"/>
      <c r="I497" s="17"/>
      <c r="J497" s="17"/>
      <c r="K497" s="17"/>
      <c r="L497" s="6"/>
      <c r="M497" s="6"/>
      <c r="N497" s="16"/>
      <c r="O497" s="6"/>
      <c r="P497" s="16"/>
      <c r="Q497" s="6"/>
      <c r="R497" s="6"/>
      <c r="S497" s="6"/>
    </row>
    <row r="498">
      <c r="A498" s="22"/>
      <c r="B498" s="6"/>
      <c r="C498" s="6"/>
      <c r="D498" s="6"/>
      <c r="E498" s="6"/>
      <c r="F498" s="6"/>
      <c r="G498" s="16"/>
      <c r="H498" s="16"/>
      <c r="I498" s="17"/>
      <c r="J498" s="17"/>
      <c r="K498" s="17"/>
      <c r="L498" s="6"/>
      <c r="M498" s="6"/>
      <c r="N498" s="16"/>
      <c r="O498" s="6"/>
      <c r="P498" s="16"/>
      <c r="Q498" s="6"/>
      <c r="R498" s="6"/>
      <c r="S498" s="6"/>
    </row>
    <row r="499">
      <c r="A499" s="22"/>
      <c r="B499" s="6"/>
      <c r="C499" s="6"/>
      <c r="D499" s="6"/>
      <c r="E499" s="6"/>
      <c r="F499" s="6"/>
      <c r="G499" s="16"/>
      <c r="H499" s="16"/>
      <c r="I499" s="17"/>
      <c r="J499" s="17"/>
      <c r="K499" s="17"/>
      <c r="L499" s="6"/>
      <c r="M499" s="6"/>
      <c r="N499" s="16"/>
      <c r="O499" s="6"/>
      <c r="P499" s="16"/>
      <c r="Q499" s="6"/>
      <c r="R499" s="6"/>
      <c r="S499" s="6"/>
    </row>
    <row r="500">
      <c r="A500" s="22"/>
      <c r="B500" s="6"/>
      <c r="C500" s="6"/>
      <c r="D500" s="6"/>
      <c r="E500" s="6"/>
      <c r="F500" s="6"/>
      <c r="G500" s="16"/>
      <c r="H500" s="16"/>
      <c r="I500" s="17"/>
      <c r="J500" s="17"/>
      <c r="K500" s="17"/>
      <c r="L500" s="6"/>
      <c r="M500" s="6"/>
      <c r="N500" s="16"/>
      <c r="O500" s="6"/>
      <c r="P500" s="16"/>
      <c r="Q500" s="6"/>
      <c r="R500" s="6"/>
      <c r="S500" s="6"/>
    </row>
    <row r="501">
      <c r="A501" s="22"/>
      <c r="B501" s="6"/>
      <c r="C501" s="6"/>
      <c r="D501" s="6"/>
      <c r="E501" s="6"/>
      <c r="F501" s="6"/>
      <c r="G501" s="16"/>
      <c r="H501" s="16"/>
      <c r="I501" s="17"/>
      <c r="J501" s="17"/>
      <c r="K501" s="17"/>
      <c r="L501" s="6"/>
      <c r="M501" s="6"/>
      <c r="N501" s="16"/>
      <c r="O501" s="6"/>
      <c r="P501" s="16"/>
      <c r="Q501" s="6"/>
      <c r="R501" s="6"/>
      <c r="S501" s="6"/>
    </row>
    <row r="502">
      <c r="A502" s="22"/>
      <c r="B502" s="6"/>
      <c r="C502" s="6"/>
      <c r="D502" s="6"/>
      <c r="E502" s="6"/>
      <c r="F502" s="6"/>
      <c r="G502" s="16"/>
      <c r="H502" s="16"/>
      <c r="I502" s="17"/>
      <c r="J502" s="17"/>
      <c r="K502" s="17"/>
      <c r="L502" s="6"/>
      <c r="M502" s="6"/>
      <c r="N502" s="16"/>
      <c r="O502" s="6"/>
      <c r="P502" s="16"/>
      <c r="Q502" s="6"/>
      <c r="R502" s="6"/>
      <c r="S502" s="6"/>
    </row>
    <row r="503">
      <c r="A503" s="22"/>
      <c r="B503" s="6"/>
      <c r="C503" s="6"/>
      <c r="D503" s="6"/>
      <c r="E503" s="6"/>
      <c r="F503" s="6"/>
      <c r="G503" s="16"/>
      <c r="H503" s="16"/>
      <c r="I503" s="17"/>
      <c r="J503" s="17"/>
      <c r="K503" s="17"/>
      <c r="L503" s="6"/>
      <c r="M503" s="6"/>
      <c r="N503" s="16"/>
      <c r="O503" s="6"/>
      <c r="P503" s="16"/>
      <c r="Q503" s="6"/>
      <c r="R503" s="6"/>
      <c r="S503" s="6"/>
    </row>
    <row r="504">
      <c r="A504" s="22"/>
      <c r="B504" s="6"/>
      <c r="C504" s="6"/>
      <c r="D504" s="6"/>
      <c r="E504" s="6"/>
      <c r="F504" s="6"/>
      <c r="G504" s="16"/>
      <c r="H504" s="16"/>
      <c r="I504" s="17"/>
      <c r="J504" s="17"/>
      <c r="K504" s="17"/>
      <c r="L504" s="6"/>
      <c r="M504" s="6"/>
      <c r="N504" s="16"/>
      <c r="O504" s="6"/>
      <c r="P504" s="16"/>
      <c r="Q504" s="6"/>
      <c r="R504" s="6"/>
      <c r="S504" s="6"/>
    </row>
    <row r="505">
      <c r="A505" s="22"/>
      <c r="B505" s="6"/>
      <c r="C505" s="6"/>
      <c r="D505" s="6"/>
      <c r="E505" s="6"/>
      <c r="F505" s="6"/>
      <c r="G505" s="16"/>
      <c r="H505" s="16"/>
      <c r="I505" s="17"/>
      <c r="J505" s="17"/>
      <c r="K505" s="17"/>
      <c r="L505" s="6"/>
      <c r="M505" s="6"/>
      <c r="N505" s="16"/>
      <c r="O505" s="6"/>
      <c r="P505" s="16"/>
      <c r="Q505" s="6"/>
      <c r="R505" s="6"/>
      <c r="S505" s="6"/>
    </row>
    <row r="506">
      <c r="A506" s="22"/>
      <c r="B506" s="6"/>
      <c r="C506" s="6"/>
      <c r="D506" s="6"/>
      <c r="E506" s="6"/>
      <c r="F506" s="6"/>
      <c r="G506" s="16"/>
      <c r="H506" s="16"/>
      <c r="I506" s="17"/>
      <c r="J506" s="17"/>
      <c r="K506" s="17"/>
      <c r="L506" s="6"/>
      <c r="M506" s="6"/>
      <c r="N506" s="16"/>
      <c r="O506" s="6"/>
      <c r="P506" s="16"/>
      <c r="Q506" s="6"/>
      <c r="R506" s="6"/>
      <c r="S506" s="6"/>
    </row>
    <row r="507">
      <c r="A507" s="22"/>
      <c r="B507" s="6"/>
      <c r="C507" s="6"/>
      <c r="D507" s="6"/>
      <c r="E507" s="6"/>
      <c r="F507" s="6"/>
      <c r="G507" s="16"/>
      <c r="H507" s="16"/>
      <c r="I507" s="17"/>
      <c r="J507" s="17"/>
      <c r="K507" s="17"/>
      <c r="L507" s="6"/>
      <c r="M507" s="6"/>
      <c r="N507" s="16"/>
      <c r="O507" s="6"/>
      <c r="P507" s="16"/>
      <c r="Q507" s="6"/>
      <c r="R507" s="6"/>
      <c r="S507" s="6"/>
    </row>
    <row r="508">
      <c r="A508" s="22"/>
      <c r="B508" s="6"/>
      <c r="C508" s="6"/>
      <c r="D508" s="6"/>
      <c r="E508" s="6"/>
      <c r="F508" s="6"/>
      <c r="G508" s="16"/>
      <c r="H508" s="16"/>
      <c r="I508" s="17"/>
      <c r="J508" s="17"/>
      <c r="K508" s="17"/>
      <c r="L508" s="6"/>
      <c r="M508" s="6"/>
      <c r="N508" s="16"/>
      <c r="O508" s="6"/>
      <c r="P508" s="16"/>
      <c r="Q508" s="6"/>
      <c r="R508" s="6"/>
      <c r="S508" s="6"/>
    </row>
    <row r="509">
      <c r="A509" s="22"/>
      <c r="B509" s="6"/>
      <c r="C509" s="6"/>
      <c r="D509" s="6"/>
      <c r="E509" s="6"/>
      <c r="F509" s="6"/>
      <c r="G509" s="16"/>
      <c r="H509" s="16"/>
      <c r="I509" s="17"/>
      <c r="J509" s="17"/>
      <c r="K509" s="17"/>
      <c r="L509" s="6"/>
      <c r="M509" s="6"/>
      <c r="N509" s="16"/>
      <c r="O509" s="6"/>
      <c r="P509" s="16"/>
      <c r="Q509" s="6"/>
      <c r="R509" s="6"/>
      <c r="S509" s="6"/>
    </row>
    <row r="510">
      <c r="A510" s="22"/>
      <c r="B510" s="6"/>
      <c r="C510" s="6"/>
      <c r="D510" s="6"/>
      <c r="E510" s="6"/>
      <c r="F510" s="6"/>
      <c r="G510" s="16"/>
      <c r="H510" s="16"/>
      <c r="I510" s="17"/>
      <c r="J510" s="17"/>
      <c r="K510" s="17"/>
      <c r="L510" s="6"/>
      <c r="M510" s="6"/>
      <c r="N510" s="16"/>
      <c r="O510" s="6"/>
      <c r="P510" s="16"/>
      <c r="Q510" s="6"/>
      <c r="R510" s="6"/>
      <c r="S510" s="6"/>
    </row>
    <row r="511">
      <c r="A511" s="22"/>
      <c r="B511" s="6"/>
      <c r="C511" s="6"/>
      <c r="D511" s="6"/>
      <c r="E511" s="6"/>
      <c r="F511" s="6"/>
      <c r="G511" s="16"/>
      <c r="H511" s="16"/>
      <c r="I511" s="17"/>
      <c r="J511" s="17"/>
      <c r="K511" s="17"/>
      <c r="L511" s="6"/>
      <c r="M511" s="6"/>
      <c r="N511" s="16"/>
      <c r="O511" s="6"/>
      <c r="P511" s="16"/>
      <c r="Q511" s="6"/>
      <c r="R511" s="6"/>
      <c r="S511" s="6"/>
    </row>
    <row r="512">
      <c r="A512" s="22"/>
      <c r="B512" s="6"/>
      <c r="C512" s="6"/>
      <c r="D512" s="6"/>
      <c r="E512" s="6"/>
      <c r="F512" s="6"/>
      <c r="G512" s="16"/>
      <c r="H512" s="16"/>
      <c r="I512" s="17"/>
      <c r="J512" s="17"/>
      <c r="K512" s="17"/>
      <c r="L512" s="6"/>
      <c r="M512" s="6"/>
      <c r="N512" s="16"/>
      <c r="O512" s="6"/>
      <c r="P512" s="16"/>
      <c r="Q512" s="6"/>
      <c r="R512" s="6"/>
      <c r="S512" s="6"/>
    </row>
    <row r="513">
      <c r="A513" s="22"/>
      <c r="B513" s="6"/>
      <c r="C513" s="6"/>
      <c r="D513" s="6"/>
      <c r="E513" s="6"/>
      <c r="F513" s="6"/>
      <c r="G513" s="16"/>
      <c r="H513" s="16"/>
      <c r="I513" s="17"/>
      <c r="J513" s="17"/>
      <c r="K513" s="17"/>
      <c r="L513" s="6"/>
      <c r="M513" s="6"/>
      <c r="N513" s="16"/>
      <c r="O513" s="6"/>
      <c r="P513" s="16"/>
      <c r="Q513" s="6"/>
      <c r="R513" s="6"/>
      <c r="S513" s="6"/>
    </row>
    <row r="514">
      <c r="A514" s="22"/>
      <c r="B514" s="6"/>
      <c r="C514" s="6"/>
      <c r="D514" s="6"/>
      <c r="E514" s="6"/>
      <c r="F514" s="6"/>
      <c r="G514" s="16"/>
      <c r="H514" s="16"/>
      <c r="I514" s="17"/>
      <c r="J514" s="17"/>
      <c r="K514" s="17"/>
      <c r="L514" s="6"/>
      <c r="M514" s="6"/>
      <c r="N514" s="16"/>
      <c r="O514" s="6"/>
      <c r="P514" s="16"/>
      <c r="Q514" s="6"/>
      <c r="R514" s="6"/>
      <c r="S514" s="6"/>
    </row>
    <row r="515">
      <c r="A515" s="22"/>
      <c r="B515" s="6"/>
      <c r="C515" s="6"/>
      <c r="D515" s="6"/>
      <c r="E515" s="6"/>
      <c r="F515" s="6"/>
      <c r="G515" s="16"/>
      <c r="H515" s="16"/>
      <c r="I515" s="17"/>
      <c r="J515" s="17"/>
      <c r="K515" s="17"/>
      <c r="L515" s="6"/>
      <c r="M515" s="6"/>
      <c r="N515" s="16"/>
      <c r="O515" s="6"/>
      <c r="P515" s="16"/>
      <c r="Q515" s="6"/>
      <c r="R515" s="6"/>
      <c r="S515" s="6"/>
    </row>
    <row r="516">
      <c r="A516" s="22"/>
      <c r="B516" s="6"/>
      <c r="C516" s="6"/>
      <c r="D516" s="6"/>
      <c r="E516" s="6"/>
      <c r="F516" s="6"/>
      <c r="G516" s="16"/>
      <c r="H516" s="16"/>
      <c r="I516" s="17"/>
      <c r="J516" s="17"/>
      <c r="K516" s="17"/>
      <c r="L516" s="6"/>
      <c r="M516" s="6"/>
      <c r="N516" s="16"/>
      <c r="O516" s="6"/>
      <c r="P516" s="16"/>
      <c r="Q516" s="6"/>
      <c r="R516" s="6"/>
      <c r="S516" s="6"/>
    </row>
    <row r="517">
      <c r="A517" s="22"/>
      <c r="B517" s="6"/>
      <c r="C517" s="6"/>
      <c r="D517" s="6"/>
      <c r="E517" s="6"/>
      <c r="F517" s="6"/>
      <c r="G517" s="16"/>
      <c r="H517" s="16"/>
      <c r="I517" s="17"/>
      <c r="J517" s="17"/>
      <c r="K517" s="17"/>
      <c r="L517" s="6"/>
      <c r="M517" s="6"/>
      <c r="N517" s="16"/>
      <c r="O517" s="6"/>
      <c r="P517" s="16"/>
      <c r="Q517" s="6"/>
      <c r="R517" s="6"/>
      <c r="S517" s="6"/>
    </row>
    <row r="518">
      <c r="A518" s="22"/>
      <c r="B518" s="6"/>
      <c r="C518" s="6"/>
      <c r="D518" s="6"/>
      <c r="E518" s="6"/>
      <c r="F518" s="6"/>
      <c r="G518" s="16"/>
      <c r="H518" s="16"/>
      <c r="I518" s="17"/>
      <c r="J518" s="17"/>
      <c r="K518" s="17"/>
      <c r="L518" s="6"/>
      <c r="M518" s="6"/>
      <c r="N518" s="16"/>
      <c r="O518" s="6"/>
      <c r="P518" s="16"/>
      <c r="Q518" s="6"/>
      <c r="R518" s="6"/>
      <c r="S518" s="6"/>
    </row>
    <row r="519">
      <c r="A519" s="22"/>
      <c r="B519" s="6"/>
      <c r="C519" s="6"/>
      <c r="D519" s="6"/>
      <c r="E519" s="6"/>
      <c r="F519" s="6"/>
      <c r="G519" s="16"/>
      <c r="H519" s="16"/>
      <c r="I519" s="17"/>
      <c r="J519" s="17"/>
      <c r="K519" s="17"/>
      <c r="L519" s="6"/>
      <c r="M519" s="6"/>
      <c r="N519" s="16"/>
      <c r="O519" s="6"/>
      <c r="P519" s="16"/>
      <c r="Q519" s="6"/>
      <c r="R519" s="6"/>
      <c r="S519" s="6"/>
    </row>
    <row r="520">
      <c r="A520" s="22"/>
      <c r="B520" s="6"/>
      <c r="C520" s="6"/>
      <c r="D520" s="6"/>
      <c r="E520" s="6"/>
      <c r="F520" s="6"/>
      <c r="G520" s="16"/>
      <c r="H520" s="16"/>
      <c r="I520" s="17"/>
      <c r="J520" s="17"/>
      <c r="K520" s="17"/>
      <c r="L520" s="6"/>
      <c r="M520" s="6"/>
      <c r="N520" s="16"/>
      <c r="O520" s="6"/>
      <c r="P520" s="16"/>
      <c r="Q520" s="6"/>
      <c r="R520" s="6"/>
      <c r="S520" s="6"/>
    </row>
    <row r="521">
      <c r="A521" s="22"/>
      <c r="B521" s="6"/>
      <c r="C521" s="6"/>
      <c r="D521" s="6"/>
      <c r="E521" s="6"/>
      <c r="F521" s="6"/>
      <c r="G521" s="16"/>
      <c r="H521" s="16"/>
      <c r="I521" s="17"/>
      <c r="J521" s="17"/>
      <c r="K521" s="17"/>
      <c r="L521" s="6"/>
      <c r="M521" s="6"/>
      <c r="N521" s="16"/>
      <c r="O521" s="6"/>
      <c r="P521" s="16"/>
      <c r="Q521" s="6"/>
      <c r="R521" s="6"/>
      <c r="S521" s="6"/>
    </row>
    <row r="522">
      <c r="A522" s="22"/>
      <c r="B522" s="6"/>
      <c r="C522" s="6"/>
      <c r="D522" s="6"/>
      <c r="E522" s="6"/>
      <c r="F522" s="6"/>
      <c r="G522" s="16"/>
      <c r="H522" s="16"/>
      <c r="I522" s="17"/>
      <c r="J522" s="17"/>
      <c r="K522" s="17"/>
      <c r="L522" s="6"/>
      <c r="M522" s="6"/>
      <c r="N522" s="16"/>
      <c r="O522" s="6"/>
      <c r="P522" s="16"/>
      <c r="Q522" s="6"/>
      <c r="R522" s="6"/>
      <c r="S522" s="6"/>
    </row>
    <row r="523">
      <c r="A523" s="22"/>
      <c r="B523" s="6"/>
      <c r="C523" s="6"/>
      <c r="D523" s="6"/>
      <c r="E523" s="6"/>
      <c r="F523" s="6"/>
      <c r="G523" s="16"/>
      <c r="H523" s="16"/>
      <c r="I523" s="17"/>
      <c r="J523" s="17"/>
      <c r="K523" s="17"/>
      <c r="L523" s="6"/>
      <c r="M523" s="6"/>
      <c r="N523" s="16"/>
      <c r="O523" s="6"/>
      <c r="P523" s="16"/>
      <c r="Q523" s="6"/>
      <c r="R523" s="6"/>
      <c r="S523" s="6"/>
    </row>
    <row r="524">
      <c r="A524" s="22"/>
      <c r="B524" s="6"/>
      <c r="C524" s="6"/>
      <c r="D524" s="6"/>
      <c r="E524" s="6"/>
      <c r="F524" s="6"/>
      <c r="G524" s="16"/>
      <c r="H524" s="16"/>
      <c r="I524" s="17"/>
      <c r="J524" s="17"/>
      <c r="K524" s="17"/>
      <c r="L524" s="6"/>
      <c r="M524" s="6"/>
      <c r="N524" s="16"/>
      <c r="O524" s="6"/>
      <c r="P524" s="16"/>
      <c r="Q524" s="6"/>
      <c r="R524" s="6"/>
      <c r="S524" s="6"/>
    </row>
    <row r="525">
      <c r="A525" s="22"/>
      <c r="B525" s="6"/>
      <c r="C525" s="6"/>
      <c r="D525" s="6"/>
      <c r="E525" s="6"/>
      <c r="F525" s="6"/>
      <c r="G525" s="16"/>
      <c r="H525" s="16"/>
      <c r="I525" s="17"/>
      <c r="J525" s="17"/>
      <c r="K525" s="17"/>
      <c r="L525" s="6"/>
      <c r="M525" s="6"/>
      <c r="N525" s="16"/>
      <c r="O525" s="6"/>
      <c r="P525" s="16"/>
      <c r="Q525" s="6"/>
      <c r="R525" s="6"/>
      <c r="S525" s="6"/>
    </row>
    <row r="526">
      <c r="A526" s="22"/>
      <c r="B526" s="6"/>
      <c r="C526" s="6"/>
      <c r="D526" s="6"/>
      <c r="E526" s="6"/>
      <c r="F526" s="6"/>
      <c r="G526" s="16"/>
      <c r="H526" s="16"/>
      <c r="I526" s="17"/>
      <c r="J526" s="17"/>
      <c r="K526" s="17"/>
      <c r="L526" s="6"/>
      <c r="M526" s="6"/>
      <c r="N526" s="16"/>
      <c r="O526" s="6"/>
      <c r="P526" s="16"/>
      <c r="Q526" s="6"/>
      <c r="R526" s="6"/>
      <c r="S526" s="6"/>
    </row>
    <row r="527">
      <c r="A527" s="22"/>
      <c r="B527" s="6"/>
      <c r="C527" s="6"/>
      <c r="D527" s="6"/>
      <c r="E527" s="6"/>
      <c r="F527" s="6"/>
      <c r="G527" s="16"/>
      <c r="H527" s="16"/>
      <c r="I527" s="17"/>
      <c r="J527" s="17"/>
      <c r="K527" s="17"/>
      <c r="L527" s="6"/>
      <c r="M527" s="6"/>
      <c r="N527" s="16"/>
      <c r="O527" s="6"/>
      <c r="P527" s="16"/>
      <c r="Q527" s="6"/>
      <c r="R527" s="6"/>
      <c r="S527" s="6"/>
    </row>
    <row r="528">
      <c r="A528" s="22"/>
      <c r="B528" s="6"/>
      <c r="C528" s="6"/>
      <c r="D528" s="6"/>
      <c r="E528" s="6"/>
      <c r="F528" s="6"/>
      <c r="G528" s="16"/>
      <c r="H528" s="16"/>
      <c r="I528" s="17"/>
      <c r="J528" s="17"/>
      <c r="K528" s="17"/>
      <c r="L528" s="6"/>
      <c r="M528" s="6"/>
      <c r="N528" s="16"/>
      <c r="O528" s="6"/>
      <c r="P528" s="16"/>
      <c r="Q528" s="6"/>
      <c r="R528" s="6"/>
      <c r="S528" s="6"/>
    </row>
    <row r="529">
      <c r="A529" s="22"/>
      <c r="B529" s="6"/>
      <c r="C529" s="6"/>
      <c r="D529" s="6"/>
      <c r="E529" s="6"/>
      <c r="F529" s="6"/>
      <c r="G529" s="16"/>
      <c r="H529" s="16"/>
      <c r="I529" s="17"/>
      <c r="J529" s="17"/>
      <c r="K529" s="17"/>
      <c r="L529" s="6"/>
      <c r="M529" s="6"/>
      <c r="N529" s="16"/>
      <c r="O529" s="6"/>
      <c r="P529" s="16"/>
      <c r="Q529" s="6"/>
      <c r="R529" s="6"/>
      <c r="S529" s="6"/>
    </row>
    <row r="530">
      <c r="A530" s="22"/>
      <c r="B530" s="6"/>
      <c r="C530" s="6"/>
      <c r="D530" s="6"/>
      <c r="E530" s="6"/>
      <c r="F530" s="6"/>
      <c r="G530" s="16"/>
      <c r="H530" s="16"/>
      <c r="I530" s="17"/>
      <c r="J530" s="17"/>
      <c r="K530" s="17"/>
      <c r="L530" s="6"/>
      <c r="M530" s="6"/>
      <c r="N530" s="16"/>
      <c r="O530" s="6"/>
      <c r="P530" s="16"/>
      <c r="Q530" s="6"/>
      <c r="R530" s="6"/>
      <c r="S530" s="6"/>
    </row>
    <row r="531">
      <c r="A531" s="22"/>
      <c r="B531" s="6"/>
      <c r="C531" s="6"/>
      <c r="D531" s="6"/>
      <c r="E531" s="6"/>
      <c r="F531" s="6"/>
      <c r="G531" s="16"/>
      <c r="H531" s="16"/>
      <c r="I531" s="17"/>
      <c r="J531" s="17"/>
      <c r="K531" s="17"/>
      <c r="L531" s="6"/>
      <c r="M531" s="6"/>
      <c r="N531" s="16"/>
      <c r="O531" s="6"/>
      <c r="P531" s="16"/>
      <c r="Q531" s="6"/>
      <c r="R531" s="6"/>
      <c r="S531" s="6"/>
    </row>
    <row r="532">
      <c r="A532" s="22"/>
      <c r="B532" s="6"/>
      <c r="C532" s="6"/>
      <c r="D532" s="6"/>
      <c r="E532" s="6"/>
      <c r="F532" s="6"/>
      <c r="G532" s="16"/>
      <c r="H532" s="16"/>
      <c r="I532" s="17"/>
      <c r="J532" s="17"/>
      <c r="K532" s="17"/>
      <c r="L532" s="6"/>
      <c r="M532" s="6"/>
      <c r="N532" s="16"/>
      <c r="O532" s="6"/>
      <c r="P532" s="16"/>
      <c r="Q532" s="6"/>
      <c r="R532" s="6"/>
      <c r="S532" s="6"/>
    </row>
    <row r="533">
      <c r="A533" s="22"/>
      <c r="B533" s="6"/>
      <c r="C533" s="6"/>
      <c r="D533" s="6"/>
      <c r="E533" s="6"/>
      <c r="F533" s="6"/>
      <c r="G533" s="16"/>
      <c r="H533" s="16"/>
      <c r="I533" s="17"/>
      <c r="J533" s="17"/>
      <c r="K533" s="17"/>
      <c r="L533" s="6"/>
      <c r="M533" s="6"/>
      <c r="N533" s="16"/>
      <c r="O533" s="6"/>
      <c r="P533" s="16"/>
      <c r="Q533" s="6"/>
      <c r="R533" s="6"/>
      <c r="S533" s="6"/>
    </row>
    <row r="534">
      <c r="A534" s="22"/>
      <c r="B534" s="6"/>
      <c r="C534" s="6"/>
      <c r="D534" s="6"/>
      <c r="E534" s="6"/>
      <c r="F534" s="6"/>
      <c r="G534" s="16"/>
      <c r="H534" s="16"/>
      <c r="I534" s="17"/>
      <c r="J534" s="17"/>
      <c r="K534" s="17"/>
      <c r="L534" s="6"/>
      <c r="M534" s="6"/>
      <c r="N534" s="16"/>
      <c r="O534" s="6"/>
      <c r="P534" s="16"/>
      <c r="Q534" s="6"/>
      <c r="R534" s="6"/>
      <c r="S534" s="6"/>
    </row>
    <row r="535">
      <c r="A535" s="22"/>
      <c r="B535" s="6"/>
      <c r="C535" s="6"/>
      <c r="D535" s="6"/>
      <c r="E535" s="6"/>
      <c r="F535" s="6"/>
      <c r="G535" s="16"/>
      <c r="H535" s="16"/>
      <c r="I535" s="17"/>
      <c r="J535" s="17"/>
      <c r="K535" s="17"/>
      <c r="L535" s="6"/>
      <c r="M535" s="6"/>
      <c r="N535" s="16"/>
      <c r="O535" s="6"/>
      <c r="P535" s="16"/>
      <c r="Q535" s="6"/>
      <c r="R535" s="6"/>
      <c r="S535" s="6"/>
    </row>
    <row r="536">
      <c r="A536" s="22"/>
      <c r="B536" s="6"/>
      <c r="C536" s="6"/>
      <c r="D536" s="6"/>
      <c r="E536" s="6"/>
      <c r="F536" s="6"/>
      <c r="G536" s="16"/>
      <c r="H536" s="16"/>
      <c r="I536" s="17"/>
      <c r="J536" s="17"/>
      <c r="K536" s="17"/>
      <c r="L536" s="6"/>
      <c r="M536" s="6"/>
      <c r="N536" s="16"/>
      <c r="O536" s="6"/>
      <c r="P536" s="16"/>
      <c r="Q536" s="6"/>
      <c r="R536" s="6"/>
      <c r="S536" s="6"/>
    </row>
    <row r="537">
      <c r="A537" s="22"/>
      <c r="B537" s="6"/>
      <c r="C537" s="6"/>
      <c r="D537" s="6"/>
      <c r="E537" s="6"/>
      <c r="F537" s="6"/>
      <c r="G537" s="16"/>
      <c r="H537" s="16"/>
      <c r="I537" s="17"/>
      <c r="J537" s="17"/>
      <c r="K537" s="17"/>
      <c r="L537" s="6"/>
      <c r="M537" s="6"/>
      <c r="N537" s="16"/>
      <c r="O537" s="6"/>
      <c r="P537" s="16"/>
      <c r="Q537" s="6"/>
      <c r="R537" s="6"/>
      <c r="S537" s="6"/>
    </row>
    <row r="538">
      <c r="A538" s="22"/>
      <c r="B538" s="6"/>
      <c r="C538" s="6"/>
      <c r="D538" s="6"/>
      <c r="E538" s="6"/>
      <c r="F538" s="6"/>
      <c r="G538" s="16"/>
      <c r="H538" s="16"/>
      <c r="I538" s="17"/>
      <c r="J538" s="17"/>
      <c r="K538" s="17"/>
      <c r="L538" s="6"/>
      <c r="M538" s="6"/>
      <c r="N538" s="16"/>
      <c r="O538" s="6"/>
      <c r="P538" s="16"/>
      <c r="Q538" s="6"/>
      <c r="R538" s="6"/>
      <c r="S538" s="6"/>
    </row>
    <row r="539">
      <c r="A539" s="22"/>
      <c r="B539" s="6"/>
      <c r="C539" s="6"/>
      <c r="D539" s="6"/>
      <c r="E539" s="6"/>
      <c r="F539" s="6"/>
      <c r="G539" s="16"/>
      <c r="H539" s="16"/>
      <c r="I539" s="17"/>
      <c r="J539" s="17"/>
      <c r="K539" s="17"/>
      <c r="L539" s="6"/>
      <c r="M539" s="6"/>
      <c r="N539" s="16"/>
      <c r="O539" s="6"/>
      <c r="P539" s="16"/>
      <c r="Q539" s="6"/>
      <c r="R539" s="6"/>
      <c r="S539" s="6"/>
    </row>
    <row r="540">
      <c r="A540" s="22"/>
      <c r="B540" s="6"/>
      <c r="C540" s="6"/>
      <c r="D540" s="6"/>
      <c r="E540" s="6"/>
      <c r="F540" s="6"/>
      <c r="G540" s="16"/>
      <c r="H540" s="16"/>
      <c r="I540" s="17"/>
      <c r="J540" s="17"/>
      <c r="K540" s="17"/>
      <c r="L540" s="6"/>
      <c r="M540" s="6"/>
      <c r="N540" s="16"/>
      <c r="O540" s="6"/>
      <c r="P540" s="16"/>
      <c r="Q540" s="6"/>
      <c r="R540" s="6"/>
      <c r="S540" s="6"/>
    </row>
    <row r="541">
      <c r="A541" s="22"/>
      <c r="B541" s="6"/>
      <c r="C541" s="6"/>
      <c r="D541" s="6"/>
      <c r="E541" s="6"/>
      <c r="F541" s="6"/>
      <c r="G541" s="16"/>
      <c r="H541" s="16"/>
      <c r="I541" s="17"/>
      <c r="J541" s="17"/>
      <c r="K541" s="17"/>
      <c r="L541" s="6"/>
      <c r="M541" s="6"/>
      <c r="N541" s="16"/>
      <c r="O541" s="6"/>
      <c r="P541" s="16"/>
      <c r="Q541" s="6"/>
      <c r="R541" s="6"/>
      <c r="S541" s="6"/>
    </row>
    <row r="542">
      <c r="A542" s="22"/>
      <c r="B542" s="6"/>
      <c r="C542" s="6"/>
      <c r="D542" s="6"/>
      <c r="E542" s="6"/>
      <c r="F542" s="6"/>
      <c r="G542" s="16"/>
      <c r="H542" s="16"/>
      <c r="I542" s="17"/>
      <c r="J542" s="17"/>
      <c r="K542" s="17"/>
      <c r="L542" s="6"/>
      <c r="M542" s="6"/>
      <c r="N542" s="16"/>
      <c r="O542" s="6"/>
      <c r="P542" s="16"/>
      <c r="Q542" s="6"/>
      <c r="R542" s="6"/>
      <c r="S542" s="6"/>
    </row>
    <row r="543">
      <c r="A543" s="22"/>
      <c r="B543" s="6"/>
      <c r="C543" s="6"/>
      <c r="D543" s="6"/>
      <c r="E543" s="6"/>
      <c r="F543" s="6"/>
      <c r="G543" s="16"/>
      <c r="H543" s="16"/>
      <c r="I543" s="17"/>
      <c r="J543" s="17"/>
      <c r="K543" s="17"/>
      <c r="L543" s="6"/>
      <c r="M543" s="6"/>
      <c r="N543" s="16"/>
      <c r="O543" s="6"/>
      <c r="P543" s="16"/>
      <c r="Q543" s="6"/>
      <c r="R543" s="6"/>
      <c r="S543" s="6"/>
    </row>
    <row r="544">
      <c r="A544" s="22"/>
      <c r="B544" s="6"/>
      <c r="C544" s="6"/>
      <c r="D544" s="6"/>
      <c r="E544" s="6"/>
      <c r="F544" s="6"/>
      <c r="G544" s="16"/>
      <c r="H544" s="16"/>
      <c r="I544" s="17"/>
      <c r="J544" s="17"/>
      <c r="K544" s="17"/>
      <c r="L544" s="6"/>
      <c r="M544" s="6"/>
      <c r="N544" s="16"/>
      <c r="O544" s="6"/>
      <c r="P544" s="16"/>
      <c r="Q544" s="6"/>
      <c r="R544" s="6"/>
      <c r="S544" s="6"/>
    </row>
    <row r="545">
      <c r="A545" s="22"/>
      <c r="B545" s="6"/>
      <c r="C545" s="6"/>
      <c r="D545" s="6"/>
      <c r="E545" s="6"/>
      <c r="F545" s="6"/>
      <c r="G545" s="16"/>
      <c r="H545" s="16"/>
      <c r="I545" s="17"/>
      <c r="J545" s="17"/>
      <c r="K545" s="17"/>
      <c r="L545" s="6"/>
      <c r="M545" s="6"/>
      <c r="N545" s="16"/>
      <c r="O545" s="6"/>
      <c r="P545" s="16"/>
      <c r="Q545" s="6"/>
      <c r="R545" s="6"/>
      <c r="S545" s="6"/>
    </row>
    <row r="546">
      <c r="A546" s="22"/>
      <c r="B546" s="6"/>
      <c r="C546" s="6"/>
      <c r="D546" s="6"/>
      <c r="E546" s="6"/>
      <c r="F546" s="6"/>
      <c r="G546" s="16"/>
      <c r="H546" s="16"/>
      <c r="I546" s="17"/>
      <c r="J546" s="17"/>
      <c r="K546" s="17"/>
      <c r="L546" s="6"/>
      <c r="M546" s="6"/>
      <c r="N546" s="16"/>
      <c r="O546" s="6"/>
      <c r="P546" s="16"/>
      <c r="Q546" s="6"/>
      <c r="R546" s="6"/>
      <c r="S546" s="6"/>
    </row>
    <row r="547">
      <c r="A547" s="22"/>
      <c r="B547" s="6"/>
      <c r="C547" s="6"/>
      <c r="D547" s="6"/>
      <c r="E547" s="6"/>
      <c r="F547" s="6"/>
      <c r="G547" s="16"/>
      <c r="H547" s="16"/>
      <c r="I547" s="17"/>
      <c r="J547" s="17"/>
      <c r="K547" s="17"/>
      <c r="L547" s="6"/>
      <c r="M547" s="6"/>
      <c r="N547" s="16"/>
      <c r="O547" s="6"/>
      <c r="P547" s="16"/>
      <c r="Q547" s="6"/>
      <c r="R547" s="6"/>
      <c r="S547" s="6"/>
    </row>
    <row r="548">
      <c r="A548" s="22"/>
      <c r="B548" s="6"/>
      <c r="C548" s="6"/>
      <c r="D548" s="6"/>
      <c r="E548" s="6"/>
      <c r="F548" s="6"/>
      <c r="G548" s="16"/>
      <c r="H548" s="16"/>
      <c r="I548" s="17"/>
      <c r="J548" s="17"/>
      <c r="K548" s="17"/>
      <c r="L548" s="6"/>
      <c r="M548" s="6"/>
      <c r="N548" s="16"/>
      <c r="O548" s="6"/>
      <c r="P548" s="16"/>
      <c r="Q548" s="6"/>
      <c r="R548" s="6"/>
      <c r="S548" s="6"/>
    </row>
    <row r="549">
      <c r="A549" s="22"/>
      <c r="B549" s="6"/>
      <c r="C549" s="6"/>
      <c r="D549" s="6"/>
      <c r="E549" s="6"/>
      <c r="F549" s="6"/>
      <c r="G549" s="16"/>
      <c r="H549" s="16"/>
      <c r="I549" s="17"/>
      <c r="J549" s="17"/>
      <c r="K549" s="17"/>
      <c r="L549" s="6"/>
      <c r="M549" s="6"/>
      <c r="N549" s="16"/>
      <c r="O549" s="6"/>
      <c r="P549" s="16"/>
      <c r="Q549" s="6"/>
      <c r="R549" s="6"/>
      <c r="S549" s="6"/>
    </row>
    <row r="550">
      <c r="A550" s="22"/>
      <c r="B550" s="6"/>
      <c r="C550" s="6"/>
      <c r="D550" s="6"/>
      <c r="E550" s="6"/>
      <c r="F550" s="6"/>
      <c r="G550" s="16"/>
      <c r="H550" s="16"/>
      <c r="I550" s="17"/>
      <c r="J550" s="17"/>
      <c r="K550" s="17"/>
      <c r="L550" s="6"/>
      <c r="M550" s="6"/>
      <c r="N550" s="16"/>
      <c r="O550" s="6"/>
      <c r="P550" s="16"/>
      <c r="Q550" s="6"/>
      <c r="R550" s="6"/>
      <c r="S550" s="6"/>
    </row>
    <row r="551">
      <c r="A551" s="22"/>
      <c r="B551" s="6"/>
      <c r="C551" s="6"/>
      <c r="D551" s="6"/>
      <c r="E551" s="6"/>
      <c r="F551" s="6"/>
      <c r="G551" s="16"/>
      <c r="H551" s="16"/>
      <c r="I551" s="17"/>
      <c r="J551" s="17"/>
      <c r="K551" s="17"/>
      <c r="L551" s="6"/>
      <c r="M551" s="6"/>
      <c r="N551" s="16"/>
      <c r="O551" s="6"/>
      <c r="P551" s="16"/>
      <c r="Q551" s="6"/>
      <c r="R551" s="6"/>
      <c r="S551" s="6"/>
    </row>
    <row r="552">
      <c r="A552" s="22"/>
      <c r="B552" s="6"/>
      <c r="C552" s="6"/>
      <c r="D552" s="6"/>
      <c r="E552" s="6"/>
      <c r="F552" s="6"/>
      <c r="G552" s="16"/>
      <c r="H552" s="16"/>
      <c r="I552" s="17"/>
      <c r="J552" s="17"/>
      <c r="K552" s="17"/>
      <c r="L552" s="6"/>
      <c r="M552" s="6"/>
      <c r="N552" s="16"/>
      <c r="O552" s="6"/>
      <c r="P552" s="16"/>
      <c r="Q552" s="6"/>
      <c r="R552" s="6"/>
      <c r="S552" s="6"/>
    </row>
    <row r="553">
      <c r="A553" s="22"/>
      <c r="B553" s="6"/>
      <c r="C553" s="6"/>
      <c r="D553" s="6"/>
      <c r="E553" s="6"/>
      <c r="F553" s="6"/>
      <c r="G553" s="16"/>
      <c r="H553" s="16"/>
      <c r="I553" s="17"/>
      <c r="J553" s="17"/>
      <c r="K553" s="17"/>
      <c r="L553" s="6"/>
      <c r="M553" s="6"/>
      <c r="N553" s="16"/>
      <c r="O553" s="6"/>
      <c r="P553" s="16"/>
      <c r="Q553" s="6"/>
      <c r="R553" s="6"/>
      <c r="S553" s="6"/>
    </row>
    <row r="554">
      <c r="A554" s="22"/>
      <c r="B554" s="6"/>
      <c r="C554" s="6"/>
      <c r="D554" s="6"/>
      <c r="E554" s="6"/>
      <c r="F554" s="6"/>
      <c r="G554" s="16"/>
      <c r="H554" s="16"/>
      <c r="I554" s="17"/>
      <c r="J554" s="17"/>
      <c r="K554" s="17"/>
      <c r="L554" s="6"/>
      <c r="M554" s="6"/>
      <c r="N554" s="16"/>
      <c r="O554" s="6"/>
      <c r="P554" s="16"/>
      <c r="Q554" s="6"/>
      <c r="R554" s="6"/>
      <c r="S554" s="6"/>
    </row>
    <row r="555">
      <c r="A555" s="22"/>
      <c r="B555" s="6"/>
      <c r="C555" s="6"/>
      <c r="D555" s="6"/>
      <c r="E555" s="6"/>
      <c r="F555" s="6"/>
      <c r="G555" s="16"/>
      <c r="H555" s="16"/>
      <c r="I555" s="17"/>
      <c r="J555" s="17"/>
      <c r="K555" s="17"/>
      <c r="L555" s="6"/>
      <c r="M555" s="6"/>
      <c r="N555" s="16"/>
      <c r="O555" s="6"/>
      <c r="P555" s="16"/>
      <c r="Q555" s="6"/>
      <c r="R555" s="6"/>
      <c r="S555" s="6"/>
    </row>
    <row r="556">
      <c r="A556" s="22"/>
      <c r="B556" s="6"/>
      <c r="C556" s="6"/>
      <c r="D556" s="6"/>
      <c r="E556" s="6"/>
      <c r="F556" s="6"/>
      <c r="G556" s="16"/>
      <c r="H556" s="16"/>
      <c r="I556" s="17"/>
      <c r="J556" s="17"/>
      <c r="K556" s="17"/>
      <c r="L556" s="6"/>
      <c r="M556" s="6"/>
      <c r="N556" s="16"/>
      <c r="O556" s="6"/>
      <c r="P556" s="16"/>
      <c r="Q556" s="6"/>
      <c r="R556" s="6"/>
      <c r="S556" s="6"/>
    </row>
    <row r="557">
      <c r="A557" s="22"/>
      <c r="B557" s="6"/>
      <c r="C557" s="6"/>
      <c r="D557" s="6"/>
      <c r="E557" s="6"/>
      <c r="F557" s="6"/>
      <c r="G557" s="16"/>
      <c r="H557" s="16"/>
      <c r="I557" s="17"/>
      <c r="J557" s="17"/>
      <c r="K557" s="17"/>
      <c r="L557" s="6"/>
      <c r="M557" s="6"/>
      <c r="N557" s="16"/>
      <c r="O557" s="6"/>
      <c r="P557" s="16"/>
      <c r="Q557" s="6"/>
      <c r="R557" s="6"/>
      <c r="S557" s="6"/>
    </row>
    <row r="558">
      <c r="A558" s="22"/>
      <c r="B558" s="6"/>
      <c r="C558" s="6"/>
      <c r="D558" s="6"/>
      <c r="E558" s="6"/>
      <c r="F558" s="6"/>
      <c r="G558" s="16"/>
      <c r="H558" s="16"/>
      <c r="I558" s="17"/>
      <c r="J558" s="17"/>
      <c r="K558" s="17"/>
      <c r="L558" s="6"/>
      <c r="M558" s="6"/>
      <c r="N558" s="16"/>
      <c r="O558" s="6"/>
      <c r="P558" s="16"/>
      <c r="Q558" s="6"/>
      <c r="R558" s="6"/>
      <c r="S558" s="6"/>
    </row>
    <row r="559">
      <c r="A559" s="22"/>
      <c r="B559" s="6"/>
      <c r="C559" s="6"/>
      <c r="D559" s="6"/>
      <c r="E559" s="6"/>
      <c r="F559" s="6"/>
      <c r="G559" s="16"/>
      <c r="H559" s="16"/>
      <c r="I559" s="17"/>
      <c r="J559" s="17"/>
      <c r="K559" s="17"/>
      <c r="L559" s="6"/>
      <c r="M559" s="6"/>
      <c r="N559" s="16"/>
      <c r="O559" s="6"/>
      <c r="P559" s="16"/>
      <c r="Q559" s="6"/>
      <c r="R559" s="6"/>
      <c r="S559" s="6"/>
    </row>
    <row r="560">
      <c r="A560" s="22"/>
      <c r="B560" s="6"/>
      <c r="C560" s="6"/>
      <c r="D560" s="6"/>
      <c r="E560" s="6"/>
      <c r="F560" s="6"/>
      <c r="G560" s="16"/>
      <c r="H560" s="16"/>
      <c r="I560" s="17"/>
      <c r="J560" s="17"/>
      <c r="K560" s="17"/>
      <c r="L560" s="6"/>
      <c r="M560" s="6"/>
      <c r="N560" s="16"/>
      <c r="O560" s="6"/>
      <c r="P560" s="16"/>
      <c r="Q560" s="6"/>
      <c r="R560" s="6"/>
      <c r="S560" s="6"/>
    </row>
    <row r="561">
      <c r="A561" s="22"/>
      <c r="B561" s="6"/>
      <c r="C561" s="6"/>
      <c r="D561" s="6"/>
      <c r="E561" s="6"/>
      <c r="F561" s="6"/>
      <c r="G561" s="16"/>
      <c r="H561" s="16"/>
      <c r="I561" s="17"/>
      <c r="J561" s="17"/>
      <c r="K561" s="17"/>
      <c r="L561" s="6"/>
      <c r="M561" s="6"/>
      <c r="N561" s="16"/>
      <c r="O561" s="6"/>
      <c r="P561" s="16"/>
      <c r="Q561" s="6"/>
      <c r="R561" s="6"/>
      <c r="S561" s="6"/>
    </row>
    <row r="562">
      <c r="A562" s="22"/>
      <c r="B562" s="6"/>
      <c r="C562" s="6"/>
      <c r="D562" s="6"/>
      <c r="E562" s="6"/>
      <c r="F562" s="6"/>
      <c r="G562" s="16"/>
      <c r="H562" s="16"/>
      <c r="I562" s="17"/>
      <c r="J562" s="17"/>
      <c r="K562" s="17"/>
      <c r="L562" s="6"/>
      <c r="M562" s="6"/>
      <c r="N562" s="16"/>
      <c r="O562" s="6"/>
      <c r="P562" s="16"/>
      <c r="Q562" s="6"/>
      <c r="R562" s="6"/>
      <c r="S562" s="6"/>
    </row>
    <row r="563">
      <c r="A563" s="22"/>
      <c r="B563" s="6"/>
      <c r="C563" s="6"/>
      <c r="D563" s="6"/>
      <c r="E563" s="6"/>
      <c r="F563" s="6"/>
      <c r="G563" s="16"/>
      <c r="H563" s="16"/>
      <c r="I563" s="17"/>
      <c r="J563" s="17"/>
      <c r="K563" s="17"/>
      <c r="L563" s="6"/>
      <c r="M563" s="6"/>
      <c r="N563" s="16"/>
      <c r="O563" s="6"/>
      <c r="P563" s="16"/>
      <c r="Q563" s="6"/>
      <c r="R563" s="6"/>
      <c r="S563" s="6"/>
    </row>
    <row r="564">
      <c r="A564" s="22"/>
      <c r="B564" s="6"/>
      <c r="C564" s="6"/>
      <c r="D564" s="6"/>
      <c r="E564" s="6"/>
      <c r="F564" s="6"/>
      <c r="G564" s="16"/>
      <c r="H564" s="16"/>
      <c r="I564" s="17"/>
      <c r="J564" s="17"/>
      <c r="K564" s="17"/>
      <c r="L564" s="6"/>
      <c r="M564" s="6"/>
      <c r="N564" s="16"/>
      <c r="O564" s="6"/>
      <c r="P564" s="16"/>
      <c r="Q564" s="6"/>
      <c r="R564" s="6"/>
      <c r="S564" s="6"/>
    </row>
    <row r="565">
      <c r="A565" s="22"/>
      <c r="B565" s="6"/>
      <c r="C565" s="6"/>
      <c r="D565" s="6"/>
      <c r="E565" s="6"/>
      <c r="F565" s="6"/>
      <c r="G565" s="16"/>
      <c r="H565" s="16"/>
      <c r="I565" s="17"/>
      <c r="J565" s="17"/>
      <c r="K565" s="17"/>
      <c r="L565" s="6"/>
      <c r="M565" s="6"/>
      <c r="N565" s="16"/>
      <c r="O565" s="6"/>
      <c r="P565" s="16"/>
      <c r="Q565" s="6"/>
      <c r="R565" s="6"/>
      <c r="S565" s="6"/>
    </row>
    <row r="566">
      <c r="A566" s="22"/>
      <c r="B566" s="6"/>
      <c r="C566" s="6"/>
      <c r="D566" s="6"/>
      <c r="E566" s="6"/>
      <c r="F566" s="6"/>
      <c r="G566" s="16"/>
      <c r="H566" s="16"/>
      <c r="I566" s="17"/>
      <c r="J566" s="17"/>
      <c r="K566" s="17"/>
      <c r="L566" s="6"/>
      <c r="M566" s="6"/>
      <c r="N566" s="16"/>
      <c r="O566" s="6"/>
      <c r="P566" s="16"/>
      <c r="Q566" s="6"/>
      <c r="R566" s="6"/>
      <c r="S566" s="6"/>
    </row>
    <row r="567">
      <c r="A567" s="22"/>
      <c r="B567" s="6"/>
      <c r="C567" s="6"/>
      <c r="D567" s="6"/>
      <c r="E567" s="6"/>
      <c r="F567" s="6"/>
      <c r="G567" s="16"/>
      <c r="H567" s="16"/>
      <c r="I567" s="17"/>
      <c r="J567" s="17"/>
      <c r="K567" s="17"/>
      <c r="L567" s="6"/>
      <c r="M567" s="6"/>
      <c r="N567" s="16"/>
      <c r="O567" s="6"/>
      <c r="P567" s="16"/>
      <c r="Q567" s="6"/>
      <c r="R567" s="6"/>
      <c r="S567" s="6"/>
    </row>
    <row r="568">
      <c r="A568" s="22"/>
      <c r="B568" s="6"/>
      <c r="C568" s="6"/>
      <c r="D568" s="6"/>
      <c r="E568" s="6"/>
      <c r="F568" s="6"/>
      <c r="G568" s="16"/>
      <c r="H568" s="16"/>
      <c r="I568" s="17"/>
      <c r="J568" s="17"/>
      <c r="K568" s="17"/>
      <c r="L568" s="6"/>
      <c r="M568" s="6"/>
      <c r="N568" s="16"/>
      <c r="O568" s="6"/>
      <c r="P568" s="16"/>
      <c r="Q568" s="6"/>
      <c r="R568" s="6"/>
      <c r="S568" s="6"/>
    </row>
    <row r="569">
      <c r="A569" s="22"/>
      <c r="B569" s="6"/>
      <c r="C569" s="6"/>
      <c r="D569" s="6"/>
      <c r="E569" s="6"/>
      <c r="F569" s="6"/>
      <c r="G569" s="16"/>
      <c r="H569" s="16"/>
      <c r="I569" s="17"/>
      <c r="J569" s="17"/>
      <c r="K569" s="17"/>
      <c r="L569" s="6"/>
      <c r="M569" s="6"/>
      <c r="N569" s="16"/>
      <c r="O569" s="6"/>
      <c r="P569" s="16"/>
      <c r="Q569" s="6"/>
      <c r="R569" s="6"/>
      <c r="S569" s="6"/>
    </row>
    <row r="570">
      <c r="A570" s="22"/>
      <c r="B570" s="6"/>
      <c r="C570" s="6"/>
      <c r="D570" s="6"/>
      <c r="E570" s="6"/>
      <c r="F570" s="6"/>
      <c r="G570" s="16"/>
      <c r="H570" s="16"/>
      <c r="I570" s="17"/>
      <c r="J570" s="17"/>
      <c r="K570" s="17"/>
      <c r="L570" s="6"/>
      <c r="M570" s="6"/>
      <c r="N570" s="16"/>
      <c r="O570" s="6"/>
      <c r="P570" s="16"/>
      <c r="Q570" s="6"/>
      <c r="R570" s="6"/>
      <c r="S570" s="6"/>
    </row>
    <row r="571">
      <c r="A571" s="22"/>
      <c r="B571" s="6"/>
      <c r="C571" s="6"/>
      <c r="D571" s="6"/>
      <c r="E571" s="6"/>
      <c r="F571" s="6"/>
      <c r="G571" s="16"/>
      <c r="H571" s="16"/>
      <c r="I571" s="17"/>
      <c r="J571" s="17"/>
      <c r="K571" s="17"/>
      <c r="L571" s="6"/>
      <c r="M571" s="6"/>
      <c r="N571" s="16"/>
      <c r="O571" s="6"/>
      <c r="P571" s="16"/>
      <c r="Q571" s="6"/>
      <c r="R571" s="6"/>
      <c r="S571" s="6"/>
    </row>
    <row r="572">
      <c r="A572" s="22"/>
      <c r="B572" s="6"/>
      <c r="C572" s="6"/>
      <c r="D572" s="6"/>
      <c r="E572" s="6"/>
      <c r="F572" s="6"/>
      <c r="G572" s="16"/>
      <c r="H572" s="16"/>
      <c r="I572" s="17"/>
      <c r="J572" s="17"/>
      <c r="K572" s="17"/>
      <c r="L572" s="6"/>
      <c r="M572" s="6"/>
      <c r="N572" s="16"/>
      <c r="O572" s="6"/>
      <c r="P572" s="16"/>
      <c r="Q572" s="6"/>
      <c r="R572" s="6"/>
      <c r="S572" s="6"/>
    </row>
    <row r="573">
      <c r="A573" s="22"/>
      <c r="B573" s="6"/>
      <c r="C573" s="6"/>
      <c r="D573" s="6"/>
      <c r="E573" s="6"/>
      <c r="F573" s="6"/>
      <c r="G573" s="16"/>
      <c r="H573" s="16"/>
      <c r="I573" s="17"/>
      <c r="J573" s="17"/>
      <c r="K573" s="17"/>
      <c r="L573" s="6"/>
      <c r="M573" s="6"/>
      <c r="N573" s="16"/>
      <c r="O573" s="6"/>
      <c r="P573" s="16"/>
      <c r="Q573" s="6"/>
      <c r="R573" s="6"/>
      <c r="S573" s="6"/>
    </row>
    <row r="574">
      <c r="A574" s="22"/>
      <c r="B574" s="6"/>
      <c r="C574" s="6"/>
      <c r="D574" s="6"/>
      <c r="E574" s="6"/>
      <c r="F574" s="6"/>
      <c r="G574" s="16"/>
      <c r="H574" s="16"/>
      <c r="I574" s="17"/>
      <c r="J574" s="17"/>
      <c r="K574" s="17"/>
      <c r="L574" s="6"/>
      <c r="M574" s="6"/>
      <c r="N574" s="16"/>
      <c r="O574" s="6"/>
      <c r="P574" s="16"/>
      <c r="Q574" s="6"/>
      <c r="R574" s="6"/>
      <c r="S574" s="6"/>
    </row>
    <row r="575">
      <c r="A575" s="22"/>
      <c r="B575" s="6"/>
      <c r="C575" s="6"/>
      <c r="D575" s="6"/>
      <c r="E575" s="6"/>
      <c r="F575" s="6"/>
      <c r="G575" s="16"/>
      <c r="H575" s="16"/>
      <c r="I575" s="17"/>
      <c r="J575" s="17"/>
      <c r="K575" s="17"/>
      <c r="L575" s="6"/>
      <c r="M575" s="6"/>
      <c r="N575" s="16"/>
      <c r="O575" s="6"/>
      <c r="P575" s="16"/>
      <c r="Q575" s="6"/>
      <c r="R575" s="6"/>
      <c r="S575" s="6"/>
    </row>
    <row r="576">
      <c r="A576" s="22"/>
      <c r="B576" s="6"/>
      <c r="C576" s="6"/>
      <c r="D576" s="6"/>
      <c r="E576" s="6"/>
      <c r="F576" s="6"/>
      <c r="G576" s="16"/>
      <c r="H576" s="16"/>
      <c r="I576" s="17"/>
      <c r="J576" s="17"/>
      <c r="K576" s="17"/>
      <c r="L576" s="6"/>
      <c r="M576" s="6"/>
      <c r="N576" s="16"/>
      <c r="O576" s="6"/>
      <c r="P576" s="16"/>
      <c r="Q576" s="6"/>
      <c r="R576" s="6"/>
      <c r="S576" s="6"/>
    </row>
    <row r="577">
      <c r="A577" s="22"/>
      <c r="B577" s="6"/>
      <c r="C577" s="6"/>
      <c r="D577" s="6"/>
      <c r="E577" s="6"/>
      <c r="F577" s="6"/>
      <c r="G577" s="16"/>
      <c r="H577" s="16"/>
      <c r="I577" s="17"/>
      <c r="J577" s="17"/>
      <c r="K577" s="17"/>
      <c r="L577" s="6"/>
      <c r="M577" s="6"/>
      <c r="N577" s="16"/>
      <c r="O577" s="6"/>
      <c r="P577" s="16"/>
      <c r="Q577" s="6"/>
      <c r="R577" s="6"/>
      <c r="S577" s="6"/>
    </row>
    <row r="578">
      <c r="A578" s="22"/>
      <c r="B578" s="6"/>
      <c r="C578" s="6"/>
      <c r="D578" s="6"/>
      <c r="E578" s="6"/>
      <c r="F578" s="6"/>
      <c r="G578" s="16"/>
      <c r="H578" s="16"/>
      <c r="I578" s="17"/>
      <c r="J578" s="17"/>
      <c r="K578" s="17"/>
      <c r="L578" s="6"/>
      <c r="M578" s="6"/>
      <c r="N578" s="16"/>
      <c r="O578" s="6"/>
      <c r="P578" s="16"/>
      <c r="Q578" s="6"/>
      <c r="R578" s="6"/>
      <c r="S578" s="6"/>
    </row>
    <row r="579">
      <c r="A579" s="22"/>
      <c r="B579" s="6"/>
      <c r="C579" s="6"/>
      <c r="D579" s="6"/>
      <c r="E579" s="6"/>
      <c r="F579" s="6"/>
      <c r="G579" s="16"/>
      <c r="H579" s="16"/>
      <c r="I579" s="17"/>
      <c r="J579" s="17"/>
      <c r="K579" s="17"/>
      <c r="L579" s="6"/>
      <c r="M579" s="6"/>
      <c r="N579" s="16"/>
      <c r="O579" s="6"/>
      <c r="P579" s="16"/>
      <c r="Q579" s="6"/>
      <c r="R579" s="6"/>
      <c r="S579" s="6"/>
    </row>
    <row r="580">
      <c r="A580" s="22"/>
      <c r="B580" s="6"/>
      <c r="C580" s="6"/>
      <c r="D580" s="6"/>
      <c r="E580" s="6"/>
      <c r="F580" s="6"/>
      <c r="G580" s="16"/>
      <c r="H580" s="16"/>
      <c r="I580" s="17"/>
      <c r="J580" s="17"/>
      <c r="K580" s="17"/>
      <c r="L580" s="6"/>
      <c r="M580" s="6"/>
      <c r="N580" s="16"/>
      <c r="O580" s="6"/>
      <c r="P580" s="16"/>
      <c r="Q580" s="6"/>
      <c r="R580" s="6"/>
      <c r="S580" s="6"/>
    </row>
    <row r="581">
      <c r="A581" s="22"/>
      <c r="B581" s="6"/>
      <c r="C581" s="6"/>
      <c r="D581" s="6"/>
      <c r="E581" s="6"/>
      <c r="F581" s="6"/>
      <c r="G581" s="16"/>
      <c r="H581" s="16"/>
      <c r="I581" s="17"/>
      <c r="J581" s="17"/>
      <c r="K581" s="17"/>
      <c r="L581" s="6"/>
      <c r="M581" s="6"/>
      <c r="N581" s="16"/>
      <c r="O581" s="6"/>
      <c r="P581" s="16"/>
      <c r="Q581" s="6"/>
      <c r="R581" s="6"/>
      <c r="S581" s="6"/>
    </row>
    <row r="582">
      <c r="A582" s="22"/>
      <c r="B582" s="6"/>
      <c r="C582" s="6"/>
      <c r="D582" s="6"/>
      <c r="E582" s="6"/>
      <c r="F582" s="6"/>
      <c r="G582" s="16"/>
      <c r="H582" s="16"/>
      <c r="I582" s="17"/>
      <c r="J582" s="17"/>
      <c r="K582" s="17"/>
      <c r="L582" s="6"/>
      <c r="M582" s="6"/>
      <c r="N582" s="16"/>
      <c r="O582" s="6"/>
      <c r="P582" s="16"/>
      <c r="Q582" s="6"/>
      <c r="R582" s="6"/>
      <c r="S582" s="6"/>
    </row>
    <row r="583">
      <c r="A583" s="22"/>
      <c r="B583" s="6"/>
      <c r="C583" s="6"/>
      <c r="D583" s="6"/>
      <c r="E583" s="6"/>
      <c r="F583" s="6"/>
      <c r="G583" s="16"/>
      <c r="H583" s="16"/>
      <c r="I583" s="17"/>
      <c r="J583" s="17"/>
      <c r="K583" s="17"/>
      <c r="L583" s="6"/>
      <c r="M583" s="6"/>
      <c r="N583" s="16"/>
      <c r="O583" s="6"/>
      <c r="P583" s="16"/>
      <c r="Q583" s="6"/>
      <c r="R583" s="6"/>
      <c r="S583" s="6"/>
    </row>
    <row r="584">
      <c r="A584" s="22"/>
      <c r="B584" s="6"/>
      <c r="C584" s="6"/>
      <c r="D584" s="6"/>
      <c r="E584" s="6"/>
      <c r="F584" s="6"/>
      <c r="G584" s="16"/>
      <c r="H584" s="16"/>
      <c r="I584" s="17"/>
      <c r="J584" s="17"/>
      <c r="K584" s="17"/>
      <c r="L584" s="6"/>
      <c r="M584" s="6"/>
      <c r="N584" s="16"/>
      <c r="O584" s="6"/>
      <c r="P584" s="16"/>
      <c r="Q584" s="6"/>
      <c r="R584" s="6"/>
      <c r="S584" s="6"/>
    </row>
    <row r="585">
      <c r="A585" s="22"/>
      <c r="B585" s="6"/>
      <c r="C585" s="6"/>
      <c r="D585" s="6"/>
      <c r="E585" s="6"/>
      <c r="F585" s="6"/>
      <c r="G585" s="16"/>
      <c r="H585" s="16"/>
      <c r="I585" s="17"/>
      <c r="J585" s="17"/>
      <c r="K585" s="17"/>
      <c r="L585" s="6"/>
      <c r="M585" s="6"/>
      <c r="N585" s="16"/>
      <c r="O585" s="6"/>
      <c r="P585" s="16"/>
      <c r="Q585" s="6"/>
      <c r="R585" s="6"/>
      <c r="S585" s="6"/>
    </row>
    <row r="586">
      <c r="A586" s="22"/>
      <c r="B586" s="6"/>
      <c r="C586" s="6"/>
      <c r="D586" s="6"/>
      <c r="E586" s="6"/>
      <c r="F586" s="6"/>
      <c r="G586" s="16"/>
      <c r="H586" s="16"/>
      <c r="I586" s="17"/>
      <c r="J586" s="17"/>
      <c r="K586" s="17"/>
      <c r="L586" s="6"/>
      <c r="M586" s="6"/>
      <c r="N586" s="16"/>
      <c r="O586" s="6"/>
      <c r="P586" s="16"/>
      <c r="Q586" s="6"/>
      <c r="R586" s="6"/>
      <c r="S586" s="6"/>
    </row>
    <row r="587">
      <c r="A587" s="22"/>
      <c r="B587" s="6"/>
      <c r="C587" s="6"/>
      <c r="D587" s="6"/>
      <c r="E587" s="6"/>
      <c r="F587" s="6"/>
      <c r="G587" s="16"/>
      <c r="H587" s="16"/>
      <c r="I587" s="17"/>
      <c r="J587" s="17"/>
      <c r="K587" s="17"/>
      <c r="L587" s="6"/>
      <c r="M587" s="6"/>
      <c r="N587" s="16"/>
      <c r="O587" s="6"/>
      <c r="P587" s="16"/>
      <c r="Q587" s="6"/>
      <c r="R587" s="6"/>
      <c r="S587" s="6"/>
    </row>
    <row r="588">
      <c r="A588" s="22"/>
      <c r="B588" s="6"/>
      <c r="C588" s="6"/>
      <c r="D588" s="6"/>
      <c r="E588" s="6"/>
      <c r="F588" s="6"/>
      <c r="G588" s="16"/>
      <c r="H588" s="16"/>
      <c r="I588" s="17"/>
      <c r="J588" s="17"/>
      <c r="K588" s="17"/>
      <c r="L588" s="6"/>
      <c r="M588" s="6"/>
      <c r="N588" s="16"/>
      <c r="O588" s="6"/>
      <c r="P588" s="16"/>
      <c r="Q588" s="6"/>
      <c r="R588" s="6"/>
      <c r="S588" s="6"/>
    </row>
    <row r="589">
      <c r="A589" s="22"/>
      <c r="B589" s="6"/>
      <c r="C589" s="6"/>
      <c r="D589" s="6"/>
      <c r="E589" s="6"/>
      <c r="F589" s="6"/>
      <c r="G589" s="16"/>
      <c r="H589" s="16"/>
      <c r="I589" s="17"/>
      <c r="J589" s="17"/>
      <c r="K589" s="17"/>
      <c r="L589" s="6"/>
      <c r="M589" s="6"/>
      <c r="N589" s="16"/>
      <c r="O589" s="6"/>
      <c r="P589" s="16"/>
      <c r="Q589" s="6"/>
      <c r="R589" s="6"/>
      <c r="S589" s="6"/>
    </row>
    <row r="590">
      <c r="A590" s="22"/>
      <c r="B590" s="6"/>
      <c r="C590" s="6"/>
      <c r="D590" s="6"/>
      <c r="E590" s="6"/>
      <c r="F590" s="6"/>
      <c r="G590" s="16"/>
      <c r="H590" s="16"/>
      <c r="I590" s="17"/>
      <c r="J590" s="17"/>
      <c r="K590" s="17"/>
      <c r="L590" s="6"/>
      <c r="M590" s="6"/>
      <c r="N590" s="16"/>
      <c r="O590" s="6"/>
      <c r="P590" s="16"/>
      <c r="Q590" s="6"/>
      <c r="R590" s="6"/>
      <c r="S590" s="6"/>
    </row>
    <row r="591">
      <c r="A591" s="22"/>
      <c r="B591" s="6"/>
      <c r="C591" s="6"/>
      <c r="D591" s="6"/>
      <c r="E591" s="6"/>
      <c r="F591" s="6"/>
      <c r="G591" s="16"/>
      <c r="H591" s="16"/>
      <c r="I591" s="17"/>
      <c r="J591" s="17"/>
      <c r="K591" s="17"/>
      <c r="L591" s="6"/>
      <c r="M591" s="6"/>
      <c r="N591" s="16"/>
      <c r="O591" s="6"/>
      <c r="P591" s="16"/>
      <c r="Q591" s="6"/>
      <c r="R591" s="6"/>
      <c r="S591" s="6"/>
    </row>
    <row r="592">
      <c r="A592" s="22"/>
      <c r="B592" s="6"/>
      <c r="C592" s="6"/>
      <c r="D592" s="6"/>
      <c r="E592" s="6"/>
      <c r="F592" s="6"/>
      <c r="G592" s="16"/>
      <c r="H592" s="16"/>
      <c r="I592" s="17"/>
      <c r="J592" s="17"/>
      <c r="K592" s="17"/>
      <c r="L592" s="6"/>
      <c r="M592" s="6"/>
      <c r="N592" s="16"/>
      <c r="O592" s="6"/>
      <c r="P592" s="16"/>
      <c r="Q592" s="6"/>
      <c r="R592" s="6"/>
      <c r="S592" s="6"/>
    </row>
    <row r="593">
      <c r="A593" s="22"/>
      <c r="B593" s="6"/>
      <c r="C593" s="6"/>
      <c r="D593" s="6"/>
      <c r="E593" s="6"/>
      <c r="F593" s="6"/>
      <c r="G593" s="16"/>
      <c r="H593" s="16"/>
      <c r="I593" s="17"/>
      <c r="J593" s="17"/>
      <c r="K593" s="17"/>
      <c r="L593" s="6"/>
      <c r="M593" s="6"/>
      <c r="N593" s="16"/>
      <c r="O593" s="6"/>
      <c r="P593" s="16"/>
      <c r="Q593" s="6"/>
      <c r="R593" s="6"/>
      <c r="S593" s="6"/>
    </row>
    <row r="594">
      <c r="A594" s="22"/>
      <c r="B594" s="6"/>
      <c r="C594" s="6"/>
      <c r="D594" s="6"/>
      <c r="E594" s="6"/>
      <c r="F594" s="6"/>
      <c r="G594" s="16"/>
      <c r="H594" s="16"/>
      <c r="I594" s="17"/>
      <c r="J594" s="17"/>
      <c r="K594" s="17"/>
      <c r="L594" s="6"/>
      <c r="M594" s="6"/>
      <c r="N594" s="16"/>
      <c r="O594" s="6"/>
      <c r="P594" s="16"/>
      <c r="Q594" s="6"/>
      <c r="R594" s="6"/>
      <c r="S594" s="6"/>
    </row>
    <row r="595">
      <c r="A595" s="22"/>
      <c r="B595" s="6"/>
      <c r="C595" s="6"/>
      <c r="D595" s="6"/>
      <c r="E595" s="6"/>
      <c r="F595" s="6"/>
      <c r="G595" s="16"/>
      <c r="H595" s="16"/>
      <c r="I595" s="17"/>
      <c r="J595" s="17"/>
      <c r="K595" s="17"/>
      <c r="L595" s="6"/>
      <c r="M595" s="6"/>
      <c r="N595" s="16"/>
      <c r="O595" s="6"/>
      <c r="P595" s="16"/>
      <c r="Q595" s="6"/>
      <c r="R595" s="6"/>
      <c r="S595" s="6"/>
    </row>
    <row r="596">
      <c r="A596" s="22"/>
      <c r="B596" s="6"/>
      <c r="C596" s="6"/>
      <c r="D596" s="6"/>
      <c r="E596" s="6"/>
      <c r="F596" s="6"/>
      <c r="G596" s="16"/>
      <c r="H596" s="16"/>
      <c r="I596" s="17"/>
      <c r="J596" s="17"/>
      <c r="K596" s="17"/>
      <c r="L596" s="6"/>
      <c r="M596" s="6"/>
      <c r="N596" s="16"/>
      <c r="O596" s="6"/>
      <c r="P596" s="16"/>
      <c r="Q596" s="6"/>
      <c r="R596" s="6"/>
      <c r="S596" s="6"/>
    </row>
    <row r="597">
      <c r="A597" s="22"/>
      <c r="B597" s="6"/>
      <c r="C597" s="6"/>
      <c r="D597" s="6"/>
      <c r="E597" s="6"/>
      <c r="F597" s="6"/>
      <c r="G597" s="16"/>
      <c r="H597" s="16"/>
      <c r="I597" s="17"/>
      <c r="J597" s="17"/>
      <c r="K597" s="17"/>
      <c r="L597" s="6"/>
      <c r="M597" s="6"/>
      <c r="N597" s="16"/>
      <c r="O597" s="6"/>
      <c r="P597" s="16"/>
      <c r="Q597" s="6"/>
      <c r="R597" s="6"/>
      <c r="S597" s="6"/>
    </row>
    <row r="598">
      <c r="A598" s="22"/>
      <c r="B598" s="6"/>
      <c r="C598" s="6"/>
      <c r="D598" s="6"/>
      <c r="E598" s="6"/>
      <c r="F598" s="6"/>
      <c r="G598" s="16"/>
      <c r="H598" s="16"/>
      <c r="I598" s="17"/>
      <c r="J598" s="17"/>
      <c r="K598" s="17"/>
      <c r="L598" s="6"/>
      <c r="M598" s="6"/>
      <c r="N598" s="16"/>
      <c r="O598" s="6"/>
      <c r="P598" s="16"/>
      <c r="Q598" s="6"/>
      <c r="R598" s="6"/>
      <c r="S598" s="6"/>
    </row>
    <row r="599">
      <c r="A599" s="22"/>
      <c r="B599" s="6"/>
      <c r="C599" s="6"/>
      <c r="D599" s="6"/>
      <c r="E599" s="6"/>
      <c r="F599" s="6"/>
      <c r="G599" s="16"/>
      <c r="H599" s="16"/>
      <c r="I599" s="17"/>
      <c r="J599" s="17"/>
      <c r="K599" s="17"/>
      <c r="L599" s="6"/>
      <c r="M599" s="6"/>
      <c r="N599" s="16"/>
      <c r="O599" s="6"/>
      <c r="P599" s="16"/>
      <c r="Q599" s="6"/>
      <c r="R599" s="6"/>
      <c r="S599" s="6"/>
    </row>
    <row r="600">
      <c r="A600" s="22"/>
      <c r="B600" s="6"/>
      <c r="C600" s="6"/>
      <c r="D600" s="6"/>
      <c r="E600" s="6"/>
      <c r="F600" s="6"/>
      <c r="G600" s="16"/>
      <c r="H600" s="16"/>
      <c r="I600" s="17"/>
      <c r="J600" s="17"/>
      <c r="K600" s="17"/>
      <c r="L600" s="6"/>
      <c r="M600" s="6"/>
      <c r="N600" s="16"/>
      <c r="O600" s="6"/>
      <c r="P600" s="16"/>
      <c r="Q600" s="6"/>
      <c r="R600" s="6"/>
      <c r="S600" s="6"/>
    </row>
    <row r="601">
      <c r="A601" s="22"/>
      <c r="B601" s="6"/>
      <c r="C601" s="6"/>
      <c r="D601" s="6"/>
      <c r="E601" s="6"/>
      <c r="F601" s="6"/>
      <c r="G601" s="16"/>
      <c r="H601" s="16"/>
      <c r="I601" s="17"/>
      <c r="J601" s="17"/>
      <c r="K601" s="17"/>
      <c r="L601" s="6"/>
      <c r="M601" s="6"/>
      <c r="N601" s="16"/>
      <c r="O601" s="6"/>
      <c r="P601" s="16"/>
      <c r="Q601" s="6"/>
      <c r="R601" s="6"/>
      <c r="S601" s="6"/>
    </row>
    <row r="602">
      <c r="A602" s="22"/>
      <c r="B602" s="6"/>
      <c r="C602" s="6"/>
      <c r="D602" s="6"/>
      <c r="E602" s="6"/>
      <c r="F602" s="6"/>
      <c r="G602" s="16"/>
      <c r="H602" s="16"/>
      <c r="I602" s="17"/>
      <c r="J602" s="17"/>
      <c r="K602" s="17"/>
      <c r="L602" s="6"/>
      <c r="M602" s="6"/>
      <c r="N602" s="16"/>
      <c r="O602" s="6"/>
      <c r="P602" s="16"/>
      <c r="Q602" s="6"/>
      <c r="R602" s="6"/>
      <c r="S602" s="6"/>
    </row>
    <row r="603">
      <c r="A603" s="22"/>
      <c r="B603" s="6"/>
      <c r="C603" s="6"/>
      <c r="D603" s="6"/>
      <c r="E603" s="6"/>
      <c r="F603" s="6"/>
      <c r="G603" s="16"/>
      <c r="H603" s="16"/>
      <c r="I603" s="17"/>
      <c r="J603" s="17"/>
      <c r="K603" s="17"/>
      <c r="L603" s="6"/>
      <c r="M603" s="6"/>
      <c r="N603" s="16"/>
      <c r="O603" s="6"/>
      <c r="P603" s="16"/>
      <c r="Q603" s="6"/>
      <c r="R603" s="6"/>
      <c r="S603" s="6"/>
    </row>
    <row r="604">
      <c r="A604" s="22"/>
      <c r="B604" s="6"/>
      <c r="C604" s="6"/>
      <c r="D604" s="6"/>
      <c r="E604" s="6"/>
      <c r="F604" s="6"/>
      <c r="G604" s="16"/>
      <c r="H604" s="16"/>
      <c r="I604" s="17"/>
      <c r="J604" s="17"/>
      <c r="K604" s="17"/>
      <c r="L604" s="6"/>
      <c r="M604" s="6"/>
      <c r="N604" s="16"/>
      <c r="O604" s="6"/>
      <c r="P604" s="16"/>
      <c r="Q604" s="6"/>
      <c r="R604" s="6"/>
      <c r="S604" s="6"/>
    </row>
    <row r="605">
      <c r="A605" s="22"/>
      <c r="B605" s="6"/>
      <c r="C605" s="6"/>
      <c r="D605" s="6"/>
      <c r="E605" s="6"/>
      <c r="F605" s="6"/>
      <c r="G605" s="16"/>
      <c r="H605" s="16"/>
      <c r="I605" s="17"/>
      <c r="J605" s="17"/>
      <c r="K605" s="17"/>
      <c r="L605" s="6"/>
      <c r="M605" s="6"/>
      <c r="N605" s="16"/>
      <c r="O605" s="6"/>
      <c r="P605" s="16"/>
      <c r="Q605" s="6"/>
      <c r="R605" s="6"/>
      <c r="S605" s="6"/>
    </row>
    <row r="606">
      <c r="A606" s="22"/>
      <c r="B606" s="6"/>
      <c r="C606" s="6"/>
      <c r="D606" s="6"/>
      <c r="E606" s="6"/>
      <c r="F606" s="6"/>
      <c r="G606" s="16"/>
      <c r="H606" s="16"/>
      <c r="I606" s="17"/>
      <c r="J606" s="17"/>
      <c r="K606" s="17"/>
      <c r="L606" s="6"/>
      <c r="M606" s="6"/>
      <c r="N606" s="16"/>
      <c r="O606" s="6"/>
      <c r="P606" s="16"/>
      <c r="Q606" s="6"/>
      <c r="R606" s="6"/>
      <c r="S606" s="6"/>
    </row>
    <row r="607">
      <c r="A607" s="22"/>
      <c r="B607" s="6"/>
      <c r="C607" s="6"/>
      <c r="D607" s="6"/>
      <c r="E607" s="6"/>
      <c r="F607" s="6"/>
      <c r="G607" s="16"/>
      <c r="H607" s="16"/>
      <c r="I607" s="17"/>
      <c r="J607" s="17"/>
      <c r="K607" s="17"/>
      <c r="L607" s="6"/>
      <c r="M607" s="6"/>
      <c r="N607" s="16"/>
      <c r="O607" s="6"/>
      <c r="P607" s="16"/>
      <c r="Q607" s="6"/>
      <c r="R607" s="6"/>
      <c r="S607" s="6"/>
    </row>
    <row r="608">
      <c r="A608" s="22"/>
      <c r="B608" s="6"/>
      <c r="C608" s="6"/>
      <c r="D608" s="6"/>
      <c r="E608" s="6"/>
      <c r="F608" s="6"/>
      <c r="G608" s="16"/>
      <c r="H608" s="16"/>
      <c r="I608" s="17"/>
      <c r="J608" s="17"/>
      <c r="K608" s="17"/>
      <c r="L608" s="6"/>
      <c r="M608" s="6"/>
      <c r="N608" s="16"/>
      <c r="O608" s="6"/>
      <c r="P608" s="16"/>
      <c r="Q608" s="6"/>
      <c r="R608" s="6"/>
      <c r="S608" s="6"/>
    </row>
    <row r="609">
      <c r="A609" s="22"/>
      <c r="B609" s="6"/>
      <c r="C609" s="6"/>
      <c r="D609" s="6"/>
      <c r="E609" s="6"/>
      <c r="F609" s="6"/>
      <c r="G609" s="16"/>
      <c r="H609" s="16"/>
      <c r="I609" s="17"/>
      <c r="J609" s="17"/>
      <c r="K609" s="17"/>
      <c r="L609" s="6"/>
      <c r="M609" s="6"/>
      <c r="N609" s="16"/>
      <c r="O609" s="6"/>
      <c r="P609" s="16"/>
      <c r="Q609" s="6"/>
      <c r="R609" s="6"/>
      <c r="S609" s="6"/>
    </row>
    <row r="610">
      <c r="A610" s="22"/>
      <c r="B610" s="6"/>
      <c r="C610" s="6"/>
      <c r="D610" s="6"/>
      <c r="E610" s="6"/>
      <c r="F610" s="6"/>
      <c r="G610" s="16"/>
      <c r="H610" s="16"/>
      <c r="I610" s="17"/>
      <c r="J610" s="17"/>
      <c r="K610" s="17"/>
      <c r="L610" s="6"/>
      <c r="M610" s="6"/>
      <c r="N610" s="16"/>
      <c r="O610" s="6"/>
      <c r="P610" s="16"/>
      <c r="Q610" s="6"/>
      <c r="R610" s="6"/>
      <c r="S610" s="6"/>
    </row>
    <row r="611">
      <c r="A611" s="22"/>
      <c r="B611" s="6"/>
      <c r="C611" s="6"/>
      <c r="D611" s="6"/>
      <c r="E611" s="6"/>
      <c r="F611" s="6"/>
      <c r="G611" s="16"/>
      <c r="H611" s="16"/>
      <c r="I611" s="17"/>
      <c r="J611" s="17"/>
      <c r="K611" s="17"/>
      <c r="L611" s="6"/>
      <c r="M611" s="6"/>
      <c r="N611" s="16"/>
      <c r="O611" s="6"/>
      <c r="P611" s="16"/>
      <c r="Q611" s="6"/>
      <c r="R611" s="6"/>
      <c r="S611" s="6"/>
    </row>
    <row r="612">
      <c r="A612" s="22"/>
      <c r="B612" s="6"/>
      <c r="C612" s="6"/>
      <c r="D612" s="6"/>
      <c r="E612" s="6"/>
      <c r="F612" s="6"/>
      <c r="G612" s="16"/>
      <c r="H612" s="16"/>
      <c r="I612" s="17"/>
      <c r="J612" s="17"/>
      <c r="K612" s="17"/>
      <c r="L612" s="6"/>
      <c r="M612" s="6"/>
      <c r="N612" s="16"/>
      <c r="O612" s="6"/>
      <c r="P612" s="16"/>
      <c r="Q612" s="6"/>
      <c r="R612" s="6"/>
      <c r="S612" s="6"/>
    </row>
    <row r="613">
      <c r="A613" s="22"/>
      <c r="B613" s="6"/>
      <c r="C613" s="6"/>
      <c r="D613" s="6"/>
      <c r="E613" s="6"/>
      <c r="F613" s="6"/>
      <c r="G613" s="16"/>
      <c r="H613" s="16"/>
      <c r="I613" s="17"/>
      <c r="J613" s="17"/>
      <c r="K613" s="17"/>
      <c r="L613" s="6"/>
      <c r="M613" s="6"/>
      <c r="N613" s="16"/>
      <c r="O613" s="6"/>
      <c r="P613" s="16"/>
      <c r="Q613" s="6"/>
      <c r="R613" s="6"/>
      <c r="S613" s="6"/>
    </row>
    <row r="614">
      <c r="A614" s="22"/>
      <c r="B614" s="6"/>
      <c r="C614" s="6"/>
      <c r="D614" s="6"/>
      <c r="E614" s="6"/>
      <c r="F614" s="6"/>
      <c r="G614" s="16"/>
      <c r="H614" s="16"/>
      <c r="I614" s="17"/>
      <c r="J614" s="17"/>
      <c r="K614" s="17"/>
      <c r="L614" s="6"/>
      <c r="M614" s="6"/>
      <c r="N614" s="16"/>
      <c r="O614" s="6"/>
      <c r="P614" s="16"/>
      <c r="Q614" s="6"/>
      <c r="R614" s="6"/>
      <c r="S614" s="6"/>
    </row>
    <row r="615">
      <c r="A615" s="22"/>
      <c r="B615" s="6"/>
      <c r="C615" s="6"/>
      <c r="D615" s="6"/>
      <c r="E615" s="6"/>
      <c r="F615" s="6"/>
      <c r="G615" s="16"/>
      <c r="H615" s="16"/>
      <c r="I615" s="17"/>
      <c r="J615" s="17"/>
      <c r="K615" s="17"/>
      <c r="L615" s="6"/>
      <c r="M615" s="6"/>
      <c r="N615" s="16"/>
      <c r="O615" s="6"/>
      <c r="P615" s="16"/>
      <c r="Q615" s="6"/>
      <c r="R615" s="6"/>
      <c r="S615" s="6"/>
    </row>
    <row r="616">
      <c r="A616" s="22"/>
      <c r="B616" s="6"/>
      <c r="C616" s="6"/>
      <c r="D616" s="6"/>
      <c r="E616" s="6"/>
      <c r="F616" s="6"/>
      <c r="G616" s="16"/>
      <c r="H616" s="16"/>
      <c r="I616" s="17"/>
      <c r="J616" s="17"/>
      <c r="K616" s="17"/>
      <c r="L616" s="6"/>
      <c r="M616" s="6"/>
      <c r="N616" s="16"/>
      <c r="O616" s="6"/>
      <c r="P616" s="16"/>
      <c r="Q616" s="6"/>
      <c r="R616" s="6"/>
      <c r="S616" s="6"/>
    </row>
    <row r="617">
      <c r="A617" s="22"/>
      <c r="B617" s="6"/>
      <c r="C617" s="6"/>
      <c r="D617" s="6"/>
      <c r="E617" s="6"/>
      <c r="F617" s="6"/>
      <c r="G617" s="16"/>
      <c r="H617" s="16"/>
      <c r="I617" s="17"/>
      <c r="J617" s="17"/>
      <c r="K617" s="17"/>
      <c r="L617" s="6"/>
      <c r="M617" s="6"/>
      <c r="N617" s="16"/>
      <c r="O617" s="6"/>
      <c r="P617" s="16"/>
      <c r="Q617" s="6"/>
      <c r="R617" s="6"/>
      <c r="S617" s="6"/>
    </row>
    <row r="618">
      <c r="A618" s="22"/>
      <c r="B618" s="6"/>
      <c r="C618" s="6"/>
      <c r="D618" s="6"/>
      <c r="E618" s="6"/>
      <c r="F618" s="6"/>
      <c r="G618" s="16"/>
      <c r="H618" s="16"/>
      <c r="I618" s="17"/>
      <c r="J618" s="17"/>
      <c r="K618" s="17"/>
      <c r="L618" s="6"/>
      <c r="M618" s="6"/>
      <c r="N618" s="16"/>
      <c r="O618" s="6"/>
      <c r="P618" s="16"/>
      <c r="Q618" s="6"/>
      <c r="R618" s="6"/>
      <c r="S618" s="6"/>
    </row>
    <row r="619">
      <c r="A619" s="22"/>
      <c r="B619" s="6"/>
      <c r="C619" s="6"/>
      <c r="D619" s="6"/>
      <c r="E619" s="6"/>
      <c r="F619" s="6"/>
      <c r="G619" s="16"/>
      <c r="H619" s="16"/>
      <c r="I619" s="17"/>
      <c r="J619" s="17"/>
      <c r="K619" s="17"/>
      <c r="L619" s="6"/>
      <c r="M619" s="6"/>
      <c r="N619" s="16"/>
      <c r="O619" s="6"/>
      <c r="P619" s="16"/>
      <c r="Q619" s="6"/>
      <c r="R619" s="6"/>
      <c r="S619" s="6"/>
    </row>
    <row r="620">
      <c r="A620" s="22"/>
      <c r="B620" s="6"/>
      <c r="C620" s="6"/>
      <c r="D620" s="6"/>
      <c r="E620" s="6"/>
      <c r="F620" s="6"/>
      <c r="G620" s="16"/>
      <c r="H620" s="16"/>
      <c r="I620" s="17"/>
      <c r="J620" s="17"/>
      <c r="K620" s="17"/>
      <c r="L620" s="6"/>
      <c r="M620" s="6"/>
      <c r="N620" s="16"/>
      <c r="O620" s="6"/>
      <c r="P620" s="16"/>
      <c r="Q620" s="6"/>
      <c r="R620" s="6"/>
      <c r="S620" s="6"/>
    </row>
    <row r="621">
      <c r="A621" s="22"/>
      <c r="B621" s="6"/>
      <c r="C621" s="6"/>
      <c r="D621" s="6"/>
      <c r="E621" s="6"/>
      <c r="F621" s="6"/>
      <c r="G621" s="16"/>
      <c r="H621" s="16"/>
      <c r="I621" s="17"/>
      <c r="J621" s="17"/>
      <c r="K621" s="17"/>
      <c r="L621" s="6"/>
      <c r="M621" s="6"/>
      <c r="N621" s="16"/>
      <c r="O621" s="6"/>
      <c r="P621" s="16"/>
      <c r="Q621" s="6"/>
      <c r="R621" s="6"/>
      <c r="S621" s="6"/>
    </row>
    <row r="622">
      <c r="A622" s="22"/>
      <c r="B622" s="6"/>
      <c r="C622" s="6"/>
      <c r="D622" s="6"/>
      <c r="E622" s="6"/>
      <c r="F622" s="6"/>
      <c r="G622" s="16"/>
      <c r="H622" s="16"/>
      <c r="I622" s="17"/>
      <c r="J622" s="17"/>
      <c r="K622" s="17"/>
      <c r="L622" s="6"/>
      <c r="M622" s="6"/>
      <c r="N622" s="16"/>
      <c r="O622" s="6"/>
      <c r="P622" s="16"/>
      <c r="Q622" s="6"/>
      <c r="R622" s="6"/>
      <c r="S622" s="6"/>
    </row>
    <row r="623">
      <c r="A623" s="22"/>
      <c r="B623" s="6"/>
      <c r="C623" s="6"/>
      <c r="D623" s="6"/>
      <c r="E623" s="6"/>
      <c r="F623" s="6"/>
      <c r="G623" s="16"/>
      <c r="H623" s="16"/>
      <c r="I623" s="17"/>
      <c r="J623" s="17"/>
      <c r="K623" s="17"/>
      <c r="L623" s="6"/>
      <c r="M623" s="6"/>
      <c r="N623" s="16"/>
      <c r="O623" s="6"/>
      <c r="P623" s="16"/>
      <c r="Q623" s="6"/>
      <c r="R623" s="6"/>
      <c r="S623" s="6"/>
    </row>
    <row r="624">
      <c r="A624" s="22"/>
      <c r="B624" s="6"/>
      <c r="C624" s="6"/>
      <c r="D624" s="6"/>
      <c r="E624" s="6"/>
      <c r="F624" s="6"/>
      <c r="G624" s="16"/>
      <c r="H624" s="16"/>
      <c r="I624" s="17"/>
      <c r="J624" s="17"/>
      <c r="K624" s="17"/>
      <c r="L624" s="6"/>
      <c r="M624" s="6"/>
      <c r="N624" s="16"/>
      <c r="O624" s="6"/>
      <c r="P624" s="16"/>
      <c r="Q624" s="6"/>
      <c r="R624" s="6"/>
      <c r="S624" s="6"/>
    </row>
    <row r="625">
      <c r="A625" s="22"/>
      <c r="B625" s="6"/>
      <c r="C625" s="6"/>
      <c r="D625" s="6"/>
      <c r="E625" s="6"/>
      <c r="F625" s="6"/>
      <c r="G625" s="16"/>
      <c r="H625" s="16"/>
      <c r="I625" s="17"/>
      <c r="J625" s="17"/>
      <c r="K625" s="17"/>
      <c r="L625" s="6"/>
      <c r="M625" s="6"/>
      <c r="N625" s="16"/>
      <c r="O625" s="6"/>
      <c r="P625" s="16"/>
      <c r="Q625" s="6"/>
      <c r="R625" s="6"/>
      <c r="S625" s="6"/>
    </row>
    <row r="626">
      <c r="A626" s="22"/>
      <c r="B626" s="6"/>
      <c r="C626" s="6"/>
      <c r="D626" s="6"/>
      <c r="E626" s="6"/>
      <c r="F626" s="6"/>
      <c r="G626" s="16"/>
      <c r="H626" s="16"/>
      <c r="I626" s="17"/>
      <c r="J626" s="17"/>
      <c r="K626" s="17"/>
      <c r="L626" s="6"/>
      <c r="M626" s="6"/>
      <c r="N626" s="16"/>
      <c r="O626" s="6"/>
      <c r="P626" s="16"/>
      <c r="Q626" s="6"/>
      <c r="R626" s="6"/>
      <c r="S626" s="6"/>
    </row>
    <row r="627">
      <c r="A627" s="22"/>
      <c r="B627" s="6"/>
      <c r="C627" s="6"/>
      <c r="D627" s="6"/>
      <c r="E627" s="6"/>
      <c r="F627" s="6"/>
      <c r="G627" s="16"/>
      <c r="H627" s="16"/>
      <c r="I627" s="17"/>
      <c r="J627" s="17"/>
      <c r="K627" s="17"/>
      <c r="L627" s="6"/>
      <c r="M627" s="6"/>
      <c r="N627" s="16"/>
      <c r="O627" s="6"/>
      <c r="P627" s="16"/>
      <c r="Q627" s="6"/>
      <c r="R627" s="6"/>
      <c r="S627" s="6"/>
    </row>
    <row r="628">
      <c r="A628" s="22"/>
      <c r="B628" s="6"/>
      <c r="C628" s="6"/>
      <c r="D628" s="6"/>
      <c r="E628" s="6"/>
      <c r="F628" s="6"/>
      <c r="G628" s="16"/>
      <c r="H628" s="16"/>
      <c r="I628" s="17"/>
      <c r="J628" s="17"/>
      <c r="K628" s="17"/>
      <c r="L628" s="6"/>
      <c r="M628" s="6"/>
      <c r="N628" s="16"/>
      <c r="O628" s="6"/>
      <c r="P628" s="16"/>
      <c r="Q628" s="6"/>
      <c r="R628" s="6"/>
      <c r="S628" s="6"/>
    </row>
    <row r="629">
      <c r="A629" s="22"/>
      <c r="B629" s="6"/>
      <c r="C629" s="6"/>
      <c r="D629" s="6"/>
      <c r="E629" s="6"/>
      <c r="F629" s="6"/>
      <c r="G629" s="16"/>
      <c r="H629" s="16"/>
      <c r="I629" s="17"/>
      <c r="J629" s="17"/>
      <c r="K629" s="17"/>
      <c r="L629" s="6"/>
      <c r="M629" s="6"/>
      <c r="N629" s="16"/>
      <c r="O629" s="6"/>
      <c r="P629" s="16"/>
      <c r="Q629" s="6"/>
      <c r="R629" s="6"/>
      <c r="S629" s="6"/>
    </row>
    <row r="630">
      <c r="A630" s="22"/>
      <c r="B630" s="6"/>
      <c r="C630" s="6"/>
      <c r="D630" s="6"/>
      <c r="E630" s="6"/>
      <c r="F630" s="6"/>
      <c r="G630" s="16"/>
      <c r="H630" s="16"/>
      <c r="I630" s="17"/>
      <c r="J630" s="17"/>
      <c r="K630" s="17"/>
      <c r="L630" s="6"/>
      <c r="M630" s="6"/>
      <c r="N630" s="16"/>
      <c r="O630" s="6"/>
      <c r="P630" s="16"/>
      <c r="Q630" s="6"/>
      <c r="R630" s="6"/>
      <c r="S630" s="6"/>
    </row>
    <row r="631">
      <c r="A631" s="22"/>
      <c r="B631" s="6"/>
      <c r="C631" s="6"/>
      <c r="D631" s="6"/>
      <c r="E631" s="6"/>
      <c r="F631" s="6"/>
      <c r="G631" s="16"/>
      <c r="H631" s="16"/>
      <c r="I631" s="17"/>
      <c r="J631" s="17"/>
      <c r="K631" s="17"/>
      <c r="L631" s="6"/>
      <c r="M631" s="6"/>
      <c r="N631" s="16"/>
      <c r="O631" s="6"/>
      <c r="P631" s="16"/>
      <c r="Q631" s="6"/>
      <c r="R631" s="6"/>
      <c r="S631" s="6"/>
    </row>
    <row r="632">
      <c r="A632" s="22"/>
      <c r="B632" s="6"/>
      <c r="C632" s="6"/>
      <c r="D632" s="6"/>
      <c r="E632" s="6"/>
      <c r="F632" s="6"/>
      <c r="G632" s="16"/>
      <c r="H632" s="16"/>
      <c r="I632" s="17"/>
      <c r="J632" s="17"/>
      <c r="K632" s="17"/>
      <c r="L632" s="6"/>
      <c r="M632" s="6"/>
      <c r="N632" s="16"/>
      <c r="O632" s="6"/>
      <c r="P632" s="16"/>
      <c r="Q632" s="6"/>
      <c r="R632" s="6"/>
      <c r="S632" s="6"/>
    </row>
    <row r="633">
      <c r="A633" s="22"/>
      <c r="B633" s="6"/>
      <c r="C633" s="6"/>
      <c r="D633" s="6"/>
      <c r="E633" s="6"/>
      <c r="F633" s="6"/>
      <c r="G633" s="16"/>
      <c r="H633" s="16"/>
      <c r="I633" s="17"/>
      <c r="J633" s="17"/>
      <c r="K633" s="17"/>
      <c r="L633" s="6"/>
      <c r="M633" s="6"/>
      <c r="N633" s="16"/>
      <c r="O633" s="6"/>
      <c r="P633" s="16"/>
      <c r="Q633" s="6"/>
      <c r="R633" s="6"/>
      <c r="S633" s="6"/>
    </row>
    <row r="634">
      <c r="A634" s="22"/>
      <c r="B634" s="6"/>
      <c r="C634" s="6"/>
      <c r="D634" s="6"/>
      <c r="E634" s="6"/>
      <c r="F634" s="6"/>
      <c r="G634" s="16"/>
      <c r="H634" s="16"/>
      <c r="I634" s="17"/>
      <c r="J634" s="17"/>
      <c r="K634" s="17"/>
      <c r="L634" s="6"/>
      <c r="M634" s="6"/>
      <c r="N634" s="16"/>
      <c r="O634" s="6"/>
      <c r="P634" s="16"/>
      <c r="Q634" s="6"/>
      <c r="R634" s="6"/>
      <c r="S634" s="6"/>
    </row>
    <row r="635">
      <c r="A635" s="22"/>
      <c r="B635" s="6"/>
      <c r="C635" s="6"/>
      <c r="D635" s="6"/>
      <c r="E635" s="6"/>
      <c r="F635" s="6"/>
      <c r="G635" s="16"/>
      <c r="H635" s="16"/>
      <c r="I635" s="17"/>
      <c r="J635" s="17"/>
      <c r="K635" s="17"/>
      <c r="L635" s="6"/>
      <c r="M635" s="6"/>
      <c r="N635" s="16"/>
      <c r="O635" s="6"/>
      <c r="P635" s="16"/>
      <c r="Q635" s="6"/>
      <c r="R635" s="6"/>
      <c r="S635" s="6"/>
    </row>
    <row r="636">
      <c r="A636" s="22"/>
      <c r="B636" s="6"/>
      <c r="C636" s="6"/>
      <c r="D636" s="6"/>
      <c r="E636" s="6"/>
      <c r="F636" s="6"/>
      <c r="G636" s="16"/>
      <c r="H636" s="16"/>
      <c r="I636" s="17"/>
      <c r="J636" s="17"/>
      <c r="K636" s="17"/>
      <c r="L636" s="6"/>
      <c r="M636" s="6"/>
      <c r="N636" s="16"/>
      <c r="O636" s="6"/>
      <c r="P636" s="16"/>
      <c r="Q636" s="6"/>
      <c r="R636" s="6"/>
      <c r="S636" s="6"/>
    </row>
    <row r="637">
      <c r="A637" s="22"/>
      <c r="B637" s="6"/>
      <c r="C637" s="6"/>
      <c r="D637" s="6"/>
      <c r="E637" s="6"/>
      <c r="F637" s="6"/>
      <c r="G637" s="16"/>
      <c r="H637" s="16"/>
      <c r="I637" s="17"/>
      <c r="J637" s="17"/>
      <c r="K637" s="17"/>
      <c r="L637" s="6"/>
      <c r="M637" s="6"/>
      <c r="N637" s="16"/>
      <c r="O637" s="6"/>
      <c r="P637" s="16"/>
      <c r="Q637" s="6"/>
      <c r="R637" s="6"/>
      <c r="S637" s="6"/>
    </row>
    <row r="638">
      <c r="A638" s="22"/>
      <c r="B638" s="6"/>
      <c r="C638" s="6"/>
      <c r="D638" s="6"/>
      <c r="E638" s="6"/>
      <c r="F638" s="6"/>
      <c r="G638" s="16"/>
      <c r="H638" s="16"/>
      <c r="I638" s="17"/>
      <c r="J638" s="17"/>
      <c r="K638" s="17"/>
      <c r="L638" s="6"/>
      <c r="M638" s="6"/>
      <c r="N638" s="16"/>
      <c r="O638" s="6"/>
      <c r="P638" s="16"/>
      <c r="Q638" s="6"/>
      <c r="R638" s="6"/>
      <c r="S638" s="6"/>
    </row>
    <row r="639">
      <c r="A639" s="22"/>
      <c r="B639" s="6"/>
      <c r="C639" s="6"/>
      <c r="D639" s="6"/>
      <c r="E639" s="6"/>
      <c r="F639" s="6"/>
      <c r="G639" s="16"/>
      <c r="H639" s="16"/>
      <c r="I639" s="17"/>
      <c r="J639" s="17"/>
      <c r="K639" s="17"/>
      <c r="L639" s="6"/>
      <c r="M639" s="6"/>
      <c r="N639" s="16"/>
      <c r="O639" s="6"/>
      <c r="P639" s="16"/>
      <c r="Q639" s="6"/>
      <c r="R639" s="6"/>
      <c r="S639" s="6"/>
    </row>
    <row r="640">
      <c r="A640" s="22"/>
      <c r="B640" s="6"/>
      <c r="C640" s="6"/>
      <c r="D640" s="6"/>
      <c r="E640" s="6"/>
      <c r="F640" s="6"/>
      <c r="G640" s="16"/>
      <c r="H640" s="16"/>
      <c r="I640" s="17"/>
      <c r="J640" s="17"/>
      <c r="K640" s="17"/>
      <c r="L640" s="6"/>
      <c r="M640" s="6"/>
      <c r="N640" s="16"/>
      <c r="O640" s="6"/>
      <c r="P640" s="16"/>
      <c r="Q640" s="6"/>
      <c r="R640" s="6"/>
      <c r="S640" s="6"/>
    </row>
    <row r="641">
      <c r="A641" s="22"/>
      <c r="B641" s="6"/>
      <c r="C641" s="6"/>
      <c r="D641" s="6"/>
      <c r="E641" s="6"/>
      <c r="F641" s="6"/>
      <c r="G641" s="16"/>
      <c r="H641" s="16"/>
      <c r="I641" s="17"/>
      <c r="J641" s="17"/>
      <c r="K641" s="17"/>
      <c r="L641" s="6"/>
      <c r="M641" s="6"/>
      <c r="N641" s="16"/>
      <c r="O641" s="6"/>
      <c r="P641" s="16"/>
      <c r="Q641" s="6"/>
      <c r="R641" s="6"/>
      <c r="S641" s="6"/>
    </row>
    <row r="642">
      <c r="A642" s="22"/>
      <c r="B642" s="6"/>
      <c r="C642" s="6"/>
      <c r="D642" s="6"/>
      <c r="E642" s="6"/>
      <c r="F642" s="6"/>
      <c r="G642" s="16"/>
      <c r="H642" s="16"/>
      <c r="I642" s="17"/>
      <c r="J642" s="17"/>
      <c r="K642" s="17"/>
      <c r="L642" s="6"/>
      <c r="M642" s="6"/>
      <c r="N642" s="16"/>
      <c r="O642" s="6"/>
      <c r="P642" s="16"/>
      <c r="Q642" s="6"/>
      <c r="R642" s="6"/>
      <c r="S642" s="6"/>
    </row>
    <row r="643">
      <c r="A643" s="22"/>
      <c r="B643" s="6"/>
      <c r="C643" s="6"/>
      <c r="D643" s="6"/>
      <c r="E643" s="6"/>
      <c r="F643" s="6"/>
      <c r="G643" s="16"/>
      <c r="H643" s="16"/>
      <c r="I643" s="17"/>
      <c r="J643" s="17"/>
      <c r="K643" s="17"/>
      <c r="L643" s="6"/>
      <c r="M643" s="6"/>
      <c r="N643" s="16"/>
      <c r="O643" s="6"/>
      <c r="P643" s="16"/>
      <c r="Q643" s="6"/>
      <c r="R643" s="6"/>
      <c r="S643" s="6"/>
    </row>
    <row r="644">
      <c r="A644" s="22"/>
      <c r="B644" s="6"/>
      <c r="C644" s="6"/>
      <c r="D644" s="6"/>
      <c r="E644" s="6"/>
      <c r="F644" s="6"/>
      <c r="G644" s="16"/>
      <c r="H644" s="16"/>
      <c r="I644" s="17"/>
      <c r="J644" s="17"/>
      <c r="K644" s="17"/>
      <c r="L644" s="6"/>
      <c r="M644" s="6"/>
      <c r="N644" s="16"/>
      <c r="O644" s="6"/>
      <c r="P644" s="16"/>
      <c r="Q644" s="6"/>
      <c r="R644" s="6"/>
      <c r="S644" s="6"/>
    </row>
    <row r="645">
      <c r="A645" s="22"/>
      <c r="B645" s="6"/>
      <c r="C645" s="6"/>
      <c r="D645" s="6"/>
      <c r="E645" s="6"/>
      <c r="F645" s="6"/>
      <c r="G645" s="16"/>
      <c r="H645" s="16"/>
      <c r="I645" s="17"/>
      <c r="J645" s="17"/>
      <c r="K645" s="17"/>
      <c r="L645" s="6"/>
      <c r="M645" s="6"/>
      <c r="N645" s="16"/>
      <c r="O645" s="6"/>
      <c r="P645" s="16"/>
      <c r="Q645" s="6"/>
      <c r="R645" s="6"/>
      <c r="S645" s="6"/>
    </row>
    <row r="646">
      <c r="A646" s="22"/>
      <c r="B646" s="6"/>
      <c r="C646" s="6"/>
      <c r="D646" s="6"/>
      <c r="E646" s="6"/>
      <c r="F646" s="6"/>
      <c r="G646" s="16"/>
      <c r="H646" s="16"/>
      <c r="I646" s="17"/>
      <c r="J646" s="17"/>
      <c r="K646" s="17"/>
      <c r="L646" s="6"/>
      <c r="M646" s="6"/>
      <c r="N646" s="16"/>
      <c r="O646" s="6"/>
      <c r="P646" s="16"/>
      <c r="Q646" s="6"/>
      <c r="R646" s="6"/>
      <c r="S646" s="6"/>
    </row>
    <row r="647">
      <c r="A647" s="22"/>
      <c r="B647" s="6"/>
      <c r="C647" s="6"/>
      <c r="D647" s="6"/>
      <c r="E647" s="6"/>
      <c r="F647" s="6"/>
      <c r="G647" s="16"/>
      <c r="H647" s="16"/>
      <c r="I647" s="17"/>
      <c r="J647" s="17"/>
      <c r="K647" s="17"/>
      <c r="L647" s="6"/>
      <c r="M647" s="6"/>
      <c r="N647" s="16"/>
      <c r="O647" s="6"/>
      <c r="P647" s="16"/>
      <c r="Q647" s="6"/>
      <c r="R647" s="6"/>
      <c r="S647" s="6"/>
    </row>
    <row r="648">
      <c r="A648" s="22"/>
      <c r="B648" s="6"/>
      <c r="C648" s="6"/>
      <c r="D648" s="6"/>
      <c r="E648" s="6"/>
      <c r="F648" s="6"/>
      <c r="G648" s="16"/>
      <c r="H648" s="16"/>
      <c r="I648" s="17"/>
      <c r="J648" s="17"/>
      <c r="K648" s="17"/>
      <c r="L648" s="6"/>
      <c r="M648" s="6"/>
      <c r="N648" s="16"/>
      <c r="O648" s="6"/>
      <c r="P648" s="16"/>
      <c r="Q648" s="6"/>
      <c r="R648" s="6"/>
      <c r="S648" s="6"/>
    </row>
    <row r="649">
      <c r="A649" s="22"/>
      <c r="B649" s="6"/>
      <c r="C649" s="6"/>
      <c r="D649" s="6"/>
      <c r="E649" s="6"/>
      <c r="F649" s="6"/>
      <c r="G649" s="16"/>
      <c r="H649" s="16"/>
      <c r="I649" s="17"/>
      <c r="J649" s="17"/>
      <c r="K649" s="17"/>
      <c r="L649" s="6"/>
      <c r="M649" s="6"/>
      <c r="N649" s="16"/>
      <c r="O649" s="6"/>
      <c r="P649" s="16"/>
      <c r="Q649" s="6"/>
      <c r="R649" s="6"/>
      <c r="S649" s="6"/>
    </row>
    <row r="650">
      <c r="A650" s="22"/>
      <c r="B650" s="6"/>
      <c r="C650" s="6"/>
      <c r="D650" s="6"/>
      <c r="E650" s="6"/>
      <c r="F650" s="6"/>
      <c r="G650" s="16"/>
      <c r="H650" s="16"/>
      <c r="I650" s="17"/>
      <c r="J650" s="17"/>
      <c r="K650" s="17"/>
      <c r="L650" s="6"/>
      <c r="M650" s="6"/>
      <c r="N650" s="16"/>
      <c r="O650" s="6"/>
      <c r="P650" s="16"/>
      <c r="Q650" s="6"/>
      <c r="R650" s="6"/>
      <c r="S650" s="6"/>
    </row>
    <row r="651">
      <c r="A651" s="22"/>
      <c r="B651" s="6"/>
      <c r="C651" s="6"/>
      <c r="D651" s="6"/>
      <c r="E651" s="6"/>
      <c r="F651" s="6"/>
      <c r="G651" s="16"/>
      <c r="H651" s="16"/>
      <c r="I651" s="17"/>
      <c r="J651" s="17"/>
      <c r="K651" s="17"/>
      <c r="L651" s="6"/>
      <c r="M651" s="6"/>
      <c r="N651" s="16"/>
      <c r="O651" s="6"/>
      <c r="P651" s="16"/>
      <c r="Q651" s="6"/>
      <c r="R651" s="6"/>
      <c r="S651" s="6"/>
    </row>
    <row r="652">
      <c r="A652" s="22"/>
      <c r="B652" s="6"/>
      <c r="C652" s="6"/>
      <c r="D652" s="6"/>
      <c r="E652" s="6"/>
      <c r="F652" s="6"/>
      <c r="G652" s="16"/>
      <c r="H652" s="16"/>
      <c r="I652" s="17"/>
      <c r="J652" s="17"/>
      <c r="K652" s="17"/>
      <c r="L652" s="6"/>
      <c r="M652" s="6"/>
      <c r="N652" s="16"/>
      <c r="O652" s="6"/>
      <c r="P652" s="16"/>
      <c r="Q652" s="6"/>
      <c r="R652" s="6"/>
      <c r="S652" s="6"/>
    </row>
    <row r="653">
      <c r="A653" s="22"/>
      <c r="B653" s="6"/>
      <c r="C653" s="6"/>
      <c r="D653" s="6"/>
      <c r="E653" s="6"/>
      <c r="F653" s="6"/>
      <c r="G653" s="16"/>
      <c r="H653" s="16"/>
      <c r="I653" s="17"/>
      <c r="J653" s="17"/>
      <c r="K653" s="17"/>
      <c r="L653" s="6"/>
      <c r="M653" s="6"/>
      <c r="N653" s="16"/>
      <c r="O653" s="6"/>
      <c r="P653" s="16"/>
      <c r="Q653" s="6"/>
      <c r="R653" s="6"/>
      <c r="S653" s="6"/>
    </row>
    <row r="654">
      <c r="A654" s="22"/>
      <c r="B654" s="6"/>
      <c r="C654" s="6"/>
      <c r="D654" s="6"/>
      <c r="E654" s="6"/>
      <c r="F654" s="6"/>
      <c r="G654" s="16"/>
      <c r="H654" s="16"/>
      <c r="I654" s="17"/>
      <c r="J654" s="17"/>
      <c r="K654" s="17"/>
      <c r="L654" s="6"/>
      <c r="M654" s="6"/>
      <c r="N654" s="16"/>
      <c r="O654" s="6"/>
      <c r="P654" s="16"/>
      <c r="Q654" s="6"/>
      <c r="R654" s="6"/>
      <c r="S654" s="6"/>
    </row>
    <row r="655">
      <c r="A655" s="22"/>
      <c r="B655" s="6"/>
      <c r="C655" s="6"/>
      <c r="D655" s="6"/>
      <c r="E655" s="6"/>
      <c r="F655" s="6"/>
      <c r="G655" s="16"/>
      <c r="H655" s="16"/>
      <c r="I655" s="17"/>
      <c r="J655" s="17"/>
      <c r="K655" s="17"/>
      <c r="L655" s="6"/>
      <c r="M655" s="6"/>
      <c r="N655" s="16"/>
      <c r="O655" s="6"/>
      <c r="P655" s="16"/>
      <c r="Q655" s="6"/>
      <c r="R655" s="6"/>
      <c r="S655" s="6"/>
    </row>
    <row r="656">
      <c r="A656" s="22"/>
      <c r="B656" s="6"/>
      <c r="C656" s="6"/>
      <c r="D656" s="6"/>
      <c r="E656" s="6"/>
      <c r="F656" s="6"/>
      <c r="G656" s="16"/>
      <c r="H656" s="16"/>
      <c r="I656" s="17"/>
      <c r="J656" s="17"/>
      <c r="K656" s="17"/>
      <c r="L656" s="6"/>
      <c r="M656" s="6"/>
      <c r="N656" s="16"/>
      <c r="O656" s="6"/>
      <c r="P656" s="16"/>
      <c r="Q656" s="6"/>
      <c r="R656" s="6"/>
      <c r="S656" s="6"/>
    </row>
    <row r="657">
      <c r="A657" s="22"/>
      <c r="B657" s="6"/>
      <c r="C657" s="6"/>
      <c r="D657" s="6"/>
      <c r="E657" s="6"/>
      <c r="F657" s="6"/>
      <c r="G657" s="16"/>
      <c r="H657" s="16"/>
      <c r="I657" s="17"/>
      <c r="J657" s="17"/>
      <c r="K657" s="17"/>
      <c r="L657" s="6"/>
      <c r="M657" s="6"/>
      <c r="N657" s="16"/>
      <c r="O657" s="6"/>
      <c r="P657" s="16"/>
      <c r="Q657" s="6"/>
      <c r="R657" s="6"/>
      <c r="S657" s="6"/>
    </row>
    <row r="658">
      <c r="A658" s="22"/>
      <c r="B658" s="6"/>
      <c r="C658" s="6"/>
      <c r="D658" s="6"/>
      <c r="E658" s="6"/>
      <c r="F658" s="6"/>
      <c r="G658" s="16"/>
      <c r="H658" s="16"/>
      <c r="I658" s="17"/>
      <c r="J658" s="17"/>
      <c r="K658" s="17"/>
      <c r="L658" s="6"/>
      <c r="M658" s="6"/>
      <c r="N658" s="16"/>
      <c r="O658" s="6"/>
      <c r="P658" s="16"/>
      <c r="Q658" s="6"/>
      <c r="R658" s="6"/>
      <c r="S658" s="6"/>
    </row>
    <row r="659">
      <c r="A659" s="22"/>
      <c r="B659" s="6"/>
      <c r="C659" s="6"/>
      <c r="D659" s="6"/>
      <c r="E659" s="6"/>
      <c r="F659" s="6"/>
      <c r="G659" s="16"/>
      <c r="H659" s="16"/>
      <c r="I659" s="17"/>
      <c r="J659" s="17"/>
      <c r="K659" s="17"/>
      <c r="L659" s="6"/>
      <c r="M659" s="6"/>
      <c r="N659" s="16"/>
      <c r="O659" s="6"/>
      <c r="P659" s="16"/>
      <c r="Q659" s="6"/>
      <c r="R659" s="6"/>
      <c r="S659" s="6"/>
    </row>
    <row r="660">
      <c r="A660" s="22"/>
      <c r="B660" s="6"/>
      <c r="C660" s="6"/>
      <c r="D660" s="6"/>
      <c r="E660" s="6"/>
      <c r="F660" s="6"/>
      <c r="G660" s="16"/>
      <c r="H660" s="16"/>
      <c r="I660" s="17"/>
      <c r="J660" s="17"/>
      <c r="K660" s="17"/>
      <c r="L660" s="6"/>
      <c r="M660" s="6"/>
      <c r="N660" s="16"/>
      <c r="O660" s="6"/>
      <c r="P660" s="16"/>
      <c r="Q660" s="6"/>
      <c r="R660" s="6"/>
      <c r="S660" s="6"/>
    </row>
    <row r="661">
      <c r="A661" s="22"/>
      <c r="B661" s="6"/>
      <c r="C661" s="6"/>
      <c r="D661" s="6"/>
      <c r="E661" s="6"/>
      <c r="F661" s="6"/>
      <c r="G661" s="16"/>
      <c r="H661" s="16"/>
      <c r="I661" s="17"/>
      <c r="J661" s="17"/>
      <c r="K661" s="17"/>
      <c r="L661" s="6"/>
      <c r="M661" s="6"/>
      <c r="N661" s="16"/>
      <c r="O661" s="6"/>
      <c r="P661" s="16"/>
      <c r="Q661" s="6"/>
      <c r="R661" s="6"/>
      <c r="S661" s="6"/>
    </row>
    <row r="662">
      <c r="A662" s="22"/>
      <c r="B662" s="6"/>
      <c r="C662" s="6"/>
      <c r="D662" s="6"/>
      <c r="E662" s="6"/>
      <c r="F662" s="6"/>
      <c r="G662" s="16"/>
      <c r="H662" s="16"/>
      <c r="I662" s="17"/>
      <c r="J662" s="17"/>
      <c r="K662" s="17"/>
      <c r="L662" s="6"/>
      <c r="M662" s="6"/>
      <c r="N662" s="16"/>
      <c r="O662" s="6"/>
      <c r="P662" s="16"/>
      <c r="Q662" s="6"/>
      <c r="R662" s="6"/>
      <c r="S662" s="6"/>
    </row>
    <row r="663">
      <c r="A663" s="22"/>
      <c r="B663" s="6"/>
      <c r="C663" s="6"/>
      <c r="D663" s="6"/>
      <c r="E663" s="6"/>
      <c r="F663" s="6"/>
      <c r="G663" s="16"/>
      <c r="H663" s="16"/>
      <c r="I663" s="17"/>
      <c r="J663" s="17"/>
      <c r="K663" s="17"/>
      <c r="L663" s="6"/>
      <c r="M663" s="6"/>
      <c r="N663" s="16"/>
      <c r="O663" s="6"/>
      <c r="P663" s="16"/>
      <c r="Q663" s="6"/>
      <c r="R663" s="6"/>
      <c r="S663" s="6"/>
    </row>
    <row r="664">
      <c r="A664" s="22"/>
      <c r="B664" s="6"/>
      <c r="C664" s="6"/>
      <c r="D664" s="6"/>
      <c r="E664" s="6"/>
      <c r="F664" s="6"/>
      <c r="G664" s="16"/>
      <c r="H664" s="16"/>
      <c r="I664" s="17"/>
      <c r="J664" s="17"/>
      <c r="K664" s="17"/>
      <c r="L664" s="6"/>
      <c r="M664" s="6"/>
      <c r="N664" s="16"/>
      <c r="O664" s="6"/>
      <c r="P664" s="16"/>
      <c r="Q664" s="6"/>
      <c r="R664" s="6"/>
      <c r="S664" s="6"/>
    </row>
    <row r="665">
      <c r="A665" s="22"/>
      <c r="B665" s="6"/>
      <c r="C665" s="6"/>
      <c r="D665" s="6"/>
      <c r="E665" s="6"/>
      <c r="F665" s="6"/>
      <c r="G665" s="16"/>
      <c r="H665" s="16"/>
      <c r="I665" s="17"/>
      <c r="J665" s="17"/>
      <c r="K665" s="17"/>
      <c r="L665" s="6"/>
      <c r="M665" s="6"/>
      <c r="N665" s="16"/>
      <c r="O665" s="6"/>
      <c r="P665" s="16"/>
      <c r="Q665" s="6"/>
      <c r="R665" s="6"/>
      <c r="S665" s="6"/>
    </row>
    <row r="666">
      <c r="A666" s="22"/>
      <c r="B666" s="6"/>
      <c r="C666" s="6"/>
      <c r="D666" s="6"/>
      <c r="E666" s="6"/>
      <c r="F666" s="6"/>
      <c r="G666" s="16"/>
      <c r="H666" s="16"/>
      <c r="I666" s="17"/>
      <c r="J666" s="17"/>
      <c r="K666" s="17"/>
      <c r="L666" s="6"/>
      <c r="M666" s="6"/>
      <c r="N666" s="16"/>
      <c r="O666" s="6"/>
      <c r="P666" s="16"/>
      <c r="Q666" s="6"/>
      <c r="R666" s="6"/>
      <c r="S666" s="6"/>
    </row>
    <row r="667">
      <c r="A667" s="22"/>
      <c r="B667" s="6"/>
      <c r="C667" s="6"/>
      <c r="D667" s="6"/>
      <c r="E667" s="6"/>
      <c r="F667" s="6"/>
      <c r="G667" s="16"/>
      <c r="H667" s="16"/>
      <c r="I667" s="17"/>
      <c r="J667" s="17"/>
      <c r="K667" s="17"/>
      <c r="L667" s="6"/>
      <c r="M667" s="6"/>
      <c r="N667" s="16"/>
      <c r="O667" s="6"/>
      <c r="P667" s="16"/>
      <c r="Q667" s="6"/>
      <c r="R667" s="6"/>
      <c r="S667" s="6"/>
    </row>
    <row r="668">
      <c r="A668" s="22"/>
      <c r="B668" s="6"/>
      <c r="C668" s="6"/>
      <c r="D668" s="6"/>
      <c r="E668" s="6"/>
      <c r="F668" s="6"/>
      <c r="G668" s="16"/>
      <c r="H668" s="16"/>
      <c r="I668" s="17"/>
      <c r="J668" s="17"/>
      <c r="K668" s="17"/>
      <c r="L668" s="6"/>
      <c r="M668" s="6"/>
      <c r="N668" s="16"/>
      <c r="O668" s="6"/>
      <c r="P668" s="16"/>
      <c r="Q668" s="6"/>
      <c r="R668" s="6"/>
      <c r="S668" s="6"/>
    </row>
    <row r="669">
      <c r="A669" s="22"/>
      <c r="B669" s="6"/>
      <c r="C669" s="6"/>
      <c r="D669" s="6"/>
      <c r="E669" s="6"/>
      <c r="F669" s="6"/>
      <c r="G669" s="16"/>
      <c r="H669" s="16"/>
      <c r="I669" s="17"/>
      <c r="J669" s="17"/>
      <c r="K669" s="17"/>
      <c r="L669" s="6"/>
      <c r="M669" s="6"/>
      <c r="N669" s="16"/>
      <c r="O669" s="6"/>
      <c r="P669" s="16"/>
      <c r="Q669" s="6"/>
      <c r="R669" s="6"/>
      <c r="S669" s="6"/>
    </row>
    <row r="670">
      <c r="A670" s="22"/>
      <c r="B670" s="6"/>
      <c r="C670" s="6"/>
      <c r="D670" s="6"/>
      <c r="E670" s="6"/>
      <c r="F670" s="6"/>
      <c r="G670" s="16"/>
      <c r="H670" s="16"/>
      <c r="I670" s="17"/>
      <c r="J670" s="17"/>
      <c r="K670" s="17"/>
      <c r="L670" s="6"/>
      <c r="M670" s="6"/>
      <c r="N670" s="16"/>
      <c r="O670" s="6"/>
      <c r="P670" s="16"/>
      <c r="Q670" s="6"/>
      <c r="R670" s="6"/>
      <c r="S670" s="6"/>
    </row>
    <row r="671">
      <c r="A671" s="22"/>
      <c r="B671" s="6"/>
      <c r="C671" s="6"/>
      <c r="D671" s="6"/>
      <c r="E671" s="6"/>
      <c r="F671" s="6"/>
      <c r="G671" s="16"/>
      <c r="H671" s="16"/>
      <c r="I671" s="17"/>
      <c r="J671" s="17"/>
      <c r="K671" s="17"/>
      <c r="L671" s="6"/>
      <c r="M671" s="6"/>
      <c r="N671" s="16"/>
      <c r="O671" s="6"/>
      <c r="P671" s="16"/>
      <c r="Q671" s="6"/>
      <c r="R671" s="6"/>
      <c r="S671" s="6"/>
    </row>
    <row r="672">
      <c r="A672" s="22"/>
      <c r="B672" s="6"/>
      <c r="C672" s="6"/>
      <c r="D672" s="6"/>
      <c r="E672" s="6"/>
      <c r="F672" s="6"/>
      <c r="G672" s="16"/>
      <c r="H672" s="16"/>
      <c r="I672" s="17"/>
      <c r="J672" s="17"/>
      <c r="K672" s="17"/>
      <c r="L672" s="6"/>
      <c r="M672" s="6"/>
      <c r="N672" s="16"/>
      <c r="O672" s="6"/>
      <c r="P672" s="16"/>
      <c r="Q672" s="6"/>
      <c r="R672" s="6"/>
      <c r="S672" s="6"/>
    </row>
    <row r="673">
      <c r="A673" s="22"/>
      <c r="B673" s="6"/>
      <c r="C673" s="6"/>
      <c r="D673" s="6"/>
      <c r="E673" s="6"/>
      <c r="F673" s="6"/>
      <c r="G673" s="16"/>
      <c r="H673" s="16"/>
      <c r="I673" s="17"/>
      <c r="J673" s="17"/>
      <c r="K673" s="17"/>
      <c r="L673" s="6"/>
      <c r="M673" s="6"/>
      <c r="N673" s="16"/>
      <c r="O673" s="6"/>
      <c r="P673" s="16"/>
      <c r="Q673" s="6"/>
      <c r="R673" s="6"/>
      <c r="S673" s="6"/>
    </row>
    <row r="674">
      <c r="A674" s="22"/>
      <c r="B674" s="6"/>
      <c r="C674" s="6"/>
      <c r="D674" s="6"/>
      <c r="E674" s="6"/>
      <c r="F674" s="6"/>
      <c r="G674" s="16"/>
      <c r="H674" s="16"/>
      <c r="I674" s="17"/>
      <c r="J674" s="17"/>
      <c r="K674" s="17"/>
      <c r="L674" s="6"/>
      <c r="M674" s="6"/>
      <c r="N674" s="16"/>
      <c r="O674" s="6"/>
      <c r="P674" s="16"/>
      <c r="Q674" s="6"/>
      <c r="R674" s="6"/>
      <c r="S674" s="6"/>
    </row>
    <row r="675">
      <c r="A675" s="22"/>
      <c r="B675" s="6"/>
      <c r="C675" s="6"/>
      <c r="D675" s="6"/>
      <c r="E675" s="6"/>
      <c r="F675" s="6"/>
      <c r="G675" s="16"/>
      <c r="H675" s="16"/>
      <c r="I675" s="17"/>
      <c r="J675" s="17"/>
      <c r="K675" s="17"/>
      <c r="L675" s="6"/>
      <c r="M675" s="6"/>
      <c r="N675" s="16"/>
      <c r="O675" s="6"/>
      <c r="P675" s="16"/>
      <c r="Q675" s="6"/>
      <c r="R675" s="6"/>
      <c r="S675" s="6"/>
    </row>
    <row r="676">
      <c r="A676" s="22"/>
      <c r="B676" s="6"/>
      <c r="C676" s="6"/>
      <c r="D676" s="6"/>
      <c r="E676" s="6"/>
      <c r="F676" s="6"/>
      <c r="G676" s="16"/>
      <c r="H676" s="16"/>
      <c r="I676" s="17"/>
      <c r="J676" s="17"/>
      <c r="K676" s="17"/>
      <c r="L676" s="6"/>
      <c r="M676" s="6"/>
      <c r="N676" s="16"/>
      <c r="O676" s="6"/>
      <c r="P676" s="16"/>
      <c r="Q676" s="6"/>
      <c r="R676" s="6"/>
      <c r="S676" s="6"/>
    </row>
    <row r="677">
      <c r="A677" s="22"/>
      <c r="B677" s="6"/>
      <c r="C677" s="6"/>
      <c r="D677" s="6"/>
      <c r="E677" s="6"/>
      <c r="F677" s="6"/>
      <c r="G677" s="16"/>
      <c r="H677" s="16"/>
      <c r="I677" s="17"/>
      <c r="J677" s="17"/>
      <c r="K677" s="17"/>
      <c r="L677" s="6"/>
      <c r="M677" s="6"/>
      <c r="N677" s="16"/>
      <c r="O677" s="6"/>
      <c r="P677" s="16"/>
      <c r="Q677" s="6"/>
      <c r="R677" s="6"/>
      <c r="S677" s="6"/>
    </row>
    <row r="678">
      <c r="A678" s="22"/>
      <c r="B678" s="6"/>
      <c r="C678" s="6"/>
      <c r="D678" s="6"/>
      <c r="E678" s="6"/>
      <c r="F678" s="6"/>
      <c r="G678" s="16"/>
      <c r="H678" s="16"/>
      <c r="I678" s="17"/>
      <c r="J678" s="17"/>
      <c r="K678" s="17"/>
      <c r="L678" s="6"/>
      <c r="M678" s="6"/>
      <c r="N678" s="16"/>
      <c r="O678" s="6"/>
      <c r="P678" s="16"/>
      <c r="Q678" s="6"/>
      <c r="R678" s="6"/>
      <c r="S678" s="6"/>
    </row>
    <row r="679">
      <c r="A679" s="22"/>
      <c r="B679" s="6"/>
      <c r="C679" s="6"/>
      <c r="D679" s="6"/>
      <c r="E679" s="6"/>
      <c r="F679" s="6"/>
      <c r="G679" s="16"/>
      <c r="H679" s="16"/>
      <c r="I679" s="17"/>
      <c r="J679" s="17"/>
      <c r="K679" s="17"/>
      <c r="L679" s="6"/>
      <c r="M679" s="6"/>
      <c r="N679" s="16"/>
      <c r="O679" s="6"/>
      <c r="P679" s="16"/>
      <c r="Q679" s="6"/>
      <c r="R679" s="6"/>
      <c r="S679" s="6"/>
    </row>
    <row r="680">
      <c r="A680" s="22"/>
      <c r="B680" s="6"/>
      <c r="C680" s="6"/>
      <c r="D680" s="6"/>
      <c r="E680" s="6"/>
      <c r="F680" s="6"/>
      <c r="G680" s="16"/>
      <c r="H680" s="16"/>
      <c r="I680" s="17"/>
      <c r="J680" s="17"/>
      <c r="K680" s="17"/>
      <c r="L680" s="6"/>
      <c r="M680" s="6"/>
      <c r="N680" s="16"/>
      <c r="O680" s="6"/>
      <c r="P680" s="16"/>
      <c r="Q680" s="6"/>
      <c r="R680" s="6"/>
      <c r="S680" s="6"/>
    </row>
    <row r="681">
      <c r="A681" s="22"/>
      <c r="B681" s="6"/>
      <c r="C681" s="6"/>
      <c r="D681" s="6"/>
      <c r="E681" s="6"/>
      <c r="F681" s="6"/>
      <c r="G681" s="16"/>
      <c r="H681" s="16"/>
      <c r="I681" s="17"/>
      <c r="J681" s="17"/>
      <c r="K681" s="17"/>
      <c r="L681" s="6"/>
      <c r="M681" s="6"/>
      <c r="N681" s="16"/>
      <c r="O681" s="6"/>
      <c r="P681" s="16"/>
      <c r="Q681" s="6"/>
      <c r="R681" s="6"/>
      <c r="S681" s="6"/>
    </row>
    <row r="682">
      <c r="A682" s="22"/>
      <c r="B682" s="6"/>
      <c r="C682" s="6"/>
      <c r="D682" s="6"/>
      <c r="E682" s="6"/>
      <c r="F682" s="6"/>
      <c r="G682" s="16"/>
      <c r="H682" s="16"/>
      <c r="I682" s="17"/>
      <c r="J682" s="17"/>
      <c r="K682" s="17"/>
      <c r="L682" s="6"/>
      <c r="M682" s="6"/>
      <c r="N682" s="16"/>
      <c r="O682" s="6"/>
      <c r="P682" s="16"/>
      <c r="Q682" s="6"/>
      <c r="R682" s="6"/>
      <c r="S682" s="6"/>
    </row>
    <row r="683">
      <c r="A683" s="22"/>
      <c r="B683" s="6"/>
      <c r="C683" s="6"/>
      <c r="D683" s="6"/>
      <c r="E683" s="6"/>
      <c r="F683" s="6"/>
      <c r="G683" s="16"/>
      <c r="H683" s="16"/>
      <c r="I683" s="17"/>
      <c r="J683" s="17"/>
      <c r="K683" s="17"/>
      <c r="L683" s="6"/>
      <c r="M683" s="6"/>
      <c r="N683" s="16"/>
      <c r="O683" s="6"/>
      <c r="P683" s="16"/>
      <c r="Q683" s="6"/>
      <c r="R683" s="6"/>
      <c r="S683" s="6"/>
    </row>
    <row r="684">
      <c r="A684" s="22"/>
      <c r="B684" s="6"/>
      <c r="C684" s="6"/>
      <c r="D684" s="6"/>
      <c r="E684" s="6"/>
      <c r="F684" s="6"/>
      <c r="G684" s="16"/>
      <c r="H684" s="16"/>
      <c r="I684" s="17"/>
      <c r="J684" s="17"/>
      <c r="K684" s="17"/>
      <c r="L684" s="6"/>
      <c r="M684" s="6"/>
      <c r="N684" s="16"/>
      <c r="O684" s="6"/>
      <c r="P684" s="16"/>
      <c r="Q684" s="6"/>
      <c r="R684" s="6"/>
      <c r="S684" s="6"/>
    </row>
    <row r="685">
      <c r="A685" s="22"/>
      <c r="B685" s="6"/>
      <c r="C685" s="6"/>
      <c r="D685" s="6"/>
      <c r="E685" s="6"/>
      <c r="F685" s="6"/>
      <c r="G685" s="16"/>
      <c r="H685" s="16"/>
      <c r="I685" s="17"/>
      <c r="J685" s="17"/>
      <c r="K685" s="17"/>
      <c r="L685" s="6"/>
      <c r="M685" s="6"/>
      <c r="N685" s="16"/>
      <c r="O685" s="6"/>
      <c r="P685" s="16"/>
      <c r="Q685" s="6"/>
      <c r="R685" s="6"/>
      <c r="S685" s="6"/>
    </row>
    <row r="686">
      <c r="A686" s="22"/>
      <c r="B686" s="6"/>
      <c r="C686" s="6"/>
      <c r="D686" s="6"/>
      <c r="E686" s="6"/>
      <c r="F686" s="6"/>
      <c r="G686" s="16"/>
      <c r="H686" s="16"/>
      <c r="I686" s="17"/>
      <c r="J686" s="17"/>
      <c r="K686" s="17"/>
      <c r="L686" s="6"/>
      <c r="M686" s="6"/>
      <c r="N686" s="16"/>
      <c r="O686" s="6"/>
      <c r="P686" s="16"/>
      <c r="Q686" s="6"/>
      <c r="R686" s="6"/>
      <c r="S686" s="6"/>
    </row>
    <row r="687">
      <c r="A687" s="22"/>
      <c r="B687" s="6"/>
      <c r="C687" s="6"/>
      <c r="D687" s="6"/>
      <c r="E687" s="6"/>
      <c r="F687" s="6"/>
      <c r="G687" s="16"/>
      <c r="H687" s="16"/>
      <c r="I687" s="17"/>
      <c r="J687" s="17"/>
      <c r="K687" s="17"/>
      <c r="L687" s="6"/>
      <c r="M687" s="6"/>
      <c r="N687" s="16"/>
      <c r="O687" s="6"/>
      <c r="P687" s="16"/>
      <c r="Q687" s="6"/>
      <c r="R687" s="6"/>
      <c r="S687" s="6"/>
    </row>
    <row r="688">
      <c r="A688" s="22"/>
      <c r="B688" s="6"/>
      <c r="C688" s="6"/>
      <c r="D688" s="6"/>
      <c r="E688" s="6"/>
      <c r="F688" s="6"/>
      <c r="G688" s="16"/>
      <c r="H688" s="16"/>
      <c r="I688" s="17"/>
      <c r="J688" s="17"/>
      <c r="K688" s="17"/>
      <c r="L688" s="6"/>
      <c r="M688" s="6"/>
      <c r="N688" s="16"/>
      <c r="O688" s="6"/>
      <c r="P688" s="16"/>
      <c r="Q688" s="6"/>
      <c r="R688" s="6"/>
      <c r="S688" s="6"/>
    </row>
    <row r="689">
      <c r="A689" s="22"/>
      <c r="B689" s="6"/>
      <c r="C689" s="6"/>
      <c r="D689" s="6"/>
      <c r="E689" s="6"/>
      <c r="F689" s="6"/>
      <c r="G689" s="16"/>
      <c r="H689" s="16"/>
      <c r="I689" s="17"/>
      <c r="J689" s="17"/>
      <c r="K689" s="17"/>
      <c r="L689" s="6"/>
      <c r="M689" s="6"/>
      <c r="N689" s="16"/>
      <c r="O689" s="6"/>
      <c r="P689" s="16"/>
      <c r="Q689" s="6"/>
      <c r="R689" s="6"/>
      <c r="S689" s="6"/>
    </row>
    <row r="690">
      <c r="A690" s="22"/>
      <c r="B690" s="6"/>
      <c r="C690" s="6"/>
      <c r="D690" s="6"/>
      <c r="E690" s="6"/>
      <c r="F690" s="6"/>
      <c r="G690" s="16"/>
      <c r="H690" s="16"/>
      <c r="I690" s="17"/>
      <c r="J690" s="17"/>
      <c r="K690" s="17"/>
      <c r="L690" s="6"/>
      <c r="M690" s="6"/>
      <c r="N690" s="16"/>
      <c r="O690" s="6"/>
      <c r="P690" s="16"/>
      <c r="Q690" s="6"/>
      <c r="R690" s="6"/>
      <c r="S690" s="6"/>
    </row>
    <row r="691">
      <c r="A691" s="22"/>
      <c r="B691" s="6"/>
      <c r="C691" s="6"/>
      <c r="D691" s="6"/>
      <c r="E691" s="6"/>
      <c r="F691" s="6"/>
      <c r="G691" s="16"/>
      <c r="H691" s="16"/>
      <c r="I691" s="17"/>
      <c r="J691" s="17"/>
      <c r="K691" s="17"/>
      <c r="L691" s="6"/>
      <c r="M691" s="6"/>
      <c r="N691" s="16"/>
      <c r="O691" s="6"/>
      <c r="P691" s="16"/>
      <c r="Q691" s="6"/>
      <c r="R691" s="6"/>
      <c r="S691" s="6"/>
    </row>
    <row r="692">
      <c r="A692" s="22"/>
      <c r="B692" s="6"/>
      <c r="C692" s="6"/>
      <c r="D692" s="6"/>
      <c r="E692" s="6"/>
      <c r="F692" s="6"/>
      <c r="G692" s="16"/>
      <c r="H692" s="16"/>
      <c r="I692" s="17"/>
      <c r="J692" s="17"/>
      <c r="K692" s="17"/>
      <c r="L692" s="6"/>
      <c r="M692" s="6"/>
      <c r="N692" s="16"/>
      <c r="O692" s="6"/>
      <c r="P692" s="16"/>
      <c r="Q692" s="6"/>
      <c r="R692" s="6"/>
      <c r="S692" s="6"/>
    </row>
    <row r="693">
      <c r="A693" s="22"/>
      <c r="B693" s="6"/>
      <c r="C693" s="6"/>
      <c r="D693" s="6"/>
      <c r="E693" s="6"/>
      <c r="F693" s="6"/>
      <c r="G693" s="16"/>
      <c r="H693" s="16"/>
      <c r="I693" s="17"/>
      <c r="J693" s="17"/>
      <c r="K693" s="17"/>
      <c r="L693" s="6"/>
      <c r="M693" s="6"/>
      <c r="N693" s="16"/>
      <c r="O693" s="6"/>
      <c r="P693" s="16"/>
      <c r="Q693" s="6"/>
      <c r="R693" s="6"/>
      <c r="S693" s="6"/>
    </row>
    <row r="694">
      <c r="A694" s="22"/>
      <c r="B694" s="6"/>
      <c r="C694" s="6"/>
      <c r="D694" s="6"/>
      <c r="E694" s="6"/>
      <c r="F694" s="6"/>
      <c r="G694" s="16"/>
      <c r="H694" s="16"/>
      <c r="I694" s="17"/>
      <c r="J694" s="17"/>
      <c r="K694" s="17"/>
      <c r="L694" s="6"/>
      <c r="M694" s="6"/>
      <c r="N694" s="16"/>
      <c r="O694" s="6"/>
      <c r="P694" s="16"/>
      <c r="Q694" s="6"/>
      <c r="R694" s="6"/>
      <c r="S694" s="6"/>
    </row>
    <row r="695">
      <c r="A695" s="22"/>
      <c r="B695" s="6"/>
      <c r="C695" s="6"/>
      <c r="D695" s="6"/>
      <c r="E695" s="6"/>
      <c r="F695" s="6"/>
      <c r="G695" s="16"/>
      <c r="H695" s="16"/>
      <c r="I695" s="17"/>
      <c r="J695" s="17"/>
      <c r="K695" s="17"/>
      <c r="L695" s="6"/>
      <c r="M695" s="6"/>
      <c r="N695" s="16"/>
      <c r="O695" s="6"/>
      <c r="P695" s="16"/>
      <c r="Q695" s="6"/>
      <c r="R695" s="6"/>
      <c r="S695" s="6"/>
    </row>
    <row r="696">
      <c r="A696" s="22"/>
      <c r="B696" s="6"/>
      <c r="C696" s="6"/>
      <c r="D696" s="6"/>
      <c r="E696" s="6"/>
      <c r="F696" s="6"/>
      <c r="G696" s="16"/>
      <c r="H696" s="16"/>
      <c r="I696" s="17"/>
      <c r="J696" s="17"/>
      <c r="K696" s="17"/>
      <c r="L696" s="6"/>
      <c r="M696" s="6"/>
      <c r="N696" s="16"/>
      <c r="O696" s="6"/>
      <c r="P696" s="16"/>
      <c r="Q696" s="6"/>
      <c r="R696" s="6"/>
      <c r="S696" s="6"/>
    </row>
    <row r="697">
      <c r="A697" s="22"/>
      <c r="B697" s="6"/>
      <c r="C697" s="6"/>
      <c r="D697" s="6"/>
      <c r="E697" s="6"/>
      <c r="F697" s="6"/>
      <c r="G697" s="16"/>
      <c r="H697" s="16"/>
      <c r="I697" s="17"/>
      <c r="J697" s="17"/>
      <c r="K697" s="17"/>
      <c r="L697" s="6"/>
      <c r="M697" s="6"/>
      <c r="N697" s="16"/>
      <c r="O697" s="6"/>
      <c r="P697" s="16"/>
      <c r="Q697" s="6"/>
      <c r="R697" s="6"/>
      <c r="S697" s="6"/>
    </row>
    <row r="698">
      <c r="A698" s="22"/>
      <c r="B698" s="6"/>
      <c r="C698" s="6"/>
      <c r="D698" s="6"/>
      <c r="E698" s="6"/>
      <c r="F698" s="6"/>
      <c r="G698" s="16"/>
      <c r="H698" s="16"/>
      <c r="I698" s="17"/>
      <c r="J698" s="17"/>
      <c r="K698" s="17"/>
      <c r="L698" s="6"/>
      <c r="M698" s="6"/>
      <c r="N698" s="16"/>
      <c r="O698" s="6"/>
      <c r="P698" s="16"/>
      <c r="Q698" s="6"/>
      <c r="R698" s="6"/>
      <c r="S698" s="6"/>
    </row>
    <row r="699">
      <c r="A699" s="22"/>
      <c r="B699" s="6"/>
      <c r="C699" s="6"/>
      <c r="D699" s="6"/>
      <c r="E699" s="6"/>
      <c r="F699" s="6"/>
      <c r="G699" s="16"/>
      <c r="H699" s="16"/>
      <c r="I699" s="17"/>
      <c r="J699" s="17"/>
      <c r="K699" s="17"/>
      <c r="L699" s="6"/>
      <c r="M699" s="6"/>
      <c r="N699" s="16"/>
      <c r="O699" s="6"/>
      <c r="P699" s="16"/>
      <c r="Q699" s="6"/>
      <c r="R699" s="6"/>
      <c r="S699" s="6"/>
    </row>
    <row r="700">
      <c r="A700" s="22"/>
      <c r="B700" s="6"/>
      <c r="C700" s="6"/>
      <c r="D700" s="6"/>
      <c r="E700" s="6"/>
      <c r="F700" s="6"/>
      <c r="G700" s="16"/>
      <c r="H700" s="16"/>
      <c r="I700" s="17"/>
      <c r="J700" s="17"/>
      <c r="K700" s="17"/>
      <c r="L700" s="6"/>
      <c r="M700" s="6"/>
      <c r="N700" s="16"/>
      <c r="O700" s="6"/>
      <c r="P700" s="16"/>
      <c r="Q700" s="6"/>
      <c r="R700" s="6"/>
      <c r="S700" s="6"/>
    </row>
    <row r="701">
      <c r="A701" s="22"/>
      <c r="B701" s="6"/>
      <c r="C701" s="6"/>
      <c r="D701" s="6"/>
      <c r="E701" s="6"/>
      <c r="F701" s="6"/>
      <c r="G701" s="16"/>
      <c r="H701" s="16"/>
      <c r="I701" s="17"/>
      <c r="J701" s="17"/>
      <c r="K701" s="17"/>
      <c r="L701" s="6"/>
      <c r="M701" s="6"/>
      <c r="N701" s="16"/>
      <c r="O701" s="6"/>
      <c r="P701" s="16"/>
      <c r="Q701" s="6"/>
      <c r="R701" s="6"/>
      <c r="S701" s="6"/>
    </row>
    <row r="702">
      <c r="A702" s="22"/>
      <c r="B702" s="6"/>
      <c r="C702" s="6"/>
      <c r="D702" s="6"/>
      <c r="E702" s="6"/>
      <c r="F702" s="6"/>
      <c r="G702" s="16"/>
      <c r="H702" s="16"/>
      <c r="I702" s="17"/>
      <c r="J702" s="17"/>
      <c r="K702" s="17"/>
      <c r="L702" s="6"/>
      <c r="M702" s="6"/>
      <c r="N702" s="16"/>
      <c r="O702" s="6"/>
      <c r="P702" s="16"/>
      <c r="Q702" s="6"/>
      <c r="R702" s="6"/>
      <c r="S702" s="6"/>
    </row>
  </sheetData>
  <hyperlinks>
    <hyperlink r:id="rId1" location="gid=988598667" ref="J257"/>
    <hyperlink r:id="rId2" location="gid=1997450648" ref="J258"/>
    <hyperlink r:id="rId3" location="gid=1755627096" ref="J259"/>
    <hyperlink r:id="rId4" location="gid=1311899156" ref="J260"/>
    <hyperlink r:id="rId5" location="gid=242811066" ref="J261"/>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2" max="2" width="10.0"/>
    <col customWidth="1" min="3" max="3" width="14.63"/>
    <col customWidth="1" min="4" max="4" width="12.25"/>
    <col customWidth="1" min="5" max="5" width="80.38"/>
    <col customWidth="1" min="6" max="6" width="8.0"/>
    <col customWidth="1" min="10" max="10" width="17.0"/>
    <col customWidth="1" min="14" max="14" width="17.75"/>
    <col customWidth="1" min="15" max="15" width="38.38"/>
  </cols>
  <sheetData>
    <row r="1" hidden="1">
      <c r="A1" s="31"/>
      <c r="B1" s="14"/>
      <c r="C1" s="14"/>
      <c r="D1" s="48" t="s">
        <v>623</v>
      </c>
      <c r="E1" s="14"/>
      <c r="F1" s="25"/>
      <c r="G1" s="6"/>
      <c r="H1" s="6"/>
      <c r="I1" s="19"/>
      <c r="J1" s="49" t="str">
        <f t="array" ref="J1:J12">IF(A14:A1975="", "",
  IFNA(
    VLOOKUP(
      A14:A1975,
      SORT('АРХИВ'!A:H, ROW('АРХИВ'!A:A), FALSE),
      8,
      FALSE
    )
  ,""))</f>
        <v>#REF!</v>
      </c>
      <c r="K1" s="50"/>
      <c r="L1" s="6"/>
      <c r="M1" s="51" t="str">
        <f t="array" ref="M1:M12">IF($A$14:$A1975="", "", IF(J14:J1975=100, "", IF(K14:K1975="", "", DATEVALUE(LEFT(K14:K1975, 10)) + L14:L1975)))</f>
        <v>#REF!</v>
      </c>
      <c r="O1" s="6"/>
      <c r="P1" s="6"/>
      <c r="Q1" s="6"/>
      <c r="R1" s="6"/>
    </row>
    <row r="2" hidden="1">
      <c r="A2" s="31"/>
      <c r="B2" s="14"/>
      <c r="C2" s="14"/>
      <c r="D2" s="6"/>
      <c r="E2" s="14"/>
      <c r="F2" s="25"/>
      <c r="G2" s="6"/>
      <c r="H2" s="6"/>
      <c r="I2" s="19"/>
      <c r="J2" s="50"/>
      <c r="L2" s="6"/>
      <c r="M2" s="52"/>
      <c r="N2" s="53"/>
      <c r="O2" s="6"/>
      <c r="P2" s="6"/>
      <c r="Q2" s="6"/>
      <c r="R2" s="6"/>
    </row>
    <row r="3" hidden="1">
      <c r="A3" s="31"/>
      <c r="B3" s="14"/>
      <c r="C3" s="14" t="s">
        <v>624</v>
      </c>
      <c r="D3" s="54" t="s">
        <v>625</v>
      </c>
      <c r="E3" s="14"/>
      <c r="F3" s="25"/>
      <c r="G3" s="6"/>
      <c r="H3" s="6"/>
      <c r="I3" s="19"/>
      <c r="J3" s="50"/>
      <c r="L3" s="6"/>
      <c r="M3" s="52"/>
      <c r="N3" s="53"/>
      <c r="O3" s="6"/>
      <c r="P3" s="6"/>
      <c r="Q3" s="6"/>
      <c r="R3" s="6"/>
    </row>
    <row r="4" hidden="1">
      <c r="A4" s="31"/>
      <c r="B4" s="14"/>
      <c r="C4" s="14" t="s">
        <v>626</v>
      </c>
      <c r="D4" s="54" t="s">
        <v>627</v>
      </c>
      <c r="E4" s="14"/>
      <c r="F4" s="25"/>
      <c r="G4" s="6"/>
      <c r="H4" s="6"/>
      <c r="I4" s="19"/>
      <c r="J4" s="50"/>
      <c r="L4" s="6"/>
      <c r="M4" s="52"/>
      <c r="N4" s="53"/>
      <c r="O4" s="6"/>
      <c r="P4" s="6"/>
      <c r="Q4" s="6"/>
      <c r="R4" s="6"/>
    </row>
    <row r="5" hidden="1">
      <c r="A5" s="31"/>
      <c r="B5" s="14"/>
      <c r="C5" s="14" t="s">
        <v>628</v>
      </c>
      <c r="D5" s="54" t="s">
        <v>629</v>
      </c>
      <c r="E5" s="14"/>
      <c r="F5" s="25"/>
      <c r="G5" s="6"/>
      <c r="H5" s="6"/>
      <c r="I5" s="19"/>
      <c r="J5" s="50"/>
      <c r="L5" s="6"/>
      <c r="M5" s="52"/>
      <c r="N5" s="53"/>
      <c r="O5" s="6"/>
      <c r="P5" s="6"/>
      <c r="Q5" s="6"/>
      <c r="R5" s="6"/>
    </row>
    <row r="6" hidden="1">
      <c r="A6" s="31"/>
      <c r="B6" s="14"/>
      <c r="C6" s="14" t="s">
        <v>630</v>
      </c>
      <c r="D6" s="54" t="s">
        <v>631</v>
      </c>
      <c r="E6" s="14"/>
      <c r="F6" s="25"/>
      <c r="G6" s="6"/>
      <c r="H6" s="6"/>
      <c r="I6" s="19"/>
      <c r="J6" s="50"/>
      <c r="L6" s="6"/>
      <c r="M6" s="52"/>
      <c r="N6" s="53"/>
      <c r="O6" s="6"/>
      <c r="P6" s="6"/>
      <c r="Q6" s="6"/>
      <c r="R6" s="6"/>
    </row>
    <row r="7" hidden="1">
      <c r="A7" s="31"/>
      <c r="B7" s="14"/>
      <c r="C7" s="14" t="s">
        <v>632</v>
      </c>
      <c r="D7" s="54" t="s">
        <v>633</v>
      </c>
      <c r="E7" s="14"/>
      <c r="F7" s="25"/>
      <c r="G7" s="6"/>
      <c r="H7" s="6"/>
      <c r="I7" s="19"/>
      <c r="J7" s="50"/>
      <c r="L7" s="6"/>
      <c r="M7" s="52"/>
      <c r="N7" s="53"/>
      <c r="O7" s="6"/>
      <c r="P7" s="6"/>
      <c r="Q7" s="6"/>
      <c r="R7" s="6"/>
    </row>
    <row r="8" hidden="1">
      <c r="A8" s="31"/>
      <c r="B8" s="14"/>
      <c r="C8" s="14" t="s">
        <v>634</v>
      </c>
      <c r="D8" s="54" t="s">
        <v>635</v>
      </c>
      <c r="E8" s="14"/>
      <c r="F8" s="25"/>
      <c r="G8" s="6"/>
      <c r="H8" s="6"/>
      <c r="I8" s="19"/>
      <c r="J8" s="50"/>
      <c r="L8" s="6"/>
      <c r="M8" s="52"/>
      <c r="N8" s="53"/>
      <c r="O8" s="6"/>
      <c r="P8" s="6"/>
      <c r="Q8" s="6"/>
      <c r="R8" s="6"/>
    </row>
    <row r="9" hidden="1">
      <c r="A9" s="31"/>
      <c r="B9" s="14"/>
      <c r="C9" s="14" t="s">
        <v>636</v>
      </c>
      <c r="D9" s="54" t="s">
        <v>637</v>
      </c>
      <c r="E9" s="14"/>
      <c r="F9" s="25"/>
      <c r="G9" s="6"/>
      <c r="H9" s="6"/>
      <c r="I9" s="19"/>
      <c r="J9" s="50"/>
      <c r="L9" s="6"/>
      <c r="M9" s="52"/>
      <c r="N9" s="53"/>
      <c r="O9" s="6"/>
      <c r="P9" s="6"/>
      <c r="Q9" s="6"/>
      <c r="R9" s="6"/>
    </row>
    <row r="10" hidden="1">
      <c r="A10" s="31"/>
      <c r="B10" s="14"/>
      <c r="C10" s="14"/>
      <c r="D10" s="6"/>
      <c r="E10" s="14"/>
      <c r="F10" s="25"/>
      <c r="G10" s="6"/>
      <c r="H10" s="6"/>
      <c r="I10" s="19"/>
      <c r="J10" s="50"/>
      <c r="L10" s="6"/>
      <c r="M10" s="52"/>
      <c r="N10" s="53"/>
      <c r="O10" s="6"/>
      <c r="P10" s="6"/>
      <c r="Q10" s="6"/>
      <c r="R10" s="6"/>
    </row>
    <row r="11" hidden="1">
      <c r="A11" s="31"/>
      <c r="B11" s="14"/>
      <c r="C11" s="14"/>
      <c r="D11" s="6"/>
      <c r="E11" s="14"/>
      <c r="F11" s="25"/>
      <c r="G11" s="6"/>
      <c r="H11" s="6"/>
      <c r="I11" s="19"/>
      <c r="J11" s="50"/>
      <c r="L11" s="6"/>
      <c r="M11" s="52"/>
      <c r="N11" s="53"/>
      <c r="O11" s="6"/>
      <c r="P11" s="6"/>
      <c r="Q11" s="6"/>
      <c r="R11" s="6"/>
    </row>
    <row r="12">
      <c r="A12" s="31" t="s">
        <v>638</v>
      </c>
      <c r="B12" s="14" t="s">
        <v>5</v>
      </c>
      <c r="C12" s="14" t="s">
        <v>639</v>
      </c>
      <c r="D12" s="47" t="s">
        <v>640</v>
      </c>
      <c r="E12" s="31" t="s">
        <v>641</v>
      </c>
      <c r="F12" s="14" t="s">
        <v>642</v>
      </c>
      <c r="G12" s="25" t="s">
        <v>643</v>
      </c>
      <c r="H12" s="6" t="s">
        <v>644</v>
      </c>
      <c r="I12" s="6" t="s">
        <v>645</v>
      </c>
      <c r="J12" s="55" t="s">
        <v>646</v>
      </c>
      <c r="K12" s="56" t="s">
        <v>647</v>
      </c>
      <c r="L12" s="15" t="s">
        <v>648</v>
      </c>
      <c r="M12" s="15" t="s">
        <v>649</v>
      </c>
      <c r="N12" s="15" t="s">
        <v>650</v>
      </c>
      <c r="O12" s="6"/>
      <c r="P12" s="6"/>
      <c r="Q12" s="6"/>
      <c r="R12" s="6"/>
    </row>
    <row r="13">
      <c r="A13" s="31" t="str">
        <f>IFERROR(__xludf.DUMMYFUNCTION("QUERY(IMPORTRANGE(D1, ""АИП 25-27 / РЕН 25-27 / ВНЕ СПИСКА!A:ZZ""), ""SELECT Col6, Col4, Col5, Col38, Col52,Col55,Col56,Col53, Col54, Col28, Col30 OFFSET 12"", 1)"),"6")</f>
        <v>6</v>
      </c>
      <c r="B13" s="14" t="str">
        <f>IFERROR(__xludf.DUMMYFUNCTION("""COMPUTED_VALUE"""),"4")</f>
        <v>4</v>
      </c>
      <c r="C13" s="14" t="str">
        <f>IFERROR(__xludf.DUMMYFUNCTION("""COMPUTED_VALUE"""),"7")</f>
        <v>7</v>
      </c>
      <c r="D13" s="15" t="str">
        <f>IFERROR(__xludf.DUMMYFUNCTION("""COMPUTED_VALUE"""),"38")</f>
        <v>38</v>
      </c>
      <c r="E13" s="14" t="str">
        <f>IFERROR(__xludf.DUMMYFUNCTION("""COMPUTED_VALUE"""),"")</f>
        <v/>
      </c>
      <c r="F13" s="25" t="str">
        <f>IFERROR(__xludf.DUMMYFUNCTION("""COMPUTED_VALUE"""),"")</f>
        <v/>
      </c>
      <c r="G13" s="6" t="str">
        <f>IFERROR(__xludf.DUMMYFUNCTION("""COMPUTED_VALUE"""),"")</f>
        <v/>
      </c>
      <c r="H13" s="6" t="str">
        <f>IFERROR(__xludf.DUMMYFUNCTION("""COMPUTED_VALUE"""),"")</f>
        <v/>
      </c>
      <c r="I13" s="19" t="str">
        <f>IFERROR(__xludf.DUMMYFUNCTION("""COMPUTED_VALUE"""),"")</f>
        <v/>
      </c>
      <c r="J13" s="50" t="str">
        <f>IFERROR(__xludf.DUMMYFUNCTION("""COMPUTED_VALUE"""),"28")</f>
        <v>28</v>
      </c>
      <c r="K13" s="13" t="str">
        <f>IFERROR(__xludf.DUMMYFUNCTION("""COMPUTED_VALUE"""),"32")</f>
        <v>32</v>
      </c>
      <c r="L13" s="6"/>
      <c r="M13" s="52"/>
      <c r="N13" s="53"/>
      <c r="O13" s="6"/>
      <c r="P13" s="6"/>
      <c r="Q13" s="6"/>
      <c r="R13" s="6"/>
    </row>
    <row r="14">
      <c r="A14" s="31" t="str">
        <f>IFERROR(__xludf.DUMMYFUNCTION("""COMPUTED_VALUE"""),"006")</f>
        <v>006</v>
      </c>
      <c r="B14" s="14" t="str">
        <f>IFERROR(__xludf.DUMMYFUNCTION("""COMPUTED_VALUE"""),"АИП-25")</f>
        <v>АИП-25</v>
      </c>
      <c r="C14" s="14" t="str">
        <f>IFERROR(__xludf.DUMMYFUNCTION("""COMPUTED_VALUE"""),"ОКС")</f>
        <v>ОКС</v>
      </c>
      <c r="D14" s="15"/>
      <c r="E14" s="14" t="str">
        <f>IFERROR(__xludf.DUMMYFUNCTION("""COMPUTED_VALUE"""),"Осмотр итогов строительства объекта административного здания на территории поселения Внуковское район Внуково, поселение Внуковское, ул. Авиаконструктора Петлякова")</f>
        <v>Осмотр итогов строительства объекта административного здания на территории поселения Внуковское район Внуково, поселение Внуковское, ул. Авиаконструктора Петлякова</v>
      </c>
      <c r="F14" s="25" t="str">
        <f>IFERROR(__xludf.DUMMYFUNCTION("""COMPUTED_VALUE"""),"#N/A")</f>
        <v>#N/A</v>
      </c>
      <c r="G14" s="6" t="str">
        <f>IFERROR(__xludf.DUMMYFUNCTION("""COMPUTED_VALUE"""),"#N/A")</f>
        <v>#N/A</v>
      </c>
      <c r="H14" s="18" t="str">
        <f>IFERROR(__xludf.DUMMYFUNCTION("""COMPUTED_VALUE"""),"https://docs.google.com/spreadsheets/d/19THEBTE9q0fhN2eApZr6BgenIvLGh0AckaYxHQfHk5w/edit?gid=1222968113#gid=1222968113")</f>
        <v>https://docs.google.com/spreadsheets/d/19THEBTE9q0fhN2eApZr6BgenIvLGh0AckaYxHQfHk5w/edit?gid=1222968113#gid=1222968113</v>
      </c>
      <c r="I14" s="19" t="str">
        <f>IFERROR(__xludf.DUMMYFUNCTION("""COMPUTED_VALUE"""),"https://disk.yandex.ru/client/disk/Осмотры%20объектов%20АНО%20СМГ/006.%20Административное%20здание%20на%20тер%20Внуковское%20д%20Лапшинка")</f>
        <v>https://disk.yandex.ru/client/disk/Осмотры%20объектов%20АНО%20СМГ/006.%20Административное%20здание%20на%20тер%20Внуковское%20д%20Лапшинка</v>
      </c>
      <c r="J14" s="57">
        <f>IFERROR(__xludf.DUMMYFUNCTION("""COMPUTED_VALUE"""),100.0)</f>
        <v>100</v>
      </c>
      <c r="K14" s="58">
        <f>IFERROR(__xludf.DUMMYFUNCTION("""COMPUTED_VALUE"""),45909.0)</f>
        <v>45909</v>
      </c>
      <c r="L14" s="6" t="str">
        <f t="array" ref="L14:L1975">IF(A14:A1975="", "", IF(J14:J1975=100, "Завершен", IF(J14:J1975&lt;=50, 30, IF(J14:J1975&lt;=94, 14, 7))))</f>
        <v>Завершен</v>
      </c>
      <c r="M14" s="13" t="str">
        <f t="array" ref="M14:M1975">IF(A14:A1975="", "", IF(J14:J1975=100, "", IF(K14:K1975="", "", DATEVALUE(LEFT(K14:K1975, 10)) + L14:L1975)))</f>
        <v/>
      </c>
      <c r="N14" s="59" t="str">
        <f t="array" ref="N14:N1975">IF(A14:A1975="", "",
  IF(J14:J1975=100, "✅ Завершен",
  IF(LEFT(O14:O1975, 2)="РВ", "🔴 Объект введен",
  IF(K14:K1975="", "🆕 Нет объездов",
    IF(TODAY() - DATEVALUE(LEFT(K14:K1975, 10)) &gt; L14:L1975, "🔴 ПРОСРОЧЕН",
    IF(L14:L1975 = 30,
       IF(TODAY() - DATEVALUE(LEFT(K14:K1975, 10)) &gt; 23, "🔴 СРОЧНО", 
       IF(TODAY() - DATEVALUE(LEFT(K14:K1975, 10)) &gt; 16, "🟠 ВНИМАНИЕ",
       IF(TODAY() - DATEVALUE(LEFT(K14:K1975, 10)) &gt; 9, "🟡 СКОРО", "🟢 ПО ПЛАНУ"))),
    IF(L14:L1975 = 14,
       IF(TODAY() - DATEVALUE(LEFT(K14:K1975, 10)) &gt; 11, "🔴 СРОЧНО",
       IF(TODAY() - DATEVALUE(LEFT(K14:K1975, 10)) &gt; 7, "🟠 ВНИМАНИЕ",
       IF(TODAY() - DATEVALUE(LEFT(K14:K1975, 10)) &gt; 4, "🟡 СКОРО", "🟢 ПО ПЛАНУ"))),
       IF(TODAY() - DATEVALUE(LEFT(K14:K1975, 10)) &gt; 6, "🔴 СРОЧНО",
       IF(TODAY() - DATEVALUE(LEFT(K14:K1975, 10)) &gt; 4, "🟠 ВНИМАНИЕ",
       IF(TODAY() - DATEVALUE(LEFT(K14:K1975, 10)) &gt; 2, "🟡 СКОРО", "🟢 ПО ПЛАНУ")))
    )))
  )))
)</f>
        <v>✅ Завершен</v>
      </c>
      <c r="O14" s="19" t="s">
        <v>651</v>
      </c>
      <c r="P14" s="6"/>
      <c r="Q14" s="6"/>
      <c r="R14" s="6"/>
    </row>
    <row r="15">
      <c r="A15" s="31" t="str">
        <f>IFERROR(__xludf.DUMMYFUNCTION("""COMPUTED_VALUE"""),"160д")</f>
        <v>160д</v>
      </c>
      <c r="B15" s="14" t="str">
        <f>IFERROR(__xludf.DUMMYFUNCTION("""COMPUTED_VALUE"""),"АИП-25")</f>
        <v>АИП-25</v>
      </c>
      <c r="C15" s="14" t="str">
        <f>IFERROR(__xludf.DUMMYFUNCTION("""COMPUTED_VALUE"""),"УДС")</f>
        <v>УДС</v>
      </c>
      <c r="D15" s="15"/>
      <c r="E15" s="14" t="str">
        <f>IFERROR(__xludf.DUMMYFUNCTION("""COMPUTED_VALUE"""),"Развитие улично-дорожной сети городского округа Троицк (2 этап). (Строительство
магистральной улицы районного значения от ул. Полковника милиции Курочкина до
Октябрьского проспекта (Подъездная дорога к школе на 2100 мест в микрорайоне ""В"" г.о.
Троицк в "&amp;"городе Москве) Троицк")</f>
        <v>Развитие улично-дорожной сети городского округа Троицк (2 этап). (Строительство
магистральной улицы районного значения от ул. Полковника милиции Курочкина до
Октябрьского проспекта (Подъездная дорога к школе на 2100 мест в микрорайоне "В" г.о.
Троицк в городе Москве) Троицк</v>
      </c>
      <c r="F15" s="25" t="str">
        <f>IFERROR(__xludf.DUMMYFUNCTION("""COMPUTED_VALUE"""),"#N/A")</f>
        <v>#N/A</v>
      </c>
      <c r="G15" s="6" t="str">
        <f>IFERROR(__xludf.DUMMYFUNCTION("""COMPUTED_VALUE"""),"#N/A")</f>
        <v>#N/A</v>
      </c>
      <c r="H15" s="6"/>
      <c r="I15" s="6"/>
      <c r="J15" s="50">
        <f>IFERROR(__xludf.DUMMYFUNCTION("""COMPUTED_VALUE"""),98.0)</f>
        <v>98</v>
      </c>
      <c r="K15" s="58">
        <f>IFERROR(__xludf.DUMMYFUNCTION("""COMPUTED_VALUE"""),45968.0)</f>
        <v>45968</v>
      </c>
      <c r="L15" s="6">
        <v>7.0</v>
      </c>
      <c r="M15" s="52">
        <v>45975.0</v>
      </c>
      <c r="N15" s="53" t="s">
        <v>652</v>
      </c>
      <c r="O15" s="6" t="s">
        <v>653</v>
      </c>
      <c r="P15" s="6"/>
      <c r="Q15" s="6"/>
      <c r="R15" s="6"/>
    </row>
    <row r="16">
      <c r="A16" s="31" t="str">
        <f>IFERROR(__xludf.DUMMYFUNCTION("""COMPUTED_VALUE"""),"384д")</f>
        <v>384д</v>
      </c>
      <c r="B16" s="14" t="str">
        <f>IFERROR(__xludf.DUMMYFUNCTION("""COMPUTED_VALUE"""),"АИП-25")</f>
        <v>АИП-25</v>
      </c>
      <c r="C16" s="14" t="str">
        <f>IFERROR(__xludf.DUMMYFUNCTION("""COMPUTED_VALUE"""),"УДС")</f>
        <v>УДС</v>
      </c>
      <c r="D16" s="15"/>
      <c r="E16" s="14" t="str">
        <f>IFERROR(__xludf.DUMMYFUNCTION("""COMPUTED_VALUE"""),"Строительство автомобильной дороги ""Воскресенское - Каракашево - Щербинка"". этап: Этап 5.1 (ОРП) Воскресенское")</f>
        <v>Строительство автомобильной дороги "Воскресенское - Каракашево - Щербинка". этап: Этап 5.1 (ОРП) Воскресенское</v>
      </c>
      <c r="F16" s="25" t="str">
        <f>IFERROR(__xludf.DUMMYFUNCTION("""COMPUTED_VALUE"""),"#N/A")</f>
        <v>#N/A</v>
      </c>
      <c r="G16" s="6" t="str">
        <f>IFERROR(__xludf.DUMMYFUNCTION("""COMPUTED_VALUE"""),"#N/A")</f>
        <v>#N/A</v>
      </c>
      <c r="H16" s="6"/>
      <c r="I16" s="6"/>
      <c r="J16" s="50">
        <f>IFERROR(__xludf.DUMMYFUNCTION("""COMPUTED_VALUE"""),100.0)</f>
        <v>100</v>
      </c>
      <c r="K16" s="58">
        <f>IFERROR(__xludf.DUMMYFUNCTION("""COMPUTED_VALUE"""),45972.0)</f>
        <v>45972</v>
      </c>
      <c r="L16" s="6" t="s">
        <v>654</v>
      </c>
      <c r="M16" s="52" t="s">
        <v>655</v>
      </c>
      <c r="N16" s="53" t="s">
        <v>656</v>
      </c>
      <c r="O16" s="6" t="s">
        <v>657</v>
      </c>
      <c r="P16" s="6"/>
      <c r="Q16" s="6"/>
      <c r="R16" s="6"/>
    </row>
    <row r="17">
      <c r="A17" s="31" t="str">
        <f>IFERROR(__xludf.DUMMYFUNCTION("""COMPUTED_VALUE"""),"012")</f>
        <v>012</v>
      </c>
      <c r="B17" s="14" t="str">
        <f>IFERROR(__xludf.DUMMYFUNCTION("""COMPUTED_VALUE"""),"АИП-25")</f>
        <v>АИП-25</v>
      </c>
      <c r="C17" s="14" t="str">
        <f>IFERROR(__xludf.DUMMYFUNCTION("""COMPUTED_VALUE"""),"ОКС")</f>
        <v>ОКС</v>
      </c>
      <c r="D17" s="15"/>
      <c r="E17" s="14" t="str">
        <f>IFERROR(__xludf.DUMMYFUNCTION("""COMPUTED_VALUE"""),"Реконструкция школы № 2062 на 350 мест со строительством пристройки на 550 мест (2-й этап - реконструкция) ТАО, Новофёдоровское, д. Яковлевское, д. 29")</f>
        <v>Реконструкция школы № 2062 на 350 мест со строительством пристройки на 550 мест (2-й этап - реконструкция) ТАО, Новофёдоровское, д. Яковлевское, д. 29</v>
      </c>
      <c r="F17" s="25" t="str">
        <f>IFERROR(__xludf.DUMMYFUNCTION("""COMPUTED_VALUE"""),"#N/A")</f>
        <v>#N/A</v>
      </c>
      <c r="G17" s="6" t="str">
        <f>IFERROR(__xludf.DUMMYFUNCTION("""COMPUTED_VALUE"""),"#N/A")</f>
        <v>#N/A</v>
      </c>
      <c r="H17" s="18" t="str">
        <f>IFERROR(__xludf.DUMMYFUNCTION("""COMPUTED_VALUE"""),"https://docs.google.com/spreadsheets/d/19THEBTE9q0fhN2eApZr6BgenIvLGh0AckaYxHQfHk5w/edit?gid=1038633275#gid=1038633275")</f>
        <v>https://docs.google.com/spreadsheets/d/19THEBTE9q0fhN2eApZr6BgenIvLGh0AckaYxHQfHk5w/edit?gid=1038633275#gid=1038633275</v>
      </c>
      <c r="I17" s="19" t="str">
        <f>IFERROR(__xludf.DUMMYFUNCTION("""COMPUTED_VALUE"""),"https://disk.yandex.ru/client/disk/Осмотры%20объектов%20АНО%20СМГ/012.%20новофедоровское%20СОШ%202062")</f>
        <v>https://disk.yandex.ru/client/disk/Осмотры%20объектов%20АНО%20СМГ/012.%20новофедоровское%20СОШ%202062</v>
      </c>
      <c r="J17" s="50">
        <f>IFERROR(__xludf.DUMMYFUNCTION("""COMPUTED_VALUE"""),100.0)</f>
        <v>100</v>
      </c>
      <c r="K17" s="58">
        <f>IFERROR(__xludf.DUMMYFUNCTION("""COMPUTED_VALUE"""),45889.0)</f>
        <v>45889</v>
      </c>
      <c r="L17" s="6" t="s">
        <v>654</v>
      </c>
      <c r="M17" s="52" t="s">
        <v>655</v>
      </c>
      <c r="N17" s="53" t="s">
        <v>656</v>
      </c>
      <c r="O17" s="19" t="s">
        <v>658</v>
      </c>
      <c r="P17" s="6"/>
      <c r="Q17" s="6"/>
      <c r="R17" s="6"/>
    </row>
    <row r="18">
      <c r="A18" s="31" t="str">
        <f>IFERROR(__xludf.DUMMYFUNCTION("""COMPUTED_VALUE"""),"120")</f>
        <v>120</v>
      </c>
      <c r="B18" s="14" t="str">
        <f>IFERROR(__xludf.DUMMYFUNCTION("""COMPUTED_VALUE"""),"АИП-25")</f>
        <v>АИП-25</v>
      </c>
      <c r="C18" s="14" t="str">
        <f>IFERROR(__xludf.DUMMYFUNCTION("""COMPUTED_VALUE"""),"ОКС")</f>
        <v>ОКС</v>
      </c>
      <c r="D18" s="15"/>
      <c r="E18" s="14" t="str">
        <f>IFERROR(__xludf.DUMMYFUNCTION("""COMPUTED_VALUE"""),"Учебный корпус на 400 мест (этап 2)
 ориентир ул. Базовская, д. 15, корп.13 район Западное Дегунино, ул. Базовская, д. 15, корп. 13")</f>
        <v>Учебный корпус на 400 мест (этап 2)
 ориентир ул. Базовская, д. 15, корп.13 район Западное Дегунино, ул. Базовская, д. 15, корп. 13</v>
      </c>
      <c r="F18" s="25" t="str">
        <f>IFERROR(__xludf.DUMMYFUNCTION("""COMPUTED_VALUE"""),"#N/A")</f>
        <v>#N/A</v>
      </c>
      <c r="G18" s="6" t="str">
        <f>IFERROR(__xludf.DUMMYFUNCTION("""COMPUTED_VALUE"""),"#N/A")</f>
        <v>#N/A</v>
      </c>
      <c r="H18" s="18" t="str">
        <f>IFERROR(__xludf.DUMMYFUNCTION("""COMPUTED_VALUE"""),"https://docs.google.com/spreadsheets/d/19THEBTE9q0fhN2eApZr6BgenIvLGh0AckaYxHQfHk5w/edit?gid=717172873#gid=717172873")</f>
        <v>https://docs.google.com/spreadsheets/d/19THEBTE9q0fhN2eApZr6BgenIvLGh0AckaYxHQfHk5w/edit?gid=717172873#gid=717172873</v>
      </c>
      <c r="I18" s="19" t="str">
        <f>IFERROR(__xludf.DUMMYFUNCTION("""COMPUTED_VALUE"""),"https://disk.yandex.ru/client/disk/Осмотры%20объектов%20АНО%20СМГ/120.%20Базовская%20д15%20корп%2013")</f>
        <v>https://disk.yandex.ru/client/disk/Осмотры%20объектов%20АНО%20СМГ/120.%20Базовская%20д15%20корп%2013</v>
      </c>
      <c r="J18" s="50">
        <f>IFERROR(__xludf.DUMMYFUNCTION("""COMPUTED_VALUE"""),99.9685)</f>
        <v>99.9685</v>
      </c>
      <c r="K18" s="58">
        <f>IFERROR(__xludf.DUMMYFUNCTION("""COMPUTED_VALUE"""),45889.0)</f>
        <v>45889</v>
      </c>
      <c r="L18" s="6">
        <v>7.0</v>
      </c>
      <c r="M18" s="52">
        <v>45896.0</v>
      </c>
      <c r="N18" s="53" t="s">
        <v>652</v>
      </c>
      <c r="O18" s="19" t="s">
        <v>659</v>
      </c>
      <c r="P18" s="6"/>
      <c r="Q18" s="6"/>
      <c r="R18" s="6"/>
    </row>
    <row r="19">
      <c r="A19" s="31" t="str">
        <f>IFERROR(__xludf.DUMMYFUNCTION("""COMPUTED_VALUE"""),"125")</f>
        <v>125</v>
      </c>
      <c r="B19" s="14" t="str">
        <f>IFERROR(__xludf.DUMMYFUNCTION("""COMPUTED_VALUE"""),"АИП-25")</f>
        <v>АИП-25</v>
      </c>
      <c r="C19" s="14" t="str">
        <f>IFERROR(__xludf.DUMMYFUNCTION("""COMPUTED_VALUE"""),"ОКС")</f>
        <v>ОКС</v>
      </c>
      <c r="D19" s="15"/>
      <c r="E19" s="14" t="str">
        <f>IFERROR(__xludf.DUMMYFUNCTION("""COMPUTED_VALUE"""),"Скоропомощный стационарный комплекс на территории ГБУЗ «ГКБ им. В.М. Буянова» ДЗМ
 ул. Бакинская, д. 26 район Царицино, ул. Бакинская, д. 26 (со сносом объектов по адресам: Бакинская ул., д. 26, стр. 6, стр. 8)")</f>
        <v>Скоропомощный стационарный комплекс на территории ГБУЗ «ГКБ им. В.М. Буянова» ДЗМ
 ул. Бакинская, д. 26 район Царицино, ул. Бакинская, д. 26 (со сносом объектов по адресам: Бакинская ул., д. 26, стр. 6, стр. 8)</v>
      </c>
      <c r="F19" s="25" t="str">
        <f>IFERROR(__xludf.DUMMYFUNCTION("""COMPUTED_VALUE"""),"#N/A")</f>
        <v>#N/A</v>
      </c>
      <c r="G19" s="6" t="str">
        <f>IFERROR(__xludf.DUMMYFUNCTION("""COMPUTED_VALUE"""),"#N/A")</f>
        <v>#N/A</v>
      </c>
      <c r="H19" s="18" t="str">
        <f>IFERROR(__xludf.DUMMYFUNCTION("""COMPUTED_VALUE"""),"https://docs.google.com/spreadsheets/d/19THEBTE9q0fhN2eApZr6BgenIvLGh0AckaYxHQfHk5w/edit?gid=2058696561#gid=2058696561")</f>
        <v>https://docs.google.com/spreadsheets/d/19THEBTE9q0fhN2eApZr6BgenIvLGh0AckaYxHQfHk5w/edit?gid=2058696561#gid=2058696561</v>
      </c>
      <c r="I19" s="19" t="str">
        <f>IFERROR(__xludf.DUMMYFUNCTION("""COMPUTED_VALUE"""),"https://disk.yandex.ru/client/disk/Осмотры%20объектов%20АНО%20СМГ/125.%20ГКБ%20им.%20В.И.%20Буянова%20ДЗМ%20Царицино%20ЮАО%20г.%20Москва%20Бакинская%20д.%2026%20с.%208")</f>
        <v>https://disk.yandex.ru/client/disk/Осмотры%20объектов%20АНО%20СМГ/125.%20ГКБ%20им.%20В.И.%20Буянова%20ДЗМ%20Царицино%20ЮАО%20г.%20Москва%20Бакинская%20д.%2026%20с.%208</v>
      </c>
      <c r="J19" s="50">
        <f>IFERROR(__xludf.DUMMYFUNCTION("""COMPUTED_VALUE"""),100.0)</f>
        <v>100</v>
      </c>
      <c r="K19" s="58">
        <f>IFERROR(__xludf.DUMMYFUNCTION("""COMPUTED_VALUE"""),45828.0)</f>
        <v>45828</v>
      </c>
      <c r="L19" s="6" t="s">
        <v>654</v>
      </c>
      <c r="M19" s="52" t="s">
        <v>655</v>
      </c>
      <c r="N19" s="53" t="s">
        <v>656</v>
      </c>
      <c r="O19" s="19" t="s">
        <v>660</v>
      </c>
      <c r="P19" s="6"/>
      <c r="Q19" s="6"/>
      <c r="R19" s="6"/>
    </row>
    <row r="20">
      <c r="A20" s="31" t="str">
        <f>IFERROR(__xludf.DUMMYFUNCTION("""COMPUTED_VALUE"""),"259")</f>
        <v>259</v>
      </c>
      <c r="B20" s="14" t="str">
        <f>IFERROR(__xludf.DUMMYFUNCTION("""COMPUTED_VALUE"""),"АИП-25")</f>
        <v>АИП-25</v>
      </c>
      <c r="C20" s="14" t="str">
        <f>IFERROR(__xludf.DUMMYFUNCTION("""COMPUTED_VALUE"""),"ОКС")</f>
        <v>ОКС</v>
      </c>
      <c r="D20" s="15"/>
      <c r="E20" s="14" t="str">
        <f>IFERROR(__xludf.DUMMYFUNCTION("""COMPUTED_VALUE"""),"Физкультурно-оздоровительный комплекс,
 ул. Павла Корчагина, вл. 7 район Алексеевский, ул. Павла Корчагина, вл. 7")</f>
        <v>Физкультурно-оздоровительный комплекс,
 ул. Павла Корчагина, вл. 7 район Алексеевский, ул. Павла Корчагина, вл. 7</v>
      </c>
      <c r="F20" s="25" t="str">
        <f>IFERROR(__xludf.DUMMYFUNCTION("""COMPUTED_VALUE"""),"#N/A")</f>
        <v>#N/A</v>
      </c>
      <c r="G20" s="6" t="str">
        <f>IFERROR(__xludf.DUMMYFUNCTION("""COMPUTED_VALUE"""),"#N/A")</f>
        <v>#N/A</v>
      </c>
      <c r="H20" s="18" t="str">
        <f>IFERROR(__xludf.DUMMYFUNCTION("""COMPUTED_VALUE"""),"https://docs.google.com/spreadsheets/d/19THEBTE9q0fhN2eApZr6BgenIvLGh0AckaYxHQfHk5w/edit?gid=600337697#gid=600337697")</f>
        <v>https://docs.google.com/spreadsheets/d/19THEBTE9q0fhN2eApZr6BgenIvLGh0AckaYxHQfHk5w/edit?gid=600337697#gid=600337697</v>
      </c>
      <c r="I20" s="19" t="str">
        <f>IFERROR(__xludf.DUMMYFUNCTION("""COMPUTED_VALUE"""),"https://disk.yandex.ru/client/disk/Осмотры%20объектов%20АНО%20СМГ/259.%20ул%20Павла%20Корчагина%2C%207")</f>
        <v>https://disk.yandex.ru/client/disk/Осмотры%20объектов%20АНО%20СМГ/259.%20ул%20Павла%20Корчагина%2C%207</v>
      </c>
      <c r="J20" s="50">
        <f>IFERROR(__xludf.DUMMYFUNCTION("""COMPUTED_VALUE"""),100.0)</f>
        <v>100</v>
      </c>
      <c r="K20" s="58">
        <f>IFERROR(__xludf.DUMMYFUNCTION("""COMPUTED_VALUE"""),45828.0)</f>
        <v>45828</v>
      </c>
      <c r="L20" s="6" t="s">
        <v>654</v>
      </c>
      <c r="M20" s="52" t="s">
        <v>655</v>
      </c>
      <c r="N20" s="53" t="s">
        <v>656</v>
      </c>
      <c r="O20" s="19" t="s">
        <v>661</v>
      </c>
      <c r="P20" s="6"/>
      <c r="Q20" s="6"/>
      <c r="R20" s="6"/>
    </row>
    <row r="21">
      <c r="A21" s="31" t="str">
        <f>IFERROR(__xludf.DUMMYFUNCTION("""COMPUTED_VALUE"""),"101")</f>
        <v>101</v>
      </c>
      <c r="B21" s="14" t="str">
        <f>IFERROR(__xludf.DUMMYFUNCTION("""COMPUTED_VALUE"""),"АИП-25")</f>
        <v>АИП-25</v>
      </c>
      <c r="C21" s="14" t="str">
        <f>IFERROR(__xludf.DUMMYFUNCTION("""COMPUTED_VALUE"""),"ОКС")</f>
        <v>ОКС</v>
      </c>
      <c r="D21" s="15"/>
      <c r="E21" s="14" t="str">
        <f>IFERROR(__xludf.DUMMYFUNCTION("""COMPUTED_VALUE"""),"Жилой комплекс «Царицыно» 
 подземный паркинг с благоустройством 6-я Радиальная ул., вл. 7 (корп. 5.4) район Бирюлево Восточное, 6-я Радиальная ул, вл. 7 (корп. 5.4)")</f>
        <v>Жилой комплекс «Царицыно» 
 подземный паркинг с благоустройством 6-я Радиальная ул., вл. 7 (корп. 5.4) район Бирюлево Восточное, 6-я Радиальная ул, вл. 7 (корп. 5.4)</v>
      </c>
      <c r="F21" s="25" t="str">
        <f>IFERROR(__xludf.DUMMYFUNCTION("""COMPUTED_VALUE"""),"#N/A")</f>
        <v>#N/A</v>
      </c>
      <c r="G21" s="6" t="str">
        <f>IFERROR(__xludf.DUMMYFUNCTION("""COMPUTED_VALUE"""),"#N/A")</f>
        <v>#N/A</v>
      </c>
      <c r="H21" s="18" t="str">
        <f>IFERROR(__xludf.DUMMYFUNCTION("""COMPUTED_VALUE"""),"https://docs.google.com/spreadsheets/d/19THEBTE9q0fhN2eApZr6BgenIvLGh0AckaYxHQfHk5w/edit?gid=23825357#gid=23825357")</f>
        <v>https://docs.google.com/spreadsheets/d/19THEBTE9q0fhN2eApZr6BgenIvLGh0AckaYxHQfHk5w/edit?gid=23825357#gid=23825357</v>
      </c>
      <c r="I21" s="19" t="str">
        <f>IFERROR(__xludf.DUMMYFUNCTION("""COMPUTED_VALUE"""),"https://disk.yandex.ru/client/disk/Осмотры%20объектов%20АНО%20СМГ/101.%20Подземный%20паркинг.%20ЖК%20%22Царицыно%22.%206-я%20Радиальная%20ул.%2C%20вл.%207%20(корп%205.4)")</f>
        <v>https://disk.yandex.ru/client/disk/Осмотры%20объектов%20АНО%20СМГ/101.%20Подземный%20паркинг.%20ЖК%20%22Царицыно%22.%206-я%20Радиальная%20ул.%2C%20вл.%207%20(корп%205.4)</v>
      </c>
      <c r="J21" s="50">
        <f>IFERROR(__xludf.DUMMYFUNCTION("""COMPUTED_VALUE"""),99.724875)</f>
        <v>99.724875</v>
      </c>
      <c r="K21" s="58">
        <f>IFERROR(__xludf.DUMMYFUNCTION("""COMPUTED_VALUE"""),45861.0)</f>
        <v>45861</v>
      </c>
      <c r="L21" s="6">
        <v>7.0</v>
      </c>
      <c r="M21" s="52">
        <v>45868.0</v>
      </c>
      <c r="N21" s="53" t="s">
        <v>652</v>
      </c>
      <c r="O21" s="19" t="s">
        <v>662</v>
      </c>
      <c r="P21" s="6"/>
      <c r="Q21" s="6"/>
      <c r="R21" s="6"/>
    </row>
    <row r="22">
      <c r="A22" s="31" t="str">
        <f>IFERROR(__xludf.DUMMYFUNCTION("""COMPUTED_VALUE"""),"100")</f>
        <v>100</v>
      </c>
      <c r="B22" s="14" t="str">
        <f>IFERROR(__xludf.DUMMYFUNCTION("""COMPUTED_VALUE"""),"АИП-25")</f>
        <v>АИП-25</v>
      </c>
      <c r="C22" s="14" t="str">
        <f>IFERROR(__xludf.DUMMYFUNCTION("""COMPUTED_VALUE"""),"ОКС")</f>
        <v>ОКС</v>
      </c>
      <c r="D22" s="15"/>
      <c r="E22" s="14" t="str">
        <f>IFERROR(__xludf.DUMMYFUNCTION("""COMPUTED_VALUE"""),"Жилой комплекс «Царицыно»
 подземный паркинг с благоустройством
 6-я Радиальная ул., вл. 7 (корп. 5.1) район Бирюлево Восточное, 6-я Радиальная ул, вл. 7 (корп. 5.1)")</f>
        <v>Жилой комплекс «Царицыно»
 подземный паркинг с благоустройством
 6-я Радиальная ул., вл. 7 (корп. 5.1) район Бирюлево Восточное, 6-я Радиальная ул, вл. 7 (корп. 5.1)</v>
      </c>
      <c r="F22" s="25" t="str">
        <f>IFERROR(__xludf.DUMMYFUNCTION("""COMPUTED_VALUE"""),"#N/A")</f>
        <v>#N/A</v>
      </c>
      <c r="G22" s="6" t="str">
        <f>IFERROR(__xludf.DUMMYFUNCTION("""COMPUTED_VALUE"""),"#N/A")</f>
        <v>#N/A</v>
      </c>
      <c r="H22" s="18" t="str">
        <f>IFERROR(__xludf.DUMMYFUNCTION("""COMPUTED_VALUE"""),"https://docs.google.com/spreadsheets/d/19THEBTE9q0fhN2eApZr6BgenIvLGh0AckaYxHQfHk5w/edit?gid=1122822598#gid=1122822598")</f>
        <v>https://docs.google.com/spreadsheets/d/19THEBTE9q0fhN2eApZr6BgenIvLGh0AckaYxHQfHk5w/edit?gid=1122822598#gid=1122822598</v>
      </c>
      <c r="I22" s="19" t="str">
        <f>IFERROR(__xludf.DUMMYFUNCTION("""COMPUTED_VALUE"""),"https://disk.yandex.ru/client/disk/Осмотры%20объектов%20АНО%20СМГ/100.%20Подземный%20паркинг.%20ЖК%20%22Царицыно%22.%206-я%20Радиальная%20ул.%20%2C%20вл.%207%20(корп.%205.1)")</f>
        <v>https://disk.yandex.ru/client/disk/Осмотры%20объектов%20АНО%20СМГ/100.%20Подземный%20паркинг.%20ЖК%20%22Царицыно%22.%206-я%20Радиальная%20ул.%20%2C%20вл.%207%20(корп.%205.1)</v>
      </c>
      <c r="J22" s="50">
        <f>IFERROR(__xludf.DUMMYFUNCTION("""COMPUTED_VALUE"""),99.6405)</f>
        <v>99.6405</v>
      </c>
      <c r="K22" s="58">
        <f>IFERROR(__xludf.DUMMYFUNCTION("""COMPUTED_VALUE"""),45861.0)</f>
        <v>45861</v>
      </c>
      <c r="L22" s="6">
        <v>7.0</v>
      </c>
      <c r="M22" s="52">
        <v>45868.0</v>
      </c>
      <c r="N22" s="53" t="s">
        <v>652</v>
      </c>
      <c r="O22" s="19" t="s">
        <v>663</v>
      </c>
      <c r="P22" s="6"/>
      <c r="Q22" s="6"/>
      <c r="R22" s="6"/>
    </row>
    <row r="23">
      <c r="A23" s="31" t="str">
        <f>IFERROR(__xludf.DUMMYFUNCTION("""COMPUTED_VALUE"""),"123")</f>
        <v>123</v>
      </c>
      <c r="B23" s="14" t="str">
        <f>IFERROR(__xludf.DUMMYFUNCTION("""COMPUTED_VALUE"""),"АИП-25")</f>
        <v>АИП-25</v>
      </c>
      <c r="C23" s="14" t="str">
        <f>IFERROR(__xludf.DUMMYFUNCTION("""COMPUTED_VALUE"""),"ОКС")</f>
        <v>ОКС</v>
      </c>
      <c r="D23" s="15"/>
      <c r="E23" s="14" t="str">
        <f>IFERROR(__xludf.DUMMYFUNCTION("""COMPUTED_VALUE"""),"Жилой комплекс «Терлецкий парк»
 Новогиреевская ул., вл.5, корп.1, корп.2 район Новогиреево, Новогиреевская ул., вл. 5, корп. 1, корп. 2")</f>
        <v>Жилой комплекс «Терлецкий парк»
 Новогиреевская ул., вл.5, корп.1, корп.2 район Новогиреево, Новогиреевская ул., вл. 5, корп. 1, корп. 2</v>
      </c>
      <c r="F23" s="25" t="str">
        <f>IFERROR(__xludf.DUMMYFUNCTION("""COMPUTED_VALUE"""),"55.761429")</f>
        <v>55.761429</v>
      </c>
      <c r="G23" s="6" t="str">
        <f>IFERROR(__xludf.DUMMYFUNCTION("""COMPUTED_VALUE"""),"37.796085")</f>
        <v>37.796085</v>
      </c>
      <c r="H23" s="18" t="str">
        <f>IFERROR(__xludf.DUMMYFUNCTION("""COMPUTED_VALUE"""),"https://docs.google.com/spreadsheets/d/19THEBTE9q0fhN2eApZr6BgenIvLGh0AckaYxHQfHk5w/edit?gid=326698304#gid=326698304")</f>
        <v>https://docs.google.com/spreadsheets/d/19THEBTE9q0fhN2eApZr6BgenIvLGh0AckaYxHQfHk5w/edit?gid=326698304#gid=326698304</v>
      </c>
      <c r="I23" s="19" t="str">
        <f>IFERROR(__xludf.DUMMYFUNCTION("""COMPUTED_VALUE"""),"https://disk.yandex.ru/client/disk/Осмотры%20объектов%20АНО%20СМГ/123.%20ЖК%20«Терлецкий%20Парк»%20Новогиреевская%20ул.%2C%20вл.5%2C%20корп.1%2C%20корп.2")</f>
        <v>https://disk.yandex.ru/client/disk/Осмотры%20объектов%20АНО%20СМГ/123.%20ЖК%20«Терлецкий%20Парк»%20Новогиреевская%20ул.%2C%20вл.5%2C%20корп.1%2C%20корп.2</v>
      </c>
      <c r="J23" s="50">
        <f>IFERROR(__xludf.DUMMYFUNCTION("""COMPUTED_VALUE"""),99.757125)</f>
        <v>99.757125</v>
      </c>
      <c r="K23" s="58">
        <f>IFERROR(__xludf.DUMMYFUNCTION("""COMPUTED_VALUE"""),45901.0)</f>
        <v>45901</v>
      </c>
      <c r="L23" s="6">
        <v>7.0</v>
      </c>
      <c r="M23" s="52">
        <v>45908.0</v>
      </c>
      <c r="N23" s="53" t="s">
        <v>652</v>
      </c>
      <c r="O23" s="19" t="s">
        <v>664</v>
      </c>
      <c r="P23" s="6"/>
      <c r="Q23" s="6"/>
      <c r="R23" s="6"/>
    </row>
    <row r="24">
      <c r="A24" s="31" t="str">
        <f>IFERROR(__xludf.DUMMYFUNCTION("""COMPUTED_VALUE"""),"118")</f>
        <v>118</v>
      </c>
      <c r="B24" s="14" t="str">
        <f>IFERROR(__xludf.DUMMYFUNCTION("""COMPUTED_VALUE"""),"АИП-25")</f>
        <v>АИП-25</v>
      </c>
      <c r="C24" s="14" t="str">
        <f>IFERROR(__xludf.DUMMYFUNCTION("""COMPUTED_VALUE"""),"ОКС")</f>
        <v>ОКС</v>
      </c>
      <c r="D24" s="15"/>
      <c r="E24" s="14" t="str">
        <f>IFERROR(__xludf.DUMMYFUNCTION("""COMPUTED_VALUE"""),"Жилой комплекс «Царицыно» подземный паркинг с благоустройством 6-я Радиальная ул., вл. 7 (корп. 30,31) район Бирюлево Восточное, 6-я Радиальная ул, вл. 7 (корп. 30, 31)")</f>
        <v>Жилой комплекс «Царицыно» подземный паркинг с благоустройством 6-я Радиальная ул., вл. 7 (корп. 30,31) район Бирюлево Восточное, 6-я Радиальная ул, вл. 7 (корп. 30, 31)</v>
      </c>
      <c r="F24" s="25" t="str">
        <f>IFERROR(__xludf.DUMMYFUNCTION("""COMPUTED_VALUE"""),"#N/A")</f>
        <v>#N/A</v>
      </c>
      <c r="G24" s="6" t="str">
        <f>IFERROR(__xludf.DUMMYFUNCTION("""COMPUTED_VALUE"""),"#N/A")</f>
        <v>#N/A</v>
      </c>
      <c r="H24" s="18" t="str">
        <f>IFERROR(__xludf.DUMMYFUNCTION("""COMPUTED_VALUE"""),"https://docs.google.com/spreadsheets/d/19THEBTE9q0fhN2eApZr6BgenIvLGh0AckaYxHQfHk5w/edit?gid=739392640#gid=739392640")</f>
        <v>https://docs.google.com/spreadsheets/d/19THEBTE9q0fhN2eApZr6BgenIvLGh0AckaYxHQfHk5w/edit?gid=739392640#gid=739392640</v>
      </c>
      <c r="I24" s="19" t="str">
        <f>IFERROR(__xludf.DUMMYFUNCTION("""COMPUTED_VALUE"""),"https://disk.yandex.ru/client/disk/Осмотры%20объектов%20АНО%20СМГ/118.%206-я%20Радиальная%20ул.%2C%20вл.%207%20корп.%2030%2C%2031.%20Паркинг")</f>
        <v>https://disk.yandex.ru/client/disk/Осмотры%20объектов%20АНО%20СМГ/118.%206-я%20Радиальная%20ул.%2C%20вл.%207%20корп.%2030%2C%2031.%20Паркинг</v>
      </c>
      <c r="J24" s="50">
        <f>IFERROR(__xludf.DUMMYFUNCTION("""COMPUTED_VALUE"""),99.87412499999999)</f>
        <v>99.874125</v>
      </c>
      <c r="K24" s="58">
        <f>IFERROR(__xludf.DUMMYFUNCTION("""COMPUTED_VALUE"""),45861.0)</f>
        <v>45861</v>
      </c>
      <c r="L24" s="6">
        <v>7.0</v>
      </c>
      <c r="M24" s="52">
        <v>45868.0</v>
      </c>
      <c r="N24" s="53" t="s">
        <v>652</v>
      </c>
      <c r="O24" s="19" t="s">
        <v>665</v>
      </c>
      <c r="P24" s="6"/>
      <c r="Q24" s="6"/>
      <c r="R24" s="6"/>
    </row>
    <row r="25">
      <c r="A25" s="31" t="str">
        <f>IFERROR(__xludf.DUMMYFUNCTION("""COMPUTED_VALUE"""),"117")</f>
        <v>117</v>
      </c>
      <c r="B25" s="14" t="str">
        <f>IFERROR(__xludf.DUMMYFUNCTION("""COMPUTED_VALUE"""),"АИП-25")</f>
        <v>АИП-25</v>
      </c>
      <c r="C25" s="14" t="str">
        <f>IFERROR(__xludf.DUMMYFUNCTION("""COMPUTED_VALUE"""),"ОКС")</f>
        <v>ОКС</v>
      </c>
      <c r="D25" s="15"/>
      <c r="E25" s="14" t="str">
        <f>IFERROR(__xludf.DUMMYFUNCTION("""COMPUTED_VALUE"""),"Жилой комплекс «Царицыно» 
 подземный паркинг с благоустройством
 6-я Радиальная ул., вл. 7 (корп. 27, 28/29) район Бирюлево Восточное, 6-я Радиальная ул, вл. 7 (корп. 27, 28/29)")</f>
        <v>Жилой комплекс «Царицыно» 
 подземный паркинг с благоустройством
 6-я Радиальная ул., вл. 7 (корп. 27, 28/29) район Бирюлево Восточное, 6-я Радиальная ул, вл. 7 (корп. 27, 28/29)</v>
      </c>
      <c r="F25" s="25" t="str">
        <f>IFERROR(__xludf.DUMMYFUNCTION("""COMPUTED_VALUE"""),"#N/A")</f>
        <v>#N/A</v>
      </c>
      <c r="G25" s="6" t="str">
        <f>IFERROR(__xludf.DUMMYFUNCTION("""COMPUTED_VALUE"""),"#N/A")</f>
        <v>#N/A</v>
      </c>
      <c r="H25" s="18" t="str">
        <f>IFERROR(__xludf.DUMMYFUNCTION("""COMPUTED_VALUE"""),"https://docs.google.com/spreadsheets/d/19THEBTE9q0fhN2eApZr6BgenIvLGh0AckaYxHQfHk5w/edit?gid=891835937#gid=891835937")</f>
        <v>https://docs.google.com/spreadsheets/d/19THEBTE9q0fhN2eApZr6BgenIvLGh0AckaYxHQfHk5w/edit?gid=891835937#gid=891835937</v>
      </c>
      <c r="I25" s="19" t="str">
        <f>IFERROR(__xludf.DUMMYFUNCTION("""COMPUTED_VALUE"""),"https://disk.yandex.ru/client/disk/Осмотры%20объектов%20АНО%20СМГ/117.%206-я%20Радиальная%20вл.7%20Корп%2027%2C%2028-29.%20Паркинг")</f>
        <v>https://disk.yandex.ru/client/disk/Осмотры%20объектов%20АНО%20СМГ/117.%206-я%20Радиальная%20вл.7%20Корп%2027%2C%2028-29.%20Паркинг</v>
      </c>
      <c r="J25" s="50">
        <f>IFERROR(__xludf.DUMMYFUNCTION("""COMPUTED_VALUE"""),99.86449999999999)</f>
        <v>99.8645</v>
      </c>
      <c r="K25" s="58">
        <f>IFERROR(__xludf.DUMMYFUNCTION("""COMPUTED_VALUE"""),45861.0)</f>
        <v>45861</v>
      </c>
      <c r="L25" s="6">
        <v>7.0</v>
      </c>
      <c r="M25" s="52">
        <v>45868.0</v>
      </c>
      <c r="N25" s="53" t="s">
        <v>652</v>
      </c>
      <c r="O25" s="19" t="s">
        <v>666</v>
      </c>
      <c r="P25" s="6"/>
      <c r="Q25" s="6"/>
      <c r="R25" s="6"/>
    </row>
    <row r="26">
      <c r="A26" s="31" t="str">
        <f>IFERROR(__xludf.DUMMYFUNCTION("""COMPUTED_VALUE"""),"1034")</f>
        <v>1034</v>
      </c>
      <c r="B26" s="14" t="str">
        <f>IFERROR(__xludf.DUMMYFUNCTION("""COMPUTED_VALUE"""),"АИП-25")</f>
        <v>АИП-25</v>
      </c>
      <c r="C26" s="14" t="str">
        <f>IFERROR(__xludf.DUMMYFUNCTION("""COMPUTED_VALUE"""),"УДС")</f>
        <v>УДС</v>
      </c>
      <c r="D26" s="15"/>
      <c r="E26" s="14" t="str">
        <f>IFERROR(__xludf.DUMMYFUNCTION("""COMPUTED_VALUE"""),"Пересадка на ст. ""Текстильщики"" (с БКЛ на ТКЛ) район Текстильщики, Пересадка на ст. ""Текстильщики"" (с БКЛ на ТКЛ)")</f>
        <v>Пересадка на ст. "Текстильщики" (с БКЛ на ТКЛ) район Текстильщики, Пересадка на ст. "Текстильщики" (с БКЛ на ТКЛ)</v>
      </c>
      <c r="F26" s="25" t="str">
        <f>IFERROR(__xludf.DUMMYFUNCTION("""COMPUTED_VALUE"""),"55.708579")</f>
        <v>55.708579</v>
      </c>
      <c r="G26" s="6" t="str">
        <f>IFERROR(__xludf.DUMMYFUNCTION("""COMPUTED_VALUE"""),"37.728959")</f>
        <v>37.728959</v>
      </c>
      <c r="H26" s="18" t="str">
        <f>IFERROR(__xludf.DUMMYFUNCTION("""COMPUTED_VALUE"""),"https://docs.google.com/spreadsheets/d/1jonEGMB3UFHiUZpltF1zURon8gYN7jGSHu-k9t5TXnA/edit?gid=808640473#gid=808640473")</f>
        <v>https://docs.google.com/spreadsheets/d/1jonEGMB3UFHiUZpltF1zURon8gYN7jGSHu-k9t5TXnA/edit?gid=808640473#gid=808640473</v>
      </c>
      <c r="I26" s="6" t="str">
        <f>IFERROR(__xludf.DUMMYFUNCTION("""COMPUTED_VALUE"""),"https://disk.yandex.ru/client/disk/Осмотры%20объектов%20АНО%20СМГ/1034.%20Пересадка%20на%20станции%20метро%20Текстильщики%20(с%20БКЛ%20на%20ТКЛ)")</f>
        <v>https://disk.yandex.ru/client/disk/Осмотры%20объектов%20АНО%20СМГ/1034.%20Пересадка%20на%20станции%20метро%20Текстильщики%20(с%20БКЛ%20на%20ТКЛ)</v>
      </c>
      <c r="J26" s="50">
        <f>IFERROR(__xludf.DUMMYFUNCTION("""COMPUTED_VALUE"""),99.9625)</f>
        <v>99.9625</v>
      </c>
      <c r="K26" s="58">
        <f>IFERROR(__xludf.DUMMYFUNCTION("""COMPUTED_VALUE"""),45957.0)</f>
        <v>45957</v>
      </c>
      <c r="L26" s="6">
        <v>7.0</v>
      </c>
      <c r="M26" s="52">
        <v>45964.0</v>
      </c>
      <c r="N26" s="53" t="s">
        <v>652</v>
      </c>
      <c r="O26" s="6" t="s">
        <v>667</v>
      </c>
      <c r="P26" s="6"/>
      <c r="Q26" s="6"/>
      <c r="R26" s="6"/>
    </row>
    <row r="27">
      <c r="A27" s="31" t="str">
        <f>IFERROR(__xludf.DUMMYFUNCTION("""COMPUTED_VALUE"""),"1038")</f>
        <v>1038</v>
      </c>
      <c r="B27" s="14" t="str">
        <f>IFERROR(__xludf.DUMMYFUNCTION("""COMPUTED_VALUE"""),"АИП-25")</f>
        <v>АИП-25</v>
      </c>
      <c r="C27" s="14" t="str">
        <f>IFERROR(__xludf.DUMMYFUNCTION("""COMPUTED_VALUE"""),"УДС")</f>
        <v>УДС</v>
      </c>
      <c r="D27" s="15"/>
      <c r="E27" s="14" t="str">
        <f>IFERROR(__xludf.DUMMYFUNCTION("""COMPUTED_VALUE"""),"Соединительная ветка с э/депо «Столбово» район Коммунарка")</f>
        <v>Соединительная ветка с э/депо «Столбово» район Коммунарка</v>
      </c>
      <c r="F27" s="25" t="str">
        <f>IFERROR(__xludf.DUMMYFUNCTION("""COMPUTED_VALUE"""),"#N/A")</f>
        <v>#N/A</v>
      </c>
      <c r="G27" s="6" t="str">
        <f>IFERROR(__xludf.DUMMYFUNCTION("""COMPUTED_VALUE"""),"#N/A")</f>
        <v>#N/A</v>
      </c>
      <c r="H27" s="18" t="str">
        <f>IFERROR(__xludf.DUMMYFUNCTION("""COMPUTED_VALUE"""),"https://docs.google.com/spreadsheets/d/1jonEGMB3UFHiUZpltF1zURon8gYN7jGSHu-k9t5TXnA/edit?gid=1039816960#gid=1039816960")</f>
        <v>https://docs.google.com/spreadsheets/d/1jonEGMB3UFHiUZpltF1zURon8gYN7jGSHu-k9t5TXnA/edit?gid=1039816960#gid=1039816960</v>
      </c>
      <c r="I27" s="6"/>
      <c r="J27" s="50">
        <f>IFERROR(__xludf.DUMMYFUNCTION("""COMPUTED_VALUE"""),65.804)</f>
        <v>65.804</v>
      </c>
      <c r="K27" s="58">
        <f>IFERROR(__xludf.DUMMYFUNCTION("""COMPUTED_VALUE"""),45750.0)</f>
        <v>45750</v>
      </c>
      <c r="L27" s="6">
        <v>14.0</v>
      </c>
      <c r="M27" s="52">
        <v>45764.0</v>
      </c>
      <c r="N27" s="53" t="s">
        <v>668</v>
      </c>
      <c r="O27" s="6" t="s">
        <v>669</v>
      </c>
      <c r="P27" s="6"/>
      <c r="Q27" s="6"/>
      <c r="R27" s="6"/>
    </row>
    <row r="28">
      <c r="A28" s="31" t="str">
        <f>IFERROR(__xludf.DUMMYFUNCTION("""COMPUTED_VALUE"""),"1116")</f>
        <v>1116</v>
      </c>
      <c r="B28" s="14" t="str">
        <f>IFERROR(__xludf.DUMMYFUNCTION("""COMPUTED_VALUE"""),"АИП-25")</f>
        <v>АИП-25</v>
      </c>
      <c r="C28" s="14" t="str">
        <f>IFERROR(__xludf.DUMMYFUNCTION("""COMPUTED_VALUE"""),"УДС")</f>
        <v>УДС</v>
      </c>
      <c r="D28" s="15"/>
      <c r="E28" s="14" t="str">
        <f>IFERROR(__xludf.DUMMYFUNCTION("""COMPUTED_VALUE"""),"Электродепо «Столбово» район Коммунарка, квартал № 159")</f>
        <v>Электродепо «Столбово» район Коммунарка, квартал № 159</v>
      </c>
      <c r="F28" s="25" t="str">
        <f>IFERROR(__xludf.DUMMYFUNCTION("""COMPUTED_VALUE"""),"#N/A")</f>
        <v>#N/A</v>
      </c>
      <c r="G28" s="6" t="str">
        <f>IFERROR(__xludf.DUMMYFUNCTION("""COMPUTED_VALUE"""),"#N/A")</f>
        <v>#N/A</v>
      </c>
      <c r="H28" s="18" t="str">
        <f>IFERROR(__xludf.DUMMYFUNCTION("""COMPUTED_VALUE"""),"https://docs.google.com/spreadsheets/d/1jonEGMB3UFHiUZpltF1zURon8gYN7jGSHu-k9t5TXnA/edit?gid=1117601488#gid=1117601488")</f>
        <v>https://docs.google.com/spreadsheets/d/1jonEGMB3UFHiUZpltF1zURon8gYN7jGSHu-k9t5TXnA/edit?gid=1117601488#gid=1117601488</v>
      </c>
      <c r="I28" s="6" t="str">
        <f>IFERROR(__xludf.DUMMYFUNCTION("""COMPUTED_VALUE"""),"https://disk.yandex.ru/client/disk/Осмотры%20объектов%20АНО%20СМГ/1034.%20Пересадка%20на%20станции%20метро%20Текстильщики%20(с%20БКЛ%20на%20ТКЛ)")</f>
        <v>https://disk.yandex.ru/client/disk/Осмотры%20объектов%20АНО%20СМГ/1034.%20Пересадка%20на%20станции%20метро%20Текстильщики%20(с%20БКЛ%20на%20ТКЛ)</v>
      </c>
      <c r="J28" s="50">
        <f>IFERROR(__xludf.DUMMYFUNCTION("""COMPUTED_VALUE"""),87.325)</f>
        <v>87.325</v>
      </c>
      <c r="K28" s="58">
        <f>IFERROR(__xludf.DUMMYFUNCTION("""COMPUTED_VALUE"""),45769.0)</f>
        <v>45769</v>
      </c>
      <c r="L28" s="6">
        <v>14.0</v>
      </c>
      <c r="M28" s="52">
        <v>45783.0</v>
      </c>
      <c r="N28" s="53" t="s">
        <v>668</v>
      </c>
      <c r="O28" s="6" t="s">
        <v>670</v>
      </c>
      <c r="P28" s="6"/>
      <c r="Q28" s="6"/>
      <c r="R28" s="6"/>
    </row>
    <row r="29">
      <c r="A29" s="31" t="str">
        <f>IFERROR(__xludf.DUMMYFUNCTION("""COMPUTED_VALUE"""),"1132 (этап 2)")</f>
        <v>1132 (этап 2)</v>
      </c>
      <c r="B29" s="14" t="str">
        <f>IFERROR(__xludf.DUMMYFUNCTION("""COMPUTED_VALUE"""),"АИП-25")</f>
        <v>АИП-25</v>
      </c>
      <c r="C29" s="14" t="str">
        <f>IFERROR(__xludf.DUMMYFUNCTION("""COMPUTED_VALUE"""),"УДС")</f>
        <v>УДС</v>
      </c>
      <c r="D29" s="15"/>
      <c r="E29" s="14" t="str">
        <f>IFERROR(__xludf.DUMMYFUNCTION("""COMPUTED_VALUE"""),"Технологическая часть транспортно-пересадочного узла на станции метро «Авиамоторная». Этап 2 Пешеходный переход станции метро «Авиамоторная»")</f>
        <v>Технологическая часть транспортно-пересадочного узла на станции метро «Авиамоторная». Этап 2 Пешеходный переход станции метро «Авиамоторная»</v>
      </c>
      <c r="F29" s="25" t="str">
        <f>IFERROR(__xludf.DUMMYFUNCTION("""COMPUTED_VALUE"""),"55.752962604373806")</f>
        <v>55.752962604373806</v>
      </c>
      <c r="G29" s="6" t="str">
        <f>IFERROR(__xludf.DUMMYFUNCTION("""COMPUTED_VALUE"""),"37.71994250729798")</f>
        <v>37.71994250729798</v>
      </c>
      <c r="H29" s="18" t="str">
        <f>IFERROR(__xludf.DUMMYFUNCTION("""COMPUTED_VALUE"""),"https://docs.google.com/spreadsheets/d/1jonEGMB3UFHiUZpltF1zURon8gYN7jGSHu-k9t5TXnA/edit?gid=77612996#gid=77612996")</f>
        <v>https://docs.google.com/spreadsheets/d/1jonEGMB3UFHiUZpltF1zURon8gYN7jGSHu-k9t5TXnA/edit?gid=77612996#gid=77612996</v>
      </c>
      <c r="I29"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29" s="50">
        <f>IFERROR(__xludf.DUMMYFUNCTION("""COMPUTED_VALUE"""),100.0)</f>
        <v>100</v>
      </c>
      <c r="K29" s="58">
        <f>IFERROR(__xludf.DUMMYFUNCTION("""COMPUTED_VALUE"""),45959.0)</f>
        <v>45959</v>
      </c>
      <c r="L29" s="6" t="s">
        <v>654</v>
      </c>
      <c r="M29" s="52" t="s">
        <v>655</v>
      </c>
      <c r="N29" s="53" t="s">
        <v>656</v>
      </c>
      <c r="O29" s="6" t="s">
        <v>671</v>
      </c>
      <c r="P29" s="6"/>
      <c r="Q29" s="6"/>
      <c r="R29" s="6"/>
    </row>
    <row r="30">
      <c r="A30" s="31" t="str">
        <f>IFERROR(__xludf.DUMMYFUNCTION("""COMPUTED_VALUE"""),"1065 (этап 2.2)")</f>
        <v>1065 (этап 2.2)</v>
      </c>
      <c r="B30" s="14" t="str">
        <f>IFERROR(__xludf.DUMMYFUNCTION("""COMPUTED_VALUE"""),"АИП-25")</f>
        <v>АИП-25</v>
      </c>
      <c r="C30" s="14" t="str">
        <f>IFERROR(__xludf.DUMMYFUNCTION("""COMPUTED_VALUE"""),"УДС")</f>
        <v>УДС</v>
      </c>
      <c r="D30" s="15"/>
      <c r="E30" s="14" t="str">
        <f>IFERROR(__xludf.DUMMYFUNCTION("""COMPUTED_VALUE"""),"Технологическая часть транспортно-пересадочного узла на станции метро «Рассказовка» («Новопеределкино»). Этап 2.2 Парковка район Внуково, территория ТПУ «Рассказовка» ")</f>
        <v>Технологическая часть транспортно-пересадочного узла на станции метро «Рассказовка» («Новопеределкино»). Этап 2.2 Парковка район Внуково, территория ТПУ «Рассказовка» </v>
      </c>
      <c r="F30" s="25" t="str">
        <f>IFERROR(__xludf.DUMMYFUNCTION("""COMPUTED_VALUE"""),"55.633969596534705")</f>
        <v>55.633969596534705</v>
      </c>
      <c r="G30" s="6" t="str">
        <f>IFERROR(__xludf.DUMMYFUNCTION("""COMPUTED_VALUE"""),"37.3346986726294")</f>
        <v>37.3346986726294</v>
      </c>
      <c r="H30" s="18" t="str">
        <f>IFERROR(__xludf.DUMMYFUNCTION("""COMPUTED_VALUE"""),"https://docs.google.com/spreadsheets/d/1jonEGMB3UFHiUZpltF1zURon8gYN7jGSHu-k9t5TXnA/edit?gid=1143459343#gid=1143459343")</f>
        <v>https://docs.google.com/spreadsheets/d/1jonEGMB3UFHiUZpltF1zURon8gYN7jGSHu-k9t5TXnA/edit?gid=1143459343#gid=1143459343</v>
      </c>
      <c r="I30"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30" s="50">
        <f>IFERROR(__xludf.DUMMYFUNCTION("""COMPUTED_VALUE"""),100.0)</f>
        <v>100</v>
      </c>
      <c r="K30" s="58">
        <f>IFERROR(__xludf.DUMMYFUNCTION("""COMPUTED_VALUE"""),45974.0)</f>
        <v>45974</v>
      </c>
      <c r="L30" s="6" t="s">
        <v>654</v>
      </c>
      <c r="M30" s="52" t="s">
        <v>655</v>
      </c>
      <c r="N30" s="53" t="s">
        <v>656</v>
      </c>
      <c r="O30" s="6" t="s">
        <v>672</v>
      </c>
      <c r="P30" s="6"/>
      <c r="Q30" s="6"/>
      <c r="R30" s="6"/>
    </row>
    <row r="31">
      <c r="A31" s="31" t="str">
        <f>IFERROR(__xludf.DUMMYFUNCTION("""COMPUTED_VALUE"""),"270")</f>
        <v>270</v>
      </c>
      <c r="B31" s="14" t="str">
        <f>IFERROR(__xludf.DUMMYFUNCTION("""COMPUTED_VALUE"""),"АИП-25")</f>
        <v>АИП-25</v>
      </c>
      <c r="C31" s="14" t="str">
        <f>IFERROR(__xludf.DUMMYFUNCTION("""COMPUTED_VALUE"""),"ОКС+УДС")</f>
        <v>ОКС+УДС</v>
      </c>
      <c r="D31" s="15"/>
      <c r="E31" s="14" t="str">
        <f>IFERROR(__xludf.DUMMYFUNCTION("""COMPUTED_VALUE"""),"Подъездная дорога к административному зданию по адресу: 3-я Хорошевская ул., влд.17. Этап 1 - участок № 13 3-я Хорошевская ул., влд.17")</f>
        <v>Подъездная дорога к административному зданию по адресу: 3-я Хорошевская ул., влд.17. Этап 1 - участок № 13 3-я Хорошевская ул., влд.17</v>
      </c>
      <c r="F31" s="25" t="str">
        <f>IFERROR(__xludf.DUMMYFUNCTION("""COMPUTED_VALUE"""),"#N/A")</f>
        <v>#N/A</v>
      </c>
      <c r="G31" s="6" t="str">
        <f>IFERROR(__xludf.DUMMYFUNCTION("""COMPUTED_VALUE"""),"#N/A")</f>
        <v>#N/A</v>
      </c>
      <c r="H31" s="18" t="str">
        <f>IFERROR(__xludf.DUMMYFUNCTION("""COMPUTED_VALUE"""),"https://docs.google.com/spreadsheets/d/19THEBTE9q0fhN2eApZr6BgenIvLGh0AckaYxHQfHk5w/edit?gid=1112644991#gid=1112644991")</f>
        <v>https://docs.google.com/spreadsheets/d/19THEBTE9q0fhN2eApZr6BgenIvLGh0AckaYxHQfHk5w/edit?gid=1112644991#gid=1112644991</v>
      </c>
      <c r="I31" s="19" t="str">
        <f>IFERROR(__xludf.DUMMYFUNCTION("""COMPUTED_VALUE"""),"https://disk.yandex.ru/client/disk/Осмотры%20объектов%20АНО%20СМГ/270.%20Дорога%203-я%20Хорошевская%20вл.17")</f>
        <v>https://disk.yandex.ru/client/disk/Осмотры%20объектов%20АНО%20СМГ/270.%20Дорога%203-я%20Хорошевская%20вл.17</v>
      </c>
      <c r="J31" s="50">
        <f>IFERROR(__xludf.DUMMYFUNCTION("""COMPUTED_VALUE"""),99.9)</f>
        <v>99.9</v>
      </c>
      <c r="K31" s="58">
        <f>IFERROR(__xludf.DUMMYFUNCTION("""COMPUTED_VALUE"""),45887.0)</f>
        <v>45887</v>
      </c>
      <c r="L31" s="6">
        <v>7.0</v>
      </c>
      <c r="M31" s="52">
        <v>45894.0</v>
      </c>
      <c r="N31" s="53" t="s">
        <v>652</v>
      </c>
      <c r="O31" s="19" t="s">
        <v>673</v>
      </c>
      <c r="P31" s="6"/>
      <c r="Q31" s="6"/>
      <c r="R31" s="6"/>
    </row>
    <row r="32">
      <c r="A32" s="31" t="str">
        <f>IFERROR(__xludf.DUMMYFUNCTION("""COMPUTED_VALUE"""),"243")</f>
        <v>243</v>
      </c>
      <c r="B32" s="14" t="str">
        <f>IFERROR(__xludf.DUMMYFUNCTION("""COMPUTED_VALUE"""),"АИП-25")</f>
        <v>АИП-25</v>
      </c>
      <c r="C32" s="14" t="str">
        <f>IFERROR(__xludf.DUMMYFUNCTION("""COMPUTED_VALUE"""),"ОКС")</f>
        <v>ОКС</v>
      </c>
      <c r="D32" s="15"/>
      <c r="E32" s="14" t="str">
        <f>IFERROR(__xludf.DUMMYFUNCTION("""COMPUTED_VALUE"""),"Спортивный комплекс,
 ул. Остафьевская, к. «Г» район Южное Бутово, ул. Остафьевская 21, корпус «Г»")</f>
        <v>Спортивный комплекс,
 ул. Остафьевская, к. «Г» район Южное Бутово, ул. Остафьевская 21, корпус «Г»</v>
      </c>
      <c r="F32" s="25" t="str">
        <f>IFERROR(__xludf.DUMMYFUNCTION("""COMPUTED_VALUE"""),"#N/A")</f>
        <v>#N/A</v>
      </c>
      <c r="G32" s="6" t="str">
        <f>IFERROR(__xludf.DUMMYFUNCTION("""COMPUTED_VALUE"""),"#N/A")</f>
        <v>#N/A</v>
      </c>
      <c r="H32" s="18" t="str">
        <f>IFERROR(__xludf.DUMMYFUNCTION("""COMPUTED_VALUE"""),"https://docs.google.com/spreadsheets/d/19THEBTE9q0fhN2eApZr6BgenIvLGh0AckaYxHQfHk5w/edit?gid=1098291501#gid=1098291501")</f>
        <v>https://docs.google.com/spreadsheets/d/19THEBTE9q0fhN2eApZr6BgenIvLGh0AckaYxHQfHk5w/edit?gid=1098291501#gid=1098291501</v>
      </c>
      <c r="I32" s="19" t="str">
        <f>IFERROR(__xludf.DUMMYFUNCTION("""COMPUTED_VALUE"""),"https://disk.yandex.ru/client/disk/Осмотры%20объектов%20АНО%20СМГ/243.Остафьевская%20к.Г%20Южное%20Бутово")</f>
        <v>https://disk.yandex.ru/client/disk/Осмотры%20объектов%20АНО%20СМГ/243.Остафьевская%20к.Г%20Южное%20Бутово</v>
      </c>
      <c r="J32" s="50">
        <f>IFERROR(__xludf.DUMMYFUNCTION("""COMPUTED_VALUE"""),100.0)</f>
        <v>100</v>
      </c>
      <c r="K32" s="58">
        <f>IFERROR(__xludf.DUMMYFUNCTION("""COMPUTED_VALUE"""),45860.0)</f>
        <v>45860</v>
      </c>
      <c r="L32" s="6" t="s">
        <v>654</v>
      </c>
      <c r="M32" s="52" t="s">
        <v>655</v>
      </c>
      <c r="N32" s="53" t="s">
        <v>656</v>
      </c>
      <c r="O32" s="19" t="s">
        <v>674</v>
      </c>
      <c r="P32" s="6"/>
      <c r="Q32" s="6"/>
      <c r="R32" s="6"/>
    </row>
    <row r="33">
      <c r="A33" s="31" t="str">
        <f>IFERROR(__xludf.DUMMYFUNCTION("""COMPUTED_VALUE"""),"131")</f>
        <v>131</v>
      </c>
      <c r="B33" s="14" t="str">
        <f>IFERROR(__xludf.DUMMYFUNCTION("""COMPUTED_VALUE"""),"АИП-25")</f>
        <v>АИП-25</v>
      </c>
      <c r="C33" s="14" t="str">
        <f>IFERROR(__xludf.DUMMYFUNCTION("""COMPUTED_VALUE"""),"ОКС")</f>
        <v>ОКС</v>
      </c>
      <c r="D33" s="15"/>
      <c r="E33" s="14" t="str">
        <f>IFERROR(__xludf.DUMMYFUNCTION("""COMPUTED_VALUE"""),"ДОУ на 350 мест с бассейном,
 ул. Дубнинская, д. 9 район Бескудниковский, ул. Дубнинская, д. 9")</f>
        <v>ДОУ на 350 мест с бассейном,
 ул. Дубнинская, д. 9 район Бескудниковский, ул. Дубнинская, д. 9</v>
      </c>
      <c r="F33" s="25" t="str">
        <f>IFERROR(__xludf.DUMMYFUNCTION("""COMPUTED_VALUE"""),"#N/A")</f>
        <v>#N/A</v>
      </c>
      <c r="G33" s="6" t="str">
        <f>IFERROR(__xludf.DUMMYFUNCTION("""COMPUTED_VALUE"""),"#N/A")</f>
        <v>#N/A</v>
      </c>
      <c r="H33" s="18" t="str">
        <f>IFERROR(__xludf.DUMMYFUNCTION("""COMPUTED_VALUE"""),"https://docs.google.com/spreadsheets/d/19THEBTE9q0fhN2eApZr6BgenIvLGh0AckaYxHQfHk5w/edit?gid=2086114011#gid=2086114011")</f>
        <v>https://docs.google.com/spreadsheets/d/19THEBTE9q0fhN2eApZr6BgenIvLGh0AckaYxHQfHk5w/edit?gid=2086114011#gid=2086114011</v>
      </c>
      <c r="I33" s="19" t="str">
        <f>IFERROR(__xludf.DUMMYFUNCTION("""COMPUTED_VALUE"""),"https://disk.yandex.ru/client/disk/Осмотры%20объектов%20АНО%20СМГ/131.%20ДОУ%20на%20350%20мест%20с%20бассейном%20на%20месте%20сноса%20дошкольного%20отделения%20ГБОУ%20Школа%20№%201383%09%09%09")</f>
        <v>https://disk.yandex.ru/client/disk/Осмотры%20объектов%20АНО%20СМГ/131.%20ДОУ%20на%20350%20мест%20с%20бассейном%20на%20месте%20сноса%20дошкольного%20отделения%20ГБОУ%20Школа%20№%201383%09%09%09</v>
      </c>
      <c r="J33" s="50">
        <f>IFERROR(__xludf.DUMMYFUNCTION("""COMPUTED_VALUE"""),99.9605)</f>
        <v>99.9605</v>
      </c>
      <c r="K33" s="58">
        <f>IFERROR(__xludf.DUMMYFUNCTION("""COMPUTED_VALUE"""),45902.0)</f>
        <v>45902</v>
      </c>
      <c r="L33" s="6">
        <v>7.0</v>
      </c>
      <c r="M33" s="52">
        <v>45909.0</v>
      </c>
      <c r="N33" s="53" t="s">
        <v>652</v>
      </c>
      <c r="O33" s="19" t="s">
        <v>675</v>
      </c>
      <c r="P33" s="6"/>
      <c r="Q33" s="6"/>
      <c r="R33" s="6"/>
    </row>
    <row r="34">
      <c r="A34" s="31" t="str">
        <f>IFERROR(__xludf.DUMMYFUNCTION("""COMPUTED_VALUE"""),"262")</f>
        <v>262</v>
      </c>
      <c r="B34" s="14" t="str">
        <f>IFERROR(__xludf.DUMMYFUNCTION("""COMPUTED_VALUE"""),"АИП-25")</f>
        <v>АИП-25</v>
      </c>
      <c r="C34" s="14" t="str">
        <f>IFERROR(__xludf.DUMMYFUNCTION("""COMPUTED_VALUE"""),"ОКС")</f>
        <v>ОКС</v>
      </c>
      <c r="D34" s="15"/>
      <c r="E34" s="14" t="str">
        <f>IFERROR(__xludf.DUMMYFUNCTION("""COMPUTED_VALUE"""),"Инфекционный лечебно-диагностический комплекс на территории ГБУЗ «ИКБ №1 ДЗМ»,
  (3 этап - ПАК), Волоколамское шоссе, вл. 63 район Покровское-Стрешнево, Волоколамское шоссе вл. 63")</f>
        <v>Инфекционный лечебно-диагностический комплекс на территории ГБУЗ «ИКБ №1 ДЗМ»,
  (3 этап - ПАК), Волоколамское шоссе, вл. 63 район Покровское-Стрешнево, Волоколамское шоссе вл. 63</v>
      </c>
      <c r="F34" s="25" t="str">
        <f>IFERROR(__xludf.DUMMYFUNCTION("""COMPUTED_VALUE"""),"#N/A")</f>
        <v>#N/A</v>
      </c>
      <c r="G34" s="6" t="str">
        <f>IFERROR(__xludf.DUMMYFUNCTION("""COMPUTED_VALUE"""),"#N/A")</f>
        <v>#N/A</v>
      </c>
      <c r="H34" s="18" t="str">
        <f>IFERROR(__xludf.DUMMYFUNCTION("""COMPUTED_VALUE"""),"https://docs.google.com/spreadsheets/d/19THEBTE9q0fhN2eApZr6BgenIvLGh0AckaYxHQfHk5w/edit?gid=1094262803#gid=1094262803")</f>
        <v>https://docs.google.com/spreadsheets/d/19THEBTE9q0fhN2eApZr6BgenIvLGh0AckaYxHQfHk5w/edit?gid=1094262803#gid=1094262803</v>
      </c>
      <c r="I34" s="19" t="str">
        <f>IFERROR(__xludf.DUMMYFUNCTION("""COMPUTED_VALUE"""),"https://disk.yandex.ru/client/disk/Осмотры%20объектов%20АНО%20СМГ/262.%20Волоколамское%20шоссе%2C%20вл.%2063%20(3%20этап)")</f>
        <v>https://disk.yandex.ru/client/disk/Осмотры%20объектов%20АНО%20СМГ/262.%20Волоколамское%20шоссе%2C%20вл.%2063%20(3%20этап)</v>
      </c>
      <c r="J34" s="50">
        <f>IFERROR(__xludf.DUMMYFUNCTION("""COMPUTED_VALUE"""),100.0)</f>
        <v>100</v>
      </c>
      <c r="K34" s="58">
        <f>IFERROR(__xludf.DUMMYFUNCTION("""COMPUTED_VALUE"""),45838.0)</f>
        <v>45838</v>
      </c>
      <c r="L34" s="6" t="s">
        <v>654</v>
      </c>
      <c r="M34" s="52" t="s">
        <v>655</v>
      </c>
      <c r="N34" s="53" t="s">
        <v>656</v>
      </c>
      <c r="O34" s="19" t="s">
        <v>676</v>
      </c>
      <c r="P34" s="6"/>
      <c r="Q34" s="6"/>
      <c r="R34" s="6"/>
    </row>
    <row r="35">
      <c r="A35" s="31" t="str">
        <f>IFERROR(__xludf.DUMMYFUNCTION("""COMPUTED_VALUE"""),"114")</f>
        <v>114</v>
      </c>
      <c r="B35" s="14" t="str">
        <f>IFERROR(__xludf.DUMMYFUNCTION("""COMPUTED_VALUE"""),"АИП-25")</f>
        <v>АИП-25</v>
      </c>
      <c r="C35" s="14" t="str">
        <f>IFERROR(__xludf.DUMMYFUNCTION("""COMPUTED_VALUE"""),"ОКС")</f>
        <v>ОКС</v>
      </c>
      <c r="D35" s="15"/>
      <c r="E35" s="14" t="str">
        <f>IFERROR(__xludf.DUMMYFUNCTION("""COMPUTED_VALUE"""),"Физкультурно-оздоровительный комплекс с бассейном, пересечение ул. Шипиловской и Орехового проезда ""Акварис"" район Зябликово, пересечение ул. Шипиловской и Орехового пр-да (Ореховый проезд,  д.12)")</f>
        <v>Физкультурно-оздоровительный комплекс с бассейном, пересечение ул. Шипиловской и Орехового проезда "Акварис" район Зябликово, пересечение ул. Шипиловской и Орехового пр-да (Ореховый проезд,  д.12)</v>
      </c>
      <c r="F35" s="25" t="str">
        <f>IFERROR(__xludf.DUMMYFUNCTION("""COMPUTED_VALUE"""),"55.623316")</f>
        <v>55.623316</v>
      </c>
      <c r="G35" s="6" t="str">
        <f>IFERROR(__xludf.DUMMYFUNCTION("""COMPUTED_VALUE"""),"37.729792")</f>
        <v>37.729792</v>
      </c>
      <c r="H35" s="18" t="str">
        <f>IFERROR(__xludf.DUMMYFUNCTION("""COMPUTED_VALUE"""),"https://docs.google.com/spreadsheets/d/19THEBTE9q0fhN2eApZr6BgenIvLGh0AckaYxHQfHk5w/edit?gid=2132720371#gid=2132720371")</f>
        <v>https://docs.google.com/spreadsheets/d/19THEBTE9q0fhN2eApZr6BgenIvLGh0AckaYxHQfHk5w/edit?gid=2132720371#gid=2132720371</v>
      </c>
      <c r="I35" s="21" t="str">
        <f>IFERROR(__xludf.DUMMYFUNCTION("""COMPUTED_VALUE"""),"https://disk.yandex.ru/client/disk/%D0%9E%D1%81%D0%BC%D0%BE%D1%82%D1%80%D1%8B%20%D0%BE%D0%B1%D1%8A%D0%B5%D0%BA%D1%82%D0%BE%D0%B2%20%D0%90%D0%9D%D0%9E%20%D0%A1%D0%9C%D0%93/114.%20%D0%A4%D0%9E%D0%9A%20%D0%A1%D0%9A%20%D0%90%D0%BA%D0%B2%D0%B0%D1%80%D0%B8%D1%8"&amp;"1%20%D0%BF%D0%B5%D1%80%D0%B5%D1%81%D0%B5%D1%87%D0%B5%D0%BD%D0%B8%D0%B5%20%D0%A8%D0%B8%D0%BF%D0%B8%D0%BB%D0%BE%D0%B2%D1%81%D0%BA%D0%BE%D0%B9%20%D0%B8%20%D0%9E%D1%80%D0%B5%D1%85%D0%BE%D0%B2%D0%BE%D0%B3%D0%BE%20%D0%BF%D1%80.")</f>
        <v>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v>
      </c>
      <c r="J35" s="50">
        <f>IFERROR(__xludf.DUMMYFUNCTION("""COMPUTED_VALUE"""),100.0)</f>
        <v>100</v>
      </c>
      <c r="K35" s="58">
        <f>IFERROR(__xludf.DUMMYFUNCTION("""COMPUTED_VALUE"""),45972.0)</f>
        <v>45972</v>
      </c>
      <c r="L35" s="6" t="s">
        <v>654</v>
      </c>
      <c r="M35" s="52" t="s">
        <v>655</v>
      </c>
      <c r="N35" s="53" t="s">
        <v>656</v>
      </c>
      <c r="O35" s="19" t="s">
        <v>677</v>
      </c>
      <c r="P35" s="6"/>
      <c r="Q35" s="6"/>
      <c r="R35" s="6"/>
    </row>
    <row r="36">
      <c r="A36" s="31" t="str">
        <f>IFERROR(__xludf.DUMMYFUNCTION("""COMPUTED_VALUE"""),"113")</f>
        <v>113</v>
      </c>
      <c r="B36" s="14" t="str">
        <f>IFERROR(__xludf.DUMMYFUNCTION("""COMPUTED_VALUE"""),"АИП-25")</f>
        <v>АИП-25</v>
      </c>
      <c r="C36" s="14" t="str">
        <f>IFERROR(__xludf.DUMMYFUNCTION("""COMPUTED_VALUE"""),"ОКС")</f>
        <v>ОКС</v>
      </c>
      <c r="D36" s="15"/>
      <c r="E36" s="14" t="str">
        <f>IFERROR(__xludf.DUMMYFUNCTION("""COMPUTED_VALUE"""),"Строительство школы на 800 мест (с дошкольным отделением на 150 мест) на месте сноса объекта незавершенного строительства (пристройка к школе - блоки А, Б, В) в пос. Щаповское пос. Щаповское, пос. Щапово, д. 21, стр. 2")</f>
        <v>Строительство школы на 800 мест (с дошкольным отделением на 150 мест) на месте сноса объекта незавершенного строительства (пристройка к школе - блоки А, Б, В) в пос. Щаповское пос. Щаповское, пос. Щапово, д. 21, стр. 2</v>
      </c>
      <c r="F36" s="25" t="str">
        <f>IFERROR(__xludf.DUMMYFUNCTION("""COMPUTED_VALUE"""),"#N/A")</f>
        <v>#N/A</v>
      </c>
      <c r="G36" s="6" t="str">
        <f>IFERROR(__xludf.DUMMYFUNCTION("""COMPUTED_VALUE"""),"#N/A")</f>
        <v>#N/A</v>
      </c>
      <c r="H36" s="18" t="str">
        <f>IFERROR(__xludf.DUMMYFUNCTION("""COMPUTED_VALUE"""),"https://docs.google.com/spreadsheets/d/19THEBTE9q0fhN2eApZr6BgenIvLGh0AckaYxHQfHk5w/edit?gid=1857713469#gid=1857713469")</f>
        <v>https://docs.google.com/spreadsheets/d/19THEBTE9q0fhN2eApZr6BgenIvLGh0AckaYxHQfHk5w/edit?gid=1857713469#gid=1857713469</v>
      </c>
      <c r="I36" s="19" t="str">
        <f>IFERROR(__xludf.DUMMYFUNCTION("""COMPUTED_VALUE"""),"https://disk.yandex.ru/client/disk/Осмотры%20объектов%20АНО%20СМГ/113.%20Щаповское%20(СОШ%20на%20800)")</f>
        <v>https://disk.yandex.ru/client/disk/Осмотры%20объектов%20АНО%20СМГ/113.%20Щаповское%20(СОШ%20на%20800)</v>
      </c>
      <c r="J36" s="50">
        <f>IFERROR(__xludf.DUMMYFUNCTION("""COMPUTED_VALUE"""),100.0)</f>
        <v>100</v>
      </c>
      <c r="K36" s="58">
        <f>IFERROR(__xludf.DUMMYFUNCTION("""COMPUTED_VALUE"""),45901.0)</f>
        <v>45901</v>
      </c>
      <c r="L36" s="6" t="s">
        <v>654</v>
      </c>
      <c r="M36" s="52" t="s">
        <v>655</v>
      </c>
      <c r="N36" s="53" t="s">
        <v>656</v>
      </c>
      <c r="O36" s="19" t="s">
        <v>678</v>
      </c>
      <c r="P36" s="6"/>
      <c r="Q36" s="6"/>
      <c r="R36" s="6"/>
    </row>
    <row r="37">
      <c r="A37" s="31" t="str">
        <f>IFERROR(__xludf.DUMMYFUNCTION("""COMPUTED_VALUE"""),"010")</f>
        <v>010</v>
      </c>
      <c r="B37" s="14" t="str">
        <f>IFERROR(__xludf.DUMMYFUNCTION("""COMPUTED_VALUE"""),"АИП-25")</f>
        <v>АИП-25</v>
      </c>
      <c r="C37" s="14" t="str">
        <f>IFERROR(__xludf.DUMMYFUNCTION("""COMPUTED_VALUE"""),"ОКС")</f>
        <v>ОКС</v>
      </c>
      <c r="D37" s="15"/>
      <c r="E37" s="14" t="str">
        <f>IFERROR(__xludf.DUMMYFUNCTION("""COMPUTED_VALUE"""),"Реконструкция дома культуры, п. Ватутинки п. Ватутинки, пос. Десеновское, ул. Дмитрия Рябинкина, вл. 13 и вл. 13А")</f>
        <v>Реконструкция дома культуры, п. Ватутинки п. Ватутинки, пос. Десеновское, ул. Дмитрия Рябинкина, вл. 13 и вл. 13А</v>
      </c>
      <c r="F37" s="25" t="str">
        <f>IFERROR(__xludf.DUMMYFUNCTION("""COMPUTED_VALUE"""),"#N/A")</f>
        <v>#N/A</v>
      </c>
      <c r="G37" s="6" t="str">
        <f>IFERROR(__xludf.DUMMYFUNCTION("""COMPUTED_VALUE"""),"#N/A")</f>
        <v>#N/A</v>
      </c>
      <c r="H37" s="18" t="str">
        <f>IFERROR(__xludf.DUMMYFUNCTION("""COMPUTED_VALUE"""),"https://docs.google.com/spreadsheets/d/19THEBTE9q0fhN2eApZr6BgenIvLGh0AckaYxHQfHk5w/edit?gid=234638124#gid=234638124")</f>
        <v>https://docs.google.com/spreadsheets/d/19THEBTE9q0fhN2eApZr6BgenIvLGh0AckaYxHQfHk5w/edit?gid=234638124#gid=234638124</v>
      </c>
      <c r="I37" s="19" t="str">
        <f>IFERROR(__xludf.DUMMYFUNCTION("""COMPUTED_VALUE"""),"https://disk.yandex.ru/client/disk/Осмотры%20объектов%20АНО%20СМГ/010.%20Дом%20культуры%2C%20Дмитрия%20Рябинкина%2013")</f>
        <v>https://disk.yandex.ru/client/disk/Осмотры%20объектов%20АНО%20СМГ/010.%20Дом%20культуры%2C%20Дмитрия%20Рябинкина%2013</v>
      </c>
      <c r="J37" s="50">
        <f>IFERROR(__xludf.DUMMYFUNCTION("""COMPUTED_VALUE"""),100.0)</f>
        <v>100</v>
      </c>
      <c r="K37" s="58">
        <f>IFERROR(__xludf.DUMMYFUNCTION("""COMPUTED_VALUE"""),45895.0)</f>
        <v>45895</v>
      </c>
      <c r="L37" s="6" t="s">
        <v>654</v>
      </c>
      <c r="M37" s="52" t="s">
        <v>655</v>
      </c>
      <c r="N37" s="53" t="s">
        <v>656</v>
      </c>
      <c r="O37" s="19" t="s">
        <v>679</v>
      </c>
      <c r="P37" s="6"/>
      <c r="Q37" s="6"/>
      <c r="R37" s="6"/>
    </row>
    <row r="38">
      <c r="A38" s="31" t="str">
        <f>IFERROR(__xludf.DUMMYFUNCTION("""COMPUTED_VALUE"""),"009")</f>
        <v>009</v>
      </c>
      <c r="B38" s="14" t="str">
        <f>IFERROR(__xludf.DUMMYFUNCTION("""COMPUTED_VALUE"""),"АИП-25")</f>
        <v>АИП-25</v>
      </c>
      <c r="C38" s="14" t="str">
        <f>IFERROR(__xludf.DUMMYFUNCTION("""COMPUTED_VALUE"""),"ОКС")</f>
        <v>ОКС</v>
      </c>
      <c r="D38" s="15"/>
      <c r="E38" s="14" t="str">
        <f>IFERROR(__xludf.DUMMYFUNCTION("""COMPUTED_VALUE"""),"Школа искусств, п. Московский, мкр. Град Московский пос. Московский, мкр. Град Московский, ул. Никитина, д. 7")</f>
        <v>Школа искусств, п. Московский, мкр. Град Московский пос. Московский, мкр. Град Московский, ул. Никитина, д. 7</v>
      </c>
      <c r="F38" s="25" t="str">
        <f>IFERROR(__xludf.DUMMYFUNCTION("""COMPUTED_VALUE"""),"55.606054")</f>
        <v>55.606054</v>
      </c>
      <c r="G38" s="6" t="str">
        <f>IFERROR(__xludf.DUMMYFUNCTION("""COMPUTED_VALUE"""),"37.369361")</f>
        <v>37.369361</v>
      </c>
      <c r="H38" s="18" t="str">
        <f>IFERROR(__xludf.DUMMYFUNCTION("""COMPUTED_VALUE"""),"https://docs.google.com/spreadsheets/d/19THEBTE9q0fhN2eApZr6BgenIvLGh0AckaYxHQfHk5w/edit?gid=570396026#gid=570396026")</f>
        <v>https://docs.google.com/spreadsheets/d/19THEBTE9q0fhN2eApZr6BgenIvLGh0AckaYxHQfHk5w/edit?gid=570396026#gid=570396026</v>
      </c>
      <c r="I38" s="19" t="str">
        <f>IFERROR(__xludf.DUMMYFUNCTION("""COMPUTED_VALUE"""),"https://disk.yandex.ru/client/disk/Осмотры%20объектов%20АНО%20СМГ/009.%20Школа%20искусств%20п.%20Московский%20микрорайон%203%20д.8")</f>
        <v>https://disk.yandex.ru/client/disk/Осмотры%20объектов%20АНО%20СМГ/009.%20Школа%20искусств%20п.%20Московский%20микрорайон%203%20д.8</v>
      </c>
      <c r="J38" s="50">
        <f>IFERROR(__xludf.DUMMYFUNCTION("""COMPUTED_VALUE"""),100.0)</f>
        <v>100</v>
      </c>
      <c r="K38" s="58">
        <f>IFERROR(__xludf.DUMMYFUNCTION("""COMPUTED_VALUE"""),45972.0)</f>
        <v>45972</v>
      </c>
      <c r="L38" s="6" t="s">
        <v>654</v>
      </c>
      <c r="M38" s="52" t="s">
        <v>655</v>
      </c>
      <c r="N38" s="53" t="s">
        <v>656</v>
      </c>
      <c r="O38" s="19" t="s">
        <v>680</v>
      </c>
      <c r="P38" s="6"/>
      <c r="Q38" s="6"/>
      <c r="R38" s="6"/>
    </row>
    <row r="39">
      <c r="A39" s="31" t="str">
        <f>IFERROR(__xludf.DUMMYFUNCTION("""COMPUTED_VALUE"""),"103")</f>
        <v>103</v>
      </c>
      <c r="B39" s="14" t="str">
        <f>IFERROR(__xludf.DUMMYFUNCTION("""COMPUTED_VALUE"""),"АИП-25")</f>
        <v>АИП-25</v>
      </c>
      <c r="C39" s="14" t="str">
        <f>IFERROR(__xludf.DUMMYFUNCTION("""COMPUTED_VALUE"""),"ОКС")</f>
        <v>ОКС</v>
      </c>
      <c r="D39" s="15"/>
      <c r="E39" s="14" t="str">
        <f>IFERROR(__xludf.DUMMYFUNCTION("""COMPUTED_VALUE"""),"  Учебный корпус на 550 мест (в том числе дошкольное отделение на 150 мест),  р-н Куркино, ул. Юровская, д. 99 с автономным источником тепла район Куркино, ул. Юровская, д. 99")</f>
        <v>  Учебный корпус на 550 мест (в том числе дошкольное отделение на 150 мест),  р-н Куркино, ул. Юровская, д. 99 с автономным источником тепла район Куркино, ул. Юровская, д. 99</v>
      </c>
      <c r="F39" s="25" t="str">
        <f>IFERROR(__xludf.DUMMYFUNCTION("""COMPUTED_VALUE"""),"#N/A")</f>
        <v>#N/A</v>
      </c>
      <c r="G39" s="6" t="str">
        <f>IFERROR(__xludf.DUMMYFUNCTION("""COMPUTED_VALUE"""),"#N/A")</f>
        <v>#N/A</v>
      </c>
      <c r="H39" s="18" t="str">
        <f>IFERROR(__xludf.DUMMYFUNCTION("""COMPUTED_VALUE"""),"https://docs.google.com/spreadsheets/d/19THEBTE9q0fhN2eApZr6BgenIvLGh0AckaYxHQfHk5w/edit?gid=418899370#gid=418899370")</f>
        <v>https://docs.google.com/spreadsheets/d/19THEBTE9q0fhN2eApZr6BgenIvLGh0AckaYxHQfHk5w/edit?gid=418899370#gid=418899370</v>
      </c>
      <c r="I39" s="19" t="str">
        <f>IFERROR(__xludf.DUMMYFUNCTION("""COMPUTED_VALUE"""),"https://disk.yandex.ru/client/disk/Осмотры%20объектов%20АНО%20СМГ/103.%20Юровская%2099%20УК%20550%20ДОУ%20150")</f>
        <v>https://disk.yandex.ru/client/disk/Осмотры%20объектов%20АНО%20СМГ/103.%20Юровская%2099%20УК%20550%20ДОУ%20150</v>
      </c>
      <c r="J39" s="50">
        <f>IFERROR(__xludf.DUMMYFUNCTION("""COMPUTED_VALUE"""),100.0)</f>
        <v>100</v>
      </c>
      <c r="K39" s="58">
        <f>IFERROR(__xludf.DUMMYFUNCTION("""COMPUTED_VALUE"""),45901.0)</f>
        <v>45901</v>
      </c>
      <c r="L39" s="6" t="s">
        <v>654</v>
      </c>
      <c r="M39" s="52" t="s">
        <v>655</v>
      </c>
      <c r="N39" s="53" t="s">
        <v>656</v>
      </c>
      <c r="O39" s="19" t="s">
        <v>681</v>
      </c>
      <c r="P39" s="6"/>
      <c r="Q39" s="6"/>
      <c r="R39" s="6"/>
    </row>
    <row r="40">
      <c r="A40" s="31" t="str">
        <f>IFERROR(__xludf.DUMMYFUNCTION("""COMPUTED_VALUE"""),"013")</f>
        <v>013</v>
      </c>
      <c r="B40" s="14" t="str">
        <f>IFERROR(__xludf.DUMMYFUNCTION("""COMPUTED_VALUE"""),"АИП-25")</f>
        <v>АИП-25</v>
      </c>
      <c r="C40" s="14" t="str">
        <f>IFERROR(__xludf.DUMMYFUNCTION("""COMPUTED_VALUE"""),"ОКС")</f>
        <v>ОКС</v>
      </c>
      <c r="D40" s="15"/>
      <c r="E40" s="14" t="str">
        <f>IFERROR(__xludf.DUMMYFUNCTION("""COMPUTED_VALUE"""),"Школа на 1100 мест (в части общестроительных работ и устройства наружных инженерных сетей) пос. Мосрентген, квартал 24, вл.2")</f>
        <v>Школа на 1100 мест (в части общестроительных работ и устройства наружных инженерных сетей) пос. Мосрентген, квартал 24, вл.2</v>
      </c>
      <c r="F40" s="25" t="str">
        <f>IFERROR(__xludf.DUMMYFUNCTION("""COMPUTED_VALUE"""),"#N/A")</f>
        <v>#N/A</v>
      </c>
      <c r="G40" s="6" t="str">
        <f>IFERROR(__xludf.DUMMYFUNCTION("""COMPUTED_VALUE"""),"#N/A")</f>
        <v>#N/A</v>
      </c>
      <c r="H40" s="18" t="str">
        <f>IFERROR(__xludf.DUMMYFUNCTION("""COMPUTED_VALUE"""),"https://docs.google.com/spreadsheets/d/19THEBTE9q0fhN2eApZr6BgenIvLGh0AckaYxHQfHk5w/edit?gid=1447691158#gid=1447691158")</f>
        <v>https://docs.google.com/spreadsheets/d/19THEBTE9q0fhN2eApZr6BgenIvLGh0AckaYxHQfHk5w/edit?gid=1447691158#gid=1447691158</v>
      </c>
      <c r="I40" s="19" t="str">
        <f>IFERROR(__xludf.DUMMYFUNCTION("""COMPUTED_VALUE"""),"https://disk.yandex.ru/client/disk/Осмотры%20объектов%20АНО%20СМГ/013.%20СОШ1100%20Мосренген")</f>
        <v>https://disk.yandex.ru/client/disk/Осмотры%20объектов%20АНО%20СМГ/013.%20СОШ1100%20Мосренген</v>
      </c>
      <c r="J40" s="50">
        <f>IFERROR(__xludf.DUMMYFUNCTION("""COMPUTED_VALUE"""),100.0)</f>
        <v>100</v>
      </c>
      <c r="K40" s="58">
        <f>IFERROR(__xludf.DUMMYFUNCTION("""COMPUTED_VALUE"""),45902.0)</f>
        <v>45902</v>
      </c>
      <c r="L40" s="6" t="s">
        <v>654</v>
      </c>
      <c r="M40" s="52" t="s">
        <v>655</v>
      </c>
      <c r="N40" s="53" t="s">
        <v>656</v>
      </c>
      <c r="O40" s="19" t="s">
        <v>682</v>
      </c>
      <c r="P40" s="6"/>
      <c r="Q40" s="6"/>
      <c r="R40" s="6"/>
    </row>
    <row r="41">
      <c r="A41" s="31" t="str">
        <f>IFERROR(__xludf.DUMMYFUNCTION("""COMPUTED_VALUE"""),"013")</f>
        <v>013</v>
      </c>
      <c r="B41" s="14" t="str">
        <f>IFERROR(__xludf.DUMMYFUNCTION("""COMPUTED_VALUE"""),"АИП-25")</f>
        <v>АИП-25</v>
      </c>
      <c r="C41" s="14" t="str">
        <f>IFERROR(__xludf.DUMMYFUNCTION("""COMPUTED_VALUE"""),"ОКС")</f>
        <v>ОКС</v>
      </c>
      <c r="D41" s="15"/>
      <c r="E41" s="14" t="str">
        <f>IFERROR(__xludf.DUMMYFUNCTION("""COMPUTED_VALUE"""),"Школа на 1100 мест (в части общестроительных работ и устройства наружных инженерных сетей) Школа на 1100 мест,поселение Мосрентген, квартал 24, д. 2")</f>
        <v>Школа на 1100 мест (в части общестроительных работ и устройства наружных инженерных сетей) Школа на 1100 мест,_x000b_поселение Мосрентген, квартал 24, д. 2</v>
      </c>
      <c r="F41" s="25" t="str">
        <f>IFERROR(__xludf.DUMMYFUNCTION("""COMPUTED_VALUE"""),"#N/A")</f>
        <v>#N/A</v>
      </c>
      <c r="G41" s="6" t="str">
        <f>IFERROR(__xludf.DUMMYFUNCTION("""COMPUTED_VALUE"""),"#N/A")</f>
        <v>#N/A</v>
      </c>
      <c r="H41" s="18" t="str">
        <f>IFERROR(__xludf.DUMMYFUNCTION("""COMPUTED_VALUE"""),"https://docs.google.com/spreadsheets/d/19THEBTE9q0fhN2eApZr6BgenIvLGh0AckaYxHQfHk5w/edit?gid=1447691158#gid=1447691158")</f>
        <v>https://docs.google.com/spreadsheets/d/19THEBTE9q0fhN2eApZr6BgenIvLGh0AckaYxHQfHk5w/edit?gid=1447691158#gid=1447691158</v>
      </c>
      <c r="I41" s="19" t="str">
        <f>IFERROR(__xludf.DUMMYFUNCTION("""COMPUTED_VALUE"""),"https://disk.yandex.ru/client/disk/Осмотры%20объектов%20АНО%20СМГ/013.%20СОШ1100%20Мосренген")</f>
        <v>https://disk.yandex.ru/client/disk/Осмотры%20объектов%20АНО%20СМГ/013.%20СОШ1100%20Мосренген</v>
      </c>
      <c r="J41" s="50">
        <f>IFERROR(__xludf.DUMMYFUNCTION("""COMPUTED_VALUE"""),100.0)</f>
        <v>100</v>
      </c>
      <c r="K41" s="58">
        <f>IFERROR(__xludf.DUMMYFUNCTION("""COMPUTED_VALUE"""),45902.0)</f>
        <v>45902</v>
      </c>
      <c r="L41" s="6" t="s">
        <v>654</v>
      </c>
      <c r="M41" s="52" t="s">
        <v>655</v>
      </c>
      <c r="N41" s="53" t="s">
        <v>656</v>
      </c>
      <c r="O41" s="19" t="s">
        <v>683</v>
      </c>
      <c r="P41" s="6"/>
      <c r="Q41" s="6"/>
      <c r="R41" s="6"/>
    </row>
    <row r="42">
      <c r="A42" s="31" t="str">
        <f>IFERROR(__xludf.DUMMYFUNCTION("""COMPUTED_VALUE"""),"011")</f>
        <v>011</v>
      </c>
      <c r="B42" s="14" t="str">
        <f>IFERROR(__xludf.DUMMYFUNCTION("""COMPUTED_VALUE"""),"АИП-25")</f>
        <v>АИП-25</v>
      </c>
      <c r="C42" s="14" t="str">
        <f>IFERROR(__xludf.DUMMYFUNCTION("""COMPUTED_VALUE"""),"ОКС")</f>
        <v>ОКС</v>
      </c>
      <c r="D42" s="15"/>
      <c r="E42" s="14" t="str">
        <f>IFERROR(__xludf.DUMMYFUNCTION("""COMPUTED_VALUE"""),"Реконструкция существующего здания школы № 2075 со строительством пристройки на 300 мест, пос. Красная Пахра, вл. 23-1 пос. Краснопахорское, пос. Красная Пахра, вл. 23-1")</f>
        <v>Реконструкция существующего здания школы _x000b_№ 2075 со строительством пристройки на 300 мест, пос. Красная Пахра, вл. 23-1 пос. Краснопахорское, пос. Красная Пахра, вл. 23-1</v>
      </c>
      <c r="F42" s="25" t="str">
        <f>IFERROR(__xludf.DUMMYFUNCTION("""COMPUTED_VALUE"""),"#N/A")</f>
        <v>#N/A</v>
      </c>
      <c r="G42" s="6" t="str">
        <f>IFERROR(__xludf.DUMMYFUNCTION("""COMPUTED_VALUE"""),"#N/A")</f>
        <v>#N/A</v>
      </c>
      <c r="H42" s="18" t="str">
        <f>IFERROR(__xludf.DUMMYFUNCTION("""COMPUTED_VALUE"""),"https://docs.google.com/spreadsheets/d/19THEBTE9q0fhN2eApZr6BgenIvLGh0AckaYxHQfHk5w/edit?gid=465129833#gid=465129833")</f>
        <v>https://docs.google.com/spreadsheets/d/19THEBTE9q0fhN2eApZr6BgenIvLGh0AckaYxHQfHk5w/edit?gid=465129833#gid=465129833</v>
      </c>
      <c r="I42" s="19" t="str">
        <f>IFERROR(__xludf.DUMMYFUNCTION("""COMPUTED_VALUE"""),"https://disk.yandex.ru/client/disk/Осмотры%20объектов%20АНО%20СМГ/011.%20СОШ%202075%20Красная%20Пахра")</f>
        <v>https://disk.yandex.ru/client/disk/Осмотры%20объектов%20АНО%20СМГ/011.%20СОШ%202075%20Красная%20Пахра</v>
      </c>
      <c r="J42" s="50">
        <f>IFERROR(__xludf.DUMMYFUNCTION("""COMPUTED_VALUE"""),100.0)</f>
        <v>100</v>
      </c>
      <c r="K42" s="58">
        <f>IFERROR(__xludf.DUMMYFUNCTION("""COMPUTED_VALUE"""),45901.0)</f>
        <v>45901</v>
      </c>
      <c r="L42" s="6" t="s">
        <v>654</v>
      </c>
      <c r="M42" s="52" t="s">
        <v>655</v>
      </c>
      <c r="N42" s="53" t="s">
        <v>656</v>
      </c>
      <c r="O42" s="19" t="s">
        <v>684</v>
      </c>
      <c r="P42" s="6"/>
      <c r="Q42" s="6"/>
      <c r="R42" s="6"/>
    </row>
    <row r="43">
      <c r="A43" s="31" t="str">
        <f>IFERROR(__xludf.DUMMYFUNCTION("""COMPUTED_VALUE"""),"1153д (этап 5.1.3)")</f>
        <v>1153д (этап 5.1.3)</v>
      </c>
      <c r="B43" s="14" t="str">
        <f>IFERROR(__xludf.DUMMYFUNCTION("""COMPUTED_VALUE"""),"013")</f>
        <v>013</v>
      </c>
      <c r="C43" s="14" t="str">
        <f>IFERROR(__xludf.DUMMYFUNCTION("""COMPUTED_VALUE"""),"УДС")</f>
        <v>УДС</v>
      </c>
      <c r="D43" s="15"/>
      <c r="E43" s="14" t="str">
        <f>IFERROR(__xludf.DUMMYFUNCTION("""COMPUTED_VALUE"""),"Прокладка водопровода Д1000 мм от деревни сосенки до города Троицк со строительством водопроводных узлов ""Станиславль"" и ""Красная Пахра"" этап 5.1.3.
 от деревни Сосенки до города Троицк")</f>
        <v>Прокладка водопровода Д1000 мм от деревни сосенки до города Троицк со строительством водопроводных узлов "Станиславль" и "Красная Пахра" этап 5.1.3.
 от деревни Сосенки до города Троицк</v>
      </c>
      <c r="F43" s="25" t="str">
        <f>IFERROR(__xludf.DUMMYFUNCTION("""COMPUTED_VALUE"""),"55.523077578675746")</f>
        <v>55.523077578675746</v>
      </c>
      <c r="G43" s="6" t="str">
        <f>IFERROR(__xludf.DUMMYFUNCTION("""COMPUTED_VALUE"""),"37.38505719530739")</f>
        <v>37.38505719530739</v>
      </c>
      <c r="H43" s="6"/>
      <c r="I43" s="6"/>
      <c r="J43" s="50">
        <f>IFERROR(__xludf.DUMMYFUNCTION("""COMPUTED_VALUE"""),100.0)</f>
        <v>100</v>
      </c>
      <c r="K43" s="58">
        <f>IFERROR(__xludf.DUMMYFUNCTION("""COMPUTED_VALUE"""),45887.0)</f>
        <v>45887</v>
      </c>
      <c r="L43" s="6" t="s">
        <v>654</v>
      </c>
      <c r="M43" s="52" t="s">
        <v>655</v>
      </c>
      <c r="N43" s="53" t="s">
        <v>656</v>
      </c>
      <c r="O43" s="6" t="s">
        <v>685</v>
      </c>
      <c r="P43" s="6"/>
      <c r="Q43" s="6"/>
      <c r="R43" s="6"/>
    </row>
    <row r="44">
      <c r="A44" s="31" t="str">
        <f>IFERROR(__xludf.DUMMYFUNCTION("""COMPUTED_VALUE"""),"1286")</f>
        <v>1286</v>
      </c>
      <c r="B44" s="14" t="str">
        <f>IFERROR(__xludf.DUMMYFUNCTION("""COMPUTED_VALUE"""),"АИП-25")</f>
        <v>АИП-25</v>
      </c>
      <c r="C44" s="14" t="str">
        <f>IFERROR(__xludf.DUMMYFUNCTION("""COMPUTED_VALUE"""),"УДС")</f>
        <v>УДС</v>
      </c>
      <c r="D44" s="15"/>
      <c r="E44" s="14" t="str">
        <f>IFERROR(__xludf.DUMMYFUNCTION("""COMPUTED_VALUE"""),"ПР-56-01-7 Дорога и инженерные коммуникации для застройки мкр.19 (а, б, в) р-на Ховрино (7 пусковой комплекс) 
  г. Москва, район Ховрино, мкр.19 а,б,в")</f>
        <v>ПР-56-01-7 Дорога и инженерные коммуникации для застройки мкр.19 (а, б, в) р-на Ховрино (7 пусковой комплекс) 
  г. Москва, район Ховрино, мкр.19 а,б,в</v>
      </c>
      <c r="F44" s="25" t="str">
        <f>IFERROR(__xludf.DUMMYFUNCTION("""COMPUTED_VALUE"""),"#N/A")</f>
        <v>#N/A</v>
      </c>
      <c r="G44" s="6" t="str">
        <f>IFERROR(__xludf.DUMMYFUNCTION("""COMPUTED_VALUE"""),"#N/A")</f>
        <v>#N/A</v>
      </c>
      <c r="H44" s="18" t="str">
        <f>IFERROR(__xludf.DUMMYFUNCTION("""COMPUTED_VALUE"""),"https://docs.google.com/spreadsheets/d/1MW8OIVEKRJEaLcG-KS0zwZPEQ0eRUWE2y9Gj77rgoxo/edit?gid=1454312032#gid=1454312032")</f>
        <v>https://docs.google.com/spreadsheets/d/1MW8OIVEKRJEaLcG-KS0zwZPEQ0eRUWE2y9Gj77rgoxo/edit?gid=1454312032#gid=1454312032</v>
      </c>
      <c r="I44" s="6"/>
      <c r="J44" s="50">
        <f>IFERROR(__xludf.DUMMYFUNCTION("""COMPUTED_VALUE"""),100.0)</f>
        <v>100</v>
      </c>
      <c r="K44" s="58">
        <f>IFERROR(__xludf.DUMMYFUNCTION("""COMPUTED_VALUE"""),45887.0)</f>
        <v>45887</v>
      </c>
      <c r="L44" s="6" t="s">
        <v>654</v>
      </c>
      <c r="M44" s="52" t="s">
        <v>655</v>
      </c>
      <c r="N44" s="53" t="s">
        <v>656</v>
      </c>
      <c r="O44" s="6" t="s">
        <v>686</v>
      </c>
      <c r="P44" s="6"/>
      <c r="Q44" s="6"/>
      <c r="R44" s="6"/>
    </row>
    <row r="45">
      <c r="A45" s="31" t="str">
        <f>IFERROR(__xludf.DUMMYFUNCTION("""COMPUTED_VALUE"""),"182д")</f>
        <v>182д</v>
      </c>
      <c r="B45" s="14" t="str">
        <f>IFERROR(__xludf.DUMMYFUNCTION("""COMPUTED_VALUE"""),"АИП-25")</f>
        <v>АИП-25</v>
      </c>
      <c r="C45" s="14" t="str">
        <f>IFERROR(__xludf.DUMMYFUNCTION("""COMPUTED_VALUE"""),"УДС")</f>
        <v>УДС</v>
      </c>
      <c r="D45" s="15"/>
      <c r="E45" s="14" t="str">
        <f>IFERROR(__xludf.DUMMYFUNCTION("""COMPUTED_VALUE"""),"Многоуровневая транспортная развязка с прилегающей улично – дорожной сетью в районе станции метро ""Мамыри"" (Открытие многоуровневой транспортной развязки в районе станции метро «Корниловская») В районе станции метро «Мамыри» (НАО)")</f>
        <v>Многоуровневая транспортная развязка с прилегающей улично – дорожной сетью в районе станции метро "Мамыри" (Открытие многоуровневой транспортной развязки в районе станции метро «Корниловская») В районе станции метро «Мамыри» (НАО)</v>
      </c>
      <c r="F45" s="25" t="str">
        <f>IFERROR(__xludf.DUMMYFUNCTION("""COMPUTED_VALUE"""),"#N/A")</f>
        <v>#N/A</v>
      </c>
      <c r="G45" s="6" t="str">
        <f>IFERROR(__xludf.DUMMYFUNCTION("""COMPUTED_VALUE"""),"#N/A")</f>
        <v>#N/A</v>
      </c>
      <c r="H45" s="6"/>
      <c r="I45" s="6"/>
      <c r="J45" s="50">
        <f>IFERROR(__xludf.DUMMYFUNCTION("""COMPUTED_VALUE"""),100.0)</f>
        <v>100</v>
      </c>
      <c r="K45" s="58">
        <f>IFERROR(__xludf.DUMMYFUNCTION("""COMPUTED_VALUE"""),45972.0)</f>
        <v>45972</v>
      </c>
      <c r="L45" s="6" t="s">
        <v>654</v>
      </c>
      <c r="M45" s="52" t="s">
        <v>655</v>
      </c>
      <c r="N45" s="53" t="s">
        <v>656</v>
      </c>
      <c r="O45" s="6" t="s">
        <v>687</v>
      </c>
      <c r="P45" s="6"/>
      <c r="Q45" s="6"/>
      <c r="R45" s="6"/>
    </row>
    <row r="46">
      <c r="A46" s="31" t="str">
        <f>IFERROR(__xludf.DUMMYFUNCTION("""COMPUTED_VALUE"""),"217д")</f>
        <v>217д</v>
      </c>
      <c r="B46" s="14" t="str">
        <f>IFERROR(__xludf.DUMMYFUNCTION("""COMPUTED_VALUE"""),"АИП-25")</f>
        <v>АИП-25</v>
      </c>
      <c r="C46" s="14" t="str">
        <f>IFERROR(__xludf.DUMMYFUNCTION("""COMPUTED_VALUE"""),"УДС")</f>
        <v>УДС</v>
      </c>
      <c r="D46" s="15"/>
      <c r="E46" s="14" t="str">
        <f>IFERROR(__xludf.DUMMYFUNCTION("""COMPUTED_VALUE"""),"Улично-дорожная сеть в п.Мосрентген. Строительство магистральных улиц районного значения - проектируемые пр-ды 1-2-26, 1-2-23, 1-2-29, 1-2-7, от проектируемого пр-да 1-2-26 до ул. Адмирала Корнилова поселение «Мосрентген», Новомосковский административный "&amp;"округ города Москвы")</f>
        <v>Улично-дорожная сеть в п.Мосрентген. Строительство магистральных улиц районного значения - проектируемые пр-ды 1-2-26, 1-2-23, 1-2-29, 1-2-7, от проектируемого пр-да 1-2-26 до ул. Адмирала Корнилова поселение «Мосрентген», Новомосковский административный округ города Москвы</v>
      </c>
      <c r="F46" s="25" t="str">
        <f>IFERROR(__xludf.DUMMYFUNCTION("""COMPUTED_VALUE"""),"#N/A")</f>
        <v>#N/A</v>
      </c>
      <c r="G46" s="6" t="str">
        <f>IFERROR(__xludf.DUMMYFUNCTION("""COMPUTED_VALUE"""),"#N/A")</f>
        <v>#N/A</v>
      </c>
      <c r="H46" s="6"/>
      <c r="I46" s="6"/>
      <c r="J46" s="50">
        <f>IFERROR(__xludf.DUMMYFUNCTION("""COMPUTED_VALUE"""),99.4)</f>
        <v>99.4</v>
      </c>
      <c r="K46" s="58">
        <f>IFERROR(__xludf.DUMMYFUNCTION("""COMPUTED_VALUE"""),45973.0)</f>
        <v>45973</v>
      </c>
      <c r="L46" s="6">
        <v>7.0</v>
      </c>
      <c r="M46" s="52">
        <v>45980.0</v>
      </c>
      <c r="N46" s="53" t="s">
        <v>652</v>
      </c>
      <c r="O46" s="15" t="s">
        <v>688</v>
      </c>
      <c r="P46" s="6"/>
      <c r="Q46" s="6"/>
      <c r="R46" s="6"/>
    </row>
    <row r="47">
      <c r="A47" s="31" t="str">
        <f>IFERROR(__xludf.DUMMYFUNCTION("""COMPUTED_VALUE"""),"155д")</f>
        <v>155д</v>
      </c>
      <c r="B47" s="14" t="str">
        <f>IFERROR(__xludf.DUMMYFUNCTION("""COMPUTED_VALUE"""),"АИП-25")</f>
        <v>АИП-25</v>
      </c>
      <c r="C47" s="14" t="str">
        <f>IFERROR(__xludf.DUMMYFUNCTION("""COMPUTED_VALUE"""),"УДС")</f>
        <v>УДС</v>
      </c>
      <c r="D47" s="15"/>
      <c r="E47" s="14" t="str">
        <f>IFERROR(__xludf.DUMMYFUNCTION("""COMPUTED_VALUE"""),"Улично-дорожная сеть во 2-м мкр. р-на Северный район Северный, СВАО города Москвы")</f>
        <v>Улично-дорожная сеть во 2-м мкр. р-на Северный район Северный, СВАО города Москвы</v>
      </c>
      <c r="F47" s="25" t="str">
        <f>IFERROR(__xludf.DUMMYFUNCTION("""COMPUTED_VALUE"""),"#N/A")</f>
        <v>#N/A</v>
      </c>
      <c r="G47" s="6" t="str">
        <f>IFERROR(__xludf.DUMMYFUNCTION("""COMPUTED_VALUE"""),"#N/A")</f>
        <v>#N/A</v>
      </c>
      <c r="H47" s="6"/>
      <c r="I47" s="6"/>
      <c r="J47" s="50">
        <f>IFERROR(__xludf.DUMMYFUNCTION("""COMPUTED_VALUE"""),100.0)</f>
        <v>100</v>
      </c>
      <c r="K47" s="58">
        <f>IFERROR(__xludf.DUMMYFUNCTION("""COMPUTED_VALUE"""),45973.0)</f>
        <v>45973</v>
      </c>
      <c r="L47" s="6" t="s">
        <v>654</v>
      </c>
      <c r="M47" s="52" t="s">
        <v>655</v>
      </c>
      <c r="N47" s="53" t="s">
        <v>656</v>
      </c>
      <c r="O47" s="6" t="s">
        <v>689</v>
      </c>
      <c r="P47" s="6"/>
      <c r="Q47" s="6"/>
      <c r="R47" s="6"/>
    </row>
    <row r="48">
      <c r="A48" s="31" t="str">
        <f>IFERROR(__xludf.DUMMYFUNCTION("""COMPUTED_VALUE"""),"175")</f>
        <v>175</v>
      </c>
      <c r="B48" s="14" t="str">
        <f>IFERROR(__xludf.DUMMYFUNCTION("""COMPUTED_VALUE"""),"АИП-25")</f>
        <v>АИП-25</v>
      </c>
      <c r="C48" s="14" t="str">
        <f>IFERROR(__xludf.DUMMYFUNCTION("""COMPUTED_VALUE"""),"ОКС")</f>
        <v>ОКС</v>
      </c>
      <c r="D48" s="15"/>
      <c r="E48" s="14" t="str">
        <f>IFERROR(__xludf.DUMMYFUNCTION("""COMPUTED_VALUE"""),"Жилые дома с инженерными 
 коммуникациями и благоустройством,
 Чечерский проезд, напротив вл. 54, 56 район Южное Бутово, Чечерский проезд, напротив вл. 54, 56")</f>
        <v>Жилые дома с инженерными 
 коммуникациями и благоустройством,
 Чечерский проезд, напротив вл. 54, 56 район Южное Бутово, Чечерский проезд, напротив вл. 54, 56</v>
      </c>
      <c r="F48" s="25" t="str">
        <f>IFERROR(__xludf.DUMMYFUNCTION("""COMPUTED_VALUE"""),"#N/A")</f>
        <v>#N/A</v>
      </c>
      <c r="G48" s="6" t="str">
        <f>IFERROR(__xludf.DUMMYFUNCTION("""COMPUTED_VALUE"""),"#N/A")</f>
        <v>#N/A</v>
      </c>
      <c r="H48" s="18" t="str">
        <f>IFERROR(__xludf.DUMMYFUNCTION("""COMPUTED_VALUE"""),"https://docs.google.com/spreadsheets/d/19THEBTE9q0fhN2eApZr6BgenIvLGh0AckaYxHQfHk5w/edit?gid=1190089568#gid=1190089568")</f>
        <v>https://docs.google.com/spreadsheets/d/19THEBTE9q0fhN2eApZr6BgenIvLGh0AckaYxHQfHk5w/edit?gid=1190089568#gid=1190089568</v>
      </c>
      <c r="I48" s="19" t="str">
        <f>IFERROR(__xludf.DUMMYFUNCTION("""COMPUTED_VALUE"""),"https://disk.yandex.ru/client/disk/Осмотры%20объектов%20АНО%20СМГ/175.%20Южное%20Бутово%2C%20Чечëрский%20пр-д%2C%20вл.%2054%2C%2056.")</f>
        <v>https://disk.yandex.ru/client/disk/Осмотры%20объектов%20АНО%20СМГ/175.%20Южное%20Бутово%2C%20Чечëрский%20пр-д%2C%20вл.%2054%2C%2056.</v>
      </c>
      <c r="J48" s="50">
        <f>IFERROR(__xludf.DUMMYFUNCTION("""COMPUTED_VALUE"""),99.94)</f>
        <v>99.94</v>
      </c>
      <c r="K48" s="58">
        <f>IFERROR(__xludf.DUMMYFUNCTION("""COMPUTED_VALUE"""),45839.0)</f>
        <v>45839</v>
      </c>
      <c r="L48" s="6">
        <v>7.0</v>
      </c>
      <c r="M48" s="52">
        <v>45846.0</v>
      </c>
      <c r="N48" s="53" t="s">
        <v>652</v>
      </c>
      <c r="O48" s="19" t="s">
        <v>690</v>
      </c>
      <c r="P48" s="6"/>
      <c r="Q48" s="6"/>
      <c r="R48" s="6"/>
    </row>
    <row r="49">
      <c r="A49" s="31" t="str">
        <f>IFERROR(__xludf.DUMMYFUNCTION("""COMPUTED_VALUE"""),"176")</f>
        <v>176</v>
      </c>
      <c r="B49" s="14" t="str">
        <f>IFERROR(__xludf.DUMMYFUNCTION("""COMPUTED_VALUE"""),"АИП-25")</f>
        <v>АИП-25</v>
      </c>
      <c r="C49" s="14" t="str">
        <f>IFERROR(__xludf.DUMMYFUNCTION("""COMPUTED_VALUE"""),"ОКС")</f>
        <v>ОКС</v>
      </c>
      <c r="D49" s="15"/>
      <c r="E49" s="14" t="str">
        <f>IFERROR(__xludf.DUMMYFUNCTION("""COMPUTED_VALUE"""),"Административное здание,
  ул. Синявинская, вл. 11 Молжаниновский район, ул. Синявинская, вл. 11")</f>
        <v>Административное здание,
  ул. Синявинская, вл. 11 Молжаниновский район, ул. Синявинская, вл. 11</v>
      </c>
      <c r="F49" s="25" t="str">
        <f>IFERROR(__xludf.DUMMYFUNCTION("""COMPUTED_VALUE"""),"#N/A")</f>
        <v>#N/A</v>
      </c>
      <c r="G49" s="6" t="str">
        <f>IFERROR(__xludf.DUMMYFUNCTION("""COMPUTED_VALUE"""),"#N/A")</f>
        <v>#N/A</v>
      </c>
      <c r="H49" s="18" t="str">
        <f>IFERROR(__xludf.DUMMYFUNCTION("""COMPUTED_VALUE"""),"https://docs.google.com/spreadsheets/d/19THEBTE9q0fhN2eApZr6BgenIvLGh0AckaYxHQfHk5w/edit?gid=700032418#gid=700032418")</f>
        <v>https://docs.google.com/spreadsheets/d/19THEBTE9q0fhN2eApZr6BgenIvLGh0AckaYxHQfHk5w/edit?gid=700032418#gid=700032418</v>
      </c>
      <c r="I49" s="19" t="str">
        <f>IFERROR(__xludf.DUMMYFUNCTION("""COMPUTED_VALUE"""),"https://disk.yandex.ru/client/disk/Осмотры%20объектов%20АНО%20СМГ/176.%20Синявинская%20вл%2011%20(1в)")</f>
        <v>https://disk.yandex.ru/client/disk/Осмотры%20объектов%20АНО%20СМГ/176.%20Синявинская%20вл%2011%20(1в)</v>
      </c>
      <c r="J49" s="50">
        <f>IFERROR(__xludf.DUMMYFUNCTION("""COMPUTED_VALUE"""),100.0)</f>
        <v>100</v>
      </c>
      <c r="K49" s="58">
        <f>IFERROR(__xludf.DUMMYFUNCTION("""COMPUTED_VALUE"""),45839.0)</f>
        <v>45839</v>
      </c>
      <c r="L49" s="6" t="s">
        <v>654</v>
      </c>
      <c r="M49" s="52" t="s">
        <v>655</v>
      </c>
      <c r="N49" s="53" t="s">
        <v>656</v>
      </c>
      <c r="O49" s="19" t="s">
        <v>691</v>
      </c>
      <c r="P49" s="6"/>
      <c r="Q49" s="6"/>
      <c r="R49" s="6"/>
    </row>
    <row r="50">
      <c r="A50" s="31" t="str">
        <f>IFERROR(__xludf.DUMMYFUNCTION("""COMPUTED_VALUE"""),"116")</f>
        <v>116</v>
      </c>
      <c r="B50" s="14" t="str">
        <f>IFERROR(__xludf.DUMMYFUNCTION("""COMPUTED_VALUE"""),"АИП-25")</f>
        <v>АИП-25</v>
      </c>
      <c r="C50" s="14" t="str">
        <f>IFERROR(__xludf.DUMMYFUNCTION("""COMPUTED_VALUE"""),"ОКС")</f>
        <v>ОКС</v>
      </c>
      <c r="D50" s="15"/>
      <c r="E50" s="14" t="str">
        <f>IFERROR(__xludf.DUMMYFUNCTION("""COMPUTED_VALUE"""),"Школа на 1200 мест, 
 д. Ватутинки, пос. Десёновское, ул. Кварцевая, д. 3А пос. Десеновское, д. Ватутинки, ул. Кварцевая, 3А")</f>
        <v>Школа на 1200 мест, 
 д. Ватутинки, пос. Десёновское, ул. Кварцевая, д. 3А пос. Десеновское, д. Ватутинки, ул. Кварцевая, 3А</v>
      </c>
      <c r="F50" s="25" t="str">
        <f>IFERROR(__xludf.DUMMYFUNCTION("""COMPUTED_VALUE"""),"55.488695")</f>
        <v>55.488695</v>
      </c>
      <c r="G50" s="6" t="str">
        <f>IFERROR(__xludf.DUMMYFUNCTION("""COMPUTED_VALUE"""),"37.339420")</f>
        <v>37.339420</v>
      </c>
      <c r="H50" s="18" t="str">
        <f>IFERROR(__xludf.DUMMYFUNCTION("""COMPUTED_VALUE"""),"https://docs.google.com/spreadsheets/d/19THEBTE9q0fhN2eApZr6BgenIvLGh0AckaYxHQfHk5w/edit?gid=1830744104#gid=1830744104")</f>
        <v>https://docs.google.com/spreadsheets/d/19THEBTE9q0fhN2eApZr6BgenIvLGh0AckaYxHQfHk5w/edit?gid=1830744104#gid=1830744104</v>
      </c>
      <c r="I50" s="19" t="str">
        <f>IFERROR(__xludf.DUMMYFUNCTION("""COMPUTED_VALUE"""),"https://disk.yandex.ru/client/disk/Осмотры%20объектов%20АНО%20СМГ/116.%20Кварцевая%20ул.%203А%2C%20д.%20Ватутинки%20(СОШ%20на%201200%20м)")</f>
        <v>https://disk.yandex.ru/client/disk/Осмотры%20объектов%20АНО%20СМГ/116.%20Кварцевая%20ул.%203А%2C%20д.%20Ватутинки%20(СОШ%20на%201200%20м)</v>
      </c>
      <c r="J50" s="50">
        <f>IFERROR(__xludf.DUMMYFUNCTION("""COMPUTED_VALUE"""),99.82400000000001)</f>
        <v>99.824</v>
      </c>
      <c r="K50" s="58">
        <f>IFERROR(__xludf.DUMMYFUNCTION("""COMPUTED_VALUE"""),45971.0)</f>
        <v>45971</v>
      </c>
      <c r="L50" s="6">
        <v>7.0</v>
      </c>
      <c r="M50" s="52">
        <v>45978.0</v>
      </c>
      <c r="N50" s="53" t="s">
        <v>692</v>
      </c>
      <c r="O50" s="19" t="s">
        <v>693</v>
      </c>
      <c r="P50" s="6"/>
      <c r="Q50" s="6"/>
      <c r="R50" s="6"/>
    </row>
    <row r="51">
      <c r="A51" s="31" t="str">
        <f>IFERROR(__xludf.DUMMYFUNCTION("""COMPUTED_VALUE"""),"254")</f>
        <v>254</v>
      </c>
      <c r="B51" s="14" t="str">
        <f>IFERROR(__xludf.DUMMYFUNCTION("""COMPUTED_VALUE"""),"АИП-25")</f>
        <v>АИП-25</v>
      </c>
      <c r="C51" s="14" t="str">
        <f>IFERROR(__xludf.DUMMYFUNCTION("""COMPUTED_VALUE"""),"ОКС")</f>
        <v>ОКС</v>
      </c>
      <c r="D51" s="15"/>
      <c r="E51" s="14" t="str">
        <f>IFERROR(__xludf.DUMMYFUNCTION("""COMPUTED_VALUE"""),"ММК. Центр хронических болезней, 
 территория инновационного центра «Сколково»,
 ул. Большой бульвар, д. 46, строение 3  Территория инновационного центра «Сколково»")</f>
        <v>ММК. Центр хронических болезней, 
 территория инновационного центра «Сколково»,
 ул. Большой бульвар, д. 46, строение 3  Территория инновационного центра «Сколково»</v>
      </c>
      <c r="F51" s="25" t="str">
        <f>IFERROR(__xludf.DUMMYFUNCTION("""COMPUTED_VALUE"""),"55.684365")</f>
        <v>55.684365</v>
      </c>
      <c r="G51" s="6" t="str">
        <f>IFERROR(__xludf.DUMMYFUNCTION("""COMPUTED_VALUE"""),"37.348977")</f>
        <v>37.348977</v>
      </c>
      <c r="H51" s="18" t="str">
        <f>IFERROR(__xludf.DUMMYFUNCTION("""COMPUTED_VALUE"""),"https://docs.google.com/spreadsheets/d/19THEBTE9q0fhN2eApZr6BgenIvLGh0AckaYxHQfHk5w/edit?gid=987830810#gid=987830810")</f>
        <v>https://docs.google.com/spreadsheets/d/19THEBTE9q0fhN2eApZr6BgenIvLGh0AckaYxHQfHk5w/edit?gid=987830810#gid=987830810</v>
      </c>
      <c r="I51" s="19" t="str">
        <f>IFERROR(__xludf.DUMMYFUNCTION("""COMPUTED_VALUE"""),"https://disk.yandex.ru/client/disk/Осмотры%20объектов%20АНО%20СМГ/254.%20Ммк%20Сколково%20ЦХБ%20ул%20Большой%20бульвар%2046с3")</f>
        <v>https://disk.yandex.ru/client/disk/Осмотры%20объектов%20АНО%20СМГ/254.%20Ммк%20Сколково%20ЦХБ%20ул%20Большой%20бульвар%2046с3</v>
      </c>
      <c r="J51" s="50">
        <f>IFERROR(__xludf.DUMMYFUNCTION("""COMPUTED_VALUE"""),99.9635)</f>
        <v>99.9635</v>
      </c>
      <c r="K51" s="58">
        <f>IFERROR(__xludf.DUMMYFUNCTION("""COMPUTED_VALUE"""),45972.0)</f>
        <v>45972</v>
      </c>
      <c r="L51" s="6">
        <v>7.0</v>
      </c>
      <c r="M51" s="52">
        <v>45979.0</v>
      </c>
      <c r="N51" s="53" t="s">
        <v>692</v>
      </c>
      <c r="O51" s="19" t="s">
        <v>694</v>
      </c>
      <c r="P51" s="6"/>
      <c r="Q51" s="6"/>
      <c r="R51" s="6"/>
    </row>
    <row r="52">
      <c r="A52" s="31" t="str">
        <f>IFERROR(__xludf.DUMMYFUNCTION("""COMPUTED_VALUE"""),"119")</f>
        <v>119</v>
      </c>
      <c r="B52" s="14" t="str">
        <f>IFERROR(__xludf.DUMMYFUNCTION("""COMPUTED_VALUE"""),"АИП-25")</f>
        <v>АИП-25</v>
      </c>
      <c r="C52" s="14" t="str">
        <f>IFERROR(__xludf.DUMMYFUNCTION("""COMPUTED_VALUE"""),"ОКС")</f>
        <v>ОКС</v>
      </c>
      <c r="D52" s="15"/>
      <c r="E52" s="14" t="str">
        <f>IFERROR(__xludf.DUMMYFUNCTION("""COMPUTED_VALUE"""),"Учебный корпус на 300 мест с ДОУ на 125 мест
 просп. Вернадского вл., 12Б район Раменки, пр-кт Вернадского, влд.12Б")</f>
        <v>Учебный корпус на 300 мест с ДОУ на 125 мест
 просп. Вернадского вл., 12Б район Раменки, пр-кт Вернадского, влд.12Б</v>
      </c>
      <c r="F52" s="25" t="str">
        <f>IFERROR(__xludf.DUMMYFUNCTION("""COMPUTED_VALUE"""),"#N/A")</f>
        <v>#N/A</v>
      </c>
      <c r="G52" s="6" t="str">
        <f>IFERROR(__xludf.DUMMYFUNCTION("""COMPUTED_VALUE"""),"#N/A")</f>
        <v>#N/A</v>
      </c>
      <c r="H52" s="18" t="str">
        <f>IFERROR(__xludf.DUMMYFUNCTION("""COMPUTED_VALUE"""),"https://docs.google.com/spreadsheets/d/19THEBTE9q0fhN2eApZr6BgenIvLGh0AckaYxHQfHk5w/edit?gid=1592533153#gid=1592533153")</f>
        <v>https://docs.google.com/spreadsheets/d/19THEBTE9q0fhN2eApZr6BgenIvLGh0AckaYxHQfHk5w/edit?gid=1592533153#gid=1592533153</v>
      </c>
      <c r="I52" s="19" t="str">
        <f>IFERROR(__xludf.DUMMYFUNCTION("""COMPUTED_VALUE"""),"https://disk.yandex.ru/client/disk/Осмотры%20объектов%20АНО%20СМГ/119.%20пр-т%20Вернадского%2012Б%2C%20СОШ%2C%20ДОО")</f>
        <v>https://disk.yandex.ru/client/disk/Осмотры%20объектов%20АНО%20СМГ/119.%20пр-т%20Вернадского%2012Б%2C%20СОШ%2C%20ДОО</v>
      </c>
      <c r="J52" s="50">
        <f>IFERROR(__xludf.DUMMYFUNCTION("""COMPUTED_VALUE"""),100.0)</f>
        <v>100</v>
      </c>
      <c r="K52" s="58">
        <f>IFERROR(__xludf.DUMMYFUNCTION("""COMPUTED_VALUE"""),45902.0)</f>
        <v>45902</v>
      </c>
      <c r="L52" s="6" t="s">
        <v>654</v>
      </c>
      <c r="M52" s="52" t="s">
        <v>655</v>
      </c>
      <c r="N52" s="53" t="s">
        <v>656</v>
      </c>
      <c r="O52" s="19" t="s">
        <v>695</v>
      </c>
      <c r="P52" s="6"/>
      <c r="Q52" s="6"/>
      <c r="R52" s="6"/>
    </row>
    <row r="53">
      <c r="A53" s="31" t="str">
        <f>IFERROR(__xludf.DUMMYFUNCTION("""COMPUTED_VALUE"""),"018")</f>
        <v>018</v>
      </c>
      <c r="B53" s="14" t="str">
        <f>IFERROR(__xludf.DUMMYFUNCTION("""COMPUTED_VALUE"""),"АИП-25")</f>
        <v>АИП-25</v>
      </c>
      <c r="C53" s="14" t="str">
        <f>IFERROR(__xludf.DUMMYFUNCTION("""COMPUTED_VALUE"""),"ОКС")</f>
        <v>ОКС</v>
      </c>
      <c r="D53" s="15"/>
      <c r="E53" s="14" t="str">
        <f>IFERROR(__xludf.DUMMYFUNCTION("""COMPUTED_VALUE"""),"Общеобразовательная организация на 1100 мест по адресу: г.п. Щербинка, м-ко Барыши (2 этап: Строительство учебного корпуса на 400 мест на месте сноса существующего здания школы) г.п. Щербинка, ул. Местечко Барыши, з/у 25")</f>
        <v>Общеобразовательная организация на 1100 мест по адресу: г.п. Щербинка, м-ко Барыши (2 этап: Строительство учебного корпуса на 400 мест на месте сноса существующего здания школы) г.п. Щербинка, ул. Местечко Барыши, з/у 25</v>
      </c>
      <c r="F53" s="25" t="str">
        <f>IFERROR(__xludf.DUMMYFUNCTION("""COMPUTED_VALUE"""),"#N/A")</f>
        <v>#N/A</v>
      </c>
      <c r="G53" s="6" t="str">
        <f>IFERROR(__xludf.DUMMYFUNCTION("""COMPUTED_VALUE"""),"#N/A")</f>
        <v>#N/A</v>
      </c>
      <c r="H53" s="18" t="str">
        <f>IFERROR(__xludf.DUMMYFUNCTION("""COMPUTED_VALUE"""),"https://docs.google.com/spreadsheets/d/19THEBTE9q0fhN2eApZr6BgenIvLGh0AckaYxHQfHk5w/edit?gid=2074952134#gid=2074952134")</f>
        <v>https://docs.google.com/spreadsheets/d/19THEBTE9q0fhN2eApZr6BgenIvLGh0AckaYxHQfHk5w/edit?gid=2074952134#gid=2074952134</v>
      </c>
      <c r="I53" s="19" t="str">
        <f>IFERROR(__xludf.DUMMYFUNCTION("""COMPUTED_VALUE"""),"https://disk.yandex.ru/client/disk/Осмотры%20объектов%20АНО%20СМГ/018.%20СОШ%20400%20Щербинка%2C%20ул.%20Барыши")</f>
        <v>https://disk.yandex.ru/client/disk/Осмотры%20объектов%20АНО%20СМГ/018.%20СОШ%20400%20Щербинка%2C%20ул.%20Барыши</v>
      </c>
      <c r="J53" s="50">
        <f>IFERROR(__xludf.DUMMYFUNCTION("""COMPUTED_VALUE"""),100.0)</f>
        <v>100</v>
      </c>
      <c r="K53" s="58">
        <f>IFERROR(__xludf.DUMMYFUNCTION("""COMPUTED_VALUE"""),45937.0)</f>
        <v>45937</v>
      </c>
      <c r="L53" s="6" t="s">
        <v>654</v>
      </c>
      <c r="M53" s="52" t="s">
        <v>655</v>
      </c>
      <c r="N53" s="53" t="s">
        <v>656</v>
      </c>
      <c r="O53" s="19" t="s">
        <v>696</v>
      </c>
      <c r="P53" s="6"/>
      <c r="Q53" s="6"/>
      <c r="R53" s="6"/>
    </row>
    <row r="54">
      <c r="A54" s="31" t="str">
        <f>IFERROR(__xludf.DUMMYFUNCTION("""COMPUTED_VALUE"""),"017")</f>
        <v>017</v>
      </c>
      <c r="B54" s="14" t="str">
        <f>IFERROR(__xludf.DUMMYFUNCTION("""COMPUTED_VALUE"""),"АИП-25")</f>
        <v>АИП-25</v>
      </c>
      <c r="C54" s="14" t="str">
        <f>IFERROR(__xludf.DUMMYFUNCTION("""COMPUTED_VALUE"""),"ОКС")</f>
        <v>ОКС</v>
      </c>
      <c r="D54" s="15"/>
      <c r="E54" s="14" t="str">
        <f>IFERROR(__xludf.DUMMYFUNCTION("""COMPUTED_VALUE"""),"Культурно-досуговый центр п. Шишкин Лес, пос. Михайлово-Ярцевское п. Шишкин Лес, пос. Михайлово-Ярцевское")</f>
        <v>Культурно-досуговый центр п. Шишкин Лес, пос. Михайлово-Ярцевское п. Шишкин Лес, пос. Михайлово-Ярцевское</v>
      </c>
      <c r="F54" s="25" t="str">
        <f>IFERROR(__xludf.DUMMYFUNCTION("""COMPUTED_VALUE"""),"55.413782")</f>
        <v>55.413782</v>
      </c>
      <c r="G54" s="6" t="str">
        <f>IFERROR(__xludf.DUMMYFUNCTION("""COMPUTED_VALUE"""),"37.189248")</f>
        <v>37.189248</v>
      </c>
      <c r="H54" s="18" t="str">
        <f>IFERROR(__xludf.DUMMYFUNCTION("""COMPUTED_VALUE"""),"https://docs.google.com/spreadsheets/d/19THEBTE9q0fhN2eApZr6BgenIvLGh0AckaYxHQfHk5w/edit?gid=1089584377#gid=1089584377")</f>
        <v>https://docs.google.com/spreadsheets/d/19THEBTE9q0fhN2eApZr6BgenIvLGh0AckaYxHQfHk5w/edit?gid=1089584377#gid=1089584377</v>
      </c>
      <c r="I54" s="19" t="str">
        <f>IFERROR(__xludf.DUMMYFUNCTION("""COMPUTED_VALUE"""),"https://disk.yandex.ru/client/disk/Осмотры%20объектов%20АНО%20СМГ/017.%20Шишкин%20лес%20КДЦ")</f>
        <v>https://disk.yandex.ru/client/disk/Осмотры%20объектов%20АНО%20СМГ/017.%20Шишкин%20лес%20КДЦ</v>
      </c>
      <c r="J54" s="50">
        <f>IFERROR(__xludf.DUMMYFUNCTION("""COMPUTED_VALUE"""),91.8861275)</f>
        <v>91.8861275</v>
      </c>
      <c r="K54" s="58">
        <f>IFERROR(__xludf.DUMMYFUNCTION("""COMPUTED_VALUE"""),45968.0)</f>
        <v>45968</v>
      </c>
      <c r="L54" s="6">
        <v>14.0</v>
      </c>
      <c r="M54" s="52">
        <v>45982.0</v>
      </c>
      <c r="N54" s="53" t="s">
        <v>692</v>
      </c>
      <c r="O54" s="19" t="s">
        <v>697</v>
      </c>
      <c r="P54" s="6"/>
      <c r="Q54" s="6"/>
      <c r="R54" s="6"/>
    </row>
    <row r="55">
      <c r="A55" s="31" t="str">
        <f>IFERROR(__xludf.DUMMYFUNCTION("""COMPUTED_VALUE"""),"389д (сводный)")</f>
        <v>389д (сводный)</v>
      </c>
      <c r="B55" s="14" t="str">
        <f>IFERROR(__xludf.DUMMYFUNCTION("""COMPUTED_VALUE"""),"АИП-25")</f>
        <v>АИП-25</v>
      </c>
      <c r="C55" s="14" t="str">
        <f>IFERROR(__xludf.DUMMYFUNCTION("""COMPUTED_VALUE"""),"УДС")</f>
        <v>УДС</v>
      </c>
      <c r="D55" s="15"/>
      <c r="E55"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Этапы 1.1.2.2.,1.2.2. ")</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Этапы 1.1.2.2.,1.2.2. </v>
      </c>
      <c r="F55" s="25" t="str">
        <f>IFERROR(__xludf.DUMMYFUNCTION("""COMPUTED_VALUE"""),"#N/A")</f>
        <v>#N/A</v>
      </c>
      <c r="G55" s="6" t="str">
        <f>IFERROR(__xludf.DUMMYFUNCTION("""COMPUTED_VALUE"""),"#N/A")</f>
        <v>#N/A</v>
      </c>
      <c r="H55" s="6"/>
      <c r="I55" s="6"/>
      <c r="J55" s="50"/>
      <c r="K55" s="58"/>
      <c r="L55" s="6">
        <v>30.0</v>
      </c>
      <c r="M55" s="52" t="s">
        <v>655</v>
      </c>
      <c r="N55" s="53" t="s">
        <v>698</v>
      </c>
      <c r="O55" s="6"/>
      <c r="P55" s="6"/>
      <c r="Q55" s="6"/>
      <c r="R55" s="6"/>
    </row>
    <row r="56">
      <c r="A56" s="31" t="str">
        <f>IFERROR(__xludf.DUMMYFUNCTION("""COMPUTED_VALUE"""),"389д (этап 1.1.2.2)")</f>
        <v>389д (этап 1.1.2.2)</v>
      </c>
      <c r="B56" s="14"/>
      <c r="C56" s="14" t="str">
        <f>IFERROR(__xludf.DUMMYFUNCTION("""COMPUTED_VALUE"""),"УДС")</f>
        <v>УДС</v>
      </c>
      <c r="D56" s="60"/>
      <c r="E56"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1.1.2.2 г. Москва, ул. Большая Филевская")</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1.1.2.2 г. Москва, ул. Большая Филевская</v>
      </c>
      <c r="F56" s="25" t="str">
        <f>IFERROR(__xludf.DUMMYFUNCTION("""COMPUTED_VALUE"""),"#N/A")</f>
        <v>#N/A</v>
      </c>
      <c r="G56" s="6" t="str">
        <f>IFERROR(__xludf.DUMMYFUNCTION("""COMPUTED_VALUE"""),"#N/A")</f>
        <v>#N/A</v>
      </c>
      <c r="H56" s="6"/>
      <c r="I56" s="6"/>
      <c r="J56" s="50"/>
      <c r="K56" s="58"/>
      <c r="L56" s="6">
        <v>30.0</v>
      </c>
      <c r="M56" s="52" t="s">
        <v>655</v>
      </c>
      <c r="N56" s="53" t="s">
        <v>698</v>
      </c>
      <c r="O56" s="6" t="s">
        <v>699</v>
      </c>
      <c r="P56" s="6"/>
      <c r="Q56" s="6"/>
      <c r="R56" s="6"/>
    </row>
    <row r="57">
      <c r="A57" s="31" t="str">
        <f>IFERROR(__xludf.DUMMYFUNCTION("""COMPUTED_VALUE"""),"389д (этап 1.2.2)")</f>
        <v>389д (этап 1.2.2)</v>
      </c>
      <c r="B57" s="14"/>
      <c r="C57" s="14" t="str">
        <f>IFERROR(__xludf.DUMMYFUNCTION("""COMPUTED_VALUE"""),"УДС")</f>
        <v>УДС</v>
      </c>
      <c r="D57" s="15"/>
      <c r="E57"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1.2.2 г. Москва, ул. Большая Филевская")</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1.2.2 г. Москва, ул. Большая Филевская</v>
      </c>
      <c r="F57" s="25" t="str">
        <f>IFERROR(__xludf.DUMMYFUNCTION("""COMPUTED_VALUE"""),"#N/A")</f>
        <v>#N/A</v>
      </c>
      <c r="G57" s="6" t="str">
        <f>IFERROR(__xludf.DUMMYFUNCTION("""COMPUTED_VALUE"""),"#N/A")</f>
        <v>#N/A</v>
      </c>
      <c r="H57" s="6"/>
      <c r="I57" s="6"/>
      <c r="J57" s="50"/>
      <c r="K57" s="58"/>
      <c r="L57" s="6">
        <v>30.0</v>
      </c>
      <c r="M57" s="52" t="s">
        <v>655</v>
      </c>
      <c r="N57" s="53" t="s">
        <v>698</v>
      </c>
      <c r="O57" s="6" t="s">
        <v>700</v>
      </c>
      <c r="P57" s="6"/>
      <c r="Q57" s="6"/>
      <c r="R57" s="6"/>
    </row>
    <row r="58">
      <c r="A58" s="31" t="str">
        <f>IFERROR(__xludf.DUMMYFUNCTION("""COMPUTED_VALUE"""),"390д (этап 3.2)")</f>
        <v>390д (этап 3.2)</v>
      </c>
      <c r="B58" s="14" t="str">
        <f>IFERROR(__xludf.DUMMYFUNCTION("""COMPUTED_VALUE"""),"АИП-25")</f>
        <v>АИП-25</v>
      </c>
      <c r="C58" s="14" t="str">
        <f>IFERROR(__xludf.DUMMYFUNCTION("""COMPUTED_VALUE"""),"УДС")</f>
        <v>УДС</v>
      </c>
      <c r="D58" s="15"/>
      <c r="E58" s="14" t="str">
        <f>IFERROR(__xludf.DUMMYFUNCTION("""COMPUTED_VALUE"""),"Строительство мостового сооружения через старое русло р. Москва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кон"&amp;"ечной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3.2. (Очистное сооружение) ЗИЛ")</f>
        <v>Строительство мостового сооружения через старое русло р. Москва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3.2. (Очистное сооружение) ЗИЛ</v>
      </c>
      <c r="F58" s="25" t="str">
        <f>IFERROR(__xludf.DUMMYFUNCTION("""COMPUTED_VALUE"""),"#N/A")</f>
        <v>#N/A</v>
      </c>
      <c r="G58" s="6" t="str">
        <f>IFERROR(__xludf.DUMMYFUNCTION("""COMPUTED_VALUE"""),"#N/A")</f>
        <v>#N/A</v>
      </c>
      <c r="H58" s="6"/>
      <c r="I58" s="6"/>
      <c r="J58" s="50">
        <f>IFERROR(__xludf.DUMMYFUNCTION("""COMPUTED_VALUE"""),98.0)</f>
        <v>98</v>
      </c>
      <c r="K58" s="58">
        <f>IFERROR(__xludf.DUMMYFUNCTION("""COMPUTED_VALUE"""),45968.0)</f>
        <v>45968</v>
      </c>
      <c r="L58" s="6">
        <v>7.0</v>
      </c>
      <c r="M58" s="52">
        <v>45975.0</v>
      </c>
      <c r="N58" s="53" t="s">
        <v>701</v>
      </c>
      <c r="O58" s="6" t="s">
        <v>702</v>
      </c>
      <c r="P58" s="6"/>
      <c r="Q58" s="6"/>
      <c r="R58" s="6"/>
    </row>
    <row r="59">
      <c r="A59" s="31" t="str">
        <f>IFERROR(__xludf.DUMMYFUNCTION("""COMPUTED_VALUE"""),"390д (этап 3.1)")</f>
        <v>390д (этап 3.1)</v>
      </c>
      <c r="B59" s="14" t="str">
        <f>IFERROR(__xludf.DUMMYFUNCTION("""COMPUTED_VALUE"""),"АИП-25")</f>
        <v>АИП-25</v>
      </c>
      <c r="C59" s="14" t="str">
        <f>IFERROR(__xludf.DUMMYFUNCTION("""COMPUTED_VALUE"""),"УДС")</f>
        <v>УДС</v>
      </c>
      <c r="D59" s="15"/>
      <c r="E59" s="14" t="str">
        <f>IFERROR(__xludf.DUMMYFUNCTION("""COMPUTED_VALUE"""),"Строительство мостового сооружения через старое русло р. Москвы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кон"&amp;"ечной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3.1. ЗИЛ")</f>
        <v>Строительство мостового сооружения через старое русло р. Москвы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3.1. ЗИЛ</v>
      </c>
      <c r="F59" s="25" t="str">
        <f>IFERROR(__xludf.DUMMYFUNCTION("""COMPUTED_VALUE"""),"#N/A")</f>
        <v>#N/A</v>
      </c>
      <c r="G59" s="6" t="str">
        <f>IFERROR(__xludf.DUMMYFUNCTION("""COMPUTED_VALUE"""),"#N/A")</f>
        <v>#N/A</v>
      </c>
      <c r="H59" s="6"/>
      <c r="I59" s="6"/>
      <c r="J59" s="50">
        <f>IFERROR(__xludf.DUMMYFUNCTION("""COMPUTED_VALUE"""),99.97500000000001)</f>
        <v>99.975</v>
      </c>
      <c r="K59" s="58">
        <f>IFERROR(__xludf.DUMMYFUNCTION("""COMPUTED_VALUE"""),45968.0)</f>
        <v>45968</v>
      </c>
      <c r="L59" s="6">
        <v>7.0</v>
      </c>
      <c r="M59" s="52">
        <v>45975.0</v>
      </c>
      <c r="N59" s="53" t="s">
        <v>701</v>
      </c>
      <c r="O59" s="6" t="s">
        <v>703</v>
      </c>
      <c r="P59" s="6"/>
      <c r="Q59" s="6"/>
      <c r="R59" s="6"/>
    </row>
    <row r="60">
      <c r="A60" s="31" t="str">
        <f>IFERROR(__xludf.DUMMYFUNCTION("""COMPUTED_VALUE"""),"336д (этап 2.2.2)")</f>
        <v>336д (этап 2.2.2)</v>
      </c>
      <c r="B60" s="14" t="str">
        <f>IFERROR(__xludf.DUMMYFUNCTION("""COMPUTED_VALUE"""),"АИП-25")</f>
        <v>АИП-25</v>
      </c>
      <c r="C60" s="14" t="str">
        <f>IFERROR(__xludf.DUMMYFUNCTION("""COMPUTED_VALUE"""),"УДС")</f>
        <v>УДС</v>
      </c>
      <c r="D60" s="15"/>
      <c r="E60" s="14" t="str">
        <f>IFERROR(__xludf.DUMMYFUNCTION("""COMPUTED_VALUE"""),"Открытие участка ул. Ивана Франко от ул. Житомирская до ул. Герасима Курина (этап 2.2.2) район Фили-Давыдково")</f>
        <v>Открытие участка ул. Ивана Франко от ул. Житомирская до ул. Герасима Курина (этап 2.2.2) район Фили-Давыдково</v>
      </c>
      <c r="F60" s="25" t="str">
        <f>IFERROR(__xludf.DUMMYFUNCTION("""COMPUTED_VALUE"""),"#N/A")</f>
        <v>#N/A</v>
      </c>
      <c r="G60" s="6" t="str">
        <f>IFERROR(__xludf.DUMMYFUNCTION("""COMPUTED_VALUE"""),"#N/A")</f>
        <v>#N/A</v>
      </c>
      <c r="H60" s="6"/>
      <c r="I60" s="6"/>
      <c r="J60" s="50">
        <f>IFERROR(__xludf.DUMMYFUNCTION("""COMPUTED_VALUE"""),100.0)</f>
        <v>100</v>
      </c>
      <c r="K60" s="58">
        <f>IFERROR(__xludf.DUMMYFUNCTION("""COMPUTED_VALUE"""),45974.0)</f>
        <v>45974</v>
      </c>
      <c r="L60" s="6" t="s">
        <v>654</v>
      </c>
      <c r="M60" s="52" t="s">
        <v>655</v>
      </c>
      <c r="N60" s="53" t="s">
        <v>656</v>
      </c>
      <c r="O60" s="6" t="s">
        <v>704</v>
      </c>
      <c r="P60" s="6"/>
      <c r="Q60" s="6"/>
      <c r="R60" s="6"/>
    </row>
    <row r="61">
      <c r="A61" s="31" t="str">
        <f>IFERROR(__xludf.DUMMYFUNCTION("""COMPUTED_VALUE"""),"1288")</f>
        <v>1288</v>
      </c>
      <c r="B61" s="14" t="str">
        <f>IFERROR(__xludf.DUMMYFUNCTION("""COMPUTED_VALUE"""),"АИП-25")</f>
        <v>АИП-25</v>
      </c>
      <c r="C61" s="14" t="str">
        <f>IFERROR(__xludf.DUMMYFUNCTION("""COMPUTED_VALUE"""),"УДС")</f>
        <v>УДС</v>
      </c>
      <c r="D61" s="15"/>
      <c r="E61" s="14" t="str">
        <f>IFERROR(__xludf.DUMMYFUNCTION("""COMPUTED_VALUE"""),"Подземный коллектор для инженерных коммуникаций от подстанции ""Чухлинка"" Окская ул., 7 корпус 1")</f>
        <v>Подземный коллектор для инженерных коммуникаций от подстанции "Чухлинка" Окская ул., 7 корпус 1</v>
      </c>
      <c r="F61" s="25" t="str">
        <f>IFERROR(__xludf.DUMMYFUNCTION("""COMPUTED_VALUE"""),"#N/A")</f>
        <v>#N/A</v>
      </c>
      <c r="G61" s="6" t="str">
        <f>IFERROR(__xludf.DUMMYFUNCTION("""COMPUTED_VALUE"""),"#N/A")</f>
        <v>#N/A</v>
      </c>
      <c r="H61" s="18" t="str">
        <f>IFERROR(__xludf.DUMMYFUNCTION("""COMPUTED_VALUE"""),"https://docs.google.com/spreadsheets/d/1MW8OIVEKRJEaLcG-KS0zwZPEQ0eRUWE2y9Gj77rgoxo/edit?gid=1838546198#gid=1838546198")</f>
        <v>https://docs.google.com/spreadsheets/d/1MW8OIVEKRJEaLcG-KS0zwZPEQ0eRUWE2y9Gj77rgoxo/edit?gid=1838546198#gid=1838546198</v>
      </c>
      <c r="I61" s="6"/>
      <c r="J61" s="50">
        <f>IFERROR(__xludf.DUMMYFUNCTION("""COMPUTED_VALUE"""),90.0)</f>
        <v>90</v>
      </c>
      <c r="K61" s="58">
        <f>IFERROR(__xludf.DUMMYFUNCTION("""COMPUTED_VALUE"""),45954.0)</f>
        <v>45954</v>
      </c>
      <c r="L61" s="6">
        <v>14.0</v>
      </c>
      <c r="M61" s="52">
        <v>45968.0</v>
      </c>
      <c r="N61" s="53" t="s">
        <v>652</v>
      </c>
      <c r="O61" s="6" t="s">
        <v>705</v>
      </c>
      <c r="P61" s="6"/>
      <c r="Q61" s="6"/>
      <c r="R61" s="6"/>
    </row>
    <row r="62">
      <c r="A62" s="31" t="str">
        <f>IFERROR(__xludf.DUMMYFUNCTION("""COMPUTED_VALUE"""),"113д (сводный)")</f>
        <v>113д (сводный)</v>
      </c>
      <c r="B62" s="14" t="str">
        <f>IFERROR(__xludf.DUMMYFUNCTION("""COMPUTED_VALUE"""),"АИП-25")</f>
        <v>АИП-25</v>
      </c>
      <c r="C62" s="14" t="str">
        <f>IFERROR(__xludf.DUMMYFUNCTION("""COMPUTED_VALUE"""),"УДС")</f>
        <v>УДС</v>
      </c>
      <c r="D62" s="15"/>
      <c r="E62" s="14" t="str">
        <f>IFERROR(__xludf.DUMMYFUNCTION("""COMPUTED_VALUE"""),"ЮВХ-8. 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Этапы 2.3.2.2, 3.1 ")</f>
        <v>ЮВХ-8. 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Этапы 2.3.2.2, 3.1 </v>
      </c>
      <c r="F62" s="25" t="str">
        <f>IFERROR(__xludf.DUMMYFUNCTION("""COMPUTED_VALUE"""),"#N/A")</f>
        <v>#N/A</v>
      </c>
      <c r="G62" s="6" t="str">
        <f>IFERROR(__xludf.DUMMYFUNCTION("""COMPUTED_VALUE"""),"#N/A")</f>
        <v>#N/A</v>
      </c>
      <c r="H62" s="6"/>
      <c r="I62" s="6"/>
      <c r="J62" s="50"/>
      <c r="K62" s="58"/>
      <c r="L62" s="6">
        <v>30.0</v>
      </c>
      <c r="M62" s="52" t="s">
        <v>655</v>
      </c>
      <c r="N62" s="53" t="s">
        <v>698</v>
      </c>
      <c r="O62" s="6"/>
      <c r="P62" s="6"/>
      <c r="Q62" s="6"/>
      <c r="R62" s="6"/>
    </row>
    <row r="63">
      <c r="A63" s="31" t="str">
        <f>IFERROR(__xludf.DUMMYFUNCTION("""COMPUTED_VALUE"""),"113д (этап 2.3.2.2)")</f>
        <v>113д (этап 2.3.2.2)</v>
      </c>
      <c r="B63" s="14"/>
      <c r="C63" s="14" t="str">
        <f>IFERROR(__xludf.DUMMYFUNCTION("""COMPUTED_VALUE"""),"УДС")</f>
        <v>УДС</v>
      </c>
      <c r="D63" s="15"/>
      <c r="E63" s="14" t="str">
        <f>IFERROR(__xludf.DUMMYFUNCTION("""COMPUTED_VALUE"""),"ЮВХ-8.Строительство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2.3.2.2 от ул.Маршала Шестопалова до Павел"&amp;"ецкого направления Московской железной дороги (ЮАО)")</f>
        <v>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2.3.2.2 от ул.Маршала Шестопалова до Павелецкого направления Московской железной дороги (ЮАО)</v>
      </c>
      <c r="F63" s="25" t="str">
        <f>IFERROR(__xludf.DUMMYFUNCTION("""COMPUTED_VALUE"""),"#N/A")</f>
        <v>#N/A</v>
      </c>
      <c r="G63" s="6" t="str">
        <f>IFERROR(__xludf.DUMMYFUNCTION("""COMPUTED_VALUE"""),"#N/A")</f>
        <v>#N/A</v>
      </c>
      <c r="H63" s="6"/>
      <c r="I63" s="6"/>
      <c r="J63" s="50"/>
      <c r="K63" s="58"/>
      <c r="L63" s="6">
        <v>30.0</v>
      </c>
      <c r="M63" s="52" t="s">
        <v>655</v>
      </c>
      <c r="N63" s="53" t="s">
        <v>698</v>
      </c>
      <c r="O63" s="6"/>
      <c r="P63" s="6"/>
      <c r="Q63" s="6"/>
      <c r="R63" s="6"/>
    </row>
    <row r="64">
      <c r="A64" s="31" t="str">
        <f>IFERROR(__xludf.DUMMYFUNCTION("""COMPUTED_VALUE"""),"299д (этап 3.1)")</f>
        <v>299д (этап 3.1)</v>
      </c>
      <c r="B64" s="14"/>
      <c r="C64" s="14" t="str">
        <f>IFERROR(__xludf.DUMMYFUNCTION("""COMPUTED_VALUE"""),"УДС")</f>
        <v>УДС</v>
      </c>
      <c r="D64" s="15"/>
      <c r="E64" s="14" t="str">
        <f>IFERROR(__xludf.DUMMYFUNCTION("""COMPUTED_VALUE"""),"ЮВХ-8.Строительство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3.1. от ул.Маршала Шестопалова до Павелецк"&amp;"ого направления Московской железной дороги (ЮАО)")</f>
        <v>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3.1. от ул.Маршала Шестопалова до Павелецкого направления Московской железной дороги (ЮАО)</v>
      </c>
      <c r="F64" s="25" t="str">
        <f>IFERROR(__xludf.DUMMYFUNCTION("""COMPUTED_VALUE"""),"#N/A")</f>
        <v>#N/A</v>
      </c>
      <c r="G64" s="6" t="str">
        <f>IFERROR(__xludf.DUMMYFUNCTION("""COMPUTED_VALUE"""),"#N/A")</f>
        <v>#N/A</v>
      </c>
      <c r="H64" s="6"/>
      <c r="I64" s="6"/>
      <c r="J64" s="50"/>
      <c r="K64" s="58"/>
      <c r="L64" s="6">
        <v>30.0</v>
      </c>
      <c r="M64" s="52" t="s">
        <v>655</v>
      </c>
      <c r="N64" s="53" t="s">
        <v>698</v>
      </c>
      <c r="O64" s="6"/>
      <c r="P64" s="6"/>
      <c r="Q64" s="6"/>
      <c r="R64" s="6"/>
    </row>
    <row r="65">
      <c r="A65" s="31" t="str">
        <f>IFERROR(__xludf.DUMMYFUNCTION("""COMPUTED_VALUE"""),"324д (сводный)")</f>
        <v>324д (сводный)</v>
      </c>
      <c r="B65" s="14" t="str">
        <f>IFERROR(__xludf.DUMMYFUNCTION("""COMPUTED_VALUE"""),"АИП-25")</f>
        <v>АИП-25</v>
      </c>
      <c r="C65" s="14" t="str">
        <f>IFERROR(__xludf.DUMMYFUNCTION("""COMPUTED_VALUE"""),"УДС")</f>
        <v>УДС</v>
      </c>
      <c r="D65" s="15"/>
      <c r="E65" s="14" t="str">
        <f>IFERROR(__xludf.DUMMYFUNCTION("""COMPUTED_VALUE"""),"ЮВХ-3.Участок от ул. Грайвороновская до Шоссейной ул., включая транспортную развязку на пересечении с Волгоградским проспектом. Этапы 1, 2, 3.2.2, 3.3.2, 4 ")</f>
        <v>ЮВХ-3.Участок от ул. Грайвороновская до Шоссейной ул., включая транспортную развязку на пересечении с Волгоградским проспектом. Этапы 1, 2, 3.2.2, 3.3.2, 4 </v>
      </c>
      <c r="F65" s="25" t="str">
        <f>IFERROR(__xludf.DUMMYFUNCTION("""COMPUTED_VALUE"""),"#N/A")</f>
        <v>#N/A</v>
      </c>
      <c r="G65" s="6" t="str">
        <f>IFERROR(__xludf.DUMMYFUNCTION("""COMPUTED_VALUE"""),"#N/A")</f>
        <v>#N/A</v>
      </c>
      <c r="H65" s="6"/>
      <c r="I65" s="6"/>
      <c r="J65" s="50"/>
      <c r="K65" s="58"/>
      <c r="L65" s="6">
        <v>30.0</v>
      </c>
      <c r="M65" s="52" t="s">
        <v>655</v>
      </c>
      <c r="N65" s="53" t="s">
        <v>698</v>
      </c>
      <c r="O65" s="6"/>
      <c r="P65" s="6"/>
      <c r="Q65" s="6"/>
      <c r="R65" s="6"/>
    </row>
    <row r="66">
      <c r="A66" s="31" t="str">
        <f>IFERROR(__xludf.DUMMYFUNCTION("""COMPUTED_VALUE"""),"324д (этап 1)")</f>
        <v>324д (этап 1)</v>
      </c>
      <c r="B66" s="14"/>
      <c r="C66" s="14" t="str">
        <f>IFERROR(__xludf.DUMMYFUNCTION("""COMPUTED_VALUE"""),"УДС")</f>
        <v>УДС</v>
      </c>
      <c r="D66" s="60"/>
      <c r="E66"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1 от ул.Грайворо"&amp;"новская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1 от ул.Грайвороновская до ул. Шоссейная (ЮВАО)</v>
      </c>
      <c r="F66" s="25" t="str">
        <f>IFERROR(__xludf.DUMMYFUNCTION("""COMPUTED_VALUE"""),"#N/A")</f>
        <v>#N/A</v>
      </c>
      <c r="G66" s="6" t="str">
        <f>IFERROR(__xludf.DUMMYFUNCTION("""COMPUTED_VALUE"""),"#N/A")</f>
        <v>#N/A</v>
      </c>
      <c r="H66" s="6"/>
      <c r="I66" s="6"/>
      <c r="J66" s="50">
        <f>IFERROR(__xludf.DUMMYFUNCTION("""COMPUTED_VALUE"""),100.0)</f>
        <v>100</v>
      </c>
      <c r="K66" s="58">
        <f>IFERROR(__xludf.DUMMYFUNCTION("""COMPUTED_VALUE"""),45961.0)</f>
        <v>45961</v>
      </c>
      <c r="L66" s="6" t="s">
        <v>654</v>
      </c>
      <c r="M66" s="52" t="s">
        <v>655</v>
      </c>
      <c r="N66" s="53" t="s">
        <v>656</v>
      </c>
      <c r="O66" s="6" t="s">
        <v>706</v>
      </c>
      <c r="P66" s="6"/>
      <c r="Q66" s="6"/>
      <c r="R66" s="6"/>
    </row>
    <row r="67">
      <c r="A67" s="31" t="str">
        <f>IFERROR(__xludf.DUMMYFUNCTION("""COMPUTED_VALUE"""),"324д (этап 2)")</f>
        <v>324д (этап 2)</v>
      </c>
      <c r="B67" s="14"/>
      <c r="C67" s="14" t="str">
        <f>IFERROR(__xludf.DUMMYFUNCTION("""COMPUTED_VALUE"""),"УДС")</f>
        <v>УДС</v>
      </c>
      <c r="D67" s="15"/>
      <c r="E67"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2 от ул.Грайвор"&amp;"оновская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2 от ул.Грайвороновская до ул. Шоссейная (ЮВАО)</v>
      </c>
      <c r="F67" s="25" t="str">
        <f>IFERROR(__xludf.DUMMYFUNCTION("""COMPUTED_VALUE"""),"#N/A")</f>
        <v>#N/A</v>
      </c>
      <c r="G67" s="6" t="str">
        <f>IFERROR(__xludf.DUMMYFUNCTION("""COMPUTED_VALUE"""),"#N/A")</f>
        <v>#N/A</v>
      </c>
      <c r="H67" s="6"/>
      <c r="I67" s="6"/>
      <c r="J67" s="50">
        <f>IFERROR(__xludf.DUMMYFUNCTION("""COMPUTED_VALUE"""),100.0)</f>
        <v>100</v>
      </c>
      <c r="K67" s="58">
        <f>IFERROR(__xludf.DUMMYFUNCTION("""COMPUTED_VALUE"""),45968.0)</f>
        <v>45968</v>
      </c>
      <c r="L67" s="6" t="s">
        <v>654</v>
      </c>
      <c r="M67" s="52" t="s">
        <v>655</v>
      </c>
      <c r="N67" s="53" t="s">
        <v>656</v>
      </c>
      <c r="O67" s="6" t="s">
        <v>707</v>
      </c>
      <c r="P67" s="6"/>
      <c r="Q67" s="6"/>
      <c r="R67" s="6"/>
    </row>
    <row r="68">
      <c r="A68" s="31" t="str">
        <f>IFERROR(__xludf.DUMMYFUNCTION("""COMPUTED_VALUE"""),"324д (этап 3.2.2)")</f>
        <v>324д (этап 3.2.2)</v>
      </c>
      <c r="B68" s="14"/>
      <c r="C68" s="14" t="str">
        <f>IFERROR(__xludf.DUMMYFUNCTION("""COMPUTED_VALUE"""),"УДС")</f>
        <v>УДС</v>
      </c>
      <c r="D68" s="15"/>
      <c r="E68"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3.2.2 от ул.Грай"&amp;"вороновская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3.2.2 от ул.Грайвороновская до ул. Шоссейная (ЮВАО)</v>
      </c>
      <c r="F68" s="25" t="str">
        <f>IFERROR(__xludf.DUMMYFUNCTION("""COMPUTED_VALUE"""),"#N/A")</f>
        <v>#N/A</v>
      </c>
      <c r="G68" s="6" t="str">
        <f>IFERROR(__xludf.DUMMYFUNCTION("""COMPUTED_VALUE"""),"#N/A")</f>
        <v>#N/A</v>
      </c>
      <c r="H68" s="6"/>
      <c r="I68" s="6"/>
      <c r="J68" s="50">
        <f>IFERROR(__xludf.DUMMYFUNCTION("""COMPUTED_VALUE"""),98.726)</f>
        <v>98.726</v>
      </c>
      <c r="K68" s="58">
        <f>IFERROR(__xludf.DUMMYFUNCTION("""COMPUTED_VALUE"""),45968.0)</f>
        <v>45968</v>
      </c>
      <c r="L68" s="6">
        <v>7.0</v>
      </c>
      <c r="M68" s="52">
        <v>45975.0</v>
      </c>
      <c r="N68" s="53" t="s">
        <v>701</v>
      </c>
      <c r="O68" s="6" t="s">
        <v>708</v>
      </c>
      <c r="P68" s="6"/>
      <c r="Q68" s="6"/>
      <c r="R68" s="6"/>
    </row>
    <row r="69">
      <c r="A69" s="31" t="str">
        <f>IFERROR(__xludf.DUMMYFUNCTION("""COMPUTED_VALUE"""),"324д (этап 3.3.2)")</f>
        <v>324д (этап 3.3.2)</v>
      </c>
      <c r="B69" s="14"/>
      <c r="C69" s="14" t="str">
        <f>IFERROR(__xludf.DUMMYFUNCTION("""COMPUTED_VALUE"""),"УДС")</f>
        <v>УДС</v>
      </c>
      <c r="D69" s="15"/>
      <c r="E69"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3.3.2 от ул.Грай"&amp;"вороновская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3.3.2 от ул.Грайвороновская до ул. Шоссейная (ЮВАО)</v>
      </c>
      <c r="F69" s="25" t="str">
        <f>IFERROR(__xludf.DUMMYFUNCTION("""COMPUTED_VALUE"""),"#N/A")</f>
        <v>#N/A</v>
      </c>
      <c r="G69" s="6" t="str">
        <f>IFERROR(__xludf.DUMMYFUNCTION("""COMPUTED_VALUE"""),"#N/A")</f>
        <v>#N/A</v>
      </c>
      <c r="H69" s="6"/>
      <c r="I69" s="6"/>
      <c r="J69" s="50">
        <f>IFERROR(__xludf.DUMMYFUNCTION("""COMPUTED_VALUE"""),92.28)</f>
        <v>92.28</v>
      </c>
      <c r="K69" s="58">
        <f>IFERROR(__xludf.DUMMYFUNCTION("""COMPUTED_VALUE"""),45968.0)</f>
        <v>45968</v>
      </c>
      <c r="L69" s="6">
        <v>14.0</v>
      </c>
      <c r="M69" s="52">
        <v>45982.0</v>
      </c>
      <c r="N69" s="53" t="s">
        <v>692</v>
      </c>
      <c r="O69" s="6" t="s">
        <v>709</v>
      </c>
      <c r="P69" s="6"/>
      <c r="Q69" s="6"/>
      <c r="R69" s="6"/>
    </row>
    <row r="70">
      <c r="A70" s="31" t="str">
        <f>IFERROR(__xludf.DUMMYFUNCTION("""COMPUTED_VALUE"""),"324д (этап 4)")</f>
        <v>324д (этап 4)</v>
      </c>
      <c r="B70" s="14"/>
      <c r="C70" s="14" t="str">
        <f>IFERROR(__xludf.DUMMYFUNCTION("""COMPUTED_VALUE"""),"УДС")</f>
        <v>УДС</v>
      </c>
      <c r="D70" s="15"/>
      <c r="E70"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4 от ул.Грайвор"&amp;"оновская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4 от ул.Грайвороновская до ул. Шоссейная (ЮВАО)</v>
      </c>
      <c r="F70" s="25" t="str">
        <f>IFERROR(__xludf.DUMMYFUNCTION("""COMPUTED_VALUE"""),"#N/A")</f>
        <v>#N/A</v>
      </c>
      <c r="G70" s="6" t="str">
        <f>IFERROR(__xludf.DUMMYFUNCTION("""COMPUTED_VALUE"""),"#N/A")</f>
        <v>#N/A</v>
      </c>
      <c r="H70" s="6"/>
      <c r="I70" s="6"/>
      <c r="J70" s="50">
        <f>IFERROR(__xludf.DUMMYFUNCTION("""COMPUTED_VALUE"""),100.0)</f>
        <v>100</v>
      </c>
      <c r="K70" s="58">
        <f>IFERROR(__xludf.DUMMYFUNCTION("""COMPUTED_VALUE"""),45961.0)</f>
        <v>45961</v>
      </c>
      <c r="L70" s="6" t="s">
        <v>654</v>
      </c>
      <c r="M70" s="52" t="s">
        <v>655</v>
      </c>
      <c r="N70" s="53" t="s">
        <v>656</v>
      </c>
      <c r="O70" s="6" t="s">
        <v>710</v>
      </c>
      <c r="P70" s="6"/>
      <c r="Q70" s="6"/>
      <c r="R70" s="6"/>
    </row>
    <row r="71">
      <c r="A71" s="31" t="str">
        <f>IFERROR(__xludf.DUMMYFUNCTION("""COMPUTED_VALUE"""),"240д")</f>
        <v>240д</v>
      </c>
      <c r="B71" s="14" t="str">
        <f>IFERROR(__xludf.DUMMYFUNCTION("""COMPUTED_VALUE"""),"АИП-25")</f>
        <v>АИП-25</v>
      </c>
      <c r="C71" s="14" t="str">
        <f>IFERROR(__xludf.DUMMYFUNCTION("""COMPUTED_VALUE"""),"УДС")</f>
        <v>УДС</v>
      </c>
      <c r="D71" s="15"/>
      <c r="E71" s="14" t="str">
        <f>IFERROR(__xludf.DUMMYFUNCTION("""COMPUTED_VALUE"""),"«Реконструкция Карамышевской набережной. 2 этап. ""Улично­дорожная сеть Карамышевской наб. от ул. Саляма Адиля до ул. Народного Ополчения, ул. Саляма Адиля и участок просп. Маршала Жукова (дублер)""» Карамышевская наб. от ул. Саляма Адиля до ул. Народного"&amp;" Ополчения")</f>
        <v>«Реконструкция Карамышевской набережной. 2 этап. "Улично­дорожная сеть Карамышевской наб. от ул. Саляма Адиля до ул. Народного Ополчения, ул. Саляма Адиля и участок просп. Маршала Жукова (дублер)"» Карамышевская наб. от ул. Саляма Адиля до ул. Народного Ополчения</v>
      </c>
      <c r="F71" s="25" t="str">
        <f>IFERROR(__xludf.DUMMYFUNCTION("""COMPUTED_VALUE"""),"#N/A")</f>
        <v>#N/A</v>
      </c>
      <c r="G71" s="6" t="str">
        <f>IFERROR(__xludf.DUMMYFUNCTION("""COMPUTED_VALUE"""),"#N/A")</f>
        <v>#N/A</v>
      </c>
      <c r="H71" s="6"/>
      <c r="I71" s="6"/>
      <c r="J71" s="50">
        <f>IFERROR(__xludf.DUMMYFUNCTION("""COMPUTED_VALUE"""),99.0)</f>
        <v>99</v>
      </c>
      <c r="K71" s="58">
        <f>IFERROR(__xludf.DUMMYFUNCTION("""COMPUTED_VALUE"""),45974.0)</f>
        <v>45974</v>
      </c>
      <c r="L71" s="6">
        <v>7.0</v>
      </c>
      <c r="M71" s="52">
        <v>45981.0</v>
      </c>
      <c r="N71" s="53" t="s">
        <v>711</v>
      </c>
      <c r="O71" s="6" t="s">
        <v>712</v>
      </c>
      <c r="P71" s="6"/>
      <c r="Q71" s="6"/>
      <c r="R71" s="6"/>
    </row>
    <row r="72">
      <c r="A72" s="31" t="str">
        <f>IFERROR(__xludf.DUMMYFUNCTION("""COMPUTED_VALUE"""),"167д")</f>
        <v>167д</v>
      </c>
      <c r="B72" s="14" t="str">
        <f>IFERROR(__xludf.DUMMYFUNCTION("""COMPUTED_VALUE"""),"АИП-25")</f>
        <v>АИП-25</v>
      </c>
      <c r="C72" s="14" t="str">
        <f>IFERROR(__xludf.DUMMYFUNCTION("""COMPUTED_VALUE"""),"УДС")</f>
        <v>УДС</v>
      </c>
      <c r="D72" s="15"/>
      <c r="E72" s="14" t="str">
        <f>IFERROR(__xludf.DUMMYFUNCTION("""COMPUTED_VALUE"""),"ЮВХ-6. этап 2.2. Строительство транспортной развязки на Каширском шоссе. (Открытие движения по эстакаде со съездом с МСД на Каширское шоссе в сторону МКАД) Пересечение МСД и Каширского ш.")</f>
        <v>ЮВХ-6. этап 2.2. Строительство транспортной развязки на Каширском шоссе. (Открытие движения по эстакаде со съездом с МСД на Каширское шоссе в сторону МКАД) Пересечение МСД и Каширского ш.</v>
      </c>
      <c r="F72" s="25" t="str">
        <f>IFERROR(__xludf.DUMMYFUNCTION("""COMPUTED_VALUE"""),"#N/A")</f>
        <v>#N/A</v>
      </c>
      <c r="G72" s="6" t="str">
        <f>IFERROR(__xludf.DUMMYFUNCTION("""COMPUTED_VALUE"""),"#N/A")</f>
        <v>#N/A</v>
      </c>
      <c r="H72" s="6"/>
      <c r="I72" s="6"/>
      <c r="J72" s="50">
        <f>IFERROR(__xludf.DUMMYFUNCTION("""COMPUTED_VALUE"""),70.10685840707964)</f>
        <v>70.10685841</v>
      </c>
      <c r="K72" s="58">
        <f>IFERROR(__xludf.DUMMYFUNCTION("""COMPUTED_VALUE"""),45975.0)</f>
        <v>45975</v>
      </c>
      <c r="L72" s="6">
        <v>14.0</v>
      </c>
      <c r="M72" s="52">
        <v>45989.0</v>
      </c>
      <c r="N72" s="53" t="s">
        <v>711</v>
      </c>
      <c r="O72" s="6" t="s">
        <v>713</v>
      </c>
      <c r="P72" s="6"/>
      <c r="Q72" s="6"/>
      <c r="R72" s="6"/>
    </row>
    <row r="73">
      <c r="A73" s="31" t="str">
        <f>IFERROR(__xludf.DUMMYFUNCTION("""COMPUTED_VALUE"""),"305д (сводный)")</f>
        <v>305д (сводный)</v>
      </c>
      <c r="B73" s="14" t="str">
        <f>IFERROR(__xludf.DUMMYFUNCTION("""COMPUTED_VALUE"""),"АИП-25")</f>
        <v>АИП-25</v>
      </c>
      <c r="C73" s="14" t="str">
        <f>IFERROR(__xludf.DUMMYFUNCTION("""COMPUTED_VALUE"""),"УДС")</f>
        <v>УДС</v>
      </c>
      <c r="D73" s="15"/>
      <c r="E73"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3.2.2, 3.2.3, 2.3.3 (ОС)"" ")</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3.2.2, 3.2.3, 2.3.3 (ОС)" </v>
      </c>
      <c r="F73" s="25" t="str">
        <f>IFERROR(__xludf.DUMMYFUNCTION("""COMPUTED_VALUE"""),"#N/A")</f>
        <v>#N/A</v>
      </c>
      <c r="G73" s="6" t="str">
        <f>IFERROR(__xludf.DUMMYFUNCTION("""COMPUTED_VALUE"""),"#N/A")</f>
        <v>#N/A</v>
      </c>
      <c r="H73" s="6"/>
      <c r="I73" s="6"/>
      <c r="J73" s="50"/>
      <c r="K73" s="58"/>
      <c r="L73" s="6">
        <v>30.0</v>
      </c>
      <c r="M73" s="52" t="s">
        <v>655</v>
      </c>
      <c r="N73" s="53" t="s">
        <v>698</v>
      </c>
      <c r="O73" s="6"/>
      <c r="P73" s="6"/>
      <c r="Q73" s="6"/>
      <c r="R73" s="6"/>
    </row>
    <row r="74">
      <c r="A74" s="31" t="str">
        <f>IFERROR(__xludf.DUMMYFUNCTION("""COMPUTED_VALUE"""),"305д (этап 3.2.1)")</f>
        <v>305д (этап 3.2.1)</v>
      </c>
      <c r="B74" s="14"/>
      <c r="C74" s="14" t="str">
        <f>IFERROR(__xludf.DUMMYFUNCTION("""COMPUTED_VALUE"""),"УДС")</f>
        <v>УДС</v>
      </c>
      <c r="D74" s="15"/>
      <c r="E74"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от ул.Маршала Шестопалова до Павелецкого направления Московской железной дороги (ЮАО)</v>
      </c>
      <c r="F74" s="25" t="str">
        <f>IFERROR(__xludf.DUMMYFUNCTION("""COMPUTED_VALUE"""),"#N/A")</f>
        <v>#N/A</v>
      </c>
      <c r="G74" s="6" t="str">
        <f>IFERROR(__xludf.DUMMYFUNCTION("""COMPUTED_VALUE"""),"#N/A")</f>
        <v>#N/A</v>
      </c>
      <c r="H74" s="6"/>
      <c r="I74" s="6"/>
      <c r="J74" s="50"/>
      <c r="K74" s="58"/>
      <c r="L74" s="6">
        <v>30.0</v>
      </c>
      <c r="M74" s="52" t="s">
        <v>655</v>
      </c>
      <c r="N74" s="53" t="s">
        <v>698</v>
      </c>
      <c r="O74" s="6" t="s">
        <v>714</v>
      </c>
      <c r="P74" s="6"/>
      <c r="Q74" s="6"/>
      <c r="R74" s="6"/>
    </row>
    <row r="75">
      <c r="A75" s="31" t="str">
        <f>IFERROR(__xludf.DUMMYFUNCTION("""COMPUTED_VALUE"""),"305д (этап 3.2.2)")</f>
        <v>305д (этап 3.2.2)</v>
      </c>
      <c r="B75" s="14"/>
      <c r="C75" s="14" t="str">
        <f>IFERROR(__xludf.DUMMYFUNCTION("""COMPUTED_VALUE"""),"УДС")</f>
        <v>УДС</v>
      </c>
      <c r="D75" s="15"/>
      <c r="E75"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3.2.2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3.2.2 от ул.Маршала Шестопалова до Павелецкого направления Московской железной дороги (ЮАО)</v>
      </c>
      <c r="F75" s="25" t="str">
        <f>IFERROR(__xludf.DUMMYFUNCTION("""COMPUTED_VALUE"""),"#N/A")</f>
        <v>#N/A</v>
      </c>
      <c r="G75" s="6" t="str">
        <f>IFERROR(__xludf.DUMMYFUNCTION("""COMPUTED_VALUE"""),"#N/A")</f>
        <v>#N/A</v>
      </c>
      <c r="H75" s="6"/>
      <c r="I75" s="6"/>
      <c r="J75" s="50"/>
      <c r="K75" s="58"/>
      <c r="L75" s="6">
        <v>30.0</v>
      </c>
      <c r="M75" s="52" t="s">
        <v>655</v>
      </c>
      <c r="N75" s="53" t="s">
        <v>698</v>
      </c>
      <c r="O75" s="6" t="s">
        <v>715</v>
      </c>
      <c r="P75" s="6"/>
      <c r="Q75" s="6"/>
      <c r="R75" s="6"/>
    </row>
    <row r="76">
      <c r="A76" s="31" t="str">
        <f>IFERROR(__xludf.DUMMYFUNCTION("""COMPUTED_VALUE"""),"371д (этап 3.2.3)")</f>
        <v>371д (этап 3.2.3)</v>
      </c>
      <c r="B76" s="14"/>
      <c r="C76" s="14" t="str">
        <f>IFERROR(__xludf.DUMMYFUNCTION("""COMPUTED_VALUE"""),"УДС")</f>
        <v>УДС</v>
      </c>
      <c r="D76" s="15"/>
      <c r="E7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3.2.3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3.2.3 от ул.Маршала Шестопалова до Павелецкого направления Московской железной дороги (ЮАО)</v>
      </c>
      <c r="F76" s="25" t="str">
        <f>IFERROR(__xludf.DUMMYFUNCTION("""COMPUTED_VALUE"""),"#N/A")</f>
        <v>#N/A</v>
      </c>
      <c r="G76" s="6" t="str">
        <f>IFERROR(__xludf.DUMMYFUNCTION("""COMPUTED_VALUE"""),"#N/A")</f>
        <v>#N/A</v>
      </c>
      <c r="H76" s="6"/>
      <c r="I76" s="6"/>
      <c r="J76" s="50"/>
      <c r="K76" s="58"/>
      <c r="L76" s="6">
        <v>30.0</v>
      </c>
      <c r="M76" s="52" t="s">
        <v>655</v>
      </c>
      <c r="N76" s="53" t="s">
        <v>698</v>
      </c>
      <c r="O76" s="6" t="s">
        <v>716</v>
      </c>
      <c r="P76" s="6"/>
      <c r="Q76" s="6"/>
      <c r="R76" s="6"/>
    </row>
    <row r="77">
      <c r="A77" s="31" t="str">
        <f>IFERROR(__xludf.DUMMYFUNCTION("""COMPUTED_VALUE"""),"371д (этап 2.3.3)")</f>
        <v>371д (этап 2.3.3)</v>
      </c>
      <c r="B77" s="14"/>
      <c r="C77" s="14" t="str">
        <f>IFERROR(__xludf.DUMMYFUNCTION("""COMPUTED_VALUE"""),"УДС")</f>
        <v>УДС</v>
      </c>
      <c r="D77" s="15"/>
      <c r="E77"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2.3.3 (ОС) от ул.Маршала Шестопалова до Павелецк"&amp;"ого направления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2.3.3 (ОС) от ул.Маршала Шестопалова до Павелецкого направления Московской железной дороги (ЮАО)</v>
      </c>
      <c r="F77" s="25" t="str">
        <f>IFERROR(__xludf.DUMMYFUNCTION("""COMPUTED_VALUE"""),"#N/A")</f>
        <v>#N/A</v>
      </c>
      <c r="G77" s="6" t="str">
        <f>IFERROR(__xludf.DUMMYFUNCTION("""COMPUTED_VALUE"""),"#N/A")</f>
        <v>#N/A</v>
      </c>
      <c r="H77" s="6"/>
      <c r="I77" s="6"/>
      <c r="J77" s="50"/>
      <c r="K77" s="58"/>
      <c r="L77" s="6">
        <v>30.0</v>
      </c>
      <c r="M77" s="52" t="s">
        <v>655</v>
      </c>
      <c r="N77" s="53" t="s">
        <v>698</v>
      </c>
      <c r="O77" s="6" t="s">
        <v>717</v>
      </c>
      <c r="P77" s="6"/>
      <c r="Q77" s="6"/>
      <c r="R77" s="6"/>
    </row>
    <row r="78">
      <c r="A78" s="31" t="str">
        <f>IFERROR(__xludf.DUMMYFUNCTION("""COMPUTED_VALUE"""),"294д (этап 3.2.1)")</f>
        <v>294д (этап 3.2.1)</v>
      </c>
      <c r="B78" s="14" t="str">
        <f>IFERROR(__xludf.DUMMYFUNCTION("""COMPUTED_VALUE"""),"АИП-25")</f>
        <v>АИП-25</v>
      </c>
      <c r="C78" s="14" t="str">
        <f>IFERROR(__xludf.DUMMYFUNCTION("""COMPUTED_VALUE"""),"УДС")</f>
        <v>УДС</v>
      </c>
      <c r="D78" s="15"/>
      <c r="E78"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3.2.1 участок от МКАД до автомобильной дороги ""Солнцев"&amp;"о-Бутово-Варшавское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3.2.1 участок от МКАД до автомобильной дороги "Солнцево-Бутово-Варшавское шоссе" (ЮЗАО, ЮАО, М.О.)</v>
      </c>
      <c r="F78" s="25" t="str">
        <f>IFERROR(__xludf.DUMMYFUNCTION("""COMPUTED_VALUE"""),"#N/A")</f>
        <v>#N/A</v>
      </c>
      <c r="G78" s="6" t="str">
        <f>IFERROR(__xludf.DUMMYFUNCTION("""COMPUTED_VALUE"""),"#N/A")</f>
        <v>#N/A</v>
      </c>
      <c r="H78" s="6"/>
      <c r="I78" s="6"/>
      <c r="J78" s="50">
        <f>IFERROR(__xludf.DUMMYFUNCTION("""COMPUTED_VALUE"""),100.0)</f>
        <v>100</v>
      </c>
      <c r="K78" s="58">
        <f>IFERROR(__xludf.DUMMYFUNCTION("""COMPUTED_VALUE"""),45975.0)</f>
        <v>45975</v>
      </c>
      <c r="L78" s="6" t="s">
        <v>654</v>
      </c>
      <c r="M78" s="52" t="s">
        <v>655</v>
      </c>
      <c r="N78" s="53" t="s">
        <v>656</v>
      </c>
      <c r="O78" s="6"/>
      <c r="P78" s="6"/>
      <c r="Q78" s="6"/>
      <c r="R78" s="6"/>
    </row>
    <row r="79">
      <c r="A79" s="31" t="str">
        <f>IFERROR(__xludf.DUMMYFUNCTION("""COMPUTED_VALUE"""),"294д (этап 3.3.3.2.2)")</f>
        <v>294д (этап 3.3.3.2.2)</v>
      </c>
      <c r="B79" s="14" t="str">
        <f>IFERROR(__xludf.DUMMYFUNCTION("""COMPUTED_VALUE"""),"АИП-25")</f>
        <v>АИП-25</v>
      </c>
      <c r="C79" s="14" t="str">
        <f>IFERROR(__xludf.DUMMYFUNCTION("""COMPUTED_VALUE"""),"УДС")</f>
        <v>УДС</v>
      </c>
      <c r="D79" s="15"/>
      <c r="E79"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3.3.3.2.2 участок от МКАД до автомобильной дороги ""Сол"&amp;"нцево-Бутово-Варшавское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3.3.3.2.2 участок от МКАД до автомобильной дороги "Солнцево-Бутово-Варшавское шоссе" (ЮЗАО, ЮАО, М.О.)</v>
      </c>
      <c r="F79" s="25" t="str">
        <f>IFERROR(__xludf.DUMMYFUNCTION("""COMPUTED_VALUE"""),"#N/A")</f>
        <v>#N/A</v>
      </c>
      <c r="G79" s="6" t="str">
        <f>IFERROR(__xludf.DUMMYFUNCTION("""COMPUTED_VALUE"""),"#N/A")</f>
        <v>#N/A</v>
      </c>
      <c r="H79" s="6"/>
      <c r="I79" s="6"/>
      <c r="J79" s="50">
        <f>IFERROR(__xludf.DUMMYFUNCTION("""COMPUTED_VALUE"""),100.0)</f>
        <v>100</v>
      </c>
      <c r="K79" s="58">
        <f>IFERROR(__xludf.DUMMYFUNCTION("""COMPUTED_VALUE"""),45975.0)</f>
        <v>45975</v>
      </c>
      <c r="L79" s="6" t="s">
        <v>654</v>
      </c>
      <c r="M79" s="52" t="s">
        <v>655</v>
      </c>
      <c r="N79" s="53" t="s">
        <v>656</v>
      </c>
      <c r="O79" s="6"/>
      <c r="P79" s="6"/>
      <c r="Q79" s="6"/>
      <c r="R79" s="6"/>
    </row>
    <row r="80">
      <c r="A80" s="31" t="str">
        <f>IFERROR(__xludf.DUMMYFUNCTION("""COMPUTED_VALUE"""),"294д (сводный)")</f>
        <v>294д (сводный)</v>
      </c>
      <c r="B80" s="14" t="str">
        <f>IFERROR(__xludf.DUMMYFUNCTION("""COMPUTED_VALUE"""),"АИП-25")</f>
        <v>АИП-25</v>
      </c>
      <c r="C80" s="14" t="str">
        <f>IFERROR(__xludf.DUMMYFUNCTION("""COMPUTED_VALUE"""),"УДС")</f>
        <v>УДС</v>
      </c>
      <c r="D80" s="15"/>
      <c r="E80" s="14" t="str">
        <f>IFERROR(__xludf.DUMMYFUNCTION("""COMPUTED_VALUE"""),"ЮВХ-10. Участок от МКАД до а/д дороги «Солнцево-Бутово-Варшавское ш.» 
Этапы 3.2.1, 3.2.2, 3.3.3.2.2, 3.3.5, 3.3.2.3, 3.3.3.3, 3.3.3.4 ")</f>
        <v>ЮВХ-10. Участок от МКАД до а/д дороги «Солнцево-Бутово-Варшавское ш.» 
Этапы 3.2.1, 3.2.2, 3.3.3.2.2, 3.3.5, 3.3.2.3, 3.3.3.3, 3.3.3.4 </v>
      </c>
      <c r="F80" s="25" t="str">
        <f>IFERROR(__xludf.DUMMYFUNCTION("""COMPUTED_VALUE"""),"#N/A")</f>
        <v>#N/A</v>
      </c>
      <c r="G80" s="6" t="str">
        <f>IFERROR(__xludf.DUMMYFUNCTION("""COMPUTED_VALUE"""),"#N/A")</f>
        <v>#N/A</v>
      </c>
      <c r="H80" s="6"/>
      <c r="I80" s="6"/>
      <c r="J80" s="50"/>
      <c r="K80" s="58"/>
      <c r="L80" s="6">
        <v>30.0</v>
      </c>
      <c r="M80" s="52" t="s">
        <v>655</v>
      </c>
      <c r="N80" s="53" t="s">
        <v>698</v>
      </c>
      <c r="O80" s="6"/>
      <c r="P80" s="6"/>
      <c r="Q80" s="6"/>
      <c r="R80" s="6"/>
    </row>
    <row r="81">
      <c r="A81" s="31" t="str">
        <f>IFERROR(__xludf.DUMMYFUNCTION("""COMPUTED_VALUE"""),"294д (этап 3.3.5)")</f>
        <v>294д (этап 3.3.5)</v>
      </c>
      <c r="B81" s="14" t="str">
        <f>IFERROR(__xludf.DUMMYFUNCTION("""COMPUTED_VALUE"""),"АИП-25")</f>
        <v>АИП-25</v>
      </c>
      <c r="C81" s="14" t="str">
        <f>IFERROR(__xludf.DUMMYFUNCTION("""COMPUTED_VALUE"""),"УДС")</f>
        <v>УДС</v>
      </c>
      <c r="D81" s="15"/>
      <c r="E81"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3.3.5 участок от МКАД до автомобильной дороги ""Солнце"&amp;"во-Бутово-Варшавское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3.3.5 участок от МКАД до автомобильной дороги "Солнцево-Бутово-Варшавское шоссе" (ЮЗАО, ЮАО, М.О.)</v>
      </c>
      <c r="F81" s="25" t="str">
        <f>IFERROR(__xludf.DUMMYFUNCTION("""COMPUTED_VALUE"""),"#N/A")</f>
        <v>#N/A</v>
      </c>
      <c r="G81" s="6" t="str">
        <f>IFERROR(__xludf.DUMMYFUNCTION("""COMPUTED_VALUE"""),"#N/A")</f>
        <v>#N/A</v>
      </c>
      <c r="H81" s="6"/>
      <c r="I81" s="6"/>
      <c r="J81" s="50">
        <f>IFERROR(__xludf.DUMMYFUNCTION("""COMPUTED_VALUE"""),87.258584)</f>
        <v>87.258584</v>
      </c>
      <c r="K81" s="58">
        <f>IFERROR(__xludf.DUMMYFUNCTION("""COMPUTED_VALUE"""),45975.0)</f>
        <v>45975</v>
      </c>
      <c r="L81" s="6">
        <v>14.0</v>
      </c>
      <c r="M81" s="52">
        <v>45989.0</v>
      </c>
      <c r="N81" s="53" t="s">
        <v>711</v>
      </c>
      <c r="O81" s="6"/>
      <c r="P81" s="6"/>
      <c r="Q81" s="6"/>
      <c r="R81" s="6"/>
    </row>
    <row r="82">
      <c r="A82" s="31" t="str">
        <f>IFERROR(__xludf.DUMMYFUNCTION("""COMPUTED_VALUE"""),"294д (этап 3.2.2)")</f>
        <v>294д (этап 3.2.2)</v>
      </c>
      <c r="B82" s="14" t="str">
        <f>IFERROR(__xludf.DUMMYFUNCTION("""COMPUTED_VALUE"""),"АИП-25")</f>
        <v>АИП-25</v>
      </c>
      <c r="C82" s="14" t="str">
        <f>IFERROR(__xludf.DUMMYFUNCTION("""COMPUTED_VALUE"""),"УДС")</f>
        <v>УДС</v>
      </c>
      <c r="D82" s="15"/>
      <c r="E82"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3.2.2 участок от МКАД до автомобильной дороги ""Солнцев"&amp;"о-Бутово-Варшавское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3.2.2 участок от МКАД до автомобильной дороги "Солнцево-Бутово-Варшавское шоссе" (ЮЗАО, ЮАО, М.О.)</v>
      </c>
      <c r="F82" s="25" t="str">
        <f>IFERROR(__xludf.DUMMYFUNCTION("""COMPUTED_VALUE"""),"#N/A")</f>
        <v>#N/A</v>
      </c>
      <c r="G82" s="6" t="str">
        <f>IFERROR(__xludf.DUMMYFUNCTION("""COMPUTED_VALUE"""),"#N/A")</f>
        <v>#N/A</v>
      </c>
      <c r="H82" s="6"/>
      <c r="I82" s="6"/>
      <c r="J82" s="50">
        <f>IFERROR(__xludf.DUMMYFUNCTION("""COMPUTED_VALUE"""),85.0)</f>
        <v>85</v>
      </c>
      <c r="K82" s="58">
        <f>IFERROR(__xludf.DUMMYFUNCTION("""COMPUTED_VALUE"""),45975.0)</f>
        <v>45975</v>
      </c>
      <c r="L82" s="6">
        <v>14.0</v>
      </c>
      <c r="M82" s="52">
        <v>45989.0</v>
      </c>
      <c r="N82" s="53" t="s">
        <v>711</v>
      </c>
      <c r="O82" s="6"/>
      <c r="P82" s="6"/>
      <c r="Q82" s="6"/>
      <c r="R82" s="6"/>
    </row>
    <row r="83">
      <c r="A83" s="31" t="str">
        <f>IFERROR(__xludf.DUMMYFUNCTION("""COMPUTED_VALUE"""),"294д (этап 3.3.2.3)")</f>
        <v>294д (этап 3.3.2.3)</v>
      </c>
      <c r="B83" s="14" t="str">
        <f>IFERROR(__xludf.DUMMYFUNCTION("""COMPUTED_VALUE"""),"АИП-25")</f>
        <v>АИП-25</v>
      </c>
      <c r="C83" s="14" t="str">
        <f>IFERROR(__xludf.DUMMYFUNCTION("""COMPUTED_VALUE"""),"УДС")</f>
        <v>УДС</v>
      </c>
      <c r="D83" s="15"/>
      <c r="E83"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3.3.2.3 участок от МКАД до автомобильной дороги ""Солнц"&amp;"ево-Бутово-Варшавское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3.3.2.3 участок от МКАД до автомобильной дороги "Солнцево-Бутово-Варшавское шоссе" (ЮЗАО, ЮАО, М.О.)</v>
      </c>
      <c r="F83" s="25" t="str">
        <f>IFERROR(__xludf.DUMMYFUNCTION("""COMPUTED_VALUE"""),"#N/A")</f>
        <v>#N/A</v>
      </c>
      <c r="G83" s="6" t="str">
        <f>IFERROR(__xludf.DUMMYFUNCTION("""COMPUTED_VALUE"""),"#N/A")</f>
        <v>#N/A</v>
      </c>
      <c r="H83" s="6"/>
      <c r="I83" s="6"/>
      <c r="J83" s="50">
        <f>IFERROR(__xludf.DUMMYFUNCTION("""COMPUTED_VALUE"""),88.293)</f>
        <v>88.293</v>
      </c>
      <c r="K83" s="58">
        <f>IFERROR(__xludf.DUMMYFUNCTION("""COMPUTED_VALUE"""),45975.0)</f>
        <v>45975</v>
      </c>
      <c r="L83" s="6">
        <v>14.0</v>
      </c>
      <c r="M83" s="52">
        <v>45989.0</v>
      </c>
      <c r="N83" s="53" t="s">
        <v>711</v>
      </c>
      <c r="O83" s="6"/>
      <c r="P83" s="6"/>
      <c r="Q83" s="6"/>
      <c r="R83" s="6"/>
    </row>
    <row r="84">
      <c r="A84" s="31" t="str">
        <f>IFERROR(__xludf.DUMMYFUNCTION("""COMPUTED_VALUE"""),"294д (этап 3.3.3.3)")</f>
        <v>294д (этап 3.3.3.3)</v>
      </c>
      <c r="B84" s="14" t="str">
        <f>IFERROR(__xludf.DUMMYFUNCTION("""COMPUTED_VALUE"""),"АИП-25")</f>
        <v>АИП-25</v>
      </c>
      <c r="C84" s="14" t="str">
        <f>IFERROR(__xludf.DUMMYFUNCTION("""COMPUTED_VALUE"""),"УДС")</f>
        <v>УДС</v>
      </c>
      <c r="D84" s="15"/>
      <c r="E84"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3.3.3.3 участок от МКАД до автомобильной дороги ""Солнц"&amp;"ево-Бутово-Варшавское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3.3.3.3 участок от МКАД до автомобильной дороги "Солнцево-Бутово-Варшавское шоссе" (ЮЗАО, ЮАО, М.О.)</v>
      </c>
      <c r="F84" s="25" t="str">
        <f>IFERROR(__xludf.DUMMYFUNCTION("""COMPUTED_VALUE"""),"#N/A")</f>
        <v>#N/A</v>
      </c>
      <c r="G84" s="6" t="str">
        <f>IFERROR(__xludf.DUMMYFUNCTION("""COMPUTED_VALUE"""),"#N/A")</f>
        <v>#N/A</v>
      </c>
      <c r="H84" s="6"/>
      <c r="I84" s="6"/>
      <c r="J84" s="50">
        <f>IFERROR(__xludf.DUMMYFUNCTION("""COMPUTED_VALUE"""),66.22125)</f>
        <v>66.22125</v>
      </c>
      <c r="K84" s="58">
        <f>IFERROR(__xludf.DUMMYFUNCTION("""COMPUTED_VALUE"""),45975.0)</f>
        <v>45975</v>
      </c>
      <c r="L84" s="6">
        <v>14.0</v>
      </c>
      <c r="M84" s="52">
        <v>45989.0</v>
      </c>
      <c r="N84" s="53" t="s">
        <v>711</v>
      </c>
      <c r="O84" s="6"/>
      <c r="P84" s="6"/>
      <c r="Q84" s="6"/>
      <c r="R84" s="6"/>
    </row>
    <row r="85">
      <c r="A85" s="31" t="str">
        <f>IFERROR(__xludf.DUMMYFUNCTION("""COMPUTED_VALUE"""),"294д (этап 3.3.3.4)")</f>
        <v>294д (этап 3.3.3.4)</v>
      </c>
      <c r="B85" s="14" t="str">
        <f>IFERROR(__xludf.DUMMYFUNCTION("""COMPUTED_VALUE"""),"АИП-25")</f>
        <v>АИП-25</v>
      </c>
      <c r="C85" s="14" t="str">
        <f>IFERROR(__xludf.DUMMYFUNCTION("""COMPUTED_VALUE"""),"УДС")</f>
        <v>УДС</v>
      </c>
      <c r="D85" s="15"/>
      <c r="E85"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3.3.3.4, участок от МКАД до автомобильной дороги ""Сол"&amp;"нцево-Бутово-Варшавское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3.3.3.4, участок от МКАД до автомобильной дороги "Солнцево-Бутово-Варшавское шоссе" (ЮЗАО, ЮАО, М.О.)</v>
      </c>
      <c r="F85" s="25" t="str">
        <f>IFERROR(__xludf.DUMMYFUNCTION("""COMPUTED_VALUE"""),"#N/A")</f>
        <v>#N/A</v>
      </c>
      <c r="G85" s="6" t="str">
        <f>IFERROR(__xludf.DUMMYFUNCTION("""COMPUTED_VALUE"""),"#N/A")</f>
        <v>#N/A</v>
      </c>
      <c r="H85" s="6"/>
      <c r="I85" s="6"/>
      <c r="J85" s="50">
        <f>IFERROR(__xludf.DUMMYFUNCTION("""COMPUTED_VALUE"""),45.2431)</f>
        <v>45.2431</v>
      </c>
      <c r="K85" s="58">
        <f>IFERROR(__xludf.DUMMYFUNCTION("""COMPUTED_VALUE"""),45975.0)</f>
        <v>45975</v>
      </c>
      <c r="L85" s="6">
        <v>30.0</v>
      </c>
      <c r="M85" s="52">
        <v>46005.0</v>
      </c>
      <c r="N85" s="53" t="s">
        <v>711</v>
      </c>
      <c r="O85" s="6"/>
      <c r="P85" s="6"/>
      <c r="Q85" s="6"/>
      <c r="R85" s="6"/>
    </row>
    <row r="86">
      <c r="A86" s="31" t="str">
        <f>IFERROR(__xludf.DUMMYFUNCTION("""COMPUTED_VALUE"""),"184д")</f>
        <v>184д</v>
      </c>
      <c r="B86" s="14" t="str">
        <f>IFERROR(__xludf.DUMMYFUNCTION("""COMPUTED_VALUE"""),"АИП-25")</f>
        <v>АИП-25</v>
      </c>
      <c r="C86" s="14" t="str">
        <f>IFERROR(__xludf.DUMMYFUNCTION("""COMPUTED_VALUE"""),"УДС")</f>
        <v>УДС</v>
      </c>
      <c r="D86" s="15"/>
      <c r="E86" s="14" t="str">
        <f>IFERROR(__xludf.DUMMYFUNCTION("""COMPUTED_VALUE"""),"Строительство и реконструкция улично-дорожной сети в пос. Мосрентген с выездами на Калужское ш. поселение ""Мосрентген"", Новомосковский административный округ города Москвы")</f>
        <v>Строительство и реконструкция улично-дорожной сети в пос. Мосрентген с выездами на Калужское ш. поселение "Мосрентген", Новомосковский административный округ города Москвы</v>
      </c>
      <c r="F86" s="25" t="str">
        <f>IFERROR(__xludf.DUMMYFUNCTION("""COMPUTED_VALUE"""),"#N/A")</f>
        <v>#N/A</v>
      </c>
      <c r="G86" s="6" t="str">
        <f>IFERROR(__xludf.DUMMYFUNCTION("""COMPUTED_VALUE"""),"#N/A")</f>
        <v>#N/A</v>
      </c>
      <c r="H86" s="6"/>
      <c r="I86" s="6"/>
      <c r="J86" s="50">
        <f>IFERROR(__xludf.DUMMYFUNCTION("""COMPUTED_VALUE"""),100.0)</f>
        <v>100</v>
      </c>
      <c r="K86" s="58">
        <f>IFERROR(__xludf.DUMMYFUNCTION("""COMPUTED_VALUE"""),45972.0)</f>
        <v>45972</v>
      </c>
      <c r="L86" s="6" t="s">
        <v>654</v>
      </c>
      <c r="M86" s="52" t="s">
        <v>655</v>
      </c>
      <c r="N86" s="53" t="s">
        <v>656</v>
      </c>
      <c r="O86" s="6" t="s">
        <v>718</v>
      </c>
      <c r="P86" s="6"/>
      <c r="Q86" s="6"/>
      <c r="R86" s="6"/>
    </row>
    <row r="87">
      <c r="A87" s="31" t="str">
        <f>IFERROR(__xludf.DUMMYFUNCTION("""COMPUTED_VALUE"""),"110д (сводный)")</f>
        <v>110д (сводный)</v>
      </c>
      <c r="B87" s="14" t="str">
        <f>IFERROR(__xludf.DUMMYFUNCTION("""COMPUTED_VALUE"""),"АИП-25")</f>
        <v>АИП-25</v>
      </c>
      <c r="C87" s="14" t="str">
        <f>IFERROR(__xludf.DUMMYFUNCTION("""COMPUTED_VALUE"""),"УДС")</f>
        <v>УДС</v>
      </c>
      <c r="D87" s="15"/>
      <c r="E87" s="14" t="str">
        <f>IFERROR(__xludf.DUMMYFUNCTION("""COMPUTED_VALUE"""),"Реконструкция Дмитровского путепровода. Этапы 1 и 2 ")</f>
        <v>Реконструкция Дмитровского путепровода. Этапы 1 и 2 </v>
      </c>
      <c r="F87" s="25" t="str">
        <f>IFERROR(__xludf.DUMMYFUNCTION("""COMPUTED_VALUE"""),"#N/A")</f>
        <v>#N/A</v>
      </c>
      <c r="G87" s="6" t="str">
        <f>IFERROR(__xludf.DUMMYFUNCTION("""COMPUTED_VALUE"""),"#N/A")</f>
        <v>#N/A</v>
      </c>
      <c r="H87" s="6"/>
      <c r="I87" s="6"/>
      <c r="J87" s="50"/>
      <c r="K87" s="58"/>
      <c r="L87" s="6">
        <v>30.0</v>
      </c>
      <c r="M87" s="52" t="s">
        <v>655</v>
      </c>
      <c r="N87" s="53" t="s">
        <v>698</v>
      </c>
      <c r="O87" s="6"/>
      <c r="P87" s="6"/>
      <c r="Q87" s="6"/>
      <c r="R87" s="6"/>
    </row>
    <row r="88">
      <c r="A88" s="31" t="str">
        <f>IFERROR(__xludf.DUMMYFUNCTION("""COMPUTED_VALUE"""),"110д (этап 1)")</f>
        <v>110д (этап 1)</v>
      </c>
      <c r="B88" s="14"/>
      <c r="C88" s="14" t="str">
        <f>IFERROR(__xludf.DUMMYFUNCTION("""COMPUTED_VALUE"""),"УДС")</f>
        <v>УДС</v>
      </c>
      <c r="D88" s="15"/>
      <c r="E88" s="14" t="str">
        <f>IFERROR(__xludf.DUMMYFUNCTION("""COMPUTED_VALUE"""),"Дмитровский путепровод
 Этапы 1 г. Москва, Дмитровское ш. (САО)")</f>
        <v>Дмитровский путепровод
 Этапы 1 г. Москва, Дмитровское ш. (САО)</v>
      </c>
      <c r="F88" s="25" t="str">
        <f>IFERROR(__xludf.DUMMYFUNCTION("""COMPUTED_VALUE"""),"#N/A")</f>
        <v>#N/A</v>
      </c>
      <c r="G88" s="6" t="str">
        <f>IFERROR(__xludf.DUMMYFUNCTION("""COMPUTED_VALUE"""),"#N/A")</f>
        <v>#N/A</v>
      </c>
      <c r="H88" s="6"/>
      <c r="I88" s="6"/>
      <c r="J88" s="50"/>
      <c r="K88" s="58"/>
      <c r="L88" s="6">
        <v>30.0</v>
      </c>
      <c r="M88" s="52" t="s">
        <v>655</v>
      </c>
      <c r="N88" s="53" t="s">
        <v>698</v>
      </c>
      <c r="O88" s="6" t="s">
        <v>719</v>
      </c>
      <c r="P88" s="6"/>
      <c r="Q88" s="6"/>
      <c r="R88" s="6"/>
    </row>
    <row r="89">
      <c r="A89" s="31" t="str">
        <f>IFERROR(__xludf.DUMMYFUNCTION("""COMPUTED_VALUE"""),"110д (этап 2)")</f>
        <v>110д (этап 2)</v>
      </c>
      <c r="B89" s="14"/>
      <c r="C89" s="14" t="str">
        <f>IFERROR(__xludf.DUMMYFUNCTION("""COMPUTED_VALUE"""),"УДС")</f>
        <v>УДС</v>
      </c>
      <c r="D89" s="15"/>
      <c r="E89" s="14" t="str">
        <f>IFERROR(__xludf.DUMMYFUNCTION("""COMPUTED_VALUE"""),"Дмитровский путепровод
 Этапы 2 г. Москва, Дмитровское ш. (САО)")</f>
        <v>Дмитровский путепровод
 Этапы 2 г. Москва, Дмитровское ш. (САО)</v>
      </c>
      <c r="F89" s="25" t="str">
        <f>IFERROR(__xludf.DUMMYFUNCTION("""COMPUTED_VALUE"""),"#N/A")</f>
        <v>#N/A</v>
      </c>
      <c r="G89" s="6" t="str">
        <f>IFERROR(__xludf.DUMMYFUNCTION("""COMPUTED_VALUE"""),"#N/A")</f>
        <v>#N/A</v>
      </c>
      <c r="H89" s="6"/>
      <c r="I89" s="6"/>
      <c r="J89" s="50"/>
      <c r="K89" s="58"/>
      <c r="L89" s="6">
        <v>30.0</v>
      </c>
      <c r="M89" s="52" t="s">
        <v>655</v>
      </c>
      <c r="N89" s="53" t="s">
        <v>698</v>
      </c>
      <c r="O89" s="6" t="s">
        <v>720</v>
      </c>
      <c r="P89" s="6"/>
      <c r="Q89" s="6"/>
      <c r="R89" s="6"/>
    </row>
    <row r="90">
      <c r="A90" s="31" t="str">
        <f>IFERROR(__xludf.DUMMYFUNCTION("""COMPUTED_VALUE"""),"1151д (этап 1)")</f>
        <v>1151д (этап 1)</v>
      </c>
      <c r="B90" s="14" t="str">
        <f>IFERROR(__xludf.DUMMYFUNCTION("""COMPUTED_VALUE"""),"АИП-25")</f>
        <v>АИП-25</v>
      </c>
      <c r="C90" s="14" t="str">
        <f>IFERROR(__xludf.DUMMYFUNCTION("""COMPUTED_VALUE"""),"УДС")</f>
        <v>УДС</v>
      </c>
      <c r="D90" s="15"/>
      <c r="E90" s="14" t="str">
        <f>IFERROR(__xludf.DUMMYFUNCTION("""COMPUTED_VALUE"""),"882-05-01 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(1 этап) СОЛНЦЕВО,ТРОПАРЕВО-НИКУЛИНО, ВЕРНАДСКОГО ПР-Т")</f>
        <v>882-05-01 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(1 этап) СОЛНЦЕВО,ТРОПАРЕВО-НИКУЛИНО, ВЕРНАДСКОГО ПР-Т</v>
      </c>
      <c r="F90" s="25" t="str">
        <f>IFERROR(__xludf.DUMMYFUNCTION("""COMPUTED_VALUE"""),"55.6620116986423")</f>
        <v>55.6620116986423</v>
      </c>
      <c r="G90" s="6" t="str">
        <f>IFERROR(__xludf.DUMMYFUNCTION("""COMPUTED_VALUE"""),"37.44633431521266")</f>
        <v>37.44633431521266</v>
      </c>
      <c r="H90" s="6"/>
      <c r="I90" s="6"/>
      <c r="J90" s="50">
        <f>IFERROR(__xludf.DUMMYFUNCTION("""COMPUTED_VALUE"""),60.947500000000005)</f>
        <v>60.9475</v>
      </c>
      <c r="K90" s="58">
        <f>IFERROR(__xludf.DUMMYFUNCTION("""COMPUTED_VALUE"""),45958.0)</f>
        <v>45958</v>
      </c>
      <c r="L90" s="6">
        <v>14.0</v>
      </c>
      <c r="M90" s="52">
        <v>45972.0</v>
      </c>
      <c r="N90" s="53" t="s">
        <v>668</v>
      </c>
      <c r="O90" s="6" t="s">
        <v>721</v>
      </c>
      <c r="P90" s="6"/>
      <c r="Q90" s="6"/>
      <c r="R90" s="6"/>
    </row>
    <row r="91">
      <c r="A91" s="31" t="str">
        <f>IFERROR(__xludf.DUMMYFUNCTION("""COMPUTED_VALUE"""),"306д (сводный)")</f>
        <v>306д (сводный)</v>
      </c>
      <c r="B91" s="14" t="str">
        <f>IFERROR(__xludf.DUMMYFUNCTION("""COMPUTED_VALUE"""),"АИП-25")</f>
        <v>АИП-25</v>
      </c>
      <c r="C91" s="14" t="str">
        <f>IFERROR(__xludf.DUMMYFUNCTION("""COMPUTED_VALUE"""),"УДС")</f>
        <v>УДС</v>
      </c>
      <c r="D91" s="15"/>
      <c r="E91"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3.3.,4.6., 4.7., 1.2. ")</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3.3.,4.6., 4.7., 1.2. </v>
      </c>
      <c r="F91" s="25" t="str">
        <f>IFERROR(__xludf.DUMMYFUNCTION("""COMPUTED_VALUE"""),"#N/A")</f>
        <v>#N/A</v>
      </c>
      <c r="G91" s="6" t="str">
        <f>IFERROR(__xludf.DUMMYFUNCTION("""COMPUTED_VALUE"""),"#N/A")</f>
        <v>#N/A</v>
      </c>
      <c r="H91" s="6"/>
      <c r="I91" s="6"/>
      <c r="J91" s="50"/>
      <c r="K91" s="58"/>
      <c r="L91" s="6">
        <v>30.0</v>
      </c>
      <c r="M91" s="52" t="s">
        <v>655</v>
      </c>
      <c r="N91" s="53" t="s">
        <v>698</v>
      </c>
      <c r="O91" s="6"/>
      <c r="P91" s="6"/>
      <c r="Q91" s="6"/>
      <c r="R91" s="6"/>
    </row>
    <row r="92">
      <c r="A92" s="31" t="str">
        <f>IFERROR(__xludf.DUMMYFUNCTION("""COMPUTED_VALUE"""),"306д (сводный 2)")</f>
        <v>306д (сводный 2)</v>
      </c>
      <c r="B92" s="14" t="str">
        <f>IFERROR(__xludf.DUMMYFUNCTION("""COMPUTED_VALUE"""),"АИП-25")</f>
        <v>АИП-25</v>
      </c>
      <c r="C92" s="14" t="str">
        <f>IFERROR(__xludf.DUMMYFUNCTION("""COMPUTED_VALUE"""),"УДС")</f>
        <v>УДС</v>
      </c>
      <c r="D92" s="15"/>
      <c r="E92"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2.2.2, 3.1, 3.4,"&amp;" 4.1.2, 4.3, 4.4, 4.5 ")</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2.2.2, 3.1, 3.4, 4.1.2, 4.3, 4.4, 4.5 </v>
      </c>
      <c r="F92" s="25" t="str">
        <f>IFERROR(__xludf.DUMMYFUNCTION("""COMPUTED_VALUE"""),"#N/A")</f>
        <v>#N/A</v>
      </c>
      <c r="G92" s="6" t="str">
        <f>IFERROR(__xludf.DUMMYFUNCTION("""COMPUTED_VALUE"""),"#N/A")</f>
        <v>#N/A</v>
      </c>
      <c r="H92" s="6"/>
      <c r="I92" s="6"/>
      <c r="J92" s="50"/>
      <c r="K92" s="58"/>
      <c r="L92" s="6">
        <v>30.0</v>
      </c>
      <c r="M92" s="52" t="s">
        <v>655</v>
      </c>
      <c r="N92" s="53" t="s">
        <v>698</v>
      </c>
      <c r="O92" s="6"/>
      <c r="P92" s="6"/>
      <c r="Q92" s="6"/>
      <c r="R92" s="6"/>
    </row>
    <row r="93">
      <c r="A93" s="31" t="str">
        <f>IFERROR(__xludf.DUMMYFUNCTION("""COMPUTED_VALUE"""),"306д (этап 1.1.2)")</f>
        <v>306д (этап 1.1.2)</v>
      </c>
      <c r="B93" s="14"/>
      <c r="C93" s="14" t="str">
        <f>IFERROR(__xludf.DUMMYFUNCTION("""COMPUTED_VALUE"""),"УДС")</f>
        <v>УДС</v>
      </c>
      <c r="D93" s="15"/>
      <c r="E93"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с ул. Верхние Поля и на пересечении МКАД с ул. Капотня</v>
      </c>
      <c r="F93" s="25" t="str">
        <f>IFERROR(__xludf.DUMMYFUNCTION("""COMPUTED_VALUE"""),"#N/A")</f>
        <v>#N/A</v>
      </c>
      <c r="G93" s="6" t="str">
        <f>IFERROR(__xludf.DUMMYFUNCTION("""COMPUTED_VALUE"""),"#N/A")</f>
        <v>#N/A</v>
      </c>
      <c r="H93" s="6"/>
      <c r="I93" s="6"/>
      <c r="J93" s="50">
        <f>IFERROR(__xludf.DUMMYFUNCTION("""COMPUTED_VALUE"""),100.0)</f>
        <v>100</v>
      </c>
      <c r="K93" s="58"/>
      <c r="L93" s="6" t="s">
        <v>654</v>
      </c>
      <c r="M93" s="52" t="s">
        <v>655</v>
      </c>
      <c r="N93" s="53" t="s">
        <v>656</v>
      </c>
      <c r="O93" s="6"/>
      <c r="P93" s="6"/>
      <c r="Q93" s="6"/>
      <c r="R93" s="6"/>
    </row>
    <row r="94">
      <c r="A94" s="31" t="str">
        <f>IFERROR(__xludf.DUMMYFUNCTION("""COMPUTED_VALUE"""),"306д (этап 2.2.2)")</f>
        <v>306д (этап 2.2.2)</v>
      </c>
      <c r="B94" s="14"/>
      <c r="C94" s="14" t="str">
        <f>IFERROR(__xludf.DUMMYFUNCTION("""COMPUTED_VALUE"""),"УДС")</f>
        <v>УДС</v>
      </c>
      <c r="D94" s="15"/>
      <c r="E94"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2.2.2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2.2.2 с ул. Верхние Поля и на пересечении МКАД с ул. Капотня</v>
      </c>
      <c r="F94" s="25" t="str">
        <f>IFERROR(__xludf.DUMMYFUNCTION("""COMPUTED_VALUE"""),"#N/A")</f>
        <v>#N/A</v>
      </c>
      <c r="G94" s="6" t="str">
        <f>IFERROR(__xludf.DUMMYFUNCTION("""COMPUTED_VALUE"""),"#N/A")</f>
        <v>#N/A</v>
      </c>
      <c r="H94" s="6"/>
      <c r="I94" s="6"/>
      <c r="J94" s="50"/>
      <c r="K94" s="58"/>
      <c r="L94" s="6">
        <v>30.0</v>
      </c>
      <c r="M94" s="52" t="s">
        <v>655</v>
      </c>
      <c r="N94" s="53" t="s">
        <v>698</v>
      </c>
      <c r="O94" s="6"/>
      <c r="P94" s="6"/>
      <c r="Q94" s="6"/>
      <c r="R94" s="6"/>
    </row>
    <row r="95">
      <c r="A95" s="31" t="str">
        <f>IFERROR(__xludf.DUMMYFUNCTION("""COMPUTED_VALUE"""),"306д (этап 3.1)")</f>
        <v>306д (этап 3.1)</v>
      </c>
      <c r="B95" s="14"/>
      <c r="C95" s="14" t="str">
        <f>IFERROR(__xludf.DUMMYFUNCTION("""COMPUTED_VALUE"""),"УДС")</f>
        <v>УДС</v>
      </c>
      <c r="D95" s="15"/>
      <c r="E95"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3.1 с ул. Верхние Поля и"&amp;"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3.1 с ул. Верхние Поля и на пересечении МКАД с ул. Капотня</v>
      </c>
      <c r="F95" s="25" t="str">
        <f>IFERROR(__xludf.DUMMYFUNCTION("""COMPUTED_VALUE"""),"#N/A")</f>
        <v>#N/A</v>
      </c>
      <c r="G95" s="6" t="str">
        <f>IFERROR(__xludf.DUMMYFUNCTION("""COMPUTED_VALUE"""),"#N/A")</f>
        <v>#N/A</v>
      </c>
      <c r="H95" s="6"/>
      <c r="I95" s="6"/>
      <c r="J95" s="50"/>
      <c r="K95" s="58"/>
      <c r="L95" s="6">
        <v>30.0</v>
      </c>
      <c r="M95" s="52" t="s">
        <v>655</v>
      </c>
      <c r="N95" s="53" t="s">
        <v>698</v>
      </c>
      <c r="O95" s="6"/>
      <c r="P95" s="6"/>
      <c r="Q95" s="6"/>
      <c r="R95" s="6"/>
    </row>
    <row r="96">
      <c r="A96" s="31" t="str">
        <f>IFERROR(__xludf.DUMMYFUNCTION("""COMPUTED_VALUE"""),"306д (этап 3.4)")</f>
        <v>306д (этап 3.4)</v>
      </c>
      <c r="B96" s="14"/>
      <c r="C96" s="14" t="str">
        <f>IFERROR(__xludf.DUMMYFUNCTION("""COMPUTED_VALUE"""),"УДС")</f>
        <v>УДС</v>
      </c>
      <c r="D96" s="15"/>
      <c r="E96"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3.4 с ул. Верхние Поля и"&amp;"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3.4 с ул. Верхние Поля и на пересечении МКАД с ул. Капотня</v>
      </c>
      <c r="F96" s="25" t="str">
        <f>IFERROR(__xludf.DUMMYFUNCTION("""COMPUTED_VALUE"""),"#N/A")</f>
        <v>#N/A</v>
      </c>
      <c r="G96" s="6" t="str">
        <f>IFERROR(__xludf.DUMMYFUNCTION("""COMPUTED_VALUE"""),"#N/A")</f>
        <v>#N/A</v>
      </c>
      <c r="H96" s="6"/>
      <c r="I96" s="6"/>
      <c r="J96" s="50"/>
      <c r="K96" s="58"/>
      <c r="L96" s="6">
        <v>30.0</v>
      </c>
      <c r="M96" s="52" t="s">
        <v>655</v>
      </c>
      <c r="N96" s="53" t="s">
        <v>698</v>
      </c>
      <c r="O96" s="6"/>
      <c r="P96" s="6"/>
      <c r="Q96" s="6"/>
      <c r="R96" s="6"/>
    </row>
    <row r="97">
      <c r="A97" s="31" t="str">
        <f>IFERROR(__xludf.DUMMYFUNCTION("""COMPUTED_VALUE"""),"306д (этап 4.1.2)")</f>
        <v>306д (этап 4.1.2)</v>
      </c>
      <c r="B97" s="14"/>
      <c r="C97" s="14" t="str">
        <f>IFERROR(__xludf.DUMMYFUNCTION("""COMPUTED_VALUE"""),"УДС")</f>
        <v>УДС</v>
      </c>
      <c r="D97" s="60"/>
      <c r="E97"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4.1.2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4.1.2 с ул. Верхние Поля и на пересечении МКАД с ул. Капотня</v>
      </c>
      <c r="F97" s="25" t="str">
        <f>IFERROR(__xludf.DUMMYFUNCTION("""COMPUTED_VALUE"""),"#N/A")</f>
        <v>#N/A</v>
      </c>
      <c r="G97" s="6" t="str">
        <f>IFERROR(__xludf.DUMMYFUNCTION("""COMPUTED_VALUE"""),"#N/A")</f>
        <v>#N/A</v>
      </c>
      <c r="H97" s="6"/>
      <c r="I97" s="6"/>
      <c r="J97" s="50"/>
      <c r="K97" s="58"/>
      <c r="L97" s="6">
        <v>30.0</v>
      </c>
      <c r="M97" s="52" t="s">
        <v>655</v>
      </c>
      <c r="N97" s="53" t="s">
        <v>698</v>
      </c>
      <c r="O97" s="6"/>
      <c r="P97" s="6"/>
      <c r="Q97" s="6"/>
      <c r="R97" s="6"/>
    </row>
    <row r="98">
      <c r="A98" s="31" t="str">
        <f>IFERROR(__xludf.DUMMYFUNCTION("""COMPUTED_VALUE"""),"306д (этап 4.3)")</f>
        <v>306д (этап 4.3)</v>
      </c>
      <c r="B98" s="14"/>
      <c r="C98" s="14" t="str">
        <f>IFERROR(__xludf.DUMMYFUNCTION("""COMPUTED_VALUE"""),"УДС")</f>
        <v>УДС</v>
      </c>
      <c r="D98" s="15"/>
      <c r="E98"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4.3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4.3 с ул. Верхние Поля и на пересечении МКАД с ул. Капотня</v>
      </c>
      <c r="F98" s="25" t="str">
        <f>IFERROR(__xludf.DUMMYFUNCTION("""COMPUTED_VALUE"""),"#N/A")</f>
        <v>#N/A</v>
      </c>
      <c r="G98" s="6" t="str">
        <f>IFERROR(__xludf.DUMMYFUNCTION("""COMPUTED_VALUE"""),"#N/A")</f>
        <v>#N/A</v>
      </c>
      <c r="H98" s="6"/>
      <c r="I98" s="6"/>
      <c r="J98" s="50"/>
      <c r="K98" s="58"/>
      <c r="L98" s="6">
        <v>30.0</v>
      </c>
      <c r="M98" s="52" t="s">
        <v>655</v>
      </c>
      <c r="N98" s="53" t="s">
        <v>698</v>
      </c>
      <c r="O98" s="6"/>
      <c r="P98" s="6"/>
      <c r="Q98" s="6"/>
      <c r="R98" s="6"/>
    </row>
    <row r="99">
      <c r="A99" s="31" t="str">
        <f>IFERROR(__xludf.DUMMYFUNCTION("""COMPUTED_VALUE"""),"306д (этап 4.4)")</f>
        <v>306д (этап 4.4)</v>
      </c>
      <c r="B99" s="14"/>
      <c r="C99" s="14" t="str">
        <f>IFERROR(__xludf.DUMMYFUNCTION("""COMPUTED_VALUE"""),"УДС")</f>
        <v>УДС</v>
      </c>
      <c r="D99" s="15"/>
      <c r="E99"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4.4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4.4 с ул. Верхние Поля и на пересечении МКАД с ул. Капотня</v>
      </c>
      <c r="F99" s="25" t="str">
        <f>IFERROR(__xludf.DUMMYFUNCTION("""COMPUTED_VALUE"""),"#N/A")</f>
        <v>#N/A</v>
      </c>
      <c r="G99" s="6" t="str">
        <f>IFERROR(__xludf.DUMMYFUNCTION("""COMPUTED_VALUE"""),"#N/A")</f>
        <v>#N/A</v>
      </c>
      <c r="H99" s="6"/>
      <c r="I99" s="6"/>
      <c r="J99" s="50"/>
      <c r="K99" s="58"/>
      <c r="L99" s="6">
        <v>30.0</v>
      </c>
      <c r="M99" s="52" t="s">
        <v>655</v>
      </c>
      <c r="N99" s="53" t="s">
        <v>698</v>
      </c>
      <c r="O99" s="6"/>
      <c r="P99" s="6"/>
      <c r="Q99" s="6"/>
      <c r="R99" s="6"/>
    </row>
    <row r="100">
      <c r="A100" s="31" t="str">
        <f>IFERROR(__xludf.DUMMYFUNCTION("""COMPUTED_VALUE"""),"306д (этап 4.5)")</f>
        <v>306д (этап 4.5)</v>
      </c>
      <c r="B100" s="14"/>
      <c r="C100" s="14" t="str">
        <f>IFERROR(__xludf.DUMMYFUNCTION("""COMPUTED_VALUE"""),"УДС")</f>
        <v>УДС</v>
      </c>
      <c r="D100" s="15"/>
      <c r="E100"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4.5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4.5 с ул. Верхние Поля и на пересечении МКАД с ул. Капотня</v>
      </c>
      <c r="F100" s="25" t="str">
        <f>IFERROR(__xludf.DUMMYFUNCTION("""COMPUTED_VALUE"""),"#N/A")</f>
        <v>#N/A</v>
      </c>
      <c r="G100" s="6" t="str">
        <f>IFERROR(__xludf.DUMMYFUNCTION("""COMPUTED_VALUE"""),"#N/A")</f>
        <v>#N/A</v>
      </c>
      <c r="H100" s="6"/>
      <c r="I100" s="6"/>
      <c r="J100" s="50"/>
      <c r="K100" s="58"/>
      <c r="L100" s="6">
        <v>30.0</v>
      </c>
      <c r="M100" s="52" t="s">
        <v>655</v>
      </c>
      <c r="N100" s="53" t="s">
        <v>698</v>
      </c>
      <c r="O100" s="6"/>
      <c r="P100" s="6"/>
      <c r="Q100" s="6"/>
      <c r="R100" s="6"/>
    </row>
    <row r="101">
      <c r="A101" s="31" t="str">
        <f>IFERROR(__xludf.DUMMYFUNCTION("""COMPUTED_VALUE"""),"114д (сводный)")</f>
        <v>114д (сводный)</v>
      </c>
      <c r="B101" s="14" t="str">
        <f>IFERROR(__xludf.DUMMYFUNCTION("""COMPUTED_VALUE"""),"АИП-25")</f>
        <v>АИП-25</v>
      </c>
      <c r="C101" s="14" t="str">
        <f>IFERROR(__xludf.DUMMYFUNCTION("""COMPUTED_VALUE"""),"УДС")</f>
        <v>УДС</v>
      </c>
      <c r="D101" s="60"/>
      <c r="E101"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Этапы 1.2, 3.2.3, 3.1. ")</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Этапы 1.2, 3.2.3, 3.1. </v>
      </c>
      <c r="F101" s="25" t="str">
        <f>IFERROR(__xludf.DUMMYFUNCTION("""COMPUTED_VALUE"""),"#N/A")</f>
        <v>#N/A</v>
      </c>
      <c r="G101" s="6" t="str">
        <f>IFERROR(__xludf.DUMMYFUNCTION("""COMPUTED_VALUE"""),"#N/A")</f>
        <v>#N/A</v>
      </c>
      <c r="H101" s="6"/>
      <c r="I101" s="6"/>
      <c r="J101" s="50"/>
      <c r="K101" s="58"/>
      <c r="L101" s="6">
        <v>30.0</v>
      </c>
      <c r="M101" s="52" t="s">
        <v>655</v>
      </c>
      <c r="N101" s="53" t="s">
        <v>698</v>
      </c>
      <c r="O101" s="6"/>
      <c r="P101" s="6"/>
      <c r="Q101" s="6"/>
      <c r="R101" s="6"/>
    </row>
    <row r="102">
      <c r="A102" s="31" t="str">
        <f>IFERROR(__xludf.DUMMYFUNCTION("""COMPUTED_VALUE"""),"114д (этап 3.2.3)")</f>
        <v>114д (этап 3.2.3)</v>
      </c>
      <c r="B102" s="14"/>
      <c r="C102" s="14" t="str">
        <f>IFERROR(__xludf.DUMMYFUNCTION("""COMPUTED_VALUE"""),"УДС")</f>
        <v>УДС</v>
      </c>
      <c r="D102" s="15"/>
      <c r="E102"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3.2.3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3.2.3 от ул. Полбина до Курьяновского б-ра</v>
      </c>
      <c r="F102" s="25" t="str">
        <f>IFERROR(__xludf.DUMMYFUNCTION("""COMPUTED_VALUE"""),"#N/A")</f>
        <v>#N/A</v>
      </c>
      <c r="G102" s="6" t="str">
        <f>IFERROR(__xludf.DUMMYFUNCTION("""COMPUTED_VALUE"""),"#N/A")</f>
        <v>#N/A</v>
      </c>
      <c r="H102" s="6"/>
      <c r="I102" s="6"/>
      <c r="J102" s="50"/>
      <c r="K102" s="58"/>
      <c r="L102" s="6">
        <v>30.0</v>
      </c>
      <c r="M102" s="52" t="s">
        <v>655</v>
      </c>
      <c r="N102" s="53" t="s">
        <v>698</v>
      </c>
      <c r="O102" s="6" t="s">
        <v>722</v>
      </c>
      <c r="P102" s="6"/>
      <c r="Q102" s="6"/>
      <c r="R102" s="6"/>
    </row>
    <row r="103">
      <c r="A103" s="31" t="str">
        <f>IFERROR(__xludf.DUMMYFUNCTION("""COMPUTED_VALUE"""),"114д (этап 1.2)")</f>
        <v>114д (этап 1.2)</v>
      </c>
      <c r="B103" s="14"/>
      <c r="C103" s="14" t="str">
        <f>IFERROR(__xludf.DUMMYFUNCTION("""COMPUTED_VALUE"""),"УДС")</f>
        <v>УДС</v>
      </c>
      <c r="D103" s="15"/>
      <c r="E103"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1.2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1.2 от ул. Полбина до Курьяновского б-ра</v>
      </c>
      <c r="F103" s="25" t="str">
        <f>IFERROR(__xludf.DUMMYFUNCTION("""COMPUTED_VALUE"""),"#N/A")</f>
        <v>#N/A</v>
      </c>
      <c r="G103" s="6" t="str">
        <f>IFERROR(__xludf.DUMMYFUNCTION("""COMPUTED_VALUE"""),"#N/A")</f>
        <v>#N/A</v>
      </c>
      <c r="H103" s="6"/>
      <c r="I103" s="6"/>
      <c r="J103" s="50"/>
      <c r="K103" s="58"/>
      <c r="L103" s="6">
        <v>30.0</v>
      </c>
      <c r="M103" s="52" t="s">
        <v>655</v>
      </c>
      <c r="N103" s="53" t="s">
        <v>698</v>
      </c>
      <c r="O103" s="6" t="s">
        <v>723</v>
      </c>
      <c r="P103" s="6"/>
      <c r="Q103" s="6"/>
      <c r="R103" s="6"/>
    </row>
    <row r="104">
      <c r="A104" s="31" t="str">
        <f>IFERROR(__xludf.DUMMYFUNCTION("""COMPUTED_VALUE"""),"114д (этап 3.1)")</f>
        <v>114д (этап 3.1)</v>
      </c>
      <c r="B104" s="14"/>
      <c r="C104" s="14" t="str">
        <f>IFERROR(__xludf.DUMMYFUNCTION("""COMPUTED_VALUE"""),"УДС")</f>
        <v>УДС</v>
      </c>
      <c r="D104" s="15"/>
      <c r="E104"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3.1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3.1 от ул. Полбина до Курьяновского б-ра</v>
      </c>
      <c r="F104" s="25" t="str">
        <f>IFERROR(__xludf.DUMMYFUNCTION("""COMPUTED_VALUE"""),"#N/A")</f>
        <v>#N/A</v>
      </c>
      <c r="G104" s="6" t="str">
        <f>IFERROR(__xludf.DUMMYFUNCTION("""COMPUTED_VALUE"""),"#N/A")</f>
        <v>#N/A</v>
      </c>
      <c r="H104" s="6"/>
      <c r="I104" s="6"/>
      <c r="J104" s="50"/>
      <c r="K104" s="58"/>
      <c r="L104" s="6">
        <v>30.0</v>
      </c>
      <c r="M104" s="52" t="s">
        <v>655</v>
      </c>
      <c r="N104" s="53" t="s">
        <v>698</v>
      </c>
      <c r="O104" s="6" t="s">
        <v>724</v>
      </c>
      <c r="P104" s="6"/>
      <c r="Q104" s="6"/>
      <c r="R104" s="6"/>
    </row>
    <row r="105">
      <c r="A105" s="31" t="str">
        <f>IFERROR(__xludf.DUMMYFUNCTION("""COMPUTED_VALUE"""),"336д (сводный)")</f>
        <v>336д (сводный)</v>
      </c>
      <c r="B105" s="14" t="str">
        <f>IFERROR(__xludf.DUMMYFUNCTION("""COMPUTED_VALUE"""),"АИП-25")</f>
        <v>АИП-25</v>
      </c>
      <c r="C105" s="14" t="str">
        <f>IFERROR(__xludf.DUMMYFUNCTION("""COMPUTED_VALUE"""),"УДС")</f>
        <v>УДС</v>
      </c>
      <c r="D105" s="15"/>
      <c r="E105" s="14" t="str">
        <f>IFERROR(__xludf.DUMMYFUNCTION("""COMPUTED_VALUE"""),"Реконструкция участков общегородской улично-дорожной сети - ул. Ивана Франко и Старо-Рублевского путепровода. Этапы 2.1.1., 2.1.2 ")</f>
        <v>Реконструкция участков общегородской улично-дорожной сети - ул. Ивана Франко и Старо-Рублевского путепровода. Этапы 2.1.1., 2.1.2 </v>
      </c>
      <c r="F105" s="25" t="str">
        <f>IFERROR(__xludf.DUMMYFUNCTION("""COMPUTED_VALUE"""),"#N/A")</f>
        <v>#N/A</v>
      </c>
      <c r="G105" s="6" t="str">
        <f>IFERROR(__xludf.DUMMYFUNCTION("""COMPUTED_VALUE"""),"#N/A")</f>
        <v>#N/A</v>
      </c>
      <c r="H105" s="6"/>
      <c r="I105" s="6"/>
      <c r="J105" s="50"/>
      <c r="K105" s="58"/>
      <c r="L105" s="6">
        <v>30.0</v>
      </c>
      <c r="M105" s="52" t="s">
        <v>655</v>
      </c>
      <c r="N105" s="53" t="s">
        <v>698</v>
      </c>
      <c r="O105" s="6"/>
      <c r="P105" s="6"/>
      <c r="Q105" s="6"/>
      <c r="R105" s="6"/>
    </row>
    <row r="106">
      <c r="A106" s="31" t="str">
        <f>IFERROR(__xludf.DUMMYFUNCTION("""COMPUTED_VALUE"""),"336д (этап 2.1.1)")</f>
        <v>336д (этап 2.1.1)</v>
      </c>
      <c r="B106" s="14"/>
      <c r="C106" s="14" t="str">
        <f>IFERROR(__xludf.DUMMYFUNCTION("""COMPUTED_VALUE"""),"УДС")</f>
        <v>УДС</v>
      </c>
      <c r="D106" s="15"/>
      <c r="E106" s="14" t="str">
        <f>IFERROR(__xludf.DUMMYFUNCTION("""COMPUTED_VALUE"""),"Реконструкция участков общегородской улично-дорожной сети - ул. Ивана Франко и Старо-Рублевского путепровода. 
 Этап 2.1.1 ул.Герасима Курина (ЗАО)")</f>
        <v>Реконструкция участков общегородской улично-дорожной сети - ул. Ивана Франко и Старо-Рублевского путепровода. 
 Этап 2.1.1 ул.Герасима Курина (ЗАО)</v>
      </c>
      <c r="F106" s="25" t="str">
        <f>IFERROR(__xludf.DUMMYFUNCTION("""COMPUTED_VALUE"""),"#N/A")</f>
        <v>#N/A</v>
      </c>
      <c r="G106" s="6" t="str">
        <f>IFERROR(__xludf.DUMMYFUNCTION("""COMPUTED_VALUE"""),"#N/A")</f>
        <v>#N/A</v>
      </c>
      <c r="H106" s="6"/>
      <c r="I106" s="6"/>
      <c r="J106" s="50"/>
      <c r="K106" s="58"/>
      <c r="L106" s="6">
        <v>30.0</v>
      </c>
      <c r="M106" s="52" t="s">
        <v>655</v>
      </c>
      <c r="N106" s="53" t="s">
        <v>698</v>
      </c>
      <c r="O106" s="6"/>
      <c r="P106" s="6"/>
      <c r="Q106" s="6"/>
      <c r="R106" s="6"/>
    </row>
    <row r="107">
      <c r="A107" s="31" t="str">
        <f>IFERROR(__xludf.DUMMYFUNCTION("""COMPUTED_VALUE"""),"336д (этап 2.1.2)")</f>
        <v>336д (этап 2.1.2)</v>
      </c>
      <c r="B107" s="14"/>
      <c r="C107" s="14" t="str">
        <f>IFERROR(__xludf.DUMMYFUNCTION("""COMPUTED_VALUE"""),"УДС")</f>
        <v>УДС</v>
      </c>
      <c r="D107" s="15"/>
      <c r="E107" s="14" t="str">
        <f>IFERROR(__xludf.DUMMYFUNCTION("""COMPUTED_VALUE"""),"Реконструкция участков общегородской улично-дорожной сети - ул. Ивана Франко и Старо-Рублевского путепровода. 
 Этап 2.1.2 ул.Герасима Курина (ЗАО)")</f>
        <v>Реконструкция участков общегородской улично-дорожной сети - ул. Ивана Франко и Старо-Рублевского путепровода. 
 Этап 2.1.2 ул.Герасима Курина (ЗАО)</v>
      </c>
      <c r="F107" s="25" t="str">
        <f>IFERROR(__xludf.DUMMYFUNCTION("""COMPUTED_VALUE"""),"#N/A")</f>
        <v>#N/A</v>
      </c>
      <c r="G107" s="6" t="str">
        <f>IFERROR(__xludf.DUMMYFUNCTION("""COMPUTED_VALUE"""),"#N/A")</f>
        <v>#N/A</v>
      </c>
      <c r="H107" s="6"/>
      <c r="I107" s="6"/>
      <c r="J107" s="50"/>
      <c r="K107" s="58"/>
      <c r="L107" s="6">
        <v>30.0</v>
      </c>
      <c r="M107" s="52" t="s">
        <v>655</v>
      </c>
      <c r="N107" s="53" t="s">
        <v>698</v>
      </c>
      <c r="O107" s="6"/>
      <c r="P107" s="6"/>
      <c r="Q107" s="6"/>
      <c r="R107" s="6"/>
    </row>
    <row r="108">
      <c r="A108" s="31" t="str">
        <f>IFERROR(__xludf.DUMMYFUNCTION("""COMPUTED_VALUE"""),"301д")</f>
        <v>301д</v>
      </c>
      <c r="B108" s="14" t="str">
        <f>IFERROR(__xludf.DUMMYFUNCTION("""COMPUTED_VALUE"""),"АИП-25")</f>
        <v>АИП-25</v>
      </c>
      <c r="C108" s="14" t="str">
        <f>IFERROR(__xludf.DUMMYFUNCTION("""COMPUTED_VALUE"""),"УДС")</f>
        <v>УДС</v>
      </c>
      <c r="D108" s="60"/>
      <c r="E108" s="14" t="str">
        <f>IFERROR(__xludf.DUMMYFUNCTION("""COMPUTED_VALUE"""),"Строительство снегосплавного пункта по адресу: 2-я ул. Энтузиастов, влд. 5а с реконструкцией существующего трубопровода, строительством дополнительного трубопровода под железной дорогой и организацией подъездной дороги к снегосплавному пункту. 
 Этап 2 г."&amp;" Москва, 2-я ул. Энтузиастов, влд. 5а")</f>
        <v>Строительство снегосплавного пункта по адресу: 2-я ул. Энтузиастов, влд. 5а с реконструкцией существующего трубопровода, строительством дополнительного трубопровода под железной дорогой и организацией подъездной дороги к снегосплавному пункту. 
 Этап 2 г. Москва, 2-я ул. Энтузиастов, влд. 5а</v>
      </c>
      <c r="F108" s="25" t="str">
        <f>IFERROR(__xludf.DUMMYFUNCTION("""COMPUTED_VALUE"""),"#N/A")</f>
        <v>#N/A</v>
      </c>
      <c r="G108" s="6" t="str">
        <f>IFERROR(__xludf.DUMMYFUNCTION("""COMPUTED_VALUE"""),"#N/A")</f>
        <v>#N/A</v>
      </c>
      <c r="H108" s="6"/>
      <c r="I108" s="6"/>
      <c r="J108" s="50">
        <f>IFERROR(__xludf.DUMMYFUNCTION("""COMPUTED_VALUE"""),100.0)</f>
        <v>100</v>
      </c>
      <c r="K108" s="58">
        <f>IFERROR(__xludf.DUMMYFUNCTION("""COMPUTED_VALUE"""),45968.0)</f>
        <v>45968</v>
      </c>
      <c r="L108" s="6" t="s">
        <v>654</v>
      </c>
      <c r="M108" s="52" t="s">
        <v>655</v>
      </c>
      <c r="N108" s="53" t="s">
        <v>656</v>
      </c>
      <c r="O108" s="6" t="s">
        <v>725</v>
      </c>
      <c r="P108" s="6"/>
      <c r="Q108" s="6"/>
      <c r="R108" s="6"/>
    </row>
    <row r="109">
      <c r="A109" s="31" t="str">
        <f>IFERROR(__xludf.DUMMYFUNCTION("""COMPUTED_VALUE"""),"297д")</f>
        <v>297д</v>
      </c>
      <c r="B109" s="14" t="str">
        <f>IFERROR(__xludf.DUMMYFUNCTION("""COMPUTED_VALUE"""),"АИП-25")</f>
        <v>АИП-25</v>
      </c>
      <c r="C109" s="14" t="str">
        <f>IFERROR(__xludf.DUMMYFUNCTION("""COMPUTED_VALUE"""),"УДС")</f>
        <v>УДС</v>
      </c>
      <c r="D109" s="15"/>
      <c r="E109" s="14" t="str">
        <f>IFERROR(__xludf.DUMMYFUNCTION("""COMPUTED_VALUE"""),"Внеуличный пешеходный переход через железнодорожные пути Курского направления Московской железной дороги по адресу Новостроевская ул. д. 8 г.Москва, г.Щербинка Новостроевская улица д.8")</f>
        <v>Внеуличный пешеходный переход через железнодорожные пути Курского направления Московской железной дороги по адресу Новостроевская ул. д. 8 г.Москва, г.Щербинка Новостроевская улица д.8</v>
      </c>
      <c r="F109" s="25" t="str">
        <f>IFERROR(__xludf.DUMMYFUNCTION("""COMPUTED_VALUE"""),"#N/A")</f>
        <v>#N/A</v>
      </c>
      <c r="G109" s="6" t="str">
        <f>IFERROR(__xludf.DUMMYFUNCTION("""COMPUTED_VALUE"""),"#N/A")</f>
        <v>#N/A</v>
      </c>
      <c r="H109" s="6"/>
      <c r="I109" s="6"/>
      <c r="J109" s="50">
        <f>IFERROR(__xludf.DUMMYFUNCTION("""COMPUTED_VALUE"""),99.98875000000001)</f>
        <v>99.98875</v>
      </c>
      <c r="K109" s="58">
        <f>IFERROR(__xludf.DUMMYFUNCTION("""COMPUTED_VALUE"""),45971.0)</f>
        <v>45971</v>
      </c>
      <c r="L109" s="6">
        <v>7.0</v>
      </c>
      <c r="M109" s="52">
        <v>45978.0</v>
      </c>
      <c r="N109" s="53" t="s">
        <v>652</v>
      </c>
      <c r="O109" s="15" t="s">
        <v>726</v>
      </c>
      <c r="P109" s="6"/>
      <c r="Q109" s="6"/>
      <c r="R109" s="6"/>
    </row>
    <row r="110">
      <c r="A110" s="31" t="str">
        <f>IFERROR(__xludf.DUMMYFUNCTION("""COMPUTED_VALUE"""),"1287")</f>
        <v>1287</v>
      </c>
      <c r="B110" s="14" t="str">
        <f>IFERROR(__xludf.DUMMYFUNCTION("""COMPUTED_VALUE"""),"АИП-25")</f>
        <v>АИП-25</v>
      </c>
      <c r="C110" s="14" t="str">
        <f>IFERROR(__xludf.DUMMYFUNCTION("""COMPUTED_VALUE"""),"УДС")</f>
        <v>УДС</v>
      </c>
      <c r="D110" s="60"/>
      <c r="E110" s="14" t="str">
        <f>IFERROR(__xludf.DUMMYFUNCTION("""COMPUTED_VALUE"""),"654-02-02 Городские инженерные коммуникации для комплексной жилой застройки мкр. 2 р-на Солнцево (2 пусковой комплекс) ЗАО г. Москвы, мкр.2 Солнцево")</f>
        <v>654-02-02 Городские инженерные коммуникации для комплексной жилой застройки мкр. 2 р-на Солнцево (2 пусковой комплекс) ЗАО г. Москвы, мкр.2 Солнцево</v>
      </c>
      <c r="F110" s="25" t="str">
        <f>IFERROR(__xludf.DUMMYFUNCTION("""COMPUTED_VALUE"""),"#N/A")</f>
        <v>#N/A</v>
      </c>
      <c r="G110" s="6" t="str">
        <f>IFERROR(__xludf.DUMMYFUNCTION("""COMPUTED_VALUE"""),"#N/A")</f>
        <v>#N/A</v>
      </c>
      <c r="H110" s="18" t="str">
        <f>IFERROR(__xludf.DUMMYFUNCTION("""COMPUTED_VALUE"""),"https://docs.google.com/spreadsheets/d/1MW8OIVEKRJEaLcG-KS0zwZPEQ0eRUWE2y9Gj77rgoxo/edit?gid=406504917#gid=406504917")</f>
        <v>https://docs.google.com/spreadsheets/d/1MW8OIVEKRJEaLcG-KS0zwZPEQ0eRUWE2y9Gj77rgoxo/edit?gid=406504917#gid=406504917</v>
      </c>
      <c r="I110" s="6"/>
      <c r="J110" s="50">
        <f>IFERROR(__xludf.DUMMYFUNCTION("""COMPUTED_VALUE"""),100.0)</f>
        <v>100</v>
      </c>
      <c r="K110" s="58">
        <f>IFERROR(__xludf.DUMMYFUNCTION("""COMPUTED_VALUE"""),45887.0)</f>
        <v>45887</v>
      </c>
      <c r="L110" s="6" t="s">
        <v>654</v>
      </c>
      <c r="M110" s="52" t="s">
        <v>655</v>
      </c>
      <c r="N110" s="53" t="s">
        <v>656</v>
      </c>
      <c r="O110" s="6" t="s">
        <v>727</v>
      </c>
      <c r="P110" s="6"/>
      <c r="Q110" s="6"/>
      <c r="R110" s="6"/>
    </row>
    <row r="111">
      <c r="A111" s="31" t="str">
        <f>IFERROR(__xludf.DUMMYFUNCTION("""COMPUTED_VALUE"""),"202")</f>
        <v>202</v>
      </c>
      <c r="B111" s="14" t="str">
        <f>IFERROR(__xludf.DUMMYFUNCTION("""COMPUTED_VALUE"""),"АИП-25")</f>
        <v>АИП-25</v>
      </c>
      <c r="C111" s="14" t="str">
        <f>IFERROR(__xludf.DUMMYFUNCTION("""COMPUTED_VALUE"""),"ОКС")</f>
        <v>ОКС</v>
      </c>
      <c r="D111" s="60"/>
      <c r="E111" s="14" t="str">
        <f>IFERROR(__xludf.DUMMYFUNCTION("""COMPUTED_VALUE"""),"Строительство учебного корпуса на 300 мест (на месте сноса существующего здания школы), ЦАО, район Пресненский, Б. Тишинский пер., д. 39 район Пресненский, Б. Тишинский пер., д. 39")</f>
        <v>Строительство учебного корпуса на 300 мест (на месте сноса существующего здания школы), ЦАО, район Пресненский, Б. Тишинский пер., д. 39 район Пресненский, Б. Тишинский пер., д. 39</v>
      </c>
      <c r="F111" s="25" t="str">
        <f>IFERROR(__xludf.DUMMYFUNCTION("""COMPUTED_VALUE"""),"55.768527")</f>
        <v>55.768527</v>
      </c>
      <c r="G111" s="6" t="str">
        <f>IFERROR(__xludf.DUMMYFUNCTION("""COMPUTED_VALUE"""),"37.569809")</f>
        <v>37.569809</v>
      </c>
      <c r="H111" s="18" t="str">
        <f>IFERROR(__xludf.DUMMYFUNCTION("""COMPUTED_VALUE"""),"https://docs.google.com/spreadsheets/d/19THEBTE9q0fhN2eApZr6BgenIvLGh0AckaYxHQfHk5w/edit?gid=673886496#gid=673886496")</f>
        <v>https://docs.google.com/spreadsheets/d/19THEBTE9q0fhN2eApZr6BgenIvLGh0AckaYxHQfHk5w/edit?gid=673886496#gid=673886496</v>
      </c>
      <c r="I111" s="21" t="str">
        <f>IFERROR(__xludf.DUMMYFUNCTION("""COMPUTED_VALUE"""),"https://disk.yandex.ru/client/disk/%D0%9E%D1%81%D0%BC%D0%BE%D1%82%D1%80%D1%8B%20%D0%BE%D0%B1%D1%8A%D0%B5%D0%BA%D1%82%D0%BE%D0%B2%20%D0%90%D0%9D%D0%9E%20%D0%A1%D0%9C%D0%93/202.%20%D0%91.%20%D0%A2%D0%B8%D1%88%D0%B8%D0%BD%D1%81%D0%BA%D0%B8%D0%B9%20%D0%BF%D0%"&amp;"B5%D1%80.%20%D0%B4.39%20")</f>
        <v>https://disk.yandex.ru/client/disk/%D0%9E%D1%81%D0%BC%D0%BE%D1%82%D1%80%D1%8B%20%D0%BE%D0%B1%D1%8A%D0%B5%D0%BA%D1%82%D0%BE%D0%B2%20%D0%90%D0%9D%D0%9E%20%D0%A1%D0%9C%D0%93/202.%20%D0%91.%20%D0%A2%D0%B8%D1%88%D0%B8%D0%BD%D1%81%D0%BA%D0%B8%D0%B9%20%D0%BF%D0%B5%D1%80.%20%D0%B4.39%20</v>
      </c>
      <c r="J111" s="50">
        <f>IFERROR(__xludf.DUMMYFUNCTION("""COMPUTED_VALUE"""),99.9525)</f>
        <v>99.9525</v>
      </c>
      <c r="K111" s="58">
        <f>IFERROR(__xludf.DUMMYFUNCTION("""COMPUTED_VALUE"""),45966.0)</f>
        <v>45966</v>
      </c>
      <c r="L111" s="6">
        <v>7.0</v>
      </c>
      <c r="M111" s="52">
        <v>45973.0</v>
      </c>
      <c r="N111" s="53" t="s">
        <v>652</v>
      </c>
      <c r="O111" s="19" t="s">
        <v>728</v>
      </c>
      <c r="P111" s="6"/>
      <c r="Q111" s="6"/>
      <c r="R111" s="6"/>
    </row>
    <row r="112">
      <c r="A112" s="31" t="str">
        <f>IFERROR(__xludf.DUMMYFUNCTION("""COMPUTED_VALUE"""),"182")</f>
        <v>182</v>
      </c>
      <c r="B112" s="14" t="str">
        <f>IFERROR(__xludf.DUMMYFUNCTION("""COMPUTED_VALUE"""),"АИП-25")</f>
        <v>АИП-25</v>
      </c>
      <c r="C112" s="14" t="str">
        <f>IFERROR(__xludf.DUMMYFUNCTION("""COMPUTED_VALUE"""),"ОКС")</f>
        <v>ОКС</v>
      </c>
      <c r="D112" s="15"/>
      <c r="E112" s="14" t="str">
        <f>IFERROR(__xludf.DUMMYFUNCTION("""COMPUTED_VALUE"""),"Учебный корпус на 400 мест на месте сноса существующего здания, 2-я Пугачевская ул., д. 12А район Преображенское, ул. 2-я Пугачевская, д. 12А")</f>
        <v>Учебный корпус на 400 мест на месте сноса существующего здания, 2-я Пугачевская ул., д. 12А район Преображенское, ул. 2-я Пугачевская, д. 12А</v>
      </c>
      <c r="F112" s="25" t="str">
        <f>IFERROR(__xludf.DUMMYFUNCTION("""COMPUTED_VALUE"""),"#N/A")</f>
        <v>#N/A</v>
      </c>
      <c r="G112" s="6" t="str">
        <f>IFERROR(__xludf.DUMMYFUNCTION("""COMPUTED_VALUE"""),"#N/A")</f>
        <v>#N/A</v>
      </c>
      <c r="H112" s="18" t="str">
        <f>IFERROR(__xludf.DUMMYFUNCTION("""COMPUTED_VALUE"""),"https://docs.google.com/spreadsheets/d/19THEBTE9q0fhN2eApZr6BgenIvLGh0AckaYxHQfHk5w/edit?gid=1005264754#gid=1005264754")</f>
        <v>https://docs.google.com/spreadsheets/d/19THEBTE9q0fhN2eApZr6BgenIvLGh0AckaYxHQfHk5w/edit?gid=1005264754#gid=1005264754</v>
      </c>
      <c r="I112" s="19" t="str">
        <f>IFERROR(__xludf.DUMMYFUNCTION("""COMPUTED_VALUE"""),"https://disk.yandex.ru/client/disk/Осмотры%20объектов%20АНО%20СМГ/182.%202-я%20Пугачёвская%2C%20д%2012А")</f>
        <v>https://disk.yandex.ru/client/disk/Осмотры%20объектов%20АНО%20СМГ/182.%202-я%20Пугачёвская%2C%20д%2012А</v>
      </c>
      <c r="J112" s="50">
        <f>IFERROR(__xludf.DUMMYFUNCTION("""COMPUTED_VALUE"""),100.0)</f>
        <v>100</v>
      </c>
      <c r="K112" s="58">
        <f>IFERROR(__xludf.DUMMYFUNCTION("""COMPUTED_VALUE"""),45903.0)</f>
        <v>45903</v>
      </c>
      <c r="L112" s="6" t="s">
        <v>654</v>
      </c>
      <c r="M112" s="52" t="s">
        <v>655</v>
      </c>
      <c r="N112" s="53" t="s">
        <v>656</v>
      </c>
      <c r="O112" s="19" t="s">
        <v>729</v>
      </c>
      <c r="P112" s="6"/>
      <c r="Q112" s="6"/>
      <c r="R112" s="6"/>
    </row>
    <row r="113">
      <c r="A113" s="31" t="str">
        <f>IFERROR(__xludf.DUMMYFUNCTION("""COMPUTED_VALUE"""),"181")</f>
        <v>181</v>
      </c>
      <c r="B113" s="14" t="str">
        <f>IFERROR(__xludf.DUMMYFUNCTION("""COMPUTED_VALUE"""),"АИП-25")</f>
        <v>АИП-25</v>
      </c>
      <c r="C113" s="14" t="str">
        <f>IFERROR(__xludf.DUMMYFUNCTION("""COMPUTED_VALUE"""),"ОКС")</f>
        <v>ОКС</v>
      </c>
      <c r="D113" s="15"/>
      <c r="E113" s="14" t="str">
        <f>IFERROR(__xludf.DUMMYFUNCTION("""COMPUTED_VALUE"""),"Осмотр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f>
        <v>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v>
      </c>
      <c r="F113" s="25" t="str">
        <f>IFERROR(__xludf.DUMMYFUNCTION("""COMPUTED_VALUE"""),"55.759260")</f>
        <v>55.759260</v>
      </c>
      <c r="G113" s="6" t="str">
        <f>IFERROR(__xludf.DUMMYFUNCTION("""COMPUTED_VALUE"""),"37.518414")</f>
        <v>37.518414</v>
      </c>
      <c r="H113" s="18" t="str">
        <f>IFERROR(__xludf.DUMMYFUNCTION("""COMPUTED_VALUE"""),"https://docs.google.com/spreadsheets/d/19THEBTE9q0fhN2eApZr6BgenIvLGh0AckaYxHQfHk5w/edit?gid=2057787589#gid=2057787589")</f>
        <v>https://docs.google.com/spreadsheets/d/19THEBTE9q0fhN2eApZr6BgenIvLGh0AckaYxHQfHk5w/edit?gid=2057787589#gid=2057787589</v>
      </c>
      <c r="I113" s="19" t="str">
        <f>IFERROR(__xludf.DUMMYFUNCTION("""COMPUTED_VALUE"""),"https://disk.yandex.ru/client/disk/Осмотры%20объектов%20АНО%20СМГ/181.Причальный%20проезд%20школа%20на%20400%20мест")</f>
        <v>https://disk.yandex.ru/client/disk/Осмотры%20объектов%20АНО%20СМГ/181.Причальный%20проезд%20школа%20на%20400%20мест</v>
      </c>
      <c r="J113" s="50">
        <f>IFERROR(__xludf.DUMMYFUNCTION("""COMPUTED_VALUE"""),99.97749999999999)</f>
        <v>99.9775</v>
      </c>
      <c r="K113" s="58">
        <f>IFERROR(__xludf.DUMMYFUNCTION("""COMPUTED_VALUE"""),45973.0)</f>
        <v>45973</v>
      </c>
      <c r="L113" s="6">
        <v>7.0</v>
      </c>
      <c r="M113" s="52">
        <v>45980.0</v>
      </c>
      <c r="N113" s="53" t="s">
        <v>652</v>
      </c>
      <c r="O113" s="61" t="s">
        <v>730</v>
      </c>
      <c r="P113" s="6"/>
      <c r="Q113" s="6"/>
      <c r="R113" s="6"/>
    </row>
    <row r="114">
      <c r="A114" s="31" t="str">
        <f>IFERROR(__xludf.DUMMYFUNCTION("""COMPUTED_VALUE"""),"203")</f>
        <v>203</v>
      </c>
      <c r="B114" s="14" t="str">
        <f>IFERROR(__xludf.DUMMYFUNCTION("""COMPUTED_VALUE"""),"АИП-25")</f>
        <v>АИП-25</v>
      </c>
      <c r="C114" s="14" t="str">
        <f>IFERROR(__xludf.DUMMYFUNCTION("""COMPUTED_VALUE"""),"ОКС")</f>
        <v>ОКС</v>
      </c>
      <c r="D114" s="15"/>
      <c r="E114" s="14" t="str">
        <f>IFERROR(__xludf.DUMMYFUNCTION("""COMPUTED_VALUE"""),"Школа на 550 мест, р-н Свиблово, пр-д Русанова, к. 50 (участок 80) район Свиблово, проезд Русанова, корп. 50 (участок 80)")</f>
        <v>Школа на 550 мест, р-н Свиблово, пр-д Русанова, к. 50 (участок 80) район Свиблово, проезд Русанова, корп. 50 (участок 80)</v>
      </c>
      <c r="F114" s="25" t="str">
        <f>IFERROR(__xludf.DUMMYFUNCTION("""COMPUTED_VALUE"""),"55.855742")</f>
        <v>55.855742</v>
      </c>
      <c r="G114" s="6" t="str">
        <f>IFERROR(__xludf.DUMMYFUNCTION("""COMPUTED_VALUE"""),"37.640416")</f>
        <v>37.640416</v>
      </c>
      <c r="H114" s="18" t="str">
        <f>IFERROR(__xludf.DUMMYFUNCTION("""COMPUTED_VALUE"""),"https://docs.google.com/spreadsheets/d/19THEBTE9q0fhN2eApZr6BgenIvLGh0AckaYxHQfHk5w/edit?gid=566495818#gid=566495818")</f>
        <v>https://docs.google.com/spreadsheets/d/19THEBTE9q0fhN2eApZr6BgenIvLGh0AckaYxHQfHk5w/edit?gid=566495818#gid=566495818</v>
      </c>
      <c r="I114" s="19" t="str">
        <f>IFERROR(__xludf.DUMMYFUNCTION("""COMPUTED_VALUE"""),"https://disk.yandex.ru/client/disk/Осмотры%20объектов%20АНО%20СМГ/203.%20Школа%20на%20550%20мест.%20Русанова%20корпус%2050")</f>
        <v>https://disk.yandex.ru/client/disk/Осмотры%20объектов%20АНО%20СМГ/203.%20Школа%20на%20550%20мест.%20Русанова%20корпус%2050</v>
      </c>
      <c r="J114" s="50">
        <f>IFERROR(__xludf.DUMMYFUNCTION("""COMPUTED_VALUE"""),99.965)</f>
        <v>99.965</v>
      </c>
      <c r="K114" s="58">
        <f>IFERROR(__xludf.DUMMYFUNCTION("""COMPUTED_VALUE"""),45966.0)</f>
        <v>45966</v>
      </c>
      <c r="L114" s="6">
        <v>7.0</v>
      </c>
      <c r="M114" s="52">
        <v>45973.0</v>
      </c>
      <c r="N114" s="53" t="s">
        <v>652</v>
      </c>
      <c r="O114" s="19" t="s">
        <v>731</v>
      </c>
      <c r="P114" s="6"/>
      <c r="Q114" s="6"/>
      <c r="R114" s="6"/>
    </row>
    <row r="115">
      <c r="A115" s="31" t="str">
        <f>IFERROR(__xludf.DUMMYFUNCTION("""COMPUTED_VALUE"""),"251")</f>
        <v>251</v>
      </c>
      <c r="B115" s="14" t="str">
        <f>IFERROR(__xludf.DUMMYFUNCTION("""COMPUTED_VALUE"""),"АИП-26")</f>
        <v>АИП-26</v>
      </c>
      <c r="C115" s="14" t="str">
        <f>IFERROR(__xludf.DUMMYFUNCTION("""COMPUTED_VALUE"""),"ОКС")</f>
        <v>ОКС</v>
      </c>
      <c r="D115" s="15"/>
      <c r="E115" s="14" t="str">
        <f>IFERROR(__xludf.DUMMYFUNCTION("""COMPUTED_VALUE"""),"Учебный корпус на 400 мест на месте сноса  неиспользуемого здания ДОУ,  ул. Генерала Глаголева, д. 5, к. 3 район Хорошёво-Мнёвники, ул. Генерала Глаголева, д. 5, к. 3")</f>
        <v>Учебный корпус на 400 мест на месте сноса  неиспользуемого здания ДОУ,  ул. Генерала Глаголева, д. 5, к. 3 район Хорошёво-Мнёвники, ул. Генерала Глаголева, д. 5, к. 3</v>
      </c>
      <c r="F115" s="25" t="str">
        <f>IFERROR(__xludf.DUMMYFUNCTION("""COMPUTED_VALUE"""),"55.779978")</f>
        <v>55.779978</v>
      </c>
      <c r="G115" s="6" t="str">
        <f>IFERROR(__xludf.DUMMYFUNCTION("""COMPUTED_VALUE"""),"37.457480")</f>
        <v>37.457480</v>
      </c>
      <c r="H115" s="18" t="str">
        <f>IFERROR(__xludf.DUMMYFUNCTION("""COMPUTED_VALUE"""),"https://docs.google.com/spreadsheets/d/19THEBTE9q0fhN2eApZr6BgenIvLGh0AckaYxHQfHk5w/edit?gid=1755627096#gid=1755627096")</f>
        <v>https://docs.google.com/spreadsheets/d/19THEBTE9q0fhN2eApZr6BgenIvLGh0AckaYxHQfHk5w/edit?gid=1755627096#gid=1755627096</v>
      </c>
      <c r="I115" s="19" t="str">
        <f>IFERROR(__xludf.DUMMYFUNCTION("""COMPUTED_VALUE"""),"https://disk.yandex.ru/client/disk/Осмотры%20объектов%20АНО%20СМГ/251.%20школа%20400%20мест%20Генерала%20Глаголева")</f>
        <v>https://disk.yandex.ru/client/disk/Осмотры%20объектов%20АНО%20СМГ/251.%20школа%20400%20мест%20Генерала%20Глаголева</v>
      </c>
      <c r="J115" s="50">
        <f>IFERROR(__xludf.DUMMYFUNCTION("""COMPUTED_VALUE"""),70.3643)</f>
        <v>70.3643</v>
      </c>
      <c r="K115" s="58">
        <f>IFERROR(__xludf.DUMMYFUNCTION("""COMPUTED_VALUE"""),45972.0)</f>
        <v>45972</v>
      </c>
      <c r="L115" s="6">
        <v>14.0</v>
      </c>
      <c r="M115" s="52">
        <v>45986.0</v>
      </c>
      <c r="N115" s="53" t="s">
        <v>711</v>
      </c>
      <c r="O115" s="19" t="s">
        <v>732</v>
      </c>
      <c r="P115" s="6"/>
      <c r="Q115" s="6"/>
      <c r="R115" s="6"/>
    </row>
    <row r="116">
      <c r="A116" s="31" t="str">
        <f>IFERROR(__xludf.DUMMYFUNCTION("""COMPUTED_VALUE"""),"257")</f>
        <v>257</v>
      </c>
      <c r="B116" s="14" t="str">
        <f>IFERROR(__xludf.DUMMYFUNCTION("""COMPUTED_VALUE"""),"АИП-25")</f>
        <v>АИП-25</v>
      </c>
      <c r="C116" s="14" t="str">
        <f>IFERROR(__xludf.DUMMYFUNCTION("""COMPUTED_VALUE"""),"ОКС+УДС")</f>
        <v>ОКС+УДС</v>
      </c>
      <c r="D116" s="15"/>
      <c r="E116" s="14" t="str">
        <f>IFERROR(__xludf.DUMMYFUNCTION("""COMPUTED_VALUE"""),"Участок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f>
        <v>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v>
      </c>
      <c r="F116" s="25" t="str">
        <f>IFERROR(__xludf.DUMMYFUNCTION("""COMPUTED_VALUE"""),"55.730687")</f>
        <v>55.730687</v>
      </c>
      <c r="G116" s="6" t="str">
        <f>IFERROR(__xludf.DUMMYFUNCTION("""COMPUTED_VALUE"""),"37.857446")</f>
        <v>37.857446</v>
      </c>
      <c r="H116" s="18" t="str">
        <f>IFERROR(__xludf.DUMMYFUNCTION("""COMPUTED_VALUE"""),"https://docs.google.com/spreadsheets/d/19THEBTE9q0fhN2eApZr6BgenIvLGh0AckaYxHQfHk5w/edit?gid=1460101979#gid=1460101979")</f>
        <v>https://docs.google.com/spreadsheets/d/19THEBTE9q0fhN2eApZr6BgenIvLGh0AckaYxHQfHk5w/edit?gid=1460101979#gid=1460101979</v>
      </c>
      <c r="I116" s="19" t="str">
        <f>IFERROR(__xludf.DUMMYFUNCTION("""COMPUTED_VALUE"""),"https://disk.yandex.ru/client/disk/Осмотры%20объектов%20АНО%20СМГ/257.%20Проезд%20№%20894%20для%20жилых%20зданий%2C%20ул.%20Николая%20Старостина%2C%20напротив%20вл.%208")</f>
        <v>https://disk.yandex.ru/client/disk/Осмотры%20объектов%20АНО%20СМГ/257.%20Проезд%20№%20894%20для%20жилых%20зданий%2C%20ул.%20Николая%20Старостина%2C%20напротив%20вл.%208</v>
      </c>
      <c r="J116" s="50">
        <f>IFERROR(__xludf.DUMMYFUNCTION("""COMPUTED_VALUE"""),100.0)</f>
        <v>100</v>
      </c>
      <c r="K116" s="58">
        <f>IFERROR(__xludf.DUMMYFUNCTION("""COMPUTED_VALUE"""),45974.0)</f>
        <v>45974</v>
      </c>
      <c r="L116" s="6" t="s">
        <v>654</v>
      </c>
      <c r="M116" s="52" t="s">
        <v>655</v>
      </c>
      <c r="N116" s="53" t="s">
        <v>656</v>
      </c>
      <c r="O116" s="19" t="s">
        <v>733</v>
      </c>
      <c r="P116" s="6"/>
      <c r="Q116" s="6"/>
      <c r="R116" s="6"/>
    </row>
    <row r="117">
      <c r="A117" s="31" t="str">
        <f>IFERROR(__xludf.DUMMYFUNCTION("""COMPUTED_VALUE"""),"046")</f>
        <v>046</v>
      </c>
      <c r="B117" s="14" t="str">
        <f>IFERROR(__xludf.DUMMYFUNCTION("""COMPUTED_VALUE"""),"ВНЕ СПИСКА")</f>
        <v>ВНЕ СПИСКА</v>
      </c>
      <c r="C117" s="14" t="str">
        <f>IFERROR(__xludf.DUMMYFUNCTION("""COMPUTED_VALUE"""),"ОКС")</f>
        <v>ОКС</v>
      </c>
      <c r="D117" s="15" t="str">
        <f>IFERROR(__xludf.DUMMYFUNCTION("""COMPUTED_VALUE"""),"да")</f>
        <v>да</v>
      </c>
      <c r="E117" s="14" t="str">
        <f>IFERROR(__xludf.DUMMYFUNCTION("""COMPUTED_VALUE"""),"Образовательный комплекс (СОШ 1275, ДОУ 350)
НАО, поселение Сосенское, 
п. Коммунарка кв. 26, з/у 3/3 поселение Сосенское, п. Коммунарка, квартал 26, з/у. 3/3, Лобановский Лес, д.2")</f>
        <v>Образовательный комплекс (СОШ 1275, ДОУ 350)
НАО, поселение Сосенское, 
п. Коммунарка кв. 26, з/у 3/3 поселение Сосенское, п. Коммунарка, квартал 26, з/у. 3/3, Лобановский Лес, д.2</v>
      </c>
      <c r="F117" s="25" t="str">
        <f>IFERROR(__xludf.DUMMYFUNCTION("""COMPUTED_VALUE"""),"#N/A")</f>
        <v>#N/A</v>
      </c>
      <c r="G117" s="6" t="str">
        <f>IFERROR(__xludf.DUMMYFUNCTION("""COMPUTED_VALUE"""),"#N/A")</f>
        <v>#N/A</v>
      </c>
      <c r="H117" s="18" t="str">
        <f>IFERROR(__xludf.DUMMYFUNCTION("""COMPUTED_VALUE"""),"https://docs.google.com/spreadsheets/d/1EI7qusa674eJhuaw-nWWtWMEHVSYMQv7HLsInEZTWpE/edit?gid=1724951288#gid=1724951288")</f>
        <v>https://docs.google.com/spreadsheets/d/1EI7qusa674eJhuaw-nWWtWMEHVSYMQv7HLsInEZTWpE/edit?gid=1724951288#gid=1724951288</v>
      </c>
      <c r="I117" s="19" t="str">
        <f>IFERROR(__xludf.DUMMYFUNCTION("""COMPUTED_VALUE"""),"https://disk.yandex.ru/client/disk/Осмотры%20объектов%20АНО%20СМГ/046.%20СОШ%201275%2C%20ДОУ%20350%20п.Коммунарка%20кв.26%2C%20зу%203")</f>
        <v>https://disk.yandex.ru/client/disk/Осмотры%20объектов%20АНО%20СМГ/046.%20СОШ%201275%2C%20ДОУ%20350%20п.Коммунарка%20кв.26%2C%20зу%203</v>
      </c>
      <c r="J117" s="50">
        <f>IFERROR(__xludf.DUMMYFUNCTION("""COMPUTED_VALUE"""),100.0)</f>
        <v>100</v>
      </c>
      <c r="K117" s="58">
        <f>IFERROR(__xludf.DUMMYFUNCTION("""COMPUTED_VALUE"""),45901.0)</f>
        <v>45901</v>
      </c>
      <c r="L117" s="6" t="s">
        <v>654</v>
      </c>
      <c r="M117" s="52" t="s">
        <v>655</v>
      </c>
      <c r="N117" s="53" t="s">
        <v>656</v>
      </c>
      <c r="O117" s="19" t="s">
        <v>734</v>
      </c>
      <c r="P117" s="6"/>
      <c r="Q117" s="6"/>
      <c r="R117" s="6"/>
    </row>
    <row r="118">
      <c r="A118" s="31" t="str">
        <f>IFERROR(__xludf.DUMMYFUNCTION("""COMPUTED_VALUE"""),"177")</f>
        <v>177</v>
      </c>
      <c r="B118" s="14" t="str">
        <f>IFERROR(__xludf.DUMMYFUNCTION("""COMPUTED_VALUE"""),"АИП-25")</f>
        <v>АИП-25</v>
      </c>
      <c r="C118" s="14" t="str">
        <f>IFERROR(__xludf.DUMMYFUNCTION("""COMPUTED_VALUE"""),"ОКС")</f>
        <v>ОКС</v>
      </c>
      <c r="D118" s="15"/>
      <c r="E118" s="14" t="str">
        <f>IFERROR(__xludf.DUMMYFUNCTION("""COMPUTED_VALUE"""),"Административное здание,
 ул. 9-я Северная линия, д. 25, корп. 2 район Северный, ул. 9-я Северная линия, дом 1/5; дом 1/5, строение 1")</f>
        <v>Административное здание,
 ул. 9-я Северная линия, д. 25, корп. 2 район Северный, ул. 9-я Северная линия, дом 1/5; дом 1/5, строение 1</v>
      </c>
      <c r="F118" s="25" t="str">
        <f>IFERROR(__xludf.DUMMYFUNCTION("""COMPUTED_VALUE"""),"55.934353")</f>
        <v>55.934353</v>
      </c>
      <c r="G118" s="6" t="str">
        <f>IFERROR(__xludf.DUMMYFUNCTION("""COMPUTED_VALUE"""),"37.556572")</f>
        <v>37.556572</v>
      </c>
      <c r="H118" s="18" t="str">
        <f>IFERROR(__xludf.DUMMYFUNCTION("""COMPUTED_VALUE"""),"https://docs.google.com/spreadsheets/d/19THEBTE9q0fhN2eApZr6BgenIvLGh0AckaYxHQfHk5w/edit?gid=1645222765#gid=1645222765")</f>
        <v>https://docs.google.com/spreadsheets/d/19THEBTE9q0fhN2eApZr6BgenIvLGh0AckaYxHQfHk5w/edit?gid=1645222765#gid=1645222765</v>
      </c>
      <c r="I118" s="19" t="str">
        <f>IFERROR(__xludf.DUMMYFUNCTION("""COMPUTED_VALUE"""),"https://disk.yandex.ru/client/disk/Осмотры%20объектов%20АНО%20СМГ/177.%209-я%20Северная%20линия%20д25%20корп2%20Административное%20здание")</f>
        <v>https://disk.yandex.ru/client/disk/Осмотры%20объектов%20АНО%20СМГ/177.%209-я%20Северная%20линия%20д25%20корп2%20Административное%20здание</v>
      </c>
      <c r="J118" s="50">
        <f>IFERROR(__xludf.DUMMYFUNCTION("""COMPUTED_VALUE"""),100.0)</f>
        <v>100</v>
      </c>
      <c r="K118" s="58">
        <f>IFERROR(__xludf.DUMMYFUNCTION("""COMPUTED_VALUE"""),45971.0)</f>
        <v>45971</v>
      </c>
      <c r="L118" s="6" t="s">
        <v>654</v>
      </c>
      <c r="M118" s="52" t="s">
        <v>655</v>
      </c>
      <c r="N118" s="53" t="s">
        <v>656</v>
      </c>
      <c r="O118" s="19" t="s">
        <v>735</v>
      </c>
      <c r="P118" s="6"/>
      <c r="Q118" s="6"/>
      <c r="R118" s="6"/>
    </row>
    <row r="119">
      <c r="A119" s="31" t="str">
        <f>IFERROR(__xludf.DUMMYFUNCTION("""COMPUTED_VALUE"""),"180")</f>
        <v>180</v>
      </c>
      <c r="B119" s="14" t="str">
        <f>IFERROR(__xludf.DUMMYFUNCTION("""COMPUTED_VALUE"""),"АИП-25")</f>
        <v>АИП-25</v>
      </c>
      <c r="C119" s="14" t="str">
        <f>IFERROR(__xludf.DUMMYFUNCTION("""COMPUTED_VALUE"""),"ОКС")</f>
        <v>ОКС</v>
      </c>
      <c r="D119" s="15"/>
      <c r="E119" s="14" t="str">
        <f>IFERROR(__xludf.DUMMYFUNCTION("""COMPUTED_VALUE"""),"Административное здание, мкр. Щербинка,  общественная зона вдоль Варшавского шоссе (участок 2) мкр. Щербинка, общественная зона вдоль Варшавского шоссе 
(участок 2), р-н Южное Бутово, ул. Захарьинские Дворики, д. 2, д. 2 стр.1")</f>
        <v>Административное здание, мкр. Щербинка,  общественная зона вдоль Варшавского шоссе (участок 2) мкр. Щербинка, общественная зона вдоль Варшавского шоссе 
(участок 2), р-н Южное Бутово, ул. Захарьинские Дворики, д. 2, д. 2 стр.1</v>
      </c>
      <c r="F119" s="25" t="str">
        <f>IFERROR(__xludf.DUMMYFUNCTION("""COMPUTED_VALUE"""),"55.505055")</f>
        <v>55.505055</v>
      </c>
      <c r="G119" s="6" t="str">
        <f>IFERROR(__xludf.DUMMYFUNCTION("""COMPUTED_VALUE"""),"37.574403")</f>
        <v>37.574403</v>
      </c>
      <c r="H119" s="18" t="str">
        <f>IFERROR(__xludf.DUMMYFUNCTION("""COMPUTED_VALUE"""),"https://docs.google.com/spreadsheets/d/19THEBTE9q0fhN2eApZr6BgenIvLGh0AckaYxHQfHk5w/edit?gid=649028784#gid=649028784")</f>
        <v>https://docs.google.com/spreadsheets/d/19THEBTE9q0fhN2eApZr6BgenIvLGh0AckaYxHQfHk5w/edit?gid=649028784#gid=649028784</v>
      </c>
      <c r="I119" s="19" t="str">
        <f>IFERROR(__xludf.DUMMYFUNCTION("""COMPUTED_VALUE"""),"https://disk.yandex.ru/client/disk/Осмотры%20объектов%20АНО%20СМГ/180.%20Щербинка.%20Административное%20здание.")</f>
        <v>https://disk.yandex.ru/client/disk/Осмотры%20объектов%20АНО%20СМГ/180.%20Щербинка.%20Административное%20здание.</v>
      </c>
      <c r="J119" s="50">
        <f>IFERROR(__xludf.DUMMYFUNCTION("""COMPUTED_VALUE"""),99.647165)</f>
        <v>99.647165</v>
      </c>
      <c r="K119" s="58">
        <f>IFERROR(__xludf.DUMMYFUNCTION("""COMPUTED_VALUE"""),45957.0)</f>
        <v>45957</v>
      </c>
      <c r="L119" s="6">
        <v>7.0</v>
      </c>
      <c r="M119" s="52">
        <v>45964.0</v>
      </c>
      <c r="N119" s="53" t="s">
        <v>652</v>
      </c>
      <c r="O119" s="19" t="s">
        <v>736</v>
      </c>
      <c r="P119" s="6"/>
      <c r="Q119" s="6"/>
      <c r="R119" s="6"/>
    </row>
    <row r="120">
      <c r="A120" s="31" t="str">
        <f>IFERROR(__xludf.DUMMYFUNCTION("""COMPUTED_VALUE"""),"247")</f>
        <v>247</v>
      </c>
      <c r="B120" s="14" t="str">
        <f>IFERROR(__xludf.DUMMYFUNCTION("""COMPUTED_VALUE"""),"АИП-25")</f>
        <v>АИП-25</v>
      </c>
      <c r="C120" s="14" t="str">
        <f>IFERROR(__xludf.DUMMYFUNCTION("""COMPUTED_VALUE"""),"ОКС")</f>
        <v>ОКС</v>
      </c>
      <c r="D120" s="15"/>
      <c r="E120" s="14" t="str">
        <f>IFERROR(__xludf.DUMMYFUNCTION("""COMPUTED_VALUE"""),"ЖК «Воскресенское», жилой дом, пос. Воскресенское, корп. 4 пос. Воскресенское, д.41, корп. 4")</f>
        <v>ЖК «Воскресенское», жилой дом, пос. Воскресенское, корп. 4 пос. Воскресенское, д.41, корп. 4</v>
      </c>
      <c r="F120" s="25" t="str">
        <f>IFERROR(__xludf.DUMMYFUNCTION("""COMPUTED_VALUE"""),"#N/A")</f>
        <v>#N/A</v>
      </c>
      <c r="G120" s="6" t="str">
        <f>IFERROR(__xludf.DUMMYFUNCTION("""COMPUTED_VALUE"""),"#N/A")</f>
        <v>#N/A</v>
      </c>
      <c r="H120" s="18" t="str">
        <f>IFERROR(__xludf.DUMMYFUNCTION("""COMPUTED_VALUE"""),"https://docs.google.com/spreadsheets/d/19THEBTE9q0fhN2eApZr6BgenIvLGh0AckaYxHQfHk5w/edit?gid=1519561806#gid=1519561806")</f>
        <v>https://docs.google.com/spreadsheets/d/19THEBTE9q0fhN2eApZr6BgenIvLGh0AckaYxHQfHk5w/edit?gid=1519561806#gid=1519561806</v>
      </c>
      <c r="I120" s="19" t="str">
        <f>IFERROR(__xludf.DUMMYFUNCTION("""COMPUTED_VALUE"""),"https://disk.yandex.ru/client/disk/Осмотры%20объектов%20АНО%20СМГ/247.%20Жк%20Воскресенское%20к%204")</f>
        <v>https://disk.yandex.ru/client/disk/Осмотры%20объектов%20АНО%20СМГ/247.%20Жк%20Воскресенское%20к%204</v>
      </c>
      <c r="J120" s="50">
        <f>IFERROR(__xludf.DUMMYFUNCTION("""COMPUTED_VALUE"""),100.0)</f>
        <v>100</v>
      </c>
      <c r="K120" s="58">
        <f>IFERROR(__xludf.DUMMYFUNCTION("""COMPUTED_VALUE"""),45860.0)</f>
        <v>45860</v>
      </c>
      <c r="L120" s="6" t="s">
        <v>654</v>
      </c>
      <c r="M120" s="52" t="s">
        <v>655</v>
      </c>
      <c r="N120" s="53" t="s">
        <v>656</v>
      </c>
      <c r="O120" s="19" t="s">
        <v>737</v>
      </c>
      <c r="P120" s="6"/>
      <c r="Q120" s="6"/>
      <c r="R120" s="6"/>
    </row>
    <row r="121">
      <c r="A121" s="31" t="str">
        <f>IFERROR(__xludf.DUMMYFUNCTION("""COMPUTED_VALUE"""),"246")</f>
        <v>246</v>
      </c>
      <c r="B121" s="14" t="str">
        <f>IFERROR(__xludf.DUMMYFUNCTION("""COMPUTED_VALUE"""),"АИП-25")</f>
        <v>АИП-25</v>
      </c>
      <c r="C121" s="14" t="str">
        <f>IFERROR(__xludf.DUMMYFUNCTION("""COMPUTED_VALUE"""),"ОКС")</f>
        <v>ОКС</v>
      </c>
      <c r="D121" s="60"/>
      <c r="E121" s="14" t="str">
        <f>IFERROR(__xludf.DUMMYFUNCTION("""COMPUTED_VALUE"""),"ЖК «Воскресенское», жилой дом, пос. Воскресенское, корп. 3 пос. Воскресенское, д.41, корп. 3")</f>
        <v>ЖК «Воскресенское», жилой дом, пос. Воскресенское, корп. 3 пос. Воскресенское, д.41, корп. 3</v>
      </c>
      <c r="F121" s="25" t="str">
        <f>IFERROR(__xludf.DUMMYFUNCTION("""COMPUTED_VALUE"""),"#N/A")</f>
        <v>#N/A</v>
      </c>
      <c r="G121" s="6" t="str">
        <f>IFERROR(__xludf.DUMMYFUNCTION("""COMPUTED_VALUE"""),"#N/A")</f>
        <v>#N/A</v>
      </c>
      <c r="H121" s="18" t="str">
        <f>IFERROR(__xludf.DUMMYFUNCTION("""COMPUTED_VALUE"""),"https://docs.google.com/spreadsheets/d/19THEBTE9q0fhN2eApZr6BgenIvLGh0AckaYxHQfHk5w/edit?gid=1434066436#gid=1434066436")</f>
        <v>https://docs.google.com/spreadsheets/d/19THEBTE9q0fhN2eApZr6BgenIvLGh0AckaYxHQfHk5w/edit?gid=1434066436#gid=1434066436</v>
      </c>
      <c r="I121" s="19" t="str">
        <f>IFERROR(__xludf.DUMMYFUNCTION("""COMPUTED_VALUE"""),"https://disk.yandex.ru/client/disk/Осмотры%20объектов%20АНО%20СМГ/246.%20Жк%20Воскресенское%20к%203")</f>
        <v>https://disk.yandex.ru/client/disk/Осмотры%20объектов%20АНО%20СМГ/246.%20Жк%20Воскресенское%20к%203</v>
      </c>
      <c r="J121" s="50">
        <f>IFERROR(__xludf.DUMMYFUNCTION("""COMPUTED_VALUE"""),100.0)</f>
        <v>100</v>
      </c>
      <c r="K121" s="58">
        <f>IFERROR(__xludf.DUMMYFUNCTION("""COMPUTED_VALUE"""),45860.0)</f>
        <v>45860</v>
      </c>
      <c r="L121" s="6" t="s">
        <v>654</v>
      </c>
      <c r="M121" s="52" t="s">
        <v>655</v>
      </c>
      <c r="N121" s="53" t="s">
        <v>656</v>
      </c>
      <c r="O121" s="19" t="s">
        <v>738</v>
      </c>
      <c r="P121" s="6"/>
      <c r="Q121" s="6"/>
      <c r="R121" s="6"/>
    </row>
    <row r="122">
      <c r="A122" s="31" t="str">
        <f>IFERROR(__xludf.DUMMYFUNCTION("""COMPUTED_VALUE"""),"245")</f>
        <v>245</v>
      </c>
      <c r="B122" s="14" t="str">
        <f>IFERROR(__xludf.DUMMYFUNCTION("""COMPUTED_VALUE"""),"АИП-25")</f>
        <v>АИП-25</v>
      </c>
      <c r="C122" s="14" t="str">
        <f>IFERROR(__xludf.DUMMYFUNCTION("""COMPUTED_VALUE"""),"ОКС")</f>
        <v>ОКС</v>
      </c>
      <c r="D122" s="15"/>
      <c r="E122" s="14" t="str">
        <f>IFERROR(__xludf.DUMMYFUNCTION("""COMPUTED_VALUE"""),"ЖК «Воскресенское», жилой дом, пос. Воскресенское, корп. 2 пос. Воскресенское, д.41, корп. 2")</f>
        <v>ЖК «Воскресенское», жилой дом, пос. Воскресенское, корп. 2 пос. Воскресенское, д.41, корп. 2</v>
      </c>
      <c r="F122" s="25" t="str">
        <f>IFERROR(__xludf.DUMMYFUNCTION("""COMPUTED_VALUE"""),"#N/A")</f>
        <v>#N/A</v>
      </c>
      <c r="G122" s="6" t="str">
        <f>IFERROR(__xludf.DUMMYFUNCTION("""COMPUTED_VALUE"""),"#N/A")</f>
        <v>#N/A</v>
      </c>
      <c r="H122" s="18" t="str">
        <f>IFERROR(__xludf.DUMMYFUNCTION("""COMPUTED_VALUE"""),"https://docs.google.com/spreadsheets/d/19THEBTE9q0fhN2eApZr6BgenIvLGh0AckaYxHQfHk5w/edit?gid=944368290#gid=944368290")</f>
        <v>https://docs.google.com/spreadsheets/d/19THEBTE9q0fhN2eApZr6BgenIvLGh0AckaYxHQfHk5w/edit?gid=944368290#gid=944368290</v>
      </c>
      <c r="I122" s="19" t="str">
        <f>IFERROR(__xludf.DUMMYFUNCTION("""COMPUTED_VALUE"""),"https://disk.yandex.ru/client/disk/Осмотры%20объектов%20АНО%20СМГ/245.%20Жк%20Воскресенское%20к%202")</f>
        <v>https://disk.yandex.ru/client/disk/Осмотры%20объектов%20АНО%20СМГ/245.%20Жк%20Воскресенское%20к%202</v>
      </c>
      <c r="J122" s="50">
        <f>IFERROR(__xludf.DUMMYFUNCTION("""COMPUTED_VALUE"""),100.0)</f>
        <v>100</v>
      </c>
      <c r="K122" s="58">
        <f>IFERROR(__xludf.DUMMYFUNCTION("""COMPUTED_VALUE"""),45860.0)</f>
        <v>45860</v>
      </c>
      <c r="L122" s="6" t="s">
        <v>654</v>
      </c>
      <c r="M122" s="52" t="s">
        <v>655</v>
      </c>
      <c r="N122" s="53" t="s">
        <v>656</v>
      </c>
      <c r="O122" s="19" t="s">
        <v>739</v>
      </c>
      <c r="P122" s="6"/>
      <c r="Q122" s="6"/>
      <c r="R122" s="6"/>
    </row>
    <row r="123">
      <c r="A123" s="31" t="str">
        <f>IFERROR(__xludf.DUMMYFUNCTION("""COMPUTED_VALUE"""),"244")</f>
        <v>244</v>
      </c>
      <c r="B123" s="14" t="str">
        <f>IFERROR(__xludf.DUMMYFUNCTION("""COMPUTED_VALUE"""),"АИП-25")</f>
        <v>АИП-25</v>
      </c>
      <c r="C123" s="14" t="str">
        <f>IFERROR(__xludf.DUMMYFUNCTION("""COMPUTED_VALUE"""),"ОКС")</f>
        <v>ОКС</v>
      </c>
      <c r="D123" s="15"/>
      <c r="E123" s="14" t="str">
        <f>IFERROR(__xludf.DUMMYFUNCTION("""COMPUTED_VALUE"""),"ЖК «Воскресенское», жилой дом, пос. Воскресенское, корп. 1 пос. Воскресенское, д.41, корп. 1")</f>
        <v>ЖК «Воскресенское», жилой дом, пос. Воскресенское, корп. 1 пос. Воскресенское, д.41, корп. 1</v>
      </c>
      <c r="F123" s="25" t="str">
        <f>IFERROR(__xludf.DUMMYFUNCTION("""COMPUTED_VALUE"""),"#N/A")</f>
        <v>#N/A</v>
      </c>
      <c r="G123" s="6" t="str">
        <f>IFERROR(__xludf.DUMMYFUNCTION("""COMPUTED_VALUE"""),"#N/A")</f>
        <v>#N/A</v>
      </c>
      <c r="H123" s="18" t="str">
        <f>IFERROR(__xludf.DUMMYFUNCTION("""COMPUTED_VALUE"""),"https://docs.google.com/spreadsheets/d/19THEBTE9q0fhN2eApZr6BgenIvLGh0AckaYxHQfHk5w/edit?gid=1462059153#gid=1462059153")</f>
        <v>https://docs.google.com/spreadsheets/d/19THEBTE9q0fhN2eApZr6BgenIvLGh0AckaYxHQfHk5w/edit?gid=1462059153#gid=1462059153</v>
      </c>
      <c r="I123" s="19" t="str">
        <f>IFERROR(__xludf.DUMMYFUNCTION("""COMPUTED_VALUE"""),"https://disk.yandex.ru/client/disk/Осмотры%20объектов%20АНО%20СМГ/244.%20Жк%20Воскресенское%20к%201")</f>
        <v>https://disk.yandex.ru/client/disk/Осмотры%20объектов%20АНО%20СМГ/244.%20Жк%20Воскресенское%20к%201</v>
      </c>
      <c r="J123" s="50">
        <f>IFERROR(__xludf.DUMMYFUNCTION("""COMPUTED_VALUE"""),99.2875)</f>
        <v>99.2875</v>
      </c>
      <c r="K123" s="58">
        <f>IFERROR(__xludf.DUMMYFUNCTION("""COMPUTED_VALUE"""),45860.0)</f>
        <v>45860</v>
      </c>
      <c r="L123" s="6">
        <v>7.0</v>
      </c>
      <c r="M123" s="52">
        <v>45867.0</v>
      </c>
      <c r="N123" s="53" t="s">
        <v>652</v>
      </c>
      <c r="O123" s="61" t="s">
        <v>740</v>
      </c>
      <c r="P123" s="6"/>
      <c r="Q123" s="6"/>
      <c r="R123" s="6"/>
    </row>
    <row r="124">
      <c r="A124" s="31" t="str">
        <f>IFERROR(__xludf.DUMMYFUNCTION("""COMPUTED_VALUE"""),"256")</f>
        <v>256</v>
      </c>
      <c r="B124" s="14" t="str">
        <f>IFERROR(__xludf.DUMMYFUNCTION("""COMPUTED_VALUE"""),"АИП-25")</f>
        <v>АИП-25</v>
      </c>
      <c r="C124" s="14" t="str">
        <f>IFERROR(__xludf.DUMMYFUNCTION("""COMPUTED_VALUE"""),"ОКС")</f>
        <v>ОКС</v>
      </c>
      <c r="D124" s="15"/>
      <c r="E124" s="14" t="str">
        <f>IFERROR(__xludf.DUMMYFUNCTION("""COMPUTED_VALUE"""),"Культурно-спортивный центр «Печатники»,  ул. Полбина, вл. 37  район Печатники, ул. Полбина, вл. 37")</f>
        <v>Культурно-спортивный центр «Печатники»,  ул. Полбина, вл. 37  район Печатники, ул. Полбина, вл. 37</v>
      </c>
      <c r="F124" s="25" t="str">
        <f>IFERROR(__xludf.DUMMYFUNCTION("""COMPUTED_VALUE"""),"55.671265")</f>
        <v>55.671265</v>
      </c>
      <c r="G124" s="6" t="str">
        <f>IFERROR(__xludf.DUMMYFUNCTION("""COMPUTED_VALUE"""),"37.724625")</f>
        <v>37.724625</v>
      </c>
      <c r="H124" s="18" t="str">
        <f>IFERROR(__xludf.DUMMYFUNCTION("""COMPUTED_VALUE"""),"https://docs.google.com/spreadsheets/d/19THEBTE9q0fhN2eApZr6BgenIvLGh0AckaYxHQfHk5w/edit?gid=1851450243#gid=1851450243")</f>
        <v>https://docs.google.com/spreadsheets/d/19THEBTE9q0fhN2eApZr6BgenIvLGh0AckaYxHQfHk5w/edit?gid=1851450243#gid=1851450243</v>
      </c>
      <c r="I124" s="19" t="str">
        <f>IFERROR(__xludf.DUMMYFUNCTION("""COMPUTED_VALUE"""),"https://disk.yandex.ru/client/disk/Осмотры%20объектов%20АНО%20СМГ/256.%20Культурно-спортивный%20центр%20%22Печатники%22%2C%20ул.%20Полбина%2C%20вл.%2037")</f>
        <v>https://disk.yandex.ru/client/disk/Осмотры%20объектов%20АНО%20СМГ/256.%20Культурно-спортивный%20центр%20%22Печатники%22%2C%20ул.%20Полбина%2C%20вл.%2037</v>
      </c>
      <c r="J124" s="50">
        <f>IFERROR(__xludf.DUMMYFUNCTION("""COMPUTED_VALUE"""),82.00247499999999)</f>
        <v>82.002475</v>
      </c>
      <c r="K124" s="58">
        <f>IFERROR(__xludf.DUMMYFUNCTION("""COMPUTED_VALUE"""),45967.0)</f>
        <v>45967</v>
      </c>
      <c r="L124" s="6">
        <v>14.0</v>
      </c>
      <c r="M124" s="52">
        <v>45981.0</v>
      </c>
      <c r="N124" s="53" t="s">
        <v>741</v>
      </c>
      <c r="O124" s="19" t="s">
        <v>742</v>
      </c>
      <c r="P124" s="6"/>
      <c r="Q124" s="6"/>
      <c r="R124" s="6"/>
    </row>
    <row r="125">
      <c r="A125" s="31" t="str">
        <f>IFERROR(__xludf.DUMMYFUNCTION("""COMPUTED_VALUE"""),"115")</f>
        <v>115</v>
      </c>
      <c r="B125" s="14" t="str">
        <f>IFERROR(__xludf.DUMMYFUNCTION("""COMPUTED_VALUE"""),"АИП-25")</f>
        <v>АИП-25</v>
      </c>
      <c r="C125" s="14" t="str">
        <f>IFERROR(__xludf.DUMMYFUNCTION("""COMPUTED_VALUE"""),"ОКС")</f>
        <v>ОКС</v>
      </c>
      <c r="D125" s="60"/>
      <c r="E125" s="14" t="str">
        <f>IFERROR(__xludf.DUMMYFUNCTION("""COMPUTED_VALUE"""),"Жилой комплекс «Академ Палас», проспект Вернадского, вл. 78 район Тропарево-Никулино, проспект Вернадского, вл. 78")</f>
        <v>Жилой комплекс «Академ Палас», проспект Вернадского, вл. 78 район Тропарево-Никулино, проспект Вернадского, вл. 78</v>
      </c>
      <c r="F125" s="25" t="str">
        <f>IFERROR(__xludf.DUMMYFUNCTION("""COMPUTED_VALUE"""),"55.667261")</f>
        <v>55.667261</v>
      </c>
      <c r="G125" s="6" t="str">
        <f>IFERROR(__xludf.DUMMYFUNCTION("""COMPUTED_VALUE"""),"37.482381")</f>
        <v>37.482381</v>
      </c>
      <c r="H125" s="18" t="str">
        <f>IFERROR(__xludf.DUMMYFUNCTION("""COMPUTED_VALUE"""),"https://docs.google.com/spreadsheets/d/19THEBTE9q0fhN2eApZr6BgenIvLGh0AckaYxHQfHk5w/edit?gid=809581458#gid=809581458")</f>
        <v>https://docs.google.com/spreadsheets/d/19THEBTE9q0fhN2eApZr6BgenIvLGh0AckaYxHQfHk5w/edit?gid=809581458#gid=809581458</v>
      </c>
      <c r="I125" s="19" t="str">
        <f>IFERROR(__xludf.DUMMYFUNCTION("""COMPUTED_VALUE"""),"https://disk.yandex.ru/client/disk/Осмотры%20объектов%20АНО%20СМГ/115.%20Жилой%20комплекс%20«Академ%20Палас»%20проспект%20Вернадского%2C%20вл.78")</f>
        <v>https://disk.yandex.ru/client/disk/Осмотры%20объектов%20АНО%20СМГ/115.%20Жилой%20комплекс%20«Академ%20Палас»%20проспект%20Вернадского%2C%20вл.78</v>
      </c>
      <c r="J125" s="50">
        <f>IFERROR(__xludf.DUMMYFUNCTION("""COMPUTED_VALUE"""),99.6315)</f>
        <v>99.6315</v>
      </c>
      <c r="K125" s="58">
        <f>IFERROR(__xludf.DUMMYFUNCTION("""COMPUTED_VALUE"""),45973.0)</f>
        <v>45973</v>
      </c>
      <c r="L125" s="6">
        <v>7.0</v>
      </c>
      <c r="M125" s="52">
        <v>45980.0</v>
      </c>
      <c r="N125" s="53" t="s">
        <v>711</v>
      </c>
      <c r="O125" s="19" t="s">
        <v>743</v>
      </c>
      <c r="P125" s="6"/>
      <c r="Q125" s="6"/>
      <c r="R125" s="6"/>
    </row>
    <row r="126">
      <c r="A126" s="31" t="str">
        <f>IFERROR(__xludf.DUMMYFUNCTION("""COMPUTED_VALUE"""),"234")</f>
        <v>234</v>
      </c>
      <c r="B126" s="14" t="str">
        <f>IFERROR(__xludf.DUMMYFUNCTION("""COMPUTED_VALUE"""),"АИП-25")</f>
        <v>АИП-25</v>
      </c>
      <c r="C126" s="14" t="str">
        <f>IFERROR(__xludf.DUMMYFUNCTION("""COMPUTED_VALUE"""),"ОКС+УДС")</f>
        <v>ОКС+УДС</v>
      </c>
      <c r="D126" s="15"/>
      <c r="E126" s="14" t="str">
        <f>IFERROR(__xludf.DUMMYFUNCTION("""COMPUTED_VALUE"""),"проспект Вернадского, вл. 12Б 2 этап - дороги и инженерные коммуникации пр-т Вернадского, вл.12Б")</f>
        <v>проспект Вернадского, вл. 12Б 2 этап - дороги и инженерные коммуникации пр-т Вернадского, вл.12Б</v>
      </c>
      <c r="F126" s="25" t="str">
        <f>IFERROR(__xludf.DUMMYFUNCTION("""COMPUTED_VALUE"""),"#N/A")</f>
        <v>#N/A</v>
      </c>
      <c r="G126" s="6" t="str">
        <f>IFERROR(__xludf.DUMMYFUNCTION("""COMPUTED_VALUE"""),"#N/A")</f>
        <v>#N/A</v>
      </c>
      <c r="H126" s="18" t="str">
        <f>IFERROR(__xludf.DUMMYFUNCTION("""COMPUTED_VALUE"""),"https://docs.google.com/spreadsheets/d/19THEBTE9q0fhN2eApZr6BgenIvLGh0AckaYxHQfHk5w/edit?gid=1930019775#gid=1930019775")</f>
        <v>https://docs.google.com/spreadsheets/d/19THEBTE9q0fhN2eApZr6BgenIvLGh0AckaYxHQfHk5w/edit?gid=1930019775#gid=1930019775</v>
      </c>
      <c r="I126" s="19" t="str">
        <f>IFERROR(__xludf.DUMMYFUNCTION("""COMPUTED_VALUE"""),"https://disk.yandex.ru/client/disk/Осмотры%20объектов%20АНО%20СМГ/234.%20пр-т%20Вернадского%2012Б%202-й%20этап%20дороги%20и%20инженерн.коммуникации")</f>
        <v>https://disk.yandex.ru/client/disk/Осмотры%20объектов%20АНО%20СМГ/234.%20пр-т%20Вернадского%2012Б%202-й%20этап%20дороги%20и%20инженерн.коммуникации</v>
      </c>
      <c r="J126" s="50">
        <f>IFERROR(__xludf.DUMMYFUNCTION("""COMPUTED_VALUE"""),100.0)</f>
        <v>100</v>
      </c>
      <c r="K126" s="58">
        <f>IFERROR(__xludf.DUMMYFUNCTION("""COMPUTED_VALUE"""),45902.0)</f>
        <v>45902</v>
      </c>
      <c r="L126" s="6" t="s">
        <v>654</v>
      </c>
      <c r="M126" s="52" t="s">
        <v>655</v>
      </c>
      <c r="N126" s="53" t="s">
        <v>656</v>
      </c>
      <c r="O126" s="19" t="s">
        <v>744</v>
      </c>
      <c r="P126" s="6"/>
      <c r="Q126" s="6"/>
      <c r="R126" s="6"/>
    </row>
    <row r="127">
      <c r="A127" s="31" t="str">
        <f>IFERROR(__xludf.DUMMYFUNCTION("""COMPUTED_VALUE"""),"063")</f>
        <v>063</v>
      </c>
      <c r="B127" s="14" t="str">
        <f>IFERROR(__xludf.DUMMYFUNCTION("""COMPUTED_VALUE"""),"ВНЕ СПИСКА")</f>
        <v>ВНЕ СПИСКА</v>
      </c>
      <c r="C127" s="14" t="str">
        <f>IFERROR(__xludf.DUMMYFUNCTION("""COMPUTED_VALUE"""),"ОКС")</f>
        <v>ОКС</v>
      </c>
      <c r="D127" s="15" t="str">
        <f>IFERROR(__xludf.DUMMYFUNCTION("""COMPUTED_VALUE"""),"да")</f>
        <v>да</v>
      </c>
      <c r="E127" s="14" t="str">
        <f>IFERROR(__xludf.DUMMYFUNCTION("""COMPUTED_VALUE"""),"СОШ на 1150 учащихся (корп. 65), вблизи д. Николо-Хованское п. Сосенское, вблизи д. Николо-Хованское, район Коммунарка. Понизовье Большое 2")</f>
        <v>СОШ на 1150 учащихся (корп. 65), вблизи д. Николо-Хованское п. Сосенское, вблизи д. Николо-Хованское, район Коммунарка. Понизовье Большое 2</v>
      </c>
      <c r="F127" s="25" t="str">
        <f>IFERROR(__xludf.DUMMYFUNCTION("""COMPUTED_VALUE"""),"#N/A")</f>
        <v>#N/A</v>
      </c>
      <c r="G127" s="6" t="str">
        <f>IFERROR(__xludf.DUMMYFUNCTION("""COMPUTED_VALUE"""),"#N/A")</f>
        <v>#N/A</v>
      </c>
      <c r="H127" s="18" t="str">
        <f>IFERROR(__xludf.DUMMYFUNCTION("""COMPUTED_VALUE"""),"https://docs.google.com/spreadsheets/d/1EI7qusa674eJhuaw-nWWtWMEHVSYMQv7HLsInEZTWpE/edit?gid=1466023727#gid=1466023727")</f>
        <v>https://docs.google.com/spreadsheets/d/1EI7qusa674eJhuaw-nWWtWMEHVSYMQv7HLsInEZTWpE/edit?gid=1466023727#gid=1466023727</v>
      </c>
      <c r="I127" s="19" t="str">
        <f>IFERROR(__xludf.DUMMYFUNCTION("""COMPUTED_VALUE"""),"https://disk.yandex.ru/client/disk/Осмотры%20объектов%20АНО%20СМГ/063.%20СОШ%20на%201150%20учащихся%20(корп.%2065)%2C%20НАО%2C%20п.%20Сосенское%2C%20вблизи%20д.%20Николо-Хованское%2C%20р-н%20Коммунарка")</f>
        <v>https://disk.yandex.ru/client/disk/Осмотры%20объектов%20АНО%20СМГ/063.%20СОШ%20на%201150%20учащихся%20(корп.%2065)%2C%20НАО%2C%20п.%20Сосенское%2C%20вблизи%20д.%20Николо-Хованское%2C%20р-н%20Коммунарка</v>
      </c>
      <c r="J127" s="50">
        <f>IFERROR(__xludf.DUMMYFUNCTION("""COMPUTED_VALUE"""),100.0)</f>
        <v>100</v>
      </c>
      <c r="K127" s="58">
        <f>IFERROR(__xludf.DUMMYFUNCTION("""COMPUTED_VALUE"""),45943.0)</f>
        <v>45943</v>
      </c>
      <c r="L127" s="6" t="s">
        <v>654</v>
      </c>
      <c r="M127" s="52" t="s">
        <v>655</v>
      </c>
      <c r="N127" s="53" t="s">
        <v>656</v>
      </c>
      <c r="O127" s="19" t="s">
        <v>745</v>
      </c>
      <c r="P127" s="6"/>
      <c r="Q127" s="6"/>
      <c r="R127" s="6"/>
    </row>
    <row r="128">
      <c r="A128" s="31" t="str">
        <f>IFERROR(__xludf.DUMMYFUNCTION("""COMPUTED_VALUE"""),"183")</f>
        <v>183</v>
      </c>
      <c r="B128" s="14" t="str">
        <f>IFERROR(__xludf.DUMMYFUNCTION("""COMPUTED_VALUE"""),"АИП-25")</f>
        <v>АИП-25</v>
      </c>
      <c r="C128" s="14" t="str">
        <f>IFERROR(__xludf.DUMMYFUNCTION("""COMPUTED_VALUE"""),"ОКС")</f>
        <v>ОКС</v>
      </c>
      <c r="D128" s="60"/>
      <c r="E128" s="14" t="str">
        <f>IFERROR(__xludf.DUMMYFUNCTION("""COMPUTED_VALUE"""),"Школа на 550 мест, р-н Ново-Переделкино, мкр. 14, к. 20 район Ново-Переделкино, мкр. 14, к. 20")</f>
        <v>Школа на 550 мест, р-н Ново-Переделкино, мкр. 14, к. 20 район Ново-Переделкино, мкр. 14, к. 20</v>
      </c>
      <c r="F128" s="25" t="str">
        <f>IFERROR(__xludf.DUMMYFUNCTION("""COMPUTED_VALUE"""),"55.650044")</f>
        <v>55.650044</v>
      </c>
      <c r="G128" s="6" t="str">
        <f>IFERROR(__xludf.DUMMYFUNCTION("""COMPUTED_VALUE"""),"37.340165")</f>
        <v>37.340165</v>
      </c>
      <c r="H128" s="18" t="str">
        <f>IFERROR(__xludf.DUMMYFUNCTION("""COMPUTED_VALUE"""),"https://docs.google.com/spreadsheets/d/19THEBTE9q0fhN2eApZr6BgenIvLGh0AckaYxHQfHk5w/edit?gid=779020277#gid=779020277")</f>
        <v>https://docs.google.com/spreadsheets/d/19THEBTE9q0fhN2eApZr6BgenIvLGh0AckaYxHQfHk5w/edit?gid=779020277#gid=779020277</v>
      </c>
      <c r="I128" s="19" t="str">
        <f>IFERROR(__xludf.DUMMYFUNCTION("""COMPUTED_VALUE"""),"https://disk.yandex.ru/client/disk/Осмотры%20объектов%20АНО%20СМГ/183.%20Школа%20на%20550%20мест%2C%20рн%20Ново-Переделкино%2C%20мкр.%2014%2C%20к.%2020")</f>
        <v>https://disk.yandex.ru/client/disk/Осмотры%20объектов%20АНО%20СМГ/183.%20Школа%20на%20550%20мест%2C%20рн%20Ново-Переделкино%2C%20мкр.%2014%2C%20к.%2020</v>
      </c>
      <c r="J128" s="50">
        <f>IFERROR(__xludf.DUMMYFUNCTION("""COMPUTED_VALUE"""),85.3665275)</f>
        <v>85.3665275</v>
      </c>
      <c r="K128" s="58">
        <f>IFERROR(__xludf.DUMMYFUNCTION("""COMPUTED_VALUE"""),45971.0)</f>
        <v>45971</v>
      </c>
      <c r="L128" s="6">
        <v>14.0</v>
      </c>
      <c r="M128" s="52">
        <v>45985.0</v>
      </c>
      <c r="N128" s="53" t="s">
        <v>711</v>
      </c>
      <c r="O128" s="19" t="s">
        <v>746</v>
      </c>
      <c r="P128" s="6"/>
      <c r="Q128" s="6"/>
      <c r="R128" s="6"/>
    </row>
    <row r="129">
      <c r="A129" s="31" t="str">
        <f>IFERROR(__xludf.DUMMYFUNCTION("""COMPUTED_VALUE"""),"102")</f>
        <v>102</v>
      </c>
      <c r="B129" s="14" t="str">
        <f>IFERROR(__xludf.DUMMYFUNCTION("""COMPUTED_VALUE"""),"АИП-25")</f>
        <v>АИП-25</v>
      </c>
      <c r="C129" s="14" t="str">
        <f>IFERROR(__xludf.DUMMYFUNCTION("""COMPUTED_VALUE"""),"ОКС")</f>
        <v>ОКС</v>
      </c>
      <c r="D129" s="15"/>
      <c r="E129" s="14" t="str">
        <f>IFERROR(__xludf.DUMMYFUNCTION("""COMPUTED_VALUE"""),"СОШ на 600 мест, ул. Тюменская, вл. 5 район  Богородское, ул. Тюменская, вл. 5")</f>
        <v>СОШ на 600 мест, ул. Тюменская, вл. 5 район  Богородское, ул. Тюменская, вл. 5</v>
      </c>
      <c r="F129" s="25" t="str">
        <f>IFERROR(__xludf.DUMMYFUNCTION("""COMPUTED_VALUE"""),"55.809943")</f>
        <v>55.809943</v>
      </c>
      <c r="G129" s="6" t="str">
        <f>IFERROR(__xludf.DUMMYFUNCTION("""COMPUTED_VALUE"""),"37.743889")</f>
        <v>37.743889</v>
      </c>
      <c r="H129" s="18" t="str">
        <f>IFERROR(__xludf.DUMMYFUNCTION("""COMPUTED_VALUE"""),"https://docs.google.com/spreadsheets/d/19THEBTE9q0fhN2eApZr6BgenIvLGh0AckaYxHQfHk5w/edit?gid=1995746861#gid=1995746861")</f>
        <v>https://docs.google.com/spreadsheets/d/19THEBTE9q0fhN2eApZr6BgenIvLGh0AckaYxHQfHk5w/edit?gid=1995746861#gid=1995746861</v>
      </c>
      <c r="I129" s="19" t="str">
        <f>IFERROR(__xludf.DUMMYFUNCTION("""COMPUTED_VALUE"""),"https://disk.yandex.ru/client/disk/Осмотры%20объектов%20АНО%20СМГ/102.%20Школа%20на%20600%20мест%20р-н%20Богородское%2C%20ул.%20Тюменская%2C%20влд.%205")</f>
        <v>https://disk.yandex.ru/client/disk/Осмотры%20объектов%20АНО%20СМГ/102.%20Школа%20на%20600%20мест%20р-н%20Богородское%2C%20ул.%20Тюменская%2C%20влд.%205</v>
      </c>
      <c r="J129" s="50">
        <f>IFERROR(__xludf.DUMMYFUNCTION("""COMPUTED_VALUE"""),99.63434000000001)</f>
        <v>99.63434</v>
      </c>
      <c r="K129" s="58">
        <f>IFERROR(__xludf.DUMMYFUNCTION("""COMPUTED_VALUE"""),45971.0)</f>
        <v>45971</v>
      </c>
      <c r="L129" s="6">
        <v>7.0</v>
      </c>
      <c r="M129" s="52">
        <v>45978.0</v>
      </c>
      <c r="N129" s="53" t="s">
        <v>692</v>
      </c>
      <c r="O129" s="19" t="s">
        <v>747</v>
      </c>
      <c r="P129" s="6"/>
      <c r="Q129" s="6"/>
      <c r="R129" s="6"/>
    </row>
    <row r="130">
      <c r="A130" s="31" t="str">
        <f>IFERROR(__xludf.DUMMYFUNCTION("""COMPUTED_VALUE"""),"020")</f>
        <v>020</v>
      </c>
      <c r="B130" s="14" t="str">
        <f>IFERROR(__xludf.DUMMYFUNCTION("""COMPUTED_VALUE"""),"АИП-25")</f>
        <v>АИП-25</v>
      </c>
      <c r="C130" s="14" t="str">
        <f>IFERROR(__xludf.DUMMYFUNCTION("""COMPUTED_VALUE"""),"ОКС")</f>
        <v>ОКС</v>
      </c>
      <c r="D130" s="15"/>
      <c r="E130" s="14" t="str">
        <f>IFERROR(__xludf.DUMMYFUNCTION("""COMPUTED_VALUE"""),"«Реконструкция существующего здания школы № 2073 пос. Кленовское с. Кленово (Этап 2)» район Вороново, пос. Кленовское, с. Кленово, ул. Центральная, д.2")</f>
        <v>«Реконструкция существующего здания школы № 2073 пос. Кленовское с. Кленово (Этап 2)» район Вороново, пос. Кленовское, с. Кленово, ул. Центральная, д.2</v>
      </c>
      <c r="F130" s="25" t="str">
        <f>IFERROR(__xludf.DUMMYFUNCTION("""COMPUTED_VALUE"""),"55.322923")</f>
        <v>55.322923</v>
      </c>
      <c r="G130" s="6" t="str">
        <f>IFERROR(__xludf.DUMMYFUNCTION("""COMPUTED_VALUE"""),"37.345438")</f>
        <v>37.345438</v>
      </c>
      <c r="H130" s="18" t="str">
        <f>IFERROR(__xludf.DUMMYFUNCTION("""COMPUTED_VALUE"""),"https://docs.google.com/spreadsheets/d/19THEBTE9q0fhN2eApZr6BgenIvLGh0AckaYxHQfHk5w/edit?gid=493360007#gid=493360007")</f>
        <v>https://docs.google.com/spreadsheets/d/19THEBTE9q0fhN2eApZr6BgenIvLGh0AckaYxHQfHk5w/edit?gid=493360007#gid=493360007</v>
      </c>
      <c r="I130" s="19" t="str">
        <f>IFERROR(__xludf.DUMMYFUNCTION("""COMPUTED_VALUE"""),"https://disk.yandex.ru/client/disk/Осмотры%20объектов%20АНО%20СМГ/020.%20СОШ%202073%20Клëново")</f>
        <v>https://disk.yandex.ru/client/disk/Осмотры%20объектов%20АНО%20СМГ/020.%20СОШ%202073%20Клëново</v>
      </c>
      <c r="J130" s="50">
        <f>IFERROR(__xludf.DUMMYFUNCTION("""COMPUTED_VALUE"""),76.9462425)</f>
        <v>76.9462425</v>
      </c>
      <c r="K130" s="58">
        <f>IFERROR(__xludf.DUMMYFUNCTION("""COMPUTED_VALUE"""),45971.0)</f>
        <v>45971</v>
      </c>
      <c r="L130" s="6">
        <v>14.0</v>
      </c>
      <c r="M130" s="52">
        <v>45985.0</v>
      </c>
      <c r="N130" s="53" t="s">
        <v>711</v>
      </c>
      <c r="O130" s="19" t="s">
        <v>748</v>
      </c>
      <c r="P130" s="6"/>
      <c r="Q130" s="6"/>
      <c r="R130" s="6"/>
    </row>
    <row r="131">
      <c r="A131" s="31" t="str">
        <f>IFERROR(__xludf.DUMMYFUNCTION("""COMPUTED_VALUE"""),"019")</f>
        <v>019</v>
      </c>
      <c r="B131" s="14"/>
      <c r="C131" s="14" t="str">
        <f>IFERROR(__xludf.DUMMYFUNCTION("""COMPUTED_VALUE"""),"ОКС")</f>
        <v>ОКС</v>
      </c>
      <c r="D131" s="15"/>
      <c r="E131" s="14" t="str">
        <f>IFERROR(__xludf.DUMMYFUNCTION("""COMPUTED_VALUE"""),"Строительство нового учебного корпуса на 300 мест ( 1этап) район Вороново, пос. Кленовское, с. Кленово")</f>
        <v>Строительство нового учебного корпуса на 300 мест ( 1этап) район Вороново, пос. Кленовское, с. Кленово</v>
      </c>
      <c r="F131" s="25" t="str">
        <f>IFERROR(__xludf.DUMMYFUNCTION("""COMPUTED_VALUE"""),"#N/A")</f>
        <v>#N/A</v>
      </c>
      <c r="G131" s="6" t="str">
        <f>IFERROR(__xludf.DUMMYFUNCTION("""COMPUTED_VALUE"""),"#N/A")</f>
        <v>#N/A</v>
      </c>
      <c r="H131" s="6"/>
      <c r="I131" s="21" t="str">
        <f>IFERROR(__xludf.DUMMYFUNCTION("""COMPUTED_VALUE"""),"https://disk.yandex.ru/client/disk/%D0%9E%D1%81%D0%BC%D0%BE%D1%82%D1%80%D1%8B%20%D0%BE%D0%B1%D1%8A%D0%B5%D0%BA%D1%82%D0%BE%D0%B2%20%D0%90%D0%9D%D0%9E%20%D0%A1%D0%9C%D0%93/019.%20%D0%A0%D0%B5%D0%BA%D0%BE%D0%BD%D1%81%D1%82%D1%80%D1%83%D0%BA%D1%86%D0%B8%D1%8"&amp;"F%20%D1%81%D1%83%D1%89%D0%B5%D1%81%D1%82%D0%B2%D1%83%D1%8E%D1%89%D0%B5%D0%B3%D0%BE%20%D0%B7%D0%B4%D0%B0%D0%BD%D0%B8%D1%8F%20%C2%AB%D0%93%D0%91%D0%9E%D0%A3%20%C2%AB%D0%A8%D0%BA%D0%BE%D0%BB%D0%B0%20%E2%84%96%202073%C2%BB%2C%201-%D0%B9%20%D1%8D%D1%82%D0%B0%D"&amp;"0%BF%20%C2%A0%D0%A2%D0%90%D0%9E%2C%20%D0%BF%D0%BE%D1%81.%20%D0%9A%D0%BB%D0%B5%D0%BD%D0%BE%D0%B2%D1%81%D0%BA%D0%BE%D0%B5%2C%20%D1%81.%20%D0%9A%D0%BB%D0%B5%D0%BD%D0%BE%D0%B2%D0%BE%2C%20%D0%A3%D0%BB.%20%D0%A6%D0%B5%D0%BD%D1%82%D1%80%D0%B0%D0%BB%D1%8C%D0%BD%D"&amp;"0%B0%D1%8F%2C%202%2C%20%D1%81%D1%82%D1%80.%201%20(%D0%AD%D1%82%D0%B0%D0%BF%201)")</f>
        <v>https://disk.yandex.ru/client/disk/%D0%9E%D1%81%D0%BC%D0%BE%D1%82%D1%80%D1%8B%20%D0%BE%D0%B1%D1%8A%D0%B5%D0%BA%D1%82%D0%BE%D0%B2%20%D0%90%D0%9D%D0%9E%20%D0%A1%D0%9C%D0%93/019.%20%D0%A0%D0%B5%D0%BA%D0%BE%D0%BD%D1%81%D1%82%D1%80%D1%83%D0%BA%D1%86%D0%B8%D1%8F%20%D1%81%D1%83%D1%89%D0%B5%D1%81%D1%82%D0%B2%D1%83%D1%8E%D1%89%D0%B5%D0%B3%D0%BE%20%D0%B7%D0%B4%D0%B0%D0%BD%D0%B8%D1%8F%20%C2%AB%D0%93%D0%91%D0%9E%D0%A3%20%C2%AB%D0%A8%D0%BA%D0%BE%D0%BB%D0%B0%20%E2%84%96%202073%C2%BB%2C%201-%D0%B9%20%D1%8D%D1%82%D0%B0%D0%BF%20%C2%A0%D0%A2%D0%90%D0%9E%2C%20%D0%BF%D0%BE%D1%81.%20%D0%9A%D0%BB%D0%B5%D0%BD%D0%BE%D0%B2%D1%81%D0%BA%D0%BE%D0%B5%2C%20%D1%81.%20%D0%9A%D0%BB%D0%B5%D0%BD%D0%BE%D0%B2%D0%BE%2C%20%D0%A3%D0%BB.%20%D0%A6%D0%B5%D0%BD%D1%82%D1%80%D0%B0%D0%BB%D1%8C%D0%BD%D0%B0%D1%8F%2C%202%2C%20%D1%81%D1%82%D1%80.%201%20(%D0%AD%D1%82%D0%B0%D0%BF%201)</v>
      </c>
      <c r="J131" s="50"/>
      <c r="K131" s="58"/>
      <c r="L131" s="6">
        <v>30.0</v>
      </c>
      <c r="M131" s="52" t="s">
        <v>655</v>
      </c>
      <c r="N131" s="53" t="s">
        <v>652</v>
      </c>
      <c r="O131" s="19" t="s">
        <v>749</v>
      </c>
      <c r="P131" s="6"/>
      <c r="Q131" s="6"/>
      <c r="R131" s="6"/>
    </row>
    <row r="132">
      <c r="A132" s="31" t="str">
        <f>IFERROR(__xludf.DUMMYFUNCTION("""COMPUTED_VALUE"""),"140д (сводный)")</f>
        <v>140д (сводный)</v>
      </c>
      <c r="B132" s="14" t="str">
        <f>IFERROR(__xludf.DUMMYFUNCTION("""COMPUTED_VALUE"""),"АИП-25")</f>
        <v>АИП-25</v>
      </c>
      <c r="C132" s="14" t="str">
        <f>IFERROR(__xludf.DUMMYFUNCTION("""COMPUTED_VALUE"""),"УДС")</f>
        <v>УДС</v>
      </c>
      <c r="D132" s="15"/>
      <c r="E132" s="14" t="str">
        <f>IFERROR(__xludf.DUMMYFUNCTION("""COMPUTED_VALUE"""),"Симоновская набережная от существующего участка до Третьего транспортного кольца Этапы 1.1, 1.2 ")</f>
        <v>Симоновская набережная от существующего участка до Третьего транспортного кольца Этапы 1.1, 1.2 </v>
      </c>
      <c r="F132" s="25" t="str">
        <f>IFERROR(__xludf.DUMMYFUNCTION("""COMPUTED_VALUE"""),"#N/A")</f>
        <v>#N/A</v>
      </c>
      <c r="G132" s="6" t="str">
        <f>IFERROR(__xludf.DUMMYFUNCTION("""COMPUTED_VALUE"""),"#N/A")</f>
        <v>#N/A</v>
      </c>
      <c r="H132" s="6"/>
      <c r="I132" s="6"/>
      <c r="J132" s="50"/>
      <c r="K132" s="58"/>
      <c r="L132" s="6">
        <v>30.0</v>
      </c>
      <c r="M132" s="52" t="s">
        <v>655</v>
      </c>
      <c r="N132" s="53" t="s">
        <v>698</v>
      </c>
      <c r="O132" s="6"/>
      <c r="P132" s="6"/>
      <c r="Q132" s="6"/>
      <c r="R132" s="6"/>
    </row>
    <row r="133">
      <c r="A133" s="31" t="str">
        <f>IFERROR(__xludf.DUMMYFUNCTION("""COMPUTED_VALUE"""),"140д (этап 1.1)")</f>
        <v>140д (этап 1.1)</v>
      </c>
      <c r="B133" s="14"/>
      <c r="C133" s="14" t="str">
        <f>IFERROR(__xludf.DUMMYFUNCTION("""COMPUTED_VALUE"""),"УДС")</f>
        <v>УДС</v>
      </c>
      <c r="D133" s="15"/>
      <c r="E133" s="14" t="str">
        <f>IFERROR(__xludf.DUMMYFUNCTION("""COMPUTED_VALUE"""),"""Симоновская набережная от существующего участка до Третьего транспортного кольца. 
Этапы 1.1."" Симоновская наб.")</f>
        <v>"Симоновская набережная от существующего участка до Третьего транспортного кольца. 
Этапы 1.1." Симоновская наб.</v>
      </c>
      <c r="F133" s="25" t="str">
        <f>IFERROR(__xludf.DUMMYFUNCTION("""COMPUTED_VALUE"""),"#N/A")</f>
        <v>#N/A</v>
      </c>
      <c r="G133" s="6" t="str">
        <f>IFERROR(__xludf.DUMMYFUNCTION("""COMPUTED_VALUE"""),"#N/A")</f>
        <v>#N/A</v>
      </c>
      <c r="H133" s="6"/>
      <c r="I133" s="6"/>
      <c r="J133" s="50"/>
      <c r="K133" s="58"/>
      <c r="L133" s="6">
        <v>30.0</v>
      </c>
      <c r="M133" s="52" t="s">
        <v>655</v>
      </c>
      <c r="N133" s="53" t="s">
        <v>698</v>
      </c>
      <c r="O133" s="6" t="s">
        <v>750</v>
      </c>
      <c r="P133" s="6"/>
      <c r="Q133" s="6"/>
      <c r="R133" s="6"/>
    </row>
    <row r="134">
      <c r="A134" s="31" t="str">
        <f>IFERROR(__xludf.DUMMYFUNCTION("""COMPUTED_VALUE"""),"140д (этап 1.2)")</f>
        <v>140д (этап 1.2)</v>
      </c>
      <c r="B134" s="14"/>
      <c r="C134" s="14" t="str">
        <f>IFERROR(__xludf.DUMMYFUNCTION("""COMPUTED_VALUE"""),"УДС")</f>
        <v>УДС</v>
      </c>
      <c r="D134" s="15"/>
      <c r="E134" s="14" t="str">
        <f>IFERROR(__xludf.DUMMYFUNCTION("""COMPUTED_VALUE"""),"""Симоновская набережная от существующего участка до Третьего транспортного кольца. 
Этапы 1.2."" Симоновская наб.")</f>
        <v>"Симоновская набережная от существующего участка до Третьего транспортного кольца. 
Этапы 1.2." Симоновская наб.</v>
      </c>
      <c r="F134" s="25" t="str">
        <f>IFERROR(__xludf.DUMMYFUNCTION("""COMPUTED_VALUE"""),"#N/A")</f>
        <v>#N/A</v>
      </c>
      <c r="G134" s="6" t="str">
        <f>IFERROR(__xludf.DUMMYFUNCTION("""COMPUTED_VALUE"""),"#N/A")</f>
        <v>#N/A</v>
      </c>
      <c r="H134" s="6"/>
      <c r="I134" s="6"/>
      <c r="J134" s="50"/>
      <c r="K134" s="58"/>
      <c r="L134" s="6">
        <v>30.0</v>
      </c>
      <c r="M134" s="52" t="s">
        <v>655</v>
      </c>
      <c r="N134" s="53" t="s">
        <v>698</v>
      </c>
      <c r="O134" s="6" t="s">
        <v>750</v>
      </c>
      <c r="P134" s="6"/>
      <c r="Q134" s="6"/>
      <c r="R134" s="6"/>
    </row>
    <row r="135">
      <c r="A135" s="31" t="str">
        <f>IFERROR(__xludf.DUMMYFUNCTION("""COMPUTED_VALUE"""),"172д (этап 2.1)")</f>
        <v>172д (этап 2.1)</v>
      </c>
      <c r="B135" s="14" t="str">
        <f>IFERROR(__xludf.DUMMYFUNCTION("""COMPUTED_VALUE"""),"АИП-25")</f>
        <v>АИП-25</v>
      </c>
      <c r="C135" s="14" t="str">
        <f>IFERROR(__xludf.DUMMYFUNCTION("""COMPUTED_VALUE"""),"УДС")</f>
        <v>УДС</v>
      </c>
      <c r="D135" s="15"/>
      <c r="E135" s="14" t="str">
        <f>IFERROR(__xludf.DUMMYFUNCTION("""COMPUTED_VALUE"""),"Строительство многоуровневых транспортных развязок на участке магистрали ""Солнцево-Бутово-Варшавское ш."" от ТПУ ""Столбово"" до ул. Поляны. 
 Этапы 2.1. СБВ от ТПУ ""Столбово"" до ул. Поляны")</f>
        <v>Строительство многоуровневых транспортных развязок на участке магистрали "Солнцево-Бутово-Варшавское ш." от ТПУ "Столбово" до ул. Поляны. 
 Этапы 2.1. СБВ от ТПУ "Столбово" до ул. Поляны</v>
      </c>
      <c r="F135" s="25" t="str">
        <f>IFERROR(__xludf.DUMMYFUNCTION("""COMPUTED_VALUE"""),"#N/A")</f>
        <v>#N/A</v>
      </c>
      <c r="G135" s="6" t="str">
        <f>IFERROR(__xludf.DUMMYFUNCTION("""COMPUTED_VALUE"""),"#N/A")</f>
        <v>#N/A</v>
      </c>
      <c r="H135" s="6"/>
      <c r="I135" s="6"/>
      <c r="J135" s="50">
        <f>IFERROR(__xludf.DUMMYFUNCTION("""COMPUTED_VALUE"""),92.86)</f>
        <v>92.86</v>
      </c>
      <c r="K135" s="58">
        <f>IFERROR(__xludf.DUMMYFUNCTION("""COMPUTED_VALUE"""),45971.0)</f>
        <v>45971</v>
      </c>
      <c r="L135" s="6">
        <v>14.0</v>
      </c>
      <c r="M135" s="52">
        <v>45985.0</v>
      </c>
      <c r="N135" s="53" t="s">
        <v>711</v>
      </c>
      <c r="O135" s="6" t="s">
        <v>751</v>
      </c>
      <c r="P135" s="6"/>
      <c r="Q135" s="6"/>
      <c r="R135" s="6"/>
    </row>
    <row r="136">
      <c r="A136" s="31" t="str">
        <f>IFERROR(__xludf.DUMMYFUNCTION("""COMPUTED_VALUE"""),"208")</f>
        <v>208</v>
      </c>
      <c r="B136" s="14" t="str">
        <f>IFERROR(__xludf.DUMMYFUNCTION("""COMPUTED_VALUE"""),"АИП-25")</f>
        <v>АИП-25</v>
      </c>
      <c r="C136" s="14" t="str">
        <f>IFERROR(__xludf.DUMMYFUNCTION("""COMPUTED_VALUE"""),"УДС")</f>
        <v>УДС</v>
      </c>
      <c r="D136" s="15"/>
      <c r="E136" s="14" t="str">
        <f>IFERROR(__xludf.DUMMYFUNCTION("""COMPUTED_VALUE"""),"Стационарный снегосплавный пункт Березовая ал., влд. 10 Березовая аллея, вл. 10")</f>
        <v>Стационарный снегосплавный пункт Березовая ал., влд. 10 Березовая аллея, вл. 10</v>
      </c>
      <c r="F136" s="25" t="str">
        <f>IFERROR(__xludf.DUMMYFUNCTION("""COMPUTED_VALUE"""),"#N/A")</f>
        <v>#N/A</v>
      </c>
      <c r="G136" s="6" t="str">
        <f>IFERROR(__xludf.DUMMYFUNCTION("""COMPUTED_VALUE"""),"#N/A")</f>
        <v>#N/A</v>
      </c>
      <c r="H136" s="18" t="str">
        <f>IFERROR(__xludf.DUMMYFUNCTION("""COMPUTED_VALUE"""),"https://docs.google.com/spreadsheets/d/1MW8OIVEKRJEaLcG-KS0zwZPEQ0eRUWE2y9Gj77rgoxo/edit?gid=1323324485#gid=1323324485")</f>
        <v>https://docs.google.com/spreadsheets/d/1MW8OIVEKRJEaLcG-KS0zwZPEQ0eRUWE2y9Gj77rgoxo/edit?gid=1323324485#gid=1323324485</v>
      </c>
      <c r="I136" s="6"/>
      <c r="J136" s="50">
        <f>IFERROR(__xludf.DUMMYFUNCTION("""COMPUTED_VALUE"""),100.0)</f>
        <v>100</v>
      </c>
      <c r="K136" s="58">
        <f>IFERROR(__xludf.DUMMYFUNCTION("""COMPUTED_VALUE"""),45887.0)</f>
        <v>45887</v>
      </c>
      <c r="L136" s="6" t="s">
        <v>654</v>
      </c>
      <c r="M136" s="52" t="s">
        <v>655</v>
      </c>
      <c r="N136" s="53" t="s">
        <v>656</v>
      </c>
      <c r="O136" s="6" t="s">
        <v>752</v>
      </c>
      <c r="P136" s="6"/>
      <c r="Q136" s="6"/>
      <c r="R136" s="6"/>
    </row>
    <row r="137">
      <c r="A137" s="31" t="str">
        <f>IFERROR(__xludf.DUMMYFUNCTION("""COMPUTED_VALUE"""),"150д (сводный)")</f>
        <v>150д (сводный)</v>
      </c>
      <c r="B137" s="14" t="str">
        <f>IFERROR(__xludf.DUMMYFUNCTION("""COMPUTED_VALUE"""),"АИП-25")</f>
        <v>АИП-25</v>
      </c>
      <c r="C137" s="14" t="str">
        <f>IFERROR(__xludf.DUMMYFUNCTION("""COMPUTED_VALUE"""),"УДС")</f>
        <v>УДС</v>
      </c>
      <c r="D137" s="15"/>
      <c r="E137" s="14" t="str">
        <f>IFERROR(__xludf.DUMMYFUNCTION("""COMPUTED_VALUE"""),"Строительство искусственного сооружения в русле р. Москвы с реконструкцией Крутицкой наб. Этап 1.1, 1.2 (ЭТАП 1) ")</f>
        <v>Строительство искусственного сооружения в русле р. Москвы с реконструкцией Крутицкой наб. Этап 1.1, 1.2 (ЭТАП 1) </v>
      </c>
      <c r="F137" s="25" t="str">
        <f>IFERROR(__xludf.DUMMYFUNCTION("""COMPUTED_VALUE"""),"#N/A")</f>
        <v>#N/A</v>
      </c>
      <c r="G137" s="6" t="str">
        <f>IFERROR(__xludf.DUMMYFUNCTION("""COMPUTED_VALUE"""),"#N/A")</f>
        <v>#N/A</v>
      </c>
      <c r="H137" s="6"/>
      <c r="I137" s="6"/>
      <c r="J137" s="50"/>
      <c r="K137" s="58"/>
      <c r="L137" s="6">
        <v>30.0</v>
      </c>
      <c r="M137" s="52" t="s">
        <v>655</v>
      </c>
      <c r="N137" s="53" t="s">
        <v>698</v>
      </c>
      <c r="O137" s="6"/>
      <c r="P137" s="6"/>
      <c r="Q137" s="6"/>
      <c r="R137" s="6"/>
    </row>
    <row r="138">
      <c r="A138" s="31" t="str">
        <f>IFERROR(__xludf.DUMMYFUNCTION("""COMPUTED_VALUE"""),"150д (этап 1.1)")</f>
        <v>150д (этап 1.1)</v>
      </c>
      <c r="B138" s="14"/>
      <c r="C138" s="14" t="str">
        <f>IFERROR(__xludf.DUMMYFUNCTION("""COMPUTED_VALUE"""),"УДС")</f>
        <v>УДС</v>
      </c>
      <c r="D138" s="15"/>
      <c r="E138" s="14" t="str">
        <f>IFERROR(__xludf.DUMMYFUNCTION("""COMPUTED_VALUE"""),"Строительство искусственного сооружения в русле р. Москвы с реконструкцией Крутицкой наб. Этап 1.1 Русло р. Москвы с реконструкцией Крутицкой набережной")</f>
        <v>Строительство искусственного сооружения в русле р. Москвы с реконструкцией Крутицкой наб. Этап 1.1 Русло р. Москвы с реконструкцией Крутицкой набережной</v>
      </c>
      <c r="F138" s="25" t="str">
        <f>IFERROR(__xludf.DUMMYFUNCTION("""COMPUTED_VALUE"""),"#N/A")</f>
        <v>#N/A</v>
      </c>
      <c r="G138" s="6" t="str">
        <f>IFERROR(__xludf.DUMMYFUNCTION("""COMPUTED_VALUE"""),"#N/A")</f>
        <v>#N/A</v>
      </c>
      <c r="H138" s="6"/>
      <c r="I138" s="6"/>
      <c r="J138" s="50"/>
      <c r="K138" s="58"/>
      <c r="L138" s="6">
        <v>30.0</v>
      </c>
      <c r="M138" s="52" t="s">
        <v>655</v>
      </c>
      <c r="N138" s="53" t="s">
        <v>698</v>
      </c>
      <c r="O138" s="6" t="s">
        <v>750</v>
      </c>
      <c r="P138" s="6"/>
      <c r="Q138" s="6"/>
      <c r="R138" s="6"/>
    </row>
    <row r="139">
      <c r="A139" s="31" t="str">
        <f>IFERROR(__xludf.DUMMYFUNCTION("""COMPUTED_VALUE"""),"150д (этап 1.2)")</f>
        <v>150д (этап 1.2)</v>
      </c>
      <c r="B139" s="14"/>
      <c r="C139" s="14" t="str">
        <f>IFERROR(__xludf.DUMMYFUNCTION("""COMPUTED_VALUE"""),"УДС")</f>
        <v>УДС</v>
      </c>
      <c r="D139" s="15"/>
      <c r="E139" s="14" t="str">
        <f>IFERROR(__xludf.DUMMYFUNCTION("""COMPUTED_VALUE"""),"Строительство искусственного сооружения в русле р. Москвы с реконструкцией Крутицкой наб. Этап 1.2 Русло р. Москвы с реконструкцией Крутицкой набережной")</f>
        <v>Строительство искусственного сооружения в русле р. Москвы с реконструкцией Крутицкой наб. Этап 1.2 Русло р. Москвы с реконструкцией Крутицкой набережной</v>
      </c>
      <c r="F139" s="25" t="str">
        <f>IFERROR(__xludf.DUMMYFUNCTION("""COMPUTED_VALUE"""),"#N/A")</f>
        <v>#N/A</v>
      </c>
      <c r="G139" s="6" t="str">
        <f>IFERROR(__xludf.DUMMYFUNCTION("""COMPUTED_VALUE"""),"#N/A")</f>
        <v>#N/A</v>
      </c>
      <c r="H139" s="6"/>
      <c r="I139" s="6"/>
      <c r="J139" s="50"/>
      <c r="K139" s="58"/>
      <c r="L139" s="6">
        <v>30.0</v>
      </c>
      <c r="M139" s="52" t="s">
        <v>655</v>
      </c>
      <c r="N139" s="53" t="s">
        <v>698</v>
      </c>
      <c r="O139" s="6" t="s">
        <v>750</v>
      </c>
      <c r="P139" s="6"/>
      <c r="Q139" s="6"/>
      <c r="R139" s="6"/>
    </row>
    <row r="140">
      <c r="A140" s="31" t="str">
        <f>IFERROR(__xludf.DUMMYFUNCTION("""COMPUTED_VALUE"""),"150д (этап 2)")</f>
        <v>150д (этап 2)</v>
      </c>
      <c r="B140" s="14" t="str">
        <f>IFERROR(__xludf.DUMMYFUNCTION("""COMPUTED_VALUE"""),"АИП-25")</f>
        <v>АИП-25</v>
      </c>
      <c r="C140" s="14" t="str">
        <f>IFERROR(__xludf.DUMMYFUNCTION("""COMPUTED_VALUE"""),"УДС")</f>
        <v>УДС</v>
      </c>
      <c r="D140" s="15"/>
      <c r="E140" s="14" t="str">
        <f>IFERROR(__xludf.DUMMYFUNCTION("""COMPUTED_VALUE"""),"Строительство искусственного сооружения в русле р. Москвы с реконструкцией Крутицкой наб. Этап 2. Русло р. Москвы с реконструкцией Крутицкой набережной")</f>
        <v>Строительство искусственного сооружения в русле р. Москвы с реконструкцией Крутицкой наб. Этап 2. Русло р. Москвы с реконструкцией Крутицкой набережной</v>
      </c>
      <c r="F140" s="25" t="str">
        <f>IFERROR(__xludf.DUMMYFUNCTION("""COMPUTED_VALUE"""),"#N/A")</f>
        <v>#N/A</v>
      </c>
      <c r="G140" s="6" t="str">
        <f>IFERROR(__xludf.DUMMYFUNCTION("""COMPUTED_VALUE"""),"#N/A")</f>
        <v>#N/A</v>
      </c>
      <c r="H140" s="6"/>
      <c r="I140" s="6"/>
      <c r="J140" s="50">
        <f>IFERROR(__xludf.DUMMYFUNCTION("""COMPUTED_VALUE"""),85.60000000000001)</f>
        <v>85.6</v>
      </c>
      <c r="K140" s="58">
        <f>IFERROR(__xludf.DUMMYFUNCTION("""COMPUTED_VALUE"""),45972.0)</f>
        <v>45972</v>
      </c>
      <c r="L140" s="6">
        <v>14.0</v>
      </c>
      <c r="M140" s="52">
        <v>45986.0</v>
      </c>
      <c r="N140" s="53" t="s">
        <v>711</v>
      </c>
      <c r="O140" s="6" t="s">
        <v>750</v>
      </c>
      <c r="P140" s="6"/>
      <c r="Q140" s="6"/>
      <c r="R140" s="6"/>
    </row>
    <row r="141">
      <c r="A141" s="31" t="str">
        <f>IFERROR(__xludf.DUMMYFUNCTION("""COMPUTED_VALUE"""),"329")</f>
        <v>329</v>
      </c>
      <c r="B141" s="14" t="str">
        <f>IFERROR(__xludf.DUMMYFUNCTION("""COMPUTED_VALUE"""),"АИП-25")</f>
        <v>АИП-25</v>
      </c>
      <c r="C141" s="14" t="str">
        <f>IFERROR(__xludf.DUMMYFUNCTION("""COMPUTED_VALUE"""),"УДС")</f>
        <v>УДС</v>
      </c>
      <c r="D141" s="60"/>
      <c r="E141" s="14" t="str">
        <f>IFERROR(__xludf.DUMMYFUNCTION("""COMPUTED_VALUE"""),"Осмотр хода строительства электродепо ""Южное"" Замоскворецкой линии, ЮАО, район Братеево район Братеево, Бесединское шоссе, влд.17")</f>
        <v>Осмотр хода строительства электродепо "Южное" Замоскворецкой линии, ЮАО, район Братеево район Братеево, Бесединское шоссе, влд.17</v>
      </c>
      <c r="F141" s="25" t="str">
        <f>IFERROR(__xludf.DUMMYFUNCTION("""COMPUTED_VALUE"""),"#N/A")</f>
        <v>#N/A</v>
      </c>
      <c r="G141" s="6" t="str">
        <f>IFERROR(__xludf.DUMMYFUNCTION("""COMPUTED_VALUE"""),"#N/A")</f>
        <v>#N/A</v>
      </c>
      <c r="H141" s="18" t="str">
        <f>IFERROR(__xludf.DUMMYFUNCTION("""COMPUTED_VALUE"""),"https://docs.google.com/spreadsheets/d/1jonEGMB3UFHiUZpltF1zURon8gYN7jGSHu-k9t5TXnA/edit?gid=1601148863#gid=1601148863")</f>
        <v>https://docs.google.com/spreadsheets/d/1jonEGMB3UFHiUZpltF1zURon8gYN7jGSHu-k9t5TXnA/edit?gid=1601148863#gid=1601148863</v>
      </c>
      <c r="I141" s="6" t="str">
        <f>IFERROR(__xludf.DUMMYFUNCTION("""COMPUTED_VALUE"""),"https://disk.yandex.ru/client/disk/Осмотры%20объектов%20АНО%20СМГ/329.%20Электродепо%20Южное")</f>
        <v>https://disk.yandex.ru/client/disk/Осмотры%20объектов%20АНО%20СМГ/329.%20Электродепо%20Южное</v>
      </c>
      <c r="J141" s="50">
        <f>IFERROR(__xludf.DUMMYFUNCTION("""COMPUTED_VALUE"""),96.2828025)</f>
        <v>96.2828025</v>
      </c>
      <c r="K141" s="58">
        <f>IFERROR(__xludf.DUMMYFUNCTION("""COMPUTED_VALUE"""),45810.0)</f>
        <v>45810</v>
      </c>
      <c r="L141" s="6">
        <v>7.0</v>
      </c>
      <c r="M141" s="52">
        <v>45817.0</v>
      </c>
      <c r="N141" s="53" t="s">
        <v>668</v>
      </c>
      <c r="O141" s="6"/>
      <c r="P141" s="6"/>
      <c r="Q141" s="6"/>
      <c r="R141" s="6"/>
    </row>
    <row r="142">
      <c r="A142" s="31" t="str">
        <f>IFERROR(__xludf.DUMMYFUNCTION("""COMPUTED_VALUE"""),"881 (камера мойки)")</f>
        <v>881 (камера мойки)</v>
      </c>
      <c r="B142" s="14" t="str">
        <f>IFERROR(__xludf.DUMMYFUNCTION("""COMPUTED_VALUE"""),"АИП-25")</f>
        <v>АИП-25</v>
      </c>
      <c r="C142" s="14" t="str">
        <f>IFERROR(__xludf.DUMMYFUNCTION("""COMPUTED_VALUE"""),"УДС")</f>
        <v>УДС</v>
      </c>
      <c r="D142" s="15"/>
      <c r="E142" s="14" t="str">
        <f>IFERROR(__xludf.DUMMYFUNCTION("""COMPUTED_VALUE"""),"Электродепо «Владыкино» Камера мойки район Отрадное, Березовая аллея, вл.8, стр. 3 (площадка электродепо)")</f>
        <v>Электродепо «Владыкино» Камера мойки район Отрадное, Березовая аллея, вл.8, стр. 3 (площадка электродепо)</v>
      </c>
      <c r="F142" s="25" t="str">
        <f>IFERROR(__xludf.DUMMYFUNCTION("""COMPUTED_VALUE"""),"#N/A")</f>
        <v>#N/A</v>
      </c>
      <c r="G142" s="6" t="str">
        <f>IFERROR(__xludf.DUMMYFUNCTION("""COMPUTED_VALUE"""),"#N/A")</f>
        <v>#N/A</v>
      </c>
      <c r="H142" s="18" t="str">
        <f>IFERROR(__xludf.DUMMYFUNCTION("""COMPUTED_VALUE"""),"https://docs.google.com/spreadsheets/d/1jonEGMB3UFHiUZpltF1zURon8gYN7jGSHu-k9t5TXnA/edit?gid=483786929#gid=483786929")</f>
        <v>https://docs.google.com/spreadsheets/d/1jonEGMB3UFHiUZpltF1zURon8gYN7jGSHu-k9t5TXnA/edit?gid=483786929#gid=483786929</v>
      </c>
      <c r="I142" s="6" t="str">
        <f>IFERROR(__xludf.DUMMYFUNCTION("""COMPUTED_VALUE"""),"https://disk.yandex.ru/client/disk/Осмотры%20объектов%20АНО%20СМГ/881.3.%20«Электродепо%20«Владыкино»%20(расширение).%20Этап%3A%20«Камера%20мойки»%09%09%09")</f>
        <v>https://disk.yandex.ru/client/disk/Осмотры%20объектов%20АНО%20СМГ/881.3.%20«Электродепо%20«Владыкино»%20(расширение).%20Этап%3A%20«Камера%20мойки»%09%09%09</v>
      </c>
      <c r="J142" s="50">
        <f>IFERROR(__xludf.DUMMYFUNCTION("""COMPUTED_VALUE"""),30.664)</f>
        <v>30.664</v>
      </c>
      <c r="K142" s="58">
        <f>IFERROR(__xludf.DUMMYFUNCTION("""COMPUTED_VALUE"""),45728.0)</f>
        <v>45728</v>
      </c>
      <c r="L142" s="6">
        <v>30.0</v>
      </c>
      <c r="M142" s="52">
        <v>45758.0</v>
      </c>
      <c r="N142" s="53" t="s">
        <v>668</v>
      </c>
      <c r="O142" s="6" t="s">
        <v>669</v>
      </c>
      <c r="P142" s="6"/>
      <c r="Q142" s="6"/>
      <c r="R142" s="6"/>
    </row>
    <row r="143">
      <c r="A143" s="31" t="str">
        <f>IFERROR(__xludf.DUMMYFUNCTION("""COMPUTED_VALUE"""),"1134 (этап 2)")</f>
        <v>1134 (этап 2)</v>
      </c>
      <c r="B143" s="14" t="str">
        <f>IFERROR(__xludf.DUMMYFUNCTION("""COMPUTED_VALUE"""),"АИП-25")</f>
        <v>АИП-25</v>
      </c>
      <c r="C143" s="14" t="str">
        <f>IFERROR(__xludf.DUMMYFUNCTION("""COMPUTED_VALUE"""),"УДС")</f>
        <v>УДС</v>
      </c>
      <c r="D143" s="15"/>
      <c r="E143" s="14" t="str">
        <f>IFERROR(__xludf.DUMMYFUNCTION("""COMPUTED_VALUE"""),"Технологическая часть ТПУ на станции метро ""Нижегородская"". Этап 2 г. Москва , м . ""Нижегородская""")</f>
        <v>Технологическая часть ТПУ на станции метро "Нижегородская". Этап 2 г. Москва , м . "Нижегородская"</v>
      </c>
      <c r="F143" s="25" t="str">
        <f>IFERROR(__xludf.DUMMYFUNCTION("""COMPUTED_VALUE"""),"#N/A")</f>
        <v>#N/A</v>
      </c>
      <c r="G143" s="6" t="str">
        <f>IFERROR(__xludf.DUMMYFUNCTION("""COMPUTED_VALUE"""),"#N/A")</f>
        <v>#N/A</v>
      </c>
      <c r="H143" s="18" t="str">
        <f>IFERROR(__xludf.DUMMYFUNCTION("""COMPUTED_VALUE"""),"https://docs.google.com/spreadsheets/d/1jonEGMB3UFHiUZpltF1zURon8gYN7jGSHu-k9t5TXnA/edit?gid=678601315#gid=678601315")</f>
        <v>https://docs.google.com/spreadsheets/d/1jonEGMB3UFHiUZpltF1zURon8gYN7jGSHu-k9t5TXnA/edit?gid=678601315#gid=678601315</v>
      </c>
      <c r="I143" s="18" t="str">
        <f>IFERROR(__xludf.DUMMYFUNCTION("""COMPUTED_VALUE"""),"https://disk.yandex.ru/client/disk/%D0%9E%D1%81%D0%BC%D0%BE%D1%82%D1%80%D1%8B%20%D0%BE%D0%B1%D1%8A%D0%B5%D0%BA%D1%82%D0%BE%D0%B2%20%D0%90%D0%9D%D0%9E%20%D0%A1%D0%9C%D0%93/1134%20%D0%A2%D0%B5%D1%85%D0%BD%D0%BE%D0%BB%D0%BE%D0%B3%D0%B8%D1%87%D0%B5%D1%81%D0%B"&amp;"A%D0%B0%D1%8F%20%D1%87%D0%B0%D1%81%D1%82%D1%8C%20%D0%A2%D0%9F%D0%A3%20%D0%BD%D0%B0%20%D1%81%D1%82%D0%B0%D0%BD%D1%86%D0%B8%D0%B8%20%D0%BC%D0%B5%D1%82%D1%80%D0%BE%20%22%D0%9D%D0%B8%D0%B6%D0%B5%D0%B3%D0%BE%D1%80%D0%BE%D0%B4%D1%81%D0%BA%D0%B0%D1%8F%22%20")</f>
        <v>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v>
      </c>
      <c r="J143" s="50">
        <f>IFERROR(__xludf.DUMMYFUNCTION("""COMPUTED_VALUE"""),100.0)</f>
        <v>100</v>
      </c>
      <c r="K143" s="58">
        <f>IFERROR(__xludf.DUMMYFUNCTION("""COMPUTED_VALUE"""),45973.0)</f>
        <v>45973</v>
      </c>
      <c r="L143" s="6" t="s">
        <v>654</v>
      </c>
      <c r="M143" s="52" t="s">
        <v>655</v>
      </c>
      <c r="N143" s="53" t="s">
        <v>656</v>
      </c>
      <c r="O143" s="6" t="s">
        <v>753</v>
      </c>
      <c r="P143" s="6"/>
      <c r="Q143" s="6"/>
      <c r="R143" s="6"/>
    </row>
    <row r="144">
      <c r="A144" s="31" t="str">
        <f>IFERROR(__xludf.DUMMYFUNCTION("""COMPUTED_VALUE"""),"1134 (этап 2.1)")</f>
        <v>1134 (этап 2.1)</v>
      </c>
      <c r="B144" s="14" t="str">
        <f>IFERROR(__xludf.DUMMYFUNCTION("""COMPUTED_VALUE"""),"АИП-25")</f>
        <v>АИП-25</v>
      </c>
      <c r="C144" s="14" t="str">
        <f>IFERROR(__xludf.DUMMYFUNCTION("""COMPUTED_VALUE"""),"УДС")</f>
        <v>УДС</v>
      </c>
      <c r="D144" s="15"/>
      <c r="E144" s="14" t="str">
        <f>IFERROR(__xludf.DUMMYFUNCTION("""COMPUTED_VALUE"""),"Технологическая часть ТПУ на станции метро ""Нижегородская"". Этап 2.1 г. Москва , м . ""Нижегородская""")</f>
        <v>Технологическая часть ТПУ на станции метро "Нижегородская". Этап 2.1 г. Москва , м . "Нижегородская"</v>
      </c>
      <c r="F144" s="25" t="str">
        <f>IFERROR(__xludf.DUMMYFUNCTION("""COMPUTED_VALUE"""),"#N/A")</f>
        <v>#N/A</v>
      </c>
      <c r="G144" s="6" t="str">
        <f>IFERROR(__xludf.DUMMYFUNCTION("""COMPUTED_VALUE"""),"#N/A")</f>
        <v>#N/A</v>
      </c>
      <c r="H144" s="18" t="str">
        <f>IFERROR(__xludf.DUMMYFUNCTION("""COMPUTED_VALUE"""),"https://docs.google.com/spreadsheets/d/1jonEGMB3UFHiUZpltF1zURon8gYN7jGSHu-k9t5TXnA/edit?gid=963444236#gid=963444236")</f>
        <v>https://docs.google.com/spreadsheets/d/1jonEGMB3UFHiUZpltF1zURon8gYN7jGSHu-k9t5TXnA/edit?gid=963444236#gid=963444236</v>
      </c>
      <c r="I144" s="18" t="str">
        <f>IFERROR(__xludf.DUMMYFUNCTION("""COMPUTED_VALUE"""),"https://disk.yandex.ru/client/disk/%D0%9E%D1%81%D0%BC%D0%BE%D1%82%D1%80%D1%8B%20%D0%BE%D0%B1%D1%8A%D0%B5%D0%BA%D1%82%D0%BE%D0%B2%20%D0%90%D0%9D%D0%9E%20%D0%A1%D0%9C%D0%93/1134%20%D0%A2%D0%B5%D1%85%D0%BD%D0%BE%D0%BB%D0%BE%D0%B3%D0%B8%D1%87%D0%B5%D1%81%D0%B"&amp;"A%D0%B0%D1%8F%20%D1%87%D0%B0%D1%81%D1%82%D1%8C%20%D0%A2%D0%9F%D0%A3%20%D0%BD%D0%B0%20%D1%81%D1%82%D0%B0%D0%BD%D1%86%D0%B8%D0%B8%20%D0%BC%D0%B5%D1%82%D1%80%D0%BE%20%22%D0%9D%D0%B8%D0%B6%D0%B5%D0%B3%D0%BE%D1%80%D0%BE%D0%B4%D1%81%D0%BA%D0%B0%D1%8F%22%20")</f>
        <v>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v>
      </c>
      <c r="J144" s="50">
        <f>IFERROR(__xludf.DUMMYFUNCTION("""COMPUTED_VALUE"""),94.0)</f>
        <v>94</v>
      </c>
      <c r="K144" s="58">
        <f>IFERROR(__xludf.DUMMYFUNCTION("""COMPUTED_VALUE"""),45959.0)</f>
        <v>45959</v>
      </c>
      <c r="L144" s="6">
        <v>14.0</v>
      </c>
      <c r="M144" s="52">
        <v>45973.0</v>
      </c>
      <c r="N144" s="53" t="s">
        <v>668</v>
      </c>
      <c r="O144" s="6" t="s">
        <v>754</v>
      </c>
      <c r="P144" s="6"/>
      <c r="Q144" s="6"/>
      <c r="R144" s="6"/>
    </row>
    <row r="145">
      <c r="A145" s="31" t="str">
        <f>IFERROR(__xludf.DUMMYFUNCTION("""COMPUTED_VALUE"""),"1123")</f>
        <v>1123</v>
      </c>
      <c r="B145" s="14" t="str">
        <f>IFERROR(__xludf.DUMMYFUNCTION("""COMPUTED_VALUE"""),"АИП-25")</f>
        <v>АИП-25</v>
      </c>
      <c r="C145" s="14" t="str">
        <f>IFERROR(__xludf.DUMMYFUNCTION("""COMPUTED_VALUE"""),"УДС")</f>
        <v>УДС</v>
      </c>
      <c r="D145" s="60"/>
      <c r="E145" s="14" t="str">
        <f>IFERROR(__xludf.DUMMYFUNCTION("""COMPUTED_VALUE"""),"Технологическая часть ТПУ на станции метро ""Улица Дмитриевского"". Этап 1 «Улично-дорожная сеть и благоустройство» г. Москва, м. ""Улица Дмитриевскоrо""")</f>
        <v>Технологическая часть ТПУ на станции метро "Улица Дмитриевского". Этап 1 «Улично-дорожная сеть и благоустройство» г. Москва, м. "Улица Дмитриевскоrо"</v>
      </c>
      <c r="F145" s="25" t="str">
        <f>IFERROR(__xludf.DUMMYFUNCTION("""COMPUTED_VALUE"""),"#N/A")</f>
        <v>#N/A</v>
      </c>
      <c r="G145" s="6" t="str">
        <f>IFERROR(__xludf.DUMMYFUNCTION("""COMPUTED_VALUE"""),"#N/A")</f>
        <v>#N/A</v>
      </c>
      <c r="H145" s="18" t="str">
        <f>IFERROR(__xludf.DUMMYFUNCTION("""COMPUTED_VALUE"""),"https://docs.google.com/spreadsheets/d/1jonEGMB3UFHiUZpltF1zURon8gYN7jGSHu-k9t5TXnA/edit?gid=867799308#gid=867799308")</f>
        <v>https://docs.google.com/spreadsheets/d/1jonEGMB3UFHiUZpltF1zURon8gYN7jGSHu-k9t5TXnA/edit?gid=867799308#gid=867799308</v>
      </c>
      <c r="I145" s="6"/>
      <c r="J145" s="50">
        <f>IFERROR(__xludf.DUMMYFUNCTION("""COMPUTED_VALUE"""),93.85)</f>
        <v>93.85</v>
      </c>
      <c r="K145" s="58">
        <f>IFERROR(__xludf.DUMMYFUNCTION("""COMPUTED_VALUE"""),45971.0)</f>
        <v>45971</v>
      </c>
      <c r="L145" s="6">
        <v>14.0</v>
      </c>
      <c r="M145" s="52">
        <v>45985.0</v>
      </c>
      <c r="N145" s="53" t="s">
        <v>711</v>
      </c>
      <c r="O145" s="6" t="s">
        <v>755</v>
      </c>
      <c r="P145" s="6"/>
      <c r="Q145" s="6"/>
      <c r="R145" s="6"/>
    </row>
    <row r="146">
      <c r="A146" s="31" t="str">
        <f>IFERROR(__xludf.DUMMYFUNCTION("""COMPUTED_VALUE"""),"241д")</f>
        <v>241д</v>
      </c>
      <c r="B146" s="14" t="str">
        <f>IFERROR(__xludf.DUMMYFUNCTION("""COMPUTED_VALUE"""),"АИП-25")</f>
        <v>АИП-25</v>
      </c>
      <c r="C146" s="14" t="str">
        <f>IFERROR(__xludf.DUMMYFUNCTION("""COMPUTED_VALUE"""),"УДС")</f>
        <v>УДС</v>
      </c>
      <c r="D146" s="15"/>
      <c r="E146" s="14" t="str">
        <f>IFERROR(__xludf.DUMMYFUNCTION("""COMPUTED_VALUE"""),"""Расширение Поморской улицы и Проектируемого проезда №2257 со строительством Проектируемого проезда вдоль ж/д путей"" проектируемый проезд № 2257")</f>
        <v>"Расширение Поморской улицы и Проектируемого проезда №2257 со строительством Проектируемого проезда вдоль ж/д путей" проектируемый проезд № 2257</v>
      </c>
      <c r="F146" s="25" t="str">
        <f>IFERROR(__xludf.DUMMYFUNCTION("""COMPUTED_VALUE"""),"#N/A")</f>
        <v>#N/A</v>
      </c>
      <c r="G146" s="6" t="str">
        <f>IFERROR(__xludf.DUMMYFUNCTION("""COMPUTED_VALUE"""),"#N/A")</f>
        <v>#N/A</v>
      </c>
      <c r="H146" s="6"/>
      <c r="I146" s="6"/>
      <c r="J146" s="50">
        <f>IFERROR(__xludf.DUMMYFUNCTION("""COMPUTED_VALUE"""),43.37349999999999)</f>
        <v>43.3735</v>
      </c>
      <c r="K146" s="58">
        <f>IFERROR(__xludf.DUMMYFUNCTION("""COMPUTED_VALUE"""),45972.0)</f>
        <v>45972</v>
      </c>
      <c r="L146" s="6">
        <v>30.0</v>
      </c>
      <c r="M146" s="52">
        <v>46002.0</v>
      </c>
      <c r="N146" s="53" t="s">
        <v>711</v>
      </c>
      <c r="O146" s="6" t="s">
        <v>756</v>
      </c>
      <c r="P146" s="6"/>
      <c r="Q146" s="6"/>
      <c r="R146" s="6"/>
    </row>
    <row r="147">
      <c r="A147" s="31" t="str">
        <f>IFERROR(__xludf.DUMMYFUNCTION("""COMPUTED_VALUE"""),"271")</f>
        <v>271</v>
      </c>
      <c r="B147" s="14" t="str">
        <f>IFERROR(__xludf.DUMMYFUNCTION("""COMPUTED_VALUE"""),"АИП-25")</f>
        <v>АИП-25</v>
      </c>
      <c r="C147" s="14" t="str">
        <f>IFERROR(__xludf.DUMMYFUNCTION("""COMPUTED_VALUE"""),"ОКС+УДС")</f>
        <v>ОКС+УДС</v>
      </c>
      <c r="D147" s="15"/>
      <c r="E147" s="14" t="str">
        <f>IFERROR(__xludf.DUMMYFUNCTION("""COMPUTED_VALUE"""),"Инфекционный лечебно-диагностический комплекс на территории ГБУЗ «ИКБ №1 ДЗМ» по адресу: Волоколамское шоссе вл.63 (4 этап - снос строения 8, благоустройство с учетом строительства плоскостной парковки) район Покровское Стрешнево, Волоколамское шоссе, вл."&amp;" 63")</f>
        <v>Инфекционный лечебно-диагностический комплекс на территории ГБУЗ «ИКБ №1 ДЗМ» по адресу: Волоколамское шоссе вл.63 (4 этап - снос строения 8, благоустройство с учетом строительства плоскостной парковки) район Покровское Стрешнево, Волоколамское шоссе, вл. 63</v>
      </c>
      <c r="F147" s="25" t="str">
        <f>IFERROR(__xludf.DUMMYFUNCTION("""COMPUTED_VALUE"""),"#N/A")</f>
        <v>#N/A</v>
      </c>
      <c r="G147" s="6" t="str">
        <f>IFERROR(__xludf.DUMMYFUNCTION("""COMPUTED_VALUE"""),"#N/A")</f>
        <v>#N/A</v>
      </c>
      <c r="H147" s="18" t="str">
        <f>IFERROR(__xludf.DUMMYFUNCTION("""COMPUTED_VALUE"""),"https://docs.google.com/spreadsheets/d/19THEBTE9q0fhN2eApZr6BgenIvLGh0AckaYxHQfHk5w/edit?gid=1122098062#gid=1122098062")</f>
        <v>https://docs.google.com/spreadsheets/d/19THEBTE9q0fhN2eApZr6BgenIvLGh0AckaYxHQfHk5w/edit?gid=1122098062#gid=1122098062</v>
      </c>
      <c r="I147" s="19" t="str">
        <f>IFERROR(__xludf.DUMMYFUNCTION("""COMPUTED_VALUE"""),"https://disk.yandex.ru/client/disk/Осмотры%20объектов%20АНО%20СМГ/271.%20Волоколамское%20шоссе%2C%20вл%2063%20(4%20этап)")</f>
        <v>https://disk.yandex.ru/client/disk/Осмотры%20объектов%20АНО%20СМГ/271.%20Волоколамское%20шоссе%2C%20вл%2063%20(4%20этап)</v>
      </c>
      <c r="J147" s="50">
        <f>IFERROR(__xludf.DUMMYFUNCTION("""COMPUTED_VALUE"""),100.0)</f>
        <v>100</v>
      </c>
      <c r="K147" s="58">
        <f>IFERROR(__xludf.DUMMYFUNCTION("""COMPUTED_VALUE"""),45902.0)</f>
        <v>45902</v>
      </c>
      <c r="L147" s="6" t="s">
        <v>654</v>
      </c>
      <c r="M147" s="52" t="s">
        <v>655</v>
      </c>
      <c r="N147" s="53" t="s">
        <v>656</v>
      </c>
      <c r="O147" s="19" t="s">
        <v>757</v>
      </c>
      <c r="P147" s="6"/>
      <c r="Q147" s="6"/>
      <c r="R147" s="6"/>
    </row>
    <row r="148">
      <c r="A148" s="31" t="str">
        <f>IFERROR(__xludf.DUMMYFUNCTION("""COMPUTED_VALUE"""),"297")</f>
        <v>297</v>
      </c>
      <c r="B148" s="14" t="str">
        <f>IFERROR(__xludf.DUMMYFUNCTION("""COMPUTED_VALUE"""),"АИП-25")</f>
        <v>АИП-25</v>
      </c>
      <c r="C148" s="14" t="str">
        <f>IFERROR(__xludf.DUMMYFUNCTION("""COMPUTED_VALUE"""),"ОКС")</f>
        <v>ОКС</v>
      </c>
      <c r="D148" s="15"/>
      <c r="E148" s="14" t="str">
        <f>IFERROR(__xludf.DUMMYFUNCTION("""COMPUTED_VALUE"""),"Лечебно-диагностический комплекс ГБУЗ «МКНЦ им. А.С. Логинова ДЗМ» 2 этап район Перово, ш. Энтузиастов, вл. 86")</f>
        <v>Лечебно-диагностический комплекс ГБУЗ «МКНЦ им. А.С. Логинова ДЗМ» 2 этап район Перово, ш. Энтузиастов, вл. 86</v>
      </c>
      <c r="F148" s="25" t="str">
        <f>IFERROR(__xludf.DUMMYFUNCTION("""COMPUTED_VALUE"""),"55.76521285831778")</f>
        <v>55.76521285831778</v>
      </c>
      <c r="G148" s="6" t="str">
        <f>IFERROR(__xludf.DUMMYFUNCTION("""COMPUTED_VALUE"""),"37.7956623862295")</f>
        <v>37.7956623862295</v>
      </c>
      <c r="H148" s="18" t="str">
        <f>IFERROR(__xludf.DUMMYFUNCTION("""COMPUTED_VALUE"""),"https://docs.google.com/spreadsheets/d/19THEBTE9q0fhN2eApZr6BgenIvLGh0AckaYxHQfHk5w/edit?gid=1703085430#gid=1703085430")</f>
        <v>https://docs.google.com/spreadsheets/d/19THEBTE9q0fhN2eApZr6BgenIvLGh0AckaYxHQfHk5w/edit?gid=1703085430#gid=1703085430</v>
      </c>
      <c r="I148"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148" s="50">
        <f>IFERROR(__xludf.DUMMYFUNCTION("""COMPUTED_VALUE"""),0.0)</f>
        <v>0</v>
      </c>
      <c r="K148" s="58">
        <f>IFERROR(__xludf.DUMMYFUNCTION("""COMPUTED_VALUE"""),45954.0)</f>
        <v>45954</v>
      </c>
      <c r="L148" s="6">
        <v>30.0</v>
      </c>
      <c r="M148" s="52">
        <v>45984.0</v>
      </c>
      <c r="N148" s="53" t="s">
        <v>652</v>
      </c>
      <c r="O148" s="19" t="s">
        <v>758</v>
      </c>
      <c r="P148" s="6"/>
      <c r="Q148" s="6"/>
      <c r="R148" s="6"/>
    </row>
    <row r="149">
      <c r="A149" s="31" t="str">
        <f>IFERROR(__xludf.DUMMYFUNCTION("""COMPUTED_VALUE"""),"262")</f>
        <v>262</v>
      </c>
      <c r="B149" s="14" t="str">
        <f>IFERROR(__xludf.DUMMYFUNCTION("""COMPUTED_VALUE"""),"АИП-25")</f>
        <v>АИП-25</v>
      </c>
      <c r="C149" s="14" t="str">
        <f>IFERROR(__xludf.DUMMYFUNCTION("""COMPUTED_VALUE"""),"ОКС")</f>
        <v>ОКС</v>
      </c>
      <c r="D149" s="15"/>
      <c r="E149" s="14" t="str">
        <f>IFERROR(__xludf.DUMMYFUNCTION("""COMPUTED_VALUE"""),"Лечебно-диагностический комплекс ГБУЗ «МКНЦ им. А.С. Логинова ДЗМ» 3 этап КПП и благоустройство район Перово, ш. Энтузиастов, вл. 86")</f>
        <v>Лечебно-диагностический комплекс ГБУЗ «МКНЦ им. А.С. Логинова ДЗМ» 3 этап КПП и благоустройство район Перово, ш. Энтузиастов, вл. 86</v>
      </c>
      <c r="F149" s="25" t="str">
        <f>IFERROR(__xludf.DUMMYFUNCTION("""COMPUTED_VALUE"""),"#N/A")</f>
        <v>#N/A</v>
      </c>
      <c r="G149" s="6" t="str">
        <f>IFERROR(__xludf.DUMMYFUNCTION("""COMPUTED_VALUE"""),"#N/A")</f>
        <v>#N/A</v>
      </c>
      <c r="H149" s="18" t="str">
        <f>IFERROR(__xludf.DUMMYFUNCTION("""COMPUTED_VALUE"""),"https://docs.google.com/spreadsheets/d/19THEBTE9q0fhN2eApZr6BgenIvLGh0AckaYxHQfHk5w/edit?gid=1094262803#gid=1094262803")</f>
        <v>https://docs.google.com/spreadsheets/d/19THEBTE9q0fhN2eApZr6BgenIvLGh0AckaYxHQfHk5w/edit?gid=1094262803#gid=1094262803</v>
      </c>
      <c r="I149"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149" s="50">
        <f>IFERROR(__xludf.DUMMYFUNCTION("""COMPUTED_VALUE"""),100.0)</f>
        <v>100</v>
      </c>
      <c r="K149" s="58">
        <f>IFERROR(__xludf.DUMMYFUNCTION("""COMPUTED_VALUE"""),45838.0)</f>
        <v>45838</v>
      </c>
      <c r="L149" s="6" t="s">
        <v>654</v>
      </c>
      <c r="M149" s="52" t="s">
        <v>655</v>
      </c>
      <c r="N149" s="53" t="s">
        <v>656</v>
      </c>
      <c r="O149" s="19" t="s">
        <v>759</v>
      </c>
      <c r="P149" s="6"/>
      <c r="Q149" s="6"/>
      <c r="R149" s="6"/>
    </row>
    <row r="150">
      <c r="A150" s="31" t="str">
        <f>IFERROR(__xludf.DUMMYFUNCTION("""COMPUTED_VALUE"""),"190")</f>
        <v>190</v>
      </c>
      <c r="B150" s="14" t="str">
        <f>IFERROR(__xludf.DUMMYFUNCTION("""COMPUTED_VALUE"""),"РЕН-25")</f>
        <v>РЕН-25</v>
      </c>
      <c r="C150" s="14" t="str">
        <f>IFERROR(__xludf.DUMMYFUNCTION("""COMPUTED_VALUE"""),"ОКС")</f>
        <v>ОКС</v>
      </c>
      <c r="D150" s="15"/>
      <c r="E150" s="14" t="str">
        <f>IFERROR(__xludf.DUMMYFUNCTION("""COMPUTED_VALUE"""),"Жилой дом с инженерными коммуникациями и благоустройством, Чечерский проезд, вл. 28 район Южное Бутово, Чечерский проезд, вл. 28 участок 1")</f>
        <v>Жилой дом с инженерными коммуникациями и благоустройством, Чечерский проезд, вл. 28 район Южное Бутово, Чечерский проезд, вл. 28 участок 1</v>
      </c>
      <c r="F150" s="25" t="str">
        <f>IFERROR(__xludf.DUMMYFUNCTION("""COMPUTED_VALUE"""),"55.535215")</f>
        <v>55.535215</v>
      </c>
      <c r="G150" s="6" t="str">
        <f>IFERROR(__xludf.DUMMYFUNCTION("""COMPUTED_VALUE"""),"37.537291")</f>
        <v>37.537291</v>
      </c>
      <c r="H150" s="18" t="str">
        <f>IFERROR(__xludf.DUMMYFUNCTION("""COMPUTED_VALUE"""),"https://docs.google.com/spreadsheets/d/1H1MjbG2y0oC0hhID4do1G0_gfyI1jag72lQd7nL3WDQ/edit?gid=1295057076#gid=1295057076")</f>
        <v>https://docs.google.com/spreadsheets/d/1H1MjbG2y0oC0hhID4do1G0_gfyI1jag72lQd7nL3WDQ/edit?gid=1295057076#gid=1295057076</v>
      </c>
      <c r="I150" s="19" t="str">
        <f>IFERROR(__xludf.DUMMYFUNCTION("""COMPUTED_VALUE"""),"https://disk.yandex.ru/client/disk/Осмотры%20объектов%20АНО%20СМГ/190.%20Южное%20Бутово%2C%20Чечëрский%20пр-д%2C%20вл.%2028%2C%20уч.%201.")</f>
        <v>https://disk.yandex.ru/client/disk/Осмотры%20объектов%20АНО%20СМГ/190.%20Южное%20Бутово%2C%20Чечëрский%20пр-д%2C%20вл.%2028%2C%20уч.%201.</v>
      </c>
      <c r="J150" s="50">
        <f>IFERROR(__xludf.DUMMYFUNCTION("""COMPUTED_VALUE"""),99.58862500000001)</f>
        <v>99.588625</v>
      </c>
      <c r="K150" s="58">
        <f>IFERROR(__xludf.DUMMYFUNCTION("""COMPUTED_VALUE"""),45968.0)</f>
        <v>45968</v>
      </c>
      <c r="L150" s="6">
        <v>7.0</v>
      </c>
      <c r="M150" s="52">
        <v>45975.0</v>
      </c>
      <c r="N150" s="53" t="s">
        <v>652</v>
      </c>
      <c r="O150" s="19" t="s">
        <v>760</v>
      </c>
      <c r="P150" s="6"/>
      <c r="Q150" s="6"/>
      <c r="R150" s="6"/>
    </row>
    <row r="151">
      <c r="A151" s="31" t="str">
        <f>IFERROR(__xludf.DUMMYFUNCTION("""COMPUTED_VALUE"""),"258")</f>
        <v>258</v>
      </c>
      <c r="B151" s="14" t="str">
        <f>IFERROR(__xludf.DUMMYFUNCTION("""COMPUTED_VALUE"""),"АИП-25")</f>
        <v>АИП-25</v>
      </c>
      <c r="C151" s="14" t="str">
        <f>IFERROR(__xludf.DUMMYFUNCTION("""COMPUTED_VALUE"""),"ОКС")</f>
        <v>ОКС</v>
      </c>
      <c r="D151" s="62"/>
      <c r="E151" s="14" t="str">
        <f>IFERROR(__xludf.DUMMYFUNCTION("""COMPUTED_VALUE"""),"Здание для размещения дошкольных групп на 150 мест 
 на месте сноса неиспользуемого здания,
 ул. Астрадамская, д. 15, к. 2 район Тимирязевский, ул. Астрадамская, д. 15, к. 2")</f>
        <v>Здание для размещения дошкольных групп на 150 мест 
 на месте сноса неиспользуемого здания,
 ул. Астрадамская, д. 15, к. 2 район Тимирязевский, ул. Астрадамская, д. 15, к. 2</v>
      </c>
      <c r="F151" s="25" t="str">
        <f>IFERROR(__xludf.DUMMYFUNCTION("""COMPUTED_VALUE"""),"55.813379")</f>
        <v>55.813379</v>
      </c>
      <c r="G151" s="6" t="str">
        <f>IFERROR(__xludf.DUMMYFUNCTION("""COMPUTED_VALUE"""),"37.559936")</f>
        <v>37.559936</v>
      </c>
      <c r="H151" s="18" t="str">
        <f>IFERROR(__xludf.DUMMYFUNCTION("""COMPUTED_VALUE"""),"https://docs.google.com/spreadsheets/d/19THEBTE9q0fhN2eApZr6BgenIvLGh0AckaYxHQfHk5w/edit?gid=1404088730#gid=1404088730")</f>
        <v>https://docs.google.com/spreadsheets/d/19THEBTE9q0fhN2eApZr6BgenIvLGh0AckaYxHQfHk5w/edit?gid=1404088730#gid=1404088730</v>
      </c>
      <c r="I151" s="19" t="str">
        <f>IFERROR(__xludf.DUMMYFUNCTION("""COMPUTED_VALUE"""),"https://disk.yandex.ru/client/disk/Осмотры%20объектов%20АНО%20СМГ/258.%20САО%2C%20ул.%20Астрадамская%2C%20д.%2015%2C%20к.%202%20ДОУ%20150%20мест")</f>
        <v>https://disk.yandex.ru/client/disk/Осмотры%20объектов%20АНО%20СМГ/258.%20САО%2C%20ул.%20Астрадамская%2C%20д.%2015%2C%20к.%202%20ДОУ%20150%20мест</v>
      </c>
      <c r="J151" s="63">
        <f>IFERROR(__xludf.DUMMYFUNCTION("""COMPUTED_VALUE"""),99.87598)</f>
        <v>99.87598</v>
      </c>
      <c r="K151" s="58">
        <f>IFERROR(__xludf.DUMMYFUNCTION("""COMPUTED_VALUE"""),45968.0)</f>
        <v>45968</v>
      </c>
      <c r="L151" s="64">
        <v>7.0</v>
      </c>
      <c r="M151" s="65">
        <v>45975.0</v>
      </c>
      <c r="N151" s="66" t="s">
        <v>701</v>
      </c>
      <c r="O151" s="67" t="s">
        <v>761</v>
      </c>
      <c r="P151" s="64"/>
      <c r="Q151" s="64"/>
      <c r="R151" s="64"/>
      <c r="S151" s="68"/>
      <c r="T151" s="68"/>
      <c r="U151" s="68"/>
      <c r="V151" s="68"/>
      <c r="W151" s="68"/>
      <c r="X151" s="68"/>
      <c r="Y151" s="68"/>
      <c r="Z151" s="68"/>
    </row>
    <row r="152">
      <c r="A152" s="31" t="str">
        <f>IFERROR(__xludf.DUMMYFUNCTION("""COMPUTED_VALUE"""),"015")</f>
        <v>015</v>
      </c>
      <c r="B152" s="14" t="str">
        <f>IFERROR(__xludf.DUMMYFUNCTION("""COMPUTED_VALUE"""),"АИП-25")</f>
        <v>АИП-25</v>
      </c>
      <c r="C152" s="14" t="str">
        <f>IFERROR(__xludf.DUMMYFUNCTION("""COMPUTED_VALUE"""),"ОКС")</f>
        <v>ОКС</v>
      </c>
      <c r="D152" s="69"/>
      <c r="E152" s="14" t="str">
        <f>IFERROR(__xludf.DUMMYFUNCTION("""COMPUTED_VALUE"""),"Пожарное депо на 4 машино-места, пос. Воскресенское (Завершение работ) п. Воскресенское, влд. 67А")</f>
        <v>Пожарное депо на 4 машино-места, пос. Воскресенское (Завершение работ) п. Воскресенское, влд. 67А</v>
      </c>
      <c r="F152" s="25" t="str">
        <f>IFERROR(__xludf.DUMMYFUNCTION("""COMPUTED_VALUE"""),"55.518890")</f>
        <v>55.518890</v>
      </c>
      <c r="G152" s="6" t="str">
        <f>IFERROR(__xludf.DUMMYFUNCTION("""COMPUTED_VALUE"""),"37.448145")</f>
        <v>37.448145</v>
      </c>
      <c r="H152" s="18" t="str">
        <f>IFERROR(__xludf.DUMMYFUNCTION("""COMPUTED_VALUE"""),"https://docs.google.com/spreadsheets/d/19THEBTE9q0fhN2eApZr6BgenIvLGh0AckaYxHQfHk5w/edit?gid=1728236412#gid=1728236412")</f>
        <v>https://docs.google.com/spreadsheets/d/19THEBTE9q0fhN2eApZr6BgenIvLGh0AckaYxHQfHk5w/edit?gid=1728236412#gid=1728236412</v>
      </c>
      <c r="I152" s="19" t="str">
        <f>IFERROR(__xludf.DUMMYFUNCTION("""COMPUTED_VALUE"""),"https://disk.yandex.ru/client/disk/Осмотры%20объектов%20АНО%20СМГ/015.%20Пожарное%20депо%20на%204%20м-м%2C%20Воскресенское")</f>
        <v>https://disk.yandex.ru/client/disk/Осмотры%20объектов%20АНО%20СМГ/015.%20Пожарное%20депо%20на%204%20м-м%2C%20Воскресенское</v>
      </c>
      <c r="J152" s="50">
        <f>IFERROR(__xludf.DUMMYFUNCTION("""COMPUTED_VALUE"""),97.067355)</f>
        <v>97.067355</v>
      </c>
      <c r="K152" s="58">
        <f>IFERROR(__xludf.DUMMYFUNCTION("""COMPUTED_VALUE"""),45972.0)</f>
        <v>45972</v>
      </c>
      <c r="L152" s="6">
        <v>7.0</v>
      </c>
      <c r="M152" s="52">
        <v>45979.0</v>
      </c>
      <c r="N152" s="53" t="s">
        <v>692</v>
      </c>
      <c r="O152" s="19" t="s">
        <v>762</v>
      </c>
      <c r="P152" s="6"/>
      <c r="Q152" s="6"/>
      <c r="R152" s="6"/>
    </row>
    <row r="153">
      <c r="A153" s="31" t="str">
        <f>IFERROR(__xludf.DUMMYFUNCTION("""COMPUTED_VALUE"""),"1084")</f>
        <v>1084</v>
      </c>
      <c r="B153" s="14" t="str">
        <f>IFERROR(__xludf.DUMMYFUNCTION("""COMPUTED_VALUE"""),"АИП-25")</f>
        <v>АИП-25</v>
      </c>
      <c r="C153" s="14" t="str">
        <f>IFERROR(__xludf.DUMMYFUNCTION("""COMPUTED_VALUE"""),"ОКС")</f>
        <v>ОКС</v>
      </c>
      <c r="D153" s="15"/>
      <c r="E153" s="14" t="str">
        <f>IFERROR(__xludf.DUMMYFUNCTION("""COMPUTED_VALUE"""),"Строительство сетей канализации, д. Саларьево, пос. Московский. Этап 3 д. Саларьево, пос.  Московский")</f>
        <v>Строительство сетей канализации, д. Саларьево, пос. Московский. Этап 3 д. Саларьево, пос.  Московский</v>
      </c>
      <c r="F153" s="25" t="str">
        <f>IFERROR(__xludf.DUMMYFUNCTION("""COMPUTED_VALUE"""),"55.622733")</f>
        <v>55.622733</v>
      </c>
      <c r="G153" s="6" t="str">
        <f>IFERROR(__xludf.DUMMYFUNCTION("""COMPUTED_VALUE"""),"37.437650")</f>
        <v>37.437650</v>
      </c>
      <c r="H153" s="18" t="str">
        <f>IFERROR(__xludf.DUMMYFUNCTION("""COMPUTED_VALUE"""),"https://docs.google.com/spreadsheets/d/19THEBTE9q0fhN2eApZr6BgenIvLGh0AckaYxHQfHk5w/edit?gid=1264375992#gid=1264375992")</f>
        <v>https://docs.google.com/spreadsheets/d/19THEBTE9q0fhN2eApZr6BgenIvLGh0AckaYxHQfHk5w/edit?gid=1264375992#gid=1264375992</v>
      </c>
      <c r="I153" s="19" t="str">
        <f>IFERROR(__xludf.DUMMYFUNCTION("""COMPUTED_VALUE"""),"https://disk.yandex.ru/client/disk/Осмотры%20объектов%20АНО%20СМГ/1084.%20«Строительство%20сетей%20канализации%20д.%20Саларьево%20пос.%20Московский%20Новомосковского%20административного%20округа%20г.Москвы»%20Этап%203")</f>
        <v>https://disk.yandex.ru/client/disk/Осмотры%20объектов%20АНО%20СМГ/1084.%20«Строительство%20сетей%20канализации%20д.%20Саларьево%20пос.%20Московский%20Новомосковского%20административного%20округа%20г.Москвы»%20Этап%203</v>
      </c>
      <c r="J153" s="50">
        <f>IFERROR(__xludf.DUMMYFUNCTION("""COMPUTED_VALUE"""),99.5)</f>
        <v>99.5</v>
      </c>
      <c r="K153" s="58">
        <f>IFERROR(__xludf.DUMMYFUNCTION("""COMPUTED_VALUE"""),45951.0)</f>
        <v>45951</v>
      </c>
      <c r="L153" s="6">
        <v>7.0</v>
      </c>
      <c r="M153" s="52">
        <v>45958.0</v>
      </c>
      <c r="N153" s="53" t="s">
        <v>652</v>
      </c>
      <c r="O153" s="61" t="s">
        <v>763</v>
      </c>
      <c r="P153" s="6"/>
      <c r="Q153" s="6"/>
      <c r="R153" s="6"/>
    </row>
    <row r="154">
      <c r="A154" s="31" t="str">
        <f>IFERROR(__xludf.DUMMYFUNCTION("""COMPUTED_VALUE"""),"1129")</f>
        <v>1129</v>
      </c>
      <c r="B154" s="14" t="str">
        <f>IFERROR(__xludf.DUMMYFUNCTION("""COMPUTED_VALUE"""),"АИП-25")</f>
        <v>АИП-25</v>
      </c>
      <c r="C154" s="14" t="str">
        <f>IFERROR(__xludf.DUMMYFUNCTION("""COMPUTED_VALUE"""),"ОКС")</f>
        <v>ОКС</v>
      </c>
      <c r="D154" s="15"/>
      <c r="E154" s="14" t="str">
        <f>IFERROR(__xludf.DUMMYFUNCTION("""COMPUTED_VALUE"""),"Водозаборный узел для садоводческого некоммерческого товарищества «Русь» район Темкинский, СНТ «Русь»")</f>
        <v>Водозаборный узел для садоводческого некоммерческого товарищества «Русь» район Темкинский, СНТ «Русь»</v>
      </c>
      <c r="F154" s="25" t="str">
        <f>IFERROR(__xludf.DUMMYFUNCTION("""COMPUTED_VALUE"""),"55.319224")</f>
        <v>55.319224</v>
      </c>
      <c r="G154" s="6" t="str">
        <f>IFERROR(__xludf.DUMMYFUNCTION("""COMPUTED_VALUE"""),"35.274278")</f>
        <v>35.274278</v>
      </c>
      <c r="H154" s="18" t="str">
        <f>IFERROR(__xludf.DUMMYFUNCTION("""COMPUTED_VALUE"""),"https://docs.google.com/spreadsheets/d/19THEBTE9q0fhN2eApZr6BgenIvLGh0AckaYxHQfHk5w/edit?gid=1223406646#gid=1223406646")</f>
        <v>https://docs.google.com/spreadsheets/d/19THEBTE9q0fhN2eApZr6BgenIvLGh0AckaYxHQfHk5w/edit?gid=1223406646#gid=1223406646</v>
      </c>
      <c r="I154" s="19" t="str">
        <f>IFERROR(__xludf.DUMMYFUNCTION("""COMPUTED_VALUE"""),"https://disk.yandex.ru/client/disk/Осмотры%20объектов%20АНО%20СМГ/1129.%20Водозаборный%20узел.%20СНТ%20%22Русь%22%20Смоленская%20обл.")</f>
        <v>https://disk.yandex.ru/client/disk/Осмотры%20объектов%20АНО%20СМГ/1129.%20Водозаборный%20узел.%20СНТ%20%22Русь%22%20Смоленская%20обл.</v>
      </c>
      <c r="J154" s="50">
        <f>IFERROR(__xludf.DUMMYFUNCTION("""COMPUTED_VALUE"""),100.0)</f>
        <v>100</v>
      </c>
      <c r="K154" s="58">
        <f>IFERROR(__xludf.DUMMYFUNCTION("""COMPUTED_VALUE"""),45894.0)</f>
        <v>45894</v>
      </c>
      <c r="L154" s="6" t="s">
        <v>654</v>
      </c>
      <c r="M154" s="52" t="s">
        <v>655</v>
      </c>
      <c r="N154" s="53" t="s">
        <v>656</v>
      </c>
      <c r="O154" s="19" t="s">
        <v>764</v>
      </c>
      <c r="P154" s="6"/>
      <c r="Q154" s="6"/>
      <c r="R154" s="6"/>
    </row>
    <row r="155">
      <c r="A155" s="31" t="str">
        <f>IFERROR(__xludf.DUMMYFUNCTION("""COMPUTED_VALUE"""),"1024")</f>
        <v>1024</v>
      </c>
      <c r="B155" s="14" t="str">
        <f>IFERROR(__xludf.DUMMYFUNCTION("""COMPUTED_VALUE"""),"ВНЕ СПИСКА")</f>
        <v>ВНЕ СПИСКА</v>
      </c>
      <c r="C155" s="14" t="str">
        <f>IFERROR(__xludf.DUMMYFUNCTION("""COMPUTED_VALUE"""),"ОКС")</f>
        <v>ОКС</v>
      </c>
      <c r="D155" s="15" t="str">
        <f>IFERROR(__xludf.DUMMYFUNCTION("""COMPUTED_VALUE"""),"да")</f>
        <v>да</v>
      </c>
      <c r="E155" s="14" t="str">
        <f>IFERROR(__xludf.DUMMYFUNCTION("""COMPUTED_VALUE"""),"Осмотр итогов строительства дошкольной образовательной организации на 200 мест в составе ЖК «Остров», СЗАО, р-н Хорошёво-Мнёвники, Нижние Мневники ул. уч. 9  р-н Хорошёво-Мнёвники, Нижние Мневники ул. уч. 9 ")</f>
        <v>Осмотр итогов строительства дошкольной образовательной организации на 200 мест в составе ЖК «Остров», СЗАО, р-н Хорошёво-Мнёвники, Нижние Мневники ул. уч. 9  р-н Хорошёво-Мнёвники, Нижние Мневники ул. уч. 9 </v>
      </c>
      <c r="F155" s="25" t="str">
        <f>IFERROR(__xludf.DUMMYFUNCTION("""COMPUTED_VALUE"""),"#N/A")</f>
        <v>#N/A</v>
      </c>
      <c r="G155" s="6" t="str">
        <f>IFERROR(__xludf.DUMMYFUNCTION("""COMPUTED_VALUE"""),"#N/A")</f>
        <v>#N/A</v>
      </c>
      <c r="H155" s="18" t="str">
        <f>IFERROR(__xludf.DUMMYFUNCTION("""COMPUTED_VALUE"""),"https://docs.google.com/spreadsheets/d/1EI7qusa674eJhuaw-nWWtWMEHVSYMQv7HLsInEZTWpE/edit?gid=994703710#gid=994703710")</f>
        <v>https://docs.google.com/spreadsheets/d/1EI7qusa674eJhuaw-nWWtWMEHVSYMQv7HLsInEZTWpE/edit?gid=994703710#gid=994703710</v>
      </c>
      <c r="I155" s="19" t="str">
        <f>IFERROR(__xludf.DUMMYFUNCTION("""COMPUTED_VALUE"""),"https://disk.yandex.ru/client/disk/Осмотры%20объектов%20АНО%20СМГ/1024.%20ДОУ%20200%20мест%20нижние%20мневники%209")</f>
        <v>https://disk.yandex.ru/client/disk/Осмотры%20объектов%20АНО%20СМГ/1024.%20ДОУ%20200%20мест%20нижние%20мневники%209</v>
      </c>
      <c r="J155" s="50">
        <f>IFERROR(__xludf.DUMMYFUNCTION("""COMPUTED_VALUE"""),99.97749999999999)</f>
        <v>99.9775</v>
      </c>
      <c r="K155" s="58">
        <f>IFERROR(__xludf.DUMMYFUNCTION("""COMPUTED_VALUE"""),45873.0)</f>
        <v>45873</v>
      </c>
      <c r="L155" s="6">
        <v>7.0</v>
      </c>
      <c r="M155" s="52">
        <v>45880.0</v>
      </c>
      <c r="N155" s="53" t="s">
        <v>652</v>
      </c>
      <c r="O155" s="19" t="s">
        <v>765</v>
      </c>
      <c r="P155" s="6"/>
      <c r="Q155" s="6"/>
      <c r="R155" s="6"/>
    </row>
    <row r="156">
      <c r="A156" s="31" t="str">
        <f>IFERROR(__xludf.DUMMYFUNCTION("""COMPUTED_VALUE"""),"098")</f>
        <v>098</v>
      </c>
      <c r="B156" s="14" t="str">
        <f>IFERROR(__xludf.DUMMYFUNCTION("""COMPUTED_VALUE"""),"АИП-25")</f>
        <v>АИП-25</v>
      </c>
      <c r="C156" s="14" t="str">
        <f>IFERROR(__xludf.DUMMYFUNCTION("""COMPUTED_VALUE"""),"ОКС")</f>
        <v>ОКС</v>
      </c>
      <c r="D156" s="15"/>
      <c r="E156" s="14" t="str">
        <f>IFERROR(__xludf.DUMMYFUNCTION("""COMPUTED_VALUE"""),"Школа на 375 мест (на месте сноса здания), ЗАО, Багратионовский проезд, д. 10 район Филевский Парк, Багратионовский проезд, д. 10")</f>
        <v>Школа на 375 мест (на месте сноса здания), ЗАО, Багратионовский проезд, д. 10 район Филевский Парк, Багратионовский проезд, д. 10</v>
      </c>
      <c r="F156" s="25" t="str">
        <f>IFERROR(__xludf.DUMMYFUNCTION("""COMPUTED_VALUE"""),"#N/A")</f>
        <v>#N/A</v>
      </c>
      <c r="G156" s="6" t="str">
        <f>IFERROR(__xludf.DUMMYFUNCTION("""COMPUTED_VALUE"""),"#N/A")</f>
        <v>#N/A</v>
      </c>
      <c r="H156" s="18" t="str">
        <f>IFERROR(__xludf.DUMMYFUNCTION("""COMPUTED_VALUE"""),"https://docs.google.com/spreadsheets/d/19THEBTE9q0fhN2eApZr6BgenIvLGh0AckaYxHQfHk5w/edit?gid=178055917#gid=178055917")</f>
        <v>https://docs.google.com/spreadsheets/d/19THEBTE9q0fhN2eApZr6BgenIvLGh0AckaYxHQfHk5w/edit?gid=178055917#gid=178055917</v>
      </c>
      <c r="I156" s="19"/>
      <c r="J156" s="50">
        <f>IFERROR(__xludf.DUMMYFUNCTION("""COMPUTED_VALUE"""),99.99549999999999)</f>
        <v>99.9955</v>
      </c>
      <c r="K156" s="58">
        <f>IFERROR(__xludf.DUMMYFUNCTION("""COMPUTED_VALUE"""),45937.0)</f>
        <v>45937</v>
      </c>
      <c r="L156" s="6">
        <v>7.0</v>
      </c>
      <c r="M156" s="52">
        <v>45944.0</v>
      </c>
      <c r="N156" s="53" t="s">
        <v>652</v>
      </c>
      <c r="O156" s="19" t="s">
        <v>766</v>
      </c>
      <c r="P156" s="6"/>
      <c r="Q156" s="6"/>
      <c r="R156" s="6"/>
    </row>
    <row r="157">
      <c r="A157" s="31"/>
      <c r="B157" s="14"/>
      <c r="C157" s="14" t="str">
        <f>IFERROR(__xludf.DUMMYFUNCTION("""COMPUTED_VALUE"""),"УДС")</f>
        <v>УДС</v>
      </c>
      <c r="D157" s="60"/>
      <c r="E157" s="14" t="str">
        <f>IFERROR(__xludf.DUMMYFUNCTION("""COMPUTED_VALUE"""),"Строительство/реконструкция подьездной дороги к объекту ""Школа на 2200"" по ул. Главная, 9А, 13, 13/3 ул. Главная, р-н Восточный")</f>
        <v>Строительство/реконструкция подьездной дороги к объекту "Школа на 2200" по ул. Главная, 9А, 13, 13/3 ул. Главная, р-н Восточный</v>
      </c>
      <c r="F157" s="25" t="str">
        <f>IFERROR(__xludf.DUMMYFUNCTION("""COMPUTED_VALUE"""),"#N/A")</f>
        <v>#N/A</v>
      </c>
      <c r="G157" s="6" t="str">
        <f>IFERROR(__xludf.DUMMYFUNCTION("""COMPUTED_VALUE"""),"#N/A")</f>
        <v>#N/A</v>
      </c>
      <c r="H157" s="6"/>
      <c r="I157" s="6"/>
      <c r="J157" s="50"/>
      <c r="K157" s="58"/>
      <c r="L157" s="6" t="s">
        <v>655</v>
      </c>
      <c r="M157" s="52" t="s">
        <v>655</v>
      </c>
      <c r="N157" s="53" t="s">
        <v>655</v>
      </c>
      <c r="O157" s="6"/>
      <c r="P157" s="6"/>
      <c r="Q157" s="6"/>
      <c r="R157" s="6"/>
    </row>
    <row r="158">
      <c r="A158" s="31" t="str">
        <f>IFERROR(__xludf.DUMMYFUNCTION("""COMPUTED_VALUE"""),"097")</f>
        <v>097</v>
      </c>
      <c r="B158" s="14" t="str">
        <f>IFERROR(__xludf.DUMMYFUNCTION("""COMPUTED_VALUE"""),"АИП-25")</f>
        <v>АИП-25</v>
      </c>
      <c r="C158" s="14" t="str">
        <f>IFERROR(__xludf.DUMMYFUNCTION("""COMPUTED_VALUE"""),"ОКС")</f>
        <v>ОКС</v>
      </c>
      <c r="D158" s="15"/>
      <c r="E158" s="14" t="str">
        <f>IFERROR(__xludf.DUMMYFUNCTION("""COMPUTED_VALUE"""),"Учебный корпус на 550 мест и ДОУ на 225 мест, ул. Салтыковская, д. 6 район Косино-Ухтомский, ул. Салтыковская, влд. 6")</f>
        <v>Учебный корпус на 550 мест и ДОУ на 225 мест, ул. Салтыковская, д. 6 район Косино-Ухтомский, ул. Салтыковская, влд. 6</v>
      </c>
      <c r="F158" s="25" t="str">
        <f>IFERROR(__xludf.DUMMYFUNCTION("""COMPUTED_VALUE"""),"55.726012")</f>
        <v>55.726012</v>
      </c>
      <c r="G158" s="6" t="str">
        <f>IFERROR(__xludf.DUMMYFUNCTION("""COMPUTED_VALUE"""),"37.864788")</f>
        <v>37.864788</v>
      </c>
      <c r="H158" s="18" t="str">
        <f>IFERROR(__xludf.DUMMYFUNCTION("""COMPUTED_VALUE"""),"https://docs.google.com/spreadsheets/d/19THEBTE9q0fhN2eApZr6BgenIvLGh0AckaYxHQfHk5w/edit?gid=1230967250#gid=1230967250")</f>
        <v>https://docs.google.com/spreadsheets/d/19THEBTE9q0fhN2eApZr6BgenIvLGh0AckaYxHQfHk5w/edit?gid=1230967250#gid=1230967250</v>
      </c>
      <c r="I158" s="19" t="str">
        <f>IFERROR(__xludf.DUMMYFUNCTION("""COMPUTED_VALUE"""),"https://disk.yandex.ru/client/disk/Осмотры%20объектов%20АНО%20СМГ/097.%20Учебный%20корпус%20на%20550%20мест%20с%20дошкольным%20отделением%20на%20225%20мест%09%09район%09косино-Ухтомский%2C%20ул.%20Салтыковская%2C%20д.6")</f>
        <v>https://disk.yandex.ru/client/disk/Осмотры%20объектов%20АНО%20СМГ/097.%20Учебный%20корпус%20на%20550%20мест%20с%20дошкольным%20отделением%20на%20225%20мест%09%09район%09косино-Ухтомский%2C%20ул.%20Салтыковская%2C%20д.6</v>
      </c>
      <c r="J158" s="50">
        <f>IFERROR(__xludf.DUMMYFUNCTION("""COMPUTED_VALUE"""),83.99336)</f>
        <v>83.99336</v>
      </c>
      <c r="K158" s="58">
        <f>IFERROR(__xludf.DUMMYFUNCTION("""COMPUTED_VALUE"""),45971.0)</f>
        <v>45971</v>
      </c>
      <c r="L158" s="6">
        <v>14.0</v>
      </c>
      <c r="M158" s="52">
        <v>45985.0</v>
      </c>
      <c r="N158" s="53" t="s">
        <v>711</v>
      </c>
      <c r="O158" s="19" t="s">
        <v>767</v>
      </c>
      <c r="P158" s="6"/>
      <c r="Q158" s="6"/>
      <c r="R158" s="6"/>
    </row>
    <row r="159">
      <c r="A159" s="31" t="str">
        <f>IFERROR(__xludf.DUMMYFUNCTION("""COMPUTED_VALUE"""),"1043")</f>
        <v>1043</v>
      </c>
      <c r="B159" s="14" t="str">
        <f>IFERROR(__xludf.DUMMYFUNCTION("""COMPUTED_VALUE"""),"АИП-25")</f>
        <v>АИП-25</v>
      </c>
      <c r="C159" s="14" t="str">
        <f>IFERROR(__xludf.DUMMYFUNCTION("""COMPUTED_VALUE"""),"УДС")</f>
        <v>УДС</v>
      </c>
      <c r="D159" s="15"/>
      <c r="E159" s="14" t="str">
        <f>IFERROR(__xludf.DUMMYFUNCTION("""COMPUTED_VALUE"""),"Электродепо «Нижегородское» Этап 3 Реконструкция э/депо 2-ой пусковой комплекс район Лефортово, шоссе Энтузиастов, вл.4")</f>
        <v>Электродепо «Нижегородское» Этап 3 Реконструкция э/депо 2-ой пусковой комплекс район Лефортово, шоссе Энтузиастов, вл.4</v>
      </c>
      <c r="F159" s="25" t="str">
        <f>IFERROR(__xludf.DUMMYFUNCTION("""COMPUTED_VALUE"""),"#N/A")</f>
        <v>#N/A</v>
      </c>
      <c r="G159" s="6" t="str">
        <f>IFERROR(__xludf.DUMMYFUNCTION("""COMPUTED_VALUE"""),"#N/A")</f>
        <v>#N/A</v>
      </c>
      <c r="H159" s="18" t="str">
        <f>IFERROR(__xludf.DUMMYFUNCTION("""COMPUTED_VALUE"""),"https://docs.google.com/spreadsheets/d/1jonEGMB3UFHiUZpltF1zURon8gYN7jGSHu-k9t5TXnA/edit?gid=1070135596#gid=1070135596")</f>
        <v>https://docs.google.com/spreadsheets/d/1jonEGMB3UFHiUZpltF1zURon8gYN7jGSHu-k9t5TXnA/edit?gid=1070135596#gid=1070135596</v>
      </c>
      <c r="I159" s="6"/>
      <c r="J159" s="50">
        <f>IFERROR(__xludf.DUMMYFUNCTION("""COMPUTED_VALUE"""),76.7548)</f>
        <v>76.7548</v>
      </c>
      <c r="K159" s="58">
        <f>IFERROR(__xludf.DUMMYFUNCTION("""COMPUTED_VALUE"""),45728.0)</f>
        <v>45728</v>
      </c>
      <c r="L159" s="6">
        <v>14.0</v>
      </c>
      <c r="M159" s="52">
        <v>45742.0</v>
      </c>
      <c r="N159" s="53" t="s">
        <v>668</v>
      </c>
      <c r="O159" s="6" t="s">
        <v>669</v>
      </c>
      <c r="P159" s="6"/>
      <c r="Q159" s="6"/>
      <c r="R159" s="6"/>
    </row>
    <row r="160">
      <c r="A160" s="31" t="str">
        <f>IFERROR(__xludf.DUMMYFUNCTION("""COMPUTED_VALUE"""),"393д (этап 3.1)")</f>
        <v>393д (этап 3.1)</v>
      </c>
      <c r="B160" s="14" t="str">
        <f>IFERROR(__xludf.DUMMYFUNCTION("""COMPUTED_VALUE"""),"АИП-25")</f>
        <v>АИП-25</v>
      </c>
      <c r="C160" s="14" t="str">
        <f>IFERROR(__xludf.DUMMYFUNCTION("""COMPUTED_VALUE"""),"УДС")</f>
        <v>УДС</v>
      </c>
      <c r="D160" s="15"/>
      <c r="E160" s="14" t="str">
        <f>IFERROR(__xludf.DUMMYFUNCTION("""COMPUTED_VALUE"""),"Строительство путепровода через пути Савеловского направления Московской железной дороги, соединяющий ул. 800 летия Москвы с Инженерной ул. Этапы 3.1 ул. 800-летия Москвы")</f>
        <v>Строительство путепровода через пути Савеловского направления Московской железной дороги, соединяющий ул. 800 летия Москвы с Инженерной ул. Этапы 3.1 ул. 800-летия Москвы</v>
      </c>
      <c r="F160" s="25" t="str">
        <f>IFERROR(__xludf.DUMMYFUNCTION("""COMPUTED_VALUE"""),"#N/A")</f>
        <v>#N/A</v>
      </c>
      <c r="G160" s="6" t="str">
        <f>IFERROR(__xludf.DUMMYFUNCTION("""COMPUTED_VALUE"""),"#N/A")</f>
        <v>#N/A</v>
      </c>
      <c r="H160" s="6"/>
      <c r="I160" s="6"/>
      <c r="J160" s="50">
        <f>IFERROR(__xludf.DUMMYFUNCTION("""COMPUTED_VALUE"""),100.0)</f>
        <v>100</v>
      </c>
      <c r="K160" s="58">
        <f>IFERROR(__xludf.DUMMYFUNCTION("""COMPUTED_VALUE"""),45972.0)</f>
        <v>45972</v>
      </c>
      <c r="L160" s="6" t="s">
        <v>654</v>
      </c>
      <c r="M160" s="52" t="s">
        <v>655</v>
      </c>
      <c r="N160" s="53" t="s">
        <v>656</v>
      </c>
      <c r="O160" s="6" t="s">
        <v>768</v>
      </c>
      <c r="P160" s="6"/>
      <c r="Q160" s="6"/>
      <c r="R160" s="6"/>
    </row>
    <row r="161">
      <c r="A161" s="31" t="str">
        <f>IFERROR(__xludf.DUMMYFUNCTION("""COMPUTED_VALUE"""),"НД")</f>
        <v>НД</v>
      </c>
      <c r="B161" s="14" t="str">
        <f>IFERROR(__xludf.DUMMYFUNCTION("""COMPUTED_VALUE"""),"АИП-25")</f>
        <v>АИП-25</v>
      </c>
      <c r="C161" s="14" t="str">
        <f>IFERROR(__xludf.DUMMYFUNCTION("""COMPUTED_VALUE"""),"УДС")</f>
        <v>УДС</v>
      </c>
      <c r="D161" s="60"/>
      <c r="E161" s="14" t="str">
        <f>IFERROR(__xludf.DUMMYFUNCTION("""COMPUTED_VALUE"""),"Троицкая линия участок Станция «Новаторская» - станция «Крымская» (Ст. «Вавиловская», «Академическая», «Крымская») Станция «Новаторская» - станция «Крымская» (ЮЗАО, ЮАО)")</f>
        <v>Троицкая линия участок Станция «Новаторская» - станция «Крымская» (Ст. «Вавиловская», «Академическая», «Крымская») Станция «Новаторская» - станция «Крымская» (ЮЗАО, ЮАО)</v>
      </c>
      <c r="F161" s="25" t="str">
        <f>IFERROR(__xludf.DUMMYFUNCTION("""COMPUTED_VALUE"""),"#N/A")</f>
        <v>#N/A</v>
      </c>
      <c r="G161" s="6" t="str">
        <f>IFERROR(__xludf.DUMMYFUNCTION("""COMPUTED_VALUE"""),"#N/A")</f>
        <v>#N/A</v>
      </c>
      <c r="H161" s="6"/>
      <c r="I161" s="6"/>
      <c r="J161" s="50"/>
      <c r="K161" s="58"/>
      <c r="L161" s="6">
        <v>30.0</v>
      </c>
      <c r="M161" s="52" t="s">
        <v>655</v>
      </c>
      <c r="N161" s="53" t="s">
        <v>698</v>
      </c>
      <c r="O161" s="6" t="s">
        <v>669</v>
      </c>
      <c r="P161" s="6"/>
      <c r="Q161" s="6"/>
      <c r="R161" s="6"/>
    </row>
    <row r="162">
      <c r="A162" s="31" t="str">
        <f>IFERROR(__xludf.DUMMYFUNCTION("""COMPUTED_VALUE"""),"251д (этап 1.3)")</f>
        <v>251д (этап 1.3)</v>
      </c>
      <c r="B162" s="14" t="str">
        <f>IFERROR(__xludf.DUMMYFUNCTION("""COMPUTED_VALUE"""),"АИП-25")</f>
        <v>АИП-25</v>
      </c>
      <c r="C162" s="14" t="str">
        <f>IFERROR(__xludf.DUMMYFUNCTION("""COMPUTED_VALUE"""),"УДС")</f>
        <v>УДС</v>
      </c>
      <c r="D162" s="15"/>
      <c r="E162" s="14" t="str">
        <f>IFERROR(__xludf.DUMMYFUNCTION("""COMPUTED_VALUE"""),"Строительство многоуровневых транспортных развязок на участке магистрали ""Солнцево-Бутово-Варшавское ш."" от ТПУ ""Столбово"" до ул. Поляны. 
 Этап 1.3 СБВ от ТПУ ""Столбово"" до ул. Поляны")</f>
        <v>Строительство многоуровневых транспортных развязок на участке магистрали "Солнцево-Бутово-Варшавское ш." от ТПУ "Столбово" до ул. Поляны. 
 Этап 1.3 СБВ от ТПУ "Столбово" до ул. Поляны</v>
      </c>
      <c r="F162" s="25" t="str">
        <f>IFERROR(__xludf.DUMMYFUNCTION("""COMPUTED_VALUE"""),"#N/A")</f>
        <v>#N/A</v>
      </c>
      <c r="G162" s="6" t="str">
        <f>IFERROR(__xludf.DUMMYFUNCTION("""COMPUTED_VALUE"""),"#N/A")</f>
        <v>#N/A</v>
      </c>
      <c r="H162" s="6"/>
      <c r="I162" s="6"/>
      <c r="J162" s="50">
        <f>IFERROR(__xludf.DUMMYFUNCTION("""COMPUTED_VALUE"""),99.985)</f>
        <v>99.985</v>
      </c>
      <c r="K162" s="58">
        <f>IFERROR(__xludf.DUMMYFUNCTION("""COMPUTED_VALUE"""),45973.0)</f>
        <v>45973</v>
      </c>
      <c r="L162" s="6">
        <v>7.0</v>
      </c>
      <c r="M162" s="52">
        <v>45980.0</v>
      </c>
      <c r="N162" s="53" t="s">
        <v>711</v>
      </c>
      <c r="O162" s="6" t="s">
        <v>769</v>
      </c>
      <c r="P162" s="6"/>
      <c r="Q162" s="6"/>
      <c r="R162" s="6"/>
    </row>
    <row r="163">
      <c r="A163" s="31" t="str">
        <f>IFERROR(__xludf.DUMMYFUNCTION("""COMPUTED_VALUE"""),"203д (сводный)")</f>
        <v>203д (сводный)</v>
      </c>
      <c r="B163" s="14" t="str">
        <f>IFERROR(__xludf.DUMMYFUNCTION("""COMPUTED_VALUE"""),"АИП-25")</f>
        <v>АИП-25</v>
      </c>
      <c r="C163" s="14" t="str">
        <f>IFERROR(__xludf.DUMMYFUNCTION("""COMPUTED_VALUE"""),"УДС")</f>
        <v>УДС</v>
      </c>
      <c r="D163" s="15"/>
      <c r="E163" s="14" t="str">
        <f>IFERROR(__xludf.DUMMYFUNCTION("""COMPUTED_VALUE"""),"Строительство путепровода Добролюбова-Складочная. Этапы 1.2, 1.3 ")</f>
        <v>Строительство путепровода Добролюбова-Складочная. Этапы 1.2, 1.3 </v>
      </c>
      <c r="F163" s="25" t="str">
        <f>IFERROR(__xludf.DUMMYFUNCTION("""COMPUTED_VALUE"""),"#N/A")</f>
        <v>#N/A</v>
      </c>
      <c r="G163" s="6" t="str">
        <f>IFERROR(__xludf.DUMMYFUNCTION("""COMPUTED_VALUE"""),"#N/A")</f>
        <v>#N/A</v>
      </c>
      <c r="H163" s="6"/>
      <c r="I163" s="6"/>
      <c r="J163" s="50"/>
      <c r="K163" s="58"/>
      <c r="L163" s="6">
        <v>30.0</v>
      </c>
      <c r="M163" s="52" t="s">
        <v>655</v>
      </c>
      <c r="N163" s="53" t="s">
        <v>698</v>
      </c>
      <c r="O163" s="6"/>
      <c r="P163" s="6"/>
      <c r="Q163" s="6"/>
      <c r="R163" s="6"/>
    </row>
    <row r="164">
      <c r="A164" s="31" t="str">
        <f>IFERROR(__xludf.DUMMYFUNCTION("""COMPUTED_VALUE"""),"203д (этап 1.2)")</f>
        <v>203д (этап 1.2)</v>
      </c>
      <c r="B164" s="14"/>
      <c r="C164" s="14" t="str">
        <f>IFERROR(__xludf.DUMMYFUNCTION("""COMPUTED_VALUE"""),"УДС")</f>
        <v>УДС</v>
      </c>
      <c r="D164" s="15"/>
      <c r="E164" s="14" t="str">
        <f>IFERROR(__xludf.DUMMYFUNCTION("""COMPUTED_VALUE"""),"Строительство путепровода Добролюбова-Складочная. 
 Этапы 1.2 ул. Добролюбова, ул. Складочная")</f>
        <v>Строительство путепровода Добролюбова-Складочная. 
 Этапы 1.2 ул. Добролюбова, ул. Складочная</v>
      </c>
      <c r="F164" s="25" t="str">
        <f>IFERROR(__xludf.DUMMYFUNCTION("""COMPUTED_VALUE"""),"#N/A")</f>
        <v>#N/A</v>
      </c>
      <c r="G164" s="6" t="str">
        <f>IFERROR(__xludf.DUMMYFUNCTION("""COMPUTED_VALUE"""),"#N/A")</f>
        <v>#N/A</v>
      </c>
      <c r="H164" s="6"/>
      <c r="I164" s="6"/>
      <c r="J164" s="50"/>
      <c r="K164" s="58"/>
      <c r="L164" s="6">
        <v>30.0</v>
      </c>
      <c r="M164" s="52" t="s">
        <v>655</v>
      </c>
      <c r="N164" s="53" t="s">
        <v>698</v>
      </c>
      <c r="O164" s="6" t="s">
        <v>770</v>
      </c>
      <c r="P164" s="6"/>
      <c r="Q164" s="6"/>
      <c r="R164" s="6"/>
    </row>
    <row r="165">
      <c r="A165" s="31" t="str">
        <f>IFERROR(__xludf.DUMMYFUNCTION("""COMPUTED_VALUE"""),"203д (этап 1.3)")</f>
        <v>203д (этап 1.3)</v>
      </c>
      <c r="B165" s="14"/>
      <c r="C165" s="14" t="str">
        <f>IFERROR(__xludf.DUMMYFUNCTION("""COMPUTED_VALUE"""),"УДС")</f>
        <v>УДС</v>
      </c>
      <c r="D165" s="60"/>
      <c r="E165" s="14" t="str">
        <f>IFERROR(__xludf.DUMMYFUNCTION("""COMPUTED_VALUE"""),"Строительство путепровода Добролюбова-Складочная. 
 Этапы 1.3 ул. Добролюбова, ул. Складочная")</f>
        <v>Строительство путепровода Добролюбова-Складочная. 
 Этапы 1.3 ул. Добролюбова, ул. Складочная</v>
      </c>
      <c r="F165" s="25" t="str">
        <f>IFERROR(__xludf.DUMMYFUNCTION("""COMPUTED_VALUE"""),"#N/A")</f>
        <v>#N/A</v>
      </c>
      <c r="G165" s="6" t="str">
        <f>IFERROR(__xludf.DUMMYFUNCTION("""COMPUTED_VALUE"""),"#N/A")</f>
        <v>#N/A</v>
      </c>
      <c r="H165" s="6"/>
      <c r="I165" s="6"/>
      <c r="J165" s="50"/>
      <c r="K165" s="58"/>
      <c r="L165" s="6">
        <v>30.0</v>
      </c>
      <c r="M165" s="52" t="s">
        <v>655</v>
      </c>
      <c r="N165" s="53" t="s">
        <v>652</v>
      </c>
      <c r="O165" s="6" t="s">
        <v>771</v>
      </c>
      <c r="P165" s="6"/>
      <c r="Q165" s="6"/>
      <c r="R165" s="6"/>
    </row>
    <row r="166">
      <c r="A166" s="31" t="str">
        <f>IFERROR(__xludf.DUMMYFUNCTION("""COMPUTED_VALUE"""),"355д (сводный)")</f>
        <v>355д (сводный)</v>
      </c>
      <c r="B166" s="14" t="str">
        <f>IFERROR(__xludf.DUMMYFUNCTION("""COMPUTED_VALUE"""),"АИП-25")</f>
        <v>АИП-25</v>
      </c>
      <c r="C166" s="14" t="str">
        <f>IFERROR(__xludf.DUMMYFUNCTION("""COMPUTED_VALUE"""),"УДС")</f>
        <v>УДС</v>
      </c>
      <c r="D166" s="15"/>
      <c r="E166" s="14" t="str">
        <f>IFERROR(__xludf.DUMMYFUNCTION("""COMPUTED_VALUE"""),"Строительство путепровода через пути Савеловского направления железной дороги, соединяющего ул.800-летия Москвы с Инженерной ул. Этапы 1.1, 2.2, 3.2, 1.2, 2.3, 2.4, 2.5, 3.3, 3.4 ")</f>
        <v>Строительство путепровода через пути Савеловского направления железной дороги, соединяющего ул.800-летия Москвы с Инженерной ул. Этапы 1.1, 2.2, 3.2, 1.2, 2.3, 2.4, 2.5, 3.3, 3.4 </v>
      </c>
      <c r="F166" s="25" t="str">
        <f>IFERROR(__xludf.DUMMYFUNCTION("""COMPUTED_VALUE"""),"#N/A")</f>
        <v>#N/A</v>
      </c>
      <c r="G166" s="6" t="str">
        <f>IFERROR(__xludf.DUMMYFUNCTION("""COMPUTED_VALUE"""),"#N/A")</f>
        <v>#N/A</v>
      </c>
      <c r="H166" s="6"/>
      <c r="I166" s="6"/>
      <c r="J166" s="50"/>
      <c r="K166" s="58"/>
      <c r="L166" s="6">
        <v>30.0</v>
      </c>
      <c r="M166" s="52" t="s">
        <v>655</v>
      </c>
      <c r="N166" s="53" t="s">
        <v>698</v>
      </c>
      <c r="O166" s="6"/>
      <c r="P166" s="6"/>
      <c r="Q166" s="6"/>
      <c r="R166" s="6"/>
    </row>
    <row r="167">
      <c r="A167" s="31" t="str">
        <f>IFERROR(__xludf.DUMMYFUNCTION("""COMPUTED_VALUE"""),"355д (этап 1.1)")</f>
        <v>355д (этап 1.1)</v>
      </c>
      <c r="B167" s="14"/>
      <c r="C167" s="14" t="str">
        <f>IFERROR(__xludf.DUMMYFUNCTION("""COMPUTED_VALUE"""),"УДС")</f>
        <v>УДС</v>
      </c>
      <c r="D167" s="15"/>
      <c r="E167"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1.1.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1.1. ул. 800-летия Москвы с Инженерной ул.</v>
      </c>
      <c r="F167" s="25" t="str">
        <f>IFERROR(__xludf.DUMMYFUNCTION("""COMPUTED_VALUE"""),"#N/A")</f>
        <v>#N/A</v>
      </c>
      <c r="G167" s="6" t="str">
        <f>IFERROR(__xludf.DUMMYFUNCTION("""COMPUTED_VALUE"""),"#N/A")</f>
        <v>#N/A</v>
      </c>
      <c r="H167" s="6"/>
      <c r="I167" s="6"/>
      <c r="J167" s="50"/>
      <c r="K167" s="58"/>
      <c r="L167" s="6">
        <v>30.0</v>
      </c>
      <c r="M167" s="52" t="s">
        <v>655</v>
      </c>
      <c r="N167" s="53" t="s">
        <v>698</v>
      </c>
      <c r="O167" s="6"/>
      <c r="P167" s="6"/>
      <c r="Q167" s="6"/>
      <c r="R167" s="6"/>
    </row>
    <row r="168">
      <c r="A168" s="31" t="str">
        <f>IFERROR(__xludf.DUMMYFUNCTION("""COMPUTED_VALUE"""),"355д (этап 1.2)")</f>
        <v>355д (этап 1.2)</v>
      </c>
      <c r="B168" s="14"/>
      <c r="C168" s="14" t="str">
        <f>IFERROR(__xludf.DUMMYFUNCTION("""COMPUTED_VALUE"""),"УДС")</f>
        <v>УДС</v>
      </c>
      <c r="D168" s="15"/>
      <c r="E168"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1.2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1.2 ул. 800-летия Москвы с Инженерной ул.</v>
      </c>
      <c r="F168" s="25" t="str">
        <f>IFERROR(__xludf.DUMMYFUNCTION("""COMPUTED_VALUE"""),"#N/A")</f>
        <v>#N/A</v>
      </c>
      <c r="G168" s="6" t="str">
        <f>IFERROR(__xludf.DUMMYFUNCTION("""COMPUTED_VALUE"""),"#N/A")</f>
        <v>#N/A</v>
      </c>
      <c r="H168" s="6"/>
      <c r="I168" s="6"/>
      <c r="J168" s="50"/>
      <c r="K168" s="58"/>
      <c r="L168" s="6">
        <v>30.0</v>
      </c>
      <c r="M168" s="52" t="s">
        <v>655</v>
      </c>
      <c r="N168" s="53" t="s">
        <v>698</v>
      </c>
      <c r="O168" s="6"/>
      <c r="P168" s="6"/>
      <c r="Q168" s="6"/>
      <c r="R168" s="6"/>
    </row>
    <row r="169">
      <c r="A169" s="31" t="str">
        <f>IFERROR(__xludf.DUMMYFUNCTION("""COMPUTED_VALUE"""),"393д (этап 3.2)")</f>
        <v>393д (этап 3.2)</v>
      </c>
      <c r="B169" s="14"/>
      <c r="C169" s="14" t="str">
        <f>IFERROR(__xludf.DUMMYFUNCTION("""COMPUTED_VALUE"""),"УДС")</f>
        <v>УДС</v>
      </c>
      <c r="D169" s="15"/>
      <c r="E169"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3.2 ул. 800-летия Москвы с Инженерной ул.</v>
      </c>
      <c r="F169" s="25" t="str">
        <f>IFERROR(__xludf.DUMMYFUNCTION("""COMPUTED_VALUE"""),"#N/A")</f>
        <v>#N/A</v>
      </c>
      <c r="G169" s="6" t="str">
        <f>IFERROR(__xludf.DUMMYFUNCTION("""COMPUTED_VALUE"""),"#N/A")</f>
        <v>#N/A</v>
      </c>
      <c r="H169" s="6"/>
      <c r="I169" s="6"/>
      <c r="J169" s="50"/>
      <c r="K169" s="58"/>
      <c r="L169" s="6">
        <v>30.0</v>
      </c>
      <c r="M169" s="52" t="s">
        <v>655</v>
      </c>
      <c r="N169" s="53" t="s">
        <v>698</v>
      </c>
      <c r="O169" s="6"/>
      <c r="P169" s="6"/>
      <c r="Q169" s="6"/>
      <c r="R169" s="6"/>
    </row>
    <row r="170">
      <c r="A170" s="31" t="str">
        <f>IFERROR(__xludf.DUMMYFUNCTION("""COMPUTED_VALUE"""),"393д (этап 3.3)")</f>
        <v>393д (этап 3.3)</v>
      </c>
      <c r="B170" s="14"/>
      <c r="C170" s="14" t="str">
        <f>IFERROR(__xludf.DUMMYFUNCTION("""COMPUTED_VALUE"""),"УДС")</f>
        <v>УДС</v>
      </c>
      <c r="D170" s="15"/>
      <c r="E170"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3.3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3.3 ул. 800-летия Москвы с Инженерной ул.</v>
      </c>
      <c r="F170" s="25" t="str">
        <f>IFERROR(__xludf.DUMMYFUNCTION("""COMPUTED_VALUE"""),"#N/A")</f>
        <v>#N/A</v>
      </c>
      <c r="G170" s="6" t="str">
        <f>IFERROR(__xludf.DUMMYFUNCTION("""COMPUTED_VALUE"""),"#N/A")</f>
        <v>#N/A</v>
      </c>
      <c r="H170" s="6"/>
      <c r="I170" s="6"/>
      <c r="J170" s="50"/>
      <c r="K170" s="58"/>
      <c r="L170" s="6">
        <v>30.0</v>
      </c>
      <c r="M170" s="52" t="s">
        <v>655</v>
      </c>
      <c r="N170" s="53" t="s">
        <v>698</v>
      </c>
      <c r="O170" s="6"/>
      <c r="P170" s="6"/>
      <c r="Q170" s="6"/>
      <c r="R170" s="6"/>
    </row>
    <row r="171">
      <c r="A171" s="31" t="str">
        <f>IFERROR(__xludf.DUMMYFUNCTION("""COMPUTED_VALUE"""),"393д (этап 3.4)")</f>
        <v>393д (этап 3.4)</v>
      </c>
      <c r="B171" s="14"/>
      <c r="C171" s="14" t="str">
        <f>IFERROR(__xludf.DUMMYFUNCTION("""COMPUTED_VALUE"""),"УДС")</f>
        <v>УДС</v>
      </c>
      <c r="D171" s="15"/>
      <c r="E171"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3.4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3.4 ул. 800-летия Москвы с Инженерной ул.</v>
      </c>
      <c r="F171" s="25" t="str">
        <f>IFERROR(__xludf.DUMMYFUNCTION("""COMPUTED_VALUE"""),"#N/A")</f>
        <v>#N/A</v>
      </c>
      <c r="G171" s="6" t="str">
        <f>IFERROR(__xludf.DUMMYFUNCTION("""COMPUTED_VALUE"""),"#N/A")</f>
        <v>#N/A</v>
      </c>
      <c r="H171" s="6"/>
      <c r="I171" s="6"/>
      <c r="J171" s="50"/>
      <c r="K171" s="58"/>
      <c r="L171" s="6">
        <v>30.0</v>
      </c>
      <c r="M171" s="52" t="s">
        <v>655</v>
      </c>
      <c r="N171" s="53" t="s">
        <v>698</v>
      </c>
      <c r="O171" s="6"/>
      <c r="P171" s="6"/>
      <c r="Q171" s="6"/>
      <c r="R171" s="6"/>
    </row>
    <row r="172">
      <c r="A172" s="31" t="str">
        <f>IFERROR(__xludf.DUMMYFUNCTION("""COMPUTED_VALUE"""),"392д (этап 2.2)")</f>
        <v>392д (этап 2.2)</v>
      </c>
      <c r="B172" s="14"/>
      <c r="C172" s="14" t="str">
        <f>IFERROR(__xludf.DUMMYFUNCTION("""COMPUTED_VALUE"""),"УДС")</f>
        <v>УДС</v>
      </c>
      <c r="D172" s="15"/>
      <c r="E172"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2.2 ул. 800-летия Москвы с Инженерной ул.</v>
      </c>
      <c r="F172" s="25" t="str">
        <f>IFERROR(__xludf.DUMMYFUNCTION("""COMPUTED_VALUE"""),"#N/A")</f>
        <v>#N/A</v>
      </c>
      <c r="G172" s="6" t="str">
        <f>IFERROR(__xludf.DUMMYFUNCTION("""COMPUTED_VALUE"""),"#N/A")</f>
        <v>#N/A</v>
      </c>
      <c r="H172" s="6"/>
      <c r="I172" s="6"/>
      <c r="J172" s="50"/>
      <c r="K172" s="58"/>
      <c r="L172" s="6">
        <v>30.0</v>
      </c>
      <c r="M172" s="52" t="s">
        <v>655</v>
      </c>
      <c r="N172" s="53" t="s">
        <v>698</v>
      </c>
      <c r="O172" s="6"/>
      <c r="P172" s="6"/>
      <c r="Q172" s="6"/>
      <c r="R172" s="6"/>
    </row>
    <row r="173">
      <c r="A173" s="31" t="str">
        <f>IFERROR(__xludf.DUMMYFUNCTION("""COMPUTED_VALUE"""),"392д (этап 2.3)")</f>
        <v>392д (этап 2.3)</v>
      </c>
      <c r="B173" s="14"/>
      <c r="C173" s="14" t="str">
        <f>IFERROR(__xludf.DUMMYFUNCTION("""COMPUTED_VALUE"""),"УДС")</f>
        <v>УДС</v>
      </c>
      <c r="D173" s="15"/>
      <c r="E173"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2..3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2..3 ул. 800-летия Москвы с Инженерной ул.</v>
      </c>
      <c r="F173" s="25" t="str">
        <f>IFERROR(__xludf.DUMMYFUNCTION("""COMPUTED_VALUE"""),"#N/A")</f>
        <v>#N/A</v>
      </c>
      <c r="G173" s="6" t="str">
        <f>IFERROR(__xludf.DUMMYFUNCTION("""COMPUTED_VALUE"""),"#N/A")</f>
        <v>#N/A</v>
      </c>
      <c r="H173" s="6"/>
      <c r="I173" s="6"/>
      <c r="J173" s="50"/>
      <c r="K173" s="58"/>
      <c r="L173" s="6">
        <v>30.0</v>
      </c>
      <c r="M173" s="52" t="s">
        <v>655</v>
      </c>
      <c r="N173" s="53" t="s">
        <v>698</v>
      </c>
      <c r="O173" s="6"/>
      <c r="P173" s="6"/>
      <c r="Q173" s="6"/>
      <c r="R173" s="6"/>
    </row>
    <row r="174">
      <c r="A174" s="31" t="str">
        <f>IFERROR(__xludf.DUMMYFUNCTION("""COMPUTED_VALUE"""),"392д (этап 2.4)")</f>
        <v>392д (этап 2.4)</v>
      </c>
      <c r="B174" s="14"/>
      <c r="C174" s="14" t="str">
        <f>IFERROR(__xludf.DUMMYFUNCTION("""COMPUTED_VALUE"""),"УДС")</f>
        <v>УДС</v>
      </c>
      <c r="D174" s="15"/>
      <c r="E174"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2.4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2.4 ул. 800-летия Москвы с Инженерной ул.</v>
      </c>
      <c r="F174" s="25" t="str">
        <f>IFERROR(__xludf.DUMMYFUNCTION("""COMPUTED_VALUE"""),"#N/A")</f>
        <v>#N/A</v>
      </c>
      <c r="G174" s="6" t="str">
        <f>IFERROR(__xludf.DUMMYFUNCTION("""COMPUTED_VALUE"""),"#N/A")</f>
        <v>#N/A</v>
      </c>
      <c r="H174" s="6"/>
      <c r="I174" s="6"/>
      <c r="J174" s="50"/>
      <c r="K174" s="58"/>
      <c r="L174" s="6">
        <v>30.0</v>
      </c>
      <c r="M174" s="52" t="s">
        <v>655</v>
      </c>
      <c r="N174" s="53" t="s">
        <v>698</v>
      </c>
      <c r="O174" s="6"/>
      <c r="P174" s="6"/>
      <c r="Q174" s="6"/>
      <c r="R174" s="6"/>
    </row>
    <row r="175">
      <c r="A175" s="31" t="str">
        <f>IFERROR(__xludf.DUMMYFUNCTION("""COMPUTED_VALUE"""),"392д (этап 2.5)")</f>
        <v>392д (этап 2.5)</v>
      </c>
      <c r="B175" s="14"/>
      <c r="C175" s="14" t="str">
        <f>IFERROR(__xludf.DUMMYFUNCTION("""COMPUTED_VALUE"""),"УДС")</f>
        <v>УДС</v>
      </c>
      <c r="D175" s="15"/>
      <c r="E175"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2.5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2.5 ул. 800-летия Москвы с Инженерной ул.</v>
      </c>
      <c r="F175" s="25" t="str">
        <f>IFERROR(__xludf.DUMMYFUNCTION("""COMPUTED_VALUE"""),"#N/A")</f>
        <v>#N/A</v>
      </c>
      <c r="G175" s="6" t="str">
        <f>IFERROR(__xludf.DUMMYFUNCTION("""COMPUTED_VALUE"""),"#N/A")</f>
        <v>#N/A</v>
      </c>
      <c r="H175" s="6"/>
      <c r="I175" s="6"/>
      <c r="J175" s="50"/>
      <c r="K175" s="58"/>
      <c r="L175" s="6">
        <v>30.0</v>
      </c>
      <c r="M175" s="52" t="s">
        <v>655</v>
      </c>
      <c r="N175" s="53" t="s">
        <v>698</v>
      </c>
      <c r="O175" s="6"/>
      <c r="P175" s="6"/>
      <c r="Q175" s="6"/>
      <c r="R175" s="6"/>
    </row>
    <row r="176">
      <c r="A176" s="31" t="str">
        <f>IFERROR(__xludf.DUMMYFUNCTION("""COMPUTED_VALUE"""),"1067 (этап 1.1.3)")</f>
        <v>1067 (этап 1.1.3)</v>
      </c>
      <c r="B176" s="14" t="str">
        <f>IFERROR(__xludf.DUMMYFUNCTION("""COMPUTED_VALUE"""),"АИП-25")</f>
        <v>АИП-25</v>
      </c>
      <c r="C176" s="14" t="str">
        <f>IFERROR(__xludf.DUMMYFUNCTION("""COMPUTED_VALUE"""),"УДС")</f>
        <v>УДС</v>
      </c>
      <c r="D176" s="15"/>
      <c r="E176" s="14" t="str">
        <f>IFERROR(__xludf.DUMMYFUNCTION("""COMPUTED_VALUE"""),"Технологическая часть ТПУ на станции метро ""Лермонтовский проспект"" (""Косино""). 
 Этап 1.1.3 г. Москва, м. ""Лермонтовский проспект""")</f>
        <v>Технологическая часть ТПУ на станции метро "Лермонтовский проспект" ("Косино"). 
 Этап 1.1.3 г. Москва, м. "Лермонтовский проспект"</v>
      </c>
      <c r="F176" s="25" t="str">
        <f>IFERROR(__xludf.DUMMYFUNCTION("""COMPUTED_VALUE"""),"#N/A")</f>
        <v>#N/A</v>
      </c>
      <c r="G176" s="6" t="str">
        <f>IFERROR(__xludf.DUMMYFUNCTION("""COMPUTED_VALUE"""),"#N/A")</f>
        <v>#N/A</v>
      </c>
      <c r="H176" s="18" t="str">
        <f>IFERROR(__xludf.DUMMYFUNCTION("""COMPUTED_VALUE"""),"https://docs.google.com/spreadsheets/d/1jonEGMB3UFHiUZpltF1zURon8gYN7jGSHu-k9t5TXnA/edit?gid=1671517751#gid=1671517751")</f>
        <v>https://docs.google.com/spreadsheets/d/1jonEGMB3UFHiUZpltF1zURon8gYN7jGSHu-k9t5TXnA/edit?gid=1671517751#gid=1671517751</v>
      </c>
      <c r="I176" s="6"/>
      <c r="J176" s="50">
        <f>IFERROR(__xludf.DUMMYFUNCTION("""COMPUTED_VALUE"""),52.8)</f>
        <v>52.8</v>
      </c>
      <c r="K176" s="58">
        <f>IFERROR(__xludf.DUMMYFUNCTION("""COMPUTED_VALUE"""),45971.0)</f>
        <v>45971</v>
      </c>
      <c r="L176" s="6">
        <v>14.0</v>
      </c>
      <c r="M176" s="52">
        <v>45985.0</v>
      </c>
      <c r="N176" s="53" t="s">
        <v>711</v>
      </c>
      <c r="O176" s="6"/>
      <c r="P176" s="6"/>
      <c r="Q176" s="6"/>
      <c r="R176" s="6"/>
    </row>
    <row r="177">
      <c r="A177" s="31" t="str">
        <f>IFERROR(__xludf.DUMMYFUNCTION("""COMPUTED_VALUE"""),"1067 (этап 1.2.2)")</f>
        <v>1067 (этап 1.2.2)</v>
      </c>
      <c r="B177" s="14" t="str">
        <f>IFERROR(__xludf.DUMMYFUNCTION("""COMPUTED_VALUE"""),"АИП-25")</f>
        <v>АИП-25</v>
      </c>
      <c r="C177" s="14" t="str">
        <f>IFERROR(__xludf.DUMMYFUNCTION("""COMPUTED_VALUE"""),"УДС")</f>
        <v>УДС</v>
      </c>
      <c r="D177" s="15"/>
      <c r="E177" s="14" t="str">
        <f>IFERROR(__xludf.DUMMYFUNCTION("""COMPUTED_VALUE"""),"Технологическая часть ТПУ на станции метро ""Лермонтовский проспект"" (""Косино""). 
 Этап  1.2.2 г. Москва, м. ""Лермонтовский проспект""")</f>
        <v>Технологическая часть ТПУ на станции метро "Лермонтовский проспект" ("Косино"). 
 Этап  1.2.2 г. Москва, м. "Лермонтовский проспект"</v>
      </c>
      <c r="F177" s="25" t="str">
        <f>IFERROR(__xludf.DUMMYFUNCTION("""COMPUTED_VALUE"""),"#N/A")</f>
        <v>#N/A</v>
      </c>
      <c r="G177" s="6" t="str">
        <f>IFERROR(__xludf.DUMMYFUNCTION("""COMPUTED_VALUE"""),"#N/A")</f>
        <v>#N/A</v>
      </c>
      <c r="H177" s="18" t="str">
        <f>IFERROR(__xludf.DUMMYFUNCTION("""COMPUTED_VALUE"""),"https://docs.google.com/spreadsheets/d/1jonEGMB3UFHiUZpltF1zURon8gYN7jGSHu-k9t5TXnA/edit?gid=2116230963#gid=2116230963")</f>
        <v>https://docs.google.com/spreadsheets/d/1jonEGMB3UFHiUZpltF1zURon8gYN7jGSHu-k9t5TXnA/edit?gid=2116230963#gid=2116230963</v>
      </c>
      <c r="I177" s="6"/>
      <c r="J177" s="50">
        <f>IFERROR(__xludf.DUMMYFUNCTION("""COMPUTED_VALUE"""),0.445)</f>
        <v>0.445</v>
      </c>
      <c r="K177" s="58">
        <f>IFERROR(__xludf.DUMMYFUNCTION("""COMPUTED_VALUE"""),45971.0)</f>
        <v>45971</v>
      </c>
      <c r="L177" s="6">
        <v>30.0</v>
      </c>
      <c r="M177" s="52">
        <v>46001.0</v>
      </c>
      <c r="N177" s="53" t="s">
        <v>711</v>
      </c>
      <c r="O177" s="6" t="s">
        <v>772</v>
      </c>
      <c r="P177" s="6"/>
      <c r="Q177" s="6"/>
      <c r="R177" s="6"/>
    </row>
    <row r="178">
      <c r="A178" s="31" t="str">
        <f>IFERROR(__xludf.DUMMYFUNCTION("""COMPUTED_VALUE"""),"1067 (этап 1.2.1)")</f>
        <v>1067 (этап 1.2.1)</v>
      </c>
      <c r="B178" s="14" t="str">
        <f>IFERROR(__xludf.DUMMYFUNCTION("""COMPUTED_VALUE"""),"АИП-25")</f>
        <v>АИП-25</v>
      </c>
      <c r="C178" s="14" t="str">
        <f>IFERROR(__xludf.DUMMYFUNCTION("""COMPUTED_VALUE"""),"УДС")</f>
        <v>УДС</v>
      </c>
      <c r="D178" s="15"/>
      <c r="E178" s="14" t="str">
        <f>IFERROR(__xludf.DUMMYFUNCTION("""COMPUTED_VALUE"""),"Технологическая часть ТПУ на станции метро ""Лермонтовский проспект"" (""Косино""). 
 Этап 1.2.1, г. Москва, м. ""Лермонтовский проспект""")</f>
        <v>Технологическая часть ТПУ на станции метро "Лермонтовский проспект" ("Косино"). 
 Этап 1.2.1, г. Москва, м. "Лермонтовский проспект"</v>
      </c>
      <c r="F178" s="25" t="str">
        <f>IFERROR(__xludf.DUMMYFUNCTION("""COMPUTED_VALUE"""),"#N/A")</f>
        <v>#N/A</v>
      </c>
      <c r="G178" s="6" t="str">
        <f>IFERROR(__xludf.DUMMYFUNCTION("""COMPUTED_VALUE"""),"#N/A")</f>
        <v>#N/A</v>
      </c>
      <c r="H178" s="18" t="str">
        <f>IFERROR(__xludf.DUMMYFUNCTION("""COMPUTED_VALUE"""),"https://docs.google.com/spreadsheets/d/1jonEGMB3UFHiUZpltF1zURon8gYN7jGSHu-k9t5TXnA/edit?gid=745287457#gid=745287457")</f>
        <v>https://docs.google.com/spreadsheets/d/1jonEGMB3UFHiUZpltF1zURon8gYN7jGSHu-k9t5TXnA/edit?gid=745287457#gid=745287457</v>
      </c>
      <c r="I178" s="6"/>
      <c r="J178" s="50"/>
      <c r="K178" s="58">
        <f>IFERROR(__xludf.DUMMYFUNCTION("""COMPUTED_VALUE"""),45971.0)</f>
        <v>45971</v>
      </c>
      <c r="L178" s="6">
        <v>30.0</v>
      </c>
      <c r="M178" s="52">
        <v>46001.0</v>
      </c>
      <c r="N178" s="53" t="s">
        <v>711</v>
      </c>
      <c r="O178" s="6" t="s">
        <v>773</v>
      </c>
      <c r="P178" s="6"/>
      <c r="Q178" s="6"/>
      <c r="R178" s="6"/>
    </row>
    <row r="179">
      <c r="A179" s="31" t="str">
        <f>IFERROR(__xludf.DUMMYFUNCTION("""COMPUTED_VALUE"""),"1067 (этап 1.2.3)")</f>
        <v>1067 (этап 1.2.3)</v>
      </c>
      <c r="B179" s="14" t="str">
        <f>IFERROR(__xludf.DUMMYFUNCTION("""COMPUTED_VALUE"""),"АИП-25")</f>
        <v>АИП-25</v>
      </c>
      <c r="C179" s="14" t="str">
        <f>IFERROR(__xludf.DUMMYFUNCTION("""COMPUTED_VALUE"""),"УДС")</f>
        <v>УДС</v>
      </c>
      <c r="D179" s="15"/>
      <c r="E179" s="14" t="str">
        <f>IFERROR(__xludf.DUMMYFUNCTION("""COMPUTED_VALUE"""),"Технологическая часть ТПУ на станции метро ""Лермонтовский проспект"" (""Косино""). 
 Этап 1.2.3 ( ОСВОБОЖДЕНИЕ ТЕРРИТОРИИ для строительства этапов 1.2.1 и 1.2.2) г. Москва, м. ""Лермонтовский проспект""")</f>
        <v>Технологическая часть ТПУ на станции метро "Лермонтовский проспект" ("Косино"). 
 Этап 1.2.3 ( ОСВОБОЖДЕНИЕ ТЕРРИТОРИИ для строительства этапов 1.2.1 и 1.2.2) г. Москва, м. "Лермонтовский проспект"</v>
      </c>
      <c r="F179" s="25" t="str">
        <f>IFERROR(__xludf.DUMMYFUNCTION("""COMPUTED_VALUE"""),"#N/A")</f>
        <v>#N/A</v>
      </c>
      <c r="G179" s="6" t="str">
        <f>IFERROR(__xludf.DUMMYFUNCTION("""COMPUTED_VALUE"""),"#N/A")</f>
        <v>#N/A</v>
      </c>
      <c r="H179" s="18" t="str">
        <f>IFERROR(__xludf.DUMMYFUNCTION("""COMPUTED_VALUE"""),"https://docs.google.com/spreadsheets/d/1jonEGMB3UFHiUZpltF1zURon8gYN7jGSHu-k9t5TXnA/edit?gid=1483169462#gid=1483169462")</f>
        <v>https://docs.google.com/spreadsheets/d/1jonEGMB3UFHiUZpltF1zURon8gYN7jGSHu-k9t5TXnA/edit?gid=1483169462#gid=1483169462</v>
      </c>
      <c r="I179" s="6"/>
      <c r="J179" s="50">
        <f>IFERROR(__xludf.DUMMYFUNCTION("""COMPUTED_VALUE"""),50.0)</f>
        <v>50</v>
      </c>
      <c r="K179" s="58">
        <f>IFERROR(__xludf.DUMMYFUNCTION("""COMPUTED_VALUE"""),45971.0)</f>
        <v>45971</v>
      </c>
      <c r="L179" s="6">
        <v>30.0</v>
      </c>
      <c r="M179" s="52">
        <v>46001.0</v>
      </c>
      <c r="N179" s="53" t="s">
        <v>711</v>
      </c>
      <c r="O179" s="6" t="s">
        <v>774</v>
      </c>
      <c r="P179" s="6"/>
      <c r="Q179" s="6"/>
      <c r="R179" s="6"/>
    </row>
    <row r="180">
      <c r="A180" s="31" t="str">
        <f>IFERROR(__xludf.DUMMYFUNCTION("""COMPUTED_VALUE"""),"1121 (этап 1)")</f>
        <v>1121 (этап 1)</v>
      </c>
      <c r="B180" s="14" t="str">
        <f>IFERROR(__xludf.DUMMYFUNCTION("""COMPUTED_VALUE"""),"АИП-25")</f>
        <v>АИП-25</v>
      </c>
      <c r="C180" s="14" t="str">
        <f>IFERROR(__xludf.DUMMYFUNCTION("""COMPUTED_VALUE"""),"УДС")</f>
        <v>УДС</v>
      </c>
      <c r="D180" s="15"/>
      <c r="E180" s="14" t="str">
        <f>IFERROR(__xludf.DUMMYFUNCTION("""COMPUTED_VALUE"""),"Технологическая часть ТПУ на станции метро ""Лианозово"". 
Этап 1 ""Устройство УДС улицы Псковская, Дубнинская и Лианозовского проезда, ОРП для электробусов на Дмитровском шоссе. Уширение плоскостной перехватывающей парковки."" г. Москва, м. ""Лианозово""")</f>
        <v>Технологическая часть ТПУ на станции метро "Лианозово". 
Этап 1 "Устройство УДС улицы Псковская, Дубнинская и Лианозовского проезда, ОРП для электробусов на Дмитровском шоссе. Уширение плоскостной перехватывающей парковки." г. Москва, м. "Лианозово"</v>
      </c>
      <c r="F180" s="25" t="str">
        <f>IFERROR(__xludf.DUMMYFUNCTION("""COMPUTED_VALUE"""),"#N/A")</f>
        <v>#N/A</v>
      </c>
      <c r="G180" s="6" t="str">
        <f>IFERROR(__xludf.DUMMYFUNCTION("""COMPUTED_VALUE"""),"#N/A")</f>
        <v>#N/A</v>
      </c>
      <c r="H180" s="18" t="str">
        <f>IFERROR(__xludf.DUMMYFUNCTION("""COMPUTED_VALUE"""),"https://docs.google.com/spreadsheets/d/1jonEGMB3UFHiUZpltF1zURon8gYN7jGSHu-k9t5TXnA/edit?gid=1300135145#gid=1300135145")</f>
        <v>https://docs.google.com/spreadsheets/d/1jonEGMB3UFHiUZpltF1zURon8gYN7jGSHu-k9t5TXnA/edit?gid=1300135145#gid=1300135145</v>
      </c>
      <c r="I180"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180" s="50">
        <f>IFERROR(__xludf.DUMMYFUNCTION("""COMPUTED_VALUE"""),98.14999999999999)</f>
        <v>98.15</v>
      </c>
      <c r="K180" s="58">
        <f>IFERROR(__xludf.DUMMYFUNCTION("""COMPUTED_VALUE"""),45973.0)</f>
        <v>45973</v>
      </c>
      <c r="L180" s="6">
        <v>7.0</v>
      </c>
      <c r="M180" s="52">
        <v>45980.0</v>
      </c>
      <c r="N180" s="53" t="s">
        <v>711</v>
      </c>
      <c r="O180" s="6" t="s">
        <v>775</v>
      </c>
      <c r="P180" s="6"/>
      <c r="Q180" s="6"/>
      <c r="R180" s="6"/>
    </row>
    <row r="181">
      <c r="A181" s="31" t="str">
        <f>IFERROR(__xludf.DUMMYFUNCTION("""COMPUTED_VALUE"""),"1121 (этап 3)")</f>
        <v>1121 (этап 3)</v>
      </c>
      <c r="B181" s="14" t="str">
        <f>IFERROR(__xludf.DUMMYFUNCTION("""COMPUTED_VALUE"""),"АИП-25")</f>
        <v>АИП-25</v>
      </c>
      <c r="C181" s="14" t="str">
        <f>IFERROR(__xludf.DUMMYFUNCTION("""COMPUTED_VALUE"""),"УДС")</f>
        <v>УДС</v>
      </c>
      <c r="D181" s="15"/>
      <c r="E181" s="14" t="str">
        <f>IFERROR(__xludf.DUMMYFUNCTION("""COMPUTED_VALUE"""),"Технологическая часть ТПУ на станции метро ""Лианозово"". 
Этап 3 ""ОРП для автобусов со зданием конечной станции на Дубнинской улице"" г. Москва, м. ""Лианозово""")</f>
        <v>Технологическая часть ТПУ на станции метро "Лианозово". 
Этап 3 "ОРП для автобусов со зданием конечной станции на Дубнинской улице" г. Москва, м. "Лианозово"</v>
      </c>
      <c r="F181" s="25" t="str">
        <f>IFERROR(__xludf.DUMMYFUNCTION("""COMPUTED_VALUE"""),"#N/A")</f>
        <v>#N/A</v>
      </c>
      <c r="G181" s="6" t="str">
        <f>IFERROR(__xludf.DUMMYFUNCTION("""COMPUTED_VALUE"""),"#N/A")</f>
        <v>#N/A</v>
      </c>
      <c r="H181" s="18" t="str">
        <f>IFERROR(__xludf.DUMMYFUNCTION("""COMPUTED_VALUE"""),"https://docs.google.com/spreadsheets/d/1jonEGMB3UFHiUZpltF1zURon8gYN7jGSHu-k9t5TXnA/edit?gid=2011759996#gid=2011759996")</f>
        <v>https://docs.google.com/spreadsheets/d/1jonEGMB3UFHiUZpltF1zURon8gYN7jGSHu-k9t5TXnA/edit?gid=2011759996#gid=2011759996</v>
      </c>
      <c r="I181"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181" s="50">
        <f>IFERROR(__xludf.DUMMYFUNCTION("""COMPUTED_VALUE"""),93.562305)</f>
        <v>93.562305</v>
      </c>
      <c r="K181" s="58">
        <f>IFERROR(__xludf.DUMMYFUNCTION("""COMPUTED_VALUE"""),45973.0)</f>
        <v>45973</v>
      </c>
      <c r="L181" s="6">
        <v>14.0</v>
      </c>
      <c r="M181" s="52">
        <v>45987.0</v>
      </c>
      <c r="N181" s="53" t="s">
        <v>711</v>
      </c>
      <c r="O181" s="6" t="s">
        <v>669</v>
      </c>
      <c r="P181" s="6"/>
      <c r="Q181" s="6"/>
      <c r="R181" s="6"/>
    </row>
    <row r="182">
      <c r="A182" s="31" t="str">
        <f>IFERROR(__xludf.DUMMYFUNCTION("""COMPUTED_VALUE"""),"1124 (этап 1.2.1)")</f>
        <v>1124 (этап 1.2.1)</v>
      </c>
      <c r="B182" s="14" t="str">
        <f>IFERROR(__xludf.DUMMYFUNCTION("""COMPUTED_VALUE"""),"АИП-25")</f>
        <v>АИП-25</v>
      </c>
      <c r="C182" s="14" t="str">
        <f>IFERROR(__xludf.DUMMYFUNCTION("""COMPUTED_VALUE"""),"УДС")</f>
        <v>УДС</v>
      </c>
      <c r="D182" s="60"/>
      <c r="E182" s="14" t="str">
        <f>IFERROR(__xludf.DUMMYFUNCTION("""COMPUTED_VALUE"""),"Технологическая часть ТПУ на станции метро ""Лухмановская"". 
 Этапы 1.2.1 г. Москва, м. ""Лухмановская""")</f>
        <v>Технологическая часть ТПУ на станции метро "Лухмановская". 
 Этапы 1.2.1 г. Москва, м. "Лухмановская"</v>
      </c>
      <c r="F182" s="25" t="str">
        <f>IFERROR(__xludf.DUMMYFUNCTION("""COMPUTED_VALUE"""),"#N/A")</f>
        <v>#N/A</v>
      </c>
      <c r="G182" s="6" t="str">
        <f>IFERROR(__xludf.DUMMYFUNCTION("""COMPUTED_VALUE"""),"#N/A")</f>
        <v>#N/A</v>
      </c>
      <c r="H182" s="18" t="str">
        <f>IFERROR(__xludf.DUMMYFUNCTION("""COMPUTED_VALUE"""),"https://docs.google.com/spreadsheets/d/1jonEGMB3UFHiUZpltF1zURon8gYN7jGSHu-k9t5TXnA/edit?gid=1566731730#gid=1566731730")</f>
        <v>https://docs.google.com/spreadsheets/d/1jonEGMB3UFHiUZpltF1zURon8gYN7jGSHu-k9t5TXnA/edit?gid=1566731730#gid=1566731730</v>
      </c>
      <c r="I182"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2" s="50">
        <f>IFERROR(__xludf.DUMMYFUNCTION("""COMPUTED_VALUE"""),9.2208)</f>
        <v>9.2208</v>
      </c>
      <c r="K182" s="58">
        <f>IFERROR(__xludf.DUMMYFUNCTION("""COMPUTED_VALUE"""),45972.0)</f>
        <v>45972</v>
      </c>
      <c r="L182" s="6">
        <v>30.0</v>
      </c>
      <c r="M182" s="52">
        <v>46002.0</v>
      </c>
      <c r="N182" s="53" t="s">
        <v>711</v>
      </c>
      <c r="O182" s="6" t="s">
        <v>669</v>
      </c>
      <c r="P182" s="6"/>
      <c r="Q182" s="6"/>
      <c r="R182" s="6"/>
    </row>
    <row r="183">
      <c r="A183" s="31" t="str">
        <f>IFERROR(__xludf.DUMMYFUNCTION("""COMPUTED_VALUE"""),"1124 (этап 1.3)")</f>
        <v>1124 (этап 1.3)</v>
      </c>
      <c r="B183" s="14" t="str">
        <f>IFERROR(__xludf.DUMMYFUNCTION("""COMPUTED_VALUE"""),"АИП-25")</f>
        <v>АИП-25</v>
      </c>
      <c r="C183" s="14" t="str">
        <f>IFERROR(__xludf.DUMMYFUNCTION("""COMPUTED_VALUE"""),"УДС")</f>
        <v>УДС</v>
      </c>
      <c r="D183" s="15"/>
      <c r="E183" s="14" t="str">
        <f>IFERROR(__xludf.DUMMYFUNCTION("""COMPUTED_VALUE"""),"Технологическая часть ТПУ на станции метро ""Лухмановская"". 
 Этапы 1.3 г. Москва, м. ""Лухмановская""")</f>
        <v>Технологическая часть ТПУ на станции метро "Лухмановская". 
 Этапы 1.3 г. Москва, м. "Лухмановская"</v>
      </c>
      <c r="F183" s="25" t="str">
        <f>IFERROR(__xludf.DUMMYFUNCTION("""COMPUTED_VALUE"""),"#N/A")</f>
        <v>#N/A</v>
      </c>
      <c r="G183" s="6" t="str">
        <f>IFERROR(__xludf.DUMMYFUNCTION("""COMPUTED_VALUE"""),"#N/A")</f>
        <v>#N/A</v>
      </c>
      <c r="H183" s="18" t="str">
        <f>IFERROR(__xludf.DUMMYFUNCTION("""COMPUTED_VALUE"""),"https://docs.google.com/spreadsheets/d/1jonEGMB3UFHiUZpltF1zURon8gYN7jGSHu-k9t5TXnA/edit?gid=1014561501#gid=1014561501")</f>
        <v>https://docs.google.com/spreadsheets/d/1jonEGMB3UFHiUZpltF1zURon8gYN7jGSHu-k9t5TXnA/edit?gid=1014561501#gid=1014561501</v>
      </c>
      <c r="I183"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3" s="50">
        <f>IFERROR(__xludf.DUMMYFUNCTION("""COMPUTED_VALUE"""),95.06)</f>
        <v>95.06</v>
      </c>
      <c r="K183" s="58">
        <f>IFERROR(__xludf.DUMMYFUNCTION("""COMPUTED_VALUE"""),45972.0)</f>
        <v>45972</v>
      </c>
      <c r="L183" s="6">
        <v>7.0</v>
      </c>
      <c r="M183" s="52">
        <v>45979.0</v>
      </c>
      <c r="N183" s="53" t="s">
        <v>692</v>
      </c>
      <c r="O183" s="6" t="s">
        <v>669</v>
      </c>
      <c r="P183" s="6"/>
      <c r="Q183" s="6"/>
      <c r="R183" s="6"/>
    </row>
    <row r="184">
      <c r="A184" s="31" t="str">
        <f>IFERROR(__xludf.DUMMYFUNCTION("""COMPUTED_VALUE"""),"1124 (этап 1.2)")</f>
        <v>1124 (этап 1.2)</v>
      </c>
      <c r="B184" s="14" t="str">
        <f>IFERROR(__xludf.DUMMYFUNCTION("""COMPUTED_VALUE"""),"АИП-25")</f>
        <v>АИП-25</v>
      </c>
      <c r="C184" s="14" t="str">
        <f>IFERROR(__xludf.DUMMYFUNCTION("""COMPUTED_VALUE"""),"УДС")</f>
        <v>УДС</v>
      </c>
      <c r="D184" s="15"/>
      <c r="E184" s="14" t="str">
        <f>IFERROR(__xludf.DUMMYFUNCTION("""COMPUTED_VALUE"""),"Технологическая часть ТПУ на станции метро ""Лухмановская"". 
 Этап 1.2 г. Москва, м. ""Лухмановская""")</f>
        <v>Технологическая часть ТПУ на станции метро "Лухмановская". 
 Этап 1.2 г. Москва, м. "Лухмановская"</v>
      </c>
      <c r="F184" s="25" t="str">
        <f>IFERROR(__xludf.DUMMYFUNCTION("""COMPUTED_VALUE"""),"#N/A")</f>
        <v>#N/A</v>
      </c>
      <c r="G184" s="6" t="str">
        <f>IFERROR(__xludf.DUMMYFUNCTION("""COMPUTED_VALUE"""),"#N/A")</f>
        <v>#N/A</v>
      </c>
      <c r="H184" s="18" t="str">
        <f>IFERROR(__xludf.DUMMYFUNCTION("""COMPUTED_VALUE"""),"https://docs.google.com/spreadsheets/d/1jonEGMB3UFHiUZpltF1zURon8gYN7jGSHu-k9t5TXnA/edit?gid=886266246#gid=886266246")</f>
        <v>https://docs.google.com/spreadsheets/d/1jonEGMB3UFHiUZpltF1zURon8gYN7jGSHu-k9t5TXnA/edit?gid=886266246#gid=886266246</v>
      </c>
      <c r="I184"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4" s="50">
        <f>IFERROR(__xludf.DUMMYFUNCTION("""COMPUTED_VALUE"""),84.49249999999999)</f>
        <v>84.4925</v>
      </c>
      <c r="K184" s="58">
        <f>IFERROR(__xludf.DUMMYFUNCTION("""COMPUTED_VALUE"""),45972.0)</f>
        <v>45972</v>
      </c>
      <c r="L184" s="6">
        <v>14.0</v>
      </c>
      <c r="M184" s="52">
        <v>45986.0</v>
      </c>
      <c r="N184" s="53" t="s">
        <v>711</v>
      </c>
      <c r="O184" s="6" t="s">
        <v>669</v>
      </c>
      <c r="P184" s="6"/>
      <c r="Q184" s="6"/>
      <c r="R184" s="6"/>
    </row>
    <row r="185">
      <c r="A185" s="31" t="str">
        <f>IFERROR(__xludf.DUMMYFUNCTION("""COMPUTED_VALUE"""),"1131 (этап 1.1)")</f>
        <v>1131 (этап 1.1)</v>
      </c>
      <c r="B185" s="14" t="str">
        <f>IFERROR(__xludf.DUMMYFUNCTION("""COMPUTED_VALUE"""),"АИП-25")</f>
        <v>АИП-25</v>
      </c>
      <c r="C185" s="14" t="str">
        <f>IFERROR(__xludf.DUMMYFUNCTION("""COMPUTED_VALUE"""),"УДС")</f>
        <v>УДС</v>
      </c>
      <c r="D185" s="15"/>
      <c r="E185" s="14" t="str">
        <f>IFERROR(__xludf.DUMMYFUNCTION("""COMPUTED_VALUE"""),"Технологическая часть ТПУ на станции метро ""Нагатинский затон"". 
 Этап 1.1 г. Москва, м. ""Нагатинский затон""")</f>
        <v>Технологическая часть ТПУ на станции метро "Нагатинский затон". 
 Этап 1.1 г. Москва, м. "Нагатинский затон"</v>
      </c>
      <c r="F185" s="25" t="str">
        <f>IFERROR(__xludf.DUMMYFUNCTION("""COMPUTED_VALUE"""),"#N/A")</f>
        <v>#N/A</v>
      </c>
      <c r="G185" s="6" t="str">
        <f>IFERROR(__xludf.DUMMYFUNCTION("""COMPUTED_VALUE"""),"#N/A")</f>
        <v>#N/A</v>
      </c>
      <c r="H185" s="18" t="str">
        <f>IFERROR(__xludf.DUMMYFUNCTION("""COMPUTED_VALUE"""),"https://docs.google.com/spreadsheets/d/1jonEGMB3UFHiUZpltF1zURon8gYN7jGSHu-k9t5TXnA/edit?gid=1809572747#gid=1809572747")</f>
        <v>https://docs.google.com/spreadsheets/d/1jonEGMB3UFHiUZpltF1zURon8gYN7jGSHu-k9t5TXnA/edit?gid=1809572747#gid=1809572747</v>
      </c>
      <c r="I185"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185" s="50">
        <f>IFERROR(__xludf.DUMMYFUNCTION("""COMPUTED_VALUE"""),100.0)</f>
        <v>100</v>
      </c>
      <c r="K185" s="58">
        <f>IFERROR(__xludf.DUMMYFUNCTION("""COMPUTED_VALUE"""),45972.0)</f>
        <v>45972</v>
      </c>
      <c r="L185" s="6" t="s">
        <v>654</v>
      </c>
      <c r="M185" s="52" t="s">
        <v>655</v>
      </c>
      <c r="N185" s="53" t="s">
        <v>656</v>
      </c>
      <c r="O185" s="6" t="s">
        <v>776</v>
      </c>
      <c r="P185" s="6"/>
      <c r="Q185" s="6"/>
      <c r="R185" s="6"/>
    </row>
    <row r="186">
      <c r="A186" s="31" t="str">
        <f>IFERROR(__xludf.DUMMYFUNCTION("""COMPUTED_VALUE"""),"1131 (этап 4)")</f>
        <v>1131 (этап 4)</v>
      </c>
      <c r="B186" s="14" t="str">
        <f>IFERROR(__xludf.DUMMYFUNCTION("""COMPUTED_VALUE"""),"АИП-25")</f>
        <v>АИП-25</v>
      </c>
      <c r="C186" s="14" t="str">
        <f>IFERROR(__xludf.DUMMYFUNCTION("""COMPUTED_VALUE"""),"УДС")</f>
        <v>УДС</v>
      </c>
      <c r="D186" s="15"/>
      <c r="E186" s="14" t="str">
        <f>IFERROR(__xludf.DUMMYFUNCTION("""COMPUTED_VALUE"""),"Технологическая часть ТПУ на станции метро ""Нагатинский затон"". 
 Этап 4 г. Москва, м. ""Нагатинский затон""")</f>
        <v>Технологическая часть ТПУ на станции метро "Нагатинский затон". 
 Этап 4 г. Москва, м. "Нагатинский затон"</v>
      </c>
      <c r="F186" s="25" t="str">
        <f>IFERROR(__xludf.DUMMYFUNCTION("""COMPUTED_VALUE"""),"#N/A")</f>
        <v>#N/A</v>
      </c>
      <c r="G186" s="6" t="str">
        <f>IFERROR(__xludf.DUMMYFUNCTION("""COMPUTED_VALUE"""),"#N/A")</f>
        <v>#N/A</v>
      </c>
      <c r="H186" s="18" t="str">
        <f>IFERROR(__xludf.DUMMYFUNCTION("""COMPUTED_VALUE"""),"https://docs.google.com/spreadsheets/d/1jonEGMB3UFHiUZpltF1zURon8gYN7jGSHu-k9t5TXnA/edit?gid=2067153840#gid=2067153840")</f>
        <v>https://docs.google.com/spreadsheets/d/1jonEGMB3UFHiUZpltF1zURon8gYN7jGSHu-k9t5TXnA/edit?gid=2067153840#gid=2067153840</v>
      </c>
      <c r="I186"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186" s="50">
        <f>IFERROR(__xludf.DUMMYFUNCTION("""COMPUTED_VALUE"""),99.5105)</f>
        <v>99.5105</v>
      </c>
      <c r="K186" s="58">
        <f>IFERROR(__xludf.DUMMYFUNCTION("""COMPUTED_VALUE"""),45972.0)</f>
        <v>45972</v>
      </c>
      <c r="L186" s="6">
        <v>7.0</v>
      </c>
      <c r="M186" s="52">
        <v>45979.0</v>
      </c>
      <c r="N186" s="53" t="s">
        <v>692</v>
      </c>
      <c r="O186" s="6" t="s">
        <v>777</v>
      </c>
      <c r="P186" s="6"/>
      <c r="Q186" s="6"/>
      <c r="R186" s="6"/>
    </row>
    <row r="187">
      <c r="A187" s="31" t="str">
        <f>IFERROR(__xludf.DUMMYFUNCTION("""COMPUTED_VALUE"""),"1135")</f>
        <v>1135</v>
      </c>
      <c r="B187" s="14" t="str">
        <f>IFERROR(__xludf.DUMMYFUNCTION("""COMPUTED_VALUE"""),"АИП-25")</f>
        <v>АИП-25</v>
      </c>
      <c r="C187" s="14" t="str">
        <f>IFERROR(__xludf.DUMMYFUNCTION("""COMPUTED_VALUE"""),"УДС")</f>
        <v>УДС</v>
      </c>
      <c r="D187" s="15"/>
      <c r="E187" s="14" t="str">
        <f>IFERROR(__xludf.DUMMYFUNCTION("""COMPUTED_VALUE"""),"Технологическая часть ТПУ на станции метро ""Некрасовка"". 
 Этап 1 г. Москва, м. ""Некрасовка""")</f>
        <v>Технологическая часть ТПУ на станции метро "Некрасовка". 
 Этап 1 г. Москва, м. "Некрасовка"</v>
      </c>
      <c r="F187" s="25" t="str">
        <f>IFERROR(__xludf.DUMMYFUNCTION("""COMPUTED_VALUE"""),"#N/A")</f>
        <v>#N/A</v>
      </c>
      <c r="G187" s="6" t="str">
        <f>IFERROR(__xludf.DUMMYFUNCTION("""COMPUTED_VALUE"""),"#N/A")</f>
        <v>#N/A</v>
      </c>
      <c r="H187" s="18" t="str">
        <f>IFERROR(__xludf.DUMMYFUNCTION("""COMPUTED_VALUE"""),"https://docs.google.com/spreadsheets/d/1jonEGMB3UFHiUZpltF1zURon8gYN7jGSHu-k9t5TXnA/edit?gid=1442718959#gid=1442718959")</f>
        <v>https://docs.google.com/spreadsheets/d/1jonEGMB3UFHiUZpltF1zURon8gYN7jGSHu-k9t5TXnA/edit?gid=1442718959#gid=1442718959</v>
      </c>
      <c r="I187" s="6" t="str">
        <f>IFERROR(__xludf.DUMMYFUNCTION("""COMPUTED_VALUE"""),"https://disk.yandex.ru/client/disk/Осмотры%20объектов%20АНО%20СМГ/1135%20Технологическая%20часть%20ТПУ%20на%20станции%20метро%20%22Некрасовка%22")</f>
        <v>https://disk.yandex.ru/client/disk/Осмотры%20объектов%20АНО%20СМГ/1135%20Технологическая%20часть%20ТПУ%20на%20станции%20метро%20%22Некрасовка%22</v>
      </c>
      <c r="J187" s="50">
        <f>IFERROR(__xludf.DUMMYFUNCTION("""COMPUTED_VALUE"""),100.0)</f>
        <v>100</v>
      </c>
      <c r="K187" s="58">
        <f>IFERROR(__xludf.DUMMYFUNCTION("""COMPUTED_VALUE"""),45972.0)</f>
        <v>45972</v>
      </c>
      <c r="L187" s="6" t="s">
        <v>654</v>
      </c>
      <c r="M187" s="52" t="s">
        <v>655</v>
      </c>
      <c r="N187" s="53" t="s">
        <v>656</v>
      </c>
      <c r="O187" s="6" t="s">
        <v>778</v>
      </c>
      <c r="P187" s="6"/>
      <c r="Q187" s="6"/>
      <c r="R187" s="6"/>
    </row>
    <row r="188">
      <c r="A188" s="31" t="str">
        <f>IFERROR(__xludf.DUMMYFUNCTION("""COMPUTED_VALUE"""),"1065 (5.2)")</f>
        <v>1065 (5.2)</v>
      </c>
      <c r="B188" s="14" t="str">
        <f>IFERROR(__xludf.DUMMYFUNCTION("""COMPUTED_VALUE"""),"АИП-25")</f>
        <v>АИП-25</v>
      </c>
      <c r="C188" s="14" t="str">
        <f>IFERROR(__xludf.DUMMYFUNCTION("""COMPUTED_VALUE"""),"УДС")</f>
        <v>УДС</v>
      </c>
      <c r="D188" s="15"/>
      <c r="E188" s="14" t="str">
        <f>IFERROR(__xludf.DUMMYFUNCTION("""COMPUTED_VALUE"""),"Технологическая часть ТПУ на станции метро ""Рассказовка"". 
 Этапы 5.2. Многоуровневый перехватывающий наземно-подземный
паркинг на 840 м/м с защитными сооружениями ГО г. Москва, м. ""Рассказовка""")</f>
        <v>Технологическая часть ТПУ на станции метро "Рассказовка". 
 Этапы 5.2. Многоуровневый перехватывающий наземно-подземный
паркинг на 840 м/м с защитными сооружениями ГО г. Москва, м. "Рассказовка"</v>
      </c>
      <c r="F188" s="25" t="str">
        <f>IFERROR(__xludf.DUMMYFUNCTION("""COMPUTED_VALUE"""),"55.633969596534705")</f>
        <v>55.633969596534705</v>
      </c>
      <c r="G188" s="6" t="str">
        <f>IFERROR(__xludf.DUMMYFUNCTION("""COMPUTED_VALUE"""),"37.3346986726294")</f>
        <v>37.3346986726294</v>
      </c>
      <c r="H188" s="18" t="str">
        <f>IFERROR(__xludf.DUMMYFUNCTION("""COMPUTED_VALUE"""),"https://docs.google.com/spreadsheets/d/1jonEGMB3UFHiUZpltF1zURon8gYN7jGSHu-k9t5TXnA/edit?gid=821057082#gid=821057082")</f>
        <v>https://docs.google.com/spreadsheets/d/1jonEGMB3UFHiUZpltF1zURon8gYN7jGSHu-k9t5TXnA/edit?gid=821057082#gid=821057082</v>
      </c>
      <c r="I188"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188" s="50">
        <f>IFERROR(__xludf.DUMMYFUNCTION("""COMPUTED_VALUE"""),100.0)</f>
        <v>100</v>
      </c>
      <c r="K188" s="58">
        <f>IFERROR(__xludf.DUMMYFUNCTION("""COMPUTED_VALUE"""),45974.0)</f>
        <v>45974</v>
      </c>
      <c r="L188" s="6" t="s">
        <v>654</v>
      </c>
      <c r="M188" s="52" t="s">
        <v>655</v>
      </c>
      <c r="N188" s="53" t="s">
        <v>656</v>
      </c>
      <c r="O188" s="6" t="s">
        <v>779</v>
      </c>
      <c r="P188" s="6"/>
      <c r="Q188" s="6"/>
      <c r="R188" s="6"/>
    </row>
    <row r="189">
      <c r="A189" s="31" t="str">
        <f>IFERROR(__xludf.DUMMYFUNCTION("""COMPUTED_VALUE"""),"1065 (5.2.1)")</f>
        <v>1065 (5.2.1)</v>
      </c>
      <c r="B189" s="14" t="str">
        <f>IFERROR(__xludf.DUMMYFUNCTION("""COMPUTED_VALUE"""),"АИП-25")</f>
        <v>АИП-25</v>
      </c>
      <c r="C189" s="14" t="str">
        <f>IFERROR(__xludf.DUMMYFUNCTION("""COMPUTED_VALUE"""),"УДС")</f>
        <v>УДС</v>
      </c>
      <c r="D189" s="15"/>
      <c r="E189" s="14" t="str">
        <f>IFERROR(__xludf.DUMMYFUNCTION("""COMPUTED_VALUE"""),"Технологическая часть ТПУ на станции метро ""Рассказовка"". 
 Этапы 5.2.1 г. Москва, м. ""Рассказовка""")</f>
        <v>Технологическая часть ТПУ на станции метро "Рассказовка". 
 Этапы 5.2.1 г. Москва, м. "Рассказовка"</v>
      </c>
      <c r="F189" s="25" t="str">
        <f>IFERROR(__xludf.DUMMYFUNCTION("""COMPUTED_VALUE"""),"55.633969596534705")</f>
        <v>55.633969596534705</v>
      </c>
      <c r="G189" s="6" t="str">
        <f>IFERROR(__xludf.DUMMYFUNCTION("""COMPUTED_VALUE"""),"37.3346986726294")</f>
        <v>37.3346986726294</v>
      </c>
      <c r="H189" s="18" t="str">
        <f>IFERROR(__xludf.DUMMYFUNCTION("""COMPUTED_VALUE"""),"https://docs.google.com/spreadsheets/d/1jonEGMB3UFHiUZpltF1zURon8gYN7jGSHu-k9t5TXnA/edit?gid=577400276#gid=577400276")</f>
        <v>https://docs.google.com/spreadsheets/d/1jonEGMB3UFHiUZpltF1zURon8gYN7jGSHu-k9t5TXnA/edit?gid=577400276#gid=577400276</v>
      </c>
      <c r="I189"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189" s="50">
        <f>IFERROR(__xludf.DUMMYFUNCTION("""COMPUTED_VALUE"""),100.0)</f>
        <v>100</v>
      </c>
      <c r="K189" s="58">
        <f>IFERROR(__xludf.DUMMYFUNCTION("""COMPUTED_VALUE"""),45974.0)</f>
        <v>45974</v>
      </c>
      <c r="L189" s="6" t="s">
        <v>654</v>
      </c>
      <c r="M189" s="52" t="s">
        <v>655</v>
      </c>
      <c r="N189" s="53" t="s">
        <v>656</v>
      </c>
      <c r="O189" s="6" t="s">
        <v>780</v>
      </c>
      <c r="P189" s="6"/>
      <c r="Q189" s="6"/>
      <c r="R189" s="6"/>
    </row>
    <row r="190">
      <c r="A190" s="31" t="str">
        <f>IFERROR(__xludf.DUMMYFUNCTION("""COMPUTED_VALUE"""),"1122 (этап 1.1)")</f>
        <v>1122 (этап 1.1)</v>
      </c>
      <c r="B190" s="14" t="str">
        <f>IFERROR(__xludf.DUMMYFUNCTION("""COMPUTED_VALUE"""),"АИП-25")</f>
        <v>АИП-25</v>
      </c>
      <c r="C190" s="14" t="str">
        <f>IFERROR(__xludf.DUMMYFUNCTION("""COMPUTED_VALUE"""),"УДС")</f>
        <v>УДС</v>
      </c>
      <c r="D190" s="60"/>
      <c r="E190" s="14" t="str">
        <f>IFERROR(__xludf.DUMMYFUNCTION("""COMPUTED_VALUE"""),"Технологическая часть ТПУ на станции метро ""Текстильщики"". 
 Этап 1.1 г. Москва, м. ""Текстильщики""")</f>
        <v>Технологическая часть ТПУ на станции метро "Текстильщики". 
 Этап 1.1 г. Москва, м. "Текстильщики"</v>
      </c>
      <c r="F190" s="25" t="str">
        <f>IFERROR(__xludf.DUMMYFUNCTION("""COMPUTED_VALUE"""),"#N/A")</f>
        <v>#N/A</v>
      </c>
      <c r="G190" s="6" t="str">
        <f>IFERROR(__xludf.DUMMYFUNCTION("""COMPUTED_VALUE"""),"#N/A")</f>
        <v>#N/A</v>
      </c>
      <c r="H190" s="18" t="str">
        <f>IFERROR(__xludf.DUMMYFUNCTION("""COMPUTED_VALUE"""),"https://docs.google.com/spreadsheets/d/1jonEGMB3UFHiUZpltF1zURon8gYN7jGSHu-k9t5TXnA/edit?gid=1288909819#gid=1288909819")</f>
        <v>https://docs.google.com/spreadsheets/d/1jonEGMB3UFHiUZpltF1zURon8gYN7jGSHu-k9t5TXnA/edit?gid=1288909819#gid=1288909819</v>
      </c>
      <c r="I190" s="6" t="str">
        <f>IFERROR(__xludf.DUMMYFUNCTION("""COMPUTED_VALUE"""),"https://disk.yandex.ru/client/disk/Осмотры%20объектов%20АНО%20СМГ/1122.%201-1.1%20этап.%20Технологическая%20часть%20ТПУ%20на%20станции%20метро%20%22Текстильщики%22")</f>
        <v>https://disk.yandex.ru/client/disk/Осмотры%20объектов%20АНО%20СМГ/1122.%201-1.1%20этап.%20Технологическая%20часть%20ТПУ%20на%20станции%20метро%20%22Текстильщики%22</v>
      </c>
      <c r="J190" s="50">
        <f>IFERROR(__xludf.DUMMYFUNCTION("""COMPUTED_VALUE"""),96.0)</f>
        <v>96</v>
      </c>
      <c r="K190" s="58">
        <f>IFERROR(__xludf.DUMMYFUNCTION("""COMPUTED_VALUE"""),45972.0)</f>
        <v>45972</v>
      </c>
      <c r="L190" s="6">
        <v>7.0</v>
      </c>
      <c r="M190" s="52">
        <v>45979.0</v>
      </c>
      <c r="N190" s="53" t="s">
        <v>692</v>
      </c>
      <c r="O190" s="6" t="s">
        <v>781</v>
      </c>
      <c r="P190" s="6"/>
      <c r="Q190" s="6"/>
      <c r="R190" s="6"/>
    </row>
    <row r="191">
      <c r="A191" s="31" t="str">
        <f>IFERROR(__xludf.DUMMYFUNCTION("""COMPUTED_VALUE"""),"1122 (этап 1)")</f>
        <v>1122 (этап 1)</v>
      </c>
      <c r="B191" s="14" t="str">
        <f>IFERROR(__xludf.DUMMYFUNCTION("""COMPUTED_VALUE"""),"АИП-25")</f>
        <v>АИП-25</v>
      </c>
      <c r="C191" s="14" t="str">
        <f>IFERROR(__xludf.DUMMYFUNCTION("""COMPUTED_VALUE"""),"УДС")</f>
        <v>УДС</v>
      </c>
      <c r="D191" s="15"/>
      <c r="E191" s="14" t="str">
        <f>IFERROR(__xludf.DUMMYFUNCTION("""COMPUTED_VALUE"""),"Технологическая часть ТПУ на станции метро ""Текстильщики"". 
 Этап 1 г. Москва, м. ""Текстильщики""")</f>
        <v>Технологическая часть ТПУ на станции метро "Текстильщики". 
 Этап 1 г. Москва, м. "Текстильщики"</v>
      </c>
      <c r="F191" s="25" t="str">
        <f>IFERROR(__xludf.DUMMYFUNCTION("""COMPUTED_VALUE"""),"#N/A")</f>
        <v>#N/A</v>
      </c>
      <c r="G191" s="6" t="str">
        <f>IFERROR(__xludf.DUMMYFUNCTION("""COMPUTED_VALUE"""),"#N/A")</f>
        <v>#N/A</v>
      </c>
      <c r="H191" s="18" t="str">
        <f>IFERROR(__xludf.DUMMYFUNCTION("""COMPUTED_VALUE"""),"https://docs.google.com/spreadsheets/d/1jonEGMB3UFHiUZpltF1zURon8gYN7jGSHu-k9t5TXnA/edit?gid=1628703806#gid=1628703806")</f>
        <v>https://docs.google.com/spreadsheets/d/1jonEGMB3UFHiUZpltF1zURon8gYN7jGSHu-k9t5TXnA/edit?gid=1628703806#gid=1628703806</v>
      </c>
      <c r="I191" s="6" t="str">
        <f>IFERROR(__xludf.DUMMYFUNCTION("""COMPUTED_VALUE"""),"https://disk.yandex.ru/client/disk/Осмотры%20объектов%20АНО%20СМГ/1122.%201-1.1%20этап.%20Технологическая%20часть%20ТПУ%20на%20станции%20метро%20%22Текстильщики%22")</f>
        <v>https://disk.yandex.ru/client/disk/Осмотры%20объектов%20АНО%20СМГ/1122.%201-1.1%20этап.%20Технологическая%20часть%20ТПУ%20на%20станции%20метро%20%22Текстильщики%22</v>
      </c>
      <c r="J191" s="50">
        <f>IFERROR(__xludf.DUMMYFUNCTION("""COMPUTED_VALUE"""),100.0)</f>
        <v>100</v>
      </c>
      <c r="K191" s="58">
        <f>IFERROR(__xludf.DUMMYFUNCTION("""COMPUTED_VALUE"""),45958.0)</f>
        <v>45958</v>
      </c>
      <c r="L191" s="6" t="s">
        <v>654</v>
      </c>
      <c r="M191" s="52" t="s">
        <v>655</v>
      </c>
      <c r="N191" s="53" t="s">
        <v>656</v>
      </c>
      <c r="O191" s="6" t="s">
        <v>782</v>
      </c>
      <c r="P191" s="6"/>
      <c r="Q191" s="6"/>
      <c r="R191" s="6"/>
    </row>
    <row r="192">
      <c r="A192" s="31" t="str">
        <f>IFERROR(__xludf.DUMMYFUNCTION("""COMPUTED_VALUE"""),"1133 (этап 1.1)")</f>
        <v>1133 (этап 1.1)</v>
      </c>
      <c r="B192" s="14" t="str">
        <f>IFERROR(__xludf.DUMMYFUNCTION("""COMPUTED_VALUE"""),"АИП-25")</f>
        <v>АИП-25</v>
      </c>
      <c r="C192" s="14" t="str">
        <f>IFERROR(__xludf.DUMMYFUNCTION("""COMPUTED_VALUE"""),"УДС")</f>
        <v>УДС</v>
      </c>
      <c r="D192" s="15"/>
      <c r="E192" s="14" t="str">
        <f>IFERROR(__xludf.DUMMYFUNCTION("""COMPUTED_VALUE"""),"Технологическая часть ТПУ на станции метро ""Хорошевская"". 
 Этапы 1.1 г. Москва, м. ""Хорошеская""")</f>
        <v>Технологическая часть ТПУ на станции метро "Хорошевская". 
 Этапы 1.1 г. Москва, м. "Хорошеская"</v>
      </c>
      <c r="F192" s="25" t="str">
        <f>IFERROR(__xludf.DUMMYFUNCTION("""COMPUTED_VALUE"""),"#N/A")</f>
        <v>#N/A</v>
      </c>
      <c r="G192" s="6" t="str">
        <f>IFERROR(__xludf.DUMMYFUNCTION("""COMPUTED_VALUE"""),"#N/A")</f>
        <v>#N/A</v>
      </c>
      <c r="H192" s="18" t="str">
        <f>IFERROR(__xludf.DUMMYFUNCTION("""COMPUTED_VALUE"""),"https://docs.google.com/spreadsheets/d/1jonEGMB3UFHiUZpltF1zURon8gYN7jGSHu-k9t5TXnA/edit?gid=1845109853#gid=1845109853")</f>
        <v>https://docs.google.com/spreadsheets/d/1jonEGMB3UFHiUZpltF1zURon8gYN7jGSHu-k9t5TXnA/edit?gid=1845109853#gid=1845109853</v>
      </c>
      <c r="I192" s="6" t="str">
        <f>IFERROR(__xludf.DUMMYFUNCTION("""COMPUTED_VALUE"""),"https://disk.yandex.ru/client/disk/Осмотры%20объектов%20АНО%20СМГ/1133.1%20ТПУ%20Хорошевская")</f>
        <v>https://disk.yandex.ru/client/disk/Осмотры%20объектов%20АНО%20СМГ/1133.1%20ТПУ%20Хорошевская</v>
      </c>
      <c r="J192" s="50">
        <f>IFERROR(__xludf.DUMMYFUNCTION("""COMPUTED_VALUE"""),99.96000000000001)</f>
        <v>99.96</v>
      </c>
      <c r="K192" s="58">
        <f>IFERROR(__xludf.DUMMYFUNCTION("""COMPUTED_VALUE"""),45972.0)</f>
        <v>45972</v>
      </c>
      <c r="L192" s="6">
        <v>7.0</v>
      </c>
      <c r="M192" s="52">
        <v>45979.0</v>
      </c>
      <c r="N192" s="53" t="s">
        <v>692</v>
      </c>
      <c r="O192" s="6" t="s">
        <v>783</v>
      </c>
      <c r="P192" s="6"/>
      <c r="Q192" s="6"/>
      <c r="R192" s="6"/>
    </row>
    <row r="193">
      <c r="A193" s="31" t="str">
        <f>IFERROR(__xludf.DUMMYFUNCTION("""COMPUTED_VALUE"""),"1133 (этап 1.2)")</f>
        <v>1133 (этап 1.2)</v>
      </c>
      <c r="B193" s="14" t="str">
        <f>IFERROR(__xludf.DUMMYFUNCTION("""COMPUTED_VALUE"""),"АИП-25")</f>
        <v>АИП-25</v>
      </c>
      <c r="C193" s="14" t="str">
        <f>IFERROR(__xludf.DUMMYFUNCTION("""COMPUTED_VALUE"""),"УДС")</f>
        <v>УДС</v>
      </c>
      <c r="D193" s="15"/>
      <c r="E193" s="14" t="str">
        <f>IFERROR(__xludf.DUMMYFUNCTION("""COMPUTED_VALUE"""),"Технологическая часть ТПУ на станции метро ""Хорошевская"". 
 Этапы 1.2 г. Москва, м. ""Хорошеская""")</f>
        <v>Технологическая часть ТПУ на станции метро "Хорошевская". 
 Этапы 1.2 г. Москва, м. "Хорошеская"</v>
      </c>
      <c r="F193" s="25" t="str">
        <f>IFERROR(__xludf.DUMMYFUNCTION("""COMPUTED_VALUE"""),"#N/A")</f>
        <v>#N/A</v>
      </c>
      <c r="G193" s="6" t="str">
        <f>IFERROR(__xludf.DUMMYFUNCTION("""COMPUTED_VALUE"""),"#N/A")</f>
        <v>#N/A</v>
      </c>
      <c r="H193" s="18" t="str">
        <f>IFERROR(__xludf.DUMMYFUNCTION("""COMPUTED_VALUE"""),"https://docs.google.com/spreadsheets/d/1jonEGMB3UFHiUZpltF1zURon8gYN7jGSHu-k9t5TXnA/edit?gid=1305358292#gid=1305358292")</f>
        <v>https://docs.google.com/spreadsheets/d/1jonEGMB3UFHiUZpltF1zURon8gYN7jGSHu-k9t5TXnA/edit?gid=1305358292#gid=1305358292</v>
      </c>
      <c r="I193" s="6" t="str">
        <f>IFERROR(__xludf.DUMMYFUNCTION("""COMPUTED_VALUE"""),"https://disk.yandex.ru/client/disk/Осмотры%20объектов%20АНО%20СМГ/1133.1%20ТПУ%20Хорошевская")</f>
        <v>https://disk.yandex.ru/client/disk/Осмотры%20объектов%20АНО%20СМГ/1133.1%20ТПУ%20Хорошевская</v>
      </c>
      <c r="J193" s="50">
        <f>IFERROR(__xludf.DUMMYFUNCTION("""COMPUTED_VALUE"""),100.0)</f>
        <v>100</v>
      </c>
      <c r="K193" s="58">
        <f>IFERROR(__xludf.DUMMYFUNCTION("""COMPUTED_VALUE"""),45972.0)</f>
        <v>45972</v>
      </c>
      <c r="L193" s="6" t="s">
        <v>654</v>
      </c>
      <c r="M193" s="52" t="s">
        <v>655</v>
      </c>
      <c r="N193" s="53" t="s">
        <v>656</v>
      </c>
      <c r="O193" s="6" t="s">
        <v>669</v>
      </c>
      <c r="P193" s="6"/>
      <c r="Q193" s="6"/>
      <c r="R193" s="6"/>
    </row>
    <row r="194">
      <c r="A194" s="31" t="str">
        <f>IFERROR(__xludf.DUMMYFUNCTION("""COMPUTED_VALUE"""),"194д")</f>
        <v>194д</v>
      </c>
      <c r="B194" s="14" t="str">
        <f>IFERROR(__xludf.DUMMYFUNCTION("""COMPUTED_VALUE"""),"АИП-25")</f>
        <v>АИП-25</v>
      </c>
      <c r="C194" s="14" t="str">
        <f>IFERROR(__xludf.DUMMYFUNCTION("""COMPUTED_VALUE"""),"УДС")</f>
        <v>УДС</v>
      </c>
      <c r="D194" s="15"/>
      <c r="E194" s="14" t="str">
        <f>IFERROR(__xludf.DUMMYFUNCTION("""COMPUTED_VALUE"""),"Транспортная развязка на пересечении МКАД с ул. Профсоюзной (2 этап) МКАД - ПРОФСОЮЗНАЯ УЛ.")</f>
        <v>Транспортная развязка на пересечении МКАД с ул. Профсоюзной (2 этап) МКАД - ПРОФСОЮЗНАЯ УЛ.</v>
      </c>
      <c r="F194" s="25" t="str">
        <f>IFERROR(__xludf.DUMMYFUNCTION("""COMPUTED_VALUE"""),"#N/A")</f>
        <v>#N/A</v>
      </c>
      <c r="G194" s="6" t="str">
        <f>IFERROR(__xludf.DUMMYFUNCTION("""COMPUTED_VALUE"""),"#N/A")</f>
        <v>#N/A</v>
      </c>
      <c r="H194" s="6"/>
      <c r="I194" s="6"/>
      <c r="J194" s="50">
        <f>IFERROR(__xludf.DUMMYFUNCTION("""COMPUTED_VALUE"""),94.87741343283581)</f>
        <v>94.87741343</v>
      </c>
      <c r="K194" s="58">
        <f>IFERROR(__xludf.DUMMYFUNCTION("""COMPUTED_VALUE"""),45972.0)</f>
        <v>45972</v>
      </c>
      <c r="L194" s="6">
        <v>7.0</v>
      </c>
      <c r="M194" s="52">
        <v>45979.0</v>
      </c>
      <c r="N194" s="53" t="s">
        <v>692</v>
      </c>
      <c r="O194" s="6" t="s">
        <v>669</v>
      </c>
      <c r="P194" s="6"/>
      <c r="Q194" s="6"/>
      <c r="R194" s="6"/>
    </row>
    <row r="195">
      <c r="A195" s="31" t="str">
        <f>IFERROR(__xludf.DUMMYFUNCTION("""COMPUTED_VALUE"""),"261")</f>
        <v>261</v>
      </c>
      <c r="B195" s="14" t="str">
        <f>IFERROR(__xludf.DUMMYFUNCTION("""COMPUTED_VALUE"""),"АИП-25")</f>
        <v>АИП-25</v>
      </c>
      <c r="C195" s="14" t="str">
        <f>IFERROR(__xludf.DUMMYFUNCTION("""COMPUTED_VALUE"""),"ОКС")</f>
        <v>ОКС</v>
      </c>
      <c r="D195" s="15"/>
      <c r="E195" s="14" t="str">
        <f>IFERROR(__xludf.DUMMYFUNCTION("""COMPUTED_VALUE"""),"ДОУ на 300 мест, р-н Выхино-Жулебино, мкр. 136 (со сносом нежилого здания по адресу: Сормовская ул., д. 17, к. 8) Сормовская ул., д. 17, к. 8")</f>
        <v>ДОУ на 300 мест, р-н Выхино-Жулебино, мкр. 136 (со сносом нежилого здания по адресу: Сормовская ул., д. 17, к. 8) Сормовская ул., д. 17, к. 8</v>
      </c>
      <c r="F195" s="25" t="str">
        <f>IFERROR(__xludf.DUMMYFUNCTION("""COMPUTED_VALUE"""),"55.705394")</f>
        <v>55.705394</v>
      </c>
      <c r="G195" s="6" t="str">
        <f>IFERROR(__xludf.DUMMYFUNCTION("""COMPUTED_VALUE"""),"37.811982")</f>
        <v>37.811982</v>
      </c>
      <c r="H195" s="18" t="str">
        <f>IFERROR(__xludf.DUMMYFUNCTION("""COMPUTED_VALUE"""),"https://docs.google.com/spreadsheets/d/19THEBTE9q0fhN2eApZr6BgenIvLGh0AckaYxHQfHk5w/edit?gid=392359480#gid=392359480")</f>
        <v>https://docs.google.com/spreadsheets/d/19THEBTE9q0fhN2eApZr6BgenIvLGh0AckaYxHQfHk5w/edit?gid=392359480#gid=392359480</v>
      </c>
      <c r="I195" s="19" t="str">
        <f>IFERROR(__xludf.DUMMYFUNCTION("""COMPUTED_VALUE"""),"https://disk.yandex.ru/client/disk/Осмотры%20объектов%20АНО%20СМГ/261.%20ДОУ%20на%20300%20мест%2C%20р-н%20Выхино-Жулебино%2C%20мкр.%20136%20(со%20сносом%20нежилого%20здания%20по%20адресу%3A%20Сормовская%20ул.%2C%20д.%2017%2C%20к.%208)")</f>
        <v>https://disk.yandex.ru/client/disk/Осмотры%20объектов%20АНО%20СМГ/261.%20ДОУ%20на%20300%20мест%2C%20р-н%20Выхино-Жулебино%2C%20мкр.%20136%20(со%20сносом%20нежилого%20здания%20по%20адресу%3A%20Сормовская%20ул.%2C%20д.%2017%2C%20к.%208)</v>
      </c>
      <c r="J195" s="50">
        <f>IFERROR(__xludf.DUMMYFUNCTION("""COMPUTED_VALUE"""),96.350315)</f>
        <v>96.350315</v>
      </c>
      <c r="K195" s="58">
        <f>IFERROR(__xludf.DUMMYFUNCTION("""COMPUTED_VALUE"""),45967.0)</f>
        <v>45967</v>
      </c>
      <c r="L195" s="6">
        <v>7.0</v>
      </c>
      <c r="M195" s="52">
        <v>45974.0</v>
      </c>
      <c r="N195" s="53" t="s">
        <v>668</v>
      </c>
      <c r="O195" s="19" t="s">
        <v>784</v>
      </c>
      <c r="P195" s="6"/>
      <c r="Q195" s="6"/>
      <c r="R195" s="6"/>
    </row>
    <row r="196">
      <c r="A196" s="31" t="str">
        <f>IFERROR(__xludf.DUMMYFUNCTION("""COMPUTED_VALUE"""),"178")</f>
        <v>178</v>
      </c>
      <c r="B196" s="14" t="str">
        <f>IFERROR(__xludf.DUMMYFUNCTION("""COMPUTED_VALUE"""),"АИП-25")</f>
        <v>АИП-25</v>
      </c>
      <c r="C196" s="14" t="str">
        <f>IFERROR(__xludf.DUMMYFUNCTION("""COMPUTED_VALUE"""),"ОКС")</f>
        <v>ОКС</v>
      </c>
      <c r="D196" s="15"/>
      <c r="E196" s="14" t="str">
        <f>IFERROR(__xludf.DUMMYFUNCTION("""COMPUTED_VALUE"""),"Административное здание, 2-я ул. Машиностроения, д. 3 район Южнопортовый, 2-я ул. Машиностроения, д. 3")</f>
        <v>Административное здание, 2-я ул. Машиностроения, д. 3 район Южнопортовый, 2-я ул. Машиностроения, д. 3</v>
      </c>
      <c r="F196" s="25" t="str">
        <f>IFERROR(__xludf.DUMMYFUNCTION("""COMPUTED_VALUE"""),"55.711427")</f>
        <v>55.711427</v>
      </c>
      <c r="G196" s="6" t="str">
        <f>IFERROR(__xludf.DUMMYFUNCTION("""COMPUTED_VALUE"""),"37.669099")</f>
        <v>37.669099</v>
      </c>
      <c r="H196" s="18" t="str">
        <f>IFERROR(__xludf.DUMMYFUNCTION("""COMPUTED_VALUE"""),"https://docs.google.com/spreadsheets/d/19THEBTE9q0fhN2eApZr6BgenIvLGh0AckaYxHQfHk5w/edit?gid=1120669271#gid=1120669271")</f>
        <v>https://docs.google.com/spreadsheets/d/19THEBTE9q0fhN2eApZr6BgenIvLGh0AckaYxHQfHk5w/edit?gid=1120669271#gid=1120669271</v>
      </c>
      <c r="I196" s="19" t="str">
        <f>IFERROR(__xludf.DUMMYFUNCTION("""COMPUTED_VALUE"""),"https://disk.yandex.ru/client/disk/Осмотры%20объектов%20АНО%20СМГ/178.%20Административное%20здание%20по%20адресу%3A%202-я%20ул.%20Машиностроения%2C%20д.%203%2C%20район%20Южнопортовый")</f>
        <v>https://disk.yandex.ru/client/disk/Осмотры%20объектов%20АНО%20СМГ/178.%20Административное%20здание%20по%20адресу%3A%202-я%20ул.%20Машиностроения%2C%20д.%203%2C%20район%20Южнопортовый</v>
      </c>
      <c r="J196" s="50">
        <f>IFERROR(__xludf.DUMMYFUNCTION("""COMPUTED_VALUE"""),99.8175)</f>
        <v>99.8175</v>
      </c>
      <c r="K196" s="58">
        <f>IFERROR(__xludf.DUMMYFUNCTION("""COMPUTED_VALUE"""),45972.0)</f>
        <v>45972</v>
      </c>
      <c r="L196" s="6">
        <v>7.0</v>
      </c>
      <c r="M196" s="52">
        <v>45979.0</v>
      </c>
      <c r="N196" s="53" t="s">
        <v>652</v>
      </c>
      <c r="O196" s="19" t="s">
        <v>785</v>
      </c>
      <c r="P196" s="6"/>
      <c r="Q196" s="6"/>
      <c r="R196" s="6"/>
    </row>
    <row r="197">
      <c r="A197" s="31" t="str">
        <f>IFERROR(__xludf.DUMMYFUNCTION("""COMPUTED_VALUE"""),"236")</f>
        <v>236</v>
      </c>
      <c r="B197" s="14" t="str">
        <f>IFERROR(__xludf.DUMMYFUNCTION("""COMPUTED_VALUE"""),"АИП-25")</f>
        <v>АИП-25</v>
      </c>
      <c r="C197" s="14" t="str">
        <f>IFERROR(__xludf.DUMMYFUNCTION("""COMPUTED_VALUE"""),"ОКС")</f>
        <v>ОКС</v>
      </c>
      <c r="D197" s="15"/>
      <c r="E197" s="14" t="str">
        <f>IFERROR(__xludf.DUMMYFUNCTION("""COMPUTED_VALUE"""),"Жилая застройка с инженерными коммуникациями и благоустройством, р-н Раменки, пр-кт Вернадского, влд.12Б 5 этап - 6-9 корпус пр-кт Вернадского, вл.12Б 5 этап - 6-9 корпус")</f>
        <v>Жилая застройка с инженерными коммуникациями и благоустройством, р-н Раменки, пр-кт Вернадского, влд.12Б 5 этап - 6-9 корпус пр-кт Вернадского, вл.12Б 5 этап - 6-9 корпус</v>
      </c>
      <c r="F197" s="25" t="str">
        <f>IFERROR(__xludf.DUMMYFUNCTION("""COMPUTED_VALUE"""),"55.688485")</f>
        <v>55.688485</v>
      </c>
      <c r="G197" s="6" t="str">
        <f>IFERROR(__xludf.DUMMYFUNCTION("""COMPUTED_VALUE"""),"37.509762")</f>
        <v>37.509762</v>
      </c>
      <c r="H197" s="18" t="str">
        <f>IFERROR(__xludf.DUMMYFUNCTION("""COMPUTED_VALUE"""),"https://docs.google.com/spreadsheets/d/19THEBTE9q0fhN2eApZr6BgenIvLGh0AckaYxHQfHk5w/edit?gid=920768533#gid=920768533")</f>
        <v>https://docs.google.com/spreadsheets/d/19THEBTE9q0fhN2eApZr6BgenIvLGh0AckaYxHQfHk5w/edit?gid=920768533#gid=920768533</v>
      </c>
      <c r="I197" s="19" t="str">
        <f>IFERROR(__xludf.DUMMYFUNCTION("""COMPUTED_VALUE"""),"https://disk.yandex.ru/client/disk/Осмотры%20объектов%20АНО%20СМГ/236.%20пр-т%20Вернадского%2012б%20Жилая%20застройка%20Корп.6-9")</f>
        <v>https://disk.yandex.ru/client/disk/Осмотры%20объектов%20АНО%20СМГ/236.%20пр-т%20Вернадского%2012б%20Жилая%20застройка%20Корп.6-9</v>
      </c>
      <c r="J197" s="50">
        <f>IFERROR(__xludf.DUMMYFUNCTION("""COMPUTED_VALUE"""),100.0)</f>
        <v>100</v>
      </c>
      <c r="K197" s="58">
        <f>IFERROR(__xludf.DUMMYFUNCTION("""COMPUTED_VALUE"""),45968.0)</f>
        <v>45968</v>
      </c>
      <c r="L197" s="6" t="s">
        <v>654</v>
      </c>
      <c r="M197" s="52" t="s">
        <v>655</v>
      </c>
      <c r="N197" s="53" t="s">
        <v>656</v>
      </c>
      <c r="O197" s="19" t="s">
        <v>786</v>
      </c>
      <c r="P197" s="6"/>
      <c r="Q197" s="6"/>
      <c r="R197" s="6"/>
    </row>
    <row r="198">
      <c r="A198" s="31" t="str">
        <f>IFERROR(__xludf.DUMMYFUNCTION("""COMPUTED_VALUE"""),"252")</f>
        <v>252</v>
      </c>
      <c r="B198" s="14" t="str">
        <f>IFERROR(__xludf.DUMMYFUNCTION("""COMPUTED_VALUE"""),"АИП-25")</f>
        <v>АИП-25</v>
      </c>
      <c r="C198" s="14" t="str">
        <f>IFERROR(__xludf.DUMMYFUNCTION("""COMPUTED_VALUE"""),"ОКС")</f>
        <v>ОКС</v>
      </c>
      <c r="D198" s="15"/>
      <c r="E198" s="14" t="str">
        <f>IFERROR(__xludf.DUMMYFUNCTION("""COMPUTED_VALUE"""),"ММК. Здание апарт-отеля для участников ММК,  территория инновационного центра Сколково, ул. Большой бульвар, д. 56  территории инновационного центра «Сколково»,
ул. Большой бульвар, д. 56")</f>
        <v>ММК. Здание апарт-отеля для участников ММК,  территория инновационного центра Сколково, ул. Большой бульвар, д. 56  территории инновационного центра «Сколково»,
ул. Большой бульвар, д. 56</v>
      </c>
      <c r="F198" s="25" t="str">
        <f>IFERROR(__xludf.DUMMYFUNCTION("""COMPUTED_VALUE"""),"55.682286")</f>
        <v>55.682286</v>
      </c>
      <c r="G198" s="6" t="str">
        <f>IFERROR(__xludf.DUMMYFUNCTION("""COMPUTED_VALUE"""),"37.342829")</f>
        <v>37.342829</v>
      </c>
      <c r="H198" s="18" t="str">
        <f>IFERROR(__xludf.DUMMYFUNCTION("""COMPUTED_VALUE"""),"https://docs.google.com/spreadsheets/d/19THEBTE9q0fhN2eApZr6BgenIvLGh0AckaYxHQfHk5w/edit?gid=908182805#gid=908182805")</f>
        <v>https://docs.google.com/spreadsheets/d/19THEBTE9q0fhN2eApZr6BgenIvLGh0AckaYxHQfHk5w/edit?gid=908182805#gid=908182805</v>
      </c>
      <c r="I198" s="19" t="str">
        <f>IFERROR(__xludf.DUMMYFUNCTION("""COMPUTED_VALUE"""),"https://disk.yandex.ru/client/disk/Осмотры%20объектов%20АНО%20СМГ/252.%20Аппарт%20Отель%2C%20Большой%20бульвар%2053")</f>
        <v>https://disk.yandex.ru/client/disk/Осмотры%20объектов%20АНО%20СМГ/252.%20Аппарт%20Отель%2C%20Большой%20бульвар%2053</v>
      </c>
      <c r="J198" s="50">
        <f>IFERROR(__xludf.DUMMYFUNCTION("""COMPUTED_VALUE"""),89.28499499999998)</f>
        <v>89.284995</v>
      </c>
      <c r="K198" s="58">
        <f>IFERROR(__xludf.DUMMYFUNCTION("""COMPUTED_VALUE"""),45971.0)</f>
        <v>45971</v>
      </c>
      <c r="L198" s="6">
        <v>14.0</v>
      </c>
      <c r="M198" s="52">
        <v>45985.0</v>
      </c>
      <c r="N198" s="53" t="s">
        <v>711</v>
      </c>
      <c r="O198" s="19" t="s">
        <v>787</v>
      </c>
      <c r="P198" s="6"/>
      <c r="Q198" s="6"/>
      <c r="R198" s="6"/>
    </row>
    <row r="199">
      <c r="A199" s="31" t="str">
        <f>IFERROR(__xludf.DUMMYFUNCTION("""COMPUTED_VALUE"""),"255")</f>
        <v>255</v>
      </c>
      <c r="B199" s="14" t="str">
        <f>IFERROR(__xludf.DUMMYFUNCTION("""COMPUTED_VALUE"""),"АИП-25")</f>
        <v>АИП-25</v>
      </c>
      <c r="C199" s="14" t="str">
        <f>IFERROR(__xludf.DUMMYFUNCTION("""COMPUTED_VALUE"""),"ОКС")</f>
        <v>ОКС</v>
      </c>
      <c r="D199" s="15"/>
      <c r="E199" s="14" t="str">
        <f>IFERROR(__xludf.DUMMYFUNCTION("""COMPUTED_VALUE"""),"ММК-Операционно-реанимационный корпус МГОБ № 62 территория инновационного центра «Сколково»,
ул. Большой бульвар, д. 69 ")</f>
        <v>ММК-Операционно-реанимационный корпус МГОБ № 62 территория инновационного центра «Сколково»,
ул. Большой бульвар, д. 69 </v>
      </c>
      <c r="F199" s="25" t="str">
        <f>IFERROR(__xludf.DUMMYFUNCTION("""COMPUTED_VALUE"""),"55.681995")</f>
        <v>55.681995</v>
      </c>
      <c r="G199" s="6" t="str">
        <f>IFERROR(__xludf.DUMMYFUNCTION("""COMPUTED_VALUE"""),"37.339417")</f>
        <v>37.339417</v>
      </c>
      <c r="H199" s="18" t="str">
        <f>IFERROR(__xludf.DUMMYFUNCTION("""COMPUTED_VALUE"""),"https://docs.google.com/spreadsheets/d/19THEBTE9q0fhN2eApZr6BgenIvLGh0AckaYxHQfHk5w/edit?gid=1311899156#gid=1311899156")</f>
        <v>https://docs.google.com/spreadsheets/d/19THEBTE9q0fhN2eApZr6BgenIvLGh0AckaYxHQfHk5w/edit?gid=1311899156#gid=1311899156</v>
      </c>
      <c r="I199" s="19" t="str">
        <f>IFERROR(__xludf.DUMMYFUNCTION("""COMPUTED_VALUE"""),"https://disk.yandex.ru/client/disk/Осмотры%20объектов%20АНО%20СМГ/255.%20Опер%20Блок%2062%20больница%2C%20Большой%20бул%2069")</f>
        <v>https://disk.yandex.ru/client/disk/Осмотры%20объектов%20АНО%20СМГ/255.%20Опер%20Блок%2062%20больница%2C%20Большой%20бул%2069</v>
      </c>
      <c r="J199" s="50">
        <f>IFERROR(__xludf.DUMMYFUNCTION("""COMPUTED_VALUE"""),83.51981249999999)</f>
        <v>83.5198125</v>
      </c>
      <c r="K199" s="58">
        <f>IFERROR(__xludf.DUMMYFUNCTION("""COMPUTED_VALUE"""),45975.0)</f>
        <v>45975</v>
      </c>
      <c r="L199" s="6">
        <v>14.0</v>
      </c>
      <c r="M199" s="52">
        <v>45989.0</v>
      </c>
      <c r="N199" s="53" t="s">
        <v>711</v>
      </c>
      <c r="O199" s="19" t="s">
        <v>788</v>
      </c>
      <c r="P199" s="6"/>
      <c r="Q199" s="6"/>
      <c r="R199" s="6"/>
    </row>
    <row r="200">
      <c r="A200" s="31" t="str">
        <f>IFERROR(__xludf.DUMMYFUNCTION("""COMPUTED_VALUE"""),"253")</f>
        <v>253</v>
      </c>
      <c r="B200" s="14" t="str">
        <f>IFERROR(__xludf.DUMMYFUNCTION("""COMPUTED_VALUE"""),"АИП-25")</f>
        <v>АИП-25</v>
      </c>
      <c r="C200" s="14" t="str">
        <f>IFERROR(__xludf.DUMMYFUNCTION("""COMPUTED_VALUE"""),"ОКС")</f>
        <v>ОКС</v>
      </c>
      <c r="D200" s="15"/>
      <c r="E200" s="14" t="str">
        <f>IFERROR(__xludf.DUMMYFUNCTION("""COMPUTED_VALUE"""),"ММК - Амбулаторно-стационарный корпус МГОБ № 62 (ММЦ) территория инновационного центра «Сколково» 
ул. Большой бульвар, д. 67 ")</f>
        <v>ММК - Амбулаторно-стационарный корпус МГОБ № 62 (ММЦ) территория инновационного центра «Сколково» 
ул. Большой бульвар, д. 67 </v>
      </c>
      <c r="F200" s="25" t="str">
        <f>IFERROR(__xludf.DUMMYFUNCTION("""COMPUTED_VALUE"""),"55.681425")</f>
        <v>55.681425</v>
      </c>
      <c r="G200" s="6" t="str">
        <f>IFERROR(__xludf.DUMMYFUNCTION("""COMPUTED_VALUE"""),"37.341391")</f>
        <v>37.341391</v>
      </c>
      <c r="H200" s="18" t="str">
        <f>IFERROR(__xludf.DUMMYFUNCTION("""COMPUTED_VALUE"""),"https://docs.google.com/spreadsheets/d/19THEBTE9q0fhN2eApZr6BgenIvLGh0AckaYxHQfHk5w/edit?gid=242811066#gid=242811066")</f>
        <v>https://docs.google.com/spreadsheets/d/19THEBTE9q0fhN2eApZr6BgenIvLGh0AckaYxHQfHk5w/edit?gid=242811066#gid=242811066</v>
      </c>
      <c r="I200" s="19" t="str">
        <f>IFERROR(__xludf.DUMMYFUNCTION("""COMPUTED_VALUE"""),"https://disk.yandex.ru/client/disk/Осмотры%20объектов%20АНО%20СМГ/253.%20МГОБ%2062%2C%20Большой%20бульвар%2068")</f>
        <v>https://disk.yandex.ru/client/disk/Осмотры%20объектов%20АНО%20СМГ/253.%20МГОБ%2062%2C%20Большой%20бульвар%2068</v>
      </c>
      <c r="J200" s="50">
        <f>IFERROR(__xludf.DUMMYFUNCTION("""COMPUTED_VALUE"""),92.42303500000001)</f>
        <v>92.423035</v>
      </c>
      <c r="K200" s="58">
        <f>IFERROR(__xludf.DUMMYFUNCTION("""COMPUTED_VALUE"""),45975.0)</f>
        <v>45975</v>
      </c>
      <c r="L200" s="6">
        <v>14.0</v>
      </c>
      <c r="M200" s="52">
        <v>45989.0</v>
      </c>
      <c r="N200" s="53" t="s">
        <v>711</v>
      </c>
      <c r="O200" s="19" t="s">
        <v>788</v>
      </c>
      <c r="P200" s="6"/>
      <c r="Q200" s="6"/>
      <c r="R200" s="6"/>
    </row>
    <row r="201">
      <c r="A201" s="31" t="str">
        <f>IFERROR(__xludf.DUMMYFUNCTION("""COMPUTED_VALUE"""),"1072")</f>
        <v>1072</v>
      </c>
      <c r="B201" s="14" t="str">
        <f>IFERROR(__xludf.DUMMYFUNCTION("""COMPUTED_VALUE"""),"АИП-25")</f>
        <v>АИП-25</v>
      </c>
      <c r="C201" s="14" t="str">
        <f>IFERROR(__xludf.DUMMYFUNCTION("""COMPUTED_VALUE"""),"ОКС+УДС")</f>
        <v>ОКС+УДС</v>
      </c>
      <c r="D201" s="15"/>
      <c r="E201" s="14" t="str">
        <f>IFERROR(__xludf.DUMMYFUNCTION("""COMPUTED_VALUE"""),"Строительство подъездной автомобильной дороги к садоводческим некоммерческим объединениям: СНТ «Волна-1», СНТ «Энергетик», СНТ «Березы» между р.п. Михнево и с. Васильевское г.о. Ступино Московской обл.  г.о. Ступино, между р.п. Михнево и с. Васильевское")</f>
        <v>Строительство подъездной автомобильной дороги к садоводческим некоммерческим объединениям: СНТ «Волна-1», СНТ «Энергетик», СНТ «Березы» между р.п. Михнево и с. Васильевское г.о. Ступино Московской обл.  г.о. Ступино, между р.п. Михнево и с. Васильевское</v>
      </c>
      <c r="F201" s="25" t="str">
        <f>IFERROR(__xludf.DUMMYFUNCTION("""COMPUTED_VALUE"""),"55.125728")</f>
        <v>55.125728</v>
      </c>
      <c r="G201" s="6" t="str">
        <f>IFERROR(__xludf.DUMMYFUNCTION("""COMPUTED_VALUE"""),"38.062231")</f>
        <v>38.062231</v>
      </c>
      <c r="H201" s="18" t="str">
        <f>IFERROR(__xludf.DUMMYFUNCTION("""COMPUTED_VALUE"""),"https://docs.google.com/spreadsheets/d/19THEBTE9q0fhN2eApZr6BgenIvLGh0AckaYxHQfHk5w/edit?gid=1798082760#gid=1798082760")</f>
        <v>https://docs.google.com/spreadsheets/d/19THEBTE9q0fhN2eApZr6BgenIvLGh0AckaYxHQfHk5w/edit?gid=1798082760#gid=1798082760</v>
      </c>
      <c r="I201" s="19" t="str">
        <f>IFERROR(__xludf.DUMMYFUNCTION("""COMPUTED_VALUE"""),"https://disk.yandex.ru/client/disk/Осмотры%20объектов%20АНО%20СМГ/1072.%20Строительство%20подъездной%20автомобильной%20дороги%20к%20садоводческим%20некоммерческим%20объединениям%3A%20СНТ%20«Волна-1»%2C%20СНТ%20«Энергетик»%2C%20СНТ%20«Березы»%20между%20р.п"&amp;".%20Михнево%20и%20с.%20Васильевское%20г.о.%20Ступино%20Московской%20обл.")</f>
        <v>https://disk.yandex.ru/client/disk/Осмотры%20объектов%20АНО%20СМГ/1072.%20Строительство%20подъездной%20автомобильной%20дороги%20к%20садоводческим%20некоммерческим%20объединениям%3A%20СНТ%20«Волна-1»%2C%20СНТ%20«Энергетик»%2C%20СНТ%20«Березы»%20между%20р.п.%20Михнево%20и%20с.%20Васильевское%20г.о.%20Ступино%20Московской%20обл.</v>
      </c>
      <c r="J201" s="50">
        <f>IFERROR(__xludf.DUMMYFUNCTION("""COMPUTED_VALUE"""),100.0)</f>
        <v>100</v>
      </c>
      <c r="K201" s="58">
        <f>IFERROR(__xludf.DUMMYFUNCTION("""COMPUTED_VALUE"""),45894.0)</f>
        <v>45894</v>
      </c>
      <c r="L201" s="6" t="s">
        <v>654</v>
      </c>
      <c r="M201" s="52" t="s">
        <v>655</v>
      </c>
      <c r="N201" s="53" t="s">
        <v>656</v>
      </c>
      <c r="O201" s="19" t="s">
        <v>789</v>
      </c>
      <c r="P201" s="6"/>
      <c r="Q201" s="6"/>
      <c r="R201" s="6"/>
    </row>
    <row r="202">
      <c r="A202" s="70" t="str">
        <f>IFERROR(__xludf.DUMMYFUNCTION("""COMPUTED_VALUE"""),"1127д")</f>
        <v>1127д</v>
      </c>
      <c r="B202" s="14" t="str">
        <f>IFERROR(__xludf.DUMMYFUNCTION("""COMPUTED_VALUE"""),"АИП-25")</f>
        <v>АИП-25</v>
      </c>
      <c r="C202" s="14" t="str">
        <f>IFERROR(__xludf.DUMMYFUNCTION("""COMPUTED_VALUE"""),"ОКС+УДС")</f>
        <v>ОКС+УДС</v>
      </c>
      <c r="D202" s="15"/>
      <c r="E202" s="14" t="str">
        <f>IFERROR(__xludf.DUMMYFUNCTION("""COMPUTED_VALUE"""),"Строительство подъездной автомобильной дороги от д.Хоругвино до ассоциации садоводческих некоммерческих организаций ""Кочергино"" в Солнечногорском р-не Московской обл. от д Хоругвино до ассоциации садоводческих некоммерческих организаций ""Кочергино"" в "&amp;"Солнечногорском р-не Московской обл.")</f>
        <v>Строительство подъездной автомобильной дороги от д.Хоругвино до ассоциации садоводческих некоммерческих организаций "Кочергино" в Солнечногорском р-не Московской обл. от д Хоругвино до ассоциации садоводческих некоммерческих организаций "Кочергино" в Солнечногорском р-не Московской обл.</v>
      </c>
      <c r="F202" s="25" t="str">
        <f>IFERROR(__xludf.DUMMYFUNCTION("""COMPUTED_VALUE"""),"56.152394")</f>
        <v>56.152394</v>
      </c>
      <c r="G202" s="6" t="str">
        <f>IFERROR(__xludf.DUMMYFUNCTION("""COMPUTED_VALUE"""),"37.209396")</f>
        <v>37.209396</v>
      </c>
      <c r="H202" s="6"/>
      <c r="I202" s="6"/>
      <c r="J202" s="50">
        <f>IFERROR(__xludf.DUMMYFUNCTION("""COMPUTED_VALUE"""),99.7875)</f>
        <v>99.7875</v>
      </c>
      <c r="K202" s="58">
        <f>IFERROR(__xludf.DUMMYFUNCTION("""COMPUTED_VALUE"""),45909.0)</f>
        <v>45909</v>
      </c>
      <c r="L202" s="6">
        <v>7.0</v>
      </c>
      <c r="M202" s="52">
        <v>45916.0</v>
      </c>
      <c r="N202" s="53" t="s">
        <v>668</v>
      </c>
      <c r="O202" s="6" t="s">
        <v>790</v>
      </c>
      <c r="P202" s="6"/>
      <c r="Q202" s="6"/>
      <c r="R202" s="6"/>
    </row>
    <row r="203">
      <c r="A203" s="31" t="str">
        <f>IFERROR(__xludf.DUMMYFUNCTION("""COMPUTED_VALUE"""),"204д")</f>
        <v>204д</v>
      </c>
      <c r="B203" s="14" t="str">
        <f>IFERROR(__xludf.DUMMYFUNCTION("""COMPUTED_VALUE"""),"АИП-25")</f>
        <v>АИП-25</v>
      </c>
      <c r="C203" s="14" t="str">
        <f>IFERROR(__xludf.DUMMYFUNCTION("""COMPUTED_VALUE"""),"УДС")</f>
        <v>УДС</v>
      </c>
      <c r="D203" s="15"/>
      <c r="E203" s="14" t="str">
        <f>IFERROR(__xludf.DUMMYFUNCTION("""COMPUTED_VALUE"""),"Развитие улично-дорожной сети г.о.Троицк (1 этап). Этап 1.2 реконструкция ул.Заречная с организацией движения пассажирского транспорта г.Троицк")</f>
        <v>Развитие улично-дорожной сети г.о.Троицк (1 этап). Этап 1.2 реконструкция ул.Заречная с организацией движения пассажирского транспорта г.Троицк</v>
      </c>
      <c r="F203" s="25" t="str">
        <f>IFERROR(__xludf.DUMMYFUNCTION("""COMPUTED_VALUE"""),"#N/A")</f>
        <v>#N/A</v>
      </c>
      <c r="G203" s="6" t="str">
        <f>IFERROR(__xludf.DUMMYFUNCTION("""COMPUTED_VALUE"""),"#N/A")</f>
        <v>#N/A</v>
      </c>
      <c r="H203" s="6"/>
      <c r="I203" s="6"/>
      <c r="J203" s="50">
        <f>IFERROR(__xludf.DUMMYFUNCTION("""COMPUTED_VALUE"""),68.746785)</f>
        <v>68.746785</v>
      </c>
      <c r="K203" s="58">
        <f>IFERROR(__xludf.DUMMYFUNCTION("""COMPUTED_VALUE"""),45968.0)</f>
        <v>45968</v>
      </c>
      <c r="L203" s="6">
        <v>14.0</v>
      </c>
      <c r="M203" s="52">
        <v>45982.0</v>
      </c>
      <c r="N203" s="53" t="s">
        <v>692</v>
      </c>
      <c r="O203" s="6" t="s">
        <v>669</v>
      </c>
      <c r="P203" s="6"/>
      <c r="Q203" s="6"/>
      <c r="R203" s="6"/>
    </row>
    <row r="204">
      <c r="A204" s="31" t="str">
        <f>IFERROR(__xludf.DUMMYFUNCTION("""COMPUTED_VALUE"""),"1070")</f>
        <v>1070</v>
      </c>
      <c r="B204" s="14" t="str">
        <f>IFERROR(__xludf.DUMMYFUNCTION("""COMPUTED_VALUE"""),"АИП-25")</f>
        <v>АИП-25</v>
      </c>
      <c r="C204" s="14" t="str">
        <f>IFERROR(__xludf.DUMMYFUNCTION("""COMPUTED_VALUE"""),"ОКС")</f>
        <v>ОКС</v>
      </c>
      <c r="D204" s="15"/>
      <c r="E204" s="14" t="str">
        <f>IFERROR(__xludf.DUMMYFUNCTION("""COMPUTED_VALUE"""),"Реконструкция и строительство объектов Южно-Бутовских очистных сооружений район Южное Бутово, Проектируемый проезд № 1113, вл. 1 стр. 3")</f>
        <v>Реконструкция и строительство объектов Южно-Бутовских очистных сооружений район Южное Бутово, Проектируемый проезд № 1113, вл. 1 стр. 3</v>
      </c>
      <c r="F204" s="25" t="str">
        <f>IFERROR(__xludf.DUMMYFUNCTION("""COMPUTED_VALUE"""),"#N/A")</f>
        <v>#N/A</v>
      </c>
      <c r="G204" s="6" t="str">
        <f>IFERROR(__xludf.DUMMYFUNCTION("""COMPUTED_VALUE"""),"#N/A")</f>
        <v>#N/A</v>
      </c>
      <c r="H204" s="18" t="str">
        <f>IFERROR(__xludf.DUMMYFUNCTION("""COMPUTED_VALUE"""),"https://docs.google.com/spreadsheets/d/19THEBTE9q0fhN2eApZr6BgenIvLGh0AckaYxHQfHk5w/edit?gid=462766492#gid=462766492")</f>
        <v>https://docs.google.com/spreadsheets/d/19THEBTE9q0fhN2eApZr6BgenIvLGh0AckaYxHQfHk5w/edit?gid=462766492#gid=462766492</v>
      </c>
      <c r="I204" s="19" t="str">
        <f>IFERROR(__xludf.DUMMYFUNCTION("""COMPUTED_VALUE"""),"https://disk.yandex.ru/client/disk/Осмотры%20объектов%20АНО%20СМГ/1070.%20Очистные%20сооружения%20Южное%20Бутово.%20Рек.%20и%20стр.")</f>
        <v>https://disk.yandex.ru/client/disk/Осмотры%20объектов%20АНО%20СМГ/1070.%20Очистные%20сооружения%20Южное%20Бутово.%20Рек.%20и%20стр.</v>
      </c>
      <c r="J204" s="50">
        <f>IFERROR(__xludf.DUMMYFUNCTION("""COMPUTED_VALUE"""),99.94590000000001)</f>
        <v>99.9459</v>
      </c>
      <c r="K204" s="58">
        <f>IFERROR(__xludf.DUMMYFUNCTION("""COMPUTED_VALUE"""),45887.0)</f>
        <v>45887</v>
      </c>
      <c r="L204" s="6">
        <v>7.0</v>
      </c>
      <c r="M204" s="52">
        <v>45894.0</v>
      </c>
      <c r="N204" s="53" t="s">
        <v>652</v>
      </c>
      <c r="O204" s="19" t="s">
        <v>791</v>
      </c>
      <c r="P204" s="6"/>
      <c r="Q204" s="6"/>
      <c r="R204" s="6"/>
    </row>
    <row r="205">
      <c r="A205" s="31" t="str">
        <f>IFERROR(__xludf.DUMMYFUNCTION("""COMPUTED_VALUE"""),"1077 (этап 2)")</f>
        <v>1077 (этап 2)</v>
      </c>
      <c r="B205" s="14" t="str">
        <f>IFERROR(__xludf.DUMMYFUNCTION("""COMPUTED_VALUE"""),"АИП-25")</f>
        <v>АИП-25</v>
      </c>
      <c r="C205" s="14" t="str">
        <f>IFERROR(__xludf.DUMMYFUNCTION("""COMPUTED_VALUE"""),"ОКС")</f>
        <v>ОКС</v>
      </c>
      <c r="D205" s="15"/>
      <c r="E205" s="14" t="str">
        <f>IFERROR(__xludf.DUMMYFUNCTION("""COMPUTED_VALUE"""),"Реконструкция технологической части КНС-ТЗ1 и КНС-27 с перекладкой существующего канализационного коллектора (II этап)  г.о. Троицк, проспект Октябрьский, в районе площади Академической ")</f>
        <v>Реконструкция технологической части КНС-ТЗ1 и КНС-27 с перекладкой существующего канализационного коллектора (II этап)  г.о. Троицк, проспект Октябрьский, в районе площади Академической </v>
      </c>
      <c r="F205" s="25" t="str">
        <f>IFERROR(__xludf.DUMMYFUNCTION("""COMPUTED_VALUE"""),"55.486222")</f>
        <v>55.486222</v>
      </c>
      <c r="G205" s="6" t="str">
        <f>IFERROR(__xludf.DUMMYFUNCTION("""COMPUTED_VALUE"""),"37.300044")</f>
        <v>37.300044</v>
      </c>
      <c r="H205" s="18" t="str">
        <f>IFERROR(__xludf.DUMMYFUNCTION("""COMPUTED_VALUE"""),"https://docs.google.com/spreadsheets/d/19THEBTE9q0fhN2eApZr6BgenIvLGh0AckaYxHQfHk5w/edit?gid=2006507373#gid=2006507373")</f>
        <v>https://docs.google.com/spreadsheets/d/19THEBTE9q0fhN2eApZr6BgenIvLGh0AckaYxHQfHk5w/edit?gid=2006507373#gid=2006507373</v>
      </c>
      <c r="I205" s="19" t="str">
        <f>IFERROR(__xludf.DUMMYFUNCTION("""COMPUTED_VALUE"""),"https://disk.yandex.ru/client/disk/Осмотры%20объектов%20АНО%20СМГ/1077.%20Канализационный%20коллектор%20КНС-Т31%20и%20КНС-27.%20II%20этап.%20Реконструкция")</f>
        <v>https://disk.yandex.ru/client/disk/Осмотры%20объектов%20АНО%20СМГ/1077.%20Канализационный%20коллектор%20КНС-Т31%20и%20КНС-27.%20II%20этап.%20Реконструкция</v>
      </c>
      <c r="J205" s="50">
        <f>IFERROR(__xludf.DUMMYFUNCTION("""COMPUTED_VALUE"""),99.964)</f>
        <v>99.964</v>
      </c>
      <c r="K205" s="58">
        <f>IFERROR(__xludf.DUMMYFUNCTION("""COMPUTED_VALUE"""),45968.0)</f>
        <v>45968</v>
      </c>
      <c r="L205" s="6">
        <v>7.0</v>
      </c>
      <c r="M205" s="52">
        <v>45975.0</v>
      </c>
      <c r="N205" s="53" t="s">
        <v>701</v>
      </c>
      <c r="O205" s="19" t="s">
        <v>792</v>
      </c>
      <c r="P205" s="6"/>
      <c r="Q205" s="6"/>
      <c r="R205" s="6"/>
    </row>
    <row r="206">
      <c r="A206" s="31" t="str">
        <f>IFERROR(__xludf.DUMMYFUNCTION("""COMPUTED_VALUE"""),"1078 (этап 4)")</f>
        <v>1078 (этап 4)</v>
      </c>
      <c r="B206" s="14" t="str">
        <f>IFERROR(__xludf.DUMMYFUNCTION("""COMPUTED_VALUE"""),"АИП-25")</f>
        <v>АИП-25</v>
      </c>
      <c r="C206" s="14" t="str">
        <f>IFERROR(__xludf.DUMMYFUNCTION("""COMPUTED_VALUE"""),"ОКС")</f>
        <v>ОКС</v>
      </c>
      <c r="D206" s="60"/>
      <c r="E206" s="14" t="str">
        <f>IFERROR(__xludf.DUMMYFUNCTION("""COMPUTED_VALUE"""),"Реконструкция технологической части КНС-Т31
 и КНС-27 с перекладкой существующего канализационного коллектора (IV этап)  г.о. Троицк, 4 этап. вдоль ул. Академика Черенкова")</f>
        <v>Реконструкция технологической части КНС-Т31
 и КНС-27 с перекладкой существующего канализационного коллектора (IV этап)  г.о. Троицк, 4 этап. вдоль ул. Академика Черенкова</v>
      </c>
      <c r="F206" s="25" t="str">
        <f>IFERROR(__xludf.DUMMYFUNCTION("""COMPUTED_VALUE"""),"55.468127")</f>
        <v>55.468127</v>
      </c>
      <c r="G206" s="6" t="str">
        <f>IFERROR(__xludf.DUMMYFUNCTION("""COMPUTED_VALUE"""),"37.286689")</f>
        <v>37.286689</v>
      </c>
      <c r="H206" s="18" t="str">
        <f>IFERROR(__xludf.DUMMYFUNCTION("""COMPUTED_VALUE"""),"https://docs.google.com/spreadsheets/d/19THEBTE9q0fhN2eApZr6BgenIvLGh0AckaYxHQfHk5w/edit?gid=1232103407#gid=1232103407")</f>
        <v>https://docs.google.com/spreadsheets/d/19THEBTE9q0fhN2eApZr6BgenIvLGh0AckaYxHQfHk5w/edit?gid=1232103407#gid=1232103407</v>
      </c>
      <c r="I206" s="19" t="str">
        <f>IFERROR(__xludf.DUMMYFUNCTION("""COMPUTED_VALUE"""),"https://disk.yandex.ru/client/disk/Осмотры%20объектов%20АНО%20СМГ/1078.%20Канализационный%20коллектор%20КНС-Т31%20и%20КНС-27.%20IV%20этап.%20Реконструкция")</f>
        <v>https://disk.yandex.ru/client/disk/Осмотры%20объектов%20АНО%20СМГ/1078.%20Канализационный%20коллектор%20КНС-Т31%20и%20КНС-27.%20IV%20этап.%20Реконструкция</v>
      </c>
      <c r="J206" s="50">
        <f>IFERROR(__xludf.DUMMYFUNCTION("""COMPUTED_VALUE"""),89.745)</f>
        <v>89.745</v>
      </c>
      <c r="K206" s="58">
        <f>IFERROR(__xludf.DUMMYFUNCTION("""COMPUTED_VALUE"""),45968.0)</f>
        <v>45968</v>
      </c>
      <c r="L206" s="6">
        <v>14.0</v>
      </c>
      <c r="M206" s="52">
        <v>45982.0</v>
      </c>
      <c r="N206" s="53" t="s">
        <v>692</v>
      </c>
      <c r="O206" s="19" t="s">
        <v>793</v>
      </c>
      <c r="P206" s="6"/>
      <c r="Q206" s="6"/>
      <c r="R206" s="6"/>
    </row>
    <row r="207">
      <c r="A207" s="31" t="str">
        <f>IFERROR(__xludf.DUMMYFUNCTION("""COMPUTED_VALUE"""),"НД")</f>
        <v>НД</v>
      </c>
      <c r="B207" s="14" t="str">
        <f>IFERROR(__xludf.DUMMYFUNCTION("""COMPUTED_VALUE"""),"АИП-25")</f>
        <v>АИП-25</v>
      </c>
      <c r="C207" s="14" t="str">
        <f>IFERROR(__xludf.DUMMYFUNCTION("""COMPUTED_VALUE"""),"УДС")</f>
        <v>УДС</v>
      </c>
      <c r="D207" s="15"/>
      <c r="E207" s="14" t="str">
        <f>IFERROR(__xludf.DUMMYFUNCTION("""COMPUTED_VALUE"""),"Троицкая линия метрополитена на уч. ""Новаторская""- ""ЗИЛ"". Ст. Вавиловская район Ломоносовский")</f>
        <v>Троицкая линия метрополитена на уч. "Новаторская"- "ЗИЛ". Ст. Вавиловская район Ломоносовский</v>
      </c>
      <c r="F207" s="25" t="str">
        <f>IFERROR(__xludf.DUMMYFUNCTION("""COMPUTED_VALUE"""),"#N/A")</f>
        <v>#N/A</v>
      </c>
      <c r="G207" s="6" t="str">
        <f>IFERROR(__xludf.DUMMYFUNCTION("""COMPUTED_VALUE"""),"#N/A")</f>
        <v>#N/A</v>
      </c>
      <c r="H207" s="6"/>
      <c r="I207" s="6"/>
      <c r="J207" s="50"/>
      <c r="K207" s="58"/>
      <c r="L207" s="6">
        <v>30.0</v>
      </c>
      <c r="M207" s="52" t="s">
        <v>655</v>
      </c>
      <c r="N207" s="53" t="s">
        <v>698</v>
      </c>
      <c r="O207" s="6" t="s">
        <v>669</v>
      </c>
      <c r="P207" s="6"/>
      <c r="Q207" s="6"/>
      <c r="R207" s="6"/>
    </row>
    <row r="208">
      <c r="A208" s="31" t="str">
        <f>IFERROR(__xludf.DUMMYFUNCTION("""COMPUTED_VALUE"""),"НД")</f>
        <v>НД</v>
      </c>
      <c r="B208" s="14" t="str">
        <f>IFERROR(__xludf.DUMMYFUNCTION("""COMPUTED_VALUE"""),"Вне списка")</f>
        <v>Вне списка</v>
      </c>
      <c r="C208" s="14" t="str">
        <f>IFERROR(__xludf.DUMMYFUNCTION("""COMPUTED_VALUE"""),"УДС")</f>
        <v>УДС</v>
      </c>
      <c r="D208" s="15"/>
      <c r="E208" s="14" t="str">
        <f>IFERROR(__xludf.DUMMYFUNCTION("""COMPUTED_VALUE"""),"Технологическая часть транспортно-пересадочного узла на станции метро ""Вавиловская""; пешеходный переход Вавиловская развязка (ТТК) ЮЗАО")</f>
        <v>Технологическая часть транспортно-пересадочного узла на станции метро "Вавиловская"; пешеходный переход Вавиловская развязка (ТТК) ЮЗАО</v>
      </c>
      <c r="F208" s="25" t="str">
        <f>IFERROR(__xludf.DUMMYFUNCTION("""COMPUTED_VALUE"""),"#N/A")</f>
        <v>#N/A</v>
      </c>
      <c r="G208" s="6" t="str">
        <f>IFERROR(__xludf.DUMMYFUNCTION("""COMPUTED_VALUE"""),"#N/A")</f>
        <v>#N/A</v>
      </c>
      <c r="H208" s="6"/>
      <c r="I208" s="6"/>
      <c r="J208" s="50"/>
      <c r="K208" s="58"/>
      <c r="L208" s="6">
        <v>30.0</v>
      </c>
      <c r="M208" s="52" t="s">
        <v>655</v>
      </c>
      <c r="N208" s="53" t="s">
        <v>698</v>
      </c>
      <c r="O208" s="6" t="s">
        <v>683</v>
      </c>
      <c r="P208" s="6"/>
      <c r="Q208" s="6"/>
      <c r="R208" s="6"/>
    </row>
    <row r="209">
      <c r="A209" s="31" t="str">
        <f>IFERROR(__xludf.DUMMYFUNCTION("""COMPUTED_VALUE"""),"НД")</f>
        <v>НД</v>
      </c>
      <c r="B209" s="14" t="str">
        <f>IFERROR(__xludf.DUMMYFUNCTION("""COMPUTED_VALUE"""),"АИП-25")</f>
        <v>АИП-25</v>
      </c>
      <c r="C209" s="14" t="str">
        <f>IFERROR(__xludf.DUMMYFUNCTION("""COMPUTED_VALUE"""),"УДС")</f>
        <v>УДС</v>
      </c>
      <c r="D209" s="15"/>
      <c r="E209" s="14" t="str">
        <f>IFERROR(__xludf.DUMMYFUNCTION("""COMPUTED_VALUE"""),"Троицкая линия метрополитена на уч. ""Новаторская""- ""ЗИЛ"". Ст. Академическая район Академический")</f>
        <v>Троицкая линия метрополитена на уч. "Новаторская"- "ЗИЛ". Ст. Академическая район Академический</v>
      </c>
      <c r="F209" s="25" t="str">
        <f>IFERROR(__xludf.DUMMYFUNCTION("""COMPUTED_VALUE"""),"#N/A")</f>
        <v>#N/A</v>
      </c>
      <c r="G209" s="6" t="str">
        <f>IFERROR(__xludf.DUMMYFUNCTION("""COMPUTED_VALUE"""),"#N/A")</f>
        <v>#N/A</v>
      </c>
      <c r="H209" s="6"/>
      <c r="I209" s="6"/>
      <c r="J209" s="50"/>
      <c r="K209" s="58"/>
      <c r="L209" s="6">
        <v>30.0</v>
      </c>
      <c r="M209" s="52" t="s">
        <v>655</v>
      </c>
      <c r="N209" s="53" t="s">
        <v>698</v>
      </c>
      <c r="O209" s="6" t="s">
        <v>669</v>
      </c>
      <c r="P209" s="6"/>
      <c r="Q209" s="6"/>
      <c r="R209" s="6"/>
    </row>
    <row r="210">
      <c r="A210" s="31" t="str">
        <f>IFERROR(__xludf.DUMMYFUNCTION("""COMPUTED_VALUE"""),"НД")</f>
        <v>НД</v>
      </c>
      <c r="B210" s="14" t="str">
        <f>IFERROR(__xludf.DUMMYFUNCTION("""COMPUTED_VALUE"""),"АИП-25")</f>
        <v>АИП-25</v>
      </c>
      <c r="C210" s="14" t="str">
        <f>IFERROR(__xludf.DUMMYFUNCTION("""COMPUTED_VALUE"""),"УДС")</f>
        <v>УДС</v>
      </c>
      <c r="D210" s="15"/>
      <c r="E210" s="14" t="str">
        <f>IFERROR(__xludf.DUMMYFUNCTION("""COMPUTED_VALUE"""),"Троицкая линия метрополитена на уч. ""Новаторская""- ""ЗИЛ"". Ст. Крымская район Донской")</f>
        <v>Троицкая линия метрополитена на уч. "Новаторская"- "ЗИЛ". Ст. Крымская район Донской</v>
      </c>
      <c r="F210" s="25" t="str">
        <f>IFERROR(__xludf.DUMMYFUNCTION("""COMPUTED_VALUE"""),"#N/A")</f>
        <v>#N/A</v>
      </c>
      <c r="G210" s="6" t="str">
        <f>IFERROR(__xludf.DUMMYFUNCTION("""COMPUTED_VALUE"""),"#N/A")</f>
        <v>#N/A</v>
      </c>
      <c r="H210" s="6"/>
      <c r="I210" s="6"/>
      <c r="J210" s="50"/>
      <c r="K210" s="58"/>
      <c r="L210" s="6">
        <v>30.0</v>
      </c>
      <c r="M210" s="52" t="s">
        <v>655</v>
      </c>
      <c r="N210" s="53" t="s">
        <v>698</v>
      </c>
      <c r="O210" s="6" t="s">
        <v>669</v>
      </c>
      <c r="P210" s="6"/>
      <c r="Q210" s="6"/>
      <c r="R210" s="6"/>
    </row>
    <row r="211">
      <c r="A211" s="31" t="str">
        <f>IFERROR(__xludf.DUMMYFUNCTION("""COMPUTED_VALUE"""),"НД")</f>
        <v>НД</v>
      </c>
      <c r="B211" s="14" t="str">
        <f>IFERROR(__xludf.DUMMYFUNCTION("""COMPUTED_VALUE"""),"АИП-25")</f>
        <v>АИП-25</v>
      </c>
      <c r="C211" s="14" t="str">
        <f>IFERROR(__xludf.DUMMYFUNCTION("""COMPUTED_VALUE"""),"УДС")</f>
        <v>УДС</v>
      </c>
      <c r="D211" s="15"/>
      <c r="E211" s="14" t="str">
        <f>IFERROR(__xludf.DUMMYFUNCTION("""COMPUTED_VALUE"""),"Троицкая линия метрополитена на уч. ""Новаторская""- ""ЗИЛ"". Ст. ЗИЛ район Даниловский")</f>
        <v>Троицкая линия метрополитена на уч. "Новаторская"- "ЗИЛ". Ст. ЗИЛ район Даниловский</v>
      </c>
      <c r="F211" s="25" t="str">
        <f>IFERROR(__xludf.DUMMYFUNCTION("""COMPUTED_VALUE"""),"#N/A")</f>
        <v>#N/A</v>
      </c>
      <c r="G211" s="6" t="str">
        <f>IFERROR(__xludf.DUMMYFUNCTION("""COMPUTED_VALUE"""),"#N/A")</f>
        <v>#N/A</v>
      </c>
      <c r="H211" s="6"/>
      <c r="I211" s="6"/>
      <c r="J211" s="50"/>
      <c r="K211" s="58"/>
      <c r="L211" s="6">
        <v>30.0</v>
      </c>
      <c r="M211" s="52" t="s">
        <v>655</v>
      </c>
      <c r="N211" s="53" t="s">
        <v>698</v>
      </c>
      <c r="O211" s="6" t="s">
        <v>669</v>
      </c>
      <c r="P211" s="6"/>
      <c r="Q211" s="6"/>
      <c r="R211" s="6"/>
    </row>
    <row r="212">
      <c r="A212" s="31" t="str">
        <f>IFERROR(__xludf.DUMMYFUNCTION("""COMPUTED_VALUE"""),"1030")</f>
        <v>1030</v>
      </c>
      <c r="B212" s="14" t="str">
        <f>IFERROR(__xludf.DUMMYFUNCTION("""COMPUTED_VALUE"""),"АИП-25")</f>
        <v>АИП-25</v>
      </c>
      <c r="C212" s="14" t="str">
        <f>IFERROR(__xludf.DUMMYFUNCTION("""COMPUTED_VALUE"""),"УДС")</f>
        <v>УДС</v>
      </c>
      <c r="D212" s="15"/>
      <c r="E212" s="14" t="str">
        <f>IFERROR(__xludf.DUMMYFUNCTION("""COMPUTED_VALUE"""),"Троицкая линия ст. «ЗИЛ» Автозаводская, д. 23, стр. 788 (ЮАО)")</f>
        <v>Троицкая линия ст. «ЗИЛ» Автозаводская, д. 23, стр. 788 (ЮАО)</v>
      </c>
      <c r="F212" s="25" t="str">
        <f>IFERROR(__xludf.DUMMYFUNCTION("""COMPUTED_VALUE"""),"#N/A")</f>
        <v>#N/A</v>
      </c>
      <c r="G212" s="6" t="str">
        <f>IFERROR(__xludf.DUMMYFUNCTION("""COMPUTED_VALUE"""),"#N/A")</f>
        <v>#N/A</v>
      </c>
      <c r="H212" s="18" t="str">
        <f>IFERROR(__xludf.DUMMYFUNCTION("""COMPUTED_VALUE"""),"https://docs.google.com/spreadsheets/d/1jonEGMB3UFHiUZpltF1zURon8gYN7jGSHu-k9t5TXnA/edit?gid=224508896#gid=224508896")</f>
        <v>https://docs.google.com/spreadsheets/d/1jonEGMB3UFHiUZpltF1zURon8gYN7jGSHu-k9t5TXnA/edit?gid=224508896#gid=224508896</v>
      </c>
      <c r="I212" s="6" t="str">
        <f>IFERROR(__xludf.DUMMYFUNCTION("""COMPUTED_VALUE"""),"https://disk.yandex.ru/client/disk/Осмотры%20объектов%20АНО%20СМГ/1030.%20ст.м.%20Зил")</f>
        <v>https://disk.yandex.ru/client/disk/Осмотры%20объектов%20АНО%20СМГ/1030.%20ст.м.%20Зил</v>
      </c>
      <c r="J212" s="50">
        <f>IFERROR(__xludf.DUMMYFUNCTION("""COMPUTED_VALUE"""),85.90151999999999)</f>
        <v>85.90152</v>
      </c>
      <c r="K212" s="58">
        <f>IFERROR(__xludf.DUMMYFUNCTION("""COMPUTED_VALUE"""),45769.0)</f>
        <v>45769</v>
      </c>
      <c r="L212" s="6">
        <v>14.0</v>
      </c>
      <c r="M212" s="52">
        <v>45783.0</v>
      </c>
      <c r="N212" s="53" t="s">
        <v>668</v>
      </c>
      <c r="O212" s="6" t="s">
        <v>669</v>
      </c>
      <c r="P212" s="6"/>
      <c r="Q212" s="6"/>
      <c r="R212" s="6"/>
    </row>
    <row r="213">
      <c r="A213" s="31" t="str">
        <f>IFERROR(__xludf.DUMMYFUNCTION("""COMPUTED_VALUE"""),"250д (сводный)")</f>
        <v>250д (сводный)</v>
      </c>
      <c r="B213" s="14" t="str">
        <f>IFERROR(__xludf.DUMMYFUNCTION("""COMPUTED_VALUE"""),"АИП-25")</f>
        <v>АИП-25</v>
      </c>
      <c r="C213" s="14" t="str">
        <f>IFERROR(__xludf.DUMMYFUNCTION("""COMPUTED_VALUE"""),"УДС")</f>
        <v>УДС</v>
      </c>
      <c r="D213" s="15"/>
      <c r="E213" s="14" t="str">
        <f>IFERROR(__xludf.DUMMYFUNCTION("""COMPUTED_VALUE"""),"Строительство многоуровневых транспортных развязок на участке от МКАД до поселка Коммунарка. Участок от ул. Александры Монаховой до транспортной развязки с путепроводом на пересечении дороги СБВ
 ")</f>
        <v>Строительство многоуровневых транспортных развязок на участке от МКАД до поселка Коммунарка. Участок от ул. Александры Монаховой до транспортной развязки с путепроводом на пересечении дороги СБВ
 </v>
      </c>
      <c r="F213" s="25" t="str">
        <f>IFERROR(__xludf.DUMMYFUNCTION("""COMPUTED_VALUE"""),"#N/A")</f>
        <v>#N/A</v>
      </c>
      <c r="G213" s="6" t="str">
        <f>IFERROR(__xludf.DUMMYFUNCTION("""COMPUTED_VALUE"""),"#N/A")</f>
        <v>#N/A</v>
      </c>
      <c r="H213" s="6"/>
      <c r="I213" s="6"/>
      <c r="J213" s="50"/>
      <c r="K213" s="58"/>
      <c r="L213" s="6">
        <v>30.0</v>
      </c>
      <c r="M213" s="52" t="s">
        <v>655</v>
      </c>
      <c r="N213" s="53" t="s">
        <v>698</v>
      </c>
      <c r="O213" s="6"/>
      <c r="P213" s="6"/>
      <c r="Q213" s="6"/>
      <c r="R213" s="6"/>
    </row>
    <row r="214">
      <c r="A214" s="31" t="str">
        <f>IFERROR(__xludf.DUMMYFUNCTION("""COMPUTED_VALUE"""),"250д (этап 1)")</f>
        <v>250д (этап 1)</v>
      </c>
      <c r="B214" s="14"/>
      <c r="C214" s="14" t="str">
        <f>IFERROR(__xludf.DUMMYFUNCTION("""COMPUTED_VALUE"""),"УДС")</f>
        <v>УДС</v>
      </c>
      <c r="D214" s="15"/>
      <c r="E214" s="14" t="str">
        <f>IFERROR(__xludf.DUMMYFUNCTION("""COMPUTED_VALUE"""),"Транспортная развязка на ул. Ал. Монаховой 
этап 1 ул. Александры Монаховой")</f>
        <v>Транспортная развязка на ул. Ал. Монаховой 
этап 1 ул. Александры Монаховой</v>
      </c>
      <c r="F214" s="25" t="str">
        <f>IFERROR(__xludf.DUMMYFUNCTION("""COMPUTED_VALUE"""),"#N/A")</f>
        <v>#N/A</v>
      </c>
      <c r="G214" s="6" t="str">
        <f>IFERROR(__xludf.DUMMYFUNCTION("""COMPUTED_VALUE"""),"#N/A")</f>
        <v>#N/A</v>
      </c>
      <c r="H214" s="6"/>
      <c r="I214" s="6"/>
      <c r="J214" s="50"/>
      <c r="K214" s="58"/>
      <c r="L214" s="6">
        <v>30.0</v>
      </c>
      <c r="M214" s="52" t="s">
        <v>655</v>
      </c>
      <c r="N214" s="53" t="s">
        <v>698</v>
      </c>
      <c r="O214" s="6" t="s">
        <v>669</v>
      </c>
      <c r="P214" s="6"/>
      <c r="Q214" s="6"/>
      <c r="R214" s="6"/>
    </row>
    <row r="215">
      <c r="A215" s="31" t="str">
        <f>IFERROR(__xludf.DUMMYFUNCTION("""COMPUTED_VALUE"""),"250д (этап 2)")</f>
        <v>250д (этап 2)</v>
      </c>
      <c r="B215" s="14"/>
      <c r="C215" s="14" t="str">
        <f>IFERROR(__xludf.DUMMYFUNCTION("""COMPUTED_VALUE"""),"УДС")</f>
        <v>УДС</v>
      </c>
      <c r="D215" s="15"/>
      <c r="E215" s="14" t="str">
        <f>IFERROR(__xludf.DUMMYFUNCTION("""COMPUTED_VALUE"""),"Транспортная развязка на ул. Ал. Монаховой
(ЛОС) ул. Александры Монаховой")</f>
        <v>Транспортная развязка на ул. Ал. Монаховой
(ЛОС) ул. Александры Монаховой</v>
      </c>
      <c r="F215" s="25" t="str">
        <f>IFERROR(__xludf.DUMMYFUNCTION("""COMPUTED_VALUE"""),"#N/A")</f>
        <v>#N/A</v>
      </c>
      <c r="G215" s="6" t="str">
        <f>IFERROR(__xludf.DUMMYFUNCTION("""COMPUTED_VALUE"""),"#N/A")</f>
        <v>#N/A</v>
      </c>
      <c r="H215" s="6"/>
      <c r="I215" s="6"/>
      <c r="J215" s="50"/>
      <c r="K215" s="58"/>
      <c r="L215" s="6">
        <v>30.0</v>
      </c>
      <c r="M215" s="52" t="s">
        <v>655</v>
      </c>
      <c r="N215" s="53" t="s">
        <v>698</v>
      </c>
      <c r="O215" s="6" t="s">
        <v>669</v>
      </c>
      <c r="P215" s="6"/>
      <c r="Q215" s="6"/>
      <c r="R215" s="6"/>
    </row>
    <row r="216">
      <c r="A216" s="31" t="str">
        <f>IFERROR(__xludf.DUMMYFUNCTION("""COMPUTED_VALUE"""),"252д (этап 1)")</f>
        <v>252д (этап 1)</v>
      </c>
      <c r="B216" s="14" t="str">
        <f>IFERROR(__xludf.DUMMYFUNCTION("""COMPUTED_VALUE"""),"АИП-25")</f>
        <v>АИП-25</v>
      </c>
      <c r="C216" s="14" t="str">
        <f>IFERROR(__xludf.DUMMYFUNCTION("""COMPUTED_VALUE"""),"УДС")</f>
        <v>УДС</v>
      </c>
      <c r="D216" s="15"/>
      <c r="E216" s="14" t="str">
        <f>IFERROR(__xludf.DUMMYFUNCTION("""COMPUTED_VALUE"""),"Улично-дорожная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1 этап ул. Лобачевского, Киевское направление МЖД, Мичуринский проспект")</f>
        <v>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1 этап ул. Лобачевского, Киевское направление МЖД, Мичуринский проспект</v>
      </c>
      <c r="F216" s="25" t="str">
        <f>IFERROR(__xludf.DUMMYFUNCTION("""COMPUTED_VALUE"""),"#N/A")</f>
        <v>#N/A</v>
      </c>
      <c r="G216" s="6" t="str">
        <f>IFERROR(__xludf.DUMMYFUNCTION("""COMPUTED_VALUE"""),"#N/A")</f>
        <v>#N/A</v>
      </c>
      <c r="H216" s="6"/>
      <c r="I216" s="6"/>
      <c r="J216" s="50">
        <f>IFERROR(__xludf.DUMMYFUNCTION("""COMPUTED_VALUE"""),100.0)</f>
        <v>100</v>
      </c>
      <c r="K216" s="58">
        <f>IFERROR(__xludf.DUMMYFUNCTION("""COMPUTED_VALUE"""),45972.0)</f>
        <v>45972</v>
      </c>
      <c r="L216" s="6" t="s">
        <v>654</v>
      </c>
      <c r="M216" s="52" t="s">
        <v>655</v>
      </c>
      <c r="N216" s="53" t="s">
        <v>656</v>
      </c>
      <c r="O216" s="6" t="s">
        <v>794</v>
      </c>
      <c r="P216" s="6"/>
      <c r="Q216" s="6"/>
      <c r="R216" s="6"/>
    </row>
    <row r="217">
      <c r="A217" s="31" t="str">
        <f>IFERROR(__xludf.DUMMYFUNCTION("""COMPUTED_VALUE"""),"165д")</f>
        <v>165д</v>
      </c>
      <c r="B217" s="14" t="str">
        <f>IFERROR(__xludf.DUMMYFUNCTION("""COMPUTED_VALUE"""),"АИП-25")</f>
        <v>АИП-25</v>
      </c>
      <c r="C217" s="14" t="str">
        <f>IFERROR(__xludf.DUMMYFUNCTION("""COMPUTED_VALUE"""),"УДС")</f>
        <v>УДС</v>
      </c>
      <c r="D217" s="15"/>
      <c r="E217" s="14" t="str">
        <f>IFERROR(__xludf.DUMMYFUNCTION("""COMPUTED_VALUE"""),"Дорога, соединяющая ул. Авиаторов с ул. Родниковая. Этап 2.1.2. ОС вблизи ул. Авиаторов и ул. Родниковая")</f>
        <v>Дорога, соединяющая ул. Авиаторов с ул. Родниковая. Этап 2.1.2. ОС вблизи ул. Авиаторов и ул. Родниковая</v>
      </c>
      <c r="F217" s="25" t="str">
        <f>IFERROR(__xludf.DUMMYFUNCTION("""COMPUTED_VALUE"""),"#N/A")</f>
        <v>#N/A</v>
      </c>
      <c r="G217" s="6" t="str">
        <f>IFERROR(__xludf.DUMMYFUNCTION("""COMPUTED_VALUE"""),"#N/A")</f>
        <v>#N/A</v>
      </c>
      <c r="H217" s="6"/>
      <c r="I217" s="6"/>
      <c r="J217" s="50">
        <f>IFERROR(__xludf.DUMMYFUNCTION("""COMPUTED_VALUE"""),100.0)</f>
        <v>100</v>
      </c>
      <c r="K217" s="58">
        <f>IFERROR(__xludf.DUMMYFUNCTION("""COMPUTED_VALUE"""),45972.0)</f>
        <v>45972</v>
      </c>
      <c r="L217" s="6" t="s">
        <v>654</v>
      </c>
      <c r="M217" s="52" t="s">
        <v>655</v>
      </c>
      <c r="N217" s="53" t="s">
        <v>656</v>
      </c>
      <c r="O217" s="6" t="s">
        <v>795</v>
      </c>
      <c r="P217" s="6"/>
      <c r="Q217" s="6"/>
      <c r="R217" s="6"/>
    </row>
    <row r="218">
      <c r="A218" s="31" t="str">
        <f>IFERROR(__xludf.DUMMYFUNCTION("""COMPUTED_VALUE"""),"385д (сводный)")</f>
        <v>385д (сводный)</v>
      </c>
      <c r="B218" s="14" t="str">
        <f>IFERROR(__xludf.DUMMYFUNCTION("""COMPUTED_VALUE"""),"АИП-25")</f>
        <v>АИП-25</v>
      </c>
      <c r="C218" s="14" t="str">
        <f>IFERROR(__xludf.DUMMYFUNCTION("""COMPUTED_VALUE"""),"УДС")</f>
        <v>УДС</v>
      </c>
      <c r="D218" s="15"/>
      <c r="E218"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3.3, 3.2 (ЦТП, Трансф.подст) ")</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3.3, 3.2 (ЦТП, Трансф.подст) </v>
      </c>
      <c r="F218" s="25" t="str">
        <f>IFERROR(__xludf.DUMMYFUNCTION("""COMPUTED_VALUE"""),"#N/A")</f>
        <v>#N/A</v>
      </c>
      <c r="G218" s="6" t="str">
        <f>IFERROR(__xludf.DUMMYFUNCTION("""COMPUTED_VALUE"""),"#N/A")</f>
        <v>#N/A</v>
      </c>
      <c r="H218" s="6"/>
      <c r="I218" s="6"/>
      <c r="J218" s="50"/>
      <c r="K218" s="58"/>
      <c r="L218" s="6">
        <v>30.0</v>
      </c>
      <c r="M218" s="52" t="s">
        <v>655</v>
      </c>
      <c r="N218" s="53" t="s">
        <v>698</v>
      </c>
      <c r="O218" s="6"/>
      <c r="P218" s="6"/>
      <c r="Q218" s="6"/>
      <c r="R218" s="6"/>
    </row>
    <row r="219">
      <c r="A219" s="31" t="str">
        <f>IFERROR(__xludf.DUMMYFUNCTION("""COMPUTED_VALUE"""),"385д (сводный 2)")</f>
        <v>385д (сводный 2)</v>
      </c>
      <c r="B219" s="14" t="str">
        <f>IFERROR(__xludf.DUMMYFUNCTION("""COMPUTED_VALUE"""),"АИП-25")</f>
        <v>АИП-25</v>
      </c>
      <c r="C219" s="14" t="str">
        <f>IFERROR(__xludf.DUMMYFUNCTION("""COMPUTED_VALUE"""),"УДС")</f>
        <v>УДС</v>
      </c>
      <c r="D219" s="15"/>
      <c r="E219"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2.1.2, 2.1.3, 2.2 ")</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2.1.2, 2.1.3, 2.2 </v>
      </c>
      <c r="F219" s="25" t="str">
        <f>IFERROR(__xludf.DUMMYFUNCTION("""COMPUTED_VALUE"""),"#N/A")</f>
        <v>#N/A</v>
      </c>
      <c r="G219" s="6" t="str">
        <f>IFERROR(__xludf.DUMMYFUNCTION("""COMPUTED_VALUE"""),"#N/A")</f>
        <v>#N/A</v>
      </c>
      <c r="H219" s="6"/>
      <c r="I219" s="6"/>
      <c r="J219" s="50"/>
      <c r="K219" s="58"/>
      <c r="L219" s="6">
        <v>30.0</v>
      </c>
      <c r="M219" s="52" t="s">
        <v>655</v>
      </c>
      <c r="N219" s="53" t="s">
        <v>698</v>
      </c>
      <c r="O219" s="6"/>
      <c r="P219" s="6"/>
      <c r="Q219" s="6"/>
      <c r="R219" s="6"/>
    </row>
    <row r="220">
      <c r="A220" s="31" t="str">
        <f>IFERROR(__xludf.DUMMYFUNCTION("""COMPUTED_VALUE"""),"385д (этап 2.1.2)")</f>
        <v>385д (этап 2.1.2)</v>
      </c>
      <c r="B220" s="14"/>
      <c r="C220" s="14" t="str">
        <f>IFERROR(__xludf.DUMMYFUNCTION("""COMPUTED_VALUE"""),"УДС")</f>
        <v>УДС</v>
      </c>
      <c r="D220" s="60"/>
      <c r="E220"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2.1.2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2.1.2 ЮВХ от ш. Энтузиастов до
 Рязанского пр-кта</v>
      </c>
      <c r="F220" s="25" t="str">
        <f>IFERROR(__xludf.DUMMYFUNCTION("""COMPUTED_VALUE"""),"#N/A")</f>
        <v>#N/A</v>
      </c>
      <c r="G220" s="6" t="str">
        <f>IFERROR(__xludf.DUMMYFUNCTION("""COMPUTED_VALUE"""),"#N/A")</f>
        <v>#N/A</v>
      </c>
      <c r="H220" s="6"/>
      <c r="I220" s="6"/>
      <c r="J220" s="50"/>
      <c r="K220" s="58"/>
      <c r="L220" s="6">
        <v>30.0</v>
      </c>
      <c r="M220" s="52" t="s">
        <v>655</v>
      </c>
      <c r="N220" s="53" t="s">
        <v>698</v>
      </c>
      <c r="O220" s="6" t="s">
        <v>796</v>
      </c>
      <c r="P220" s="6"/>
      <c r="Q220" s="6"/>
      <c r="R220" s="6"/>
    </row>
    <row r="221">
      <c r="A221" s="31" t="str">
        <f>IFERROR(__xludf.DUMMYFUNCTION("""COMPUTED_VALUE"""),"385д (этап 2.1.3)")</f>
        <v>385д (этап 2.1.3)</v>
      </c>
      <c r="B221" s="14"/>
      <c r="C221" s="14" t="str">
        <f>IFERROR(__xludf.DUMMYFUNCTION("""COMPUTED_VALUE"""),"УДС")</f>
        <v>УДС</v>
      </c>
      <c r="D221" s="15"/>
      <c r="E221"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2.1.3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2.1.3 ЮВХ от ш. Энтузиастов до
 Рязанского пр-кта</v>
      </c>
      <c r="F221" s="25" t="str">
        <f>IFERROR(__xludf.DUMMYFUNCTION("""COMPUTED_VALUE"""),"#N/A")</f>
        <v>#N/A</v>
      </c>
      <c r="G221" s="6" t="str">
        <f>IFERROR(__xludf.DUMMYFUNCTION("""COMPUTED_VALUE"""),"#N/A")</f>
        <v>#N/A</v>
      </c>
      <c r="H221" s="6"/>
      <c r="I221" s="6"/>
      <c r="J221" s="50"/>
      <c r="K221" s="58"/>
      <c r="L221" s="6">
        <v>30.0</v>
      </c>
      <c r="M221" s="52" t="s">
        <v>655</v>
      </c>
      <c r="N221" s="53" t="s">
        <v>698</v>
      </c>
      <c r="O221" s="6" t="s">
        <v>796</v>
      </c>
      <c r="P221" s="6"/>
      <c r="Q221" s="6"/>
      <c r="R221" s="6"/>
    </row>
    <row r="222">
      <c r="A222" s="31" t="str">
        <f>IFERROR(__xludf.DUMMYFUNCTION("""COMPUTED_VALUE"""),"385д (этап 2.2)")</f>
        <v>385д (этап 2.2)</v>
      </c>
      <c r="B222" s="14"/>
      <c r="C222" s="14" t="str">
        <f>IFERROR(__xludf.DUMMYFUNCTION("""COMPUTED_VALUE"""),"УДС")</f>
        <v>УДС</v>
      </c>
      <c r="D222" s="15"/>
      <c r="E222"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2.2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2.2 ЮВХ от ш. Энтузиастов до
 Рязанского пр-кта</v>
      </c>
      <c r="F222" s="25" t="str">
        <f>IFERROR(__xludf.DUMMYFUNCTION("""COMPUTED_VALUE"""),"#N/A")</f>
        <v>#N/A</v>
      </c>
      <c r="G222" s="6" t="str">
        <f>IFERROR(__xludf.DUMMYFUNCTION("""COMPUTED_VALUE"""),"#N/A")</f>
        <v>#N/A</v>
      </c>
      <c r="H222" s="6"/>
      <c r="I222" s="6"/>
      <c r="J222" s="50"/>
      <c r="K222" s="58"/>
      <c r="L222" s="6">
        <v>30.0</v>
      </c>
      <c r="M222" s="52" t="s">
        <v>655</v>
      </c>
      <c r="N222" s="53" t="s">
        <v>698</v>
      </c>
      <c r="O222" s="6" t="s">
        <v>797</v>
      </c>
      <c r="P222" s="6"/>
      <c r="Q222" s="6"/>
      <c r="R222" s="6"/>
    </row>
    <row r="223">
      <c r="A223" s="31" t="str">
        <f>IFERROR(__xludf.DUMMYFUNCTION("""COMPUTED_VALUE"""),"385д (этап 2.3.2)")</f>
        <v>385д (этап 2.3.2)</v>
      </c>
      <c r="B223" s="14"/>
      <c r="C223" s="14" t="str">
        <f>IFERROR(__xludf.DUMMYFUNCTION("""COMPUTED_VALUE"""),"УДС")</f>
        <v>УДС</v>
      </c>
      <c r="D223" s="15"/>
      <c r="E223"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2.3.2 (переустройство сетей РЖД) ЮВХ от ш. Энтузиастов до
 Рязанского пр"&amp;"-кта")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2.3.2 (переустройство сетей РЖД) ЮВХ от ш. Энтузиастов до
 Рязанского пр-кта</v>
      </c>
      <c r="F223" s="25" t="str">
        <f>IFERROR(__xludf.DUMMYFUNCTION("""COMPUTED_VALUE"""),"#N/A")</f>
        <v>#N/A</v>
      </c>
      <c r="G223" s="6" t="str">
        <f>IFERROR(__xludf.DUMMYFUNCTION("""COMPUTED_VALUE"""),"#N/A")</f>
        <v>#N/A</v>
      </c>
      <c r="H223" s="6"/>
      <c r="I223" s="6"/>
      <c r="J223" s="50"/>
      <c r="K223" s="58"/>
      <c r="L223" s="6">
        <v>30.0</v>
      </c>
      <c r="M223" s="52" t="s">
        <v>655</v>
      </c>
      <c r="N223" s="53" t="s">
        <v>698</v>
      </c>
      <c r="O223" s="6"/>
      <c r="P223" s="6"/>
      <c r="Q223" s="6"/>
      <c r="R223" s="6"/>
    </row>
    <row r="224">
      <c r="A224" s="31" t="str">
        <f>IFERROR(__xludf.DUMMYFUNCTION("""COMPUTED_VALUE"""),"385д (этап 3.3.2) по АИПу 3.2")</f>
        <v>385д (этап 3.3.2) по АИПу 3.2</v>
      </c>
      <c r="B224" s="14"/>
      <c r="C224" s="14" t="str">
        <f>IFERROR(__xludf.DUMMYFUNCTION("""COMPUTED_VALUE"""),"УДС")</f>
        <v>УДС</v>
      </c>
      <c r="D224" s="15"/>
      <c r="E224"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3.3.2 (инженерные коммуникации) ЮВХ от ш. Энтузиастов до
 Рязанского пр-"&amp;"кта")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3.3.2 (инженерные коммуникации) ЮВХ от ш. Энтузиастов до
 Рязанского пр-кта</v>
      </c>
      <c r="F224" s="25" t="str">
        <f>IFERROR(__xludf.DUMMYFUNCTION("""COMPUTED_VALUE"""),"#N/A")</f>
        <v>#N/A</v>
      </c>
      <c r="G224" s="6" t="str">
        <f>IFERROR(__xludf.DUMMYFUNCTION("""COMPUTED_VALUE"""),"#N/A")</f>
        <v>#N/A</v>
      </c>
      <c r="H224" s="6"/>
      <c r="I224" s="6"/>
      <c r="J224" s="50"/>
      <c r="K224" s="58"/>
      <c r="L224" s="6">
        <v>30.0</v>
      </c>
      <c r="M224" s="52" t="s">
        <v>655</v>
      </c>
      <c r="N224" s="53" t="s">
        <v>698</v>
      </c>
      <c r="O224" s="6" t="s">
        <v>797</v>
      </c>
      <c r="P224" s="6"/>
      <c r="Q224" s="6"/>
      <c r="R224" s="6"/>
    </row>
    <row r="225">
      <c r="A225" s="31" t="str">
        <f>IFERROR(__xludf.DUMMYFUNCTION("""COMPUTED_VALUE"""),"385д (этап 3.3.3) по АИПу 3.3")</f>
        <v>385д (этап 3.3.3) по АИПу 3.3</v>
      </c>
      <c r="B225" s="14"/>
      <c r="C225" s="14" t="str">
        <f>IFERROR(__xludf.DUMMYFUNCTION("""COMPUTED_VALUE"""),"УДС")</f>
        <v>УДС</v>
      </c>
      <c r="D225" s="15"/>
      <c r="E225"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3.3.3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3.3.3
 ЮВХ от ш. Энтузиастов до
 Рязанского пр-кта</v>
      </c>
      <c r="F225" s="25" t="str">
        <f>IFERROR(__xludf.DUMMYFUNCTION("""COMPUTED_VALUE"""),"#N/A")</f>
        <v>#N/A</v>
      </c>
      <c r="G225" s="6" t="str">
        <f>IFERROR(__xludf.DUMMYFUNCTION("""COMPUTED_VALUE"""),"#N/A")</f>
        <v>#N/A</v>
      </c>
      <c r="H225" s="6"/>
      <c r="I225" s="6"/>
      <c r="J225" s="50"/>
      <c r="K225" s="58"/>
      <c r="L225" s="6">
        <v>30.0</v>
      </c>
      <c r="M225" s="52" t="s">
        <v>655</v>
      </c>
      <c r="N225" s="53" t="s">
        <v>698</v>
      </c>
      <c r="O225" s="6"/>
      <c r="P225" s="6"/>
      <c r="Q225" s="6"/>
      <c r="R225" s="6"/>
    </row>
    <row r="226">
      <c r="A226" s="31" t="str">
        <f>IFERROR(__xludf.DUMMYFUNCTION("""COMPUTED_VALUE"""),"нд")</f>
        <v>нд</v>
      </c>
      <c r="B226" s="14" t="str">
        <f>IFERROR(__xludf.DUMMYFUNCTION("""COMPUTED_VALUE"""),"Вне списка")</f>
        <v>Вне списка</v>
      </c>
      <c r="C226" s="14" t="str">
        <f>IFERROR(__xludf.DUMMYFUNCTION("""COMPUTED_VALUE"""),"УДС")</f>
        <v>УДС</v>
      </c>
      <c r="D226" s="15"/>
      <c r="E226" s="14" t="str">
        <f>IFERROR(__xludf.DUMMYFUNCTION("""COMPUTED_VALUE"""),"Строительство многоуровневых транспортных развязок через Казанское и Горьковское направление Московской железной дороги на участке от шоссе Энтузиастов до Рязанского пр-кта (ЮВХ-1) Этап 3  - ""Участок от 5-ой Кабельной улицы до СВХ"""". участок от шоссе Э"&amp;"нтузиастов до Рязанского проспекта")</f>
        <v>Строительство многоуровневых транспортных развязок через Казанское и Горьковское направление Московской железной дороги на участке от шоссе Энтузиастов до Рязанского пр-кта (ЮВХ-1) Этап 3  - "Участок от 5-ой Кабельной улицы до СВХ"". участок от шоссе Энтузиастов до Рязанского проспекта</v>
      </c>
      <c r="F226" s="25" t="str">
        <f>IFERROR(__xludf.DUMMYFUNCTION("""COMPUTED_VALUE"""),"#N/A")</f>
        <v>#N/A</v>
      </c>
      <c r="G226" s="6" t="str">
        <f>IFERROR(__xludf.DUMMYFUNCTION("""COMPUTED_VALUE"""),"#N/A")</f>
        <v>#N/A</v>
      </c>
      <c r="H226" s="6"/>
      <c r="I226" s="6"/>
      <c r="J226" s="50"/>
      <c r="K226" s="58"/>
      <c r="L226" s="6">
        <v>30.0</v>
      </c>
      <c r="M226" s="52" t="s">
        <v>655</v>
      </c>
      <c r="N226" s="53" t="s">
        <v>698</v>
      </c>
      <c r="O226" s="6"/>
      <c r="P226" s="6"/>
      <c r="Q226" s="6"/>
      <c r="R226" s="6"/>
    </row>
    <row r="227">
      <c r="A227" s="31" t="str">
        <f>IFERROR(__xludf.DUMMYFUNCTION("""COMPUTED_VALUE"""),"253д (сводный)")</f>
        <v>253д (сводный)</v>
      </c>
      <c r="B227" s="14" t="str">
        <f>IFERROR(__xludf.DUMMYFUNCTION("""COMPUTED_VALUE"""),"АИП-25")</f>
        <v>АИП-25</v>
      </c>
      <c r="C227" s="14" t="str">
        <f>IFERROR(__xludf.DUMMYFUNCTION("""COMPUTED_VALUE"""),"УДС")</f>
        <v>УДС</v>
      </c>
      <c r="D227" s="15"/>
      <c r="E227" s="14" t="str">
        <f>IFERROR(__xludf.DUMMYFUNCTION("""COMPUTED_VALUE"""),"Транспортная развязка на пересечении МКАД с Алтуфьевским ш. ")</f>
        <v>Транспортная развязка на пересечении МКАД с Алтуфьевским ш. </v>
      </c>
      <c r="F227" s="25" t="str">
        <f>IFERROR(__xludf.DUMMYFUNCTION("""COMPUTED_VALUE"""),"#N/A")</f>
        <v>#N/A</v>
      </c>
      <c r="G227" s="6" t="str">
        <f>IFERROR(__xludf.DUMMYFUNCTION("""COMPUTED_VALUE"""),"#N/A")</f>
        <v>#N/A</v>
      </c>
      <c r="H227" s="6"/>
      <c r="I227" s="6"/>
      <c r="J227" s="50"/>
      <c r="K227" s="58"/>
      <c r="L227" s="6">
        <v>30.0</v>
      </c>
      <c r="M227" s="52" t="s">
        <v>655</v>
      </c>
      <c r="N227" s="53" t="s">
        <v>698</v>
      </c>
      <c r="O227" s="6"/>
      <c r="P227" s="6"/>
      <c r="Q227" s="6"/>
      <c r="R227" s="6"/>
    </row>
    <row r="228">
      <c r="A228" s="31" t="str">
        <f>IFERROR(__xludf.DUMMYFUNCTION("""COMPUTED_VALUE"""),"253д (этап 1.1)")</f>
        <v>253д (этап 1.1)</v>
      </c>
      <c r="B228" s="14"/>
      <c r="C228" s="14" t="str">
        <f>IFERROR(__xludf.DUMMYFUNCTION("""COMPUTED_VALUE"""),"УДС")</f>
        <v>УДС</v>
      </c>
      <c r="D228" s="15"/>
      <c r="E228" s="14" t="str">
        <f>IFERROR(__xludf.DUMMYFUNCTION("""COMPUTED_VALUE"""),"Транспортная развязка на пересечении МКАД с Алтуфьевским ш. Этап 1.1. г. Москва, Алтуфьевское ш. (СВАО, М.О.)")</f>
        <v>Транспортная развязка на пересечении МКАД с Алтуфьевским ш. Этап 1.1. г. Москва, Алтуфьевское ш. (СВАО, М.О.)</v>
      </c>
      <c r="F228" s="25" t="str">
        <f>IFERROR(__xludf.DUMMYFUNCTION("""COMPUTED_VALUE"""),"#N/A")</f>
        <v>#N/A</v>
      </c>
      <c r="G228" s="6" t="str">
        <f>IFERROR(__xludf.DUMMYFUNCTION("""COMPUTED_VALUE"""),"#N/A")</f>
        <v>#N/A</v>
      </c>
      <c r="H228" s="6"/>
      <c r="I228" s="6"/>
      <c r="J228" s="50"/>
      <c r="K228" s="58"/>
      <c r="L228" s="6">
        <v>30.0</v>
      </c>
      <c r="M228" s="52" t="s">
        <v>655</v>
      </c>
      <c r="N228" s="53" t="s">
        <v>698</v>
      </c>
      <c r="O228" s="6"/>
      <c r="P228" s="6"/>
      <c r="Q228" s="6"/>
      <c r="R228" s="6"/>
    </row>
    <row r="229">
      <c r="A229" s="31" t="str">
        <f>IFERROR(__xludf.DUMMYFUNCTION("""COMPUTED_VALUE"""),"253д (этап 1.2)")</f>
        <v>253д (этап 1.2)</v>
      </c>
      <c r="B229" s="14"/>
      <c r="C229" s="14" t="str">
        <f>IFERROR(__xludf.DUMMYFUNCTION("""COMPUTED_VALUE"""),"УДС")</f>
        <v>УДС</v>
      </c>
      <c r="D229" s="15"/>
      <c r="E229" s="14" t="str">
        <f>IFERROR(__xludf.DUMMYFUNCTION("""COMPUTED_VALUE"""),"Транспортная развязка на пересечении МКАД с Алтуфьевским ш. Этап 1.2. г. Москва, Алтуфьевское ш. (СВАО, М.О.)")</f>
        <v>Транспортная развязка на пересечении МКАД с Алтуфьевским ш. Этап 1.2. г. Москва, Алтуфьевское ш. (СВАО, М.О.)</v>
      </c>
      <c r="F229" s="25" t="str">
        <f>IFERROR(__xludf.DUMMYFUNCTION("""COMPUTED_VALUE"""),"#N/A")</f>
        <v>#N/A</v>
      </c>
      <c r="G229" s="6" t="str">
        <f>IFERROR(__xludf.DUMMYFUNCTION("""COMPUTED_VALUE"""),"#N/A")</f>
        <v>#N/A</v>
      </c>
      <c r="H229" s="6"/>
      <c r="I229" s="6"/>
      <c r="J229" s="50"/>
      <c r="K229" s="58"/>
      <c r="L229" s="6">
        <v>30.0</v>
      </c>
      <c r="M229" s="52" t="s">
        <v>655</v>
      </c>
      <c r="N229" s="53" t="s">
        <v>698</v>
      </c>
      <c r="O229" s="6"/>
      <c r="P229" s="6"/>
      <c r="Q229" s="6"/>
      <c r="R229" s="6"/>
    </row>
    <row r="230">
      <c r="A230" s="31" t="str">
        <f>IFERROR(__xludf.DUMMYFUNCTION("""COMPUTED_VALUE"""),"391д (этап 1.3)")</f>
        <v>391д (этап 1.3)</v>
      </c>
      <c r="B230" s="14"/>
      <c r="C230" s="14" t="str">
        <f>IFERROR(__xludf.DUMMYFUNCTION("""COMPUTED_VALUE"""),"УДС")</f>
        <v>УДС</v>
      </c>
      <c r="D230" s="15"/>
      <c r="E230" s="14" t="str">
        <f>IFERROR(__xludf.DUMMYFUNCTION("""COMPUTED_VALUE"""),"Транспортная развязка на пересечении МКАД с Алтуфьевским ш. Этап 1.3. г. Москва, Алтуфьевское ш. (СВАО, М.О.)")</f>
        <v>Транспортная развязка на пересечении МКАД с Алтуфьевским ш. Этап 1.3. г. Москва, Алтуфьевское ш. (СВАО, М.О.)</v>
      </c>
      <c r="F230" s="25" t="str">
        <f>IFERROR(__xludf.DUMMYFUNCTION("""COMPUTED_VALUE"""),"#N/A")</f>
        <v>#N/A</v>
      </c>
      <c r="G230" s="6" t="str">
        <f>IFERROR(__xludf.DUMMYFUNCTION("""COMPUTED_VALUE"""),"#N/A")</f>
        <v>#N/A</v>
      </c>
      <c r="H230" s="6"/>
      <c r="I230" s="6"/>
      <c r="J230" s="50"/>
      <c r="K230" s="58"/>
      <c r="L230" s="6">
        <v>30.0</v>
      </c>
      <c r="M230" s="52" t="s">
        <v>655</v>
      </c>
      <c r="N230" s="53" t="s">
        <v>698</v>
      </c>
      <c r="O230" s="6"/>
      <c r="P230" s="6"/>
      <c r="Q230" s="6"/>
      <c r="R230" s="6"/>
    </row>
    <row r="231">
      <c r="A231" s="31" t="str">
        <f>IFERROR(__xludf.DUMMYFUNCTION("""COMPUTED_VALUE"""),"253д (этап 1.4)")</f>
        <v>253д (этап 1.4)</v>
      </c>
      <c r="B231" s="14"/>
      <c r="C231" s="14" t="str">
        <f>IFERROR(__xludf.DUMMYFUNCTION("""COMPUTED_VALUE"""),"УДС")</f>
        <v>УДС</v>
      </c>
      <c r="D231" s="15"/>
      <c r="E231" s="14" t="str">
        <f>IFERROR(__xludf.DUMMYFUNCTION("""COMPUTED_VALUE"""),"Транспортная развязка на пересечении МКАД с Алтуфьевским ш. Этап 1.4. г. Москва, Алтуфьевское ш. (СВАО, М.О.)")</f>
        <v>Транспортная развязка на пересечении МКАД с Алтуфьевским ш. Этап 1.4. г. Москва, Алтуфьевское ш. (СВАО, М.О.)</v>
      </c>
      <c r="F231" s="25" t="str">
        <f>IFERROR(__xludf.DUMMYFUNCTION("""COMPUTED_VALUE"""),"#N/A")</f>
        <v>#N/A</v>
      </c>
      <c r="G231" s="6" t="str">
        <f>IFERROR(__xludf.DUMMYFUNCTION("""COMPUTED_VALUE"""),"#N/A")</f>
        <v>#N/A</v>
      </c>
      <c r="H231" s="6"/>
      <c r="I231" s="6"/>
      <c r="J231" s="50"/>
      <c r="K231" s="58"/>
      <c r="L231" s="6">
        <v>30.0</v>
      </c>
      <c r="M231" s="52" t="s">
        <v>655</v>
      </c>
      <c r="N231" s="53" t="s">
        <v>698</v>
      </c>
      <c r="O231" s="6"/>
      <c r="P231" s="6"/>
      <c r="Q231" s="6"/>
      <c r="R231" s="6"/>
    </row>
    <row r="232">
      <c r="A232" s="31" t="str">
        <f>IFERROR(__xludf.DUMMYFUNCTION("""COMPUTED_VALUE"""),"253д (этап 1.5) ИСКЛЮЧЕН")</f>
        <v>253д (этап 1.5) ИСКЛЮЧЕН</v>
      </c>
      <c r="B232" s="14"/>
      <c r="C232" s="14" t="str">
        <f>IFERROR(__xludf.DUMMYFUNCTION("""COMPUTED_VALUE"""),"УДС")</f>
        <v>УДС</v>
      </c>
      <c r="D232" s="15"/>
      <c r="E232" s="14" t="str">
        <f>IFERROR(__xludf.DUMMYFUNCTION("""COMPUTED_VALUE"""),"Транспортная развязка на пересечении МКАД с Алтуфьевским ш. Этап 1.5. г. Москва, Алтуфьевское ш. (СВАО, М.О.)")</f>
        <v>Транспортная развязка на пересечении МКАД с Алтуфьевским ш. Этап 1.5. г. Москва, Алтуфьевское ш. (СВАО, М.О.)</v>
      </c>
      <c r="F232" s="25" t="str">
        <f>IFERROR(__xludf.DUMMYFUNCTION("""COMPUTED_VALUE"""),"#N/A")</f>
        <v>#N/A</v>
      </c>
      <c r="G232" s="6" t="str">
        <f>IFERROR(__xludf.DUMMYFUNCTION("""COMPUTED_VALUE"""),"#N/A")</f>
        <v>#N/A</v>
      </c>
      <c r="H232" s="6"/>
      <c r="I232" s="6"/>
      <c r="J232" s="50"/>
      <c r="K232" s="58"/>
      <c r="L232" s="6">
        <v>30.0</v>
      </c>
      <c r="M232" s="52" t="s">
        <v>655</v>
      </c>
      <c r="N232" s="53" t="s">
        <v>698</v>
      </c>
      <c r="O232" s="6"/>
      <c r="P232" s="6"/>
      <c r="Q232" s="6"/>
      <c r="R232" s="6"/>
    </row>
    <row r="233">
      <c r="A233" s="31" t="str">
        <f>IFERROR(__xludf.DUMMYFUNCTION("""COMPUTED_VALUE"""),"253д (этап 1.6) ИСКЛЮЧЕН")</f>
        <v>253д (этап 1.6) ИСКЛЮЧЕН</v>
      </c>
      <c r="B233" s="14"/>
      <c r="C233" s="14" t="str">
        <f>IFERROR(__xludf.DUMMYFUNCTION("""COMPUTED_VALUE"""),"УДС")</f>
        <v>УДС</v>
      </c>
      <c r="D233" s="15"/>
      <c r="E233" s="14" t="str">
        <f>IFERROR(__xludf.DUMMYFUNCTION("""COMPUTED_VALUE"""),"Транспортная развязка на пересечении МКАД с Алтуфьевским ш. Этап 1.6. г. Москва, Алтуфьевское ш. (СВАО, М.О.)")</f>
        <v>Транспортная развязка на пересечении МКАД с Алтуфьевским ш. Этап 1.6. г. Москва, Алтуфьевское ш. (СВАО, М.О.)</v>
      </c>
      <c r="F233" s="25" t="str">
        <f>IFERROR(__xludf.DUMMYFUNCTION("""COMPUTED_VALUE"""),"#N/A")</f>
        <v>#N/A</v>
      </c>
      <c r="G233" s="6" t="str">
        <f>IFERROR(__xludf.DUMMYFUNCTION("""COMPUTED_VALUE"""),"#N/A")</f>
        <v>#N/A</v>
      </c>
      <c r="H233" s="6"/>
      <c r="I233" s="6"/>
      <c r="J233" s="50"/>
      <c r="K233" s="58"/>
      <c r="L233" s="6">
        <v>30.0</v>
      </c>
      <c r="M233" s="52" t="s">
        <v>655</v>
      </c>
      <c r="N233" s="53" t="s">
        <v>698</v>
      </c>
      <c r="O233" s="6"/>
      <c r="P233" s="6"/>
      <c r="Q233" s="6"/>
      <c r="R233" s="6"/>
    </row>
    <row r="234">
      <c r="A234" s="31" t="str">
        <f>IFERROR(__xludf.DUMMYFUNCTION("""COMPUTED_VALUE"""),"253д (этап 2.1)")</f>
        <v>253д (этап 2.1)</v>
      </c>
      <c r="B234" s="14"/>
      <c r="C234" s="14" t="str">
        <f>IFERROR(__xludf.DUMMYFUNCTION("""COMPUTED_VALUE"""),"УДС")</f>
        <v>УДС</v>
      </c>
      <c r="D234" s="15"/>
      <c r="E234" s="14" t="str">
        <f>IFERROR(__xludf.DUMMYFUNCTION("""COMPUTED_VALUE"""),"Транспортная развязка на пересечении МКАД с Алтуфьевским ш. Этап 2.1. г. Москва, Алтуфьевское ш. (СВАО, М.О.)")</f>
        <v>Транспортная развязка на пересечении МКАД с Алтуфьевским ш. Этап 2.1. г. Москва, Алтуфьевское ш. (СВАО, М.О.)</v>
      </c>
      <c r="F234" s="25" t="str">
        <f>IFERROR(__xludf.DUMMYFUNCTION("""COMPUTED_VALUE"""),"#N/A")</f>
        <v>#N/A</v>
      </c>
      <c r="G234" s="6" t="str">
        <f>IFERROR(__xludf.DUMMYFUNCTION("""COMPUTED_VALUE"""),"#N/A")</f>
        <v>#N/A</v>
      </c>
      <c r="H234" s="6"/>
      <c r="I234" s="6"/>
      <c r="J234" s="50"/>
      <c r="K234" s="58"/>
      <c r="L234" s="6">
        <v>30.0</v>
      </c>
      <c r="M234" s="52" t="s">
        <v>655</v>
      </c>
      <c r="N234" s="53" t="s">
        <v>698</v>
      </c>
      <c r="O234" s="6"/>
      <c r="P234" s="6"/>
      <c r="Q234" s="6"/>
      <c r="R234" s="6"/>
    </row>
    <row r="235">
      <c r="A235" s="31" t="str">
        <f>IFERROR(__xludf.DUMMYFUNCTION("""COMPUTED_VALUE"""),"253д (этап 2.2)")</f>
        <v>253д (этап 2.2)</v>
      </c>
      <c r="B235" s="14"/>
      <c r="C235" s="14" t="str">
        <f>IFERROR(__xludf.DUMMYFUNCTION("""COMPUTED_VALUE"""),"УДС")</f>
        <v>УДС</v>
      </c>
      <c r="D235" s="15"/>
      <c r="E235" s="14" t="str">
        <f>IFERROR(__xludf.DUMMYFUNCTION("""COMPUTED_VALUE"""),"Транспортная развязка на пересечении МКАД с Алтуфьевским ш. Этап 2.2. г. Москва, Алтуфьевское ш. (СВАО, М.О.)")</f>
        <v>Транспортная развязка на пересечении МКАД с Алтуфьевским ш. Этап 2.2. г. Москва, Алтуфьевское ш. (СВАО, М.О.)</v>
      </c>
      <c r="F235" s="25" t="str">
        <f>IFERROR(__xludf.DUMMYFUNCTION("""COMPUTED_VALUE"""),"#N/A")</f>
        <v>#N/A</v>
      </c>
      <c r="G235" s="6" t="str">
        <f>IFERROR(__xludf.DUMMYFUNCTION("""COMPUTED_VALUE"""),"#N/A")</f>
        <v>#N/A</v>
      </c>
      <c r="H235" s="6"/>
      <c r="I235" s="6"/>
      <c r="J235" s="50"/>
      <c r="K235" s="58"/>
      <c r="L235" s="6">
        <v>30.0</v>
      </c>
      <c r="M235" s="52" t="s">
        <v>655</v>
      </c>
      <c r="N235" s="53" t="s">
        <v>698</v>
      </c>
      <c r="O235" s="6"/>
      <c r="P235" s="6"/>
      <c r="Q235" s="6"/>
      <c r="R235" s="6"/>
    </row>
    <row r="236">
      <c r="A236" s="31" t="str">
        <f>IFERROR(__xludf.DUMMYFUNCTION("""COMPUTED_VALUE"""),"391д (сводный)")</f>
        <v>391д (сводный)</v>
      </c>
      <c r="B236" s="14" t="str">
        <f>IFERROR(__xludf.DUMMYFUNCTION("""COMPUTED_VALUE"""),"АИП-25")</f>
        <v>АИП-25</v>
      </c>
      <c r="C236" s="14" t="str">
        <f>IFERROR(__xludf.DUMMYFUNCTION("""COMPUTED_VALUE"""),"УДС")</f>
        <v>УДС</v>
      </c>
      <c r="D236" s="15"/>
      <c r="E236" s="14" t="str">
        <f>IFERROR(__xludf.DUMMYFUNCTION("""COMPUTED_VALUE"""),"Транспортная развязка на пересечении МКАД с Алтуфьевским ш. Инженерная инфраструктура ")</f>
        <v>Транспортная развязка на пересечении МКАД с Алтуфьевским ш. Инженерная инфраструктура </v>
      </c>
      <c r="F236" s="25" t="str">
        <f>IFERROR(__xludf.DUMMYFUNCTION("""COMPUTED_VALUE"""),"#N/A")</f>
        <v>#N/A</v>
      </c>
      <c r="G236" s="6" t="str">
        <f>IFERROR(__xludf.DUMMYFUNCTION("""COMPUTED_VALUE"""),"#N/A")</f>
        <v>#N/A</v>
      </c>
      <c r="H236" s="6"/>
      <c r="I236" s="6"/>
      <c r="J236" s="50"/>
      <c r="K236" s="58"/>
      <c r="L236" s="6">
        <v>30.0</v>
      </c>
      <c r="M236" s="52" t="s">
        <v>655</v>
      </c>
      <c r="N236" s="53" t="s">
        <v>698</v>
      </c>
      <c r="O236" s="6"/>
      <c r="P236" s="6"/>
      <c r="Q236" s="6"/>
      <c r="R236" s="6"/>
    </row>
    <row r="237">
      <c r="A237" s="31" t="str">
        <f>IFERROR(__xludf.DUMMYFUNCTION("""COMPUTED_VALUE"""),"391д (этап 3.1)")</f>
        <v>391д (этап 3.1)</v>
      </c>
      <c r="B237" s="14"/>
      <c r="C237" s="14" t="str">
        <f>IFERROR(__xludf.DUMMYFUNCTION("""COMPUTED_VALUE"""),"УДС")</f>
        <v>УДС</v>
      </c>
      <c r="D237" s="15"/>
      <c r="E237" s="14" t="str">
        <f>IFERROR(__xludf.DUMMYFUNCTION("""COMPUTED_VALUE"""),"Транспортная развязка на пересечении МКАД с Алтуфьевским ш. Этап 3.1. г. Москва, Алтуфьевское ш. (СВАО, М.О.)")</f>
        <v>Транспортная развязка на пересечении МКАД с Алтуфьевским ш. Этап 3.1. г. Москва, Алтуфьевское ш. (СВАО, М.О.)</v>
      </c>
      <c r="F237" s="25" t="str">
        <f>IFERROR(__xludf.DUMMYFUNCTION("""COMPUTED_VALUE"""),"#N/A")</f>
        <v>#N/A</v>
      </c>
      <c r="G237" s="6" t="str">
        <f>IFERROR(__xludf.DUMMYFUNCTION("""COMPUTED_VALUE"""),"#N/A")</f>
        <v>#N/A</v>
      </c>
      <c r="H237" s="6"/>
      <c r="I237" s="6"/>
      <c r="J237" s="50"/>
      <c r="K237" s="58"/>
      <c r="L237" s="6">
        <v>30.0</v>
      </c>
      <c r="M237" s="52" t="s">
        <v>655</v>
      </c>
      <c r="N237" s="53" t="s">
        <v>698</v>
      </c>
      <c r="O237" s="6"/>
      <c r="P237" s="6"/>
      <c r="Q237" s="6"/>
      <c r="R237" s="6"/>
    </row>
    <row r="238">
      <c r="A238" s="31" t="str">
        <f>IFERROR(__xludf.DUMMYFUNCTION("""COMPUTED_VALUE"""),"391д (этап 3.2)")</f>
        <v>391д (этап 3.2)</v>
      </c>
      <c r="B238" s="14"/>
      <c r="C238" s="14" t="str">
        <f>IFERROR(__xludf.DUMMYFUNCTION("""COMPUTED_VALUE"""),"УДС")</f>
        <v>УДС</v>
      </c>
      <c r="D238" s="15"/>
      <c r="E238" s="14" t="str">
        <f>IFERROR(__xludf.DUMMYFUNCTION("""COMPUTED_VALUE"""),"Транспортная развязка на пересечении МКАД с Алтуфьевским ш. Этап 3.2. г. Москва, Алтуфьевское ш. (СВАО, М.О.)")</f>
        <v>Транспортная развязка на пересечении МКАД с Алтуфьевским ш. Этап 3.2. г. Москва, Алтуфьевское ш. (СВАО, М.О.)</v>
      </c>
      <c r="F238" s="25" t="str">
        <f>IFERROR(__xludf.DUMMYFUNCTION("""COMPUTED_VALUE"""),"#N/A")</f>
        <v>#N/A</v>
      </c>
      <c r="G238" s="6" t="str">
        <f>IFERROR(__xludf.DUMMYFUNCTION("""COMPUTED_VALUE"""),"#N/A")</f>
        <v>#N/A</v>
      </c>
      <c r="H238" s="6"/>
      <c r="I238" s="6"/>
      <c r="J238" s="50"/>
      <c r="K238" s="58"/>
      <c r="L238" s="6">
        <v>30.0</v>
      </c>
      <c r="M238" s="52" t="s">
        <v>655</v>
      </c>
      <c r="N238" s="53" t="s">
        <v>698</v>
      </c>
      <c r="O238" s="6"/>
      <c r="P238" s="6"/>
      <c r="Q238" s="6"/>
      <c r="R238" s="6"/>
    </row>
    <row r="239">
      <c r="A239" s="31" t="str">
        <f>IFERROR(__xludf.DUMMYFUNCTION("""COMPUTED_VALUE"""),"1124 (этап 1.1)")</f>
        <v>1124 (этап 1.1)</v>
      </c>
      <c r="B239" s="14" t="str">
        <f>IFERROR(__xludf.DUMMYFUNCTION("""COMPUTED_VALUE"""),"АИП-25")</f>
        <v>АИП-25</v>
      </c>
      <c r="C239" s="14" t="str">
        <f>IFERROR(__xludf.DUMMYFUNCTION("""COMPUTED_VALUE"""),"УДС")</f>
        <v>УДС</v>
      </c>
      <c r="D239" s="15"/>
      <c r="E239" s="14" t="str">
        <f>IFERROR(__xludf.DUMMYFUNCTION("""COMPUTED_VALUE"""),"Технологическая часть ТПУ на станции метро ""Лухмановская"". 
 Этап 1.1 г. Москва, м. ""Лухмановская""")</f>
        <v>Технологическая часть ТПУ на станции метро "Лухмановская". 
 Этап 1.1 г. Москва, м. "Лухмановская"</v>
      </c>
      <c r="F239" s="25" t="str">
        <f>IFERROR(__xludf.DUMMYFUNCTION("""COMPUTED_VALUE"""),"#N/A")</f>
        <v>#N/A</v>
      </c>
      <c r="G239" s="6" t="str">
        <f>IFERROR(__xludf.DUMMYFUNCTION("""COMPUTED_VALUE"""),"#N/A")</f>
        <v>#N/A</v>
      </c>
      <c r="H239" s="18" t="str">
        <f>IFERROR(__xludf.DUMMYFUNCTION("""COMPUTED_VALUE"""),"https://docs.google.com/spreadsheets/d/1jonEGMB3UFHiUZpltF1zURon8gYN7jGSHu-k9t5TXnA/edit?gid=276277917#gid=276277917")</f>
        <v>https://docs.google.com/spreadsheets/d/1jonEGMB3UFHiUZpltF1zURon8gYN7jGSHu-k9t5TXnA/edit?gid=276277917#gid=276277917</v>
      </c>
      <c r="I239"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239" s="50">
        <f>IFERROR(__xludf.DUMMYFUNCTION("""COMPUTED_VALUE"""),77.8045)</f>
        <v>77.8045</v>
      </c>
      <c r="K239" s="58">
        <f>IFERROR(__xludf.DUMMYFUNCTION("""COMPUTED_VALUE"""),45972.0)</f>
        <v>45972</v>
      </c>
      <c r="L239" s="6">
        <v>14.0</v>
      </c>
      <c r="M239" s="52">
        <v>45986.0</v>
      </c>
      <c r="N239" s="53" t="s">
        <v>711</v>
      </c>
      <c r="O239" s="6" t="s">
        <v>669</v>
      </c>
      <c r="P239" s="6"/>
      <c r="Q239" s="6"/>
      <c r="R239" s="6"/>
    </row>
    <row r="240">
      <c r="A240" s="31" t="str">
        <f>IFERROR(__xludf.DUMMYFUNCTION("""COMPUTED_VALUE"""),"1121 (этап 2)")</f>
        <v>1121 (этап 2)</v>
      </c>
      <c r="B240" s="14" t="str">
        <f>IFERROR(__xludf.DUMMYFUNCTION("""COMPUTED_VALUE"""),"АИП-25")</f>
        <v>АИП-25</v>
      </c>
      <c r="C240" s="14" t="str">
        <f>IFERROR(__xludf.DUMMYFUNCTION("""COMPUTED_VALUE"""),"УДС")</f>
        <v>УДС</v>
      </c>
      <c r="D240" s="15"/>
      <c r="E240" s="14" t="str">
        <f>IFERROR(__xludf.DUMMYFUNCTION("""COMPUTED_VALUE"""),"Технологическая часть ТПУ на станции метро ""Лианозово"". Этап 2 ""Подземный пеш. переход через Лианозовский пр-д, подземный пеш. переход через Дубнинскую ул., дополнительный выход из существующего подземного пешеходного перехода к остановочному пункту НГ"&amp;"ПТ со стороны Лианозовского проезда."" ул. Дубнинская, 87, стр. 1")</f>
        <v>Технологическая часть ТПУ на станции метро "Лианозово". Этап 2 "Подземный пеш. переход через Лианозовский пр-д, подземный пеш. переход через Дубнинскую ул., дополнительный выход из существующего подземного пешеходного перехода к остановочному пункту НГПТ со стороны Лианозовского проезда." ул. Дубнинская, 87, стр. 1</v>
      </c>
      <c r="F240" s="25" t="str">
        <f>IFERROR(__xludf.DUMMYFUNCTION("""COMPUTED_VALUE"""),"#N/A")</f>
        <v>#N/A</v>
      </c>
      <c r="G240" s="6" t="str">
        <f>IFERROR(__xludf.DUMMYFUNCTION("""COMPUTED_VALUE"""),"#N/A")</f>
        <v>#N/A</v>
      </c>
      <c r="H240" s="18" t="str">
        <f>IFERROR(__xludf.DUMMYFUNCTION("""COMPUTED_VALUE"""),"https://docs.google.com/spreadsheets/d/1jonEGMB3UFHiUZpltF1zURon8gYN7jGSHu-k9t5TXnA/edit?gid=1312683414#gid=1312683414")</f>
        <v>https://docs.google.com/spreadsheets/d/1jonEGMB3UFHiUZpltF1zURon8gYN7jGSHu-k9t5TXnA/edit?gid=1312683414#gid=1312683414</v>
      </c>
      <c r="I240"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240" s="50">
        <f>IFERROR(__xludf.DUMMYFUNCTION("""COMPUTED_VALUE"""),94.42399250000001)</f>
        <v>94.4239925</v>
      </c>
      <c r="K240" s="58">
        <f>IFERROR(__xludf.DUMMYFUNCTION("""COMPUTED_VALUE"""),45973.0)</f>
        <v>45973</v>
      </c>
      <c r="L240" s="6">
        <v>7.0</v>
      </c>
      <c r="M240" s="52">
        <v>45980.0</v>
      </c>
      <c r="N240" s="53" t="s">
        <v>711</v>
      </c>
      <c r="O240" s="6" t="s">
        <v>669</v>
      </c>
      <c r="P240" s="6"/>
      <c r="Q240" s="6"/>
      <c r="R240" s="6"/>
    </row>
    <row r="241">
      <c r="A241" s="31" t="str">
        <f>IFERROR(__xludf.DUMMYFUNCTION("""COMPUTED_VALUE"""),"326д (сводный)")</f>
        <v>326д (сводный)</v>
      </c>
      <c r="B241" s="14" t="str">
        <f>IFERROR(__xludf.DUMMYFUNCTION("""COMPUTED_VALUE"""),"АИП-25")</f>
        <v>АИП-25</v>
      </c>
      <c r="C241" s="14" t="str">
        <f>IFERROR(__xludf.DUMMYFUNCTION("""COMPUTED_VALUE"""),"УДС")</f>
        <v>УДС</v>
      </c>
      <c r="D241" s="15"/>
      <c r="E241"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1.3.2, 1.3.3, 1.5, 1.6.1, 1.6.2, 1.6.3 ")</f>
        <v>Транспортная развязка и мостовые сооружения на территории Мневниковской поймы с примыканием к Северо-Западной хорде Этапы 1.3.2, 1.3.3, 1.5, 1.6.1, 1.6.2, 1.6.3 </v>
      </c>
      <c r="F241" s="25" t="str">
        <f>IFERROR(__xludf.DUMMYFUNCTION("""COMPUTED_VALUE"""),"#N/A")</f>
        <v>#N/A</v>
      </c>
      <c r="G241" s="6" t="str">
        <f>IFERROR(__xludf.DUMMYFUNCTION("""COMPUTED_VALUE"""),"#N/A")</f>
        <v>#N/A</v>
      </c>
      <c r="H241" s="6"/>
      <c r="I241" s="6"/>
      <c r="J241" s="50"/>
      <c r="K241" s="58"/>
      <c r="L241" s="6">
        <v>30.0</v>
      </c>
      <c r="M241" s="52" t="s">
        <v>655</v>
      </c>
      <c r="N241" s="53" t="s">
        <v>698</v>
      </c>
      <c r="O241" s="6"/>
      <c r="P241" s="6"/>
      <c r="Q241" s="6"/>
      <c r="R241" s="6"/>
    </row>
    <row r="242">
      <c r="A242" s="31" t="str">
        <f>IFERROR(__xludf.DUMMYFUNCTION("""COMPUTED_VALUE"""),"326д (этап 1.3.2)")</f>
        <v>326д (этап 1.3.2)</v>
      </c>
      <c r="B242" s="14"/>
      <c r="C242" s="14" t="str">
        <f>IFERROR(__xludf.DUMMYFUNCTION("""COMPUTED_VALUE"""),"УДС")</f>
        <v>УДС</v>
      </c>
      <c r="D242" s="15"/>
      <c r="E242"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1.3.2 Мневниковская пойма")</f>
        <v>Транспортная развязка и мостовые сооружения на территории Мневниковской поймы с примыканием к Северо-Западной хорде. 
 Этапы 1.3.2 Мневниковская пойма</v>
      </c>
      <c r="F242" s="25" t="str">
        <f>IFERROR(__xludf.DUMMYFUNCTION("""COMPUTED_VALUE"""),"#N/A")</f>
        <v>#N/A</v>
      </c>
      <c r="G242" s="6" t="str">
        <f>IFERROR(__xludf.DUMMYFUNCTION("""COMPUTED_VALUE"""),"#N/A")</f>
        <v>#N/A</v>
      </c>
      <c r="H242" s="6"/>
      <c r="I242" s="6"/>
      <c r="J242" s="50"/>
      <c r="K242" s="58"/>
      <c r="L242" s="6">
        <v>30.0</v>
      </c>
      <c r="M242" s="52" t="s">
        <v>655</v>
      </c>
      <c r="N242" s="53" t="s">
        <v>698</v>
      </c>
      <c r="O242" s="6" t="s">
        <v>798</v>
      </c>
      <c r="P242" s="6"/>
      <c r="Q242" s="6"/>
      <c r="R242" s="6"/>
    </row>
    <row r="243">
      <c r="A243" s="31" t="str">
        <f>IFERROR(__xludf.DUMMYFUNCTION("""COMPUTED_VALUE"""),"326д (этап 1.6.2)")</f>
        <v>326д (этап 1.6.2)</v>
      </c>
      <c r="B243" s="14"/>
      <c r="C243" s="14" t="str">
        <f>IFERROR(__xludf.DUMMYFUNCTION("""COMPUTED_VALUE"""),"УДС")</f>
        <v>УДС</v>
      </c>
      <c r="D243" s="15"/>
      <c r="E243"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1.6.2 Мневниковская пойма")</f>
        <v>Транспортная развязка и мостовые сооружения на территории Мневниковской поймы с примыканием к Северо-Западной хорде. 
 Этапы 1.6.2 Мневниковская пойма</v>
      </c>
      <c r="F243" s="25" t="str">
        <f>IFERROR(__xludf.DUMMYFUNCTION("""COMPUTED_VALUE"""),"#N/A")</f>
        <v>#N/A</v>
      </c>
      <c r="G243" s="6" t="str">
        <f>IFERROR(__xludf.DUMMYFUNCTION("""COMPUTED_VALUE"""),"#N/A")</f>
        <v>#N/A</v>
      </c>
      <c r="H243" s="6"/>
      <c r="I243" s="6"/>
      <c r="J243" s="50"/>
      <c r="K243" s="58"/>
      <c r="L243" s="6">
        <v>30.0</v>
      </c>
      <c r="M243" s="52" t="s">
        <v>655</v>
      </c>
      <c r="N243" s="53" t="s">
        <v>698</v>
      </c>
      <c r="O243" s="6" t="s">
        <v>798</v>
      </c>
      <c r="P243" s="6"/>
      <c r="Q243" s="6"/>
      <c r="R243" s="6"/>
    </row>
    <row r="244">
      <c r="A244" s="31" t="str">
        <f>IFERROR(__xludf.DUMMYFUNCTION("""COMPUTED_VALUE"""),"326д (этап 1.6.3)")</f>
        <v>326д (этап 1.6.3)</v>
      </c>
      <c r="B244" s="14"/>
      <c r="C244" s="14" t="str">
        <f>IFERROR(__xludf.DUMMYFUNCTION("""COMPUTED_VALUE"""),"УДС")</f>
        <v>УДС</v>
      </c>
      <c r="D244" s="15"/>
      <c r="E244"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1.6.3 Мневниковская пойма")</f>
        <v>Транспортная развязка и мостовые сооружения на территории Мневниковской поймы с примыканием к Северо-Западной хорде. 
 Этапы 1.6.3 Мневниковская пойма</v>
      </c>
      <c r="F244" s="25" t="str">
        <f>IFERROR(__xludf.DUMMYFUNCTION("""COMPUTED_VALUE"""),"#N/A")</f>
        <v>#N/A</v>
      </c>
      <c r="G244" s="6" t="str">
        <f>IFERROR(__xludf.DUMMYFUNCTION("""COMPUTED_VALUE"""),"#N/A")</f>
        <v>#N/A</v>
      </c>
      <c r="H244" s="6"/>
      <c r="I244" s="6"/>
      <c r="J244" s="50"/>
      <c r="K244" s="58"/>
      <c r="L244" s="6">
        <v>30.0</v>
      </c>
      <c r="M244" s="52" t="s">
        <v>655</v>
      </c>
      <c r="N244" s="53" t="s">
        <v>698</v>
      </c>
      <c r="O244" s="6" t="s">
        <v>799</v>
      </c>
      <c r="P244" s="6"/>
      <c r="Q244" s="6"/>
      <c r="R244" s="6"/>
    </row>
    <row r="245">
      <c r="A245" s="31" t="str">
        <f>IFERROR(__xludf.DUMMYFUNCTION("""COMPUTED_VALUE"""),"367д (этап 1.5)")</f>
        <v>367д (этап 1.5)</v>
      </c>
      <c r="B245" s="14"/>
      <c r="C245" s="14" t="str">
        <f>IFERROR(__xludf.DUMMYFUNCTION("""COMPUTED_VALUE"""),"УДС")</f>
        <v>УДС</v>
      </c>
      <c r="D245" s="15"/>
      <c r="E245"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1.5 Мневниковская пойма")</f>
        <v>Транспортная развязка и мостовые сооружения на территории Мневниковской поймы с примыканием к Северо-Западной хорде. 
 Этапы 1.5 Мневниковская пойма</v>
      </c>
      <c r="F245" s="25" t="str">
        <f>IFERROR(__xludf.DUMMYFUNCTION("""COMPUTED_VALUE"""),"#N/A")</f>
        <v>#N/A</v>
      </c>
      <c r="G245" s="6" t="str">
        <f>IFERROR(__xludf.DUMMYFUNCTION("""COMPUTED_VALUE"""),"#N/A")</f>
        <v>#N/A</v>
      </c>
      <c r="H245" s="6"/>
      <c r="I245" s="6"/>
      <c r="J245" s="50"/>
      <c r="K245" s="58"/>
      <c r="L245" s="6">
        <v>30.0</v>
      </c>
      <c r="M245" s="52" t="s">
        <v>655</v>
      </c>
      <c r="N245" s="53" t="s">
        <v>698</v>
      </c>
      <c r="O245" s="6" t="s">
        <v>798</v>
      </c>
      <c r="P245" s="6"/>
      <c r="Q245" s="6"/>
      <c r="R245" s="6"/>
    </row>
    <row r="246">
      <c r="A246" s="31" t="str">
        <f>IFERROR(__xludf.DUMMYFUNCTION("""COMPUTED_VALUE"""),"369д (этап 1.3.3)")</f>
        <v>369д (этап 1.3.3)</v>
      </c>
      <c r="B246" s="14"/>
      <c r="C246" s="14" t="str">
        <f>IFERROR(__xludf.DUMMYFUNCTION("""COMPUTED_VALUE"""),"УДС")</f>
        <v>УДС</v>
      </c>
      <c r="D246" s="15"/>
      <c r="E246"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1.3.3 Мневниковская пойма")</f>
        <v>Транспортная развязка и мостовые сооружения на территории Мневниковской поймы с примыканием к Северо-Западной хорде. 
 Этапы 1.3.3 Мневниковская пойма</v>
      </c>
      <c r="F246" s="25" t="str">
        <f>IFERROR(__xludf.DUMMYFUNCTION("""COMPUTED_VALUE"""),"#N/A")</f>
        <v>#N/A</v>
      </c>
      <c r="G246" s="6" t="str">
        <f>IFERROR(__xludf.DUMMYFUNCTION("""COMPUTED_VALUE"""),"#N/A")</f>
        <v>#N/A</v>
      </c>
      <c r="H246" s="6"/>
      <c r="I246" s="6"/>
      <c r="J246" s="50"/>
      <c r="K246" s="58"/>
      <c r="L246" s="6">
        <v>30.0</v>
      </c>
      <c r="M246" s="52" t="s">
        <v>655</v>
      </c>
      <c r="N246" s="53" t="s">
        <v>698</v>
      </c>
      <c r="O246" s="6" t="s">
        <v>800</v>
      </c>
      <c r="P246" s="6"/>
      <c r="Q246" s="6"/>
      <c r="R246" s="6"/>
    </row>
    <row r="247">
      <c r="A247" s="31" t="str">
        <f>IFERROR(__xludf.DUMMYFUNCTION("""COMPUTED_VALUE"""),"369д (этап 1.6.1)")</f>
        <v>369д (этап 1.6.1)</v>
      </c>
      <c r="B247" s="14"/>
      <c r="C247" s="14" t="str">
        <f>IFERROR(__xludf.DUMMYFUNCTION("""COMPUTED_VALUE"""),"УДС")</f>
        <v>УДС</v>
      </c>
      <c r="D247" s="15"/>
      <c r="E247"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1.6.1 Мневниковская пойма")</f>
        <v>Транспортная развязка и мостовые сооружения на территории Мневниковской поймы с примыканием к Северо-Западной хорде. 
 Этапы 1.6.1 Мневниковская пойма</v>
      </c>
      <c r="F247" s="25" t="str">
        <f>IFERROR(__xludf.DUMMYFUNCTION("""COMPUTED_VALUE"""),"#N/A")</f>
        <v>#N/A</v>
      </c>
      <c r="G247" s="6" t="str">
        <f>IFERROR(__xludf.DUMMYFUNCTION("""COMPUTED_VALUE"""),"#N/A")</f>
        <v>#N/A</v>
      </c>
      <c r="H247" s="6"/>
      <c r="I247" s="6"/>
      <c r="J247" s="50"/>
      <c r="K247" s="58"/>
      <c r="L247" s="6">
        <v>30.0</v>
      </c>
      <c r="M247" s="52" t="s">
        <v>655</v>
      </c>
      <c r="N247" s="53" t="s">
        <v>698</v>
      </c>
      <c r="O247" s="6" t="s">
        <v>800</v>
      </c>
      <c r="P247" s="6"/>
      <c r="Q247" s="6"/>
      <c r="R247" s="6"/>
    </row>
    <row r="248">
      <c r="A248" s="31" t="str">
        <f>IFERROR(__xludf.DUMMYFUNCTION("""COMPUTED_VALUE"""),"198")</f>
        <v>198</v>
      </c>
      <c r="B248" s="14" t="str">
        <f>IFERROR(__xludf.DUMMYFUNCTION("""COMPUTED_VALUE"""),"АИП-25")</f>
        <v>АИП-25</v>
      </c>
      <c r="C248" s="14" t="str">
        <f>IFERROR(__xludf.DUMMYFUNCTION("""COMPUTED_VALUE"""),"ОКС")</f>
        <v>ОКС</v>
      </c>
      <c r="D248" s="15"/>
      <c r="E248" s="14" t="str">
        <f>IFERROR(__xludf.DUMMYFUNCTION("""COMPUTED_VALUE"""),"Реконструкция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f>
        <v>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v>
      </c>
      <c r="F248" s="25" t="str">
        <f>IFERROR(__xludf.DUMMYFUNCTION("""COMPUTED_VALUE"""),"55.500902")</f>
        <v>55.500902</v>
      </c>
      <c r="G248" s="6" t="str">
        <f>IFERROR(__xludf.DUMMYFUNCTION("""COMPUTED_VALUE""")," 37.306494")</f>
        <v> 37.306494</v>
      </c>
      <c r="H248" s="18" t="str">
        <f>IFERROR(__xludf.DUMMYFUNCTION("""COMPUTED_VALUE"""),"https://docs.google.com/spreadsheets/d/19THEBTE9q0fhN2eApZr6BgenIvLGh0AckaYxHQfHk5w/edit?gid=2126809757#gid=2126809757")</f>
        <v>https://docs.google.com/spreadsheets/d/19THEBTE9q0fhN2eApZr6BgenIvLGh0AckaYxHQfHk5w/edit?gid=2126809757#gid=2126809757</v>
      </c>
      <c r="I248" s="19" t="str">
        <f>IFERROR(__xludf.DUMMYFUNCTION("""COMPUTED_VALUE"""),"https://disk.yandex.ru/client/disk/Осмотры%20объектов%20АНО%20СМГ/198.%20РЦИ%20ул.%20Теннисная%202")</f>
        <v>https://disk.yandex.ru/client/disk/Осмотры%20объектов%20АНО%20СМГ/198.%20РЦИ%20ул.%20Теннисная%202</v>
      </c>
      <c r="J248" s="50">
        <f>IFERROR(__xludf.DUMMYFUNCTION("""COMPUTED_VALUE"""),0.0)</f>
        <v>0</v>
      </c>
      <c r="K248" s="58">
        <f>IFERROR(__xludf.DUMMYFUNCTION("""COMPUTED_VALUE"""),45972.0)</f>
        <v>45972</v>
      </c>
      <c r="L248" s="6">
        <v>30.0</v>
      </c>
      <c r="M248" s="52">
        <v>46002.0</v>
      </c>
      <c r="N248" s="53" t="s">
        <v>711</v>
      </c>
      <c r="O248" s="19" t="s">
        <v>801</v>
      </c>
      <c r="P248" s="6"/>
      <c r="Q248" s="6"/>
      <c r="R248" s="6"/>
    </row>
    <row r="249">
      <c r="A249" s="31" t="str">
        <f>IFERROR(__xludf.DUMMYFUNCTION("""COMPUTED_VALUE"""),"257д")</f>
        <v>257д</v>
      </c>
      <c r="B249" s="14" t="str">
        <f>IFERROR(__xludf.DUMMYFUNCTION("""COMPUTED_VALUE"""),"АИП-25")</f>
        <v>АИП-25</v>
      </c>
      <c r="C249" s="14" t="str">
        <f>IFERROR(__xludf.DUMMYFUNCTION("""COMPUTED_VALUE"""),"УДС")</f>
        <v>УДС</v>
      </c>
      <c r="D249" s="15"/>
      <c r="E249" s="14" t="str">
        <f>IFERROR(__xludf.DUMMYFUNCTION("""COMPUTED_VALUE"""),"Строительство мостового сооружения через р. Москва в створе Берегового пр-да с реконструкцией прилегающей улично-дорожной сети от ул. Новозаводская до 3-я Магистральная ул. (Открытие моста через р. Москву, соединяющего Береговой проезд с Шелепихинским шос"&amp;"се,) Ул. Новозаводская - 3-я Магистральная ул.")</f>
        <v>Строительство мостового сооружения через р. Москва в створе Берегового пр-да с реконструкцией прилегающей улично-дорожной сети от ул. Новозаводская до 3-я Магистральная ул. (Открытие моста через р. Москву, соединяющего Береговой проезд с Шелепихинским шоссе,) Ул. Новозаводская - 3-я Магистральная ул.</v>
      </c>
      <c r="F249" s="25" t="str">
        <f>IFERROR(__xludf.DUMMYFUNCTION("""COMPUTED_VALUE"""),"#N/A")</f>
        <v>#N/A</v>
      </c>
      <c r="G249" s="6" t="str">
        <f>IFERROR(__xludf.DUMMYFUNCTION("""COMPUTED_VALUE"""),"#N/A")</f>
        <v>#N/A</v>
      </c>
      <c r="H249" s="6"/>
      <c r="I249" s="6"/>
      <c r="J249" s="50">
        <f>IFERROR(__xludf.DUMMYFUNCTION("""COMPUTED_VALUE"""),97.90730225988702)</f>
        <v>97.90730226</v>
      </c>
      <c r="K249" s="58">
        <f>IFERROR(__xludf.DUMMYFUNCTION("""COMPUTED_VALUE"""),45974.0)</f>
        <v>45974</v>
      </c>
      <c r="L249" s="6">
        <v>7.0</v>
      </c>
      <c r="M249" s="52">
        <v>45981.0</v>
      </c>
      <c r="N249" s="53" t="s">
        <v>652</v>
      </c>
      <c r="O249" s="6" t="s">
        <v>802</v>
      </c>
      <c r="P249" s="6"/>
      <c r="Q249" s="6"/>
      <c r="R249" s="6"/>
    </row>
    <row r="250">
      <c r="A250" s="31" t="str">
        <f>IFERROR(__xludf.DUMMYFUNCTION("""COMPUTED_VALUE"""),"386д (этап 1.2)")</f>
        <v>386д (этап 1.2)</v>
      </c>
      <c r="B250" s="14" t="str">
        <f>IFERROR(__xludf.DUMMYFUNCTION("""COMPUTED_VALUE"""),"АИП-25")</f>
        <v>АИП-25</v>
      </c>
      <c r="C250" s="14" t="str">
        <f>IFERROR(__xludf.DUMMYFUNCTION("""COMPUTED_VALUE"""),"УДС")</f>
        <v>УДС</v>
      </c>
      <c r="D250" s="15"/>
      <c r="E250" s="14" t="str">
        <f>IFERROR(__xludf.DUMMYFUNCTION("""COMPUTED_VALUE"""),"Улично-дорожная сеть в промышленной зоне ""Руднево"". Очистное сооружение, Инженерные коммуникации, Отстойно-разворотная площадка 1.2 г. Москва, д. Руднево (ВАО, ЮВАО)")</f>
        <v>Улично-дорожная сеть в промышленной зоне "Руднево". Очистное сооружение, Инженерные коммуникации, Отстойно-разворотная площадка 1.2 г. Москва, д. Руднево (ВАО, ЮВАО)</v>
      </c>
      <c r="F250" s="25" t="str">
        <f>IFERROR(__xludf.DUMMYFUNCTION("""COMPUTED_VALUE"""),"#N/A")</f>
        <v>#N/A</v>
      </c>
      <c r="G250" s="6" t="str">
        <f>IFERROR(__xludf.DUMMYFUNCTION("""COMPUTED_VALUE"""),"#N/A")</f>
        <v>#N/A</v>
      </c>
      <c r="H250" s="6"/>
      <c r="I250" s="6"/>
      <c r="J250" s="50">
        <f>IFERROR(__xludf.DUMMYFUNCTION("""COMPUTED_VALUE"""),100.0)</f>
        <v>100</v>
      </c>
      <c r="K250" s="58">
        <f>IFERROR(__xludf.DUMMYFUNCTION("""COMPUTED_VALUE"""),45957.0)</f>
        <v>45957</v>
      </c>
      <c r="L250" s="6" t="s">
        <v>654</v>
      </c>
      <c r="M250" s="52" t="s">
        <v>655</v>
      </c>
      <c r="N250" s="53" t="s">
        <v>656</v>
      </c>
      <c r="O250" s="6" t="s">
        <v>803</v>
      </c>
      <c r="P250" s="6"/>
      <c r="Q250" s="6"/>
      <c r="R250" s="6"/>
    </row>
    <row r="251">
      <c r="A251" s="31" t="str">
        <f>IFERROR(__xludf.DUMMYFUNCTION("""COMPUTED_VALUE"""),"386д (этап 1.3)")</f>
        <v>386д (этап 1.3)</v>
      </c>
      <c r="B251" s="14" t="str">
        <f>IFERROR(__xludf.DUMMYFUNCTION("""COMPUTED_VALUE"""),"АИП-25")</f>
        <v>АИП-25</v>
      </c>
      <c r="C251" s="14" t="str">
        <f>IFERROR(__xludf.DUMMYFUNCTION("""COMPUTED_VALUE"""),"УДС")</f>
        <v>УДС</v>
      </c>
      <c r="D251" s="15"/>
      <c r="E251" s="14" t="str">
        <f>IFERROR(__xludf.DUMMYFUNCTION("""COMPUTED_VALUE"""),"Улично-дорожная сеть в промышленной зоне ""Руднево"". Очистное сооружение, Инженерные коммуникации, Отстойно-разворотная площадка 1.3 г. Москва, д. Руднево (ВАО, ЮВАО)")</f>
        <v>Улично-дорожная сеть в промышленной зоне "Руднево". Очистное сооружение, Инженерные коммуникации, Отстойно-разворотная площадка 1.3 г. Москва, д. Руднево (ВАО, ЮВАО)</v>
      </c>
      <c r="F251" s="25" t="str">
        <f>IFERROR(__xludf.DUMMYFUNCTION("""COMPUTED_VALUE"""),"#N/A")</f>
        <v>#N/A</v>
      </c>
      <c r="G251" s="6" t="str">
        <f>IFERROR(__xludf.DUMMYFUNCTION("""COMPUTED_VALUE"""),"#N/A")</f>
        <v>#N/A</v>
      </c>
      <c r="H251" s="6"/>
      <c r="I251" s="6"/>
      <c r="J251" s="50">
        <f>IFERROR(__xludf.DUMMYFUNCTION("""COMPUTED_VALUE"""),100.0)</f>
        <v>100</v>
      </c>
      <c r="K251" s="58">
        <f>IFERROR(__xludf.DUMMYFUNCTION("""COMPUTED_VALUE"""),45957.0)</f>
        <v>45957</v>
      </c>
      <c r="L251" s="6" t="s">
        <v>654</v>
      </c>
      <c r="M251" s="52" t="s">
        <v>655</v>
      </c>
      <c r="N251" s="53" t="s">
        <v>656</v>
      </c>
      <c r="O251" s="6" t="s">
        <v>803</v>
      </c>
      <c r="P251" s="6"/>
      <c r="Q251" s="6"/>
      <c r="R251" s="6"/>
    </row>
    <row r="252">
      <c r="A252" s="70" t="str">
        <f>IFERROR(__xludf.DUMMYFUNCTION("""COMPUTED_VALUE"""),"237")</f>
        <v>237</v>
      </c>
      <c r="B252" s="14" t="str">
        <f>IFERROR(__xludf.DUMMYFUNCTION("""COMPUTED_VALUE"""),"АИП-25")</f>
        <v>АИП-25</v>
      </c>
      <c r="C252" s="14" t="str">
        <f>IFERROR(__xludf.DUMMYFUNCTION("""COMPUTED_VALUE"""),"ОКС")</f>
        <v>ОКС</v>
      </c>
      <c r="D252" s="15"/>
      <c r="E252" s="14" t="str">
        <f>IFERROR(__xludf.DUMMYFUNCTION("""COMPUTED_VALUE"""),"Проектирование и строительство многофункционального комплекса зданий Национального космического центра по адресу: г.Москва, Филевский б-р (ул. Новозаводская) (АДЦ 2) г.Москва, Филевский б-р (ул. Новозаводская)")</f>
        <v>Проектирование и строительство многофункционального комплекса зданий Национального космического центра по адресу: г.Москва, Филевский б-р (ул. Новозаводская) (АДЦ 2) г.Москва, Филевский б-р (ул. Новозаводская)</v>
      </c>
      <c r="F252" s="25" t="str">
        <f>IFERROR(__xludf.DUMMYFUNCTION("""COMPUTED_VALUE"""),"#N/A")</f>
        <v>#N/A</v>
      </c>
      <c r="G252" s="6" t="str">
        <f>IFERROR(__xludf.DUMMYFUNCTION("""COMPUTED_VALUE"""),"#N/A")</f>
        <v>#N/A</v>
      </c>
      <c r="H252" s="18" t="str">
        <f>IFERROR(__xludf.DUMMYFUNCTION("""COMPUTED_VALUE"""),"https://docs.google.com/spreadsheets/d/19THEBTE9q0fhN2eApZr6BgenIvLGh0AckaYxHQfHk5w/edit?gid=1037526455#gid=1037526455")</f>
        <v>https://docs.google.com/spreadsheets/d/19THEBTE9q0fhN2eApZr6BgenIvLGh0AckaYxHQfHk5w/edit?gid=1037526455#gid=1037526455</v>
      </c>
      <c r="I252" s="19" t="str">
        <f>IFERROR(__xludf.DUMMYFUNCTION("""COMPUTED_VALUE"""),"https://disk.yandex.ru/client/disk/Осмотры%20объектов%20АНО%20СМГ/237%2C238%20Космический%20центр%20(1-8)-9-10-11")</f>
        <v>https://disk.yandex.ru/client/disk/Осмотры%20объектов%20АНО%20СМГ/237%2C238%20Космический%20центр%20(1-8)-9-10-11</v>
      </c>
      <c r="J252" s="50">
        <f>IFERROR(__xludf.DUMMYFUNCTION("""COMPUTED_VALUE"""),74.47891625000001)</f>
        <v>74.47891625</v>
      </c>
      <c r="K252" s="58">
        <f>IFERROR(__xludf.DUMMYFUNCTION("""COMPUTED_VALUE"""),45771.0)</f>
        <v>45771</v>
      </c>
      <c r="L252" s="6">
        <v>14.0</v>
      </c>
      <c r="M252" s="52">
        <v>45785.0</v>
      </c>
      <c r="N252" s="53" t="s">
        <v>668</v>
      </c>
      <c r="O252" s="19" t="s">
        <v>669</v>
      </c>
      <c r="P252" s="6"/>
      <c r="Q252" s="6"/>
      <c r="R252" s="6"/>
    </row>
    <row r="253">
      <c r="A253" s="31" t="str">
        <f>IFERROR(__xludf.DUMMYFUNCTION("""COMPUTED_VALUE"""),"1025")</f>
        <v>1025</v>
      </c>
      <c r="B253" s="14" t="str">
        <f>IFERROR(__xludf.DUMMYFUNCTION("""COMPUTED_VALUE"""),"ВНЕ СПИСКА")</f>
        <v>ВНЕ СПИСКА</v>
      </c>
      <c r="C253" s="14" t="str">
        <f>IFERROR(__xludf.DUMMYFUNCTION("""COMPUTED_VALUE"""),"ОКС")</f>
        <v>ОКС</v>
      </c>
      <c r="D253" s="15" t="str">
        <f>IFERROR(__xludf.DUMMYFUNCTION("""COMPUTED_VALUE"""),"да")</f>
        <v>да</v>
      </c>
      <c r="E253" s="14" t="str">
        <f>IFERROR(__xludf.DUMMYFUNCTION("""COMPUTED_VALUE"""),"Осмотр хода строительства делового центра,
ЮЗАО, р-н Гагаринский, ул. Академика Зельдовича, з/у 1 р-н Гагаринский, ул. Академика Зельдовича, з/у 1")</f>
        <v>Осмотр хода строительства делового центра,
ЮЗАО, р-н Гагаринский, ул. Академика Зельдовича, з/у 1 р-н Гагаринский, ул. Академика Зельдовича, з/у 1</v>
      </c>
      <c r="F253" s="25" t="str">
        <f>IFERROR(__xludf.DUMMYFUNCTION("""COMPUTED_VALUE"""),"55.705346")</f>
        <v>55.705346</v>
      </c>
      <c r="G253" s="6" t="str">
        <f>IFERROR(__xludf.DUMMYFUNCTION("""COMPUTED_VALUE"""),"37.564311")</f>
        <v>37.564311</v>
      </c>
      <c r="H253" s="18" t="str">
        <f>IFERROR(__xludf.DUMMYFUNCTION("""COMPUTED_VALUE"""),"https://docs.google.com/spreadsheets/d/1EI7qusa674eJhuaw-nWWtWMEHVSYMQv7HLsInEZTWpE/edit?gid=1593340955#gid=1593340955")</f>
        <v>https://docs.google.com/spreadsheets/d/1EI7qusa674eJhuaw-nWWtWMEHVSYMQv7HLsInEZTWpE/edit?gid=1593340955#gid=1593340955</v>
      </c>
      <c r="I253" s="19" t="str">
        <f>IFERROR(__xludf.DUMMYFUNCTION("""COMPUTED_VALUE"""),"https://disk.yandex.ru/client/disk/Осмотры%20объектов%20АНО%20СМГ/1025.%20Административное%20здание.%20ул.%20Академика%20Зельдовича%2C%20з!у%201")</f>
        <v>https://disk.yandex.ru/client/disk/Осмотры%20объектов%20АНО%20СМГ/1025.%20Административное%20здание.%20ул.%20Академика%20Зельдовича%2C%20з!у%201</v>
      </c>
      <c r="J253" s="50"/>
      <c r="K253" s="58">
        <f>IFERROR(__xludf.DUMMYFUNCTION("""COMPUTED_VALUE"""),45972.0)</f>
        <v>45972</v>
      </c>
      <c r="L253" s="6">
        <v>30.0</v>
      </c>
      <c r="M253" s="52">
        <v>46002.0</v>
      </c>
      <c r="N253" s="53" t="s">
        <v>711</v>
      </c>
      <c r="O253" s="19" t="s">
        <v>804</v>
      </c>
      <c r="P253" s="6"/>
      <c r="Q253" s="6"/>
      <c r="R253" s="6"/>
    </row>
    <row r="254">
      <c r="A254" s="31" t="str">
        <f>IFERROR(__xludf.DUMMYFUNCTION("""COMPUTED_VALUE"""),"231")</f>
        <v>231</v>
      </c>
      <c r="B254" s="14" t="str">
        <f>IFERROR(__xludf.DUMMYFUNCTION("""COMPUTED_VALUE"""),"АИП-26")</f>
        <v>АИП-26</v>
      </c>
      <c r="C254" s="14" t="str">
        <f>IFERROR(__xludf.DUMMYFUNCTION("""COMPUTED_VALUE"""),"ОКС")</f>
        <v>ОКС</v>
      </c>
      <c r="D254" s="15"/>
      <c r="E254" s="14" t="str">
        <f>IFERROR(__xludf.DUMMYFUNCTION("""COMPUTED_VALUE"""),"Реконструкция Центрального Московского ипподрома, САО, Беговой, ул. Беговая, д. 22 Этап 2 г. Москва, ул. Беговая, д. 22")</f>
        <v>Реконструкция Центрального Московского ипподрома, САО, Беговой, ул. Беговая, д. 22 Этап 2 г. Москва, ул. Беговая, д. 22</v>
      </c>
      <c r="F254" s="25" t="str">
        <f>IFERROR(__xludf.DUMMYFUNCTION("""COMPUTED_VALUE"""),"55.777746")</f>
        <v>55.777746</v>
      </c>
      <c r="G254" s="6" t="str">
        <f>IFERROR(__xludf.DUMMYFUNCTION("""COMPUTED_VALUE"""),"37.558642")</f>
        <v>37.558642</v>
      </c>
      <c r="H254" s="6"/>
      <c r="I254" s="19" t="str">
        <f>IFERROR(__xludf.DUMMYFUNCTION("""COMPUTED_VALUE"""),"https://disk.yandex.ru/client/disk/Осмотры%20объектов%20АНО%20СМГ/231.%20Центральный%20Московский%20Ипподром")</f>
        <v>https://disk.yandex.ru/client/disk/Осмотры%20объектов%20АНО%20СМГ/231.%20Центральный%20Московский%20Ипподром</v>
      </c>
      <c r="J254" s="50"/>
      <c r="K254" s="58"/>
      <c r="L254" s="6">
        <v>30.0</v>
      </c>
      <c r="M254" s="52" t="s">
        <v>655</v>
      </c>
      <c r="N254" s="53" t="s">
        <v>698</v>
      </c>
      <c r="O254" s="19" t="s">
        <v>805</v>
      </c>
      <c r="P254" s="6"/>
      <c r="Q254" s="6"/>
      <c r="R254" s="6"/>
    </row>
    <row r="255">
      <c r="A255" s="31" t="str">
        <f>IFERROR(__xludf.DUMMYFUNCTION("""COMPUTED_VALUE"""),"250")</f>
        <v>250</v>
      </c>
      <c r="B255" s="14" t="str">
        <f>IFERROR(__xludf.DUMMYFUNCTION("""COMPUTED_VALUE"""),"АИП-25")</f>
        <v>АИП-25</v>
      </c>
      <c r="C255" s="14" t="str">
        <f>IFERROR(__xludf.DUMMYFUNCTION("""COMPUTED_VALUE"""),"ОКС")</f>
        <v>ОКС</v>
      </c>
      <c r="D255" s="15"/>
      <c r="E255" s="14" t="str">
        <f>IFERROR(__xludf.DUMMYFUNCTION("""COMPUTED_VALUE"""),"Завершение строительства трамплина К-75 (К-72) 
с инфраструктурой на территории СК «Воробьевы горы» район Раменки, Косыгина ул., вл. 28 на территории СК «Воробьевы горы»")</f>
        <v>Завершение строительства трамплина К-75 (К-72) 
с инфраструктурой на территории СК «Воробьевы горы» район Раменки, Косыгина ул., вл. 28 на территории СК «Воробьевы горы»</v>
      </c>
      <c r="F255" s="25" t="str">
        <f>IFERROR(__xludf.DUMMYFUNCTION("""COMPUTED_VALUE"""),"55.707715")</f>
        <v>55.707715</v>
      </c>
      <c r="G255" s="6" t="str">
        <f>IFERROR(__xludf.DUMMYFUNCTION("""COMPUTED_VALUE"""),"37.546762")</f>
        <v>37.546762</v>
      </c>
      <c r="H255" s="18" t="str">
        <f>IFERROR(__xludf.DUMMYFUNCTION("""COMPUTED_VALUE"""),"https://docs.google.com/spreadsheets/d/19THEBTE9q0fhN2eApZr6BgenIvLGh0AckaYxHQfHk5w/edit?gid=1429092860#gid=1429092860")</f>
        <v>https://docs.google.com/spreadsheets/d/19THEBTE9q0fhN2eApZr6BgenIvLGh0AckaYxHQfHk5w/edit?gid=1429092860#gid=1429092860</v>
      </c>
      <c r="I255" s="19"/>
      <c r="J255" s="50">
        <f>IFERROR(__xludf.DUMMYFUNCTION("""COMPUTED_VALUE"""),96.25675)</f>
        <v>96.25675</v>
      </c>
      <c r="K255" s="58">
        <f>IFERROR(__xludf.DUMMYFUNCTION("""COMPUTED_VALUE"""),45971.0)</f>
        <v>45971</v>
      </c>
      <c r="L255" s="6">
        <v>7.0</v>
      </c>
      <c r="M255" s="52">
        <v>45978.0</v>
      </c>
      <c r="N255" s="53" t="s">
        <v>692</v>
      </c>
      <c r="O255" s="19" t="s">
        <v>806</v>
      </c>
      <c r="P255" s="6"/>
      <c r="Q255" s="6"/>
      <c r="R255" s="6"/>
    </row>
    <row r="256">
      <c r="A256" s="31" t="str">
        <f>IFERROR(__xludf.DUMMYFUNCTION("""COMPUTED_VALUE"""),"016")</f>
        <v>016</v>
      </c>
      <c r="B256" s="14" t="str">
        <f>IFERROR(__xludf.DUMMYFUNCTION("""COMPUTED_VALUE"""),"АИП-25")</f>
        <v>АИП-25</v>
      </c>
      <c r="C256" s="14" t="str">
        <f>IFERROR(__xludf.DUMMYFUNCTION("""COMPUTED_VALUE"""),"ОКС")</f>
        <v>ОКС</v>
      </c>
      <c r="D256" s="15"/>
      <c r="E256" s="14" t="str">
        <f>IFERROR(__xludf.DUMMYFUNCTION("""COMPUTED_VALUE"""),"Детско-взрослая поликлиника на 750 посещений в смену с женской консультацией и Центр социального обслуживания, пос. Птичное, ул. Лесная район Филимонковский, пос. Птичное, ул. Лесная, з/у 86Б, 86, 86А")</f>
        <v>Детско-взрослая поликлиника на 750 посещений в смену с женской консультацией и Центр социального обслуживания, пос. Птичное, ул. Лесная район Филимонковский, пос. Птичное, ул. Лесная, з/у 86Б, 86, 86А</v>
      </c>
      <c r="F256" s="25" t="str">
        <f>IFERROR(__xludf.DUMMYFUNCTION("""COMPUTED_VALUE"""),"55.526534")</f>
        <v>55.526534</v>
      </c>
      <c r="G256" s="6" t="str">
        <f>IFERROR(__xludf.DUMMYFUNCTION("""COMPUTED_VALUE"""),"37.214836")</f>
        <v>37.214836</v>
      </c>
      <c r="H256" s="18" t="str">
        <f>IFERROR(__xludf.DUMMYFUNCTION("""COMPUTED_VALUE"""),"https://docs.google.com/spreadsheets/d/19THEBTE9q0fhN2eApZr6BgenIvLGh0AckaYxHQfHk5w/edit?gid=1127401829#gid=1127401829")</f>
        <v>https://docs.google.com/spreadsheets/d/19THEBTE9q0fhN2eApZr6BgenIvLGh0AckaYxHQfHk5w/edit?gid=1127401829#gid=1127401829</v>
      </c>
      <c r="I256" s="21" t="str">
        <f>IFERROR(__xludf.DUMMYFUNCTION("""COMPUTED_VALUE"""),"https://disk.yandex.ru/client/disk/%D0%9E%D1%81%D0%BC%D0%BE%D1%82%D1%80%D1%8B%20%D0%BE%D0%B1%D1%8A%D0%B5%D0%BA%D1%82%D0%BE%D0%B2%20%D0%90%D0%9D%D0%9E%20%D0%A1%D0%9C%D0%93/016.%20%D0%9F%D1%82%D0%B8%D1%87%D0%BD%D0%BE%D0%B5%20%D0%BF%D0%BE%D0%BB%D0%B8%D0%BA%D"&amp;"0%BB%D0%B8%D0%BD%D0%B8%D0%BA%D0%B0%20750")</f>
        <v>https://disk.yandex.ru/client/disk/%D0%9E%D1%81%D0%BC%D0%BE%D1%82%D1%80%D1%8B%20%D0%BE%D0%B1%D1%8A%D0%B5%D0%BA%D1%82%D0%BE%D0%B2%20%D0%90%D0%9D%D0%9E%20%D0%A1%D0%9C%D0%93/016.%20%D0%9F%D1%82%D0%B8%D1%87%D0%BD%D0%BE%D0%B5%20%D0%BF%D0%BE%D0%BB%D0%B8%D0%BA%D0%BB%D0%B8%D0%BD%D0%B8%D0%BA%D0%B0%20750</v>
      </c>
      <c r="J256" s="50">
        <f>IFERROR(__xludf.DUMMYFUNCTION("""COMPUTED_VALUE"""),100.0)</f>
        <v>100</v>
      </c>
      <c r="K256" s="58">
        <f>IFERROR(__xludf.DUMMYFUNCTION("""COMPUTED_VALUE"""),45968.0)</f>
        <v>45968</v>
      </c>
      <c r="L256" s="6" t="s">
        <v>654</v>
      </c>
      <c r="M256" s="52" t="s">
        <v>655</v>
      </c>
      <c r="N256" s="53" t="s">
        <v>656</v>
      </c>
      <c r="O256" s="19" t="s">
        <v>807</v>
      </c>
      <c r="P256" s="6"/>
      <c r="Q256" s="6"/>
      <c r="R256" s="6"/>
    </row>
    <row r="257">
      <c r="A257" s="31" t="str">
        <f>IFERROR(__xludf.DUMMYFUNCTION("""COMPUTED_VALUE"""),"1079")</f>
        <v>1079</v>
      </c>
      <c r="B257" s="14" t="str">
        <f>IFERROR(__xludf.DUMMYFUNCTION("""COMPUTED_VALUE"""),"АИП-25")</f>
        <v>АИП-25</v>
      </c>
      <c r="C257" s="14" t="str">
        <f>IFERROR(__xludf.DUMMYFUNCTION("""COMPUTED_VALUE"""),"ОКС")</f>
        <v>ОКС</v>
      </c>
      <c r="D257" s="15"/>
      <c r="E257" s="14" t="str">
        <f>IFERROR(__xludf.DUMMYFUNCTION("""COMPUTED_VALUE"""),"Реконструкция локальных очистных сооружений г. Троицка г. Москва, г.о.Троицк, Промышленная улица, д.3")</f>
        <v>Реконструкция локальных очистных сооружений г. Троицка г. Москва, г.о.Троицк, Промышленная улица, д.3</v>
      </c>
      <c r="F257" s="25" t="str">
        <f>IFERROR(__xludf.DUMMYFUNCTION("""COMPUTED_VALUE"""),"55.452946")</f>
        <v>55.452946</v>
      </c>
      <c r="G257" s="6" t="str">
        <f>IFERROR(__xludf.DUMMYFUNCTION("""COMPUTED_VALUE"""),"37.273871")</f>
        <v>37.273871</v>
      </c>
      <c r="H257" s="18" t="str">
        <f>IFERROR(__xludf.DUMMYFUNCTION("""COMPUTED_VALUE"""),"https://docs.google.com/spreadsheets/d/19THEBTE9q0fhN2eApZr6BgenIvLGh0AckaYxHQfHk5w/edit?gid=38060356#gid=38060356")</f>
        <v>https://docs.google.com/spreadsheets/d/19THEBTE9q0fhN2eApZr6BgenIvLGh0AckaYxHQfHk5w/edit?gid=38060356#gid=38060356</v>
      </c>
      <c r="I257" s="19" t="str">
        <f>IFERROR(__xludf.DUMMYFUNCTION("""COMPUTED_VALUE"""),"https://disk.yandex.ru/client/disk/Осмотры%20объектов%20АНО%20СМГ/1079.%20Реконструкция%20локальных%20очистных%20сооружений%20г.%20Троицка")</f>
        <v>https://disk.yandex.ru/client/disk/Осмотры%20объектов%20АНО%20СМГ/1079.%20Реконструкция%20локальных%20очистных%20сооружений%20г.%20Троицка</v>
      </c>
      <c r="J257" s="50">
        <f>IFERROR(__xludf.DUMMYFUNCTION("""COMPUTED_VALUE"""),100.0)</f>
        <v>100</v>
      </c>
      <c r="K257" s="58">
        <f>IFERROR(__xludf.DUMMYFUNCTION("""COMPUTED_VALUE"""),45967.0)</f>
        <v>45967</v>
      </c>
      <c r="L257" s="6" t="s">
        <v>654</v>
      </c>
      <c r="M257" s="52" t="s">
        <v>655</v>
      </c>
      <c r="N257" s="53" t="s">
        <v>656</v>
      </c>
      <c r="O257" s="19" t="s">
        <v>808</v>
      </c>
      <c r="P257" s="6"/>
      <c r="Q257" s="6"/>
      <c r="R257" s="6"/>
    </row>
    <row r="258">
      <c r="A258" s="31" t="str">
        <f>IFERROR(__xludf.DUMMYFUNCTION("""COMPUTED_VALUE"""),"185д (сводный)")</f>
        <v>185д (сводный)</v>
      </c>
      <c r="B258" s="14" t="str">
        <f>IFERROR(__xludf.DUMMYFUNCTION("""COMPUTED_VALUE"""),"АИП-25")</f>
        <v>АИП-25</v>
      </c>
      <c r="C258" s="14" t="str">
        <f>IFERROR(__xludf.DUMMYFUNCTION("""COMPUTED_VALUE"""),"УДС")</f>
        <v>УДС</v>
      </c>
      <c r="D258" s="15"/>
      <c r="E258" s="14" t="str">
        <f>IFERROR(__xludf.DUMMYFUNCTION("""COMPUTED_VALUE"""),"Инженерная и транспортная инфраструктура ММДЦ ""Москва-Сити"". 1 этап. Этап 1.1, Этап 1.2, Этап 1.4, Этап 1.5, Этап 1.6. Этап 1.7. Этап 1.1.1. , Этап 1.1.2. , Этап 1.1.3., Этап 1.2. Этап 1.4.1., Этап 1.4.2. ,Этап 1.5., Этап 1.6.1. , Этап 1.6.2. , Этап 1.3"&amp;".1.,Этап 1.3.2. , Этап 1.3.3. ")</f>
        <v>Инженерная и транспортная инфраструктура ММДЦ "Москва-Сити". 1 этап. Этап 1.1, Этап 1.2, Этап 1.4, Этап 1.5, Этап 1.6. Этап 1.7. Этап 1.1.1. , Этап 1.1.2. , Этап 1.1.3., Этап 1.2. Этап 1.4.1., Этап 1.4.2. ,Этап 1.5., Этап 1.6.1. , Этап 1.6.2. , Этап 1.3.1.,Этап 1.3.2. , Этап 1.3.3. </v>
      </c>
      <c r="F258" s="25" t="str">
        <f>IFERROR(__xludf.DUMMYFUNCTION("""COMPUTED_VALUE"""),"#N/A")</f>
        <v>#N/A</v>
      </c>
      <c r="G258" s="6" t="str">
        <f>IFERROR(__xludf.DUMMYFUNCTION("""COMPUTED_VALUE"""),"#N/A")</f>
        <v>#N/A</v>
      </c>
      <c r="H258" s="6"/>
      <c r="I258" s="6"/>
      <c r="J258" s="50"/>
      <c r="K258" s="58"/>
      <c r="L258" s="6">
        <v>30.0</v>
      </c>
      <c r="M258" s="52" t="s">
        <v>655</v>
      </c>
      <c r="N258" s="53" t="s">
        <v>698</v>
      </c>
      <c r="O258" s="6"/>
      <c r="P258" s="6"/>
      <c r="Q258" s="6"/>
      <c r="R258" s="6"/>
    </row>
    <row r="259">
      <c r="A259" s="31" t="str">
        <f>IFERROR(__xludf.DUMMYFUNCTION("""COMPUTED_VALUE"""),"НД")</f>
        <v>НД</v>
      </c>
      <c r="B259" s="14" t="str">
        <f>IFERROR(__xludf.DUMMYFUNCTION("""COMPUTED_VALUE"""),"АИП-25")</f>
        <v>АИП-25</v>
      </c>
      <c r="C259" s="14" t="str">
        <f>IFERROR(__xludf.DUMMYFUNCTION("""COMPUTED_VALUE"""),"УДС")</f>
        <v>УДС</v>
      </c>
      <c r="D259" s="15"/>
      <c r="E259" s="14" t="str">
        <f>IFERROR(__xludf.DUMMYFUNCTION("""COMPUTED_VALUE"""),"Инженерная и транспортная инфраструктура ММДЦ ""Москва-Сити"". 1 этап. Этап 1.1. Ппресненская наб, 2-ой Красногвардейский пр-д")</f>
        <v>Инженерная и транспортная инфраструктура ММДЦ "Москва-Сити". 1 этап. Этап 1.1. Ппресненская наб, 2-ой Красногвардейский пр-д</v>
      </c>
      <c r="F259" s="25" t="str">
        <f>IFERROR(__xludf.DUMMYFUNCTION("""COMPUTED_VALUE"""),"#N/A")</f>
        <v>#N/A</v>
      </c>
      <c r="G259" s="6" t="str">
        <f>IFERROR(__xludf.DUMMYFUNCTION("""COMPUTED_VALUE"""),"#N/A")</f>
        <v>#N/A</v>
      </c>
      <c r="H259" s="6"/>
      <c r="I259" s="6"/>
      <c r="J259" s="50"/>
      <c r="K259" s="58"/>
      <c r="L259" s="6">
        <v>30.0</v>
      </c>
      <c r="M259" s="52" t="s">
        <v>655</v>
      </c>
      <c r="N259" s="53" t="s">
        <v>698</v>
      </c>
      <c r="O259" s="6" t="s">
        <v>809</v>
      </c>
      <c r="P259" s="6"/>
      <c r="Q259" s="6"/>
      <c r="R259" s="6"/>
    </row>
    <row r="260">
      <c r="A260" s="31" t="str">
        <f>IFERROR(__xludf.DUMMYFUNCTION("""COMPUTED_VALUE"""),"НД")</f>
        <v>НД</v>
      </c>
      <c r="B260" s="14" t="str">
        <f>IFERROR(__xludf.DUMMYFUNCTION("""COMPUTED_VALUE"""),"АИП-25")</f>
        <v>АИП-25</v>
      </c>
      <c r="C260" s="14" t="str">
        <f>IFERROR(__xludf.DUMMYFUNCTION("""COMPUTED_VALUE"""),"УДС")</f>
        <v>УДС</v>
      </c>
      <c r="D260" s="15"/>
      <c r="E260" s="14" t="str">
        <f>IFERROR(__xludf.DUMMYFUNCTION("""COMPUTED_VALUE"""),"Инженерная и транспортная инфраструктура ММДЦ ""Москва-Сити"". 1 этап. Этап 1.2. Ппресненская наб, 2-ой Красногвардейский пр-д")</f>
        <v>Инженерная и транспортная инфраструктура ММДЦ "Москва-Сити". 1 этап. Этап 1.2. Ппресненская наб, 2-ой Красногвардейский пр-д</v>
      </c>
      <c r="F260" s="25" t="str">
        <f>IFERROR(__xludf.DUMMYFUNCTION("""COMPUTED_VALUE"""),"#N/A")</f>
        <v>#N/A</v>
      </c>
      <c r="G260" s="6" t="str">
        <f>IFERROR(__xludf.DUMMYFUNCTION("""COMPUTED_VALUE"""),"#N/A")</f>
        <v>#N/A</v>
      </c>
      <c r="H260" s="6"/>
      <c r="I260" s="6"/>
      <c r="J260" s="50"/>
      <c r="K260" s="58"/>
      <c r="L260" s="6">
        <v>30.0</v>
      </c>
      <c r="M260" s="52" t="s">
        <v>655</v>
      </c>
      <c r="N260" s="53" t="s">
        <v>698</v>
      </c>
      <c r="O260" s="6" t="s">
        <v>809</v>
      </c>
      <c r="P260" s="6"/>
      <c r="Q260" s="6"/>
      <c r="R260" s="6"/>
    </row>
    <row r="261">
      <c r="A261" s="31" t="str">
        <f>IFERROR(__xludf.DUMMYFUNCTION("""COMPUTED_VALUE"""),"185д (этап 1.4.1)")</f>
        <v>185д (этап 1.4.1)</v>
      </c>
      <c r="B261" s="14" t="str">
        <f>IFERROR(__xludf.DUMMYFUNCTION("""COMPUTED_VALUE"""),"АИП-25")</f>
        <v>АИП-25</v>
      </c>
      <c r="C261" s="14" t="str">
        <f>IFERROR(__xludf.DUMMYFUNCTION("""COMPUTED_VALUE"""),"УДС")</f>
        <v>УДС</v>
      </c>
      <c r="D261" s="15"/>
      <c r="E261" s="14" t="str">
        <f>IFERROR(__xludf.DUMMYFUNCTION("""COMPUTED_VALUE"""),"Инженерная и транспортная инфраструктура ММДЦ ""Москва-Сити"". 1 этап. Этап 1.4. Ппресненская наб, 2-ой Красногвардейский пр-д")</f>
        <v>Инженерная и транспортная инфраструктура ММДЦ "Москва-Сити". 1 этап. Этап 1.4. Ппресненская наб, 2-ой Красногвардейский пр-д</v>
      </c>
      <c r="F261" s="25" t="str">
        <f>IFERROR(__xludf.DUMMYFUNCTION("""COMPUTED_VALUE"""),"#N/A")</f>
        <v>#N/A</v>
      </c>
      <c r="G261" s="6" t="str">
        <f>IFERROR(__xludf.DUMMYFUNCTION("""COMPUTED_VALUE"""),"#N/A")</f>
        <v>#N/A</v>
      </c>
      <c r="H261" s="6"/>
      <c r="I261" s="6"/>
      <c r="J261" s="50">
        <f>IFERROR(__xludf.DUMMYFUNCTION("""COMPUTED_VALUE"""),100.0)</f>
        <v>100</v>
      </c>
      <c r="K261" s="58">
        <f>IFERROR(__xludf.DUMMYFUNCTION("""COMPUTED_VALUE"""),45968.0)</f>
        <v>45968</v>
      </c>
      <c r="L261" s="6" t="s">
        <v>654</v>
      </c>
      <c r="M261" s="52" t="s">
        <v>655</v>
      </c>
      <c r="N261" s="53" t="s">
        <v>656</v>
      </c>
      <c r="O261" s="6" t="s">
        <v>809</v>
      </c>
      <c r="P261" s="6"/>
      <c r="Q261" s="6"/>
      <c r="R261" s="6"/>
    </row>
    <row r="262">
      <c r="A262" s="31" t="str">
        <f>IFERROR(__xludf.DUMMYFUNCTION("""COMPUTED_VALUE"""),"185д (этап 1.5)")</f>
        <v>185д (этап 1.5)</v>
      </c>
      <c r="B262" s="14" t="str">
        <f>IFERROR(__xludf.DUMMYFUNCTION("""COMPUTED_VALUE"""),"АИП-25")</f>
        <v>АИП-25</v>
      </c>
      <c r="C262" s="14" t="str">
        <f>IFERROR(__xludf.DUMMYFUNCTION("""COMPUTED_VALUE"""),"УДС")</f>
        <v>УДС</v>
      </c>
      <c r="D262" s="15"/>
      <c r="E262" s="14" t="str">
        <f>IFERROR(__xludf.DUMMYFUNCTION("""COMPUTED_VALUE"""),"Инженерная и транспортная инфраструктура ММДЦ ""Москва-Сити"". 1 этап. Этап 1.5. Ппресненская наб, 2-ой Красногвардейский пр-д")</f>
        <v>Инженерная и транспортная инфраструктура ММДЦ "Москва-Сити". 1 этап. Этап 1.5. Ппресненская наб, 2-ой Красногвардейский пр-д</v>
      </c>
      <c r="F262" s="25" t="str">
        <f>IFERROR(__xludf.DUMMYFUNCTION("""COMPUTED_VALUE"""),"#N/A")</f>
        <v>#N/A</v>
      </c>
      <c r="G262" s="6" t="str">
        <f>IFERROR(__xludf.DUMMYFUNCTION("""COMPUTED_VALUE"""),"#N/A")</f>
        <v>#N/A</v>
      </c>
      <c r="H262" s="6"/>
      <c r="I262" s="6"/>
      <c r="J262" s="50">
        <f>IFERROR(__xludf.DUMMYFUNCTION("""COMPUTED_VALUE"""),69.2)</f>
        <v>69.2</v>
      </c>
      <c r="K262" s="58">
        <f>IFERROR(__xludf.DUMMYFUNCTION("""COMPUTED_VALUE"""),45968.0)</f>
        <v>45968</v>
      </c>
      <c r="L262" s="6">
        <v>14.0</v>
      </c>
      <c r="M262" s="52">
        <v>45982.0</v>
      </c>
      <c r="N262" s="53" t="s">
        <v>692</v>
      </c>
      <c r="O262" s="6" t="s">
        <v>809</v>
      </c>
      <c r="P262" s="6"/>
      <c r="Q262" s="6"/>
      <c r="R262" s="6"/>
    </row>
    <row r="263">
      <c r="A263" s="31" t="str">
        <f>IFERROR(__xludf.DUMMYFUNCTION("""COMPUTED_VALUE"""),"НД")</f>
        <v>НД</v>
      </c>
      <c r="B263" s="14" t="str">
        <f>IFERROR(__xludf.DUMMYFUNCTION("""COMPUTED_VALUE"""),"АИП-25")</f>
        <v>АИП-25</v>
      </c>
      <c r="C263" s="14" t="str">
        <f>IFERROR(__xludf.DUMMYFUNCTION("""COMPUTED_VALUE"""),"УДС")</f>
        <v>УДС</v>
      </c>
      <c r="D263" s="15"/>
      <c r="E263" s="14" t="str">
        <f>IFERROR(__xludf.DUMMYFUNCTION("""COMPUTED_VALUE"""),"Инженерная и транспортная инфраструктура ММДЦ ""Москва-Сити"". 1 этап. Этап 1.6. Ппресненская наб, 2-ой Красногвардейский пр-д")</f>
        <v>Инженерная и транспортная инфраструктура ММДЦ "Москва-Сити". 1 этап. Этап 1.6. Ппресненская наб, 2-ой Красногвардейский пр-д</v>
      </c>
      <c r="F263" s="25" t="str">
        <f>IFERROR(__xludf.DUMMYFUNCTION("""COMPUTED_VALUE"""),"#N/A")</f>
        <v>#N/A</v>
      </c>
      <c r="G263" s="6" t="str">
        <f>IFERROR(__xludf.DUMMYFUNCTION("""COMPUTED_VALUE"""),"#N/A")</f>
        <v>#N/A</v>
      </c>
      <c r="H263" s="6"/>
      <c r="I263" s="6"/>
      <c r="J263" s="50"/>
      <c r="K263" s="58"/>
      <c r="L263" s="6">
        <v>30.0</v>
      </c>
      <c r="M263" s="52" t="s">
        <v>655</v>
      </c>
      <c r="N263" s="53" t="s">
        <v>698</v>
      </c>
      <c r="O263" s="6" t="s">
        <v>809</v>
      </c>
      <c r="P263" s="6"/>
      <c r="Q263" s="6"/>
      <c r="R263" s="6"/>
    </row>
    <row r="264">
      <c r="A264" s="31" t="str">
        <f>IFERROR(__xludf.DUMMYFUNCTION("""COMPUTED_VALUE"""),"НД")</f>
        <v>НД</v>
      </c>
      <c r="B264" s="14" t="str">
        <f>IFERROR(__xludf.DUMMYFUNCTION("""COMPUTED_VALUE"""),"АИП-25")</f>
        <v>АИП-25</v>
      </c>
      <c r="C264" s="14" t="str">
        <f>IFERROR(__xludf.DUMMYFUNCTION("""COMPUTED_VALUE"""),"УДС")</f>
        <v>УДС</v>
      </c>
      <c r="D264" s="15"/>
      <c r="E264" s="14" t="str">
        <f>IFERROR(__xludf.DUMMYFUNCTION("""COMPUTED_VALUE"""),"Инженерная и транспортная инфраструктура ММДЦ ""Москва-Сити"". 1 этап. Этап 1.7. Ппресненская наб, 2-ой Красногвардейский пр-д")</f>
        <v>Инженерная и транспортная инфраструктура ММДЦ "Москва-Сити". 1 этап. Этап 1.7. Ппресненская наб, 2-ой Красногвардейский пр-д</v>
      </c>
      <c r="F264" s="25" t="str">
        <f>IFERROR(__xludf.DUMMYFUNCTION("""COMPUTED_VALUE"""),"#N/A")</f>
        <v>#N/A</v>
      </c>
      <c r="G264" s="6" t="str">
        <f>IFERROR(__xludf.DUMMYFUNCTION("""COMPUTED_VALUE"""),"#N/A")</f>
        <v>#N/A</v>
      </c>
      <c r="H264" s="6"/>
      <c r="I264" s="6"/>
      <c r="J264" s="50"/>
      <c r="K264" s="58"/>
      <c r="L264" s="6">
        <v>30.0</v>
      </c>
      <c r="M264" s="52" t="s">
        <v>655</v>
      </c>
      <c r="N264" s="53" t="s">
        <v>698</v>
      </c>
      <c r="O264" s="6"/>
      <c r="P264" s="6"/>
      <c r="Q264" s="6"/>
      <c r="R264" s="6"/>
    </row>
    <row r="265">
      <c r="A265" s="31" t="str">
        <f>IFERROR(__xludf.DUMMYFUNCTION("""COMPUTED_VALUE"""),"185д (этап 1.1.1)")</f>
        <v>185д (этап 1.1.1)</v>
      </c>
      <c r="B265" s="14" t="str">
        <f>IFERROR(__xludf.DUMMYFUNCTION("""COMPUTED_VALUE"""),"АИП-25")</f>
        <v>АИП-25</v>
      </c>
      <c r="C265" s="14" t="str">
        <f>IFERROR(__xludf.DUMMYFUNCTION("""COMPUTED_VALUE"""),"УДС")</f>
        <v>УДС</v>
      </c>
      <c r="D265" s="15"/>
      <c r="E265" s="14" t="str">
        <f>IFERROR(__xludf.DUMMYFUNCTION("""COMPUTED_VALUE"""),"Инженерная и транспортная инфраструктура ММДЦ ""Москва-Сити"". 1 этап. Этап 1.1.1. Ппресненская наб, 2-ой Красногвардейский пр-д")</f>
        <v>Инженерная и транспортная инфраструктура ММДЦ "Москва-Сити". 1 этап. Этап 1.1.1. Ппресненская наб, 2-ой Красногвардейский пр-д</v>
      </c>
      <c r="F265" s="25" t="str">
        <f>IFERROR(__xludf.DUMMYFUNCTION("""COMPUTED_VALUE"""),"#N/A")</f>
        <v>#N/A</v>
      </c>
      <c r="G265" s="6" t="str">
        <f>IFERROR(__xludf.DUMMYFUNCTION("""COMPUTED_VALUE"""),"#N/A")</f>
        <v>#N/A</v>
      </c>
      <c r="H265" s="6"/>
      <c r="I265" s="6"/>
      <c r="J265" s="50">
        <f>IFERROR(__xludf.DUMMYFUNCTION("""COMPUTED_VALUE"""),93.1)</f>
        <v>93.1</v>
      </c>
      <c r="K265" s="58">
        <f>IFERROR(__xludf.DUMMYFUNCTION("""COMPUTED_VALUE"""),45968.0)</f>
        <v>45968</v>
      </c>
      <c r="L265" s="6">
        <v>14.0</v>
      </c>
      <c r="M265" s="52">
        <v>45982.0</v>
      </c>
      <c r="N265" s="53" t="s">
        <v>692</v>
      </c>
      <c r="O265" s="6" t="s">
        <v>809</v>
      </c>
      <c r="P265" s="6"/>
      <c r="Q265" s="6"/>
      <c r="R265" s="6"/>
    </row>
    <row r="266">
      <c r="A266" s="31" t="str">
        <f>IFERROR(__xludf.DUMMYFUNCTION("""COMPUTED_VALUE"""),"185д (этап 1.1.2)")</f>
        <v>185д (этап 1.1.2)</v>
      </c>
      <c r="B266" s="14" t="str">
        <f>IFERROR(__xludf.DUMMYFUNCTION("""COMPUTED_VALUE"""),"АИП-25")</f>
        <v>АИП-25</v>
      </c>
      <c r="C266" s="14" t="str">
        <f>IFERROR(__xludf.DUMMYFUNCTION("""COMPUTED_VALUE"""),"УДС")</f>
        <v>УДС</v>
      </c>
      <c r="D266" s="15"/>
      <c r="E266" s="14" t="str">
        <f>IFERROR(__xludf.DUMMYFUNCTION("""COMPUTED_VALUE"""),"Инженерная и транспортная инфраструктура ММДЦ ""Москва-Сити"". 1 этап. Этап 1.1.2. Ппресненская наб, 2-ой Красногвардейский пр-д")</f>
        <v>Инженерная и транспортная инфраструктура ММДЦ "Москва-Сити". 1 этап. Этап 1.1.2. Ппресненская наб, 2-ой Красногвардейский пр-д</v>
      </c>
      <c r="F266" s="25" t="str">
        <f>IFERROR(__xludf.DUMMYFUNCTION("""COMPUTED_VALUE"""),"#N/A")</f>
        <v>#N/A</v>
      </c>
      <c r="G266" s="6" t="str">
        <f>IFERROR(__xludf.DUMMYFUNCTION("""COMPUTED_VALUE"""),"#N/A")</f>
        <v>#N/A</v>
      </c>
      <c r="H266" s="6"/>
      <c r="I266" s="6"/>
      <c r="J266" s="50">
        <f>IFERROR(__xludf.DUMMYFUNCTION("""COMPUTED_VALUE"""),72.96000000000001)</f>
        <v>72.96</v>
      </c>
      <c r="K266" s="58">
        <f>IFERROR(__xludf.DUMMYFUNCTION("""COMPUTED_VALUE"""),45968.0)</f>
        <v>45968</v>
      </c>
      <c r="L266" s="6">
        <v>14.0</v>
      </c>
      <c r="M266" s="52">
        <v>45982.0</v>
      </c>
      <c r="N266" s="53" t="s">
        <v>692</v>
      </c>
      <c r="O266" s="6" t="s">
        <v>809</v>
      </c>
      <c r="P266" s="6"/>
      <c r="Q266" s="6"/>
      <c r="R266" s="6"/>
    </row>
    <row r="267">
      <c r="A267" s="31" t="str">
        <f>IFERROR(__xludf.DUMMYFUNCTION("""COMPUTED_VALUE"""),"185д (этап 1.1.3)")</f>
        <v>185д (этап 1.1.3)</v>
      </c>
      <c r="B267" s="14" t="str">
        <f>IFERROR(__xludf.DUMMYFUNCTION("""COMPUTED_VALUE"""),"АИП-25")</f>
        <v>АИП-25</v>
      </c>
      <c r="C267" s="14" t="str">
        <f>IFERROR(__xludf.DUMMYFUNCTION("""COMPUTED_VALUE"""),"УДС")</f>
        <v>УДС</v>
      </c>
      <c r="D267" s="15"/>
      <c r="E267" s="14" t="str">
        <f>IFERROR(__xludf.DUMMYFUNCTION("""COMPUTED_VALUE"""),"Инженерная и транспортная инфраструктура ММДЦ ""Москва-Сити"". 1 этап. Этап 1.1.3. Ппресненская наб, 2-ой Красногвардейский пр-д")</f>
        <v>Инженерная и транспортная инфраструктура ММДЦ "Москва-Сити". 1 этап. Этап 1.1.3. Ппресненская наб, 2-ой Красногвардейский пр-д</v>
      </c>
      <c r="F267" s="25" t="str">
        <f>IFERROR(__xludf.DUMMYFUNCTION("""COMPUTED_VALUE"""),"#N/A")</f>
        <v>#N/A</v>
      </c>
      <c r="G267" s="6" t="str">
        <f>IFERROR(__xludf.DUMMYFUNCTION("""COMPUTED_VALUE"""),"#N/A")</f>
        <v>#N/A</v>
      </c>
      <c r="H267" s="6"/>
      <c r="I267" s="6"/>
      <c r="J267" s="50">
        <f>IFERROR(__xludf.DUMMYFUNCTION("""COMPUTED_VALUE"""),99.0)</f>
        <v>99</v>
      </c>
      <c r="K267" s="58">
        <f>IFERROR(__xludf.DUMMYFUNCTION("""COMPUTED_VALUE"""),45968.0)</f>
        <v>45968</v>
      </c>
      <c r="L267" s="6">
        <v>7.0</v>
      </c>
      <c r="M267" s="52">
        <v>45975.0</v>
      </c>
      <c r="N267" s="53" t="s">
        <v>701</v>
      </c>
      <c r="O267" s="6" t="s">
        <v>809</v>
      </c>
      <c r="P267" s="6"/>
      <c r="Q267" s="6"/>
      <c r="R267" s="6"/>
    </row>
    <row r="268">
      <c r="A268" s="31" t="str">
        <f>IFERROR(__xludf.DUMMYFUNCTION("""COMPUTED_VALUE"""),"185д (этап 1.4.2)")</f>
        <v>185д (этап 1.4.2)</v>
      </c>
      <c r="B268" s="14" t="str">
        <f>IFERROR(__xludf.DUMMYFUNCTION("""COMPUTED_VALUE"""),"АИП-25")</f>
        <v>АИП-25</v>
      </c>
      <c r="C268" s="14" t="str">
        <f>IFERROR(__xludf.DUMMYFUNCTION("""COMPUTED_VALUE"""),"УДС")</f>
        <v>УДС</v>
      </c>
      <c r="D268" s="15"/>
      <c r="E268" s="14" t="str">
        <f>IFERROR(__xludf.DUMMYFUNCTION("""COMPUTED_VALUE"""),"Инженерная и транспортная инфраструктура ММДЦ ""Москва-Сити"". 1 этап. Этап 1.4.2. Ппресненская наб, 2-ой Красногвардейский пр-д")</f>
        <v>Инженерная и транспортная инфраструктура ММДЦ "Москва-Сити". 1 этап. Этап 1.4.2. Ппресненская наб, 2-ой Красногвардейский пр-д</v>
      </c>
      <c r="F268" s="25" t="str">
        <f>IFERROR(__xludf.DUMMYFUNCTION("""COMPUTED_VALUE"""),"#N/A")</f>
        <v>#N/A</v>
      </c>
      <c r="G268" s="6" t="str">
        <f>IFERROR(__xludf.DUMMYFUNCTION("""COMPUTED_VALUE"""),"#N/A")</f>
        <v>#N/A</v>
      </c>
      <c r="H268" s="6"/>
      <c r="I268" s="6"/>
      <c r="J268" s="50">
        <f>IFERROR(__xludf.DUMMYFUNCTION("""COMPUTED_VALUE"""),100.0)</f>
        <v>100</v>
      </c>
      <c r="K268" s="58">
        <f>IFERROR(__xludf.DUMMYFUNCTION("""COMPUTED_VALUE"""),45968.0)</f>
        <v>45968</v>
      </c>
      <c r="L268" s="6" t="s">
        <v>654</v>
      </c>
      <c r="M268" s="52" t="s">
        <v>655</v>
      </c>
      <c r="N268" s="53" t="s">
        <v>656</v>
      </c>
      <c r="O268" s="6" t="s">
        <v>809</v>
      </c>
      <c r="P268" s="6"/>
      <c r="Q268" s="6"/>
      <c r="R268" s="6"/>
    </row>
    <row r="269">
      <c r="A269" s="31" t="str">
        <f>IFERROR(__xludf.DUMMYFUNCTION("""COMPUTED_VALUE"""),"185д (этап 1.6.1)")</f>
        <v>185д (этап 1.6.1)</v>
      </c>
      <c r="B269" s="14" t="str">
        <f>IFERROR(__xludf.DUMMYFUNCTION("""COMPUTED_VALUE"""),"АИП-25")</f>
        <v>АИП-25</v>
      </c>
      <c r="C269" s="14" t="str">
        <f>IFERROR(__xludf.DUMMYFUNCTION("""COMPUTED_VALUE"""),"УДС")</f>
        <v>УДС</v>
      </c>
      <c r="D269" s="15"/>
      <c r="E269" s="14" t="str">
        <f>IFERROR(__xludf.DUMMYFUNCTION("""COMPUTED_VALUE"""),"Инженерная и транспортная инфраструктура ММДЦ ""Москва-Сити"". 1 этап. Этап 1.6.1. Ппресненская наб, 2-ой Красногвардейский пр-д")</f>
        <v>Инженерная и транспортная инфраструктура ММДЦ "Москва-Сити". 1 этап. Этап 1.6.1. Ппресненская наб, 2-ой Красногвардейский пр-д</v>
      </c>
      <c r="F269" s="25" t="str">
        <f>IFERROR(__xludf.DUMMYFUNCTION("""COMPUTED_VALUE"""),"#N/A")</f>
        <v>#N/A</v>
      </c>
      <c r="G269" s="6" t="str">
        <f>IFERROR(__xludf.DUMMYFUNCTION("""COMPUTED_VALUE"""),"#N/A")</f>
        <v>#N/A</v>
      </c>
      <c r="H269" s="6"/>
      <c r="I269" s="6"/>
      <c r="J269" s="50">
        <f>IFERROR(__xludf.DUMMYFUNCTION("""COMPUTED_VALUE"""),91.68)</f>
        <v>91.68</v>
      </c>
      <c r="K269" s="58">
        <f>IFERROR(__xludf.DUMMYFUNCTION("""COMPUTED_VALUE"""),45968.0)</f>
        <v>45968</v>
      </c>
      <c r="L269" s="6">
        <v>14.0</v>
      </c>
      <c r="M269" s="52">
        <v>45982.0</v>
      </c>
      <c r="N269" s="53" t="s">
        <v>692</v>
      </c>
      <c r="O269" s="6" t="s">
        <v>809</v>
      </c>
      <c r="P269" s="6"/>
      <c r="Q269" s="6"/>
      <c r="R269" s="6"/>
    </row>
    <row r="270">
      <c r="A270" s="31" t="str">
        <f>IFERROR(__xludf.DUMMYFUNCTION("""COMPUTED_VALUE"""),"185д (этап 1.6.2)")</f>
        <v>185д (этап 1.6.2)</v>
      </c>
      <c r="B270" s="14" t="str">
        <f>IFERROR(__xludf.DUMMYFUNCTION("""COMPUTED_VALUE"""),"АИП-25")</f>
        <v>АИП-25</v>
      </c>
      <c r="C270" s="14" t="str">
        <f>IFERROR(__xludf.DUMMYFUNCTION("""COMPUTED_VALUE"""),"УДС")</f>
        <v>УДС</v>
      </c>
      <c r="D270" s="15"/>
      <c r="E270" s="14" t="str">
        <f>IFERROR(__xludf.DUMMYFUNCTION("""COMPUTED_VALUE"""),"Инженерная и транспортная инфраструктура ММДЦ ""Москва-Сити"". 1 этап. Этап 1.6.2. Ппресненская наб, 2-ой Красногвардейский пр-д")</f>
        <v>Инженерная и транспортная инфраструктура ММДЦ "Москва-Сити". 1 этап. Этап 1.6.2. Ппресненская наб, 2-ой Красногвардейский пр-д</v>
      </c>
      <c r="F270" s="25" t="str">
        <f>IFERROR(__xludf.DUMMYFUNCTION("""COMPUTED_VALUE"""),"#N/A")</f>
        <v>#N/A</v>
      </c>
      <c r="G270" s="6" t="str">
        <f>IFERROR(__xludf.DUMMYFUNCTION("""COMPUTED_VALUE"""),"#N/A")</f>
        <v>#N/A</v>
      </c>
      <c r="H270" s="6"/>
      <c r="I270" s="6"/>
      <c r="J270" s="50">
        <f>IFERROR(__xludf.DUMMYFUNCTION("""COMPUTED_VALUE"""),99.24)</f>
        <v>99.24</v>
      </c>
      <c r="K270" s="58">
        <f>IFERROR(__xludf.DUMMYFUNCTION("""COMPUTED_VALUE"""),45968.0)</f>
        <v>45968</v>
      </c>
      <c r="L270" s="6">
        <v>7.0</v>
      </c>
      <c r="M270" s="52">
        <v>45975.0</v>
      </c>
      <c r="N270" s="53" t="s">
        <v>701</v>
      </c>
      <c r="O270" s="6" t="s">
        <v>809</v>
      </c>
      <c r="P270" s="6"/>
      <c r="Q270" s="6"/>
      <c r="R270" s="6"/>
    </row>
    <row r="271">
      <c r="A271" s="31" t="str">
        <f>IFERROR(__xludf.DUMMYFUNCTION("""COMPUTED_VALUE"""),"185д (этап 1.3.1)")</f>
        <v>185д (этап 1.3.1)</v>
      </c>
      <c r="B271" s="14" t="str">
        <f>IFERROR(__xludf.DUMMYFUNCTION("""COMPUTED_VALUE"""),"АИП-25")</f>
        <v>АИП-25</v>
      </c>
      <c r="C271" s="14" t="str">
        <f>IFERROR(__xludf.DUMMYFUNCTION("""COMPUTED_VALUE"""),"УДС")</f>
        <v>УДС</v>
      </c>
      <c r="D271" s="15"/>
      <c r="E271" s="14" t="str">
        <f>IFERROR(__xludf.DUMMYFUNCTION("""COMPUTED_VALUE"""),"Инженерная и транспортная инфраструктура ММДЦ ""Москва-Сити"". 1 этап. Этап 1.3.1. Ппресненская наб, 2-ой Красногвардейский пр-д")</f>
        <v>Инженерная и транспортная инфраструктура ММДЦ "Москва-Сити". 1 этап. Этап 1.3.1. Ппресненская наб, 2-ой Красногвардейский пр-д</v>
      </c>
      <c r="F271" s="25" t="str">
        <f>IFERROR(__xludf.DUMMYFUNCTION("""COMPUTED_VALUE"""),"#N/A")</f>
        <v>#N/A</v>
      </c>
      <c r="G271" s="6" t="str">
        <f>IFERROR(__xludf.DUMMYFUNCTION("""COMPUTED_VALUE"""),"#N/A")</f>
        <v>#N/A</v>
      </c>
      <c r="H271" s="6"/>
      <c r="I271" s="6"/>
      <c r="J271" s="50">
        <f>IFERROR(__xludf.DUMMYFUNCTION("""COMPUTED_VALUE"""),63.349999999999994)</f>
        <v>63.35</v>
      </c>
      <c r="K271" s="58">
        <f>IFERROR(__xludf.DUMMYFUNCTION("""COMPUTED_VALUE"""),45968.0)</f>
        <v>45968</v>
      </c>
      <c r="L271" s="6">
        <v>14.0</v>
      </c>
      <c r="M271" s="52">
        <v>45982.0</v>
      </c>
      <c r="N271" s="53" t="s">
        <v>692</v>
      </c>
      <c r="O271" s="6" t="s">
        <v>810</v>
      </c>
      <c r="P271" s="6"/>
      <c r="Q271" s="6"/>
      <c r="R271" s="6"/>
    </row>
    <row r="272">
      <c r="A272" s="31" t="str">
        <f>IFERROR(__xludf.DUMMYFUNCTION("""COMPUTED_VALUE"""),"185д (этап 1.3.2)")</f>
        <v>185д (этап 1.3.2)</v>
      </c>
      <c r="B272" s="14" t="str">
        <f>IFERROR(__xludf.DUMMYFUNCTION("""COMPUTED_VALUE"""),"АИП-25")</f>
        <v>АИП-25</v>
      </c>
      <c r="C272" s="14" t="str">
        <f>IFERROR(__xludf.DUMMYFUNCTION("""COMPUTED_VALUE"""),"УДС")</f>
        <v>УДС</v>
      </c>
      <c r="D272" s="15"/>
      <c r="E272" s="14" t="str">
        <f>IFERROR(__xludf.DUMMYFUNCTION("""COMPUTED_VALUE"""),"Инженерная и транспортная инфраструктура ММДЦ ""Москва-Сити"". 1 этап. Этап 1.3.2. Ппресненская наб, 2-ой Красногвардейский пр-д")</f>
        <v>Инженерная и транспортная инфраструктура ММДЦ "Москва-Сити". 1 этап. Этап 1.3.2. Ппресненская наб, 2-ой Красногвардейский пр-д</v>
      </c>
      <c r="F272" s="25" t="str">
        <f>IFERROR(__xludf.DUMMYFUNCTION("""COMPUTED_VALUE"""),"#N/A")</f>
        <v>#N/A</v>
      </c>
      <c r="G272" s="6" t="str">
        <f>IFERROR(__xludf.DUMMYFUNCTION("""COMPUTED_VALUE"""),"#N/A")</f>
        <v>#N/A</v>
      </c>
      <c r="H272" s="6"/>
      <c r="I272" s="6"/>
      <c r="J272" s="50">
        <f>IFERROR(__xludf.DUMMYFUNCTION("""COMPUTED_VALUE"""),80.62299999999999)</f>
        <v>80.623</v>
      </c>
      <c r="K272" s="58">
        <f>IFERROR(__xludf.DUMMYFUNCTION("""COMPUTED_VALUE"""),45968.0)</f>
        <v>45968</v>
      </c>
      <c r="L272" s="6">
        <v>14.0</v>
      </c>
      <c r="M272" s="52">
        <v>45982.0</v>
      </c>
      <c r="N272" s="53" t="s">
        <v>692</v>
      </c>
      <c r="O272" s="6" t="s">
        <v>809</v>
      </c>
      <c r="P272" s="6"/>
      <c r="Q272" s="6"/>
      <c r="R272" s="6"/>
    </row>
    <row r="273">
      <c r="A273" s="31" t="str">
        <f>IFERROR(__xludf.DUMMYFUNCTION("""COMPUTED_VALUE"""),"185д (этап 1.3.3)")</f>
        <v>185д (этап 1.3.3)</v>
      </c>
      <c r="B273" s="14" t="str">
        <f>IFERROR(__xludf.DUMMYFUNCTION("""COMPUTED_VALUE"""),"АИП-25")</f>
        <v>АИП-25</v>
      </c>
      <c r="C273" s="14" t="str">
        <f>IFERROR(__xludf.DUMMYFUNCTION("""COMPUTED_VALUE"""),"УДС")</f>
        <v>УДС</v>
      </c>
      <c r="D273" s="15"/>
      <c r="E273" s="14" t="str">
        <f>IFERROR(__xludf.DUMMYFUNCTION("""COMPUTED_VALUE"""),"Инженерная и транспортная инфраструктура ММДЦ ""Москва-Сити"". 1 этап. Этап 1.3.3 Ппресненская наб, 2-ой Красногвардейский пр-д")</f>
        <v>Инженерная и транспортная инфраструктура ММДЦ "Москва-Сити". 1 этап. Этап 1.3.3 Ппресненская наб, 2-ой Красногвардейский пр-д</v>
      </c>
      <c r="F273" s="25" t="str">
        <f>IFERROR(__xludf.DUMMYFUNCTION("""COMPUTED_VALUE"""),"#N/A")</f>
        <v>#N/A</v>
      </c>
      <c r="G273" s="6" t="str">
        <f>IFERROR(__xludf.DUMMYFUNCTION("""COMPUTED_VALUE"""),"#N/A")</f>
        <v>#N/A</v>
      </c>
      <c r="H273" s="6"/>
      <c r="I273" s="6"/>
      <c r="J273" s="50">
        <f>IFERROR(__xludf.DUMMYFUNCTION("""COMPUTED_VALUE"""),93.45259999999999)</f>
        <v>93.4526</v>
      </c>
      <c r="K273" s="58">
        <f>IFERROR(__xludf.DUMMYFUNCTION("""COMPUTED_VALUE"""),45968.0)</f>
        <v>45968</v>
      </c>
      <c r="L273" s="6">
        <v>14.0</v>
      </c>
      <c r="M273" s="52">
        <v>45982.0</v>
      </c>
      <c r="N273" s="53" t="s">
        <v>692</v>
      </c>
      <c r="O273" s="6" t="s">
        <v>809</v>
      </c>
      <c r="P273" s="6"/>
      <c r="Q273" s="6"/>
      <c r="R273" s="6"/>
    </row>
    <row r="274">
      <c r="A274" s="31" t="str">
        <f>IFERROR(__xludf.DUMMYFUNCTION("""COMPUTED_VALUE"""),"177д")</f>
        <v>177д</v>
      </c>
      <c r="B274" s="14" t="str">
        <f>IFERROR(__xludf.DUMMYFUNCTION("""COMPUTED_VALUE"""),"АИП-25")</f>
        <v>АИП-25</v>
      </c>
      <c r="C274" s="14" t="str">
        <f>IFERROR(__xludf.DUMMYFUNCTION("""COMPUTED_VALUE"""),"УДС")</f>
        <v>УДС</v>
      </c>
      <c r="D274" s="15"/>
      <c r="E274" s="14" t="str">
        <f>IFERROR(__xludf.DUMMYFUNCTION("""COMPUTED_VALUE"""),"Строительство и реконструкция автомобильной дороги Мамыри-Пенино-Шарапово (Искусственные сооружения) г.Москва, Летово-Пенино")</f>
        <v>Строительство и реконструкция автомобильной дороги Мамыри-Пенино-Шарапово (Искусственные сооружения) г.Москва, Летово-Пенино</v>
      </c>
      <c r="F274" s="25" t="str">
        <f>IFERROR(__xludf.DUMMYFUNCTION("""COMPUTED_VALUE"""),"#N/A")</f>
        <v>#N/A</v>
      </c>
      <c r="G274" s="6" t="str">
        <f>IFERROR(__xludf.DUMMYFUNCTION("""COMPUTED_VALUE"""),"#N/A")</f>
        <v>#N/A</v>
      </c>
      <c r="H274" s="6"/>
      <c r="I274" s="6"/>
      <c r="J274" s="50">
        <f>IFERROR(__xludf.DUMMYFUNCTION("""COMPUTED_VALUE"""),92.81768101265826)</f>
        <v>92.81768101</v>
      </c>
      <c r="K274" s="58">
        <f>IFERROR(__xludf.DUMMYFUNCTION("""COMPUTED_VALUE"""),45974.0)</f>
        <v>45974</v>
      </c>
      <c r="L274" s="6">
        <v>14.0</v>
      </c>
      <c r="M274" s="52">
        <v>45988.0</v>
      </c>
      <c r="N274" s="53" t="s">
        <v>711</v>
      </c>
      <c r="O274" s="6"/>
      <c r="P274" s="6"/>
      <c r="Q274" s="6"/>
      <c r="R274" s="6"/>
    </row>
    <row r="275">
      <c r="A275" s="31"/>
      <c r="B275" s="14"/>
      <c r="C275" s="14" t="str">
        <f>IFERROR(__xludf.DUMMYFUNCTION("""COMPUTED_VALUE"""),"УДС")</f>
        <v>УДС</v>
      </c>
      <c r="D275" s="15"/>
      <c r="E275" s="14" t="str">
        <f>IFERROR(__xludf.DUMMYFUNCTION("""COMPUTED_VALUE"""),"Строительство и реконструкция магистральной улицы общегородского значения ""Мамыри –  Пенино - Шарапово"", 1 очередь ""Николо-Хованская ул. – а/д ""М-3 Украина – Середнево – Марьино – Десна"" (Этапы 2, 3, 4, 6) поселения Десеновское, Сосенское, Филимонков"&amp;"ское, Новомосковский административный округ города Москвы")</f>
        <v>Строительство и реконструкция магистральной улицы общегородского значения "Мамыри –  Пенино - Шарапово", 1 очередь "Николо-Хованская ул. – а/д "М-3 Украина – Середнево – Марьино – Десна" (Этапы 2, 3, 4, 6) поселения Десеновское, Сосенское, Филимонковское, Новомосковский административный округ города Москвы</v>
      </c>
      <c r="F275" s="25" t="str">
        <f>IFERROR(__xludf.DUMMYFUNCTION("""COMPUTED_VALUE"""),"#N/A")</f>
        <v>#N/A</v>
      </c>
      <c r="G275" s="6" t="str">
        <f>IFERROR(__xludf.DUMMYFUNCTION("""COMPUTED_VALUE"""),"#N/A")</f>
        <v>#N/A</v>
      </c>
      <c r="H275" s="6"/>
      <c r="I275" s="6"/>
      <c r="J275" s="50"/>
      <c r="K275" s="58"/>
      <c r="L275" s="6" t="s">
        <v>655</v>
      </c>
      <c r="M275" s="52" t="s">
        <v>655</v>
      </c>
      <c r="N275" s="53" t="s">
        <v>655</v>
      </c>
      <c r="O275" s="6" t="s">
        <v>811</v>
      </c>
      <c r="P275" s="6"/>
      <c r="Q275" s="6"/>
      <c r="R275" s="6"/>
    </row>
    <row r="276">
      <c r="A276" s="31"/>
      <c r="B276" s="14"/>
      <c r="C276" s="14" t="str">
        <f>IFERROR(__xludf.DUMMYFUNCTION("""COMPUTED_VALUE"""),"УДС")</f>
        <v>УДС</v>
      </c>
      <c r="D276" s="15"/>
      <c r="E276" s="14" t="str">
        <f>IFERROR(__xludf.DUMMYFUNCTION("""COMPUTED_VALUE"""),"Строительство и реконструкция магистральной улицы общегородского значения «Мамыри - Пенино - Шарапово», 1 очередь «Николо - Хованская улица -а/д «М-3 Украина – Середнево -Марьино -Десна (Этап 5,7,8,9,10,11) поселения Десеновское, Сосенское, Филимонковское"&amp;", Новомосковский административный округ города Москвы")</f>
        <v>Строительство и реконструкция магистральной улицы общегородского значения «Мамыри - Пенино - Шарапово», 1 очередь «Николо - Хованская улица -а/д «М-3 Украина – Середнево -Марьино -Десна (Этап 5,7,8,9,10,11) поселения Десеновское, Сосенское, Филимонковское, Новомосковский административный округ города Москвы</v>
      </c>
      <c r="F276" s="25" t="str">
        <f>IFERROR(__xludf.DUMMYFUNCTION("""COMPUTED_VALUE"""),"#N/A")</f>
        <v>#N/A</v>
      </c>
      <c r="G276" s="6" t="str">
        <f>IFERROR(__xludf.DUMMYFUNCTION("""COMPUTED_VALUE"""),"#N/A")</f>
        <v>#N/A</v>
      </c>
      <c r="H276" s="6"/>
      <c r="I276" s="6"/>
      <c r="J276" s="50"/>
      <c r="K276" s="58"/>
      <c r="L276" s="6" t="s">
        <v>655</v>
      </c>
      <c r="M276" s="52" t="s">
        <v>655</v>
      </c>
      <c r="N276" s="53" t="s">
        <v>655</v>
      </c>
      <c r="O276" s="6" t="s">
        <v>812</v>
      </c>
      <c r="P276" s="6"/>
      <c r="Q276" s="6"/>
      <c r="R276" s="6"/>
    </row>
    <row r="277">
      <c r="A277" s="31" t="str">
        <f>IFERROR(__xludf.DUMMYFUNCTION("""COMPUTED_VALUE"""),"175д")</f>
        <v>175д</v>
      </c>
      <c r="B277" s="14" t="str">
        <f>IFERROR(__xludf.DUMMYFUNCTION("""COMPUTED_VALUE"""),"АИП-25")</f>
        <v>АИП-25</v>
      </c>
      <c r="C277" s="14" t="str">
        <f>IFERROR(__xludf.DUMMYFUNCTION("""COMPUTED_VALUE"""),"УДС")</f>
        <v>УДС</v>
      </c>
      <c r="D277" s="15"/>
      <c r="E277" s="14" t="str">
        <f>IFERROR(__xludf.DUMMYFUNCTION("""COMPUTED_VALUE"""),"Строительство улицы районного значения от Боровского ш. до ж/д ст. Кокошкино от Боровского шоссе до ж/д ст. Кокошкино (Киевское направление МЖД)")</f>
        <v>Строительство улицы районного значения от Боровского ш. до ж/д ст. Кокошкино от Боровского шоссе до ж/д ст. Кокошкино (Киевское направление МЖД)</v>
      </c>
      <c r="F277" s="25" t="str">
        <f>IFERROR(__xludf.DUMMYFUNCTION("""COMPUTED_VALUE"""),"#N/A")</f>
        <v>#N/A</v>
      </c>
      <c r="G277" s="6" t="str">
        <f>IFERROR(__xludf.DUMMYFUNCTION("""COMPUTED_VALUE"""),"#N/A")</f>
        <v>#N/A</v>
      </c>
      <c r="H277" s="6"/>
      <c r="I277" s="6"/>
      <c r="J277" s="50">
        <f>IFERROR(__xludf.DUMMYFUNCTION("""COMPUTED_VALUE"""),0.0)</f>
        <v>0</v>
      </c>
      <c r="K277" s="58">
        <f>IFERROR(__xludf.DUMMYFUNCTION("""COMPUTED_VALUE"""),45968.0)</f>
        <v>45968</v>
      </c>
      <c r="L277" s="6">
        <v>30.0</v>
      </c>
      <c r="M277" s="52">
        <v>45998.0</v>
      </c>
      <c r="N277" s="53" t="s">
        <v>711</v>
      </c>
      <c r="O277" s="6" t="s">
        <v>813</v>
      </c>
      <c r="P277" s="6"/>
      <c r="Q277" s="6"/>
      <c r="R277" s="6"/>
    </row>
    <row r="278">
      <c r="A278" s="31" t="str">
        <f>IFERROR(__xludf.DUMMYFUNCTION("""COMPUTED_VALUE"""),"1128")</f>
        <v>1128</v>
      </c>
      <c r="B278" s="14" t="str">
        <f>IFERROR(__xludf.DUMMYFUNCTION("""COMPUTED_VALUE"""),"АИП-25")</f>
        <v>АИП-25</v>
      </c>
      <c r="C278" s="14" t="str">
        <f>IFERROR(__xludf.DUMMYFUNCTION("""COMPUTED_VALUE"""),"ОКС")</f>
        <v>ОКС</v>
      </c>
      <c r="D278" s="15"/>
      <c r="E278" s="14" t="str">
        <f>IFERROR(__xludf.DUMMYFUNCTION("""COMPUTED_VALUE"""),"Водозаборные узлы для ассоциации садоводческих некоммерческих товариществ «Бель» в Талдомском районе Московской области. Этап 2  Талдомский г.о., северо-восточнее д. Бельское, 
з/у с кадастровым номером 50:01:0060525:194")</f>
        <v>Водозаборные узлы для ассоциации садоводческих некоммерческих товариществ «Бель» в Талдомском районе Московской области. Этап 2  Талдомский г.о., северо-восточнее д. Бельское, 
з/у с кадастровым номером 50:01:0060525:194</v>
      </c>
      <c r="F278" s="25" t="str">
        <f>IFERROR(__xludf.DUMMYFUNCTION("""COMPUTED_VALUE"""),"56.644096")</f>
        <v>56.644096</v>
      </c>
      <c r="G278" s="6" t="str">
        <f>IFERROR(__xludf.DUMMYFUNCTION("""COMPUTED_VALUE"""),"37.663715")</f>
        <v>37.663715</v>
      </c>
      <c r="H278" s="18" t="str">
        <f>IFERROR(__xludf.DUMMYFUNCTION("""COMPUTED_VALUE"""),"https://docs.google.com/spreadsheets/d/19THEBTE9q0fhN2eApZr6BgenIvLGh0AckaYxHQfHk5w/edit?gid=440902567#gid=440902567")</f>
        <v>https://docs.google.com/spreadsheets/d/19THEBTE9q0fhN2eApZr6BgenIvLGh0AckaYxHQfHk5w/edit?gid=440902567#gid=440902567</v>
      </c>
      <c r="I278" s="19" t="str">
        <f>IFERROR(__xludf.DUMMYFUNCTION("""COMPUTED_VALUE"""),"https://disk.yandex.ru/client/disk/Осмотры%20объектов%20АНО%20СМГ/1128%20Водозаборные%20узлы%20для%20ассоциации%20садоводческих%20некоммерческих%0Aтовариществ%20«Бель»%20в%20Талдомском%20районе%20Московской%20области.Этап%202")</f>
        <v>https://disk.yandex.ru/client/disk/Осмотры%20объектов%20АНО%20СМГ/1128%20Водозаборные%20узлы%20для%20ассоциации%20садоводческих%20некоммерческих%0Aтовариществ%20«Бель»%20в%20Талдомском%20районе%20Московской%20области.Этап%202</v>
      </c>
      <c r="J278" s="50">
        <f>IFERROR(__xludf.DUMMYFUNCTION("""COMPUTED_VALUE"""),84.86999999999999)</f>
        <v>84.87</v>
      </c>
      <c r="K278" s="58">
        <f>IFERROR(__xludf.DUMMYFUNCTION("""COMPUTED_VALUE"""),45882.0)</f>
        <v>45882</v>
      </c>
      <c r="L278" s="6">
        <v>14.0</v>
      </c>
      <c r="M278" s="52">
        <v>45896.0</v>
      </c>
      <c r="N278" s="53" t="s">
        <v>652</v>
      </c>
      <c r="O278" s="19" t="s">
        <v>814</v>
      </c>
      <c r="P278" s="6"/>
      <c r="Q278" s="6"/>
      <c r="R278" s="6"/>
    </row>
    <row r="279">
      <c r="A279" s="31" t="str">
        <f>IFERROR(__xludf.DUMMYFUNCTION("""COMPUTED_VALUE"""),"388д")</f>
        <v>388д</v>
      </c>
      <c r="B279" s="14"/>
      <c r="C279" s="14" t="str">
        <f>IFERROR(__xludf.DUMMYFUNCTION("""COMPUTED_VALUE"""),"УДС")</f>
        <v>УДС</v>
      </c>
      <c r="D279" s="15"/>
      <c r="E279" s="14" t="str">
        <f>IFERROR(__xludf.DUMMYFUNCTION("""COMPUTED_VALUE"""),"Реконструкция ул. Антонова-Овсеенко и прилегающей улично–дорожной сети для обеспечения транспортной доступности
 «Сити-2»
 1 этап ТЕХНИЧЕСКИЙ ПУСК ул. Антонова-Овсеенко")</f>
        <v>Реконструкция ул. Антонова-Овсеенко и прилегающей улично–дорожной сети для обеспечения транспортной доступности
 «Сити-2»
 1 этап ТЕХНИЧЕСКИЙ ПУСК ул. Антонова-Овсеенко</v>
      </c>
      <c r="F279" s="25" t="str">
        <f>IFERROR(__xludf.DUMMYFUNCTION("""COMPUTED_VALUE"""),"#N/A")</f>
        <v>#N/A</v>
      </c>
      <c r="G279" s="6" t="str">
        <f>IFERROR(__xludf.DUMMYFUNCTION("""COMPUTED_VALUE"""),"#N/A")</f>
        <v>#N/A</v>
      </c>
      <c r="H279" s="6"/>
      <c r="I279" s="6"/>
      <c r="J279" s="50">
        <f>IFERROR(__xludf.DUMMYFUNCTION("""COMPUTED_VALUE"""),0.504)</f>
        <v>0.504</v>
      </c>
      <c r="K279" s="58">
        <f>IFERROR(__xludf.DUMMYFUNCTION("""COMPUTED_VALUE"""),45968.0)</f>
        <v>45968</v>
      </c>
      <c r="L279" s="6">
        <v>30.0</v>
      </c>
      <c r="M279" s="52">
        <v>45998.0</v>
      </c>
      <c r="N279" s="53" t="s">
        <v>711</v>
      </c>
      <c r="O279" s="6" t="s">
        <v>815</v>
      </c>
      <c r="P279" s="6"/>
      <c r="Q279" s="6"/>
      <c r="R279" s="6"/>
    </row>
    <row r="280">
      <c r="A280" s="31" t="str">
        <f>IFERROR(__xludf.DUMMYFUNCTION("""COMPUTED_VALUE"""),"261д")</f>
        <v>261д</v>
      </c>
      <c r="B280" s="14" t="str">
        <f>IFERROR(__xludf.DUMMYFUNCTION("""COMPUTED_VALUE"""),"АИП-25")</f>
        <v>АИП-25</v>
      </c>
      <c r="C280" s="14" t="str">
        <f>IFERROR(__xludf.DUMMYFUNCTION("""COMPUTED_VALUE"""),"УДС")</f>
        <v>УДС</v>
      </c>
      <c r="D280" s="15"/>
      <c r="E280" s="14" t="str">
        <f>IFERROR(__xludf.DUMMYFUNCTION("""COMPUTED_VALUE"""),"Строительство проектируемого проезда № 3982 от Варшавского шоссе до проектируемого проезда № 3982. Этапы 1 от Варшавского шоссе до проектируемого проезда № 3982")</f>
        <v>Строительство проектируемого проезда № 3982 от Варшавского шоссе до проектируемого проезда № 3982. Этапы 1 от Варшавского шоссе до проектируемого проезда № 3982</v>
      </c>
      <c r="F280" s="25" t="str">
        <f>IFERROR(__xludf.DUMMYFUNCTION("""COMPUTED_VALUE"""),"#N/A")</f>
        <v>#N/A</v>
      </c>
      <c r="G280" s="6" t="str">
        <f>IFERROR(__xludf.DUMMYFUNCTION("""COMPUTED_VALUE"""),"#N/A")</f>
        <v>#N/A</v>
      </c>
      <c r="H280" s="6"/>
      <c r="I280" s="6"/>
      <c r="J280" s="50">
        <f>IFERROR(__xludf.DUMMYFUNCTION("""COMPUTED_VALUE"""),30.64413)</f>
        <v>30.64413</v>
      </c>
      <c r="K280" s="58">
        <f>IFERROR(__xludf.DUMMYFUNCTION("""COMPUTED_VALUE"""),45975.0)</f>
        <v>45975</v>
      </c>
      <c r="L280" s="6">
        <v>30.0</v>
      </c>
      <c r="M280" s="52">
        <v>46005.0</v>
      </c>
      <c r="N280" s="53" t="s">
        <v>711</v>
      </c>
      <c r="O280" s="6" t="s">
        <v>816</v>
      </c>
      <c r="P280" s="6"/>
      <c r="Q280" s="6"/>
      <c r="R280" s="6"/>
    </row>
    <row r="281">
      <c r="A281" s="31" t="str">
        <f>IFERROR(__xludf.DUMMYFUNCTION("""COMPUTED_VALUE"""),"376д")</f>
        <v>376д</v>
      </c>
      <c r="B281" s="14" t="str">
        <f>IFERROR(__xludf.DUMMYFUNCTION("""COMPUTED_VALUE"""),"АИП-25")</f>
        <v>АИП-25</v>
      </c>
      <c r="C281" s="14" t="str">
        <f>IFERROR(__xludf.DUMMYFUNCTION("""COMPUTED_VALUE"""),"УДС")</f>
        <v>УДС</v>
      </c>
      <c r="D281" s="15"/>
      <c r="E281" s="14" t="str">
        <f>IFERROR(__xludf.DUMMYFUNCTION("""COMPUTED_VALUE"""),"Реконструкция проезда «Г» с выездом на Центральный и Московский проспекты проезд «Г»")</f>
        <v>Реконструкция проезда «Г» с выездом на Центральный и Московский проспекты проезд «Г»</v>
      </c>
      <c r="F281" s="25" t="str">
        <f>IFERROR(__xludf.DUMMYFUNCTION("""COMPUTED_VALUE"""),"#N/A")</f>
        <v>#N/A</v>
      </c>
      <c r="G281" s="6" t="str">
        <f>IFERROR(__xludf.DUMMYFUNCTION("""COMPUTED_VALUE"""),"#N/A")</f>
        <v>#N/A</v>
      </c>
      <c r="H281" s="6"/>
      <c r="I281" s="6"/>
      <c r="J281" s="50">
        <f>IFERROR(__xludf.DUMMYFUNCTION("""COMPUTED_VALUE"""),85.164)</f>
        <v>85.164</v>
      </c>
      <c r="K281" s="58">
        <f>IFERROR(__xludf.DUMMYFUNCTION("""COMPUTED_VALUE"""),45971.0)</f>
        <v>45971</v>
      </c>
      <c r="L281" s="6">
        <v>14.0</v>
      </c>
      <c r="M281" s="52">
        <v>45985.0</v>
      </c>
      <c r="N281" s="53" t="s">
        <v>711</v>
      </c>
      <c r="O281" s="6" t="s">
        <v>817</v>
      </c>
      <c r="P281" s="6"/>
      <c r="Q281" s="6"/>
      <c r="R281" s="6"/>
    </row>
    <row r="282">
      <c r="A282" s="31" t="str">
        <f>IFERROR(__xludf.DUMMYFUNCTION("""COMPUTED_VALUE"""),"354д (сводный)")</f>
        <v>354д (сводный)</v>
      </c>
      <c r="B282" s="14" t="str">
        <f>IFERROR(__xludf.DUMMYFUNCTION("""COMPUTED_VALUE"""),"АИП-25")</f>
        <v>АИП-25</v>
      </c>
      <c r="C282" s="14" t="str">
        <f>IFERROR(__xludf.DUMMYFUNCTION("""COMPUTED_VALUE"""),"УДС")</f>
        <v>УДС</v>
      </c>
      <c r="D282" s="60"/>
      <c r="E282" s="14" t="str">
        <f>IFERROR(__xludf.DUMMYFUNCTION("""COMPUTED_VALUE"""),"Строительство путепроводов на пересечении Октябрьского направления Московской железной дороги в районе 24-25 км Ленинградского шоссе с необходимой для их функционирования улично-дорожной сетью. Этапы 1, 2.3, 2.4, 4, 2.5, 3 ")</f>
        <v>Строительство путепроводов на пересечении Октябрьского направления Московской железной дороги в районе 24-25 км Ленинградского шоссе с необходимой для их функционирования улично-дорожной сетью. Этапы 1, 2.3, 2.4, 4, 2.5, 3 </v>
      </c>
      <c r="F282" s="25" t="str">
        <f>IFERROR(__xludf.DUMMYFUNCTION("""COMPUTED_VALUE"""),"#N/A")</f>
        <v>#N/A</v>
      </c>
      <c r="G282" s="6" t="str">
        <f>IFERROR(__xludf.DUMMYFUNCTION("""COMPUTED_VALUE"""),"#N/A")</f>
        <v>#N/A</v>
      </c>
      <c r="H282" s="6"/>
      <c r="I282" s="6"/>
      <c r="J282" s="50"/>
      <c r="K282" s="58"/>
      <c r="L282" s="6">
        <v>30.0</v>
      </c>
      <c r="M282" s="52" t="s">
        <v>655</v>
      </c>
      <c r="N282" s="53" t="s">
        <v>698</v>
      </c>
      <c r="O282" s="6"/>
      <c r="P282" s="6"/>
      <c r="Q282" s="6"/>
      <c r="R282" s="6"/>
    </row>
    <row r="283">
      <c r="A283" s="31" t="str">
        <f>IFERROR(__xludf.DUMMYFUNCTION("""COMPUTED_VALUE"""),"354д (этап 4)")</f>
        <v>354д (этап 4)</v>
      </c>
      <c r="B283" s="14"/>
      <c r="C283" s="14" t="str">
        <f>IFERROR(__xludf.DUMMYFUNCTION("""COMPUTED_VALUE"""),"УДС")</f>
        <v>УДС</v>
      </c>
      <c r="D283" s="15"/>
      <c r="E283"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4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4 г. Москва, 24 км Ленинградского ш.</v>
      </c>
      <c r="F283" s="25" t="str">
        <f>IFERROR(__xludf.DUMMYFUNCTION("""COMPUTED_VALUE"""),"#N/A")</f>
        <v>#N/A</v>
      </c>
      <c r="G283" s="6" t="str">
        <f>IFERROR(__xludf.DUMMYFUNCTION("""COMPUTED_VALUE"""),"#N/A")</f>
        <v>#N/A</v>
      </c>
      <c r="H283" s="6"/>
      <c r="I283" s="6"/>
      <c r="J283" s="50"/>
      <c r="K283" s="58"/>
      <c r="L283" s="6">
        <v>30.0</v>
      </c>
      <c r="M283" s="52" t="s">
        <v>655</v>
      </c>
      <c r="N283" s="53" t="s">
        <v>698</v>
      </c>
      <c r="O283" s="6" t="s">
        <v>669</v>
      </c>
      <c r="P283" s="6"/>
      <c r="Q283" s="6"/>
      <c r="R283" s="6"/>
    </row>
    <row r="284">
      <c r="A284" s="31" t="str">
        <f>IFERROR(__xludf.DUMMYFUNCTION("""COMPUTED_VALUE"""),"354д (этап 3)")</f>
        <v>354д (этап 3)</v>
      </c>
      <c r="B284" s="14"/>
      <c r="C284" s="14" t="str">
        <f>IFERROR(__xludf.DUMMYFUNCTION("""COMPUTED_VALUE"""),"УДС")</f>
        <v>УДС</v>
      </c>
      <c r="D284" s="15"/>
      <c r="E284"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3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3 г. Москва, 24 км Ленинградского ш.</v>
      </c>
      <c r="F284" s="25" t="str">
        <f>IFERROR(__xludf.DUMMYFUNCTION("""COMPUTED_VALUE"""),"#N/A")</f>
        <v>#N/A</v>
      </c>
      <c r="G284" s="6" t="str">
        <f>IFERROR(__xludf.DUMMYFUNCTION("""COMPUTED_VALUE"""),"#N/A")</f>
        <v>#N/A</v>
      </c>
      <c r="H284" s="6"/>
      <c r="I284" s="6"/>
      <c r="J284" s="50"/>
      <c r="K284" s="58"/>
      <c r="L284" s="6">
        <v>30.0</v>
      </c>
      <c r="M284" s="52" t="s">
        <v>655</v>
      </c>
      <c r="N284" s="53" t="s">
        <v>698</v>
      </c>
      <c r="O284" s="6" t="s">
        <v>818</v>
      </c>
      <c r="P284" s="6"/>
      <c r="Q284" s="6"/>
      <c r="R284" s="6"/>
    </row>
    <row r="285">
      <c r="A285" s="31" t="str">
        <f>IFERROR(__xludf.DUMMYFUNCTION("""COMPUTED_VALUE"""),"354д (этап 2.3.2)")</f>
        <v>354д (этап 2.3.2)</v>
      </c>
      <c r="B285" s="14"/>
      <c r="C285" s="14" t="str">
        <f>IFERROR(__xludf.DUMMYFUNCTION("""COMPUTED_VALUE"""),"УДС")</f>
        <v>УДС</v>
      </c>
      <c r="D285" s="15"/>
      <c r="E285"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2.3.2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2.3.2 г. Москва, 24 км Ленинградского ш.</v>
      </c>
      <c r="F285" s="25" t="str">
        <f>IFERROR(__xludf.DUMMYFUNCTION("""COMPUTED_VALUE"""),"#N/A")</f>
        <v>#N/A</v>
      </c>
      <c r="G285" s="6" t="str">
        <f>IFERROR(__xludf.DUMMYFUNCTION("""COMPUTED_VALUE"""),"#N/A")</f>
        <v>#N/A</v>
      </c>
      <c r="H285" s="6"/>
      <c r="I285" s="6"/>
      <c r="J285" s="50"/>
      <c r="K285" s="58"/>
      <c r="L285" s="6">
        <v>30.0</v>
      </c>
      <c r="M285" s="52" t="s">
        <v>655</v>
      </c>
      <c r="N285" s="53" t="s">
        <v>698</v>
      </c>
      <c r="O285" s="6" t="s">
        <v>819</v>
      </c>
      <c r="P285" s="6"/>
      <c r="Q285" s="6"/>
      <c r="R285" s="6"/>
    </row>
    <row r="286">
      <c r="A286" s="31" t="str">
        <f>IFERROR(__xludf.DUMMYFUNCTION("""COMPUTED_VALUE"""),"354д (этап 2.3.3)")</f>
        <v>354д (этап 2.3.3)</v>
      </c>
      <c r="B286" s="14"/>
      <c r="C286" s="14" t="str">
        <f>IFERROR(__xludf.DUMMYFUNCTION("""COMPUTED_VALUE"""),"УДС")</f>
        <v>УДС</v>
      </c>
      <c r="D286" s="15"/>
      <c r="E286"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2.3.3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2.3.3 г. Москва, 24 км Ленинградского ш.</v>
      </c>
      <c r="F286" s="25" t="str">
        <f>IFERROR(__xludf.DUMMYFUNCTION("""COMPUTED_VALUE"""),"#N/A")</f>
        <v>#N/A</v>
      </c>
      <c r="G286" s="6" t="str">
        <f>IFERROR(__xludf.DUMMYFUNCTION("""COMPUTED_VALUE"""),"#N/A")</f>
        <v>#N/A</v>
      </c>
      <c r="H286" s="6"/>
      <c r="I286" s="6"/>
      <c r="J286" s="50"/>
      <c r="K286" s="58"/>
      <c r="L286" s="6">
        <v>30.0</v>
      </c>
      <c r="M286" s="52" t="s">
        <v>655</v>
      </c>
      <c r="N286" s="53" t="s">
        <v>698</v>
      </c>
      <c r="O286" s="6" t="s">
        <v>820</v>
      </c>
      <c r="P286" s="6"/>
      <c r="Q286" s="6"/>
      <c r="R286" s="6"/>
    </row>
    <row r="287">
      <c r="A287" s="31" t="str">
        <f>IFERROR(__xludf.DUMMYFUNCTION("""COMPUTED_VALUE"""),"354д (этап 2.4)")</f>
        <v>354д (этап 2.4)</v>
      </c>
      <c r="B287" s="14"/>
      <c r="C287" s="14" t="str">
        <f>IFERROR(__xludf.DUMMYFUNCTION("""COMPUTED_VALUE"""),"УДС")</f>
        <v>УДС</v>
      </c>
      <c r="D287" s="15"/>
      <c r="E287"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2.4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2.4 г. Москва, 24 км Ленинградского ш.</v>
      </c>
      <c r="F287" s="25" t="str">
        <f>IFERROR(__xludf.DUMMYFUNCTION("""COMPUTED_VALUE"""),"#N/A")</f>
        <v>#N/A</v>
      </c>
      <c r="G287" s="6" t="str">
        <f>IFERROR(__xludf.DUMMYFUNCTION("""COMPUTED_VALUE"""),"#N/A")</f>
        <v>#N/A</v>
      </c>
      <c r="H287" s="6"/>
      <c r="I287" s="6"/>
      <c r="J287" s="50"/>
      <c r="K287" s="58"/>
      <c r="L287" s="6">
        <v>30.0</v>
      </c>
      <c r="M287" s="52" t="s">
        <v>655</v>
      </c>
      <c r="N287" s="53" t="s">
        <v>698</v>
      </c>
      <c r="O287" s="6" t="s">
        <v>669</v>
      </c>
      <c r="P287" s="6"/>
      <c r="Q287" s="6"/>
      <c r="R287" s="6"/>
    </row>
    <row r="288">
      <c r="A288" s="31" t="str">
        <f>IFERROR(__xludf.DUMMYFUNCTION("""COMPUTED_VALUE"""),"354д (этап 2.5)")</f>
        <v>354д (этап 2.5)</v>
      </c>
      <c r="B288" s="14"/>
      <c r="C288" s="14" t="str">
        <f>IFERROR(__xludf.DUMMYFUNCTION("""COMPUTED_VALUE"""),"УДС")</f>
        <v>УДС</v>
      </c>
      <c r="D288" s="15"/>
      <c r="E288"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2.5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2.5 г. Москва, 24 км Ленинградского ш.</v>
      </c>
      <c r="F288" s="25" t="str">
        <f>IFERROR(__xludf.DUMMYFUNCTION("""COMPUTED_VALUE"""),"#N/A")</f>
        <v>#N/A</v>
      </c>
      <c r="G288" s="6" t="str">
        <f>IFERROR(__xludf.DUMMYFUNCTION("""COMPUTED_VALUE"""),"#N/A")</f>
        <v>#N/A</v>
      </c>
      <c r="H288" s="6"/>
      <c r="I288" s="6"/>
      <c r="J288" s="50"/>
      <c r="K288" s="58"/>
      <c r="L288" s="6">
        <v>30.0</v>
      </c>
      <c r="M288" s="52" t="s">
        <v>655</v>
      </c>
      <c r="N288" s="53" t="s">
        <v>698</v>
      </c>
      <c r="O288" s="6" t="s">
        <v>669</v>
      </c>
      <c r="P288" s="6"/>
      <c r="Q288" s="6"/>
      <c r="R288" s="6"/>
    </row>
    <row r="289">
      <c r="A289" s="31" t="str">
        <f>IFERROR(__xludf.DUMMYFUNCTION("""COMPUTED_VALUE"""),"178д (сводный)")</f>
        <v>178д (сводный)</v>
      </c>
      <c r="B289" s="14" t="str">
        <f>IFERROR(__xludf.DUMMYFUNCTION("""COMPUTED_VALUE"""),"АИП-25")</f>
        <v>АИП-25</v>
      </c>
      <c r="C289" s="14" t="str">
        <f>IFERROR(__xludf.DUMMYFUNCTION("""COMPUTED_VALUE"""),"УДС")</f>
        <v>УДС</v>
      </c>
      <c r="D289" s="15"/>
      <c r="E289" s="14" t="str">
        <f>IFERROR(__xludf.DUMMYFUNCTION("""COMPUTED_VALUE"""),"Реконструкция улично-дорожной сети р-нов Ростокино и Алексеевский
 Этапы 2.1.1., 2.1.2. ")</f>
        <v>Реконструкция улично-дорожной сети р-нов Ростокино и Алексеевский
 Этапы 2.1.1., 2.1.2. </v>
      </c>
      <c r="F289" s="25" t="str">
        <f>IFERROR(__xludf.DUMMYFUNCTION("""COMPUTED_VALUE"""),"#N/A")</f>
        <v>#N/A</v>
      </c>
      <c r="G289" s="6" t="str">
        <f>IFERROR(__xludf.DUMMYFUNCTION("""COMPUTED_VALUE"""),"#N/A")</f>
        <v>#N/A</v>
      </c>
      <c r="H289" s="6"/>
      <c r="I289" s="6"/>
      <c r="J289" s="50"/>
      <c r="K289" s="58"/>
      <c r="L289" s="6">
        <v>30.0</v>
      </c>
      <c r="M289" s="52" t="s">
        <v>655</v>
      </c>
      <c r="N289" s="53" t="s">
        <v>698</v>
      </c>
      <c r="O289" s="6"/>
      <c r="P289" s="6"/>
      <c r="Q289" s="6"/>
      <c r="R289" s="6"/>
    </row>
    <row r="290">
      <c r="A290" s="31" t="str">
        <f>IFERROR(__xludf.DUMMYFUNCTION("""COMPUTED_VALUE"""),"178д (этап 2.1.1)")</f>
        <v>178д (этап 2.1.1)</v>
      </c>
      <c r="B290" s="14"/>
      <c r="C290" s="14" t="str">
        <f>IFERROR(__xludf.DUMMYFUNCTION("""COMPUTED_VALUE"""),"УДС")</f>
        <v>УДС</v>
      </c>
      <c r="D290" s="15"/>
      <c r="E290" s="14" t="str">
        <f>IFERROR(__xludf.DUMMYFUNCTION("""COMPUTED_VALUE"""),"Реконструкция улично-дорожной сети р-нов Ростокино и Алексеевский
 Этапы 2.1.1 г. Москва, Ростокино, Алексеевский (СВАО)")</f>
        <v>Реконструкция улично-дорожной сети р-нов Ростокино и Алексеевский
 Этапы 2.1.1 г. Москва, Ростокино, Алексеевский (СВАО)</v>
      </c>
      <c r="F290" s="25" t="str">
        <f>IFERROR(__xludf.DUMMYFUNCTION("""COMPUTED_VALUE"""),"#N/A")</f>
        <v>#N/A</v>
      </c>
      <c r="G290" s="6" t="str">
        <f>IFERROR(__xludf.DUMMYFUNCTION("""COMPUTED_VALUE"""),"#N/A")</f>
        <v>#N/A</v>
      </c>
      <c r="H290" s="6"/>
      <c r="I290" s="6"/>
      <c r="J290" s="50"/>
      <c r="K290" s="58"/>
      <c r="L290" s="6">
        <v>30.0</v>
      </c>
      <c r="M290" s="52" t="s">
        <v>655</v>
      </c>
      <c r="N290" s="53" t="s">
        <v>698</v>
      </c>
      <c r="O290" s="6" t="s">
        <v>821</v>
      </c>
      <c r="P290" s="6"/>
      <c r="Q290" s="6"/>
      <c r="R290" s="6"/>
    </row>
    <row r="291">
      <c r="A291" s="31" t="str">
        <f>IFERROR(__xludf.DUMMYFUNCTION("""COMPUTED_VALUE"""),"178д (этап 2.1.2)")</f>
        <v>178д (этап 2.1.2)</v>
      </c>
      <c r="B291" s="14"/>
      <c r="C291" s="14" t="str">
        <f>IFERROR(__xludf.DUMMYFUNCTION("""COMPUTED_VALUE"""),"УДС")</f>
        <v>УДС</v>
      </c>
      <c r="D291" s="15"/>
      <c r="E291" s="14" t="str">
        <f>IFERROR(__xludf.DUMMYFUNCTION("""COMPUTED_VALUE"""),"Реконструкция улично-дорожной сети р-нов Ростокино и Алексеевский
 Этапы 2.1.2 г. Москва, Ростокино, Алексеевский (СВАО)")</f>
        <v>Реконструкция улично-дорожной сети р-нов Ростокино и Алексеевский
 Этапы 2.1.2 г. Москва, Ростокино, Алексеевский (СВАО)</v>
      </c>
      <c r="F291" s="25" t="str">
        <f>IFERROR(__xludf.DUMMYFUNCTION("""COMPUTED_VALUE"""),"#N/A")</f>
        <v>#N/A</v>
      </c>
      <c r="G291" s="6" t="str">
        <f>IFERROR(__xludf.DUMMYFUNCTION("""COMPUTED_VALUE"""),"#N/A")</f>
        <v>#N/A</v>
      </c>
      <c r="H291" s="6"/>
      <c r="I291" s="6"/>
      <c r="J291" s="50"/>
      <c r="K291" s="58"/>
      <c r="L291" s="6">
        <v>30.0</v>
      </c>
      <c r="M291" s="52" t="s">
        <v>655</v>
      </c>
      <c r="N291" s="53" t="s">
        <v>698</v>
      </c>
      <c r="O291" s="6" t="s">
        <v>821</v>
      </c>
      <c r="P291" s="6"/>
      <c r="Q291" s="6"/>
      <c r="R291" s="6"/>
    </row>
    <row r="292">
      <c r="A292" s="31" t="str">
        <f>IFERROR(__xludf.DUMMYFUNCTION("""COMPUTED_VALUE"""),"189д")</f>
        <v>189д</v>
      </c>
      <c r="B292" s="14" t="str">
        <f>IFERROR(__xludf.DUMMYFUNCTION("""COMPUTED_VALUE"""),"АИП-25")</f>
        <v>АИП-25</v>
      </c>
      <c r="C292" s="14" t="str">
        <f>IFERROR(__xludf.DUMMYFUNCTION("""COMPUTED_VALUE"""),"УДС")</f>
        <v>УДС</v>
      </c>
      <c r="D292" s="15"/>
      <c r="E292" s="14" t="str">
        <f>IFERROR(__xludf.DUMMYFUNCTION("""COMPUTED_VALUE"""),"Реконструкция 2-го Грайвороновского пр-да на участке между Рязанским пр-ктом и железнодорожной веткой ""Новопролетарская"" РЕК.ЖЕЛЕЗНОДОРОЖНОГО ПЕРЕЕЗДА НА 1 КМ РЯЗАНСКОГО НАПР.МЖД")</f>
        <v>Реконструкция 2-го Грайвороновского пр-да на участке между Рязанским пр-ктом и железнодорожной веткой "Новопролетарская" РЕК.ЖЕЛЕЗНОДОРОЖНОГО ПЕРЕЕЗДА НА 1 КМ РЯЗАНСКОГО НАПР.МЖД</v>
      </c>
      <c r="F292" s="25" t="str">
        <f>IFERROR(__xludf.DUMMYFUNCTION("""COMPUTED_VALUE"""),"#N/A")</f>
        <v>#N/A</v>
      </c>
      <c r="G292" s="6" t="str">
        <f>IFERROR(__xludf.DUMMYFUNCTION("""COMPUTED_VALUE"""),"#N/A")</f>
        <v>#N/A</v>
      </c>
      <c r="H292" s="6"/>
      <c r="I292" s="6"/>
      <c r="J292" s="50">
        <f>IFERROR(__xludf.DUMMYFUNCTION("""COMPUTED_VALUE"""),100.0)</f>
        <v>100</v>
      </c>
      <c r="K292" s="58">
        <f>IFERROR(__xludf.DUMMYFUNCTION("""COMPUTED_VALUE"""),45974.0)</f>
        <v>45974</v>
      </c>
      <c r="L292" s="6" t="s">
        <v>654</v>
      </c>
      <c r="M292" s="52" t="s">
        <v>655</v>
      </c>
      <c r="N292" s="53" t="s">
        <v>656</v>
      </c>
      <c r="O292" s="6" t="s">
        <v>822</v>
      </c>
      <c r="P292" s="6"/>
      <c r="Q292" s="6"/>
      <c r="R292" s="6"/>
    </row>
    <row r="293">
      <c r="A293" s="31" t="str">
        <f>IFERROR(__xludf.DUMMYFUNCTION("""COMPUTED_VALUE"""),"265д")</f>
        <v>265д</v>
      </c>
      <c r="B293" s="14" t="str">
        <f>IFERROR(__xludf.DUMMYFUNCTION("""COMPUTED_VALUE"""),"АИП-25")</f>
        <v>АИП-25</v>
      </c>
      <c r="C293" s="14" t="str">
        <f>IFERROR(__xludf.DUMMYFUNCTION("""COMPUTED_VALUE"""),"УДС")</f>
        <v>УДС</v>
      </c>
      <c r="D293" s="15"/>
      <c r="E293" s="14" t="str">
        <f>IFERROR(__xludf.DUMMYFUNCTION("""COMPUTED_VALUE"""),"Строительство и благоустройство участка Симоновской наб., прилегающей к территории жилого комплекса по адресу: Симоновская наб., влд.1 Симоновская набережная, вл.1")</f>
        <v>Строительство и благоустройство участка Симоновской наб., прилегающей к территории жилого комплекса по адресу: Симоновская наб., влд.1 Симоновская набережная, вл.1</v>
      </c>
      <c r="F293" s="25" t="str">
        <f>IFERROR(__xludf.DUMMYFUNCTION("""COMPUTED_VALUE"""),"#N/A")</f>
        <v>#N/A</v>
      </c>
      <c r="G293" s="6" t="str">
        <f>IFERROR(__xludf.DUMMYFUNCTION("""COMPUTED_VALUE"""),"#N/A")</f>
        <v>#N/A</v>
      </c>
      <c r="H293" s="6"/>
      <c r="I293" s="6"/>
      <c r="J293" s="50">
        <f>IFERROR(__xludf.DUMMYFUNCTION("""COMPUTED_VALUE"""),51.303200000000004)</f>
        <v>51.3032</v>
      </c>
      <c r="K293" s="58">
        <f>IFERROR(__xludf.DUMMYFUNCTION("""COMPUTED_VALUE"""),45972.0)</f>
        <v>45972</v>
      </c>
      <c r="L293" s="6">
        <v>14.0</v>
      </c>
      <c r="M293" s="52">
        <v>45986.0</v>
      </c>
      <c r="N293" s="53" t="s">
        <v>711</v>
      </c>
      <c r="O293" s="6" t="s">
        <v>823</v>
      </c>
      <c r="P293" s="6"/>
      <c r="Q293" s="6"/>
      <c r="R293" s="6"/>
    </row>
    <row r="294">
      <c r="A294" s="31" t="str">
        <f>IFERROR(__xludf.DUMMYFUNCTION("""COMPUTED_VALUE"""),"229д")</f>
        <v>229д</v>
      </c>
      <c r="B294" s="14" t="str">
        <f>IFERROR(__xludf.DUMMYFUNCTION("""COMPUTED_VALUE"""),"АИП-25")</f>
        <v>АИП-25</v>
      </c>
      <c r="C294" s="14" t="str">
        <f>IFERROR(__xludf.DUMMYFUNCTION("""COMPUTED_VALUE"""),"УДС")</f>
        <v>УДС</v>
      </c>
      <c r="D294" s="15"/>
      <c r="E294" s="14" t="str">
        <f>IFERROR(__xludf.DUMMYFUNCTION("""COMPUTED_VALUE"""),"Строительство автомобильной дороги от автомобильной дороги ""Солцево-Бутово-Видное"" до ул. Родниковая, Торговая Этап 1.1 От автомобильной дороги ""Солнцево-Бутово-Видное"", до ул. Родниковая, Торговая")</f>
        <v>Строительство автомобильной дороги от автомобильной дороги "Солцево-Бутово-Видное" до ул. Родниковая, Торговая Этап 1.1 От автомобильной дороги "Солнцево-Бутово-Видное", до ул. Родниковая, Торговая</v>
      </c>
      <c r="F294" s="25" t="str">
        <f>IFERROR(__xludf.DUMMYFUNCTION("""COMPUTED_VALUE"""),"#N/A")</f>
        <v>#N/A</v>
      </c>
      <c r="G294" s="6" t="str">
        <f>IFERROR(__xludf.DUMMYFUNCTION("""COMPUTED_VALUE"""),"#N/A")</f>
        <v>#N/A</v>
      </c>
      <c r="H294" s="6"/>
      <c r="I294" s="6"/>
      <c r="J294" s="50">
        <f>IFERROR(__xludf.DUMMYFUNCTION("""COMPUTED_VALUE"""),58.30225)</f>
        <v>58.30225</v>
      </c>
      <c r="K294" s="58">
        <f>IFERROR(__xludf.DUMMYFUNCTION("""COMPUTED_VALUE"""),45971.0)</f>
        <v>45971</v>
      </c>
      <c r="L294" s="6">
        <v>14.0</v>
      </c>
      <c r="M294" s="52">
        <v>45985.0</v>
      </c>
      <c r="N294" s="53" t="s">
        <v>711</v>
      </c>
      <c r="O294" s="6"/>
      <c r="P294" s="6"/>
      <c r="Q294" s="6"/>
      <c r="R294" s="6"/>
    </row>
    <row r="295">
      <c r="A295" s="31" t="str">
        <f>IFERROR(__xludf.DUMMYFUNCTION("""COMPUTED_VALUE"""),"128д")</f>
        <v>128д</v>
      </c>
      <c r="B295" s="14" t="str">
        <f>IFERROR(__xludf.DUMMYFUNCTION("""COMPUTED_VALUE"""),"АИП-25")</f>
        <v>АИП-25</v>
      </c>
      <c r="C295" s="14" t="str">
        <f>IFERROR(__xludf.DUMMYFUNCTION("""COMPUTED_VALUE"""),"УДС")</f>
        <v>УДС</v>
      </c>
      <c r="D295" s="15"/>
      <c r="E295" s="14" t="str">
        <f>IFERROR(__xludf.DUMMYFUNCTION("""COMPUTED_VALUE"""),"Развитие улично-дорожной сети г.о. Троицк (2 этап). Строительство и реконструкция улицы от ул. Академика Черенкова до Калужского шоссе от ул. Академика Черенкова до Калужского шоссе")</f>
        <v>Развитие улично-дорожной сети г.о. Троицк (2 этап). Строительство и реконструкция улицы от ул. Академика Черенкова до Калужского шоссе от ул. Академика Черенкова до Калужского шоссе</v>
      </c>
      <c r="F295" s="25" t="str">
        <f>IFERROR(__xludf.DUMMYFUNCTION("""COMPUTED_VALUE"""),"#N/A")</f>
        <v>#N/A</v>
      </c>
      <c r="G295" s="6" t="str">
        <f>IFERROR(__xludf.DUMMYFUNCTION("""COMPUTED_VALUE"""),"#N/A")</f>
        <v>#N/A</v>
      </c>
      <c r="H295" s="6"/>
      <c r="I295" s="6"/>
      <c r="J295" s="50">
        <f>IFERROR(__xludf.DUMMYFUNCTION("""COMPUTED_VALUE"""),71.9654)</f>
        <v>71.9654</v>
      </c>
      <c r="K295" s="58">
        <f>IFERROR(__xludf.DUMMYFUNCTION("""COMPUTED_VALUE"""),45973.0)</f>
        <v>45973</v>
      </c>
      <c r="L295" s="6">
        <v>14.0</v>
      </c>
      <c r="M295" s="52">
        <v>45987.0</v>
      </c>
      <c r="N295" s="53" t="s">
        <v>711</v>
      </c>
      <c r="O295" s="6"/>
      <c r="P295" s="6"/>
      <c r="Q295" s="6"/>
      <c r="R295" s="6"/>
    </row>
    <row r="296">
      <c r="A296" s="31" t="str">
        <f>IFERROR(__xludf.DUMMYFUNCTION("""COMPUTED_VALUE"""),"232д (сводный)")</f>
        <v>232д (сводный)</v>
      </c>
      <c r="B296" s="14" t="str">
        <f>IFERROR(__xludf.DUMMYFUNCTION("""COMPUTED_VALUE"""),"АИП-25")</f>
        <v>АИП-25</v>
      </c>
      <c r="C296" s="14" t="str">
        <f>IFERROR(__xludf.DUMMYFUNCTION("""COMPUTED_VALUE"""),"УДС")</f>
        <v>УДС</v>
      </c>
      <c r="D296" s="15"/>
      <c r="E296"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Этапы 1.1.3.4, 1.1.3.7, 1.1.3.8, 1.1.3.5, 1.1.3.6 ")</f>
        <v>Реконструкция транспортной развязки на пересечении МКАД с Липецкой ул. со строительством необходимых для функционирования подъездных дорог. Этапы 1.1.3.4, 1.1.3.7, 1.1.3.8, 1.1.3.5, 1.1.3.6 </v>
      </c>
      <c r="F296" s="25" t="str">
        <f>IFERROR(__xludf.DUMMYFUNCTION("""COMPUTED_VALUE"""),"#N/A")</f>
        <v>#N/A</v>
      </c>
      <c r="G296" s="6" t="str">
        <f>IFERROR(__xludf.DUMMYFUNCTION("""COMPUTED_VALUE"""),"#N/A")</f>
        <v>#N/A</v>
      </c>
      <c r="H296" s="6"/>
      <c r="I296" s="6"/>
      <c r="J296" s="50"/>
      <c r="K296" s="58"/>
      <c r="L296" s="6">
        <v>30.0</v>
      </c>
      <c r="M296" s="52" t="s">
        <v>655</v>
      </c>
      <c r="N296" s="53" t="s">
        <v>698</v>
      </c>
      <c r="O296" s="6"/>
      <c r="P296" s="6"/>
      <c r="Q296" s="6"/>
      <c r="R296" s="6"/>
    </row>
    <row r="297">
      <c r="A297" s="31" t="str">
        <f>IFERROR(__xludf.DUMMYFUNCTION("""COMPUTED_VALUE"""),"232д (этап 1.1.3.4)")</f>
        <v>232д (этап 1.1.3.4)</v>
      </c>
      <c r="B297" s="14"/>
      <c r="C297" s="14" t="str">
        <f>IFERROR(__xludf.DUMMYFUNCTION("""COMPUTED_VALUE"""),"УДС")</f>
        <v>УДС</v>
      </c>
      <c r="D297" s="15"/>
      <c r="E297"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1.1.3.4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1.1.3.4 Транспортная развязка на пересечении МКАД с Липецкой ул.</v>
      </c>
      <c r="F297" s="25" t="str">
        <f>IFERROR(__xludf.DUMMYFUNCTION("""COMPUTED_VALUE"""),"#N/A")</f>
        <v>#N/A</v>
      </c>
      <c r="G297" s="6" t="str">
        <f>IFERROR(__xludf.DUMMYFUNCTION("""COMPUTED_VALUE"""),"#N/A")</f>
        <v>#N/A</v>
      </c>
      <c r="H297" s="6"/>
      <c r="I297" s="6"/>
      <c r="J297" s="50"/>
      <c r="K297" s="58"/>
      <c r="L297" s="6">
        <v>30.0</v>
      </c>
      <c r="M297" s="52" t="s">
        <v>655</v>
      </c>
      <c r="N297" s="53" t="s">
        <v>698</v>
      </c>
      <c r="O297" s="6" t="s">
        <v>824</v>
      </c>
      <c r="P297" s="6"/>
      <c r="Q297" s="6"/>
      <c r="R297" s="6"/>
    </row>
    <row r="298">
      <c r="A298" s="31" t="str">
        <f>IFERROR(__xludf.DUMMYFUNCTION("""COMPUTED_VALUE"""),"232д (этап 1.1.3.5)")</f>
        <v>232д (этап 1.1.3.5)</v>
      </c>
      <c r="B298" s="14"/>
      <c r="C298" s="14" t="str">
        <f>IFERROR(__xludf.DUMMYFUNCTION("""COMPUTED_VALUE"""),"УДС")</f>
        <v>УДС</v>
      </c>
      <c r="D298" s="15"/>
      <c r="E298"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1.1.3.5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1.1.3.5 Транспортная развязка на пересечении МКАД с Липецкой ул.</v>
      </c>
      <c r="F298" s="25" t="str">
        <f>IFERROR(__xludf.DUMMYFUNCTION("""COMPUTED_VALUE"""),"#N/A")</f>
        <v>#N/A</v>
      </c>
      <c r="G298" s="6" t="str">
        <f>IFERROR(__xludf.DUMMYFUNCTION("""COMPUTED_VALUE"""),"#N/A")</f>
        <v>#N/A</v>
      </c>
      <c r="H298" s="6"/>
      <c r="I298" s="6"/>
      <c r="J298" s="50"/>
      <c r="K298" s="58"/>
      <c r="L298" s="6">
        <v>30.0</v>
      </c>
      <c r="M298" s="52" t="s">
        <v>655</v>
      </c>
      <c r="N298" s="53" t="s">
        <v>698</v>
      </c>
      <c r="O298" s="6" t="s">
        <v>825</v>
      </c>
      <c r="P298" s="6"/>
      <c r="Q298" s="6"/>
      <c r="R298" s="6"/>
    </row>
    <row r="299">
      <c r="A299" s="31" t="str">
        <f>IFERROR(__xludf.DUMMYFUNCTION("""COMPUTED_VALUE"""),"232д (этап 1.1.3.6)")</f>
        <v>232д (этап 1.1.3.6)</v>
      </c>
      <c r="B299" s="14"/>
      <c r="C299" s="14" t="str">
        <f>IFERROR(__xludf.DUMMYFUNCTION("""COMPUTED_VALUE"""),"УДС")</f>
        <v>УДС</v>
      </c>
      <c r="D299" s="15"/>
      <c r="E299"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1.1.3.6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1.1.3.6 Транспортная развязка на пересечении МКАД с Липецкой ул.</v>
      </c>
      <c r="F299" s="25" t="str">
        <f>IFERROR(__xludf.DUMMYFUNCTION("""COMPUTED_VALUE"""),"#N/A")</f>
        <v>#N/A</v>
      </c>
      <c r="G299" s="6" t="str">
        <f>IFERROR(__xludf.DUMMYFUNCTION("""COMPUTED_VALUE"""),"#N/A")</f>
        <v>#N/A</v>
      </c>
      <c r="H299" s="6"/>
      <c r="I299" s="6"/>
      <c r="J299" s="50"/>
      <c r="K299" s="58"/>
      <c r="L299" s="6">
        <v>30.0</v>
      </c>
      <c r="M299" s="52" t="s">
        <v>655</v>
      </c>
      <c r="N299" s="53" t="s">
        <v>698</v>
      </c>
      <c r="O299" s="6" t="s">
        <v>825</v>
      </c>
      <c r="P299" s="6"/>
      <c r="Q299" s="6"/>
      <c r="R299" s="6"/>
    </row>
    <row r="300">
      <c r="A300" s="31" t="str">
        <f>IFERROR(__xludf.DUMMYFUNCTION("""COMPUTED_VALUE"""),"232д (этап 1.1.3.7)")</f>
        <v>232д (этап 1.1.3.7)</v>
      </c>
      <c r="B300" s="14"/>
      <c r="C300" s="14" t="str">
        <f>IFERROR(__xludf.DUMMYFUNCTION("""COMPUTED_VALUE"""),"УДС")</f>
        <v>УДС</v>
      </c>
      <c r="D300" s="15"/>
      <c r="E300"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1.1.3.7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1.1.3.7 Транспортная развязка на пересечении МКАД с Липецкой ул.</v>
      </c>
      <c r="F300" s="25" t="str">
        <f>IFERROR(__xludf.DUMMYFUNCTION("""COMPUTED_VALUE"""),"#N/A")</f>
        <v>#N/A</v>
      </c>
      <c r="G300" s="6" t="str">
        <f>IFERROR(__xludf.DUMMYFUNCTION("""COMPUTED_VALUE"""),"#N/A")</f>
        <v>#N/A</v>
      </c>
      <c r="H300" s="6"/>
      <c r="I300" s="6"/>
      <c r="J300" s="50"/>
      <c r="K300" s="58"/>
      <c r="L300" s="6">
        <v>30.0</v>
      </c>
      <c r="M300" s="52" t="s">
        <v>655</v>
      </c>
      <c r="N300" s="53" t="s">
        <v>698</v>
      </c>
      <c r="O300" s="6" t="s">
        <v>824</v>
      </c>
      <c r="P300" s="6"/>
      <c r="Q300" s="6"/>
      <c r="R300" s="6"/>
    </row>
    <row r="301">
      <c r="A301" s="31" t="str">
        <f>IFERROR(__xludf.DUMMYFUNCTION("""COMPUTED_VALUE"""),"232д (этап 1.1.3.8)")</f>
        <v>232д (этап 1.1.3.8)</v>
      </c>
      <c r="B301" s="14"/>
      <c r="C301" s="14" t="str">
        <f>IFERROR(__xludf.DUMMYFUNCTION("""COMPUTED_VALUE"""),"УДС")</f>
        <v>УДС</v>
      </c>
      <c r="D301" s="15"/>
      <c r="E301"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1.1.3.8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1.1.3.8 Транспортная развязка на пересечении МКАД с Липецкой ул.</v>
      </c>
      <c r="F301" s="25" t="str">
        <f>IFERROR(__xludf.DUMMYFUNCTION("""COMPUTED_VALUE"""),"#N/A")</f>
        <v>#N/A</v>
      </c>
      <c r="G301" s="6" t="str">
        <f>IFERROR(__xludf.DUMMYFUNCTION("""COMPUTED_VALUE"""),"#N/A")</f>
        <v>#N/A</v>
      </c>
      <c r="H301" s="6"/>
      <c r="I301" s="6"/>
      <c r="J301" s="50"/>
      <c r="K301" s="58"/>
      <c r="L301" s="6">
        <v>30.0</v>
      </c>
      <c r="M301" s="52" t="s">
        <v>655</v>
      </c>
      <c r="N301" s="53" t="s">
        <v>698</v>
      </c>
      <c r="O301" s="6" t="s">
        <v>826</v>
      </c>
      <c r="P301" s="6"/>
      <c r="Q301" s="6"/>
      <c r="R301" s="6"/>
    </row>
    <row r="302">
      <c r="A302" s="31" t="str">
        <f>IFERROR(__xludf.DUMMYFUNCTION("""COMPUTED_VALUE"""),"232д (сводный 2)")</f>
        <v>232д (сводный 2)</v>
      </c>
      <c r="B302" s="14" t="str">
        <f>IFERROR(__xludf.DUMMYFUNCTION("""COMPUTED_VALUE"""),"АИП-25")</f>
        <v>АИП-25</v>
      </c>
      <c r="C302" s="14" t="str">
        <f>IFERROR(__xludf.DUMMYFUNCTION("""COMPUTED_VALUE"""),"УДС")</f>
        <v>УДС</v>
      </c>
      <c r="D302" s="15"/>
      <c r="E302" s="14" t="str">
        <f>IFERROR(__xludf.DUMMYFUNCTION("""COMPUTED_VALUE"""),"Транспортная развязка на пересечении МКАД с Липецкой ул. Этапы 1.1.3.9., 1.2., 1.1.3.2.2. ")</f>
        <v>Транспортная развязка на пересечении МКАД с Липецкой ул. Этапы 1.1.3.9., 1.2., 1.1.3.2.2. </v>
      </c>
      <c r="F302" s="25" t="str">
        <f>IFERROR(__xludf.DUMMYFUNCTION("""COMPUTED_VALUE"""),"#N/A")</f>
        <v>#N/A</v>
      </c>
      <c r="G302" s="6" t="str">
        <f>IFERROR(__xludf.DUMMYFUNCTION("""COMPUTED_VALUE"""),"#N/A")</f>
        <v>#N/A</v>
      </c>
      <c r="H302" s="6"/>
      <c r="I302" s="6"/>
      <c r="J302" s="50"/>
      <c r="K302" s="58"/>
      <c r="L302" s="6">
        <v>30.0</v>
      </c>
      <c r="M302" s="52" t="s">
        <v>655</v>
      </c>
      <c r="N302" s="53" t="s">
        <v>698</v>
      </c>
      <c r="O302" s="6"/>
      <c r="P302" s="6"/>
      <c r="Q302" s="6"/>
      <c r="R302" s="6"/>
    </row>
    <row r="303">
      <c r="A303" s="31" t="str">
        <f>IFERROR(__xludf.DUMMYFUNCTION("""COMPUTED_VALUE"""),"232д (этап 1.1.3.2.2)")</f>
        <v>232д (этап 1.1.3.2.2)</v>
      </c>
      <c r="B303" s="14"/>
      <c r="C303" s="14" t="str">
        <f>IFERROR(__xludf.DUMMYFUNCTION("""COMPUTED_VALUE"""),"УДС")</f>
        <v>УДС</v>
      </c>
      <c r="D303" s="15"/>
      <c r="E303" s="14" t="str">
        <f>IFERROR(__xludf.DUMMYFUNCTION("""COMPUTED_VALUE"""),"Транспортная развязка на пересечении МКАД с Липецкой ул. Этапы 1.1.3.2.2 МКАД")</f>
        <v>Транспортная развязка на пересечении МКАД с Липецкой ул. Этапы 1.1.3.2.2 МКАД</v>
      </c>
      <c r="F303" s="25" t="str">
        <f>IFERROR(__xludf.DUMMYFUNCTION("""COMPUTED_VALUE"""),"#N/A")</f>
        <v>#N/A</v>
      </c>
      <c r="G303" s="6" t="str">
        <f>IFERROR(__xludf.DUMMYFUNCTION("""COMPUTED_VALUE"""),"#N/A")</f>
        <v>#N/A</v>
      </c>
      <c r="H303" s="6"/>
      <c r="I303" s="6"/>
      <c r="J303" s="50"/>
      <c r="K303" s="58"/>
      <c r="L303" s="6">
        <v>30.0</v>
      </c>
      <c r="M303" s="52" t="s">
        <v>655</v>
      </c>
      <c r="N303" s="53" t="s">
        <v>698</v>
      </c>
      <c r="O303" s="6" t="s">
        <v>827</v>
      </c>
      <c r="P303" s="6"/>
      <c r="Q303" s="6"/>
      <c r="R303" s="6"/>
    </row>
    <row r="304">
      <c r="A304" s="31" t="str">
        <f>IFERROR(__xludf.DUMMYFUNCTION("""COMPUTED_VALUE"""),"232д (этап 1.1.3.9)")</f>
        <v>232д (этап 1.1.3.9)</v>
      </c>
      <c r="B304" s="14"/>
      <c r="C304" s="14" t="str">
        <f>IFERROR(__xludf.DUMMYFUNCTION("""COMPUTED_VALUE"""),"УДС")</f>
        <v>УДС</v>
      </c>
      <c r="D304" s="15"/>
      <c r="E304" s="14" t="str">
        <f>IFERROR(__xludf.DUMMYFUNCTION("""COMPUTED_VALUE"""),"Транспортная развязка на пересечении МКАД с Липецкой ул. Этапы 1.1.3.9 МКАД")</f>
        <v>Транспортная развязка на пересечении МКАД с Липецкой ул. Этапы 1.1.3.9 МКАД</v>
      </c>
      <c r="F304" s="25" t="str">
        <f>IFERROR(__xludf.DUMMYFUNCTION("""COMPUTED_VALUE"""),"#N/A")</f>
        <v>#N/A</v>
      </c>
      <c r="G304" s="6" t="str">
        <f>IFERROR(__xludf.DUMMYFUNCTION("""COMPUTED_VALUE"""),"#N/A")</f>
        <v>#N/A</v>
      </c>
      <c r="H304" s="6"/>
      <c r="I304" s="6"/>
      <c r="J304" s="50"/>
      <c r="K304" s="58"/>
      <c r="L304" s="6">
        <v>30.0</v>
      </c>
      <c r="M304" s="52" t="s">
        <v>655</v>
      </c>
      <c r="N304" s="53" t="s">
        <v>698</v>
      </c>
      <c r="O304" s="6" t="s">
        <v>826</v>
      </c>
      <c r="P304" s="6"/>
      <c r="Q304" s="6"/>
      <c r="R304" s="6"/>
    </row>
    <row r="305">
      <c r="A305" s="31" t="str">
        <f>IFERROR(__xludf.DUMMYFUNCTION("""COMPUTED_VALUE"""),"232д (этап 1.2)")</f>
        <v>232д (этап 1.2)</v>
      </c>
      <c r="B305" s="14"/>
      <c r="C305" s="14" t="str">
        <f>IFERROR(__xludf.DUMMYFUNCTION("""COMPUTED_VALUE"""),"УДС")</f>
        <v>УДС</v>
      </c>
      <c r="D305" s="15"/>
      <c r="E305" s="14" t="str">
        <f>IFERROR(__xludf.DUMMYFUNCTION("""COMPUTED_VALUE"""),"Транспортная развязка на пересечении МКАД с Липецкой ул. Этапы 1.2 МКАД")</f>
        <v>Транспортная развязка на пересечении МКАД с Липецкой ул. Этапы 1.2 МКАД</v>
      </c>
      <c r="F305" s="25" t="str">
        <f>IFERROR(__xludf.DUMMYFUNCTION("""COMPUTED_VALUE"""),"#N/A")</f>
        <v>#N/A</v>
      </c>
      <c r="G305" s="6" t="str">
        <f>IFERROR(__xludf.DUMMYFUNCTION("""COMPUTED_VALUE"""),"#N/A")</f>
        <v>#N/A</v>
      </c>
      <c r="H305" s="6"/>
      <c r="I305" s="6"/>
      <c r="J305" s="50"/>
      <c r="K305" s="58"/>
      <c r="L305" s="6">
        <v>30.0</v>
      </c>
      <c r="M305" s="52" t="s">
        <v>655</v>
      </c>
      <c r="N305" s="53" t="s">
        <v>698</v>
      </c>
      <c r="O305" s="6" t="s">
        <v>828</v>
      </c>
      <c r="P305" s="6"/>
      <c r="Q305" s="6"/>
      <c r="R305" s="6"/>
    </row>
    <row r="306">
      <c r="A306" s="31" t="str">
        <f>IFERROR(__xludf.DUMMYFUNCTION("""COMPUTED_VALUE"""),"335д (сводный)")</f>
        <v>335д (сводный)</v>
      </c>
      <c r="B306" s="14" t="str">
        <f>IFERROR(__xludf.DUMMYFUNCTION("""COMPUTED_VALUE"""),"АИП-25")</f>
        <v>АИП-25</v>
      </c>
      <c r="C306" s="14" t="str">
        <f>IFERROR(__xludf.DUMMYFUNCTION("""COMPUTED_VALUE"""),"УДС")</f>
        <v>УДС</v>
      </c>
      <c r="D306" s="15"/>
      <c r="E30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6"&amp;", 4 (ОС) ")</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 4 (ОС) </v>
      </c>
      <c r="F306" s="25" t="str">
        <f>IFERROR(__xludf.DUMMYFUNCTION("""COMPUTED_VALUE"""),"#N/A")</f>
        <v>#N/A</v>
      </c>
      <c r="G306" s="6" t="str">
        <f>IFERROR(__xludf.DUMMYFUNCTION("""COMPUTED_VALUE"""),"#N/A")</f>
        <v>#N/A</v>
      </c>
      <c r="H306" s="6"/>
      <c r="I306" s="6"/>
      <c r="J306" s="50"/>
      <c r="K306" s="58"/>
      <c r="L306" s="6">
        <v>30.0</v>
      </c>
      <c r="M306" s="52" t="s">
        <v>655</v>
      </c>
      <c r="N306" s="53" t="s">
        <v>698</v>
      </c>
      <c r="O306" s="6"/>
      <c r="P306" s="6"/>
      <c r="Q306" s="6"/>
      <c r="R306" s="6"/>
    </row>
    <row r="307">
      <c r="A307" s="31" t="str">
        <f>IFERROR(__xludf.DUMMYFUNCTION("""COMPUTED_VALUE"""),"335д (этап 4)")</f>
        <v>335д (этап 4)</v>
      </c>
      <c r="B307" s="14"/>
      <c r="C307" s="14" t="str">
        <f>IFERROR(__xludf.DUMMYFUNCTION("""COMPUTED_VALUE"""),"УДС")</f>
        <v>УДС</v>
      </c>
      <c r="D307" s="15"/>
      <c r="E307"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Этап"&amp;" 4 (ОС) 3-й Дорожный проезд, 24")</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4 (ОС) 3-й Дорожный проезд, 24</v>
      </c>
      <c r="F307" s="25" t="str">
        <f>IFERROR(__xludf.DUMMYFUNCTION("""COMPUTED_VALUE"""),"#N/A")</f>
        <v>#N/A</v>
      </c>
      <c r="G307" s="6" t="str">
        <f>IFERROR(__xludf.DUMMYFUNCTION("""COMPUTED_VALUE"""),"#N/A")</f>
        <v>#N/A</v>
      </c>
      <c r="H307" s="6"/>
      <c r="I307" s="6"/>
      <c r="J307" s="50"/>
      <c r="K307" s="58"/>
      <c r="L307" s="6">
        <v>30.0</v>
      </c>
      <c r="M307" s="52" t="s">
        <v>655</v>
      </c>
      <c r="N307" s="53" t="s">
        <v>698</v>
      </c>
      <c r="O307" s="6" t="s">
        <v>829</v>
      </c>
      <c r="P307" s="6"/>
      <c r="Q307" s="6"/>
      <c r="R307" s="6"/>
    </row>
    <row r="308">
      <c r="A308" s="31" t="str">
        <f>IFERROR(__xludf.DUMMYFUNCTION("""COMPUTED_VALUE"""),"335д (этап 6)")</f>
        <v>335д (этап 6)</v>
      </c>
      <c r="B308" s="14"/>
      <c r="C308" s="14" t="str">
        <f>IFERROR(__xludf.DUMMYFUNCTION("""COMPUTED_VALUE"""),"УДС")</f>
        <v>УДС</v>
      </c>
      <c r="D308" s="15"/>
      <c r="E308"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Этап"&amp;" 6 3-й Дорожный проезд, 24")</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 3-й Дорожный проезд, 24</v>
      </c>
      <c r="F308" s="25" t="str">
        <f>IFERROR(__xludf.DUMMYFUNCTION("""COMPUTED_VALUE"""),"#N/A")</f>
        <v>#N/A</v>
      </c>
      <c r="G308" s="6" t="str">
        <f>IFERROR(__xludf.DUMMYFUNCTION("""COMPUTED_VALUE"""),"#N/A")</f>
        <v>#N/A</v>
      </c>
      <c r="H308" s="6"/>
      <c r="I308" s="6"/>
      <c r="J308" s="50"/>
      <c r="K308" s="58"/>
      <c r="L308" s="6">
        <v>30.0</v>
      </c>
      <c r="M308" s="52" t="s">
        <v>655</v>
      </c>
      <c r="N308" s="53" t="s">
        <v>698</v>
      </c>
      <c r="O308" s="6" t="s">
        <v>830</v>
      </c>
      <c r="P308" s="6"/>
      <c r="Q308" s="6"/>
      <c r="R308" s="6"/>
    </row>
    <row r="309">
      <c r="A309" s="31" t="str">
        <f>IFERROR(__xludf.DUMMYFUNCTION("""COMPUTED_VALUE"""),"112д (сводный)")</f>
        <v>112д (сводный)</v>
      </c>
      <c r="B309" s="14" t="str">
        <f>IFERROR(__xludf.DUMMYFUNCTION("""COMPUTED_VALUE"""),"АИП-25")</f>
        <v>АИП-25</v>
      </c>
      <c r="C309" s="14" t="str">
        <f>IFERROR(__xludf.DUMMYFUNCTION("""COMPUTED_VALUE"""),"УДС")</f>
        <v>УДС</v>
      </c>
      <c r="D309" s="15"/>
      <c r="E309" s="14" t="str">
        <f>IFERROR(__xludf.DUMMYFUNCTION("""COMPUTED_VALUE"""),"ЮР-1. Участок от ул.Каспийской до 1-го Котляковского пер. Этапы 2.3, 2.4, 2.5, 2.1, 2.6, 3 ")</f>
        <v>ЮР-1. Участок от ул.Каспийской до 1-го Котляковского пер. Этапы 2.3, 2.4, 2.5, 2.1, 2.6, 3 </v>
      </c>
      <c r="F309" s="25" t="str">
        <f>IFERROR(__xludf.DUMMYFUNCTION("""COMPUTED_VALUE"""),"#N/A")</f>
        <v>#N/A</v>
      </c>
      <c r="G309" s="6" t="str">
        <f>IFERROR(__xludf.DUMMYFUNCTION("""COMPUTED_VALUE"""),"#N/A")</f>
        <v>#N/A</v>
      </c>
      <c r="H309" s="6"/>
      <c r="I309" s="6"/>
      <c r="J309" s="50"/>
      <c r="K309" s="58"/>
      <c r="L309" s="6">
        <v>30.0</v>
      </c>
      <c r="M309" s="52" t="s">
        <v>655</v>
      </c>
      <c r="N309" s="53" t="s">
        <v>698</v>
      </c>
      <c r="O309" s="6"/>
      <c r="P309" s="6"/>
      <c r="Q309" s="6"/>
      <c r="R309" s="6"/>
    </row>
    <row r="310">
      <c r="A310" s="31" t="str">
        <f>IFERROR(__xludf.DUMMYFUNCTION("""COMPUTED_VALUE"""),"112д (этап 2.1)")</f>
        <v>112д (этап 2.1)</v>
      </c>
      <c r="B310" s="14"/>
      <c r="C310" s="14" t="str">
        <f>IFERROR(__xludf.DUMMYFUNCTION("""COMPUTED_VALUE"""),"УДС")</f>
        <v>УДС</v>
      </c>
      <c r="D310" s="15"/>
      <c r="E310"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2.1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2.1 ул.Каспийская 1-й Котляковский переулок.</v>
      </c>
      <c r="F310" s="25" t="str">
        <f>IFERROR(__xludf.DUMMYFUNCTION("""COMPUTED_VALUE"""),"#N/A")</f>
        <v>#N/A</v>
      </c>
      <c r="G310" s="6" t="str">
        <f>IFERROR(__xludf.DUMMYFUNCTION("""COMPUTED_VALUE"""),"#N/A")</f>
        <v>#N/A</v>
      </c>
      <c r="H310" s="6"/>
      <c r="I310" s="6"/>
      <c r="J310" s="50"/>
      <c r="K310" s="58"/>
      <c r="L310" s="6">
        <v>30.0</v>
      </c>
      <c r="M310" s="52" t="s">
        <v>655</v>
      </c>
      <c r="N310" s="53" t="s">
        <v>698</v>
      </c>
      <c r="O310" s="6"/>
      <c r="P310" s="6"/>
      <c r="Q310" s="6"/>
      <c r="R310" s="6"/>
    </row>
    <row r="311">
      <c r="A311" s="31" t="str">
        <f>IFERROR(__xludf.DUMMYFUNCTION("""COMPUTED_VALUE"""),"112д (этап 2.3)")</f>
        <v>112д (этап 2.3)</v>
      </c>
      <c r="B311" s="14"/>
      <c r="C311" s="14" t="str">
        <f>IFERROR(__xludf.DUMMYFUNCTION("""COMPUTED_VALUE"""),"УДС")</f>
        <v>УДС</v>
      </c>
      <c r="D311" s="15"/>
      <c r="E311"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2.3,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2.3, ул.Каспийская 1-й Котляковский переулок.</v>
      </c>
      <c r="F311" s="25" t="str">
        <f>IFERROR(__xludf.DUMMYFUNCTION("""COMPUTED_VALUE"""),"#N/A")</f>
        <v>#N/A</v>
      </c>
      <c r="G311" s="6" t="str">
        <f>IFERROR(__xludf.DUMMYFUNCTION("""COMPUTED_VALUE"""),"#N/A")</f>
        <v>#N/A</v>
      </c>
      <c r="H311" s="6"/>
      <c r="I311" s="6"/>
      <c r="J311" s="50"/>
      <c r="K311" s="58"/>
      <c r="L311" s="6">
        <v>30.0</v>
      </c>
      <c r="M311" s="52" t="s">
        <v>655</v>
      </c>
      <c r="N311" s="53" t="s">
        <v>698</v>
      </c>
      <c r="O311" s="6"/>
      <c r="P311" s="6"/>
      <c r="Q311" s="6"/>
      <c r="R311" s="6"/>
    </row>
    <row r="312">
      <c r="A312" s="31" t="str">
        <f>IFERROR(__xludf.DUMMYFUNCTION("""COMPUTED_VALUE"""),"112д (этап 2.4)")</f>
        <v>112д (этап 2.4)</v>
      </c>
      <c r="B312" s="14"/>
      <c r="C312" s="14" t="str">
        <f>IFERROR(__xludf.DUMMYFUNCTION("""COMPUTED_VALUE"""),"УДС")</f>
        <v>УДС</v>
      </c>
      <c r="D312" s="15"/>
      <c r="E312"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2.4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2.4 ул.Каспийская 1-й Котляковский переулок.</v>
      </c>
      <c r="F312" s="25" t="str">
        <f>IFERROR(__xludf.DUMMYFUNCTION("""COMPUTED_VALUE"""),"#N/A")</f>
        <v>#N/A</v>
      </c>
      <c r="G312" s="6" t="str">
        <f>IFERROR(__xludf.DUMMYFUNCTION("""COMPUTED_VALUE"""),"#N/A")</f>
        <v>#N/A</v>
      </c>
      <c r="H312" s="6"/>
      <c r="I312" s="6"/>
      <c r="J312" s="50"/>
      <c r="K312" s="58"/>
      <c r="L312" s="6">
        <v>30.0</v>
      </c>
      <c r="M312" s="52" t="s">
        <v>655</v>
      </c>
      <c r="N312" s="53" t="s">
        <v>698</v>
      </c>
      <c r="O312" s="6"/>
      <c r="P312" s="6"/>
      <c r="Q312" s="6"/>
      <c r="R312" s="6"/>
    </row>
    <row r="313">
      <c r="A313" s="31" t="str">
        <f>IFERROR(__xludf.DUMMYFUNCTION("""COMPUTED_VALUE"""),"112д (этап 2.5)")</f>
        <v>112д (этап 2.5)</v>
      </c>
      <c r="B313" s="14"/>
      <c r="C313" s="14" t="str">
        <f>IFERROR(__xludf.DUMMYFUNCTION("""COMPUTED_VALUE"""),"УДС")</f>
        <v>УДС</v>
      </c>
      <c r="D313" s="15"/>
      <c r="E313"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2.5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2.5 ул.Каспийская 1-й Котляковский переулок.</v>
      </c>
      <c r="F313" s="25" t="str">
        <f>IFERROR(__xludf.DUMMYFUNCTION("""COMPUTED_VALUE"""),"#N/A")</f>
        <v>#N/A</v>
      </c>
      <c r="G313" s="6" t="str">
        <f>IFERROR(__xludf.DUMMYFUNCTION("""COMPUTED_VALUE"""),"#N/A")</f>
        <v>#N/A</v>
      </c>
      <c r="H313" s="6"/>
      <c r="I313" s="6"/>
      <c r="J313" s="50"/>
      <c r="K313" s="58"/>
      <c r="L313" s="6">
        <v>30.0</v>
      </c>
      <c r="M313" s="52" t="s">
        <v>655</v>
      </c>
      <c r="N313" s="53" t="s">
        <v>698</v>
      </c>
      <c r="O313" s="6"/>
      <c r="P313" s="6"/>
      <c r="Q313" s="6"/>
      <c r="R313" s="6"/>
    </row>
    <row r="314">
      <c r="A314" s="31" t="str">
        <f>IFERROR(__xludf.DUMMYFUNCTION("""COMPUTED_VALUE"""),"112д (этап 2.6)")</f>
        <v>112д (этап 2.6)</v>
      </c>
      <c r="B314" s="14"/>
      <c r="C314" s="14" t="str">
        <f>IFERROR(__xludf.DUMMYFUNCTION("""COMPUTED_VALUE"""),"УДС")</f>
        <v>УДС</v>
      </c>
      <c r="D314" s="15"/>
      <c r="E314"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2.6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2.6 ул.Каспийская 1-й Котляковский переулок.</v>
      </c>
      <c r="F314" s="25" t="str">
        <f>IFERROR(__xludf.DUMMYFUNCTION("""COMPUTED_VALUE"""),"#N/A")</f>
        <v>#N/A</v>
      </c>
      <c r="G314" s="6" t="str">
        <f>IFERROR(__xludf.DUMMYFUNCTION("""COMPUTED_VALUE"""),"#N/A")</f>
        <v>#N/A</v>
      </c>
      <c r="H314" s="6"/>
      <c r="I314" s="6"/>
      <c r="J314" s="50"/>
      <c r="K314" s="58"/>
      <c r="L314" s="6">
        <v>30.0</v>
      </c>
      <c r="M314" s="52" t="s">
        <v>655</v>
      </c>
      <c r="N314" s="53" t="s">
        <v>698</v>
      </c>
      <c r="O314" s="6"/>
      <c r="P314" s="6"/>
      <c r="Q314" s="6"/>
      <c r="R314" s="6"/>
    </row>
    <row r="315">
      <c r="A315" s="31" t="str">
        <f>IFERROR(__xludf.DUMMYFUNCTION("""COMPUTED_VALUE"""),"112д (этап 3)")</f>
        <v>112д (этап 3)</v>
      </c>
      <c r="B315" s="14"/>
      <c r="C315" s="14" t="str">
        <f>IFERROR(__xludf.DUMMYFUNCTION("""COMPUTED_VALUE"""),"УДС")</f>
        <v>УДС</v>
      </c>
      <c r="D315" s="15"/>
      <c r="E315"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3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3 ул.Каспийская 1-й Котляковский переулок.</v>
      </c>
      <c r="F315" s="25" t="str">
        <f>IFERROR(__xludf.DUMMYFUNCTION("""COMPUTED_VALUE"""),"#N/A")</f>
        <v>#N/A</v>
      </c>
      <c r="G315" s="6" t="str">
        <f>IFERROR(__xludf.DUMMYFUNCTION("""COMPUTED_VALUE"""),"#N/A")</f>
        <v>#N/A</v>
      </c>
      <c r="H315" s="6"/>
      <c r="I315" s="6"/>
      <c r="J315" s="50"/>
      <c r="K315" s="58"/>
      <c r="L315" s="6">
        <v>30.0</v>
      </c>
      <c r="M315" s="52" t="s">
        <v>655</v>
      </c>
      <c r="N315" s="53" t="s">
        <v>698</v>
      </c>
      <c r="O315" s="6"/>
      <c r="P315" s="6"/>
      <c r="Q315" s="6"/>
      <c r="R315" s="6"/>
    </row>
    <row r="316">
      <c r="A316" s="31" t="str">
        <f>IFERROR(__xludf.DUMMYFUNCTION("""COMPUTED_VALUE"""),"356д (этап 1.5)")</f>
        <v>356д (этап 1.5)</v>
      </c>
      <c r="B316" s="14" t="str">
        <f>IFERROR(__xludf.DUMMYFUNCTION("""COMPUTED_VALUE"""),"АИП-25")</f>
        <v>АИП-25</v>
      </c>
      <c r="C316" s="14" t="str">
        <f>IFERROR(__xludf.DUMMYFUNCTION("""COMPUTED_VALUE"""),"УДС")</f>
        <v>УДС</v>
      </c>
      <c r="D316" s="15"/>
      <c r="E316" s="14" t="str">
        <f>IFERROR(__xludf.DUMMYFUNCTION("""COMPUTED_VALUE"""),"Строительство участков улично-дорожной сети для ТПУ ""Ярославская"" 
 этап 1.5 СВАО")</f>
        <v>Строительство участков улично-дорожной сети для ТПУ "Ярославская" 
 этап 1.5 СВАО</v>
      </c>
      <c r="F316" s="25" t="str">
        <f>IFERROR(__xludf.DUMMYFUNCTION("""COMPUTED_VALUE"""),"#N/A")</f>
        <v>#N/A</v>
      </c>
      <c r="G316" s="6" t="str">
        <f>IFERROR(__xludf.DUMMYFUNCTION("""COMPUTED_VALUE"""),"#N/A")</f>
        <v>#N/A</v>
      </c>
      <c r="H316" s="6"/>
      <c r="I316" s="6"/>
      <c r="J316" s="50">
        <f>IFERROR(__xludf.DUMMYFUNCTION("""COMPUTED_VALUE"""),83.295)</f>
        <v>83.295</v>
      </c>
      <c r="K316" s="58">
        <f>IFERROR(__xludf.DUMMYFUNCTION("""COMPUTED_VALUE"""),45972.0)</f>
        <v>45972</v>
      </c>
      <c r="L316" s="6">
        <v>14.0</v>
      </c>
      <c r="M316" s="52">
        <v>45986.0</v>
      </c>
      <c r="N316" s="53" t="s">
        <v>711</v>
      </c>
      <c r="O316" s="6" t="s">
        <v>831</v>
      </c>
      <c r="P316" s="6"/>
      <c r="Q316" s="6"/>
      <c r="R316" s="6"/>
    </row>
    <row r="317">
      <c r="A317" s="31" t="str">
        <f>IFERROR(__xludf.DUMMYFUNCTION("""COMPUTED_VALUE"""),"356д (этап 2.1)")</f>
        <v>356д (этап 2.1)</v>
      </c>
      <c r="B317" s="14" t="str">
        <f>IFERROR(__xludf.DUMMYFUNCTION("""COMPUTED_VALUE"""),"АИП-25")</f>
        <v>АИП-25</v>
      </c>
      <c r="C317" s="14" t="str">
        <f>IFERROR(__xludf.DUMMYFUNCTION("""COMPUTED_VALUE"""),"УДС")</f>
        <v>УДС</v>
      </c>
      <c r="D317" s="15"/>
      <c r="E317" s="14" t="str">
        <f>IFERROR(__xludf.DUMMYFUNCTION("""COMPUTED_VALUE"""),"Строительство участков улично-дорожной сети для ТПУ ""Ярославская"" 
 этап 2.1 СВАО")</f>
        <v>Строительство участков улично-дорожной сети для ТПУ "Ярославская" 
 этап 2.1 СВАО</v>
      </c>
      <c r="F317" s="25" t="str">
        <f>IFERROR(__xludf.DUMMYFUNCTION("""COMPUTED_VALUE"""),"#N/A")</f>
        <v>#N/A</v>
      </c>
      <c r="G317" s="6" t="str">
        <f>IFERROR(__xludf.DUMMYFUNCTION("""COMPUTED_VALUE"""),"#N/A")</f>
        <v>#N/A</v>
      </c>
      <c r="H317" s="6"/>
      <c r="I317" s="6"/>
      <c r="J317" s="50">
        <f>IFERROR(__xludf.DUMMYFUNCTION("""COMPUTED_VALUE"""),99.25)</f>
        <v>99.25</v>
      </c>
      <c r="K317" s="58">
        <f>IFERROR(__xludf.DUMMYFUNCTION("""COMPUTED_VALUE"""),45944.0)</f>
        <v>45944</v>
      </c>
      <c r="L317" s="6">
        <v>7.0</v>
      </c>
      <c r="M317" s="52">
        <v>45951.0</v>
      </c>
      <c r="N317" s="53" t="s">
        <v>668</v>
      </c>
      <c r="O317" s="6" t="s">
        <v>832</v>
      </c>
      <c r="P317" s="6"/>
      <c r="Q317" s="6"/>
      <c r="R317" s="6"/>
    </row>
    <row r="318">
      <c r="A318" s="31" t="str">
        <f>IFERROR(__xludf.DUMMYFUNCTION("""COMPUTED_VALUE"""),"191")</f>
        <v>191</v>
      </c>
      <c r="B318" s="14" t="str">
        <f>IFERROR(__xludf.DUMMYFUNCTION("""COMPUTED_VALUE"""),"РЕН-25")</f>
        <v>РЕН-25</v>
      </c>
      <c r="C318" s="14" t="str">
        <f>IFERROR(__xludf.DUMMYFUNCTION("""COMPUTED_VALUE"""),"ОКС")</f>
        <v>ОКС</v>
      </c>
      <c r="D318" s="15"/>
      <c r="E318" s="14" t="str">
        <f>IFERROR(__xludf.DUMMYFUNCTION("""COMPUTED_VALUE"""),"Часовая ул., д. 27/12 район Аэропорт, Часовая ул., д. 27/12")</f>
        <v>Часовая ул., д. 27/12 район Аэропорт, Часовая ул., д. 27/12</v>
      </c>
      <c r="F318" s="25" t="str">
        <f>IFERROR(__xludf.DUMMYFUNCTION("""COMPUTED_VALUE"""),"55.811401")</f>
        <v>55.811401</v>
      </c>
      <c r="G318" s="6" t="str">
        <f>IFERROR(__xludf.DUMMYFUNCTION("""COMPUTED_VALUE"""),"37.517123")</f>
        <v>37.517123</v>
      </c>
      <c r="H318" s="18" t="str">
        <f>IFERROR(__xludf.DUMMYFUNCTION("""COMPUTED_VALUE"""),"https://docs.google.com/spreadsheets/d/1H1MjbG2y0oC0hhID4do1G0_gfyI1jag72lQd7nL3WDQ/edit?gid=1648385259#gid=1648385259")</f>
        <v>https://docs.google.com/spreadsheets/d/1H1MjbG2y0oC0hhID4do1G0_gfyI1jag72lQd7nL3WDQ/edit?gid=1648385259#gid=1648385259</v>
      </c>
      <c r="I318" s="19" t="str">
        <f>IFERROR(__xludf.DUMMYFUNCTION("""COMPUTED_VALUE"""),"https://disk.yandex.ru/client/disk/Осмотры%20объектов%20АНО%20СМГ/191.%20Часовая%2027-12")</f>
        <v>https://disk.yandex.ru/client/disk/Осмотры%20объектов%20АНО%20СМГ/191.%20Часовая%2027-12</v>
      </c>
      <c r="J318" s="50">
        <f>IFERROR(__xludf.DUMMYFUNCTION("""COMPUTED_VALUE"""),84.26642)</f>
        <v>84.26642</v>
      </c>
      <c r="K318" s="58">
        <f>IFERROR(__xludf.DUMMYFUNCTION("""COMPUTED_VALUE"""),45972.0)</f>
        <v>45972</v>
      </c>
      <c r="L318" s="6">
        <v>14.0</v>
      </c>
      <c r="M318" s="52">
        <v>45986.0</v>
      </c>
      <c r="N318" s="53" t="s">
        <v>711</v>
      </c>
      <c r="O318" s="19" t="s">
        <v>833</v>
      </c>
      <c r="P318" s="6"/>
      <c r="Q318" s="6"/>
      <c r="R318" s="6"/>
    </row>
    <row r="319">
      <c r="A319" s="31" t="str">
        <f>IFERROR(__xludf.DUMMYFUNCTION("""COMPUTED_VALUE"""),"303д")</f>
        <v>303д</v>
      </c>
      <c r="B319" s="14" t="str">
        <f>IFERROR(__xludf.DUMMYFUNCTION("""COMPUTED_VALUE"""),"АИП-25")</f>
        <v>АИП-25</v>
      </c>
      <c r="C319" s="14" t="str">
        <f>IFERROR(__xludf.DUMMYFUNCTION("""COMPUTED_VALUE"""),"УДС")</f>
        <v>УДС</v>
      </c>
      <c r="D319" s="15"/>
      <c r="E319" s="14" t="str">
        <f>IFERROR(__xludf.DUMMYFUNCTION("""COMPUTED_VALUE"""),"Строительство улично-дорожной сети для транспортного обслуживания объектов социальной инфраструктуры в д. Лапшинка, влд. 57 НАО, д. Лапшинка, влд. 57")</f>
        <v>Строительство улично-дорожной сети для транспортного обслуживания объектов социальной инфраструктуры в д. Лапшинка, влд. 57 НАО, д. Лапшинка, влд. 57</v>
      </c>
      <c r="F319" s="25" t="str">
        <f>IFERROR(__xludf.DUMMYFUNCTION("""COMPUTED_VALUE"""),"#N/A")</f>
        <v>#N/A</v>
      </c>
      <c r="G319" s="6" t="str">
        <f>IFERROR(__xludf.DUMMYFUNCTION("""COMPUTED_VALUE"""),"#N/A")</f>
        <v>#N/A</v>
      </c>
      <c r="H319" s="6"/>
      <c r="I319" s="6"/>
      <c r="J319" s="50">
        <f>IFERROR(__xludf.DUMMYFUNCTION("""COMPUTED_VALUE"""),40.52823477100933)</f>
        <v>40.52823477</v>
      </c>
      <c r="K319" s="58">
        <f>IFERROR(__xludf.DUMMYFUNCTION("""COMPUTED_VALUE"""),45974.0)</f>
        <v>45974</v>
      </c>
      <c r="L319" s="6">
        <v>30.0</v>
      </c>
      <c r="M319" s="52">
        <v>46004.0</v>
      </c>
      <c r="N319" s="53" t="s">
        <v>711</v>
      </c>
      <c r="O319" s="6" t="s">
        <v>834</v>
      </c>
      <c r="P319" s="6"/>
      <c r="Q319" s="6"/>
      <c r="R319" s="6"/>
    </row>
    <row r="320">
      <c r="A320" s="31" t="str">
        <f>IFERROR(__xludf.DUMMYFUNCTION("""COMPUTED_VALUE"""),"263д")</f>
        <v>263д</v>
      </c>
      <c r="B320" s="14" t="str">
        <f>IFERROR(__xludf.DUMMYFUNCTION("""COMPUTED_VALUE"""),"АИП-25")</f>
        <v>АИП-25</v>
      </c>
      <c r="C320" s="14" t="str">
        <f>IFERROR(__xludf.DUMMYFUNCTION("""COMPUTED_VALUE"""),"УДС")</f>
        <v>УДС</v>
      </c>
      <c r="D320" s="15"/>
      <c r="E320" s="14" t="str">
        <f>IFERROR(__xludf.DUMMYFUNCTION("""COMPUTED_VALUE"""),"Развитие улично-дорожной сети г.о. Троицк (1 этап). Этап 1.1. Строительство участка магистральной улицы общегородского значения от Октябрьского пр-кта до Калужского ш. От Октябрьского пр-кта до Калужского ш.")</f>
        <v>Развитие улично-дорожной сети г.о. Троицк (1 этап). Этап 1.1. Строительство участка магистральной улицы общегородского значения от Октябрьского пр-кта до Калужского ш. От Октябрьского пр-кта до Калужского ш.</v>
      </c>
      <c r="F320" s="25" t="str">
        <f>IFERROR(__xludf.DUMMYFUNCTION("""COMPUTED_VALUE"""),"#N/A")</f>
        <v>#N/A</v>
      </c>
      <c r="G320" s="6" t="str">
        <f>IFERROR(__xludf.DUMMYFUNCTION("""COMPUTED_VALUE"""),"#N/A")</f>
        <v>#N/A</v>
      </c>
      <c r="H320" s="6"/>
      <c r="I320" s="6"/>
      <c r="J320" s="50">
        <f>IFERROR(__xludf.DUMMYFUNCTION("""COMPUTED_VALUE"""),24.0)</f>
        <v>24</v>
      </c>
      <c r="K320" s="58">
        <f>IFERROR(__xludf.DUMMYFUNCTION("""COMPUTED_VALUE"""),45975.0)</f>
        <v>45975</v>
      </c>
      <c r="L320" s="6">
        <v>30.0</v>
      </c>
      <c r="M320" s="52">
        <v>46005.0</v>
      </c>
      <c r="N320" s="53" t="s">
        <v>711</v>
      </c>
      <c r="O320" s="6"/>
      <c r="P320" s="6"/>
      <c r="Q320" s="6"/>
      <c r="R320" s="6"/>
    </row>
    <row r="321">
      <c r="A321" s="31" t="str">
        <f>IFERROR(__xludf.DUMMYFUNCTION("""COMPUTED_VALUE"""),"089д (сводный)")</f>
        <v>089д (сводный)</v>
      </c>
      <c r="B321" s="14" t="str">
        <f>IFERROR(__xludf.DUMMYFUNCTION("""COMPUTED_VALUE"""),"АИП-25")</f>
        <v>АИП-25</v>
      </c>
      <c r="C321" s="14" t="str">
        <f>IFERROR(__xludf.DUMMYFUNCTION("""COMPUTED_VALUE"""),"УДС")</f>
        <v>УДС</v>
      </c>
      <c r="D321" s="15"/>
      <c r="E321" s="14" t="str">
        <f>IFERROR(__xludf.DUMMYFUNCTION("""COMPUTED_VALUE"""),"Строительство эстакад основного хода, эстакадсъездов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Яро"&amp;"славского ш. в рамках строительства Северо-Восточной хорды Этап 1. Транспортная развязка на пересечении Северо-Восточной хорды с Ярославским ш. Этапы 1.3.5, 1.4, 3 ")</f>
        <v>Строительство эстакад основного хода, эстакадсъездов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Этапы 1.3.5, 1.4, 3 </v>
      </c>
      <c r="F321" s="25" t="str">
        <f>IFERROR(__xludf.DUMMYFUNCTION("""COMPUTED_VALUE"""),"#N/A")</f>
        <v>#N/A</v>
      </c>
      <c r="G321" s="6" t="str">
        <f>IFERROR(__xludf.DUMMYFUNCTION("""COMPUTED_VALUE"""),"#N/A")</f>
        <v>#N/A</v>
      </c>
      <c r="H321" s="6"/>
      <c r="I321" s="6"/>
      <c r="J321" s="50"/>
      <c r="K321" s="58"/>
      <c r="L321" s="6">
        <v>30.0</v>
      </c>
      <c r="M321" s="52" t="s">
        <v>655</v>
      </c>
      <c r="N321" s="53" t="s">
        <v>698</v>
      </c>
      <c r="O321" s="6"/>
      <c r="P321" s="6"/>
      <c r="Q321" s="6"/>
      <c r="R321" s="6"/>
    </row>
    <row r="322">
      <c r="A322" s="31" t="str">
        <f>IFERROR(__xludf.DUMMYFUNCTION("""COMPUTED_VALUE"""),"089д (этап 1.3.5)")</f>
        <v>089д (этап 1.3.5)</v>
      </c>
      <c r="B322" s="14"/>
      <c r="C322" s="14" t="str">
        <f>IFERROR(__xludf.DUMMYFUNCTION("""COMPUTED_VALUE"""),"УДС")</f>
        <v>УДС</v>
      </c>
      <c r="D322" s="15"/>
      <c r="E322"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1.3.5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1.3.5 СВХ от Открытого ш. до
 Ярославского ш</v>
      </c>
      <c r="F322" s="25" t="str">
        <f>IFERROR(__xludf.DUMMYFUNCTION("""COMPUTED_VALUE"""),"#N/A")</f>
        <v>#N/A</v>
      </c>
      <c r="G322" s="6" t="str">
        <f>IFERROR(__xludf.DUMMYFUNCTION("""COMPUTED_VALUE"""),"#N/A")</f>
        <v>#N/A</v>
      </c>
      <c r="H322" s="6"/>
      <c r="I322" s="6"/>
      <c r="J322" s="50">
        <f>IFERROR(__xludf.DUMMYFUNCTION("""COMPUTED_VALUE"""),100.0)</f>
        <v>100</v>
      </c>
      <c r="K322" s="58">
        <f>IFERROR(__xludf.DUMMYFUNCTION("""COMPUTED_VALUE"""),45966.0)</f>
        <v>45966</v>
      </c>
      <c r="L322" s="6" t="s">
        <v>654</v>
      </c>
      <c r="M322" s="52" t="s">
        <v>655</v>
      </c>
      <c r="N322" s="53" t="s">
        <v>656</v>
      </c>
      <c r="O322" s="6" t="s">
        <v>835</v>
      </c>
      <c r="P322" s="6"/>
      <c r="Q322" s="6"/>
      <c r="R322" s="6"/>
    </row>
    <row r="323">
      <c r="A323" s="31" t="str">
        <f>IFERROR(__xludf.DUMMYFUNCTION("""COMPUTED_VALUE"""),"089д (этап 1.4)")</f>
        <v>089д (этап 1.4)</v>
      </c>
      <c r="B323" s="14"/>
      <c r="C323" s="14" t="str">
        <f>IFERROR(__xludf.DUMMYFUNCTION("""COMPUTED_VALUE"""),"УДС")</f>
        <v>УДС</v>
      </c>
      <c r="D323" s="15"/>
      <c r="E323"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1.4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1.4 СВХ от Открытого ш. до
 Ярославского ш</v>
      </c>
      <c r="F323" s="25" t="str">
        <f>IFERROR(__xludf.DUMMYFUNCTION("""COMPUTED_VALUE"""),"#N/A")</f>
        <v>#N/A</v>
      </c>
      <c r="G323" s="6" t="str">
        <f>IFERROR(__xludf.DUMMYFUNCTION("""COMPUTED_VALUE"""),"#N/A")</f>
        <v>#N/A</v>
      </c>
      <c r="H323" s="6"/>
      <c r="I323" s="6"/>
      <c r="J323" s="50">
        <f>IFERROR(__xludf.DUMMYFUNCTION("""COMPUTED_VALUE"""),55.574999999999996)</f>
        <v>55.575</v>
      </c>
      <c r="K323" s="58">
        <f>IFERROR(__xludf.DUMMYFUNCTION("""COMPUTED_VALUE"""),45966.0)</f>
        <v>45966</v>
      </c>
      <c r="L323" s="6">
        <v>14.0</v>
      </c>
      <c r="M323" s="52">
        <v>45980.0</v>
      </c>
      <c r="N323" s="53" t="s">
        <v>741</v>
      </c>
      <c r="O323" s="6" t="s">
        <v>836</v>
      </c>
      <c r="P323" s="6"/>
      <c r="Q323" s="6"/>
      <c r="R323" s="6"/>
    </row>
    <row r="324">
      <c r="A324" s="31" t="str">
        <f>IFERROR(__xludf.DUMMYFUNCTION("""COMPUTED_VALUE"""),"089д (этап 3)")</f>
        <v>089д (этап 3)</v>
      </c>
      <c r="B324" s="14"/>
      <c r="C324" s="14" t="str">
        <f>IFERROR(__xludf.DUMMYFUNCTION("""COMPUTED_VALUE"""),"УДС")</f>
        <v>УДС</v>
      </c>
      <c r="D324" s="15"/>
      <c r="E324"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3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3 СВХ от Открытого ш. до
 Ярославского ш</v>
      </c>
      <c r="F324" s="25" t="str">
        <f>IFERROR(__xludf.DUMMYFUNCTION("""COMPUTED_VALUE"""),"#N/A")</f>
        <v>#N/A</v>
      </c>
      <c r="G324" s="6" t="str">
        <f>IFERROR(__xludf.DUMMYFUNCTION("""COMPUTED_VALUE"""),"#N/A")</f>
        <v>#N/A</v>
      </c>
      <c r="H324" s="6"/>
      <c r="I324" s="6"/>
      <c r="J324" s="50">
        <f>IFERROR(__xludf.DUMMYFUNCTION("""COMPUTED_VALUE"""),100.0)</f>
        <v>100</v>
      </c>
      <c r="K324" s="58">
        <f>IFERROR(__xludf.DUMMYFUNCTION("""COMPUTED_VALUE"""),45966.0)</f>
        <v>45966</v>
      </c>
      <c r="L324" s="6" t="s">
        <v>654</v>
      </c>
      <c r="M324" s="52" t="s">
        <v>655</v>
      </c>
      <c r="N324" s="53" t="s">
        <v>656</v>
      </c>
      <c r="O324" s="6" t="s">
        <v>796</v>
      </c>
      <c r="P324" s="6"/>
      <c r="Q324" s="6"/>
      <c r="R324" s="6"/>
    </row>
    <row r="325">
      <c r="A325" s="31" t="str">
        <f>IFERROR(__xludf.DUMMYFUNCTION("""COMPUTED_VALUE"""),"080д (сводный)")</f>
        <v>080д (сводный)</v>
      </c>
      <c r="B325" s="14" t="str">
        <f>IFERROR(__xludf.DUMMYFUNCTION("""COMPUTED_VALUE"""),"АИП-25")</f>
        <v>АИП-25</v>
      </c>
      <c r="C325" s="14" t="str">
        <f>IFERROR(__xludf.DUMMYFUNCTION("""COMPUTED_VALUE"""),"УДС")</f>
        <v>УДС</v>
      </c>
      <c r="D325" s="15"/>
      <c r="E325"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2.2.1, 2.3, 2.4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2.2.1, 2.3, 2.4 </v>
      </c>
      <c r="F325" s="25" t="str">
        <f>IFERROR(__xludf.DUMMYFUNCTION("""COMPUTED_VALUE"""),"#N/A")</f>
        <v>#N/A</v>
      </c>
      <c r="G325" s="6" t="str">
        <f>IFERROR(__xludf.DUMMYFUNCTION("""COMPUTED_VALUE"""),"#N/A")</f>
        <v>#N/A</v>
      </c>
      <c r="H325" s="6"/>
      <c r="I325" s="6"/>
      <c r="J325" s="50"/>
      <c r="K325" s="58"/>
      <c r="L325" s="6">
        <v>30.0</v>
      </c>
      <c r="M325" s="52" t="s">
        <v>655</v>
      </c>
      <c r="N325" s="53" t="s">
        <v>698</v>
      </c>
      <c r="O325" s="6"/>
      <c r="P325" s="6"/>
      <c r="Q325" s="6"/>
      <c r="R325" s="6"/>
    </row>
    <row r="326">
      <c r="A326" s="31" t="str">
        <f>IFERROR(__xludf.DUMMYFUNCTION("""COMPUTED_VALUE"""),"080д (этап 2.1)")</f>
        <v>080д (этап 2.1)</v>
      </c>
      <c r="B326" s="14"/>
      <c r="C326" s="14" t="str">
        <f>IFERROR(__xludf.DUMMYFUNCTION("""COMPUTED_VALUE"""),"УДС")</f>
        <v>УДС</v>
      </c>
      <c r="D326" s="15"/>
      <c r="E326"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СВХ от Ярославского до Дмитровского ш.</v>
      </c>
      <c r="F326" s="25" t="str">
        <f>IFERROR(__xludf.DUMMYFUNCTION("""COMPUTED_VALUE"""),"#N/A")</f>
        <v>#N/A</v>
      </c>
      <c r="G326" s="6" t="str">
        <f>IFERROR(__xludf.DUMMYFUNCTION("""COMPUTED_VALUE"""),"#N/A")</f>
        <v>#N/A</v>
      </c>
      <c r="H326" s="6"/>
      <c r="I326" s="6"/>
      <c r="J326" s="50"/>
      <c r="K326" s="58"/>
      <c r="L326" s="6">
        <v>30.0</v>
      </c>
      <c r="M326" s="52" t="s">
        <v>655</v>
      </c>
      <c r="N326" s="53" t="s">
        <v>698</v>
      </c>
      <c r="O326" s="6" t="s">
        <v>837</v>
      </c>
      <c r="P326" s="6"/>
      <c r="Q326" s="6"/>
      <c r="R326" s="6"/>
    </row>
    <row r="327">
      <c r="A327" s="31" t="str">
        <f>IFERROR(__xludf.DUMMYFUNCTION("""COMPUTED_VALUE"""),"080д (этап 2.2.1)")</f>
        <v>080д (этап 2.2.1)</v>
      </c>
      <c r="B327" s="14"/>
      <c r="C327" s="14" t="str">
        <f>IFERROR(__xludf.DUMMYFUNCTION("""COMPUTED_VALUE"""),"УДС")</f>
        <v>УДС</v>
      </c>
      <c r="D327" s="15"/>
      <c r="E327"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2.2.1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2.2.1 СВХ от Ярославского до Дмитровского ш.</v>
      </c>
      <c r="F327" s="25" t="str">
        <f>IFERROR(__xludf.DUMMYFUNCTION("""COMPUTED_VALUE"""),"#N/A")</f>
        <v>#N/A</v>
      </c>
      <c r="G327" s="6" t="str">
        <f>IFERROR(__xludf.DUMMYFUNCTION("""COMPUTED_VALUE"""),"#N/A")</f>
        <v>#N/A</v>
      </c>
      <c r="H327" s="6"/>
      <c r="I327" s="6"/>
      <c r="J327" s="50"/>
      <c r="K327" s="58"/>
      <c r="L327" s="6">
        <v>30.0</v>
      </c>
      <c r="M327" s="52" t="s">
        <v>655</v>
      </c>
      <c r="N327" s="53" t="s">
        <v>698</v>
      </c>
      <c r="O327" s="6" t="s">
        <v>837</v>
      </c>
      <c r="P327" s="6"/>
      <c r="Q327" s="6"/>
      <c r="R327" s="6"/>
    </row>
    <row r="328">
      <c r="A328" s="31" t="str">
        <f>IFERROR(__xludf.DUMMYFUNCTION("""COMPUTED_VALUE"""),"080д (этап 2.3)")</f>
        <v>080д (этап 2.3)</v>
      </c>
      <c r="B328" s="14"/>
      <c r="C328" s="14" t="str">
        <f>IFERROR(__xludf.DUMMYFUNCTION("""COMPUTED_VALUE"""),"УДС")</f>
        <v>УДС</v>
      </c>
      <c r="D328" s="15"/>
      <c r="E328"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Отстойно-разворотные площадки «Окружная», «Владыкино». Этап 2.3. Переустройство инженерных комму"&amp;"никаций АО «ОЭК», ПАО «Россети».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Отстойно-разворотные площадки «Окружная», «Владыкино». Этап 2.3. Переустройство инженерных коммуникаций АО «ОЭК», ПАО «Россети». СВХ от Ярославского до Дмитровского ш.</v>
      </c>
      <c r="F328" s="25" t="str">
        <f>IFERROR(__xludf.DUMMYFUNCTION("""COMPUTED_VALUE"""),"#N/A")</f>
        <v>#N/A</v>
      </c>
      <c r="G328" s="6" t="str">
        <f>IFERROR(__xludf.DUMMYFUNCTION("""COMPUTED_VALUE"""),"#N/A")</f>
        <v>#N/A</v>
      </c>
      <c r="H328" s="6"/>
      <c r="I328" s="6"/>
      <c r="J328" s="50"/>
      <c r="K328" s="58"/>
      <c r="L328" s="6">
        <v>30.0</v>
      </c>
      <c r="M328" s="52" t="s">
        <v>655</v>
      </c>
      <c r="N328" s="53" t="s">
        <v>698</v>
      </c>
      <c r="O328" s="6" t="s">
        <v>838</v>
      </c>
      <c r="P328" s="6"/>
      <c r="Q328" s="6"/>
      <c r="R328" s="6"/>
    </row>
    <row r="329">
      <c r="A329" s="31" t="str">
        <f>IFERROR(__xludf.DUMMYFUNCTION("""COMPUTED_VALUE"""),"080д (этап 2.4)")</f>
        <v>080д (этап 2.4)</v>
      </c>
      <c r="B329" s="14"/>
      <c r="C329" s="14" t="str">
        <f>IFERROR(__xludf.DUMMYFUNCTION("""COMPUTED_VALUE"""),"УДС")</f>
        <v>УДС</v>
      </c>
      <c r="D329" s="15"/>
      <c r="E329"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2.4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2.4 СВХ от Ярославского до Дмитровского ш.</v>
      </c>
      <c r="F329" s="25" t="str">
        <f>IFERROR(__xludf.DUMMYFUNCTION("""COMPUTED_VALUE"""),"#N/A")</f>
        <v>#N/A</v>
      </c>
      <c r="G329" s="6" t="str">
        <f>IFERROR(__xludf.DUMMYFUNCTION("""COMPUTED_VALUE"""),"#N/A")</f>
        <v>#N/A</v>
      </c>
      <c r="H329" s="6"/>
      <c r="I329" s="6"/>
      <c r="J329" s="50"/>
      <c r="K329" s="58"/>
      <c r="L329" s="6">
        <v>30.0</v>
      </c>
      <c r="M329" s="52" t="s">
        <v>655</v>
      </c>
      <c r="N329" s="53" t="s">
        <v>698</v>
      </c>
      <c r="O329" s="6" t="s">
        <v>838</v>
      </c>
      <c r="P329" s="6"/>
      <c r="Q329" s="6"/>
      <c r="R329" s="6"/>
    </row>
    <row r="330">
      <c r="A330" s="31" t="str">
        <f>IFERROR(__xludf.DUMMYFUNCTION("""COMPUTED_VALUE"""),"397д (сводный)")</f>
        <v>397д (сводный)</v>
      </c>
      <c r="B330" s="14" t="str">
        <f>IFERROR(__xludf.DUMMYFUNCTION("""COMPUTED_VALUE"""),"АИП-25")</f>
        <v>АИП-25</v>
      </c>
      <c r="C330" s="14" t="str">
        <f>IFERROR(__xludf.DUMMYFUNCTION("""COMPUTED_VALUE"""),"УДС")</f>
        <v>УДС</v>
      </c>
      <c r="D330" s="15"/>
      <c r="E330"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5.2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5.2 </v>
      </c>
      <c r="F330" s="25" t="str">
        <f>IFERROR(__xludf.DUMMYFUNCTION("""COMPUTED_VALUE"""),"#N/A")</f>
        <v>#N/A</v>
      </c>
      <c r="G330" s="6" t="str">
        <f>IFERROR(__xludf.DUMMYFUNCTION("""COMPUTED_VALUE"""),"#N/A")</f>
        <v>#N/A</v>
      </c>
      <c r="H330" s="6"/>
      <c r="I330" s="6"/>
      <c r="J330" s="50"/>
      <c r="K330" s="58"/>
      <c r="L330" s="6">
        <v>30.0</v>
      </c>
      <c r="M330" s="52" t="s">
        <v>655</v>
      </c>
      <c r="N330" s="53" t="s">
        <v>698</v>
      </c>
      <c r="O330" s="6"/>
      <c r="P330" s="6"/>
      <c r="Q330" s="6"/>
      <c r="R330" s="6"/>
    </row>
    <row r="331">
      <c r="A331" s="31" t="str">
        <f>IFERROR(__xludf.DUMMYFUNCTION("""COMPUTED_VALUE"""),"397д (этап 5.1)")</f>
        <v>397д (этап 5.1)</v>
      </c>
      <c r="B331" s="14"/>
      <c r="C331" s="14" t="str">
        <f>IFERROR(__xludf.DUMMYFUNCTION("""COMPUTED_VALUE"""),"УДС")</f>
        <v>УДС</v>
      </c>
      <c r="D331" s="15"/>
      <c r="E331"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СВХ от Ярославского до Дмитровского ш.</v>
      </c>
      <c r="F331" s="25" t="str">
        <f>IFERROR(__xludf.DUMMYFUNCTION("""COMPUTED_VALUE"""),"#N/A")</f>
        <v>#N/A</v>
      </c>
      <c r="G331" s="6" t="str">
        <f>IFERROR(__xludf.DUMMYFUNCTION("""COMPUTED_VALUE"""),"#N/A")</f>
        <v>#N/A</v>
      </c>
      <c r="H331" s="6"/>
      <c r="I331" s="6"/>
      <c r="J331" s="50"/>
      <c r="K331" s="58"/>
      <c r="L331" s="6">
        <v>30.0</v>
      </c>
      <c r="M331" s="52" t="s">
        <v>655</v>
      </c>
      <c r="N331" s="53" t="s">
        <v>698</v>
      </c>
      <c r="O331" s="6" t="s">
        <v>839</v>
      </c>
      <c r="P331" s="6"/>
      <c r="Q331" s="6"/>
      <c r="R331" s="6"/>
    </row>
    <row r="332">
      <c r="A332" s="31" t="str">
        <f>IFERROR(__xludf.DUMMYFUNCTION("""COMPUTED_VALUE"""),"397д (этап 5.2)")</f>
        <v>397д (этап 5.2)</v>
      </c>
      <c r="B332" s="14"/>
      <c r="C332" s="14" t="str">
        <f>IFERROR(__xludf.DUMMYFUNCTION("""COMPUTED_VALUE"""),"УДС")</f>
        <v>УДС</v>
      </c>
      <c r="D332" s="15"/>
      <c r="E332"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5.2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5.2 СВХ от Ярославского до Дмитровского ш.</v>
      </c>
      <c r="F332" s="25" t="str">
        <f>IFERROR(__xludf.DUMMYFUNCTION("""COMPUTED_VALUE"""),"#N/A")</f>
        <v>#N/A</v>
      </c>
      <c r="G332" s="6" t="str">
        <f>IFERROR(__xludf.DUMMYFUNCTION("""COMPUTED_VALUE"""),"#N/A")</f>
        <v>#N/A</v>
      </c>
      <c r="H332" s="6"/>
      <c r="I332" s="6"/>
      <c r="J332" s="50"/>
      <c r="K332" s="58"/>
      <c r="L332" s="6">
        <v>30.0</v>
      </c>
      <c r="M332" s="52" t="s">
        <v>655</v>
      </c>
      <c r="N332" s="53" t="s">
        <v>698</v>
      </c>
      <c r="O332" s="6" t="s">
        <v>840</v>
      </c>
      <c r="P332" s="6"/>
      <c r="Q332" s="6"/>
      <c r="R332" s="6"/>
    </row>
    <row r="333">
      <c r="A333" s="31" t="str">
        <f>IFERROR(__xludf.DUMMYFUNCTION("""COMPUTED_VALUE"""),"121д")</f>
        <v>121д</v>
      </c>
      <c r="B333" s="14" t="str">
        <f>IFERROR(__xludf.DUMMYFUNCTION("""COMPUTED_VALUE"""),"АИП-25")</f>
        <v>АИП-25</v>
      </c>
      <c r="C333" s="14" t="str">
        <f>IFERROR(__xludf.DUMMYFUNCTION("""COMPUTED_VALUE"""),"УДС")</f>
        <v>УДС</v>
      </c>
      <c r="D333" s="15"/>
      <c r="E333" s="14" t="str">
        <f>IFERROR(__xludf.DUMMYFUNCTION("""COMPUTED_VALUE"""),"Улично-дорожная сеть: внутриквартальные пр-ды №1053, №1054, №1055. Этап Зеленая река внутриквартальные пр-ды №1053, №1054, №1055")</f>
        <v>Улично-дорожная сеть: внутриквартальные пр-ды №1053, №1054, №1055. Этап Зеленая река внутриквартальные пр-ды №1053, №1054, №1055</v>
      </c>
      <c r="F333" s="25" t="str">
        <f>IFERROR(__xludf.DUMMYFUNCTION("""COMPUTED_VALUE"""),"#N/A")</f>
        <v>#N/A</v>
      </c>
      <c r="G333" s="6" t="str">
        <f>IFERROR(__xludf.DUMMYFUNCTION("""COMPUTED_VALUE"""),"#N/A")</f>
        <v>#N/A</v>
      </c>
      <c r="H333" s="6"/>
      <c r="I333" s="6"/>
      <c r="J333" s="50">
        <f>IFERROR(__xludf.DUMMYFUNCTION("""COMPUTED_VALUE"""),0.0)</f>
        <v>0</v>
      </c>
      <c r="K333" s="58">
        <f>IFERROR(__xludf.DUMMYFUNCTION("""COMPUTED_VALUE"""),45973.0)</f>
        <v>45973</v>
      </c>
      <c r="L333" s="6">
        <v>30.0</v>
      </c>
      <c r="M333" s="52">
        <v>46003.0</v>
      </c>
      <c r="N333" s="53" t="s">
        <v>711</v>
      </c>
      <c r="O333" s="6" t="s">
        <v>841</v>
      </c>
      <c r="P333" s="6"/>
      <c r="Q333" s="6"/>
      <c r="R333" s="6"/>
    </row>
    <row r="334">
      <c r="A334" s="31" t="str">
        <f>IFERROR(__xludf.DUMMYFUNCTION("""COMPUTED_VALUE"""),"881")</f>
        <v>881</v>
      </c>
      <c r="B334" s="14" t="str">
        <f>IFERROR(__xludf.DUMMYFUNCTION("""COMPUTED_VALUE"""),"АИП-25")</f>
        <v>АИП-25</v>
      </c>
      <c r="C334" s="14" t="str">
        <f>IFERROR(__xludf.DUMMYFUNCTION("""COMPUTED_VALUE"""),"УДС")</f>
        <v>УДС</v>
      </c>
      <c r="D334" s="15"/>
      <c r="E334" s="14" t="str">
        <f>IFERROR(__xludf.DUMMYFUNCTION("""COMPUTED_VALUE"""),"Электродепо «Владыкино» Компрессорная Березовая Аллея, влд. 8, стр. 3 (СВАО)")</f>
        <v>Электродепо «Владыкино» Компрессорная Березовая Аллея, влд. 8, стр. 3 (СВАО)</v>
      </c>
      <c r="F334" s="25" t="str">
        <f>IFERROR(__xludf.DUMMYFUNCTION("""COMPUTED_VALUE"""),"#N/A")</f>
        <v>#N/A</v>
      </c>
      <c r="G334" s="6" t="str">
        <f>IFERROR(__xludf.DUMMYFUNCTION("""COMPUTED_VALUE"""),"#N/A")</f>
        <v>#N/A</v>
      </c>
      <c r="H334" s="18" t="str">
        <f>IFERROR(__xludf.DUMMYFUNCTION("""COMPUTED_VALUE"""),"https://docs.google.com/spreadsheets/d/1jonEGMB3UFHiUZpltF1zURon8gYN7jGSHu-k9t5TXnA/edit?gid=1357245149#gid=1357245149")</f>
        <v>https://docs.google.com/spreadsheets/d/1jonEGMB3UFHiUZpltF1zURon8gYN7jGSHu-k9t5TXnA/edit?gid=1357245149#gid=1357245149</v>
      </c>
      <c r="I334" s="6" t="str">
        <f>IFERROR(__xludf.DUMMYFUNCTION("""COMPUTED_VALUE"""),"https://disk.yandex.ru/client/disk/Осмотры%20объектов%20АНО%20СМГ/881.%20Электродепо%20«Владыкино»%20(расширение).%20Этап%3A%20«Дооборудование%20помещения%20кроссовой%20связи%20№%2010%20в%20здании%20Пост%20ЭЦ».%20Этап%3A%20«Реконструкция%20компрессорной%2"&amp;"0станции»")</f>
        <v>https://disk.yandex.ru/client/disk/Осмотры%20объектов%20АНО%20СМГ/881.%20Электродепо%20«Владыкино»%20(расширение).%20Этап%3A%20«Дооборудование%20помещения%20кроссовой%20связи%20№%2010%20в%20здании%20Пост%20ЭЦ».%20Этап%3A%20«Реконструкция%20компрессорной%20станции»</v>
      </c>
      <c r="J334" s="50">
        <f>IFERROR(__xludf.DUMMYFUNCTION("""COMPUTED_VALUE"""),0.0)</f>
        <v>0</v>
      </c>
      <c r="K334" s="58">
        <f>IFERROR(__xludf.DUMMYFUNCTION("""COMPUTED_VALUE"""),45728.0)</f>
        <v>45728</v>
      </c>
      <c r="L334" s="6">
        <v>30.0</v>
      </c>
      <c r="M334" s="52">
        <v>45758.0</v>
      </c>
      <c r="N334" s="53" t="s">
        <v>668</v>
      </c>
      <c r="O334" s="6"/>
      <c r="P334" s="6"/>
      <c r="Q334" s="6"/>
      <c r="R334" s="6"/>
    </row>
    <row r="335">
      <c r="A335" s="31" t="str">
        <f>IFERROR(__xludf.DUMMYFUNCTION("""COMPUTED_VALUE"""),"1020")</f>
        <v>1020</v>
      </c>
      <c r="B335" s="14" t="str">
        <f>IFERROR(__xludf.DUMMYFUNCTION("""COMPUTED_VALUE"""),"АИП-25")</f>
        <v>АИП-25</v>
      </c>
      <c r="C335" s="14" t="str">
        <f>IFERROR(__xludf.DUMMYFUNCTION("""COMPUTED_VALUE"""),"ОКС")</f>
        <v>ОКС</v>
      </c>
      <c r="D335" s="15"/>
      <c r="E335" s="14" t="str">
        <f>IFERROR(__xludf.DUMMYFUNCTION("""COMPUTED_VALUE"""),"Теплоснабжение жилого комплекса с подземной автостоянкой, ул. 4-я Парковая, влд. 16 ВАО г. Москвы, район Измайлово, 4-я Парковая ул.,вл.16")</f>
        <v>Теплоснабжение жилого комплекса с подземной автостоянкой, ул. 4-я Парковая, влд. 16 ВАО г. Москвы, район Измайлово, 4-я Парковая ул.,вл.16</v>
      </c>
      <c r="F335" s="25" t="str">
        <f>IFERROR(__xludf.DUMMYFUNCTION("""COMPUTED_VALUE"""),"55.7948")</f>
        <v>55.7948</v>
      </c>
      <c r="G335" s="6" t="str">
        <f>IFERROR(__xludf.DUMMYFUNCTION("""COMPUTED_VALUE"""),"37.7882")</f>
        <v>37.7882</v>
      </c>
      <c r="H335" s="18" t="str">
        <f>IFERROR(__xludf.DUMMYFUNCTION("""COMPUTED_VALUE"""),"https://docs.google.com/spreadsheets/d/19THEBTE9q0fhN2eApZr6BgenIvLGh0AckaYxHQfHk5w/edit?gid=901281284#gid=901281284")</f>
        <v>https://docs.google.com/spreadsheets/d/19THEBTE9q0fhN2eApZr6BgenIvLGh0AckaYxHQfHk5w/edit?gid=901281284#gid=901281284</v>
      </c>
      <c r="I335" s="21" t="str">
        <f>IFERROR(__xludf.DUMMYFUNCTION("""COMPUTED_VALUE"""),"https://disk.yandex.ru/client/disk/%D0%9E%D1%81%D0%BC%D0%BE%D1%82%D1%80%D1%8B%20%D0%BE%D0%B1%D1%8A%D0%B5%D0%BA%D1%82%D0%BE%D0%B2%20%D0%90%D0%9D%D0%9E%20%D0%A1%D0%9C%D0%93/1020.%20%D1%83%D0%BB.%204-%D1%8F%20%D0%9F%D0%B0%D1%80%D0%BA%D0%BE%D0%B2%D0%B0%D1%8F%"&amp;"2C%20%D0%B2%D0%BB%D0%B4.%2016%20(%D0%A2%D0%B5%D0%BF%D0%BB%D0%BE%D1%81%D0%BD%D0%B0%D0%B1%D0%B6%D0%B5%D0%BD%D0%B8%D0%B5%20%D0%B6%D0%B8%D0%BB%D0%BE%D0%B3%D0%BE%20%D0%BA%D0%BE%D0%BC%D0%BF%D0%BB%D0%B5%D0%BA%D1%81%D0%B0%20%D1%81%20%D0%BF%D0%BE%D0%B4%D0%B7%D0%B5"&amp;"%D0%BC%D0%BD%D0%BE%D0%B9%20%D0%B0%D0%B2%D1%82%D0%BE%D1%81%D1%82%D0%BE%D1%8F%D0%BD%D0%BA%D0%BE%D0%B9)")</f>
        <v>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v>
      </c>
      <c r="J335" s="50">
        <f>IFERROR(__xludf.DUMMYFUNCTION("""COMPUTED_VALUE"""),58.513)</f>
        <v>58.513</v>
      </c>
      <c r="K335" s="58">
        <f>IFERROR(__xludf.DUMMYFUNCTION("""COMPUTED_VALUE"""),45973.0)</f>
        <v>45973</v>
      </c>
      <c r="L335" s="6">
        <v>14.0</v>
      </c>
      <c r="M335" s="52">
        <v>45987.0</v>
      </c>
      <c r="N335" s="53" t="s">
        <v>711</v>
      </c>
      <c r="O335" s="19" t="s">
        <v>768</v>
      </c>
      <c r="P335" s="6"/>
      <c r="Q335" s="6"/>
      <c r="R335" s="6"/>
    </row>
    <row r="336">
      <c r="A336" s="31" t="str">
        <f>IFERROR(__xludf.DUMMYFUNCTION("""COMPUTED_VALUE"""),"НД")</f>
        <v>НД</v>
      </c>
      <c r="B336" s="14" t="str">
        <f>IFERROR(__xludf.DUMMYFUNCTION("""COMPUTED_VALUE"""),"АИП-25")</f>
        <v>АИП-25</v>
      </c>
      <c r="C336" s="14" t="str">
        <f>IFERROR(__xludf.DUMMYFUNCTION("""COMPUTED_VALUE"""),"УДС")</f>
        <v>УДС</v>
      </c>
      <c r="D336" s="15"/>
      <c r="E336" s="14" t="str">
        <f>IFERROR(__xludf.DUMMYFUNCTION("""COMPUTED_VALUE"""),"06-7601 Инженерные коммуникации для мкр.3Б, г. Зеленограда ЗелАО г. Москвы, г. Зеленоград, мкр. 3Б")</f>
        <v>06-7601 Инженерные коммуникации для мкр.3Б, г. Зеленограда ЗелАО г. Москвы, г. Зеленоград, мкр. 3Б</v>
      </c>
      <c r="F336" s="25" t="str">
        <f>IFERROR(__xludf.DUMMYFUNCTION("""COMPUTED_VALUE"""),"#N/A")</f>
        <v>#N/A</v>
      </c>
      <c r="G336" s="6" t="str">
        <f>IFERROR(__xludf.DUMMYFUNCTION("""COMPUTED_VALUE"""),"#N/A")</f>
        <v>#N/A</v>
      </c>
      <c r="H336" s="6"/>
      <c r="I336" s="6"/>
      <c r="J336" s="50"/>
      <c r="K336" s="58"/>
      <c r="L336" s="6">
        <v>30.0</v>
      </c>
      <c r="M336" s="52" t="s">
        <v>655</v>
      </c>
      <c r="N336" s="53" t="s">
        <v>698</v>
      </c>
      <c r="O336" s="6"/>
      <c r="P336" s="6"/>
      <c r="Q336" s="6"/>
      <c r="R336" s="6"/>
    </row>
    <row r="337">
      <c r="A337" s="31" t="str">
        <f>IFERROR(__xludf.DUMMYFUNCTION("""COMPUTED_VALUE"""),"1160")</f>
        <v>1160</v>
      </c>
      <c r="B337" s="14" t="str">
        <f>IFERROR(__xludf.DUMMYFUNCTION("""COMPUTED_VALUE"""),"АИП-25")</f>
        <v>АИП-25</v>
      </c>
      <c r="C337" s="14" t="str">
        <f>IFERROR(__xludf.DUMMYFUNCTION("""COMPUTED_VALUE"""),"УДС")</f>
        <v>УДС</v>
      </c>
      <c r="D337" s="15"/>
      <c r="E337" s="14" t="str">
        <f>IFERROR(__xludf.DUMMYFUNCTION("""COMPUTED_VALUE"""),"Очистное сооружение № 1 у д. Ликова д. Ликова")</f>
        <v>Очистное сооружение № 1 у д. Ликова д. Ликова</v>
      </c>
      <c r="F337" s="25" t="str">
        <f>IFERROR(__xludf.DUMMYFUNCTION("""COMPUTED_VALUE"""),"#N/A")</f>
        <v>#N/A</v>
      </c>
      <c r="G337" s="6" t="str">
        <f>IFERROR(__xludf.DUMMYFUNCTION("""COMPUTED_VALUE"""),"#N/A")</f>
        <v>#N/A</v>
      </c>
      <c r="H337" s="18" t="str">
        <f>IFERROR(__xludf.DUMMYFUNCTION("""COMPUTED_VALUE"""),"https://docs.google.com/spreadsheets/d/1MW8OIVEKRJEaLcG-KS0zwZPEQ0eRUWE2y9Gj77rgoxo/edit?gid=1015756216#gid=1015756216")</f>
        <v>https://docs.google.com/spreadsheets/d/1MW8OIVEKRJEaLcG-KS0zwZPEQ0eRUWE2y9Gj77rgoxo/edit?gid=1015756216#gid=1015756216</v>
      </c>
      <c r="I337" s="6" t="str">
        <f>IFERROR(__xludf.DUMMYFUNCTION("""COMPUTED_VALUE"""),"https://disk.yandex.ru/client/disk/Осмотры%20объектов%20АНО%20СМГ/1160.%20Очистные%20сооружения%20%231у%20д.%20Ликова")</f>
        <v>https://disk.yandex.ru/client/disk/Осмотры%20объектов%20АНО%20СМГ/1160.%20Очистные%20сооружения%20%231у%20д.%20Ликова</v>
      </c>
      <c r="J337" s="50">
        <f>IFERROR(__xludf.DUMMYFUNCTION("""COMPUTED_VALUE"""),87.93125)</f>
        <v>87.93125</v>
      </c>
      <c r="K337" s="58">
        <f>IFERROR(__xludf.DUMMYFUNCTION("""COMPUTED_VALUE"""),45959.0)</f>
        <v>45959</v>
      </c>
      <c r="L337" s="6">
        <v>14.0</v>
      </c>
      <c r="M337" s="52">
        <v>45973.0</v>
      </c>
      <c r="N337" s="53" t="s">
        <v>668</v>
      </c>
      <c r="O337" s="6" t="s">
        <v>842</v>
      </c>
      <c r="P337" s="6"/>
      <c r="Q337" s="6"/>
      <c r="R337" s="6"/>
    </row>
    <row r="338">
      <c r="A338" s="31" t="str">
        <f>IFERROR(__xludf.DUMMYFUNCTION("""COMPUTED_VALUE"""),"1058.1 (1058д)!!!! архив?!")</f>
        <v>1058.1 (1058д)!!!! архив?!</v>
      </c>
      <c r="B338" s="14" t="str">
        <f>IFERROR(__xludf.DUMMYFUNCTION("""COMPUTED_VALUE"""),"АИП-25")</f>
        <v>АИП-25</v>
      </c>
      <c r="C338" s="14" t="str">
        <f>IFERROR(__xludf.DUMMYFUNCTION("""COMPUTED_VALUE"""),"УДС")</f>
        <v>УДС</v>
      </c>
      <c r="D338" s="15"/>
      <c r="E338" s="14" t="str">
        <f>IFERROR(__xludf.DUMMYFUNCTION("""COMPUTED_VALUE"""),"Реконструкция канализационно-насосной станции (КНС) ""Внуковская"", д. Лапшинка, пос. Московский ЗАО г. Москвы, квартал № 61, район Внуково")</f>
        <v>Реконструкция канализационно-насосной станции (КНС) "Внуковская", д. Лапшинка, пос. Московский ЗАО г. Москвы, квартал № 61, район Внуково</v>
      </c>
      <c r="F338" s="25" t="str">
        <f>IFERROR(__xludf.DUMMYFUNCTION("""COMPUTED_VALUE"""),"#N/A")</f>
        <v>#N/A</v>
      </c>
      <c r="G338" s="6" t="str">
        <f>IFERROR(__xludf.DUMMYFUNCTION("""COMPUTED_VALUE"""),"#N/A")</f>
        <v>#N/A</v>
      </c>
      <c r="H338" s="6"/>
      <c r="I338" s="6" t="str">
        <f>IFERROR(__xludf.DUMMYFUNCTION("""COMPUTED_VALUE"""),"https://disk.yandex.ru/client/disk/Осмотры%20объектов%20АНО%20СМГ/1058.1%20Реконструкция%20канализационно-насосной%20станции%20(КНС)%20«Внуковская»%20д.%20Лапшинка%2C%20пос.%20Московский")</f>
        <v>https://disk.yandex.ru/client/disk/Осмотры%20объектов%20АНО%20СМГ/1058.1%20Реконструкция%20канализационно-насосной%20станции%20(КНС)%20«Внуковская»%20д.%20Лапшинка%2C%20пос.%20Московский</v>
      </c>
      <c r="J338" s="50"/>
      <c r="K338" s="58"/>
      <c r="L338" s="6">
        <v>30.0</v>
      </c>
      <c r="M338" s="52" t="s">
        <v>655</v>
      </c>
      <c r="N338" s="53" t="s">
        <v>698</v>
      </c>
      <c r="O338" s="6"/>
      <c r="P338" s="6"/>
      <c r="Q338" s="6"/>
      <c r="R338" s="6"/>
    </row>
    <row r="339">
      <c r="A339" s="31" t="str">
        <f>IFERROR(__xludf.DUMMYFUNCTION("""COMPUTED_VALUE"""),"248")</f>
        <v>248</v>
      </c>
      <c r="B339" s="14" t="str">
        <f>IFERROR(__xludf.DUMMYFUNCTION("""COMPUTED_VALUE"""),"АИП-26")</f>
        <v>АИП-26</v>
      </c>
      <c r="C339" s="14" t="str">
        <f>IFERROR(__xludf.DUMMYFUNCTION("""COMPUTED_VALUE"""),"ОКС")</f>
        <v>ОКС</v>
      </c>
      <c r="D339" s="15"/>
      <c r="E339" s="14" t="str">
        <f>IFERROR(__xludf.DUMMYFUNCTION("""COMPUTED_VALUE"""),"ДОУ на 320 мест, р-н Бирюлево Восточное, 
 ул. 6-я Радиальная, влд. 7 р-н Бирюлево Восточное, 
 ул. 6-я Радиальная, влд. 7")</f>
        <v>ДОУ на 320 мест, р-н Бирюлево Восточное, 
 ул. 6-я Радиальная, влд. 7 р-н Бирюлево Восточное, 
 ул. 6-я Радиальная, влд. 7</v>
      </c>
      <c r="F339" s="25" t="str">
        <f>IFERROR(__xludf.DUMMYFUNCTION("""COMPUTED_VALUE"""),"55.605316")</f>
        <v>55.605316</v>
      </c>
      <c r="G339" s="6" t="str">
        <f>IFERROR(__xludf.DUMMYFUNCTION("""COMPUTED_VALUE"""),"37.653715")</f>
        <v>37.653715</v>
      </c>
      <c r="H339" s="18" t="str">
        <f>IFERROR(__xludf.DUMMYFUNCTION("""COMPUTED_VALUE"""),"https://docs.google.com/spreadsheets/d/19THEBTE9q0fhN2eApZr6BgenIvLGh0AckaYxHQfHk5w/edit?gid=894458513#gid=894458513")</f>
        <v>https://docs.google.com/spreadsheets/d/19THEBTE9q0fhN2eApZr6BgenIvLGh0AckaYxHQfHk5w/edit?gid=894458513#gid=894458513</v>
      </c>
      <c r="I339" s="19" t="str">
        <f>IFERROR(__xludf.DUMMYFUNCTION("""COMPUTED_VALUE"""),"https://disk.yandex.ru/client/disk/Осмотры%20объектов%20АНО%20СМГ/248.%206-я%20Радиальная%20ул.%2C%20влд.7%2C%20участок%2021.%20ДОУ%20на%20320%20мест")</f>
        <v>https://disk.yandex.ru/client/disk/Осмотры%20объектов%20АНО%20СМГ/248.%206-я%20Радиальная%20ул.%2C%20влд.7%2C%20участок%2021.%20ДОУ%20на%20320%20мест</v>
      </c>
      <c r="J339" s="50">
        <f>IFERROR(__xludf.DUMMYFUNCTION("""COMPUTED_VALUE"""),48.5302725)</f>
        <v>48.5302725</v>
      </c>
      <c r="K339" s="58">
        <f>IFERROR(__xludf.DUMMYFUNCTION("""COMPUTED_VALUE"""),45968.0)</f>
        <v>45968</v>
      </c>
      <c r="L339" s="6">
        <v>30.0</v>
      </c>
      <c r="M339" s="52">
        <v>45998.0</v>
      </c>
      <c r="N339" s="53" t="s">
        <v>711</v>
      </c>
      <c r="O339" s="19" t="s">
        <v>843</v>
      </c>
      <c r="P339" s="6"/>
      <c r="Q339" s="6"/>
      <c r="R339" s="6"/>
    </row>
    <row r="340">
      <c r="A340" s="31" t="str">
        <f>IFERROR(__xludf.DUMMYFUNCTION("""COMPUTED_VALUE"""),"228")</f>
        <v>228</v>
      </c>
      <c r="B340" s="14" t="str">
        <f>IFERROR(__xludf.DUMMYFUNCTION("""COMPUTED_VALUE"""),"АИП-25")</f>
        <v>АИП-25</v>
      </c>
      <c r="C340" s="14" t="str">
        <f>IFERROR(__xludf.DUMMYFUNCTION("""COMPUTED_VALUE"""),"ОКС")</f>
        <v>ОКС</v>
      </c>
      <c r="D340" s="15"/>
      <c r="E340" s="14" t="str">
        <f>IFERROR(__xludf.DUMMYFUNCTION("""COMPUTED_VALUE"""),"ДОУ на 150 мест по адресу: пересечение ул. Минской с Киевским направлением Московской железной дороги в пойме р. Раменки пересечение ул. Минской с Киевским направлением Московской железной дороги в пойме реки Раменки")</f>
        <v>ДОУ на 150 мест по адресу: пересечение ул. Минской с Киевским направлением Московской железной дороги в пойме р. Раменки пересечение ул. Минской с Киевским направлением Московской железной дороги в пойме реки Раменки</v>
      </c>
      <c r="F340" s="25" t="str">
        <f>IFERROR(__xludf.DUMMYFUNCTION("""COMPUTED_VALUE"""),"55.715333")</f>
        <v>55.715333</v>
      </c>
      <c r="G340" s="6" t="str">
        <f>IFERROR(__xludf.DUMMYFUNCTION("""COMPUTED_VALUE"""),"37.500206")</f>
        <v>37.500206</v>
      </c>
      <c r="H340" s="18" t="str">
        <f>IFERROR(__xludf.DUMMYFUNCTION("""COMPUTED_VALUE"""),"https://docs.google.com/spreadsheets/d/19THEBTE9q0fhN2eApZr6BgenIvLGh0AckaYxHQfHk5w/edit?gid=962200403#gid=962200403")</f>
        <v>https://docs.google.com/spreadsheets/d/19THEBTE9q0fhN2eApZr6BgenIvLGh0AckaYxHQfHk5w/edit?gid=962200403#gid=962200403</v>
      </c>
      <c r="I340" s="19" t="str">
        <f>IFERROR(__xludf.DUMMYFUNCTION("""COMPUTED_VALUE"""),"https://disk.yandex.ru/client/disk/Осмотры%20объектов%20АНО%20СМГ/228..ДОУ%20150%20мест%20Раменки%20ул%20Минская")</f>
        <v>https://disk.yandex.ru/client/disk/Осмотры%20объектов%20АНО%20СМГ/228..ДОУ%20150%20мест%20Раменки%20ул%20Минская</v>
      </c>
      <c r="J340" s="50">
        <f>IFERROR(__xludf.DUMMYFUNCTION("""COMPUTED_VALUE"""),29.012)</f>
        <v>29.012</v>
      </c>
      <c r="K340" s="58">
        <f>IFERROR(__xludf.DUMMYFUNCTION("""COMPUTED_VALUE"""),45967.0)</f>
        <v>45967</v>
      </c>
      <c r="L340" s="6">
        <v>30.0</v>
      </c>
      <c r="M340" s="52">
        <v>45997.0</v>
      </c>
      <c r="N340" s="53" t="s">
        <v>711</v>
      </c>
      <c r="O340" s="19" t="s">
        <v>844</v>
      </c>
      <c r="P340" s="6"/>
      <c r="Q340" s="6"/>
      <c r="R340" s="6"/>
    </row>
    <row r="341">
      <c r="A341" s="31" t="str">
        <f>IFERROR(__xludf.DUMMYFUNCTION("""COMPUTED_VALUE"""),"108")</f>
        <v>108</v>
      </c>
      <c r="B341" s="14" t="str">
        <f>IFERROR(__xludf.DUMMYFUNCTION("""COMPUTED_VALUE"""),"АИП-25")</f>
        <v>АИП-25</v>
      </c>
      <c r="C341" s="14" t="str">
        <f>IFERROR(__xludf.DUMMYFUNCTION("""COMPUTED_VALUE"""),"ОКС")</f>
        <v>ОКС</v>
      </c>
      <c r="D341" s="15"/>
      <c r="E341" s="14" t="str">
        <f>IFERROR(__xludf.DUMMYFUNCTION("""COMPUTED_VALUE"""),"Жилые дома с инженерными коммуникациями и благоустройством, р-н Косино-Ухтомский, ул. Николая Старостина, напротив влд. 8 район Косино-Ухтомский, ул.Николая Старостина, напротив влд. 8 (этап 2) (ВАО)")</f>
        <v>Жилые дома с инженерными коммуникациями и благоустройством, р-н Косино-Ухтомский, ул. Николая Старостина, напротив влд. 8 район Косино-Ухтомский, ул.Николая Старостина, напротив влд. 8 (этап 2) (ВАО)</v>
      </c>
      <c r="F341" s="25" t="str">
        <f>IFERROR(__xludf.DUMMYFUNCTION("""COMPUTED_VALUE"""),"55.730556")</f>
        <v>55.730556</v>
      </c>
      <c r="G341" s="6" t="str">
        <f>IFERROR(__xludf.DUMMYFUNCTION("""COMPUTED_VALUE"""),"37.855961")</f>
        <v>37.855961</v>
      </c>
      <c r="H341" s="18" t="str">
        <f>IFERROR(__xludf.DUMMYFUNCTION("""COMPUTED_VALUE"""),"https://docs.google.com/spreadsheets/d/19THEBTE9q0fhN2eApZr6BgenIvLGh0AckaYxHQfHk5w/edit?gid=425127641#gid=425127641")</f>
        <v>https://docs.google.com/spreadsheets/d/19THEBTE9q0fhN2eApZr6BgenIvLGh0AckaYxHQfHk5w/edit?gid=425127641#gid=425127641</v>
      </c>
      <c r="I341" s="19" t="str">
        <f>IFERROR(__xludf.DUMMYFUNCTION("""COMPUTED_VALUE"""),"https://disk.yandex.ru/client/disk/Осмотры%20объектов%20АНО%20СМГ/108.%20Жилые%20дома%20ул.%20Николая%20Старостина%2C%20напротив%20влд.%208")</f>
        <v>https://disk.yandex.ru/client/disk/Осмотры%20объектов%20АНО%20СМГ/108.%20Жилые%20дома%20ул.%20Николая%20Старостина%2C%20напротив%20влд.%208</v>
      </c>
      <c r="J341" s="50">
        <f>IFERROR(__xludf.DUMMYFUNCTION("""COMPUTED_VALUE"""),75.65595)</f>
        <v>75.65595</v>
      </c>
      <c r="K341" s="58">
        <f>IFERROR(__xludf.DUMMYFUNCTION("""COMPUTED_VALUE"""),45971.0)</f>
        <v>45971</v>
      </c>
      <c r="L341" s="6">
        <v>14.0</v>
      </c>
      <c r="M341" s="52">
        <v>45985.0</v>
      </c>
      <c r="N341" s="53" t="s">
        <v>711</v>
      </c>
      <c r="O341" s="19" t="s">
        <v>845</v>
      </c>
      <c r="P341" s="6"/>
      <c r="Q341" s="6"/>
      <c r="R341" s="6"/>
    </row>
    <row r="342">
      <c r="A342" s="31" t="str">
        <f>IFERROR(__xludf.DUMMYFUNCTION("""COMPUTED_VALUE"""),"377д (сводный)")</f>
        <v>377д (сводный)</v>
      </c>
      <c r="B342" s="14" t="str">
        <f>IFERROR(__xludf.DUMMYFUNCTION("""COMPUTED_VALUE"""),"АИП-25")</f>
        <v>АИП-25</v>
      </c>
      <c r="C342" s="14" t="str">
        <f>IFERROR(__xludf.DUMMYFUNCTION("""COMPUTED_VALUE"""),"УДС")</f>
        <v>УДС</v>
      </c>
      <c r="D342" s="15"/>
      <c r="E342"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1.2., Этап 1.1.2 ")</f>
        <v>Строительство многоуровневых транспортных развязок в пос. Рассудово, пос. Киевский с реконструкцией Киевского шоссе на участке 51-65 км Этап 1.2., Этап 1.1.2 </v>
      </c>
      <c r="F342" s="25" t="str">
        <f>IFERROR(__xludf.DUMMYFUNCTION("""COMPUTED_VALUE"""),"#N/A")</f>
        <v>#N/A</v>
      </c>
      <c r="G342" s="6" t="str">
        <f>IFERROR(__xludf.DUMMYFUNCTION("""COMPUTED_VALUE"""),"#N/A")</f>
        <v>#N/A</v>
      </c>
      <c r="H342" s="6"/>
      <c r="I342" s="6"/>
      <c r="J342" s="50"/>
      <c r="K342" s="58"/>
      <c r="L342" s="6">
        <v>30.0</v>
      </c>
      <c r="M342" s="52" t="s">
        <v>655</v>
      </c>
      <c r="N342" s="53" t="s">
        <v>698</v>
      </c>
      <c r="O342" s="6"/>
      <c r="P342" s="6"/>
      <c r="Q342" s="6"/>
      <c r="R342" s="6"/>
    </row>
    <row r="343">
      <c r="A343" s="31" t="str">
        <f>IFERROR(__xludf.DUMMYFUNCTION("""COMPUTED_VALUE"""),"377д (этап 1.1.2)")</f>
        <v>377д (этап 1.1.2)</v>
      </c>
      <c r="B343" s="14"/>
      <c r="C343" s="14" t="str">
        <f>IFERROR(__xludf.DUMMYFUNCTION("""COMPUTED_VALUE"""),"УДС")</f>
        <v>УДС</v>
      </c>
      <c r="D343" s="15"/>
      <c r="E343"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1.1.2. пос. Рассудово, пос. Киевский")</f>
        <v>Строительство многоуровневых транспортных развязок в пос. Рассудово, пос. Киевский с реконструкцией Киевского шоссе на участке 
 51-65 км Этап 1.1.2. пос. Рассудово, пос. Киевский</v>
      </c>
      <c r="F343" s="25" t="str">
        <f>IFERROR(__xludf.DUMMYFUNCTION("""COMPUTED_VALUE"""),"#N/A")</f>
        <v>#N/A</v>
      </c>
      <c r="G343" s="6" t="str">
        <f>IFERROR(__xludf.DUMMYFUNCTION("""COMPUTED_VALUE"""),"#N/A")</f>
        <v>#N/A</v>
      </c>
      <c r="H343" s="6"/>
      <c r="I343" s="6"/>
      <c r="J343" s="50"/>
      <c r="K343" s="58"/>
      <c r="L343" s="6">
        <v>30.0</v>
      </c>
      <c r="M343" s="52" t="s">
        <v>655</v>
      </c>
      <c r="N343" s="53" t="s">
        <v>698</v>
      </c>
      <c r="O343" s="6" t="s">
        <v>846</v>
      </c>
      <c r="P343" s="6"/>
      <c r="Q343" s="6"/>
      <c r="R343" s="6"/>
    </row>
    <row r="344">
      <c r="A344" s="31" t="str">
        <f>IFERROR(__xludf.DUMMYFUNCTION("""COMPUTED_VALUE"""),"377д (этап 1.2)")</f>
        <v>377д (этап 1.2)</v>
      </c>
      <c r="B344" s="14"/>
      <c r="C344" s="14" t="str">
        <f>IFERROR(__xludf.DUMMYFUNCTION("""COMPUTED_VALUE"""),"УДС")</f>
        <v>УДС</v>
      </c>
      <c r="D344" s="15"/>
      <c r="E344"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1.2. пос. Рассудово, пос. Киевский")</f>
        <v>Строительство многоуровневых транспортных развязок в пос. Рассудово, пос. Киевский с реконструкцией Киевского шоссе на участке 
 51-65 км Этап 1.2. пос. Рассудово, пос. Киевский</v>
      </c>
      <c r="F344" s="25" t="str">
        <f>IFERROR(__xludf.DUMMYFUNCTION("""COMPUTED_VALUE"""),"#N/A")</f>
        <v>#N/A</v>
      </c>
      <c r="G344" s="6" t="str">
        <f>IFERROR(__xludf.DUMMYFUNCTION("""COMPUTED_VALUE"""),"#N/A")</f>
        <v>#N/A</v>
      </c>
      <c r="H344" s="6"/>
      <c r="I344" s="6"/>
      <c r="J344" s="50"/>
      <c r="K344" s="58"/>
      <c r="L344" s="6">
        <v>30.0</v>
      </c>
      <c r="M344" s="52" t="s">
        <v>655</v>
      </c>
      <c r="N344" s="53" t="s">
        <v>698</v>
      </c>
      <c r="O344" s="6" t="s">
        <v>847</v>
      </c>
      <c r="P344" s="6"/>
      <c r="Q344" s="6"/>
      <c r="R344" s="6"/>
    </row>
    <row r="345">
      <c r="A345" s="31" t="str">
        <f>IFERROR(__xludf.DUMMYFUNCTION("""COMPUTED_VALUE"""),"125д")</f>
        <v>125д</v>
      </c>
      <c r="B345" s="14" t="str">
        <f>IFERROR(__xludf.DUMMYFUNCTION("""COMPUTED_VALUE"""),"АИП-25")</f>
        <v>АИП-25</v>
      </c>
      <c r="C345" s="14" t="str">
        <f>IFERROR(__xludf.DUMMYFUNCTION("""COMPUTED_VALUE"""),"УДС")</f>
        <v>УДС</v>
      </c>
      <c r="D345" s="15"/>
      <c r="E345" s="14" t="str">
        <f>IFERROR(__xludf.DUMMYFUNCTION("""COMPUTED_VALUE"""),"Строительство улично-дорожной сети для застройки ""ЗИЛ-ЮГ""
 Этап 1.1 ЗИЛ")</f>
        <v>Строительство улично-дорожной сети для застройки "ЗИЛ-ЮГ"
 Этап 1.1 ЗИЛ</v>
      </c>
      <c r="F345" s="25" t="str">
        <f>IFERROR(__xludf.DUMMYFUNCTION("""COMPUTED_VALUE"""),"#N/A")</f>
        <v>#N/A</v>
      </c>
      <c r="G345" s="6" t="str">
        <f>IFERROR(__xludf.DUMMYFUNCTION("""COMPUTED_VALUE"""),"#N/A")</f>
        <v>#N/A</v>
      </c>
      <c r="H345" s="6"/>
      <c r="I345" s="6"/>
      <c r="J345" s="50">
        <f>IFERROR(__xludf.DUMMYFUNCTION("""COMPUTED_VALUE"""),62.0)</f>
        <v>62</v>
      </c>
      <c r="K345" s="58">
        <f>IFERROR(__xludf.DUMMYFUNCTION("""COMPUTED_VALUE"""),45968.0)</f>
        <v>45968</v>
      </c>
      <c r="L345" s="6">
        <v>14.0</v>
      </c>
      <c r="M345" s="52">
        <v>45982.0</v>
      </c>
      <c r="N345" s="53" t="s">
        <v>692</v>
      </c>
      <c r="O345" s="6" t="s">
        <v>848</v>
      </c>
      <c r="P345" s="6"/>
      <c r="Q345" s="6"/>
      <c r="R345" s="6"/>
    </row>
    <row r="346">
      <c r="A346" s="31" t="str">
        <f>IFERROR(__xludf.DUMMYFUNCTION("""COMPUTED_VALUE"""),"159д")</f>
        <v>159д</v>
      </c>
      <c r="B346" s="14" t="str">
        <f>IFERROR(__xludf.DUMMYFUNCTION("""COMPUTED_VALUE"""),"АИП-25")</f>
        <v>АИП-25</v>
      </c>
      <c r="C346" s="14" t="str">
        <f>IFERROR(__xludf.DUMMYFUNCTION("""COMPUTED_VALUE"""),"УДС")</f>
        <v>УДС</v>
      </c>
      <c r="D346" s="15"/>
      <c r="E346" s="14" t="str">
        <f>IFERROR(__xludf.DUMMYFUNCTION("""COMPUTED_VALUE"""),"Транспортная развязка на пересечении МКАД с Алтуфьевским шоссе. ОС пересечение МКАД с Алтуфьевским шоссе")</f>
        <v>Транспортная развязка на пересечении МКАД с Алтуфьевским шоссе. ОС пересечение МКАД с Алтуфьевским шоссе</v>
      </c>
      <c r="F346" s="25" t="str">
        <f>IFERROR(__xludf.DUMMYFUNCTION("""COMPUTED_VALUE"""),"#N/A")</f>
        <v>#N/A</v>
      </c>
      <c r="G346" s="6" t="str">
        <f>IFERROR(__xludf.DUMMYFUNCTION("""COMPUTED_VALUE"""),"#N/A")</f>
        <v>#N/A</v>
      </c>
      <c r="H346" s="6"/>
      <c r="I346" s="6"/>
      <c r="J346" s="50">
        <f>IFERROR(__xludf.DUMMYFUNCTION("""COMPUTED_VALUE"""),7.948)</f>
        <v>7.948</v>
      </c>
      <c r="K346" s="58">
        <f>IFERROR(__xludf.DUMMYFUNCTION("""COMPUTED_VALUE"""),45973.0)</f>
        <v>45973</v>
      </c>
      <c r="L346" s="6">
        <v>30.0</v>
      </c>
      <c r="M346" s="52">
        <v>46003.0</v>
      </c>
      <c r="N346" s="53" t="s">
        <v>711</v>
      </c>
      <c r="O346" s="6" t="s">
        <v>849</v>
      </c>
      <c r="P346" s="6"/>
      <c r="Q346" s="6"/>
      <c r="R346" s="6"/>
    </row>
    <row r="347">
      <c r="A347" s="31" t="str">
        <f>IFERROR(__xludf.DUMMYFUNCTION("""COMPUTED_VALUE"""),"327д")</f>
        <v>327д</v>
      </c>
      <c r="B347" s="14" t="str">
        <f>IFERROR(__xludf.DUMMYFUNCTION("""COMPUTED_VALUE"""),"АИП-25")</f>
        <v>АИП-25</v>
      </c>
      <c r="C347" s="14" t="str">
        <f>IFERROR(__xludf.DUMMYFUNCTION("""COMPUTED_VALUE"""),"УДС")</f>
        <v>УДС</v>
      </c>
      <c r="D347" s="15"/>
      <c r="E347" s="14" t="str">
        <f>IFERROR(__xludf.DUMMYFUNCTION("""COMPUTED_VALUE"""),"Пешеходный переход через МЦД-1 и Дмитровское шоссе в районе д.29 Дмитровское шоссе в районе д.29")</f>
        <v>Пешеходный переход через МЦД-1 и Дмитровское шоссе в районе д.29 Дмитровское шоссе в районе д.29</v>
      </c>
      <c r="F347" s="25" t="str">
        <f>IFERROR(__xludf.DUMMYFUNCTION("""COMPUTED_VALUE"""),"#N/A")</f>
        <v>#N/A</v>
      </c>
      <c r="G347" s="6" t="str">
        <f>IFERROR(__xludf.DUMMYFUNCTION("""COMPUTED_VALUE"""),"#N/A")</f>
        <v>#N/A</v>
      </c>
      <c r="H347" s="6"/>
      <c r="I347" s="6" t="str">
        <f>IFERROR(__xludf.DUMMYFUNCTION("""COMPUTED_VALUE"""),"https://disk.yandex.ru/client/disk/Осмотры%20объектов%20АНО%20СМГ/(327)%20Пешеходный%20переход%20через%20МЦД-1%20и%20Дмитровское%20ш.%20в%20районе%20д.29")</f>
        <v>https://disk.yandex.ru/client/disk/Осмотры%20объектов%20АНО%20СМГ/(327)%20Пешеходный%20переход%20через%20МЦД-1%20и%20Дмитровское%20ш.%20в%20районе%20д.29</v>
      </c>
      <c r="J347" s="50">
        <f>IFERROR(__xludf.DUMMYFUNCTION("""COMPUTED_VALUE"""),86.27312500000001)</f>
        <v>86.273125</v>
      </c>
      <c r="K347" s="58">
        <f>IFERROR(__xludf.DUMMYFUNCTION("""COMPUTED_VALUE"""),45974.0)</f>
        <v>45974</v>
      </c>
      <c r="L347" s="6">
        <v>14.0</v>
      </c>
      <c r="M347" s="52">
        <v>45988.0</v>
      </c>
      <c r="N347" s="53" t="s">
        <v>711</v>
      </c>
      <c r="O347" s="6" t="s">
        <v>850</v>
      </c>
      <c r="P347" s="6"/>
      <c r="Q347" s="6"/>
      <c r="R347" s="6"/>
    </row>
    <row r="348">
      <c r="A348" s="31" t="str">
        <f>IFERROR(__xludf.DUMMYFUNCTION("""COMPUTED_VALUE"""),"1251д")</f>
        <v>1251д</v>
      </c>
      <c r="B348" s="14" t="str">
        <f>IFERROR(__xludf.DUMMYFUNCTION("""COMPUTED_VALUE"""),"АИП-25")</f>
        <v>АИП-25</v>
      </c>
      <c r="C348" s="14" t="str">
        <f>IFERROR(__xludf.DUMMYFUNCTION("""COMPUTED_VALUE"""),"УДС")</f>
        <v>УДС</v>
      </c>
      <c r="D348" s="15"/>
      <c r="E348" s="14" t="str">
        <f>IFERROR(__xludf.DUMMYFUNCTION("""COMPUTED_VALUE"""),"Реконструкция водоочистных сооружений, пруд- отстойник ""Орехово-Борисово"", 2 этап (0,35 куб.м/сутки), Шипиловский пр-д, влд. 24 г. Москва, ул.
 Шипиловский пр-д, влд. 24")</f>
        <v>Реконструкция водоочистных сооружений, пруд- отстойник "Орехово-Борисово", 2 этап (0,35 куб.м/сутки), Шипиловский пр-д, влд. 24 г. Москва, ул.
 Шипиловский пр-д, влд. 24</v>
      </c>
      <c r="F348" s="25" t="str">
        <f>IFERROR(__xludf.DUMMYFUNCTION("""COMPUTED_VALUE"""),"#N/A")</f>
        <v>#N/A</v>
      </c>
      <c r="G348" s="6" t="str">
        <f>IFERROR(__xludf.DUMMYFUNCTION("""COMPUTED_VALUE"""),"#N/A")</f>
        <v>#N/A</v>
      </c>
      <c r="H348" s="6"/>
      <c r="I348" s="6" t="str">
        <f>IFERROR(__xludf.DUMMYFUNCTION("""COMPUTED_VALUE"""),"https://disk.yandex.ru/client/disk/Осмотры%20объектов%20АНО%20СМГ/1251%20Реконструкция%20водоочистных%20сооружений%2C%20пруд%20отстойник%20%22Орехово-Борисов%22%202%20этап%20(0%2C35%20куб.%20м.%20с.)%2C%20Шипиловский%20пр-д%2C%20влд.%2024%20(завершение%20"&amp;"строительства)")</f>
        <v>https://disk.yandex.ru/client/disk/Осмотры%20объектов%20АНО%20СМГ/1251%20Реконструкция%20водоочистных%20сооружений%2C%20пруд%20отстойник%20%22Орехово-Борисов%22%202%20этап%20(0%2C35%20куб.%20м.%20с.)%2C%20Шипиловский%20пр-д%2C%20влд.%2024%20(завершение%20строительства)</v>
      </c>
      <c r="J348" s="50">
        <f>IFERROR(__xludf.DUMMYFUNCTION("""COMPUTED_VALUE"""),63.59760500000001)</f>
        <v>63.597605</v>
      </c>
      <c r="K348" s="58">
        <f>IFERROR(__xludf.DUMMYFUNCTION("""COMPUTED_VALUE"""),45888.0)</f>
        <v>45888</v>
      </c>
      <c r="L348" s="6">
        <v>14.0</v>
      </c>
      <c r="M348" s="52">
        <v>45902.0</v>
      </c>
      <c r="N348" s="53" t="s">
        <v>668</v>
      </c>
      <c r="O348" s="6" t="s">
        <v>851</v>
      </c>
      <c r="P348" s="6"/>
      <c r="Q348" s="6"/>
      <c r="R348" s="6"/>
    </row>
    <row r="349">
      <c r="A349" s="31" t="str">
        <f>IFERROR(__xludf.DUMMYFUNCTION("""COMPUTED_VALUE"""),"430д")</f>
        <v>430д</v>
      </c>
      <c r="B349" s="14" t="str">
        <f>IFERROR(__xludf.DUMMYFUNCTION("""COMPUTED_VALUE"""),"АИП-25")</f>
        <v>АИП-25</v>
      </c>
      <c r="C349" s="14" t="str">
        <f>IFERROR(__xludf.DUMMYFUNCTION("""COMPUTED_VALUE"""),"УДС")</f>
        <v>УДС</v>
      </c>
      <c r="D349" s="15"/>
      <c r="E349" s="14" t="str">
        <f>IFERROR(__xludf.DUMMYFUNCTION("""COMPUTED_VALUE"""),"02-6015 Строительство инженерных коммуникаций на территории ""Дьяково"" (1,2 пусковые комплексы) ЮАО, Проспект Андропопва, вл. 39")</f>
        <v>02-6015 Строительство инженерных коммуникаций на территории "Дьяково" (1,2 пусковые комплексы) ЮАО, Проспект Андропопва, вл. 39</v>
      </c>
      <c r="F349" s="25" t="str">
        <f>IFERROR(__xludf.DUMMYFUNCTION("""COMPUTED_VALUE"""),"#N/A")</f>
        <v>#N/A</v>
      </c>
      <c r="G349" s="6" t="str">
        <f>IFERROR(__xludf.DUMMYFUNCTION("""COMPUTED_VALUE"""),"#N/A")</f>
        <v>#N/A</v>
      </c>
      <c r="H349" s="6"/>
      <c r="I349" s="6"/>
      <c r="J349" s="50">
        <f>IFERROR(__xludf.DUMMYFUNCTION("""COMPUTED_VALUE"""),93.878115)</f>
        <v>93.878115</v>
      </c>
      <c r="K349" s="58">
        <f>IFERROR(__xludf.DUMMYFUNCTION("""COMPUTED_VALUE"""),45887.0)</f>
        <v>45887</v>
      </c>
      <c r="L349" s="6">
        <v>14.0</v>
      </c>
      <c r="M349" s="52">
        <v>45901.0</v>
      </c>
      <c r="N349" s="53" t="s">
        <v>668</v>
      </c>
      <c r="O349" s="6"/>
      <c r="P349" s="6"/>
      <c r="Q349" s="6"/>
      <c r="R349" s="6"/>
    </row>
    <row r="350">
      <c r="A350" s="31" t="str">
        <f>IFERROR(__xludf.DUMMYFUNCTION("""COMPUTED_VALUE"""),"1035")</f>
        <v>1035</v>
      </c>
      <c r="B350" s="14" t="str">
        <f>IFERROR(__xludf.DUMMYFUNCTION("""COMPUTED_VALUE"""),"АИП-25")</f>
        <v>АИП-25</v>
      </c>
      <c r="C350" s="14" t="str">
        <f>IFERROR(__xludf.DUMMYFUNCTION("""COMPUTED_VALUE"""),"УДС")</f>
        <v>УДС</v>
      </c>
      <c r="D350" s="15"/>
      <c r="E350" s="14" t="str">
        <f>IFERROR(__xludf.DUMMYFUNCTION("""COMPUTED_VALUE"""),"Электродепо «Выхино» (реконструкция)Здание АВС и КТЦ; Инженерное обеспечение Рязанский проспект, влд. 105, стр. 12-13 (ЮВАО)")</f>
        <v>Электродепо «Выхино» (реконструкция)Здание АВС и КТЦ; Инженерное обеспечение Рязанский проспект, влд. 105, стр. 12-13 (ЮВАО)</v>
      </c>
      <c r="F350" s="25" t="str">
        <f>IFERROR(__xludf.DUMMYFUNCTION("""COMPUTED_VALUE"""),"#N/A")</f>
        <v>#N/A</v>
      </c>
      <c r="G350" s="6" t="str">
        <f>IFERROR(__xludf.DUMMYFUNCTION("""COMPUTED_VALUE"""),"#N/A")</f>
        <v>#N/A</v>
      </c>
      <c r="H350" s="18" t="str">
        <f>IFERROR(__xludf.DUMMYFUNCTION("""COMPUTED_VALUE"""),"https://docs.google.com/spreadsheets/d/1jonEGMB3UFHiUZpltF1zURon8gYN7jGSHu-k9t5TXnA/edit?gid=632356132#gid=632356132")</f>
        <v>https://docs.google.com/spreadsheets/d/1jonEGMB3UFHiUZpltF1zURon8gYN7jGSHu-k9t5TXnA/edit?gid=632356132#gid=632356132</v>
      </c>
      <c r="I350" s="6" t="str">
        <f>IFERROR(__xludf.DUMMYFUNCTION("""COMPUTED_VALUE"""),"https://disk.yandex.ru/client/disk/Осмотры%20объектов%20АНО%20СМГ/Электродепо%20Выхино%20/12.03.25%20Джинджолия")</f>
        <v>https://disk.yandex.ru/client/disk/Осмотры%20объектов%20АНО%20СМГ/Электродепо%20Выхино%20/12.03.25%20Джинджолия</v>
      </c>
      <c r="J350" s="50">
        <f>IFERROR(__xludf.DUMMYFUNCTION("""COMPUTED_VALUE"""),46.610875)</f>
        <v>46.610875</v>
      </c>
      <c r="K350" s="58"/>
      <c r="L350" s="6">
        <v>30.0</v>
      </c>
      <c r="M350" s="52" t="s">
        <v>655</v>
      </c>
      <c r="N350" s="53" t="s">
        <v>698</v>
      </c>
      <c r="O350" s="6" t="s">
        <v>669</v>
      </c>
      <c r="P350" s="6"/>
      <c r="Q350" s="6"/>
      <c r="R350" s="6"/>
    </row>
    <row r="351">
      <c r="A351" s="31" t="str">
        <f>IFERROR(__xludf.DUMMYFUNCTION("""COMPUTED_VALUE"""),"1130 (этап 1)")</f>
        <v>1130 (этап 1)</v>
      </c>
      <c r="B351" s="14" t="str">
        <f>IFERROR(__xludf.DUMMYFUNCTION("""COMPUTED_VALUE"""),"АИП-25")</f>
        <v>АИП-25</v>
      </c>
      <c r="C351" s="14" t="str">
        <f>IFERROR(__xludf.DUMMYFUNCTION("""COMPUTED_VALUE"""),"УДС")</f>
        <v>УДС</v>
      </c>
      <c r="D351" s="15"/>
      <c r="E351" s="14" t="str">
        <f>IFERROR(__xludf.DUMMYFUNCTION("""COMPUTED_VALUE"""),"Технологическая часть ТПУ на станции метро ""Лефортово"". Этапы 1 г.Москва,
 м. ""Лефортово""")</f>
        <v>Технологическая часть ТПУ на станции метро "Лефортово". Этапы 1 г.Москва,
 м. "Лефортово"</v>
      </c>
      <c r="F351" s="25" t="str">
        <f>IFERROR(__xludf.DUMMYFUNCTION("""COMPUTED_VALUE"""),"#N/A")</f>
        <v>#N/A</v>
      </c>
      <c r="G351" s="6" t="str">
        <f>IFERROR(__xludf.DUMMYFUNCTION("""COMPUTED_VALUE"""),"#N/A")</f>
        <v>#N/A</v>
      </c>
      <c r="H351" s="18" t="str">
        <f>IFERROR(__xludf.DUMMYFUNCTION("""COMPUTED_VALUE"""),"https://docs.google.com/spreadsheets/d/1jonEGMB3UFHiUZpltF1zURon8gYN7jGSHu-k9t5TXnA/edit?gid=1665960639#gid=1665960639")</f>
        <v>https://docs.google.com/spreadsheets/d/1jonEGMB3UFHiUZpltF1zURon8gYN7jGSHu-k9t5TXnA/edit?gid=1665960639#gid=1665960639</v>
      </c>
      <c r="I351" s="6" t="str">
        <f>IFERROR(__xludf.DUMMYFUNCTION("""COMPUTED_VALUE"""),"https://disk.yandex.ru/client/disk/Осмотры%20объектов%20АНО%20СМГ/1130.%20Технологическая%20часть%20ТПУ%20Лефортово")</f>
        <v>https://disk.yandex.ru/client/disk/Осмотры%20объектов%20АНО%20СМГ/1130.%20Технологическая%20часть%20ТПУ%20Лефортово</v>
      </c>
      <c r="J351" s="50">
        <f>IFERROR(__xludf.DUMMYFUNCTION("""COMPUTED_VALUE"""),65.612)</f>
        <v>65.612</v>
      </c>
      <c r="K351" s="58">
        <f>IFERROR(__xludf.DUMMYFUNCTION("""COMPUTED_VALUE"""),45973.0)</f>
        <v>45973</v>
      </c>
      <c r="L351" s="6">
        <v>14.0</v>
      </c>
      <c r="M351" s="52">
        <v>45987.0</v>
      </c>
      <c r="N351" s="53" t="s">
        <v>711</v>
      </c>
      <c r="O351" s="6" t="s">
        <v>852</v>
      </c>
      <c r="P351" s="6"/>
      <c r="Q351" s="6"/>
      <c r="R351" s="6"/>
    </row>
    <row r="352">
      <c r="A352" s="31" t="str">
        <f>IFERROR(__xludf.DUMMYFUNCTION("""COMPUTED_VALUE"""),"1130 (этап 4)")</f>
        <v>1130 (этап 4)</v>
      </c>
      <c r="B352" s="14" t="str">
        <f>IFERROR(__xludf.DUMMYFUNCTION("""COMPUTED_VALUE"""),"АИП-25")</f>
        <v>АИП-25</v>
      </c>
      <c r="C352" s="14" t="str">
        <f>IFERROR(__xludf.DUMMYFUNCTION("""COMPUTED_VALUE"""),"УДС")</f>
        <v>УДС</v>
      </c>
      <c r="D352" s="15"/>
      <c r="E352" s="14" t="str">
        <f>IFERROR(__xludf.DUMMYFUNCTION("""COMPUTED_VALUE"""),"Технологическая часть ТПУ на станции метро ""Лефортово"". Этапы 4 г.Москва,
 м. ""Лефортово""")</f>
        <v>Технологическая часть ТПУ на станции метро "Лефортово". Этапы 4 г.Москва,
 м. "Лефортово"</v>
      </c>
      <c r="F352" s="25" t="str">
        <f>IFERROR(__xludf.DUMMYFUNCTION("""COMPUTED_VALUE"""),"#N/A")</f>
        <v>#N/A</v>
      </c>
      <c r="G352" s="6" t="str">
        <f>IFERROR(__xludf.DUMMYFUNCTION("""COMPUTED_VALUE"""),"#N/A")</f>
        <v>#N/A</v>
      </c>
      <c r="H352" s="18" t="str">
        <f>IFERROR(__xludf.DUMMYFUNCTION("""COMPUTED_VALUE"""),"https://docs.google.com/spreadsheets/d/1jonEGMB3UFHiUZpltF1zURon8gYN7jGSHu-k9t5TXnA/edit?gid=272480543#gid=272480543")</f>
        <v>https://docs.google.com/spreadsheets/d/1jonEGMB3UFHiUZpltF1zURon8gYN7jGSHu-k9t5TXnA/edit?gid=272480543#gid=272480543</v>
      </c>
      <c r="I352" s="6" t="str">
        <f>IFERROR(__xludf.DUMMYFUNCTION("""COMPUTED_VALUE"""),"https://disk.yandex.ru/client/disk/Осмотры%20объектов%20АНО%20СМГ/1130.%20Технологическая%20часть%20ТПУ%20Лефортово")</f>
        <v>https://disk.yandex.ru/client/disk/Осмотры%20объектов%20АНО%20СМГ/1130.%20Технологическая%20часть%20ТПУ%20Лефортово</v>
      </c>
      <c r="J352" s="50">
        <f>IFERROR(__xludf.DUMMYFUNCTION("""COMPUTED_VALUE"""),97.0)</f>
        <v>97</v>
      </c>
      <c r="K352" s="58">
        <f>IFERROR(__xludf.DUMMYFUNCTION("""COMPUTED_VALUE"""),45959.0)</f>
        <v>45959</v>
      </c>
      <c r="L352" s="6">
        <v>7.0</v>
      </c>
      <c r="M352" s="52">
        <v>45966.0</v>
      </c>
      <c r="N352" s="53" t="s">
        <v>668</v>
      </c>
      <c r="O352" s="6" t="s">
        <v>853</v>
      </c>
      <c r="P352" s="6"/>
      <c r="Q352" s="6"/>
      <c r="R352" s="6"/>
    </row>
    <row r="353">
      <c r="A353" s="31" t="str">
        <f>IFERROR(__xludf.DUMMYFUNCTION("""COMPUTED_VALUE"""),"1131 (этап 6.1)")</f>
        <v>1131 (этап 6.1)</v>
      </c>
      <c r="B353" s="14" t="str">
        <f>IFERROR(__xludf.DUMMYFUNCTION("""COMPUTED_VALUE"""),"АИП-25")</f>
        <v>АИП-25</v>
      </c>
      <c r="C353" s="14" t="str">
        <f>IFERROR(__xludf.DUMMYFUNCTION("""COMPUTED_VALUE"""),"УДС")</f>
        <v>УДС</v>
      </c>
      <c r="D353" s="15"/>
      <c r="E353" s="14" t="str">
        <f>IFERROR(__xludf.DUMMYFUNCTION("""COMPUTED_VALUE"""),"Технологическая часть ТПУ на станции метро ""Нагатинский затон"". Этапы 6.1 г.Москва,
 м. ""Нагатинский затон""")</f>
        <v>Технологическая часть ТПУ на станции метро "Нагатинский затон". Этапы 6.1 г.Москва,
 м. "Нагатинский затон"</v>
      </c>
      <c r="F353" s="25" t="str">
        <f>IFERROR(__xludf.DUMMYFUNCTION("""COMPUTED_VALUE"""),"#N/A")</f>
        <v>#N/A</v>
      </c>
      <c r="G353" s="6" t="str">
        <f>IFERROR(__xludf.DUMMYFUNCTION("""COMPUTED_VALUE"""),"#N/A")</f>
        <v>#N/A</v>
      </c>
      <c r="H353" s="18" t="str">
        <f>IFERROR(__xludf.DUMMYFUNCTION("""COMPUTED_VALUE"""),"https://docs.google.com/spreadsheets/d/1jonEGMB3UFHiUZpltF1zURon8gYN7jGSHu-k9t5TXnA/edit?gid=869183546#gid=869183546")</f>
        <v>https://docs.google.com/spreadsheets/d/1jonEGMB3UFHiUZpltF1zURon8gYN7jGSHu-k9t5TXnA/edit?gid=869183546#gid=869183546</v>
      </c>
      <c r="I353"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353" s="50">
        <f>IFERROR(__xludf.DUMMYFUNCTION("""COMPUTED_VALUE"""),0.0)</f>
        <v>0</v>
      </c>
      <c r="K353" s="58">
        <f>IFERROR(__xludf.DUMMYFUNCTION("""COMPUTED_VALUE"""),45972.0)</f>
        <v>45972</v>
      </c>
      <c r="L353" s="6">
        <v>30.0</v>
      </c>
      <c r="M353" s="52">
        <v>46002.0</v>
      </c>
      <c r="N353" s="53" t="s">
        <v>711</v>
      </c>
      <c r="O353" s="6" t="s">
        <v>854</v>
      </c>
      <c r="P353" s="6"/>
      <c r="Q353" s="6"/>
      <c r="R353" s="6"/>
    </row>
    <row r="354">
      <c r="A354" s="31" t="str">
        <f>IFERROR(__xludf.DUMMYFUNCTION("""COMPUTED_VALUE"""),"1131 (этап 6.2)")</f>
        <v>1131 (этап 6.2)</v>
      </c>
      <c r="B354" s="14" t="str">
        <f>IFERROR(__xludf.DUMMYFUNCTION("""COMPUTED_VALUE"""),"АИП-25")</f>
        <v>АИП-25</v>
      </c>
      <c r="C354" s="14" t="str">
        <f>IFERROR(__xludf.DUMMYFUNCTION("""COMPUTED_VALUE"""),"УДС")</f>
        <v>УДС</v>
      </c>
      <c r="D354" s="15"/>
      <c r="E354" s="14" t="str">
        <f>IFERROR(__xludf.DUMMYFUNCTION("""COMPUTED_VALUE"""),"Технологическая часть ТПУ на станции метро ""Нагатинский затон"". Этапы 6.2 г.Москва,
 м. ""Нагатинский затон""")</f>
        <v>Технологическая часть ТПУ на станции метро "Нагатинский затон". Этапы 6.2 г.Москва,
 м. "Нагатинский затон"</v>
      </c>
      <c r="F354" s="25" t="str">
        <f>IFERROR(__xludf.DUMMYFUNCTION("""COMPUTED_VALUE"""),"#N/A")</f>
        <v>#N/A</v>
      </c>
      <c r="G354" s="6" t="str">
        <f>IFERROR(__xludf.DUMMYFUNCTION("""COMPUTED_VALUE"""),"#N/A")</f>
        <v>#N/A</v>
      </c>
      <c r="H354" s="18" t="str">
        <f>IFERROR(__xludf.DUMMYFUNCTION("""COMPUTED_VALUE"""),"https://docs.google.com/spreadsheets/d/1jonEGMB3UFHiUZpltF1zURon8gYN7jGSHu-k9t5TXnA/edit?gid=2082220203#gid=2082220203")</f>
        <v>https://docs.google.com/spreadsheets/d/1jonEGMB3UFHiUZpltF1zURon8gYN7jGSHu-k9t5TXnA/edit?gid=2082220203#gid=2082220203</v>
      </c>
      <c r="I354"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354" s="50">
        <f>IFERROR(__xludf.DUMMYFUNCTION("""COMPUTED_VALUE"""),0.0)</f>
        <v>0</v>
      </c>
      <c r="K354" s="58">
        <f>IFERROR(__xludf.DUMMYFUNCTION("""COMPUTED_VALUE"""),45972.0)</f>
        <v>45972</v>
      </c>
      <c r="L354" s="6">
        <v>30.0</v>
      </c>
      <c r="M354" s="52">
        <v>46002.0</v>
      </c>
      <c r="N354" s="53" t="s">
        <v>711</v>
      </c>
      <c r="O354" s="6" t="s">
        <v>855</v>
      </c>
      <c r="P354" s="6"/>
      <c r="Q354" s="6"/>
      <c r="R354" s="6"/>
    </row>
    <row r="355">
      <c r="A355" s="31" t="str">
        <f>IFERROR(__xludf.DUMMYFUNCTION("""COMPUTED_VALUE"""),"1120")</f>
        <v>1120</v>
      </c>
      <c r="B355" s="14" t="str">
        <f>IFERROR(__xludf.DUMMYFUNCTION("""COMPUTED_VALUE"""),"АИП-25")</f>
        <v>АИП-25</v>
      </c>
      <c r="C355" s="14" t="str">
        <f>IFERROR(__xludf.DUMMYFUNCTION("""COMPUTED_VALUE"""),"УДС")</f>
        <v>УДС</v>
      </c>
      <c r="D355" s="15"/>
      <c r="E355" s="14" t="str">
        <f>IFERROR(__xludf.DUMMYFUNCTION("""COMPUTED_VALUE"""),"Технологическая часть ТПУ на станции метро ""Варшавская"" г. Москва, м. ""Варшавская""")</f>
        <v>Технологическая часть ТПУ на станции метро "Варшавская" г. Москва, м. "Варшавская"</v>
      </c>
      <c r="F355" s="25" t="str">
        <f>IFERROR(__xludf.DUMMYFUNCTION("""COMPUTED_VALUE"""),"#N/A")</f>
        <v>#N/A</v>
      </c>
      <c r="G355" s="6" t="str">
        <f>IFERROR(__xludf.DUMMYFUNCTION("""COMPUTED_VALUE"""),"#N/A")</f>
        <v>#N/A</v>
      </c>
      <c r="H355" s="18" t="str">
        <f>IFERROR(__xludf.DUMMYFUNCTION("""COMPUTED_VALUE"""),"https://docs.google.com/spreadsheets/d/1jonEGMB3UFHiUZpltF1zURon8gYN7jGSHu-k9t5TXnA/edit?gid=488139747#gid=488139747")</f>
        <v>https://docs.google.com/spreadsheets/d/1jonEGMB3UFHiUZpltF1zURon8gYN7jGSHu-k9t5TXnA/edit?gid=488139747#gid=488139747</v>
      </c>
      <c r="I355" s="6" t="str">
        <f>IFERROR(__xludf.DUMMYFUNCTION("""COMPUTED_VALUE"""),"https://disk.yandex.ru/client/disk/Осмотры%20объектов%20АНО%20СМГ/1120.%20Технологическая%20часть%20ТПУ%20на%20станции%20метро%20%22Варшавская%22")</f>
        <v>https://disk.yandex.ru/client/disk/Осмотры%20объектов%20АНО%20СМГ/1120.%20Технологическая%20часть%20ТПУ%20на%20станции%20метро%20%22Варшавская%22</v>
      </c>
      <c r="J355" s="50">
        <f>IFERROR(__xludf.DUMMYFUNCTION("""COMPUTED_VALUE"""),59.934)</f>
        <v>59.934</v>
      </c>
      <c r="K355" s="58">
        <f>IFERROR(__xludf.DUMMYFUNCTION("""COMPUTED_VALUE"""),45972.0)</f>
        <v>45972</v>
      </c>
      <c r="L355" s="6">
        <v>14.0</v>
      </c>
      <c r="M355" s="52">
        <v>45986.0</v>
      </c>
      <c r="N355" s="53" t="s">
        <v>711</v>
      </c>
      <c r="O355" s="6" t="s">
        <v>856</v>
      </c>
      <c r="P355" s="6"/>
      <c r="Q355" s="6"/>
      <c r="R355" s="6"/>
    </row>
    <row r="356">
      <c r="A356" s="31" t="str">
        <f>IFERROR(__xludf.DUMMYFUNCTION("""COMPUTED_VALUE"""),"265")</f>
        <v>265</v>
      </c>
      <c r="B356" s="14" t="str">
        <f>IFERROR(__xludf.DUMMYFUNCTION("""COMPUTED_VALUE"""),"АИП-26")</f>
        <v>АИП-26</v>
      </c>
      <c r="C356" s="14" t="str">
        <f>IFERROR(__xludf.DUMMYFUNCTION("""COMPUTED_VALUE"""),"ОКС")</f>
        <v>ОКС</v>
      </c>
      <c r="D356" s="15"/>
      <c r="E356" s="14" t="str">
        <f>IFERROR(__xludf.DUMMYFUNCTION("""COMPUTED_VALUE"""),"Стоматологическая поликлиника, ул. Новогиреевская, з/у 30/1 район Перово, ул. Новогиреевская, з/у 30/1")</f>
        <v>Стоматологическая поликлиника, ул. Новогиреевская, з/у 30/1 район Перово, ул. Новогиреевская, з/у 30/1</v>
      </c>
      <c r="F356" s="25" t="str">
        <f>IFERROR(__xludf.DUMMYFUNCTION("""COMPUTED_VALUE"""),"55.754895")</f>
        <v>55.754895</v>
      </c>
      <c r="G356" s="6" t="str">
        <f>IFERROR(__xludf.DUMMYFUNCTION("""COMPUTED_VALUE"""),"37.795346")</f>
        <v>37.795346</v>
      </c>
      <c r="H356" s="18" t="str">
        <f>IFERROR(__xludf.DUMMYFUNCTION("""COMPUTED_VALUE"""),"https://docs.google.com/spreadsheets/d/19THEBTE9q0fhN2eApZr6BgenIvLGh0AckaYxHQfHk5w/edit?gid=1355578633#gid=1355578633")</f>
        <v>https://docs.google.com/spreadsheets/d/19THEBTE9q0fhN2eApZr6BgenIvLGh0AckaYxHQfHk5w/edit?gid=1355578633#gid=1355578633</v>
      </c>
      <c r="I356" s="19" t="str">
        <f>IFERROR(__xludf.DUMMYFUNCTION("""COMPUTED_VALUE"""),"https://disk.yandex.ru/client/disk/Осмотры%20объектов%20АНО%20СМГ/265.%20Новогиреевская%20зу%2030%20к1%20стоматологическая%20поликлиника")</f>
        <v>https://disk.yandex.ru/client/disk/Осмотры%20объектов%20АНО%20СМГ/265.%20Новогиреевская%20зу%2030%20к1%20стоматологическая%20поликлиника</v>
      </c>
      <c r="J356" s="50">
        <f>IFERROR(__xludf.DUMMYFUNCTION("""COMPUTED_VALUE"""),31.45)</f>
        <v>31.45</v>
      </c>
      <c r="K356" s="58">
        <f>IFERROR(__xludf.DUMMYFUNCTION("""COMPUTED_VALUE"""),45967.0)</f>
        <v>45967</v>
      </c>
      <c r="L356" s="6">
        <v>30.0</v>
      </c>
      <c r="M356" s="52">
        <v>45997.0</v>
      </c>
      <c r="N356" s="53" t="s">
        <v>711</v>
      </c>
      <c r="O356" s="19" t="s">
        <v>857</v>
      </c>
      <c r="P356" s="6"/>
      <c r="Q356" s="6"/>
      <c r="R356" s="6"/>
    </row>
    <row r="357">
      <c r="A357" s="31" t="str">
        <f>IFERROR(__xludf.DUMMYFUNCTION("""COMPUTED_VALUE"""),"266")</f>
        <v>266</v>
      </c>
      <c r="B357" s="14" t="str">
        <f>IFERROR(__xludf.DUMMYFUNCTION("""COMPUTED_VALUE"""),"АИП-26")</f>
        <v>АИП-26</v>
      </c>
      <c r="C357" s="14" t="str">
        <f>IFERROR(__xludf.DUMMYFUNCTION("""COMPUTED_VALUE"""),"ОКС")</f>
        <v>ОКС</v>
      </c>
      <c r="D357" s="15"/>
      <c r="E357" s="14" t="str">
        <f>IFERROR(__xludf.DUMMYFUNCTION("""COMPUTED_VALUE"""),"Здание дошкольных групп на 225 мест, Стрельбищенский пер., вл. 14 район Пресненский,  Стрельбищенский пер., вл. 14")</f>
        <v>Здание дошкольных групп на 225 мест, Стрельбищенский пер., вл. 14 район Пресненский,  Стрельбищенский пер., вл. 14</v>
      </c>
      <c r="F357" s="25" t="str">
        <f>IFERROR(__xludf.DUMMYFUNCTION("""COMPUTED_VALUE"""),"55.759750")</f>
        <v>55.759750</v>
      </c>
      <c r="G357" s="6" t="str">
        <f>IFERROR(__xludf.DUMMYFUNCTION("""COMPUTED_VALUE"""),"37.540254")</f>
        <v>37.540254</v>
      </c>
      <c r="H357" s="18" t="str">
        <f>IFERROR(__xludf.DUMMYFUNCTION("""COMPUTED_VALUE"""),"https://docs.google.com/spreadsheets/d/19THEBTE9q0fhN2eApZr6BgenIvLGh0AckaYxHQfHk5w/edit?gid=288749714#gid=288749714")</f>
        <v>https://docs.google.com/spreadsheets/d/19THEBTE9q0fhN2eApZr6BgenIvLGh0AckaYxHQfHk5w/edit?gid=288749714#gid=288749714</v>
      </c>
      <c r="I357" s="19" t="str">
        <f>IFERROR(__xludf.DUMMYFUNCTION("""COMPUTED_VALUE"""),"https://disk.yandex.ru/client/disk/Осмотры%20объектов%20АНО%20СМГ/266.%20Здание%20дошкольных%20групп%20на%20225%20мест%20Стрельбищенский%20пер.%2C%20вл.%2014")</f>
        <v>https://disk.yandex.ru/client/disk/Осмотры%20объектов%20АНО%20СМГ/266.%20Здание%20дошкольных%20групп%20на%20225%20мест%20Стрельбищенский%20пер.%2C%20вл.%2014</v>
      </c>
      <c r="J357" s="50">
        <f>IFERROR(__xludf.DUMMYFUNCTION("""COMPUTED_VALUE"""),66.95835)</f>
        <v>66.95835</v>
      </c>
      <c r="K357" s="58">
        <f>IFERROR(__xludf.DUMMYFUNCTION("""COMPUTED_VALUE"""),45967.0)</f>
        <v>45967</v>
      </c>
      <c r="L357" s="6">
        <v>14.0</v>
      </c>
      <c r="M357" s="52">
        <v>45981.0</v>
      </c>
      <c r="N357" s="53" t="s">
        <v>741</v>
      </c>
      <c r="O357" s="19" t="s">
        <v>858</v>
      </c>
      <c r="P357" s="6"/>
      <c r="Q357" s="6"/>
      <c r="R357" s="6"/>
    </row>
    <row r="358">
      <c r="A358" s="31" t="str">
        <f>IFERROR(__xludf.DUMMYFUNCTION("""COMPUTED_VALUE"""),"209")</f>
        <v>209</v>
      </c>
      <c r="B358" s="14" t="str">
        <f>IFERROR(__xludf.DUMMYFUNCTION("""COMPUTED_VALUE"""),"АИП-25")</f>
        <v>АИП-25</v>
      </c>
      <c r="C358" s="14" t="str">
        <f>IFERROR(__xludf.DUMMYFUNCTION("""COMPUTED_VALUE"""),"ОКС")</f>
        <v>ОКС</v>
      </c>
      <c r="D358" s="15"/>
      <c r="E358" s="14" t="str">
        <f>IFERROR(__xludf.DUMMYFUNCTION("""COMPUTED_VALUE"""),"Жилые дома с инженерной подготовкой, с перекладкой инженерных коммуникаций, со сносом жилых домов, ул. 9-я Северная Линия, вл. 3 район Северный, 9-я Северная Линия д. 1, д. 3, д. 7, д. 9")</f>
        <v>Жилые дома с инженерной подготовкой, с перекладкой инженерных коммуникаций, со сносом жилых домов, ул. 9-я Северная Линия, вл. 3 район Северный, 9-я Северная Линия д. 1, д. 3, д. 7, д. 9</v>
      </c>
      <c r="F358" s="25" t="str">
        <f>IFERROR(__xludf.DUMMYFUNCTION("""COMPUTED_VALUE"""),"55.935526")</f>
        <v>55.935526</v>
      </c>
      <c r="G358" s="6" t="str">
        <f>IFERROR(__xludf.DUMMYFUNCTION("""COMPUTED_VALUE"""),"37.550855")</f>
        <v>37.550855</v>
      </c>
      <c r="H358" s="18" t="str">
        <f>IFERROR(__xludf.DUMMYFUNCTION("""COMPUTED_VALUE"""),"https://docs.google.com/spreadsheets/d/19THEBTE9q0fhN2eApZr6BgenIvLGh0AckaYxHQfHk5w/edit?gid=1849856896#gid=1849856896")</f>
        <v>https://docs.google.com/spreadsheets/d/19THEBTE9q0fhN2eApZr6BgenIvLGh0AckaYxHQfHk5w/edit?gid=1849856896#gid=1849856896</v>
      </c>
      <c r="I358" s="19" t="str">
        <f>IFERROR(__xludf.DUMMYFUNCTION("""COMPUTED_VALUE"""),"https://disk.yandex.ru/client/disk/Осмотры%20объектов%20АНО%20СМГ/209.%20%5C9-я%20Северная%20линия%20вл3")</f>
        <v>https://disk.yandex.ru/client/disk/Осмотры%20объектов%20АНО%20СМГ/209.%20%5C9-я%20Северная%20линия%20вл3</v>
      </c>
      <c r="J358" s="50">
        <f>IFERROR(__xludf.DUMMYFUNCTION("""COMPUTED_VALUE"""),89.116945)</f>
        <v>89.116945</v>
      </c>
      <c r="K358" s="58">
        <f>IFERROR(__xludf.DUMMYFUNCTION("""COMPUTED_VALUE"""),45971.0)</f>
        <v>45971</v>
      </c>
      <c r="L358" s="6">
        <v>14.0</v>
      </c>
      <c r="M358" s="52">
        <v>45985.0</v>
      </c>
      <c r="N358" s="53" t="s">
        <v>711</v>
      </c>
      <c r="O358" s="19" t="s">
        <v>859</v>
      </c>
      <c r="P358" s="6"/>
      <c r="Q358" s="6"/>
      <c r="R358" s="6"/>
    </row>
    <row r="359">
      <c r="A359" s="31" t="str">
        <f>IFERROR(__xludf.DUMMYFUNCTION("""COMPUTED_VALUE"""),"210")</f>
        <v>210</v>
      </c>
      <c r="B359" s="14" t="str">
        <f>IFERROR(__xludf.DUMMYFUNCTION("""COMPUTED_VALUE"""),"АИП-25")</f>
        <v>АИП-25</v>
      </c>
      <c r="C359" s="14" t="str">
        <f>IFERROR(__xludf.DUMMYFUNCTION("""COMPUTED_VALUE"""),"ОКС")</f>
        <v>ОКС</v>
      </c>
      <c r="D359" s="15"/>
      <c r="E359" s="14" t="str">
        <f>IFERROR(__xludf.DUMMYFUNCTION("""COMPUTED_VALUE"""),"Жилой дом с инженерными  коммуникациями и благоустройством, 
ул. Главмосстроя, вл. 1 район Солнцево, ул. Главмосстроя, д.1")</f>
        <v>Жилой дом с инженерными  коммуникациями и благоустройством, 
ул. Главмосстроя, вл. 1 район Солнцево, ул. Главмосстроя, д.1</v>
      </c>
      <c r="F359" s="25" t="str">
        <f>IFERROR(__xludf.DUMMYFUNCTION("""COMPUTED_VALUE"""),"55.650729")</f>
        <v>55.650729</v>
      </c>
      <c r="G359" s="6" t="str">
        <f>IFERROR(__xludf.DUMMYFUNCTION("""COMPUTED_VALUE"""),"37.409127")</f>
        <v>37.409127</v>
      </c>
      <c r="H359" s="18" t="str">
        <f>IFERROR(__xludf.DUMMYFUNCTION("""COMPUTED_VALUE"""),"https://docs.google.com/spreadsheets/d/19THEBTE9q0fhN2eApZr6BgenIvLGh0AckaYxHQfHk5w/edit?gid=1697091636#gid=1697091636")</f>
        <v>https://docs.google.com/spreadsheets/d/19THEBTE9q0fhN2eApZr6BgenIvLGh0AckaYxHQfHk5w/edit?gid=1697091636#gid=1697091636</v>
      </c>
      <c r="I359" s="19" t="str">
        <f>IFERROR(__xludf.DUMMYFUNCTION("""COMPUTED_VALUE"""),"https://disk.yandex.ru/client/disk/Осмотры%20объектов%20АНО%20СМГ/210.%20Жилой%20дом%20с%20инженерными%20коммуникациями%20и%0Aблагоустройством%20по%20адресу%3A%20Главмосстроя%20ул.%2C%20влд.1")</f>
        <v>https://disk.yandex.ru/client/disk/Осмотры%20объектов%20АНО%20СМГ/210.%20Жилой%20дом%20с%20инженерными%20коммуникациями%20и%0Aблагоустройством%20по%20адресу%3A%20Главмосстроя%20ул.%2C%20влд.1</v>
      </c>
      <c r="J359" s="50">
        <f>IFERROR(__xludf.DUMMYFUNCTION("""COMPUTED_VALUE"""),99.71000000000001)</f>
        <v>99.71</v>
      </c>
      <c r="K359" s="58">
        <f>IFERROR(__xludf.DUMMYFUNCTION("""COMPUTED_VALUE"""),45968.0)</f>
        <v>45968</v>
      </c>
      <c r="L359" s="6">
        <v>7.0</v>
      </c>
      <c r="M359" s="52">
        <v>45975.0</v>
      </c>
      <c r="N359" s="53" t="s">
        <v>652</v>
      </c>
      <c r="O359" s="19" t="s">
        <v>860</v>
      </c>
      <c r="P359" s="6"/>
      <c r="Q359" s="6"/>
      <c r="R359" s="6"/>
    </row>
    <row r="360">
      <c r="A360" s="31" t="str">
        <f>IFERROR(__xludf.DUMMYFUNCTION("""COMPUTED_VALUE"""),"195")</f>
        <v>195</v>
      </c>
      <c r="B360" s="14" t="str">
        <f>IFERROR(__xludf.DUMMYFUNCTION("""COMPUTED_VALUE"""),"АИП-25")</f>
        <v>АИП-25</v>
      </c>
      <c r="C360" s="14" t="str">
        <f>IFERROR(__xludf.DUMMYFUNCTION("""COMPUTED_VALUE"""),"ОКС")</f>
        <v>ОКС</v>
      </c>
      <c r="D360" s="15"/>
      <c r="E360" s="14" t="str">
        <f>IFERROR(__xludf.DUMMYFUNCTION("""COMPUTED_VALUE"""),"Строительство здания Государственного бюджетного учреждения культуры города Москвы «Московская государственная картинная галерея Василия Нестеренко» район Савёловский, ул. Бутырская, д. 1")</f>
        <v>Строительство здания Государственного бюджетного учреждения культуры города Москвы «Московская государственная картинная галерея Василия Нестеренко» район Савёловский, ул. Бутырская, д. 1</v>
      </c>
      <c r="F360" s="25" t="str">
        <f>IFERROR(__xludf.DUMMYFUNCTION("""COMPUTED_VALUE"""),"55.792812")</f>
        <v>55.792812</v>
      </c>
      <c r="G360" s="6" t="str">
        <f>IFERROR(__xludf.DUMMYFUNCTION("""COMPUTED_VALUE"""),"37.584146")</f>
        <v>37.584146</v>
      </c>
      <c r="H360" s="18" t="str">
        <f>IFERROR(__xludf.DUMMYFUNCTION("""COMPUTED_VALUE"""),"https://docs.google.com/spreadsheets/d/19THEBTE9q0fhN2eApZr6BgenIvLGh0AckaYxHQfHk5w/edit?gid=1652446948#gid=1652446948")</f>
        <v>https://docs.google.com/spreadsheets/d/19THEBTE9q0fhN2eApZr6BgenIvLGh0AckaYxHQfHk5w/edit?gid=1652446948#gid=1652446948</v>
      </c>
      <c r="I360" s="19" t="str">
        <f>IFERROR(__xludf.DUMMYFUNCTION("""COMPUTED_VALUE"""),"https://disk.yandex.ru/client/disk/Осмотры%20объектов%20АНО%20СМГ/195.%20ул.%20Бутырская%2C%20д.1%20Здание%20Государственного%20бюджетного%20учреждения%20культуры%20города%20Москвы%20«Московская%20государственная%20картинная%20галерея%20Василия%20Нестерен"&amp;"ко")</f>
        <v>https://disk.yandex.ru/client/disk/Осмотры%20объектов%20АНО%20СМГ/195.%20ул.%20Бутырская%2C%20д.1%20Здание%20Государственного%20бюджетного%20учреждения%20культуры%20города%20Москвы%20«Московская%20государственная%20картинная%20галерея%20Василия%20Нестеренко</v>
      </c>
      <c r="J360" s="50">
        <f>IFERROR(__xludf.DUMMYFUNCTION("""COMPUTED_VALUE"""),72.90147000000002)</f>
        <v>72.90147</v>
      </c>
      <c r="K360" s="58">
        <f>IFERROR(__xludf.DUMMYFUNCTION("""COMPUTED_VALUE"""),45967.0)</f>
        <v>45967</v>
      </c>
      <c r="L360" s="6">
        <v>14.0</v>
      </c>
      <c r="M360" s="52">
        <v>45981.0</v>
      </c>
      <c r="N360" s="53" t="s">
        <v>741</v>
      </c>
      <c r="O360" s="19" t="s">
        <v>861</v>
      </c>
      <c r="P360" s="6"/>
      <c r="Q360" s="6"/>
      <c r="R360" s="6"/>
    </row>
    <row r="361">
      <c r="A361" s="31" t="str">
        <f>IFERROR(__xludf.DUMMYFUNCTION("""COMPUTED_VALUE"""),"193")</f>
        <v>193</v>
      </c>
      <c r="B361" s="14" t="str">
        <f>IFERROR(__xludf.DUMMYFUNCTION("""COMPUTED_VALUE"""),"АИП-25")</f>
        <v>АИП-25</v>
      </c>
      <c r="C361" s="14" t="str">
        <f>IFERROR(__xludf.DUMMYFUNCTION("""COMPUTED_VALUE"""),"ОКС")</f>
        <v>ОКС</v>
      </c>
      <c r="D361" s="15"/>
      <c r="E361" s="14" t="str">
        <f>IFERROR(__xludf.DUMMYFUNCTION("""COMPUTED_VALUE"""),"Административное здание,
ул. Летчика Бабушкина, д. 42 район Лосиноостровский, ул. Летчика Бабушкина, д. 42")</f>
        <v>Административное здание,
ул. Летчика Бабушкина, д. 42 район Лосиноостровский, ул. Летчика Бабушкина, д. 42</v>
      </c>
      <c r="F361" s="25" t="str">
        <f>IFERROR(__xludf.DUMMYFUNCTION("""COMPUTED_VALUE"""),"55.873634")</f>
        <v>55.873634</v>
      </c>
      <c r="G361" s="6" t="str">
        <f>IFERROR(__xludf.DUMMYFUNCTION("""COMPUTED_VALUE"""),"37.679357")</f>
        <v>37.679357</v>
      </c>
      <c r="H361" s="18" t="str">
        <f>IFERROR(__xludf.DUMMYFUNCTION("""COMPUTED_VALUE"""),"https://docs.google.com/spreadsheets/d/19THEBTE9q0fhN2eApZr6BgenIvLGh0AckaYxHQfHk5w/edit?gid=981800361#gid=981800361")</f>
        <v>https://docs.google.com/spreadsheets/d/19THEBTE9q0fhN2eApZr6BgenIvLGh0AckaYxHQfHk5w/edit?gid=981800361#gid=981800361</v>
      </c>
      <c r="I361" s="19" t="str">
        <f>IFERROR(__xludf.DUMMYFUNCTION("""COMPUTED_VALUE"""),"https://disk.yandex.ru/client/disk/Осмотры%20объектов%20АНО%20СМГ/193%20Летчика%20бабушкина%2042%20(Админ%20здание)")</f>
        <v>https://disk.yandex.ru/client/disk/Осмотры%20объектов%20АНО%20СМГ/193%20Летчика%20бабушкина%2042%20(Админ%20здание)</v>
      </c>
      <c r="J361" s="50">
        <f>IFERROR(__xludf.DUMMYFUNCTION("""COMPUTED_VALUE"""),79.158675)</f>
        <v>79.158675</v>
      </c>
      <c r="K361" s="58">
        <f>IFERROR(__xludf.DUMMYFUNCTION("""COMPUTED_VALUE"""),45967.0)</f>
        <v>45967</v>
      </c>
      <c r="L361" s="6">
        <v>14.0</v>
      </c>
      <c r="M361" s="52">
        <v>45981.0</v>
      </c>
      <c r="N361" s="53" t="s">
        <v>741</v>
      </c>
      <c r="O361" s="19" t="s">
        <v>862</v>
      </c>
      <c r="P361" s="6"/>
      <c r="Q361" s="6"/>
      <c r="R361" s="6"/>
    </row>
    <row r="362">
      <c r="A362" s="31" t="str">
        <f>IFERROR(__xludf.DUMMYFUNCTION("""COMPUTED_VALUE"""),"187")</f>
        <v>187</v>
      </c>
      <c r="B362" s="14" t="str">
        <f>IFERROR(__xludf.DUMMYFUNCTION("""COMPUTED_VALUE"""),"АИП-25")</f>
        <v>АИП-25</v>
      </c>
      <c r="C362" s="14" t="str">
        <f>IFERROR(__xludf.DUMMYFUNCTION("""COMPUTED_VALUE"""),"ОКС")</f>
        <v>ОКС</v>
      </c>
      <c r="D362" s="15"/>
      <c r="E362" s="14" t="str">
        <f>IFERROR(__xludf.DUMMYFUNCTION("""COMPUTED_VALUE"""),"ЖК «Триумфальный» 3-й жилой комплекс, 
район Фили-Давыдково, кв. 1-2, к. 18, 18а район Фили-Давыдково, кв. 1-2, к. 18, 18а")</f>
        <v>ЖК «Триумфальный» 3-й жилой комплекс, 
район Фили-Давыдково, кв. 1-2, к. 18, 18а район Фили-Давыдково, кв. 1-2, к. 18, 18а</v>
      </c>
      <c r="F362" s="25" t="str">
        <f>IFERROR(__xludf.DUMMYFUNCTION("""COMPUTED_VALUE"""),"55.726169")</f>
        <v>55.726169</v>
      </c>
      <c r="G362" s="6" t="str">
        <f>IFERROR(__xludf.DUMMYFUNCTION("""COMPUTED_VALUE"""),"37.475609")</f>
        <v>37.475609</v>
      </c>
      <c r="H362" s="18" t="str">
        <f>IFERROR(__xludf.DUMMYFUNCTION("""COMPUTED_VALUE"""),"https://docs.google.com/spreadsheets/d/19THEBTE9q0fhN2eApZr6BgenIvLGh0AckaYxHQfHk5w/edit?gid=955409547#gid=955409547")</f>
        <v>https://docs.google.com/spreadsheets/d/19THEBTE9q0fhN2eApZr6BgenIvLGh0AckaYxHQfHk5w/edit?gid=955409547#gid=955409547</v>
      </c>
      <c r="I362" s="19" t="str">
        <f>IFERROR(__xludf.DUMMYFUNCTION("""COMPUTED_VALUE"""),"https://disk.yandex.ru/client/disk/Осмотры%20объектов%20АНО%20СМГ/187.%20жк%20триумфальный%20Славянский%20бульвар")</f>
        <v>https://disk.yandex.ru/client/disk/Осмотры%20объектов%20АНО%20СМГ/187.%20жк%20триумфальный%20Славянский%20бульвар</v>
      </c>
      <c r="J362" s="50">
        <f>IFERROR(__xludf.DUMMYFUNCTION("""COMPUTED_VALUE"""),99.926)</f>
        <v>99.926</v>
      </c>
      <c r="K362" s="58">
        <f>IFERROR(__xludf.DUMMYFUNCTION("""COMPUTED_VALUE"""),45972.0)</f>
        <v>45972</v>
      </c>
      <c r="L362" s="6">
        <v>7.0</v>
      </c>
      <c r="M362" s="52">
        <v>45979.0</v>
      </c>
      <c r="N362" s="53" t="s">
        <v>692</v>
      </c>
      <c r="O362" s="19" t="s">
        <v>863</v>
      </c>
      <c r="P362" s="6"/>
      <c r="Q362" s="6"/>
      <c r="R362" s="6"/>
    </row>
    <row r="363">
      <c r="A363" s="31" t="str">
        <f>IFERROR(__xludf.DUMMYFUNCTION("""COMPUTED_VALUE"""),"1083")</f>
        <v>1083</v>
      </c>
      <c r="B363" s="14" t="str">
        <f>IFERROR(__xludf.DUMMYFUNCTION("""COMPUTED_VALUE"""),"АИП-25")</f>
        <v>АИП-25</v>
      </c>
      <c r="C363" s="14" t="str">
        <f>IFERROR(__xludf.DUMMYFUNCTION("""COMPUTED_VALUE"""),"ОКС+УДС")</f>
        <v>ОКС+УДС</v>
      </c>
      <c r="D363" s="15"/>
      <c r="E363" s="14" t="str">
        <f>IFERROR(__xludf.DUMMYFUNCTION("""COMPUTED_VALUE"""),"Строительство сетей канализации с. Остафьево пос. Рязановское Новомосковского административного округа г.Москвы Этап 1 с. Остафьево пос. Рязановское Новомосковского административного округа г.Москвы")</f>
        <v>Строительство сетей канализации с. Остафьево пос. Рязановское Новомосковского административного округа г.Москвы Этап 1 с. Остафьево пос. Рязановское Новомосковского административного округа г.Москвы</v>
      </c>
      <c r="F363" s="25" t="str">
        <f>IFERROR(__xludf.DUMMYFUNCTION("""COMPUTED_VALUE"""),"55.498461")</f>
        <v>55.498461</v>
      </c>
      <c r="G363" s="6" t="str">
        <f>IFERROR(__xludf.DUMMYFUNCTION("""COMPUTED_VALUE"""),"37.505471")</f>
        <v>37.505471</v>
      </c>
      <c r="H363" s="18" t="str">
        <f>IFERROR(__xludf.DUMMYFUNCTION("""COMPUTED_VALUE"""),"https://docs.google.com/spreadsheets/d/19THEBTE9q0fhN2eApZr6BgenIvLGh0AckaYxHQfHk5w/edit?gid=1377920249#gid=1377920249")</f>
        <v>https://docs.google.com/spreadsheets/d/19THEBTE9q0fhN2eApZr6BgenIvLGh0AckaYxHQfHk5w/edit?gid=1377920249#gid=1377920249</v>
      </c>
      <c r="I363" s="19" t="str">
        <f>IFERROR(__xludf.DUMMYFUNCTION("""COMPUTED_VALUE"""),"https://disk.yandex.ru/client/disk/Осмотры%20объектов%20АНО%20СМГ/1083.%20строительство%20сетей%20канализации%20с.%20Остафьево%20пос.%20Рязановское%20Новомосковского")</f>
        <v>https://disk.yandex.ru/client/disk/Осмотры%20объектов%20АНО%20СМГ/1083.%20строительство%20сетей%20канализации%20с.%20Остафьево%20пос.%20Рязановское%20Новомосковского</v>
      </c>
      <c r="J363" s="50">
        <f>IFERROR(__xludf.DUMMYFUNCTION("""COMPUTED_VALUE"""),87.42299999999999)</f>
        <v>87.423</v>
      </c>
      <c r="K363" s="58">
        <f>IFERROR(__xludf.DUMMYFUNCTION("""COMPUTED_VALUE"""),45972.0)</f>
        <v>45972</v>
      </c>
      <c r="L363" s="6">
        <v>14.0</v>
      </c>
      <c r="M363" s="52">
        <v>45986.0</v>
      </c>
      <c r="N363" s="53" t="s">
        <v>711</v>
      </c>
      <c r="O363" s="19" t="s">
        <v>864</v>
      </c>
      <c r="P363" s="6"/>
      <c r="Q363" s="6"/>
      <c r="R363" s="6"/>
    </row>
    <row r="364">
      <c r="A364" s="31" t="str">
        <f>IFERROR(__xludf.DUMMYFUNCTION("""COMPUTED_VALUE"""),"1183")</f>
        <v>1183</v>
      </c>
      <c r="B364" s="14" t="str">
        <f>IFERROR(__xludf.DUMMYFUNCTION("""COMPUTED_VALUE"""),"АИП-25")</f>
        <v>АИП-25</v>
      </c>
      <c r="C364" s="14" t="str">
        <f>IFERROR(__xludf.DUMMYFUNCTION("""COMPUTED_VALUE"""),"ОКС")</f>
        <v>ОКС</v>
      </c>
      <c r="D364" s="15"/>
      <c r="E364" s="14" t="str">
        <f>IFERROR(__xludf.DUMMYFUNCTION("""COMPUTED_VALUE"""),"Строительство сетей канализации с. Остафьево 2 этап. Канализационная насосная станция ул. Зеленовка, с. Остафьево пос. Рязановское Новомосковского административного округа г.Москвы")</f>
        <v>Строительство сетей канализации с. Остафьево 2 этап. Канализационная насосная станция ул. Зеленовка, с. Остафьево пос. Рязановское Новомосковского административного округа г.Москвы</v>
      </c>
      <c r="F364" s="25" t="str">
        <f>IFERROR(__xludf.DUMMYFUNCTION("""COMPUTED_VALUE"""),"55.498102")</f>
        <v>55.498102</v>
      </c>
      <c r="G364" s="6" t="str">
        <f>IFERROR(__xludf.DUMMYFUNCTION("""COMPUTED_VALUE"""),"37.506046")</f>
        <v>37.506046</v>
      </c>
      <c r="H364" s="18" t="str">
        <f>IFERROR(__xludf.DUMMYFUNCTION("""COMPUTED_VALUE"""),"https://docs.google.com/spreadsheets/d/19THEBTE9q0fhN2eApZr6BgenIvLGh0AckaYxHQfHk5w/edit?gid=1529981182#gid=1529981182")</f>
        <v>https://docs.google.com/spreadsheets/d/19THEBTE9q0fhN2eApZr6BgenIvLGh0AckaYxHQfHk5w/edit?gid=1529981182#gid=1529981182</v>
      </c>
      <c r="I364" s="19" t="str">
        <f>IFERROR(__xludf.DUMMYFUNCTION("""COMPUTED_VALUE"""),"https://disk.yandex.ru/client/disk/Осмотры%20объектов%20АНО%20СМГ/1183.%20Строительство%20сетей%20канализации.%20Остафьево%202%20этап%20КНС")</f>
        <v>https://disk.yandex.ru/client/disk/Осмотры%20объектов%20АНО%20СМГ/1183.%20Строительство%20сетей%20канализации.%20Остафьево%202%20этап%20КНС</v>
      </c>
      <c r="J364" s="50">
        <f>IFERROR(__xludf.DUMMYFUNCTION("""COMPUTED_VALUE"""),80.24)</f>
        <v>80.24</v>
      </c>
      <c r="K364" s="58">
        <f>IFERROR(__xludf.DUMMYFUNCTION("""COMPUTED_VALUE"""),45968.0)</f>
        <v>45968</v>
      </c>
      <c r="L364" s="6">
        <v>14.0</v>
      </c>
      <c r="M364" s="52">
        <v>45982.0</v>
      </c>
      <c r="N364" s="53" t="s">
        <v>692</v>
      </c>
      <c r="O364" s="19" t="s">
        <v>865</v>
      </c>
      <c r="P364" s="6"/>
      <c r="Q364" s="6"/>
      <c r="R364" s="6"/>
    </row>
    <row r="365">
      <c r="A365" s="70" t="str">
        <f>IFERROR(__xludf.DUMMYFUNCTION("""COMPUTED_VALUE"""),"1071д")</f>
        <v>1071д</v>
      </c>
      <c r="B365" s="14" t="str">
        <f>IFERROR(__xludf.DUMMYFUNCTION("""COMPUTED_VALUE"""),"АИП-25")</f>
        <v>АИП-25</v>
      </c>
      <c r="C365" s="14" t="str">
        <f>IFERROR(__xludf.DUMMYFUNCTION("""COMPUTED_VALUE"""),"ОКС+УДС")</f>
        <v>ОКС+УДС</v>
      </c>
      <c r="D365" s="15"/>
      <c r="E365" s="14" t="str">
        <f>IFERROR(__xludf.DUMMYFUNCTION("""COMPUTED_VALUE"""),"Строительство подъездной автомобильной дороги к садоводческим некоммерческим объединениям СНТ СН ""Просторы"", СНТ ""Журавушка"", СНТ ""Родничок"", СНТ ""Рябинка"", СНТ ""Пчелка"", СНТ ""Мечта"", СНТ ""Радуга"", СНТ ""Кедр"", СНТ ""Ромашка"", СНТ ""Тители"&amp;"-6"", СНТ ""Лесная поляна-7"", СНТ ""Березки НТ"", СНТ ""Заря"", СНТ ""Луч"", СНТ ""Никольское"", СНТ ""Поляна-14"", СНТ ""Озерное"" вблизи д.Николо-Тители г.о. Ступино Московской обл. вблизи д.Николо-Тители г.о. Ступино Московской обл.")</f>
        <v>Строительство подъездной автомобильной дороги к садоводческим некоммерческим объединениям СНТ СН "Просторы", СНТ "Журавушка", СНТ "Родничок", СНТ "Рябинка", СНТ "Пчелка", СНТ "Мечта", СНТ "Радуга", СНТ "Кедр", СНТ "Ромашка", СНТ "Тители-6", СНТ "Лесная поляна-7", СНТ "Березки НТ", СНТ "Заря", СНТ "Луч", СНТ "Никольское", СНТ "Поляна-14", СНТ "Озерное" вблизи д.Николо-Тители г.о. Ступино Московской обл. вблизи д.Николо-Тители г.о. Ступино Московской обл.</v>
      </c>
      <c r="F365" s="25" t="str">
        <f>IFERROR(__xludf.DUMMYFUNCTION("""COMPUTED_VALUE"""),"55.130555")</f>
        <v>55.130555</v>
      </c>
      <c r="G365" s="6" t="str">
        <f>IFERROR(__xludf.DUMMYFUNCTION("""COMPUTED_VALUE"""),"38.093011")</f>
        <v>38.093011</v>
      </c>
      <c r="H365" s="6"/>
      <c r="I365" s="6" t="str">
        <f>IFERROR(__xludf.DUMMYFUNCTION("""COMPUTED_VALUE"""),"https://disk.yandex.ru/client/disk/Осмотры%20объектов%20АНО%20СМГ/1071.%20Строительство%20подъездной%20автомобильной%20дороги%20к%20садоводческим%20некоммерческим%20объединениям%20СНТ%20«Просторы»%2C%20СНТ%20«Журавушка»%2C%20СНТ%20«Родничок»%2C%20СНТ%20«Р"&amp;"ябинка»%2C%20СНТ%20«Пчелка»%2C%20СНТ%20«Мечта»%2C%20СНТ%20«Радуга»%2C%20СНТ%20«Кедр»%2C%20СНТ%20«Ромашка»%2C%20СНТ%20«Тители-6»%2C%20СНТ%20«Лесная")</f>
        <v>https://disk.yandex.ru/client/disk/Осмотры%20объектов%20АНО%20СМГ/1071.%20Строительство%20подъездной%20автомобильной%20дороги%20к%20садоводческим%20некоммерческим%20объединениям%20СНТ%20«Просторы»%2C%20СНТ%20«Журавушка»%2C%20СНТ%20«Родничок»%2C%20СНТ%20«Рябинка»%2C%20СНТ%20«Пчелка»%2C%20СНТ%20«Мечта»%2C%20СНТ%20«Радуга»%2C%20СНТ%20«Кедр»%2C%20СНТ%20«Ромашка»%2C%20СНТ%20«Тители-6»%2C%20СНТ%20«Лесная</v>
      </c>
      <c r="J365" s="50">
        <f>IFERROR(__xludf.DUMMYFUNCTION("""COMPUTED_VALUE"""),92.0)</f>
        <v>92</v>
      </c>
      <c r="K365" s="58">
        <f>IFERROR(__xludf.DUMMYFUNCTION("""COMPUTED_VALUE"""),45894.0)</f>
        <v>45894</v>
      </c>
      <c r="L365" s="6">
        <v>14.0</v>
      </c>
      <c r="M365" s="52">
        <v>45908.0</v>
      </c>
      <c r="N365" s="53" t="s">
        <v>668</v>
      </c>
      <c r="O365" s="6" t="s">
        <v>866</v>
      </c>
      <c r="P365" s="6"/>
      <c r="Q365" s="6"/>
      <c r="R365" s="6"/>
    </row>
    <row r="366">
      <c r="A366" s="31" t="str">
        <f>IFERROR(__xludf.DUMMYFUNCTION("""COMPUTED_VALUE"""),"1086")</f>
        <v>1086</v>
      </c>
      <c r="B366" s="14" t="str">
        <f>IFERROR(__xludf.DUMMYFUNCTION("""COMPUTED_VALUE"""),"АИП-25")</f>
        <v>АИП-25</v>
      </c>
      <c r="C366" s="14" t="str">
        <f>IFERROR(__xludf.DUMMYFUNCTION("""COMPUTED_VALUE"""),"ОКС")</f>
        <v>ОКС</v>
      </c>
      <c r="D366" s="15"/>
      <c r="E366" s="14" t="str">
        <f>IFERROR(__xludf.DUMMYFUNCTION("""COMPUTED_VALUE"""),"Проектирование и строительство очистных сооружений поверхностного стока в п. Коммунарка п. Коммунарка")</f>
        <v>Проектирование и строительство очистных сооружений поверхностного стока в п. Коммунарка п. Коммунарка</v>
      </c>
      <c r="F366" s="25" t="str">
        <f>IFERROR(__xludf.DUMMYFUNCTION("""COMPUTED_VALUE"""),"55.563802")</f>
        <v>55.563802</v>
      </c>
      <c r="G366" s="6" t="str">
        <f>IFERROR(__xludf.DUMMYFUNCTION("""COMPUTED_VALUE"""),"37.474696")</f>
        <v>37.474696</v>
      </c>
      <c r="H366" s="18" t="str">
        <f>IFERROR(__xludf.DUMMYFUNCTION("""COMPUTED_VALUE"""),"https://docs.google.com/spreadsheets/d/19THEBTE9q0fhN2eApZr6BgenIvLGh0AckaYxHQfHk5w/edit?gid=876314098#gid=876314098")</f>
        <v>https://docs.google.com/spreadsheets/d/19THEBTE9q0fhN2eApZr6BgenIvLGh0AckaYxHQfHk5w/edit?gid=876314098#gid=876314098</v>
      </c>
      <c r="I366" s="19" t="str">
        <f>IFERROR(__xludf.DUMMYFUNCTION("""COMPUTED_VALUE"""),"https://disk.yandex.ru/client/disk/Осмотры%20объектов%20АНО%20СМГ/1086.%20Проектирование%20и%20строительство%20очистных%20сооружений%20поверхностного%20стока%20Коммунарка")</f>
        <v>https://disk.yandex.ru/client/disk/Осмотры%20объектов%20АНО%20СМГ/1086.%20Проектирование%20и%20строительство%20очистных%20сооружений%20поверхностного%20стока%20Коммунарка</v>
      </c>
      <c r="J366" s="50">
        <f>IFERROR(__xludf.DUMMYFUNCTION("""COMPUTED_VALUE"""),6.7105)</f>
        <v>6.7105</v>
      </c>
      <c r="K366" s="58">
        <f>IFERROR(__xludf.DUMMYFUNCTION("""COMPUTED_VALUE"""),45967.0)</f>
        <v>45967</v>
      </c>
      <c r="L366" s="6">
        <v>30.0</v>
      </c>
      <c r="M366" s="52">
        <v>45997.0</v>
      </c>
      <c r="N366" s="53" t="s">
        <v>711</v>
      </c>
      <c r="O366" s="19" t="s">
        <v>867</v>
      </c>
      <c r="P366" s="6"/>
      <c r="Q366" s="6"/>
      <c r="R366" s="6"/>
    </row>
    <row r="367">
      <c r="A367" s="31" t="str">
        <f>IFERROR(__xludf.DUMMYFUNCTION("""COMPUTED_VALUE"""),"1080")</f>
        <v>1080</v>
      </c>
      <c r="B367" s="14" t="str">
        <f>IFERROR(__xludf.DUMMYFUNCTION("""COMPUTED_VALUE"""),"АИП-25")</f>
        <v>АИП-25</v>
      </c>
      <c r="C367" s="14" t="str">
        <f>IFERROR(__xludf.DUMMYFUNCTION("""COMPUTED_VALUE"""),"ОКС")</f>
        <v>ОКС</v>
      </c>
      <c r="D367" s="15"/>
      <c r="E367" s="14" t="str">
        <f>IFERROR(__xludf.DUMMYFUNCTION("""COMPUTED_VALUE"""),"Проектирование и строительство первой очереди КНС «Прокшино» с АРР и напорными трубопроводами              г. Москва, поселение Сосенское")</f>
        <v>Проектирование и строительство первой очереди КНС «Прокшино» с АРР и напорными трубопроводами              г. Москва, поселение Сосенское</v>
      </c>
      <c r="F367" s="25" t="str">
        <f>IFERROR(__xludf.DUMMYFUNCTION("""COMPUTED_VALUE"""),"55.587344")</f>
        <v>55.587344</v>
      </c>
      <c r="G367" s="6" t="str">
        <f>IFERROR(__xludf.DUMMYFUNCTION("""COMPUTED_VALUE"""),"37.416515")</f>
        <v>37.416515</v>
      </c>
      <c r="H367" s="18" t="str">
        <f>IFERROR(__xludf.DUMMYFUNCTION("""COMPUTED_VALUE"""),"https://docs.google.com/spreadsheets/d/19THEBTE9q0fhN2eApZr6BgenIvLGh0AckaYxHQfHk5w/edit?gid=1666294966#gid=1666294966")</f>
        <v>https://docs.google.com/spreadsheets/d/19THEBTE9q0fhN2eApZr6BgenIvLGh0AckaYxHQfHk5w/edit?gid=1666294966#gid=1666294966</v>
      </c>
      <c r="I367" s="19" t="str">
        <f>IFERROR(__xludf.DUMMYFUNCTION("""COMPUTED_VALUE"""),"https://disk.yandex.ru/client/disk/Осмотры%20объектов%20АНО%20СМГ/1080.%20Проектирование%20и%20строительство%201%20очереди%20КНС%20Прокшино%20с%20АРР%20и%20напорными%20трубопроводами")</f>
        <v>https://disk.yandex.ru/client/disk/Осмотры%20объектов%20АНО%20СМГ/1080.%20Проектирование%20и%20строительство%201%20очереди%20КНС%20Прокшино%20с%20АРР%20и%20напорными%20трубопроводами</v>
      </c>
      <c r="J367" s="50">
        <f>IFERROR(__xludf.DUMMYFUNCTION("""COMPUTED_VALUE"""),91.28706375)</f>
        <v>91.28706375</v>
      </c>
      <c r="K367" s="58">
        <f>IFERROR(__xludf.DUMMYFUNCTION("""COMPUTED_VALUE"""),45972.0)</f>
        <v>45972</v>
      </c>
      <c r="L367" s="6">
        <v>14.0</v>
      </c>
      <c r="M367" s="52">
        <v>45986.0</v>
      </c>
      <c r="N367" s="53" t="s">
        <v>711</v>
      </c>
      <c r="O367" s="19" t="s">
        <v>868</v>
      </c>
      <c r="P367" s="6"/>
      <c r="Q367" s="6"/>
      <c r="R367" s="6"/>
    </row>
    <row r="368">
      <c r="A368" s="31" t="str">
        <f>IFERROR(__xludf.DUMMYFUNCTION("""COMPUTED_VALUE"""),"1087")</f>
        <v>1087</v>
      </c>
      <c r="B368" s="14" t="str">
        <f>IFERROR(__xludf.DUMMYFUNCTION("""COMPUTED_VALUE"""),"АИП-25")</f>
        <v>АИП-25</v>
      </c>
      <c r="C368" s="14" t="str">
        <f>IFERROR(__xludf.DUMMYFUNCTION("""COMPUTED_VALUE"""),"ОКС")</f>
        <v>ОКС</v>
      </c>
      <c r="D368" s="15"/>
      <c r="E368" s="14" t="str">
        <f>IFERROR(__xludf.DUMMYFUNCTION("""COMPUTED_VALUE"""),"Проектирование и строительство головных объектов водоснабжения Административно-делового центра в п. Коммунарка (1 очередь). 1 Этап г.Москва, округ Коммунака, внутригородская территория квартал № 121, дом 1А, строение 1")</f>
        <v>Проектирование и строительство головных объектов водоснабжения Административно-делового центра в п. Коммунарка (1 очередь). 1 Этап г.Москва, округ Коммунака, внутригородская территория квартал № 121, дом 1А, строение 1</v>
      </c>
      <c r="F368" s="25" t="str">
        <f>IFERROR(__xludf.DUMMYFUNCTION("""COMPUTED_VALUE"""),"55.587380")</f>
        <v>55.587380</v>
      </c>
      <c r="G368" s="6" t="str">
        <f>IFERROR(__xludf.DUMMYFUNCTION("""COMPUTED_VALUE"""),"37.476017")</f>
        <v>37.476017</v>
      </c>
      <c r="H368" s="18" t="str">
        <f>IFERROR(__xludf.DUMMYFUNCTION("""COMPUTED_VALUE"""),"https://docs.google.com/spreadsheets/d/19THEBTE9q0fhN2eApZr6BgenIvLGh0AckaYxHQfHk5w/edit?gid=444385228#gid=444385228")</f>
        <v>https://docs.google.com/spreadsheets/d/19THEBTE9q0fhN2eApZr6BgenIvLGh0AckaYxHQfHk5w/edit?gid=444385228#gid=444385228</v>
      </c>
      <c r="I368" s="19" t="str">
        <f>IFERROR(__xludf.DUMMYFUNCTION("""COMPUTED_VALUE"""),"https://disk.yandex.ru/client/disk/Осмотры%20объектов%20АНО%20СМГ/1087.%20Проектирование%20и%20строительство%20головных%20объектов%20водоснабжения%20Административно-%20делового%20центра%20в%20пос.%20Коммунарка%20%20(1%20очередь)")</f>
        <v>https://disk.yandex.ru/client/disk/Осмотры%20объектов%20АНО%20СМГ/1087.%20Проектирование%20и%20строительство%20головных%20объектов%20водоснабжения%20Административно-%20делового%20центра%20в%20пос.%20Коммунарка%20%20(1%20очередь)</v>
      </c>
      <c r="J368" s="50">
        <f>IFERROR(__xludf.DUMMYFUNCTION("""COMPUTED_VALUE"""),98.77000000000001)</f>
        <v>98.77</v>
      </c>
      <c r="K368" s="58">
        <f>IFERROR(__xludf.DUMMYFUNCTION("""COMPUTED_VALUE"""),45972.0)</f>
        <v>45972</v>
      </c>
      <c r="L368" s="6">
        <v>7.0</v>
      </c>
      <c r="M368" s="52">
        <v>45979.0</v>
      </c>
      <c r="N368" s="53" t="s">
        <v>692</v>
      </c>
      <c r="O368" s="19" t="s">
        <v>869</v>
      </c>
      <c r="P368" s="6"/>
      <c r="Q368" s="6"/>
      <c r="R368" s="6"/>
    </row>
    <row r="369">
      <c r="A369" s="31" t="str">
        <f>IFERROR(__xludf.DUMMYFUNCTION("""COMPUTED_VALUE"""),"290")</f>
        <v>290</v>
      </c>
      <c r="B369" s="14" t="str">
        <f>IFERROR(__xludf.DUMMYFUNCTION("""COMPUTED_VALUE"""),"АИП-26")</f>
        <v>АИП-26</v>
      </c>
      <c r="C369" s="14" t="str">
        <f>IFERROR(__xludf.DUMMYFUNCTION("""COMPUTED_VALUE"""),"ОКС")</f>
        <v>ОКС</v>
      </c>
      <c r="D369" s="15"/>
      <c r="E369" s="14" t="str">
        <f>IFERROR(__xludf.DUMMYFUNCTION("""COMPUTED_VALUE"""),"Школа на 1150 мест, ул. Золоторожский Вал, вл. 11 район Лефортово, ул. Золоторожский Вал, вл. 11")</f>
        <v>Школа на 1150 мест, ул. Золоторожский Вал, вл. 11 район Лефортово, ул. Золоторожский Вал, вл. 11</v>
      </c>
      <c r="F369" s="25" t="str">
        <f>IFERROR(__xludf.DUMMYFUNCTION("""COMPUTED_VALUE"""),"55.749967")</f>
        <v>55.749967</v>
      </c>
      <c r="G369" s="6" t="str">
        <f>IFERROR(__xludf.DUMMYFUNCTION("""COMPUTED_VALUE"""),"37.692577")</f>
        <v>37.692577</v>
      </c>
      <c r="H369" s="18" t="str">
        <f>IFERROR(__xludf.DUMMYFUNCTION("""COMPUTED_VALUE"""),"https://docs.google.com/spreadsheets/d/19THEBTE9q0fhN2eApZr6BgenIvLGh0AckaYxHQfHk5w/edit?gid=1261418769#gid=1261418769")</f>
        <v>https://docs.google.com/spreadsheets/d/19THEBTE9q0fhN2eApZr6BgenIvLGh0AckaYxHQfHk5w/edit?gid=1261418769#gid=1261418769</v>
      </c>
      <c r="I369" s="21" t="str">
        <f>IFERROR(__xludf.DUMMYFUNCTION("""COMPUTED_VALUE"""),"https://disk.yandex.ru/client/disk/%D0%9E%D1%81%D0%BC%D0%BE%D1%82%D1%80%D1%8B%20%D0%BE%D0%B1%D1%8A%D0%B5%D0%BA%D1%82%D0%BE%D0%B2%20%D0%90%D0%9D%D0%9E%20%D0%A1%D0%9C%D0%93/290.%20%D0%97%D0%BE%D0%BB%D0%BE%D1%82%D0%BE%D1%80%D0%BE%D0%B6%D1%81%D0%BA%D0%B8%D0%B"&amp;"9%20%D0%B2%D0%B0%D0%BB%20%D0%B2%D0%BB%D0%B4%2011%20%D0%A8%D0%BA%D0%BE%D0%BB%D0%B0%20%D0%BD%D0%B0%201150%20%D0%BC%D0%B5%D1%81%D1%82%20")</f>
        <v>https://disk.yandex.ru/client/disk/%D0%9E%D1%81%D0%BC%D0%BE%D1%82%D1%80%D1%8B%20%D0%BE%D0%B1%D1%8A%D0%B5%D0%BA%D1%82%D0%BE%D0%B2%20%D0%90%D0%9D%D0%9E%20%D0%A1%D0%9C%D0%93/290.%20%D0%97%D0%BE%D0%BB%D0%BE%D1%82%D0%BE%D1%80%D0%BE%D0%B6%D1%81%D0%BA%D0%B8%D0%B9%20%D0%B2%D0%B0%D0%BB%20%D0%B2%D0%BB%D0%B4%2011%20%D0%A8%D0%BA%D0%BE%D0%BB%D0%B0%20%D0%BD%D0%B0%201150%20%D0%BC%D0%B5%D1%81%D1%82%20</v>
      </c>
      <c r="J369" s="50">
        <f>IFERROR(__xludf.DUMMYFUNCTION("""COMPUTED_VALUE"""),47.0464125)</f>
        <v>47.0464125</v>
      </c>
      <c r="K369" s="58">
        <f>IFERROR(__xludf.DUMMYFUNCTION("""COMPUTED_VALUE"""),45967.0)</f>
        <v>45967</v>
      </c>
      <c r="L369" s="6">
        <v>30.0</v>
      </c>
      <c r="M369" s="52">
        <v>45997.0</v>
      </c>
      <c r="N369" s="53" t="s">
        <v>711</v>
      </c>
      <c r="O369" s="19" t="s">
        <v>870</v>
      </c>
      <c r="P369" s="6"/>
      <c r="Q369" s="6"/>
      <c r="R369" s="6"/>
    </row>
    <row r="370">
      <c r="A370" s="31" t="str">
        <f>IFERROR(__xludf.DUMMYFUNCTION("""COMPUTED_VALUE"""),"184")</f>
        <v>184</v>
      </c>
      <c r="B370" s="14" t="str">
        <f>IFERROR(__xludf.DUMMYFUNCTION("""COMPUTED_VALUE"""),"АИП-26")</f>
        <v>АИП-26</v>
      </c>
      <c r="C370" s="14" t="str">
        <f>IFERROR(__xludf.DUMMYFUNCTION("""COMPUTED_VALUE"""),"ОКС")</f>
        <v>ОКС</v>
      </c>
      <c r="D370" s="15"/>
      <c r="E370" s="14" t="str">
        <f>IFERROR(__xludf.DUMMYFUNCTION("""COMPUTED_VALUE"""),"Учебный корпус на 400 мест (на месте сноса), район Богородское, 2-я Гражданская ул., д. 8 район Богородское, ул. 2-я Гражданская, д. 8")</f>
        <v>Учебный корпус на 400 мест (на месте сноса), район Богородское, 2-я Гражданская ул., д. 8 район Богородское, ул. 2-я Гражданская, д. 8</v>
      </c>
      <c r="F370" s="25" t="str">
        <f>IFERROR(__xludf.DUMMYFUNCTION("""COMPUTED_VALUE"""),"55.813731")</f>
        <v>55.813731</v>
      </c>
      <c r="G370" s="6" t="str">
        <f>IFERROR(__xludf.DUMMYFUNCTION("""COMPUTED_VALUE"""),"37.700987")</f>
        <v>37.700987</v>
      </c>
      <c r="H370" s="18" t="str">
        <f>IFERROR(__xludf.DUMMYFUNCTION("""COMPUTED_VALUE"""),"https://docs.google.com/spreadsheets/d/19THEBTE9q0fhN2eApZr6BgenIvLGh0AckaYxHQfHk5w/edit?gid=808158041#gid=808158041")</f>
        <v>https://docs.google.com/spreadsheets/d/19THEBTE9q0fhN2eApZr6BgenIvLGh0AckaYxHQfHk5w/edit?gid=808158041#gid=808158041</v>
      </c>
      <c r="I370" s="21" t="str">
        <f>IFERROR(__xludf.DUMMYFUNCTION("""COMPUTED_VALUE"""),"https://disk.yandex.ru/client/disk/%D0%9E%D1%81%D0%BC%D0%BE%D1%82%D1%80%D1%8B%20%D0%BE%D0%B1%D1%8A%D0%B5%D0%BA%D1%82%D0%BE%D0%B2%20%D0%90%D0%9D%D0%9E%20%D0%A1%D0%9C%D0%93/184.%20%D0%A3%D1%87%D0%B5%D0%B1%D0%BD%D1%8B%D0%B9%20%D0%BA%D0%BE%D1%80%D0%BF%D1%83%D"&amp;"1%81%20%D0%BD%D0%B0%20400%20%D0%BC%D0%B5%D1%81%D1%82%202-%D1%8F%20%D0%93%D1%80%D0%B0%D0%B6%D0%B4%D0%B0%D0%BD%D1%81%D0%BA%D0%B0%D1%8F%2C%20%D0%B4.%208")</f>
        <v>https://disk.yandex.ru/client/disk/%D0%9E%D1%81%D0%BC%D0%BE%D1%82%D1%80%D1%8B%20%D0%BE%D0%B1%D1%8A%D0%B5%D0%BA%D1%82%D0%BE%D0%B2%20%D0%90%D0%9D%D0%9E%20%D0%A1%D0%9C%D0%93/184.%20%D0%A3%D1%87%D0%B5%D0%B1%D0%BD%D1%8B%D0%B9%20%D0%BA%D0%BE%D1%80%D0%BF%D1%83%D1%81%20%D0%BD%D0%B0%20400%20%D0%BC%D0%B5%D1%81%D1%82%202-%D1%8F%20%D0%93%D1%80%D0%B0%D0%B6%D0%B4%D0%B0%D0%BD%D1%81%D0%BA%D0%B0%D1%8F%2C%20%D0%B4.%208</v>
      </c>
      <c r="J370" s="50">
        <f>IFERROR(__xludf.DUMMYFUNCTION("""COMPUTED_VALUE"""),95.79223999999999)</f>
        <v>95.79224</v>
      </c>
      <c r="K370" s="58">
        <f>IFERROR(__xludf.DUMMYFUNCTION("""COMPUTED_VALUE"""),45971.0)</f>
        <v>45971</v>
      </c>
      <c r="L370" s="6">
        <v>7.0</v>
      </c>
      <c r="M370" s="52">
        <v>45978.0</v>
      </c>
      <c r="N370" s="53" t="s">
        <v>692</v>
      </c>
      <c r="O370" s="19" t="s">
        <v>871</v>
      </c>
      <c r="P370" s="6"/>
      <c r="Q370" s="6"/>
      <c r="R370" s="6"/>
    </row>
    <row r="371">
      <c r="A371" s="31" t="str">
        <f>IFERROR(__xludf.DUMMYFUNCTION("""COMPUTED_VALUE"""),"131д")</f>
        <v>131д</v>
      </c>
      <c r="B371" s="14" t="str">
        <f>IFERROR(__xludf.DUMMYFUNCTION("""COMPUTED_VALUE"""),"АИП-25")</f>
        <v>АИП-25</v>
      </c>
      <c r="C371" s="14" t="str">
        <f>IFERROR(__xludf.DUMMYFUNCTION("""COMPUTED_VALUE"""),"УДС")</f>
        <v>УДС</v>
      </c>
      <c r="D371" s="15"/>
      <c r="E371" s="14" t="str">
        <f>IFERROR(__xludf.DUMMYFUNCTION("""COMPUTED_VALUE"""),"Строительство улицы районного значения от ул.Южная до Залинейного пер.с выездами на Варшавское ш. от ул.Южная до Залинейного пер.с выездами на Варшавское шоссе")</f>
        <v>Строительство улицы районного значения от ул.Южная до Залинейного пер.с выездами на Варшавское ш. от ул.Южная до Залинейного пер.с выездами на Варшавское шоссе</v>
      </c>
      <c r="F371" s="25" t="str">
        <f>IFERROR(__xludf.DUMMYFUNCTION("""COMPUTED_VALUE"""),"#N/A")</f>
        <v>#N/A</v>
      </c>
      <c r="G371" s="6" t="str">
        <f>IFERROR(__xludf.DUMMYFUNCTION("""COMPUTED_VALUE"""),"#N/A")</f>
        <v>#N/A</v>
      </c>
      <c r="H371" s="6"/>
      <c r="I371" s="6"/>
      <c r="J371" s="50">
        <f>IFERROR(__xludf.DUMMYFUNCTION("""COMPUTED_VALUE"""),99.67255449999999)</f>
        <v>99.6725545</v>
      </c>
      <c r="K371" s="58">
        <f>IFERROR(__xludf.DUMMYFUNCTION("""COMPUTED_VALUE"""),45973.0)</f>
        <v>45973</v>
      </c>
      <c r="L371" s="6">
        <v>7.0</v>
      </c>
      <c r="M371" s="52">
        <v>45980.0</v>
      </c>
      <c r="N371" s="53" t="s">
        <v>711</v>
      </c>
      <c r="O371" s="6" t="s">
        <v>872</v>
      </c>
      <c r="P371" s="6"/>
      <c r="Q371" s="6"/>
      <c r="R371" s="6"/>
    </row>
    <row r="372">
      <c r="A372" s="31" t="str">
        <f>IFERROR(__xludf.DUMMYFUNCTION("""COMPUTED_VALUE"""),"268д (сводный)")</f>
        <v>268д (сводный)</v>
      </c>
      <c r="B372" s="14" t="str">
        <f>IFERROR(__xludf.DUMMYFUNCTION("""COMPUTED_VALUE"""),"АИП-25")</f>
        <v>АИП-25</v>
      </c>
      <c r="C372" s="14" t="str">
        <f>IFERROR(__xludf.DUMMYFUNCTION("""COMPUTED_VALUE"""),"УДС")</f>
        <v>УДС</v>
      </c>
      <c r="D372" s="15"/>
      <c r="E372" s="14" t="str">
        <f>IFERROR(__xludf.DUMMYFUNCTION("""COMPUTED_VALUE"""),"Строительство магистральной улицы районного значения ""Калужское ш. - д. Бачурино - а/д ""Солнцево – Бутово - Видное"" в части этапов 1.1 и 1.3 ")</f>
        <v>Строительство магистральной улицы районного значения "Калужское ш. - д. Бачурино - а/д "Солнцево – Бутово - Видное" в части этапов 1.1 и 1.3 </v>
      </c>
      <c r="F372" s="25" t="str">
        <f>IFERROR(__xludf.DUMMYFUNCTION("""COMPUTED_VALUE"""),"#N/A")</f>
        <v>#N/A</v>
      </c>
      <c r="G372" s="6" t="str">
        <f>IFERROR(__xludf.DUMMYFUNCTION("""COMPUTED_VALUE"""),"#N/A")</f>
        <v>#N/A</v>
      </c>
      <c r="H372" s="6"/>
      <c r="I372" s="6"/>
      <c r="J372" s="50"/>
      <c r="K372" s="58"/>
      <c r="L372" s="6">
        <v>30.0</v>
      </c>
      <c r="M372" s="52" t="s">
        <v>655</v>
      </c>
      <c r="N372" s="53" t="s">
        <v>698</v>
      </c>
      <c r="O372" s="6"/>
      <c r="P372" s="6"/>
      <c r="Q372" s="6"/>
      <c r="R372" s="6"/>
    </row>
    <row r="373">
      <c r="A373" s="31" t="str">
        <f>IFERROR(__xludf.DUMMYFUNCTION("""COMPUTED_VALUE"""),"268д (этап 1.3)")</f>
        <v>268д (этап 1.3)</v>
      </c>
      <c r="B373" s="14"/>
      <c r="C373" s="14" t="str">
        <f>IFERROR(__xludf.DUMMYFUNCTION("""COMPUTED_VALUE"""),"УДС")</f>
        <v>УДС</v>
      </c>
      <c r="D373" s="15"/>
      <c r="E373" s="14" t="str">
        <f>IFERROR(__xludf.DUMMYFUNCTION("""COMPUTED_VALUE"""),"Строительство магистральной улицы районного значения ""Калужское ш. - д. Бачурино - а/д ""Солнцево – Бутово - Видное""
Этап 1.3
(Осмотр хода строительства участка
а/д «Солнцево-Бутово-Варшавское шоссе» от ул. Эдварда Грига
до ул. Поляны, ТиНАО, р-н Коммун"&amp;"арка (этап 1.3), ЮЗАО, р-н Южное Бутово) п. Сосенское, Коммунарка")</f>
        <v>Строительство магистральной улицы районного значения "Калужское ш. - д. Бачурино - а/д "Солнцево – Бутово - Видное"
Этап 1.3
(Осмотр хода строительства участка
а/д «Солнцево-Бутово-Варшавское шоссе» от ул. Эдварда Грига
до ул. Поляны, ТиНАО, р-н Коммунарка (этап 1.3), ЮЗАО, р-н Южное Бутово) п. Сосенское, Коммунарка</v>
      </c>
      <c r="F373" s="25" t="str">
        <f>IFERROR(__xludf.DUMMYFUNCTION("""COMPUTED_VALUE"""),"#N/A")</f>
        <v>#N/A</v>
      </c>
      <c r="G373" s="6" t="str">
        <f>IFERROR(__xludf.DUMMYFUNCTION("""COMPUTED_VALUE"""),"#N/A")</f>
        <v>#N/A</v>
      </c>
      <c r="H373" s="6"/>
      <c r="I373" s="6"/>
      <c r="J373" s="50"/>
      <c r="K373" s="58"/>
      <c r="L373" s="6">
        <v>30.0</v>
      </c>
      <c r="M373" s="52" t="s">
        <v>655</v>
      </c>
      <c r="N373" s="53" t="s">
        <v>698</v>
      </c>
      <c r="O373" s="6" t="s">
        <v>873</v>
      </c>
      <c r="P373" s="6"/>
      <c r="Q373" s="6"/>
      <c r="R373" s="6"/>
    </row>
    <row r="374">
      <c r="A374" s="31" t="str">
        <f>IFERROR(__xludf.DUMMYFUNCTION("""COMPUTED_VALUE"""),"268д (этап 1.1)")</f>
        <v>268д (этап 1.1)</v>
      </c>
      <c r="B374" s="14"/>
      <c r="C374" s="14" t="str">
        <f>IFERROR(__xludf.DUMMYFUNCTION("""COMPUTED_VALUE"""),"УДС")</f>
        <v>УДС</v>
      </c>
      <c r="D374" s="15"/>
      <c r="E374" s="14" t="str">
        <f>IFERROR(__xludf.DUMMYFUNCTION("""COMPUTED_VALUE"""),"Строительство магистральной улицы районного значения ""Калужское ш. - д. Бачурино - а/д ""Солнцево – Бутово - Видное""
Этап 1.1
(Осмотр хода строительства участка
а/д «Солнцево-Бутово-Варшавское шоссе» от ул. Эдварда Грига
до ул. Поляны, ТиНАО, р-н Коммун"&amp;"арка (этап 1.3), ЮЗАО, р-н Южное Бутово) ")</f>
        <v>Строительство магистральной улицы районного значения "Калужское ш. - д. Бачурино - а/д "Солнцево – Бутово - Видное"
Этап 1.1
(Осмотр хода строительства участка
а/д «Солнцево-Бутово-Варшавское шоссе» от ул. Эдварда Грига
до ул. Поляны, ТиНАО, р-н Коммунарка (этап 1.3), ЮЗАО, р-н Южное Бутово) </v>
      </c>
      <c r="F374" s="25" t="str">
        <f>IFERROR(__xludf.DUMMYFUNCTION("""COMPUTED_VALUE"""),"#N/A")</f>
        <v>#N/A</v>
      </c>
      <c r="G374" s="6" t="str">
        <f>IFERROR(__xludf.DUMMYFUNCTION("""COMPUTED_VALUE"""),"#N/A")</f>
        <v>#N/A</v>
      </c>
      <c r="H374" s="6"/>
      <c r="I374" s="6"/>
      <c r="J374" s="50"/>
      <c r="K374" s="58"/>
      <c r="L374" s="6">
        <v>30.0</v>
      </c>
      <c r="M374" s="52" t="s">
        <v>655</v>
      </c>
      <c r="N374" s="53" t="s">
        <v>698</v>
      </c>
      <c r="O374" s="6" t="s">
        <v>669</v>
      </c>
      <c r="P374" s="6"/>
      <c r="Q374" s="6"/>
      <c r="R374" s="6"/>
    </row>
    <row r="375">
      <c r="A375" s="31" t="str">
        <f>IFERROR(__xludf.DUMMYFUNCTION("""COMPUTED_VALUE"""),"282д")</f>
        <v>282д</v>
      </c>
      <c r="B375" s="14" t="str">
        <f>IFERROR(__xludf.DUMMYFUNCTION("""COMPUTED_VALUE"""),"АИП-25")</f>
        <v>АИП-25</v>
      </c>
      <c r="C375" s="14" t="str">
        <f>IFERROR(__xludf.DUMMYFUNCTION("""COMPUTED_VALUE"""),"УДС")</f>
        <v>УДС</v>
      </c>
      <c r="D375" s="15"/>
      <c r="E375" s="14" t="str">
        <f>IFERROR(__xludf.DUMMYFUNCTION("""COMPUTED_VALUE"""),"Строительство магистральной улицы районного значения ""Калужское ш. - д. Бачурино - а/д ""Солнцево – Бутово - Видное""
Этап 1.2 ")</f>
        <v>Строительство магистральной улицы районного значения "Калужское ш. - д. Бачурино - а/д "Солнцево – Бутово - Видное"
Этап 1.2 </v>
      </c>
      <c r="F375" s="25" t="str">
        <f>IFERROR(__xludf.DUMMYFUNCTION("""COMPUTED_VALUE"""),"#N/A")</f>
        <v>#N/A</v>
      </c>
      <c r="G375" s="6" t="str">
        <f>IFERROR(__xludf.DUMMYFUNCTION("""COMPUTED_VALUE"""),"#N/A")</f>
        <v>#N/A</v>
      </c>
      <c r="H375" s="6"/>
      <c r="I375" s="6"/>
      <c r="J375" s="50">
        <f>IFERROR(__xludf.DUMMYFUNCTION("""COMPUTED_VALUE"""),25.090199999999996)</f>
        <v>25.0902</v>
      </c>
      <c r="K375" s="58">
        <f>IFERROR(__xludf.DUMMYFUNCTION("""COMPUTED_VALUE"""),45971.0)</f>
        <v>45971</v>
      </c>
      <c r="L375" s="6">
        <v>30.0</v>
      </c>
      <c r="M375" s="52">
        <v>46001.0</v>
      </c>
      <c r="N375" s="53" t="s">
        <v>711</v>
      </c>
      <c r="O375" s="6"/>
      <c r="P375" s="6"/>
      <c r="Q375" s="6"/>
      <c r="R375" s="6"/>
    </row>
    <row r="376">
      <c r="A376" s="31" t="str">
        <f>IFERROR(__xludf.DUMMYFUNCTION("""COMPUTED_VALUE"""),"188")</f>
        <v>188</v>
      </c>
      <c r="B376" s="14" t="str">
        <f>IFERROR(__xludf.DUMMYFUNCTION("""COMPUTED_VALUE"""),"АИП-26")</f>
        <v>АИП-26</v>
      </c>
      <c r="C376" s="14" t="str">
        <f>IFERROR(__xludf.DUMMYFUNCTION("""COMPUTED_VALUE"""),"ОКС")</f>
        <v>ОКС</v>
      </c>
      <c r="D376" s="60"/>
      <c r="E376" s="14" t="str">
        <f>IFERROR(__xludf.DUMMYFUNCTION("""COMPUTED_VALUE"""),"Жилой дом с подземной автостоянкой(проектно-изыскательские и строительно-монтажные работы по сносу и строительству) район Бутырский, ул. Милашенкова, вл.6")</f>
        <v>Жилой дом с подземной автостоянкой(проектно-изыскательские и строительно-монтажные работы по сносу и строительству) район Бутырский, ул. Милашенкова, вл.6</v>
      </c>
      <c r="F376" s="25" t="str">
        <f>IFERROR(__xludf.DUMMYFUNCTION("""COMPUTED_VALUE"""),"55.82384253354808")</f>
        <v>55.82384253354808</v>
      </c>
      <c r="G376" s="6" t="str">
        <f>IFERROR(__xludf.DUMMYFUNCTION("""COMPUTED_VALUE"""),"37.58752899867056")</f>
        <v>37.58752899867056</v>
      </c>
      <c r="H376" s="18" t="str">
        <f>IFERROR(__xludf.DUMMYFUNCTION("""COMPUTED_VALUE"""),"https://docs.google.com/spreadsheets/d/19THEBTE9q0fhN2eApZr6BgenIvLGh0AckaYxHQfHk5w/edit?gid=1559792467#gid=1559792467")</f>
        <v>https://docs.google.com/spreadsheets/d/19THEBTE9q0fhN2eApZr6BgenIvLGh0AckaYxHQfHk5w/edit?gid=1559792467#gid=1559792467</v>
      </c>
      <c r="I376" s="19" t="str">
        <f>IFERROR(__xludf.DUMMYFUNCTION("""COMPUTED_VALUE"""),"https://disk.yandex.ru/client/disk/Осмотры%20объектов%20АНО%20СМГ/188.%20СВАО%2C%20район%2C%20Бутырский%2C%20ул.%20Милашенкова%2C%20влд.6%09")</f>
        <v>https://disk.yandex.ru/client/disk/Осмотры%20объектов%20АНО%20СМГ/188.%20СВАО%2C%20район%2C%20Бутырский%2C%20ул.%20Милашенкова%2C%20влд.6%09</v>
      </c>
      <c r="J376" s="50">
        <f>IFERROR(__xludf.DUMMYFUNCTION("""COMPUTED_VALUE"""),88.93446)</f>
        <v>88.93446</v>
      </c>
      <c r="K376" s="58">
        <f>IFERROR(__xludf.DUMMYFUNCTION("""COMPUTED_VALUE"""),45973.0)</f>
        <v>45973</v>
      </c>
      <c r="L376" s="6">
        <v>14.0</v>
      </c>
      <c r="M376" s="52">
        <v>45987.0</v>
      </c>
      <c r="N376" s="53" t="s">
        <v>711</v>
      </c>
      <c r="O376" s="19" t="s">
        <v>874</v>
      </c>
      <c r="P376" s="6"/>
      <c r="Q376" s="6"/>
      <c r="R376" s="6"/>
    </row>
    <row r="377">
      <c r="A377" s="31" t="str">
        <f>IFERROR(__xludf.DUMMYFUNCTION("""COMPUTED_VALUE"""),"274")</f>
        <v>274</v>
      </c>
      <c r="B377" s="14" t="str">
        <f>IFERROR(__xludf.DUMMYFUNCTION("""COMPUTED_VALUE"""),"АИП-26")</f>
        <v>АИП-26</v>
      </c>
      <c r="C377" s="14" t="str">
        <f>IFERROR(__xludf.DUMMYFUNCTION("""COMPUTED_VALUE"""),"ОКС")</f>
        <v>ОКС</v>
      </c>
      <c r="D377" s="15"/>
      <c r="E377" s="14" t="str">
        <f>IFERROR(__xludf.DUMMYFUNCTION("""COMPUTED_VALUE"""),"Здание образовательной организации (общее образование) на 700 мест р-н Северное Измайлово, мкр. 41-50, ул. 11-я Парковая, з/у 45Б")</f>
        <v>Здание образовательной организации (общее образование) на 700 мест р-н Северное Измайлово, мкр. 41-50, ул. 11-я Парковая, з/у 45Б</v>
      </c>
      <c r="F377" s="25" t="str">
        <f>IFERROR(__xludf.DUMMYFUNCTION("""COMPUTED_VALUE"""),"55.803722")</f>
        <v>55.803722</v>
      </c>
      <c r="G377" s="6" t="str">
        <f>IFERROR(__xludf.DUMMYFUNCTION("""COMPUTED_VALUE"""),"37.804206")</f>
        <v>37.804206</v>
      </c>
      <c r="H377" s="18" t="str">
        <f>IFERROR(__xludf.DUMMYFUNCTION("""COMPUTED_VALUE"""),"https://docs.google.com/spreadsheets/d/19THEBTE9q0fhN2eApZr6BgenIvLGh0AckaYxHQfHk5w/edit?gid=1430585638#gid=1430585638")</f>
        <v>https://docs.google.com/spreadsheets/d/19THEBTE9q0fhN2eApZr6BgenIvLGh0AckaYxHQfHk5w/edit?gid=1430585638#gid=1430585638</v>
      </c>
      <c r="I377" s="21" t="str">
        <f>IFERROR(__xludf.DUMMYFUNCTION("""COMPUTED_VALUE"""),"https://disk.yandex.ru/client/disk/%D0%9E%D1%81%D0%BC%D0%BE%D1%82%D1%80%D1%8B%20%D0%BE%D0%B1%D1%8A%D0%B5%D0%BA%D1%82%D0%BE%D0%B2%20%D0%90%D0%9D%D0%9E%20%D0%A1%D0%9C%D0%93/274.%20%D0%A1%D0%B5%D0%B2%D0%B5%D1%80%D0%BD%D0%BE%D0%B5%20%D0%98%D0%B7%D0%BC%D0%B0%D"&amp;"0%B9%D0%BB%D0%BE%D0%B2%D0%BE%2011%D1%8F%20%D0%BF%D0%B0%D1%80%D0%BA%D0%BE%D0%B2%D0%B0%D1%8F%20%D0%B7%D1%83%2045%D0%91%20%D0%97%D0%B4%D0%B0%D0%BD%D0%B8%D0%B5%20%D0%BE%D0%B1%D1%80%D0%B0%D0%B7%D0%BE%D0%B2%D0%B0%D1%82%D0%B5%D0%BB%D1%8C%D0%BD%D0%BE%D0%B9%20%D0%"&amp;"BE%D1%80%D0%B3%D0%B0%D0%BD%D0%B8%D0%B7%D0%B0%D1%86%D0%B8%D0%B8%20%D0%BD%D0%B0%20700%20%D0%BC%D0%B5%D1%81%D1%82%20")</f>
        <v>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v>
      </c>
      <c r="J377" s="50">
        <f>IFERROR(__xludf.DUMMYFUNCTION("""COMPUTED_VALUE"""),45.954175)</f>
        <v>45.954175</v>
      </c>
      <c r="K377" s="58">
        <f>IFERROR(__xludf.DUMMYFUNCTION("""COMPUTED_VALUE"""),45972.0)</f>
        <v>45972</v>
      </c>
      <c r="L377" s="6">
        <v>30.0</v>
      </c>
      <c r="M377" s="52">
        <v>46002.0</v>
      </c>
      <c r="N377" s="53" t="s">
        <v>711</v>
      </c>
      <c r="O377" s="19" t="s">
        <v>875</v>
      </c>
      <c r="P377" s="6"/>
      <c r="Q377" s="6"/>
      <c r="R377" s="6"/>
    </row>
    <row r="378">
      <c r="A378" s="31" t="str">
        <f>IFERROR(__xludf.DUMMYFUNCTION("""COMPUTED_VALUE"""),"303")</f>
        <v>303</v>
      </c>
      <c r="B378" s="14" t="str">
        <f>IFERROR(__xludf.DUMMYFUNCTION("""COMPUTED_VALUE"""),"АИП-26")</f>
        <v>АИП-26</v>
      </c>
      <c r="C378" s="14" t="str">
        <f>IFERROR(__xludf.DUMMYFUNCTION("""COMPUTED_VALUE"""),"ОКС")</f>
        <v>ОКС</v>
      </c>
      <c r="D378" s="15"/>
      <c r="E378" s="14" t="str">
        <f>IFERROR(__xludf.DUMMYFUNCTION("""COMPUTED_VALUE"""),"Реконструкция с устройством лифтов зданий ГБУ города Москвы «Комплексный реабилитационно-образовательный центр» р-н Северное Измайлово, ул. 16-я Парковая, д.4")</f>
        <v>Реконструкция с устройством лифтов зданий ГБУ города Москвы «Комплексный реабилитационно-образовательный центр» р-н Северное Измайлово, ул. 16-я Парковая, д.4</v>
      </c>
      <c r="F378" s="25" t="str">
        <f>IFERROR(__xludf.DUMMYFUNCTION("""COMPUTED_VALUE"""),"55.797432")</f>
        <v>55.797432</v>
      </c>
      <c r="G378" s="6" t="str">
        <f>IFERROR(__xludf.DUMMYFUNCTION("""COMPUTED_VALUE"""),"37.823951")</f>
        <v>37.823951</v>
      </c>
      <c r="H378" s="18" t="str">
        <f>IFERROR(__xludf.DUMMYFUNCTION("""COMPUTED_VALUE"""),"https://docs.google.com/spreadsheets/d/19THEBTE9q0fhN2eApZr6BgenIvLGh0AckaYxHQfHk5w/edit?gid=921189634#gid=921189634")</f>
        <v>https://docs.google.com/spreadsheets/d/19THEBTE9q0fhN2eApZr6BgenIvLGh0AckaYxHQfHk5w/edit?gid=921189634#gid=921189634</v>
      </c>
      <c r="I378" s="19" t="str">
        <f>IFERROR(__xludf.DUMMYFUNCTION("""COMPUTED_VALUE"""),"https://disk.yandex.ru/client/disk/Осмотры%20объектов%20АНО%20СМГ/303.%20Реконструкция%20с%20устройством%20лифтов%20зданий%20ГБУ%20города%20Москвы%20«Комплексный%20реабилитационно-образовательный%20центр»%20по%20адресу%3A%20ул.%2016-я%20Парковая%2C%20д.4»")</f>
        <v>https://disk.yandex.ru/client/disk/Осмотры%20объектов%20АНО%20СМГ/303.%20Реконструкция%20с%20устройством%20лифтов%20зданий%20ГБУ%20города%20Москвы%20«Комплексный%20реабилитационно-образовательный%20центр»%20по%20адресу%3A%20ул.%2016-я%20Парковая%2C%20д.4»</v>
      </c>
      <c r="J378" s="50">
        <f>IFERROR(__xludf.DUMMYFUNCTION("""COMPUTED_VALUE"""),0.0)</f>
        <v>0</v>
      </c>
      <c r="K378" s="58">
        <f>IFERROR(__xludf.DUMMYFUNCTION("""COMPUTED_VALUE"""),45954.0)</f>
        <v>45954</v>
      </c>
      <c r="L378" s="6">
        <v>30.0</v>
      </c>
      <c r="M378" s="52">
        <v>45984.0</v>
      </c>
      <c r="N378" s="53" t="s">
        <v>741</v>
      </c>
      <c r="O378" s="19" t="s">
        <v>876</v>
      </c>
      <c r="P378" s="6"/>
      <c r="Q378" s="6"/>
      <c r="R378" s="6"/>
    </row>
    <row r="379">
      <c r="A379" s="31" t="str">
        <f>IFERROR(__xludf.DUMMYFUNCTION("""COMPUTED_VALUE"""),"400д (2 этап)")</f>
        <v>400д (2 этап)</v>
      </c>
      <c r="B379" s="14" t="str">
        <f>IFERROR(__xludf.DUMMYFUNCTION("""COMPUTED_VALUE"""),"АИП-26")</f>
        <v>АИП-26</v>
      </c>
      <c r="C379" s="14" t="str">
        <f>IFERROR(__xludf.DUMMYFUNCTION("""COMPUTED_VALUE"""),"УДС")</f>
        <v>УДС</v>
      </c>
      <c r="D379" s="15"/>
      <c r="E379" s="14" t="str">
        <f>IFERROR(__xludf.DUMMYFUNCTION("""COMPUTED_VALUE"""),"Переустройство инженерных коммуникаций и сооружений ОАО РЖД в составе этапов ЮВХ-9, ЮВХ-3 и ЮВХ-5 пересечение МКАД с Юго-Восточной хордой")</f>
        <v>Переустройство инженерных коммуникаций и сооружений ОАО РЖД в составе этапов ЮВХ-9, ЮВХ-3 и ЮВХ-5 пересечение МКАД с Юго-Восточной хордой</v>
      </c>
      <c r="F379" s="25" t="str">
        <f>IFERROR(__xludf.DUMMYFUNCTION("""COMPUTED_VALUE"""),"#N/A")</f>
        <v>#N/A</v>
      </c>
      <c r="G379" s="6" t="str">
        <f>IFERROR(__xludf.DUMMYFUNCTION("""COMPUTED_VALUE"""),"#N/A")</f>
        <v>#N/A</v>
      </c>
      <c r="H379" s="6"/>
      <c r="I379" s="6"/>
      <c r="J379" s="50">
        <f>IFERROR(__xludf.DUMMYFUNCTION("""COMPUTED_VALUE"""),83.2975)</f>
        <v>83.2975</v>
      </c>
      <c r="K379" s="58">
        <f>IFERROR(__xludf.DUMMYFUNCTION("""COMPUTED_VALUE"""),45973.0)</f>
        <v>45973</v>
      </c>
      <c r="L379" s="6">
        <v>14.0</v>
      </c>
      <c r="M379" s="52">
        <v>45987.0</v>
      </c>
      <c r="N379" s="53" t="s">
        <v>711</v>
      </c>
      <c r="O379" s="6" t="s">
        <v>768</v>
      </c>
      <c r="P379" s="6"/>
      <c r="Q379" s="6"/>
      <c r="R379" s="6"/>
    </row>
    <row r="380">
      <c r="A380" s="31" t="str">
        <f>IFERROR(__xludf.DUMMYFUNCTION("""COMPUTED_VALUE"""),"401д (сводный)")</f>
        <v>401д (сводный)</v>
      </c>
      <c r="B380" s="14" t="str">
        <f>IFERROR(__xludf.DUMMYFUNCTION("""COMPUTED_VALUE"""),"АИП-26")</f>
        <v>АИП-26</v>
      </c>
      <c r="C380" s="14" t="str">
        <f>IFERROR(__xludf.DUMMYFUNCTION("""COMPUTED_VALUE"""),"УДС")</f>
        <v>УДС</v>
      </c>
      <c r="D380" s="15"/>
      <c r="E380"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3.3.5, 3.4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3.3.5, 3.4 </v>
      </c>
      <c r="F380" s="25" t="str">
        <f>IFERROR(__xludf.DUMMYFUNCTION("""COMPUTED_VALUE"""),"#N/A")</f>
        <v>#N/A</v>
      </c>
      <c r="G380" s="6" t="str">
        <f>IFERROR(__xludf.DUMMYFUNCTION("""COMPUTED_VALUE"""),"#N/A")</f>
        <v>#N/A</v>
      </c>
      <c r="H380" s="6"/>
      <c r="I380" s="6"/>
      <c r="J380" s="50"/>
      <c r="K380" s="58"/>
      <c r="L380" s="6">
        <v>30.0</v>
      </c>
      <c r="M380" s="52" t="s">
        <v>655</v>
      </c>
      <c r="N380" s="53" t="s">
        <v>698</v>
      </c>
      <c r="O380" s="6"/>
      <c r="P380" s="6"/>
      <c r="Q380" s="6"/>
      <c r="R380" s="6"/>
    </row>
    <row r="381">
      <c r="A381" s="31" t="str">
        <f>IFERROR(__xludf.DUMMYFUNCTION("""COMPUTED_VALUE"""),"401д (этап 3.2.2)")</f>
        <v>401д (этап 3.2.2)</v>
      </c>
      <c r="B381" s="14"/>
      <c r="C381" s="14" t="str">
        <f>IFERROR(__xludf.DUMMYFUNCTION("""COMPUTED_VALUE"""),"УДС")</f>
        <v>УДС</v>
      </c>
      <c r="D381" s="15"/>
      <c r="E381"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от Ярославского ш. до Дмитровского ш.</v>
      </c>
      <c r="F381" s="25" t="str">
        <f>IFERROR(__xludf.DUMMYFUNCTION("""COMPUTED_VALUE"""),"#N/A")</f>
        <v>#N/A</v>
      </c>
      <c r="G381" s="6" t="str">
        <f>IFERROR(__xludf.DUMMYFUNCTION("""COMPUTED_VALUE"""),"#N/A")</f>
        <v>#N/A</v>
      </c>
      <c r="H381" s="6"/>
      <c r="I381" s="6"/>
      <c r="J381" s="50"/>
      <c r="K381" s="58"/>
      <c r="L381" s="6">
        <v>30.0</v>
      </c>
      <c r="M381" s="52" t="s">
        <v>655</v>
      </c>
      <c r="N381" s="53" t="s">
        <v>698</v>
      </c>
      <c r="O381" s="6" t="s">
        <v>877</v>
      </c>
      <c r="P381" s="6"/>
      <c r="Q381" s="6"/>
      <c r="R381" s="6"/>
    </row>
    <row r="382">
      <c r="A382" s="31" t="str">
        <f>IFERROR(__xludf.DUMMYFUNCTION("""COMPUTED_VALUE"""),"401д (этап 3.4)")</f>
        <v>401д (этап 3.4)</v>
      </c>
      <c r="B382" s="14"/>
      <c r="C382" s="14" t="str">
        <f>IFERROR(__xludf.DUMMYFUNCTION("""COMPUTED_VALUE"""),"УДС")</f>
        <v>УДС</v>
      </c>
      <c r="D382" s="60"/>
      <c r="E382"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3.4.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3.4. от Ярославского ш. до Дмитровского ш.</v>
      </c>
      <c r="F382" s="25" t="str">
        <f>IFERROR(__xludf.DUMMYFUNCTION("""COMPUTED_VALUE"""),"#N/A")</f>
        <v>#N/A</v>
      </c>
      <c r="G382" s="6" t="str">
        <f>IFERROR(__xludf.DUMMYFUNCTION("""COMPUTED_VALUE"""),"#N/A")</f>
        <v>#N/A</v>
      </c>
      <c r="H382" s="6"/>
      <c r="I382" s="6"/>
      <c r="J382" s="50"/>
      <c r="K382" s="58"/>
      <c r="L382" s="6">
        <v>30.0</v>
      </c>
      <c r="M382" s="52" t="s">
        <v>655</v>
      </c>
      <c r="N382" s="53" t="s">
        <v>698</v>
      </c>
      <c r="O382" s="6" t="s">
        <v>877</v>
      </c>
      <c r="P382" s="6"/>
      <c r="Q382" s="6"/>
      <c r="R382" s="6"/>
    </row>
    <row r="383">
      <c r="A383" s="31" t="str">
        <f>IFERROR(__xludf.DUMMYFUNCTION("""COMPUTED_VALUE"""),"401д (этап 3.3.5)")</f>
        <v>401д (этап 3.3.5)</v>
      </c>
      <c r="B383" s="14"/>
      <c r="C383" s="14" t="str">
        <f>IFERROR(__xludf.DUMMYFUNCTION("""COMPUTED_VALUE"""),"УДС")</f>
        <v>УДС</v>
      </c>
      <c r="D383" s="15"/>
      <c r="E383"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3.3.5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3.3.5 от Ярославского ш. до Дмитровского ш.</v>
      </c>
      <c r="F383" s="25" t="str">
        <f>IFERROR(__xludf.DUMMYFUNCTION("""COMPUTED_VALUE"""),"#N/A")</f>
        <v>#N/A</v>
      </c>
      <c r="G383" s="6" t="str">
        <f>IFERROR(__xludf.DUMMYFUNCTION("""COMPUTED_VALUE"""),"#N/A")</f>
        <v>#N/A</v>
      </c>
      <c r="H383" s="6"/>
      <c r="I383" s="6"/>
      <c r="J383" s="50"/>
      <c r="K383" s="58"/>
      <c r="L383" s="6">
        <v>30.0</v>
      </c>
      <c r="M383" s="52" t="s">
        <v>655</v>
      </c>
      <c r="N383" s="53" t="s">
        <v>698</v>
      </c>
      <c r="O383" s="6" t="s">
        <v>877</v>
      </c>
      <c r="P383" s="6"/>
      <c r="Q383" s="6"/>
      <c r="R383" s="6"/>
    </row>
    <row r="384">
      <c r="A384" s="31" t="str">
        <f>IFERROR(__xludf.DUMMYFUNCTION("""COMPUTED_VALUE"""),"379д")</f>
        <v>379д</v>
      </c>
      <c r="B384" s="14" t="str">
        <f>IFERROR(__xludf.DUMMYFUNCTION("""COMPUTED_VALUE"""),"АИП-26")</f>
        <v>АИП-26</v>
      </c>
      <c r="C384" s="14" t="str">
        <f>IFERROR(__xludf.DUMMYFUNCTION("""COMPUTED_VALUE"""),"УДС")</f>
        <v>УДС</v>
      </c>
      <c r="D384" s="15"/>
      <c r="E384" s="14" t="str">
        <f>IFERROR(__xludf.DUMMYFUNCTION("""COMPUTED_VALUE"""),"Пешеходный переход через МЦД-1 и Дмитровское шоссе в районе д.5-д.7, корп.2 Дмитровское шоссе в районе д.5-д.7, корп.2")</f>
        <v>Пешеходный переход через МЦД-1 и Дмитровское шоссе в районе д.5-д.7, корп.2 Дмитровское шоссе в районе д.5-д.7, корп.2</v>
      </c>
      <c r="F384" s="25" t="str">
        <f>IFERROR(__xludf.DUMMYFUNCTION("""COMPUTED_VALUE"""),"#N/A")</f>
        <v>#N/A</v>
      </c>
      <c r="G384" s="6" t="str">
        <f>IFERROR(__xludf.DUMMYFUNCTION("""COMPUTED_VALUE"""),"#N/A")</f>
        <v>#N/A</v>
      </c>
      <c r="H384" s="6"/>
      <c r="I384" s="6"/>
      <c r="J384" s="50">
        <f>IFERROR(__xludf.DUMMYFUNCTION("""COMPUTED_VALUE"""),46.782)</f>
        <v>46.782</v>
      </c>
      <c r="K384" s="58">
        <f>IFERROR(__xludf.DUMMYFUNCTION("""COMPUTED_VALUE"""),45974.0)</f>
        <v>45974</v>
      </c>
      <c r="L384" s="6">
        <v>30.0</v>
      </c>
      <c r="M384" s="52">
        <v>46004.0</v>
      </c>
      <c r="N384" s="53" t="s">
        <v>711</v>
      </c>
      <c r="O384" s="6" t="s">
        <v>878</v>
      </c>
      <c r="P384" s="6"/>
      <c r="Q384" s="6"/>
      <c r="R384" s="6"/>
    </row>
    <row r="385">
      <c r="A385" s="31" t="str">
        <f>IFERROR(__xludf.DUMMYFUNCTION("""COMPUTED_VALUE"""),"403д")</f>
        <v>403д</v>
      </c>
      <c r="B385" s="14" t="str">
        <f>IFERROR(__xludf.DUMMYFUNCTION("""COMPUTED_VALUE"""),"АИП-26")</f>
        <v>АИП-26</v>
      </c>
      <c r="C385" s="14" t="str">
        <f>IFERROR(__xludf.DUMMYFUNCTION("""COMPUTED_VALUE"""),"УДС")</f>
        <v>УДС</v>
      </c>
      <c r="D385" s="15"/>
      <c r="E385" s="14" t="str">
        <f>IFERROR(__xludf.DUMMYFUNCTION("""COMPUTED_VALUE"""),"07-049-2 Дороги и инженерные коммуникации для кв-ла 1, 2 п. Бутово (2 пусковой комплекс) ул. Изюмская, д.52")</f>
        <v>07-049-2 Дороги и инженерные коммуникации для кв-ла 1, 2 п. Бутово (2 пусковой комплекс) ул. Изюмская, д.52</v>
      </c>
      <c r="F385" s="25" t="str">
        <f>IFERROR(__xludf.DUMMYFUNCTION("""COMPUTED_VALUE"""),"55.54312758533966")</f>
        <v>55.54312758533966</v>
      </c>
      <c r="G385" s="6" t="str">
        <f>IFERROR(__xludf.DUMMYFUNCTION("""COMPUTED_VALUE"""),"37.559514603842544")</f>
        <v>37.559514603842544</v>
      </c>
      <c r="H385" s="6"/>
      <c r="I385" s="6"/>
      <c r="J385" s="50">
        <f>IFERROR(__xludf.DUMMYFUNCTION("""COMPUTED_VALUE"""),51.23)</f>
        <v>51.23</v>
      </c>
      <c r="K385" s="58">
        <f>IFERROR(__xludf.DUMMYFUNCTION("""COMPUTED_VALUE"""),45954.0)</f>
        <v>45954</v>
      </c>
      <c r="L385" s="6">
        <v>14.0</v>
      </c>
      <c r="M385" s="52">
        <v>45968.0</v>
      </c>
      <c r="N385" s="53" t="s">
        <v>668</v>
      </c>
      <c r="O385" s="6" t="s">
        <v>879</v>
      </c>
      <c r="P385" s="6"/>
      <c r="Q385" s="6"/>
      <c r="R385" s="6"/>
    </row>
    <row r="386">
      <c r="A386" s="31" t="str">
        <f>IFERROR(__xludf.DUMMYFUNCTION("""COMPUTED_VALUE"""),"291")</f>
        <v>291</v>
      </c>
      <c r="B386" s="14" t="str">
        <f>IFERROR(__xludf.DUMMYFUNCTION("""COMPUTED_VALUE"""),"АИП-26")</f>
        <v>АИП-26</v>
      </c>
      <c r="C386" s="14" t="str">
        <f>IFERROR(__xludf.DUMMYFUNCTION("""COMPUTED_VALUE"""),"ОКС")</f>
        <v>ОКС</v>
      </c>
      <c r="D386" s="15"/>
      <c r="E386" s="14" t="str">
        <f>IFERROR(__xludf.DUMMYFUNCTION("""COMPUTED_VALUE"""),"Учебный корпус на 300 мест ул. Соколово-Мещерская, д. 2, к. 2, стр. 1")</f>
        <v>Учебный корпус на 300 мест ул. Соколово-Мещерская, д. 2, к. 2, стр. 1</v>
      </c>
      <c r="F386" s="25" t="str">
        <f>IFERROR(__xludf.DUMMYFUNCTION("""COMPUTED_VALUE"""),"55.891047")</f>
        <v>55.891047</v>
      </c>
      <c r="G386" s="6" t="str">
        <f>IFERROR(__xludf.DUMMYFUNCTION("""COMPUTED_VALUE"""),"37.389131")</f>
        <v>37.389131</v>
      </c>
      <c r="H386" s="18" t="str">
        <f>IFERROR(__xludf.DUMMYFUNCTION("""COMPUTED_VALUE"""),"https://docs.google.com/spreadsheets/d/19THEBTE9q0fhN2eApZr6BgenIvLGh0AckaYxHQfHk5w/edit?gid=1314726953#gid=1314726953")</f>
        <v>https://docs.google.com/spreadsheets/d/19THEBTE9q0fhN2eApZr6BgenIvLGh0AckaYxHQfHk5w/edit?gid=1314726953#gid=1314726953</v>
      </c>
      <c r="I386" s="19" t="str">
        <f>IFERROR(__xludf.DUMMYFUNCTION("""COMPUTED_VALUE"""),"https://disk.yandex.ru/client/disk/Осмотры%20объектов%20АНО%20СМГ/291.%20Соколово-Мещерская%20д2%20к2%20с1%20УК%20300")</f>
        <v>https://disk.yandex.ru/client/disk/Осмотры%20объектов%20АНО%20СМГ/291.%20Соколово-Мещерская%20д2%20к2%20с1%20УК%20300</v>
      </c>
      <c r="J386" s="50">
        <f>IFERROR(__xludf.DUMMYFUNCTION("""COMPUTED_VALUE"""),64.03155)</f>
        <v>64.03155</v>
      </c>
      <c r="K386" s="58">
        <f>IFERROR(__xludf.DUMMYFUNCTION("""COMPUTED_VALUE"""),45972.0)</f>
        <v>45972</v>
      </c>
      <c r="L386" s="6">
        <v>14.0</v>
      </c>
      <c r="M386" s="52">
        <v>45986.0</v>
      </c>
      <c r="N386" s="53" t="s">
        <v>711</v>
      </c>
      <c r="O386" s="19" t="s">
        <v>880</v>
      </c>
      <c r="P386" s="6"/>
      <c r="Q386" s="6"/>
      <c r="R386" s="6"/>
    </row>
    <row r="387">
      <c r="A387" s="31" t="str">
        <f>IFERROR(__xludf.DUMMYFUNCTION("""COMPUTED_VALUE"""),"288")</f>
        <v>288</v>
      </c>
      <c r="B387" s="14" t="str">
        <f>IFERROR(__xludf.DUMMYFUNCTION("""COMPUTED_VALUE"""),"АИП-26")</f>
        <v>АИП-26</v>
      </c>
      <c r="C387" s="14" t="str">
        <f>IFERROR(__xludf.DUMMYFUNCTION("""COMPUTED_VALUE"""),"ОКС")</f>
        <v>ОКС</v>
      </c>
      <c r="D387" s="15"/>
      <c r="E387" s="14" t="str">
        <f>IFERROR(__xludf.DUMMYFUNCTION("""COMPUTED_VALUE"""),"Школа на 825 мест р-н Бирюлево Восточное, ул. 6-я Радиальная, влд. 7, участок 18")</f>
        <v>Школа на 825 мест р-н Бирюлево Восточное, ул. 6-я Радиальная, влд. 7, участок 18</v>
      </c>
      <c r="F387" s="25" t="str">
        <f>IFERROR(__xludf.DUMMYFUNCTION("""COMPUTED_VALUE"""),"55.605921686896686")</f>
        <v>55.605921686896686</v>
      </c>
      <c r="G387" s="6" t="str">
        <f>IFERROR(__xludf.DUMMYFUNCTION("""COMPUTED_VALUE"""),"37.667039820189274")</f>
        <v>37.667039820189274</v>
      </c>
      <c r="H387" s="18" t="str">
        <f>IFERROR(__xludf.DUMMYFUNCTION("""COMPUTED_VALUE"""),"https://docs.google.com/spreadsheets/d/19THEBTE9q0fhN2eApZr6BgenIvLGh0AckaYxHQfHk5w/edit?gid=1865118876#gid=1865118876")</f>
        <v>https://docs.google.com/spreadsheets/d/19THEBTE9q0fhN2eApZr6BgenIvLGh0AckaYxHQfHk5w/edit?gid=1865118876#gid=1865118876</v>
      </c>
      <c r="I387" s="21" t="str">
        <f>IFERROR(__xludf.DUMMYFUNCTION("""COMPUTED_VALUE"""),"https://disk.yandex.ru/client/disk/%D0%9E%D1%81%D0%BC%D0%BE%D1%82%D1%80%D1%8B%20%D0%BE%D0%B1%D1%8A%D0%B5%D0%BA%D1%82%D0%BE%D0%B2%20%D0%90%D0%9D%D0%9E%20%D0%A1%D0%9C%D0%93/288.%206-%D1%8F%20%D0%A0%D0%B0%D0%B4%D0%B8%D0%B0%D0%BB%D1%8C%D0%BD%D0%B0%D1%8F%20%D0"&amp;"%B2%D0%BB%D0%B4.7%20%D1%83%D1%87%D0%B0%D1%81%D1%82%D0%BE%D0%BA%2018%20%D0%A8%D0%BA%D0%BE%D0%BB%D0%B0%20%D0%BD%D0%B0%20825%20%D0%BC%D0%B5%D1%81%D1%82")</f>
        <v>https://disk.yandex.ru/client/disk/%D0%9E%D1%81%D0%BC%D0%BE%D1%82%D1%80%D1%8B%20%D0%BE%D0%B1%D1%8A%D0%B5%D0%BA%D1%82%D0%BE%D0%B2%20%D0%90%D0%9D%D0%9E%20%D0%A1%D0%9C%D0%93/288.%206-%D1%8F%20%D0%A0%D0%B0%D0%B4%D0%B8%D0%B0%D0%BB%D1%8C%D0%BD%D0%B0%D1%8F%20%D0%B2%D0%BB%D0%B4.7%20%D1%83%D1%87%D0%B0%D1%81%D1%82%D0%BE%D0%BA%2018%20%D0%A8%D0%BA%D0%BE%D0%BB%D0%B0%20%D0%BD%D0%B0%20825%20%D0%BC%D0%B5%D1%81%D1%82</v>
      </c>
      <c r="J387" s="50">
        <f>IFERROR(__xludf.DUMMYFUNCTION("""COMPUTED_VALUE"""),72.21346750000001)</f>
        <v>72.2134675</v>
      </c>
      <c r="K387" s="58">
        <f>IFERROR(__xludf.DUMMYFUNCTION("""COMPUTED_VALUE"""),45972.0)</f>
        <v>45972</v>
      </c>
      <c r="L387" s="6">
        <v>14.0</v>
      </c>
      <c r="M387" s="52">
        <v>45986.0</v>
      </c>
      <c r="N387" s="53" t="s">
        <v>711</v>
      </c>
      <c r="O387" s="19" t="s">
        <v>881</v>
      </c>
      <c r="P387" s="6"/>
      <c r="Q387" s="6"/>
      <c r="R387" s="6"/>
    </row>
    <row r="388">
      <c r="A388" s="70" t="str">
        <f>IFERROR(__xludf.DUMMYFUNCTION("""COMPUTED_VALUE"""),"1150д (этап 1)")</f>
        <v>1150д (этап 1)</v>
      </c>
      <c r="B388" s="14" t="str">
        <f>IFERROR(__xludf.DUMMYFUNCTION("""COMPUTED_VALUE"""),"АИП-26")</f>
        <v>АИП-26</v>
      </c>
      <c r="C388" s="14" t="str">
        <f>IFERROR(__xludf.DUMMYFUNCTION("""COMPUTED_VALUE"""),"ОКС+УДС")</f>
        <v>ОКС+УДС</v>
      </c>
      <c r="D388" s="15"/>
      <c r="E388"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1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1 Нарофоминский г.о. Московской обл.</v>
      </c>
      <c r="F388" s="25" t="str">
        <f>IFERROR(__xludf.DUMMYFUNCTION("""COMPUTED_VALUE"""),"55.3235038033209")</f>
        <v>55.3235038033209</v>
      </c>
      <c r="G388" s="6" t="str">
        <f>IFERROR(__xludf.DUMMYFUNCTION("""COMPUTED_VALUE"""),"35.963989539426755")</f>
        <v>35.963989539426755</v>
      </c>
      <c r="H388" s="6"/>
      <c r="I388" s="6"/>
      <c r="J388" s="50">
        <f>IFERROR(__xludf.DUMMYFUNCTION("""COMPUTED_VALUE"""),82.80000000000001)</f>
        <v>82.8</v>
      </c>
      <c r="K388" s="58">
        <f>IFERROR(__xludf.DUMMYFUNCTION("""COMPUTED_VALUE"""),45894.0)</f>
        <v>45894</v>
      </c>
      <c r="L388" s="6">
        <v>14.0</v>
      </c>
      <c r="M388" s="52">
        <v>45908.0</v>
      </c>
      <c r="N388" s="53" t="s">
        <v>668</v>
      </c>
      <c r="O388" s="6" t="s">
        <v>882</v>
      </c>
      <c r="P388" s="6"/>
      <c r="Q388" s="6"/>
      <c r="R388" s="6"/>
    </row>
    <row r="389">
      <c r="A389" s="70" t="str">
        <f>IFERROR(__xludf.DUMMYFUNCTION("""COMPUTED_VALUE"""),"1150д (этап 2)")</f>
        <v>1150д (этап 2)</v>
      </c>
      <c r="B389" s="14" t="str">
        <f>IFERROR(__xludf.DUMMYFUNCTION("""COMPUTED_VALUE"""),"АИП-26")</f>
        <v>АИП-26</v>
      </c>
      <c r="C389" s="14" t="str">
        <f>IFERROR(__xludf.DUMMYFUNCTION("""COMPUTED_VALUE"""),"ОКС+УДС")</f>
        <v>ОКС+УДС</v>
      </c>
      <c r="D389" s="15"/>
      <c r="E389"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2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2 Нарофоминский г.о. Московской обл.</v>
      </c>
      <c r="F389" s="25" t="str">
        <f>IFERROR(__xludf.DUMMYFUNCTION("""COMPUTED_VALUE"""),"55.3235038033209")</f>
        <v>55.3235038033209</v>
      </c>
      <c r="G389" s="6" t="str">
        <f>IFERROR(__xludf.DUMMYFUNCTION("""COMPUTED_VALUE"""),"35.963989539426755")</f>
        <v>35.963989539426755</v>
      </c>
      <c r="H389" s="6"/>
      <c r="I389" s="6"/>
      <c r="J389" s="50">
        <f>IFERROR(__xludf.DUMMYFUNCTION("""COMPUTED_VALUE"""),81.30000000000001)</f>
        <v>81.3</v>
      </c>
      <c r="K389" s="58">
        <f>IFERROR(__xludf.DUMMYFUNCTION("""COMPUTED_VALUE"""),45894.0)</f>
        <v>45894</v>
      </c>
      <c r="L389" s="6">
        <v>14.0</v>
      </c>
      <c r="M389" s="52">
        <v>45908.0</v>
      </c>
      <c r="N389" s="53" t="s">
        <v>668</v>
      </c>
      <c r="O389" s="6" t="s">
        <v>882</v>
      </c>
      <c r="P389" s="6"/>
      <c r="Q389" s="6"/>
      <c r="R389" s="6"/>
    </row>
    <row r="390">
      <c r="A390" s="70" t="str">
        <f>IFERROR(__xludf.DUMMYFUNCTION("""COMPUTED_VALUE"""),"1150д (этап 3)")</f>
        <v>1150д (этап 3)</v>
      </c>
      <c r="B390" s="14" t="str">
        <f>IFERROR(__xludf.DUMMYFUNCTION("""COMPUTED_VALUE"""),"АИП-26")</f>
        <v>АИП-26</v>
      </c>
      <c r="C390" s="14" t="str">
        <f>IFERROR(__xludf.DUMMYFUNCTION("""COMPUTED_VALUE"""),"ОКС+УДС")</f>
        <v>ОКС+УДС</v>
      </c>
      <c r="D390" s="15"/>
      <c r="E390"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3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3 Нарофоминский г.о. Московской обл.</v>
      </c>
      <c r="F390" s="25" t="str">
        <f>IFERROR(__xludf.DUMMYFUNCTION("""COMPUTED_VALUE"""),"55.3235038033209")</f>
        <v>55.3235038033209</v>
      </c>
      <c r="G390" s="6" t="str">
        <f>IFERROR(__xludf.DUMMYFUNCTION("""COMPUTED_VALUE"""),"35.963989539426755")</f>
        <v>35.963989539426755</v>
      </c>
      <c r="H390" s="6"/>
      <c r="I390" s="6"/>
      <c r="J390" s="50">
        <f>IFERROR(__xludf.DUMMYFUNCTION("""COMPUTED_VALUE"""),81.30000000000001)</f>
        <v>81.3</v>
      </c>
      <c r="K390" s="58">
        <f>IFERROR(__xludf.DUMMYFUNCTION("""COMPUTED_VALUE"""),45894.0)</f>
        <v>45894</v>
      </c>
      <c r="L390" s="6">
        <v>14.0</v>
      </c>
      <c r="M390" s="52">
        <v>45908.0</v>
      </c>
      <c r="N390" s="53" t="s">
        <v>668</v>
      </c>
      <c r="O390" s="6" t="s">
        <v>882</v>
      </c>
      <c r="P390" s="6"/>
      <c r="Q390" s="6"/>
      <c r="R390" s="6"/>
    </row>
    <row r="391">
      <c r="A391" s="31" t="str">
        <f>IFERROR(__xludf.DUMMYFUNCTION("""COMPUTED_VALUE"""),"021")</f>
        <v>021</v>
      </c>
      <c r="B391" s="14" t="str">
        <f>IFERROR(__xludf.DUMMYFUNCTION("""COMPUTED_VALUE"""),"АИП-26")</f>
        <v>АИП-26</v>
      </c>
      <c r="C391" s="14" t="str">
        <f>IFERROR(__xludf.DUMMYFUNCTION("""COMPUTED_VALUE"""),"ОКС")</f>
        <v>ОКС</v>
      </c>
      <c r="D391" s="15"/>
      <c r="E391" s="14" t="str">
        <f>IFERROR(__xludf.DUMMYFUNCTION("""COMPUTED_VALUE"""),"Дошкольное отделение на 300 мест с бассейном, пос. Московский, вблизи д. Лапшинка поселение Московский, вблизи дер. Лапшинка")</f>
        <v>Дошкольное отделение на 300 мест с бассейном, пос. Московский, вблизи д. Лапшинка поселение Московский, вблизи дер. Лапшинка</v>
      </c>
      <c r="F391" s="25" t="str">
        <f>IFERROR(__xludf.DUMMYFUNCTION("""COMPUTED_VALUE"""),"55.62025314949007")</f>
        <v>55.62025314949007</v>
      </c>
      <c r="G391" s="6" t="str">
        <f>IFERROR(__xludf.DUMMYFUNCTION("""COMPUTED_VALUE"""),"37.30968234127762")</f>
        <v>37.30968234127762</v>
      </c>
      <c r="H391" s="18" t="str">
        <f>IFERROR(__xludf.DUMMYFUNCTION("""COMPUTED_VALUE"""),"https://docs.google.com/spreadsheets/d/19THEBTE9q0fhN2eApZr6BgenIvLGh0AckaYxHQfHk5w/edit?gid=540806573#gid=540806573")</f>
        <v>https://docs.google.com/spreadsheets/d/19THEBTE9q0fhN2eApZr6BgenIvLGh0AckaYxHQfHk5w/edit?gid=540806573#gid=540806573</v>
      </c>
      <c r="I391" s="19" t="str">
        <f>IFERROR(__xludf.DUMMYFUNCTION("""COMPUTED_VALUE"""),"https://disk.yandex.ru/client/disk/Осмотры%20объектов%20АНО%20СМГ/021.%20ДОУ%20300%20д.Лапшинка")</f>
        <v>https://disk.yandex.ru/client/disk/Осмотры%20объектов%20АНО%20СМГ/021.%20ДОУ%20300%20д.Лапшинка</v>
      </c>
      <c r="J391" s="50">
        <f>IFERROR(__xludf.DUMMYFUNCTION("""COMPUTED_VALUE"""),0.5760000000000001)</f>
        <v>0.576</v>
      </c>
      <c r="K391" s="58">
        <f>IFERROR(__xludf.DUMMYFUNCTION("""COMPUTED_VALUE"""),45951.0)</f>
        <v>45951</v>
      </c>
      <c r="L391" s="6">
        <v>30.0</v>
      </c>
      <c r="M391" s="52">
        <v>45981.0</v>
      </c>
      <c r="N391" s="53" t="s">
        <v>701</v>
      </c>
      <c r="O391" s="19" t="s">
        <v>883</v>
      </c>
      <c r="P391" s="6"/>
      <c r="Q391" s="6"/>
      <c r="R391" s="6"/>
    </row>
    <row r="392">
      <c r="A392" s="31" t="str">
        <f>IFERROR(__xludf.DUMMYFUNCTION("""COMPUTED_VALUE"""),"374д")</f>
        <v>374д</v>
      </c>
      <c r="B392" s="14" t="str">
        <f>IFERROR(__xludf.DUMMYFUNCTION("""COMPUTED_VALUE"""),"АИП-26")</f>
        <v>АИП-26</v>
      </c>
      <c r="C392" s="14" t="str">
        <f>IFERROR(__xludf.DUMMYFUNCTION("""COMPUTED_VALUE"""),"УДС")</f>
        <v>УДС</v>
      </c>
      <c r="D392" s="15"/>
      <c r="E392" s="14" t="str">
        <f>IFERROR(__xludf.DUMMYFUNCTION("""COMPUTED_VALUE"""),"Строительство искусственного сооружения через железнодорожные пути, соединяющего ул. Костромскую и Юрловский пр-д от ул. Костромская до Юрловского проезда, через Казеевский пер.")</f>
        <v>Строительство искусственного сооружения через железнодорожные пути, соединяющего ул. Костромскую и Юрловский пр-д от ул. Костромская до Юрловского проезда, через Казеевский пер.</v>
      </c>
      <c r="F392" s="25" t="str">
        <f>IFERROR(__xludf.DUMMYFUNCTION("""COMPUTED_VALUE"""),"#N/A")</f>
        <v>#N/A</v>
      </c>
      <c r="G392" s="6" t="str">
        <f>IFERROR(__xludf.DUMMYFUNCTION("""COMPUTED_VALUE"""),"#N/A")</f>
        <v>#N/A</v>
      </c>
      <c r="H392" s="6"/>
      <c r="I392" s="6"/>
      <c r="J392" s="50">
        <f>IFERROR(__xludf.DUMMYFUNCTION("""COMPUTED_VALUE"""),61.025439999999996)</f>
        <v>61.02544</v>
      </c>
      <c r="K392" s="58">
        <f>IFERROR(__xludf.DUMMYFUNCTION("""COMPUTED_VALUE"""),45972.0)</f>
        <v>45972</v>
      </c>
      <c r="L392" s="6">
        <v>14.0</v>
      </c>
      <c r="M392" s="52">
        <v>45986.0</v>
      </c>
      <c r="N392" s="53" t="s">
        <v>711</v>
      </c>
      <c r="O392" s="6" t="s">
        <v>884</v>
      </c>
      <c r="P392" s="6"/>
      <c r="Q392" s="6"/>
      <c r="R392" s="6"/>
    </row>
    <row r="393">
      <c r="A393" s="31" t="str">
        <f>IFERROR(__xludf.DUMMYFUNCTION("""COMPUTED_VALUE"""),"226д (сводный)")</f>
        <v>226д (сводный)</v>
      </c>
      <c r="B393" s="14" t="str">
        <f>IFERROR(__xludf.DUMMYFUNCTION("""COMPUTED_VALUE"""),"АИП-26")</f>
        <v>АИП-26</v>
      </c>
      <c r="C393" s="14" t="str">
        <f>IFERROR(__xludf.DUMMYFUNCTION("""COMPUTED_VALUE"""),"УДС")</f>
        <v>УДС</v>
      </c>
      <c r="D393" s="15"/>
      <c r="E393"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3,4"&amp;",4.1.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3,4,4.1. ул. Сельскохозяйственная, ул. Вильгельма Пика, ул. Декабристов</v>
      </c>
      <c r="F393" s="25" t="str">
        <f>IFERROR(__xludf.DUMMYFUNCTION("""COMPUTED_VALUE"""),"#N/A")</f>
        <v>#N/A</v>
      </c>
      <c r="G393" s="6" t="str">
        <f>IFERROR(__xludf.DUMMYFUNCTION("""COMPUTED_VALUE"""),"#N/A")</f>
        <v>#N/A</v>
      </c>
      <c r="H393" s="6"/>
      <c r="I393" s="6"/>
      <c r="J393" s="50"/>
      <c r="K393" s="58"/>
      <c r="L393" s="6">
        <v>30.0</v>
      </c>
      <c r="M393" s="52" t="s">
        <v>655</v>
      </c>
      <c r="N393" s="53" t="s">
        <v>698</v>
      </c>
      <c r="O393" s="6"/>
      <c r="P393" s="6"/>
      <c r="Q393" s="6"/>
      <c r="R393" s="6"/>
    </row>
    <row r="394">
      <c r="A394" s="31" t="str">
        <f>IFERROR(__xludf.DUMMYFUNCTION("""COMPUTED_VALUE"""),"226д (этап 3)")</f>
        <v>226д (этап 3)</v>
      </c>
      <c r="B394" s="14"/>
      <c r="C394" s="14" t="str">
        <f>IFERROR(__xludf.DUMMYFUNCTION("""COMPUTED_VALUE"""),"УДС")</f>
        <v>УДС</v>
      </c>
      <c r="D394" s="15"/>
      <c r="E394"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 у"&amp;"л.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 ул. Сельскохозяйственная, ул. Вильгельма Пика, ул. Декабристов</v>
      </c>
      <c r="F394" s="25" t="str">
        <f>IFERROR(__xludf.DUMMYFUNCTION("""COMPUTED_VALUE"""),"#N/A")</f>
        <v>#N/A</v>
      </c>
      <c r="G394" s="6" t="str">
        <f>IFERROR(__xludf.DUMMYFUNCTION("""COMPUTED_VALUE"""),"#N/A")</f>
        <v>#N/A</v>
      </c>
      <c r="H394" s="6"/>
      <c r="I394" s="6"/>
      <c r="J394" s="50"/>
      <c r="K394" s="58"/>
      <c r="L394" s="6">
        <v>30.0</v>
      </c>
      <c r="M394" s="52" t="s">
        <v>655</v>
      </c>
      <c r="N394" s="53" t="s">
        <v>698</v>
      </c>
      <c r="O394" s="6" t="s">
        <v>885</v>
      </c>
      <c r="P394" s="6"/>
      <c r="Q394" s="6"/>
      <c r="R394" s="6"/>
    </row>
    <row r="395">
      <c r="A395" s="31" t="str">
        <f>IFERROR(__xludf.DUMMYFUNCTION("""COMPUTED_VALUE"""),"226д (этап 4)")</f>
        <v>226д (этап 4)</v>
      </c>
      <c r="B395" s="14"/>
      <c r="C395" s="14" t="str">
        <f>IFERROR(__xludf.DUMMYFUNCTION("""COMPUTED_VALUE"""),"УДС")</f>
        <v>УДС</v>
      </c>
      <c r="D395" s="15"/>
      <c r="E395"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3,4"&amp;",4.1.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3,4,4.1. ул. Сельскохозяйственная, ул. Вильгельма Пика, ул. Декабристов</v>
      </c>
      <c r="F395" s="25" t="str">
        <f>IFERROR(__xludf.DUMMYFUNCTION("""COMPUTED_VALUE"""),"#N/A")</f>
        <v>#N/A</v>
      </c>
      <c r="G395" s="6" t="str">
        <f>IFERROR(__xludf.DUMMYFUNCTION("""COMPUTED_VALUE"""),"#N/A")</f>
        <v>#N/A</v>
      </c>
      <c r="H395" s="6"/>
      <c r="I395" s="6"/>
      <c r="J395" s="50"/>
      <c r="K395" s="58"/>
      <c r="L395" s="6">
        <v>30.0</v>
      </c>
      <c r="M395" s="52" t="s">
        <v>655</v>
      </c>
      <c r="N395" s="53" t="s">
        <v>698</v>
      </c>
      <c r="O395" s="6" t="s">
        <v>885</v>
      </c>
      <c r="P395" s="6"/>
      <c r="Q395" s="6"/>
      <c r="R395" s="6"/>
    </row>
    <row r="396">
      <c r="A396" s="31" t="str">
        <f>IFERROR(__xludf.DUMMYFUNCTION("""COMPUTED_VALUE"""),"226д (этап 4.1)")</f>
        <v>226д (этап 4.1)</v>
      </c>
      <c r="B396" s="14"/>
      <c r="C396" s="14" t="str">
        <f>IFERROR(__xludf.DUMMYFUNCTION("""COMPUTED_VALUE"""),"УДС")</f>
        <v>УДС</v>
      </c>
      <c r="D396" s="15"/>
      <c r="E396"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4.1"&amp;"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4.1 ул. Сельскохозяйственная, ул. Вильгельма Пика, ул. Декабристов</v>
      </c>
      <c r="F396" s="25" t="str">
        <f>IFERROR(__xludf.DUMMYFUNCTION("""COMPUTED_VALUE"""),"#N/A")</f>
        <v>#N/A</v>
      </c>
      <c r="G396" s="6" t="str">
        <f>IFERROR(__xludf.DUMMYFUNCTION("""COMPUTED_VALUE"""),"#N/A")</f>
        <v>#N/A</v>
      </c>
      <c r="H396" s="6"/>
      <c r="I396" s="6"/>
      <c r="J396" s="50"/>
      <c r="K396" s="58"/>
      <c r="L396" s="6">
        <v>30.0</v>
      </c>
      <c r="M396" s="52" t="s">
        <v>655</v>
      </c>
      <c r="N396" s="53" t="s">
        <v>698</v>
      </c>
      <c r="O396" s="6" t="s">
        <v>885</v>
      </c>
      <c r="P396" s="6"/>
      <c r="Q396" s="6"/>
      <c r="R396" s="6"/>
    </row>
    <row r="397">
      <c r="A397" s="31" t="str">
        <f>IFERROR(__xludf.DUMMYFUNCTION("""COMPUTED_VALUE"""),"1153д (этап 5.1.3)")</f>
        <v>1153д (этап 5.1.3)</v>
      </c>
      <c r="B397" s="14"/>
      <c r="C397" s="14" t="str">
        <f>IFERROR(__xludf.DUMMYFUNCTION("""COMPUTED_VALUE"""),"УДС")</f>
        <v>УДС</v>
      </c>
      <c r="D397" s="15"/>
      <c r="E397" s="14" t="str">
        <f>IFERROR(__xludf.DUMMYFUNCTION("""COMPUTED_VALUE"""),"РВУ ""Станиславль"" этап 5.1.3 п.Десеновское")</f>
        <v>РВУ "Станиславль" этап 5.1.3 п.Десеновское</v>
      </c>
      <c r="F397" s="25" t="str">
        <f>IFERROR(__xludf.DUMMYFUNCTION("""COMPUTED_VALUE"""),"55.523077578675746")</f>
        <v>55.523077578675746</v>
      </c>
      <c r="G397" s="6" t="str">
        <f>IFERROR(__xludf.DUMMYFUNCTION("""COMPUTED_VALUE"""),"37.38505719530739")</f>
        <v>37.38505719530739</v>
      </c>
      <c r="H397" s="6"/>
      <c r="I397" s="6"/>
      <c r="J397" s="50">
        <f>IFERROR(__xludf.DUMMYFUNCTION("""COMPUTED_VALUE"""),100.0)</f>
        <v>100</v>
      </c>
      <c r="K397" s="58">
        <f>IFERROR(__xludf.DUMMYFUNCTION("""COMPUTED_VALUE"""),45887.0)</f>
        <v>45887</v>
      </c>
      <c r="L397" s="6" t="s">
        <v>654</v>
      </c>
      <c r="M397" s="52" t="s">
        <v>655</v>
      </c>
      <c r="N397" s="53" t="s">
        <v>656</v>
      </c>
      <c r="O397" s="6" t="s">
        <v>886</v>
      </c>
      <c r="P397" s="6"/>
      <c r="Q397" s="6"/>
      <c r="R397" s="6"/>
    </row>
    <row r="398">
      <c r="A398" s="31" t="str">
        <f>IFERROR(__xludf.DUMMYFUNCTION("""COMPUTED_VALUE"""),"1153д (этап 1)")</f>
        <v>1153д (этап 1)</v>
      </c>
      <c r="B398" s="14" t="str">
        <f>IFERROR(__xludf.DUMMYFUNCTION("""COMPUTED_VALUE"""),"АИП-26")</f>
        <v>АИП-26</v>
      </c>
      <c r="C398" s="14" t="str">
        <f>IFERROR(__xludf.DUMMYFUNCTION("""COMPUTED_VALUE"""),"УДС")</f>
        <v>УДС</v>
      </c>
      <c r="D398" s="15"/>
      <c r="E398" s="14" t="str">
        <f>IFERROR(__xludf.DUMMYFUNCTION("""COMPUTED_VALUE"""),"РВУ ""Станиславль"" этап 1 п.Десеновское")</f>
        <v>РВУ "Станиславль" этап 1 п.Десеновское</v>
      </c>
      <c r="F398" s="25" t="str">
        <f>IFERROR(__xludf.DUMMYFUNCTION("""COMPUTED_VALUE"""),"55.523077578675746")</f>
        <v>55.523077578675746</v>
      </c>
      <c r="G398" s="6" t="str">
        <f>IFERROR(__xludf.DUMMYFUNCTION("""COMPUTED_VALUE"""),"37.38505719530739")</f>
        <v>37.38505719530739</v>
      </c>
      <c r="H398" s="6"/>
      <c r="I398" s="6"/>
      <c r="J398" s="50">
        <f>IFERROR(__xludf.DUMMYFUNCTION("""COMPUTED_VALUE"""),74.26239500000001)</f>
        <v>74.262395</v>
      </c>
      <c r="K398" s="58">
        <f>IFERROR(__xludf.DUMMYFUNCTION("""COMPUTED_VALUE"""),45954.0)</f>
        <v>45954</v>
      </c>
      <c r="L398" s="6">
        <v>14.0</v>
      </c>
      <c r="M398" s="52">
        <v>45968.0</v>
      </c>
      <c r="N398" s="53" t="s">
        <v>668</v>
      </c>
      <c r="O398" s="6" t="s">
        <v>886</v>
      </c>
      <c r="P398" s="6"/>
      <c r="Q398" s="6"/>
      <c r="R398" s="6"/>
    </row>
    <row r="399">
      <c r="A399" s="31" t="str">
        <f>IFERROR(__xludf.DUMMYFUNCTION("""COMPUTED_VALUE"""),"1153д (этап 2)")</f>
        <v>1153д (этап 2)</v>
      </c>
      <c r="B399" s="14" t="str">
        <f>IFERROR(__xludf.DUMMYFUNCTION("""COMPUTED_VALUE"""),"АИП-26")</f>
        <v>АИП-26</v>
      </c>
      <c r="C399" s="14" t="str">
        <f>IFERROR(__xludf.DUMMYFUNCTION("""COMPUTED_VALUE"""),"УДС")</f>
        <v>УДС</v>
      </c>
      <c r="D399" s="15"/>
      <c r="E399" s="14" t="str">
        <f>IFERROR(__xludf.DUMMYFUNCTION("""COMPUTED_VALUE"""),"РВУ ""Станиславль"" этап 2 п.Десеновское")</f>
        <v>РВУ "Станиславль" этап 2 п.Десеновское</v>
      </c>
      <c r="F399" s="25" t="str">
        <f>IFERROR(__xludf.DUMMYFUNCTION("""COMPUTED_VALUE"""),"55.523077578675746")</f>
        <v>55.523077578675746</v>
      </c>
      <c r="G399" s="6" t="str">
        <f>IFERROR(__xludf.DUMMYFUNCTION("""COMPUTED_VALUE"""),"37.38505719530739")</f>
        <v>37.38505719530739</v>
      </c>
      <c r="H399" s="6"/>
      <c r="I399" s="6"/>
      <c r="J399" s="50">
        <f>IFERROR(__xludf.DUMMYFUNCTION("""COMPUTED_VALUE"""),82.625)</f>
        <v>82.625</v>
      </c>
      <c r="K399" s="58">
        <f>IFERROR(__xludf.DUMMYFUNCTION("""COMPUTED_VALUE"""),45954.0)</f>
        <v>45954</v>
      </c>
      <c r="L399" s="6">
        <v>14.0</v>
      </c>
      <c r="M399" s="52">
        <v>45968.0</v>
      </c>
      <c r="N399" s="53" t="s">
        <v>668</v>
      </c>
      <c r="O399" s="6" t="s">
        <v>886</v>
      </c>
      <c r="P399" s="6"/>
      <c r="Q399" s="6"/>
      <c r="R399" s="6"/>
    </row>
    <row r="400">
      <c r="A400" s="31" t="str">
        <f>IFERROR(__xludf.DUMMYFUNCTION("""COMPUTED_VALUE"""),"286д (сводный)")</f>
        <v>286д (сводный)</v>
      </c>
      <c r="B400" s="14" t="str">
        <f>IFERROR(__xludf.DUMMYFUNCTION("""COMPUTED_VALUE"""),"АИП-26")</f>
        <v>АИП-26</v>
      </c>
      <c r="C400" s="14" t="str">
        <f>IFERROR(__xludf.DUMMYFUNCTION("""COMPUTED_VALUE"""),"УДС")</f>
        <v>УДС</v>
      </c>
      <c r="D400" s="15"/>
      <c r="E400"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1.3. ")</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1.3. </v>
      </c>
      <c r="F400" s="25" t="str">
        <f>IFERROR(__xludf.DUMMYFUNCTION("""COMPUTED_VALUE"""),"#N/A")</f>
        <v>#N/A</v>
      </c>
      <c r="G400" s="6" t="str">
        <f>IFERROR(__xludf.DUMMYFUNCTION("""COMPUTED_VALUE"""),"#N/A")</f>
        <v>#N/A</v>
      </c>
      <c r="H400" s="6"/>
      <c r="I400" s="6"/>
      <c r="J400" s="50"/>
      <c r="K400" s="58"/>
      <c r="L400" s="6">
        <v>30.0</v>
      </c>
      <c r="M400" s="52" t="s">
        <v>655</v>
      </c>
      <c r="N400" s="53" t="s">
        <v>698</v>
      </c>
      <c r="O400" s="6"/>
      <c r="P400" s="6"/>
      <c r="Q400" s="6"/>
      <c r="R400" s="6"/>
    </row>
    <row r="401">
      <c r="A401" s="31" t="str">
        <f>IFERROR(__xludf.DUMMYFUNCTION("""COMPUTED_VALUE"""),"286д (этап 1.1.2)")</f>
        <v>286д (этап 1.1.2)</v>
      </c>
      <c r="B401" s="14"/>
      <c r="C401" s="14" t="str">
        <f>IFERROR(__xludf.DUMMYFUNCTION("""COMPUTED_VALUE"""),"УДС")</f>
        <v>УДС</v>
      </c>
      <c r="D401" s="15"/>
      <c r="E401"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Кутузовское шоссе, Середниковская улица и улица Дмитрия Разумовского")</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Кутузовское шоссе, Середниковская улица и улица Дмитрия Разумовского</v>
      </c>
      <c r="F401" s="25" t="str">
        <f>IFERROR(__xludf.DUMMYFUNCTION("""COMPUTED_VALUE"""),"#N/A")</f>
        <v>#N/A</v>
      </c>
      <c r="G401" s="6" t="str">
        <f>IFERROR(__xludf.DUMMYFUNCTION("""COMPUTED_VALUE"""),"#N/A")</f>
        <v>#N/A</v>
      </c>
      <c r="H401" s="6"/>
      <c r="I401" s="6"/>
      <c r="J401" s="50"/>
      <c r="K401" s="58"/>
      <c r="L401" s="6">
        <v>30.0</v>
      </c>
      <c r="M401" s="52" t="s">
        <v>655</v>
      </c>
      <c r="N401" s="53" t="s">
        <v>698</v>
      </c>
      <c r="O401" s="6" t="s">
        <v>887</v>
      </c>
      <c r="P401" s="6"/>
      <c r="Q401" s="6"/>
      <c r="R401" s="6"/>
    </row>
    <row r="402">
      <c r="A402" s="31" t="str">
        <f>IFERROR(__xludf.DUMMYFUNCTION("""COMPUTED_VALUE"""),"286д (этап 1.3)")</f>
        <v>286д (этап 1.3)</v>
      </c>
      <c r="B402" s="14"/>
      <c r="C402" s="14" t="str">
        <f>IFERROR(__xludf.DUMMYFUNCTION("""COMPUTED_VALUE"""),"УДС")</f>
        <v>УДС</v>
      </c>
      <c r="D402" s="15"/>
      <c r="E402"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1.3 Кутузовское шоссе, Середниковская улица и улица Дмитрия Разумовского")</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1.3 Кутузовское шоссе, Середниковская улица и улица Дмитрия Разумовского</v>
      </c>
      <c r="F402" s="25" t="str">
        <f>IFERROR(__xludf.DUMMYFUNCTION("""COMPUTED_VALUE"""),"#N/A")</f>
        <v>#N/A</v>
      </c>
      <c r="G402" s="6" t="str">
        <f>IFERROR(__xludf.DUMMYFUNCTION("""COMPUTED_VALUE"""),"#N/A")</f>
        <v>#N/A</v>
      </c>
      <c r="H402" s="6"/>
      <c r="I402" s="6"/>
      <c r="J402" s="50"/>
      <c r="K402" s="58"/>
      <c r="L402" s="6">
        <v>30.0</v>
      </c>
      <c r="M402" s="52" t="s">
        <v>655</v>
      </c>
      <c r="N402" s="53" t="s">
        <v>698</v>
      </c>
      <c r="O402" s="6" t="s">
        <v>888</v>
      </c>
      <c r="P402" s="6"/>
      <c r="Q402" s="6"/>
      <c r="R402" s="6"/>
    </row>
    <row r="403">
      <c r="A403" s="31" t="str">
        <f>IFERROR(__xludf.DUMMYFUNCTION("""COMPUTED_VALUE"""),"289")</f>
        <v>289</v>
      </c>
      <c r="B403" s="14" t="str">
        <f>IFERROR(__xludf.DUMMYFUNCTION("""COMPUTED_VALUE"""),"АИП-26")</f>
        <v>АИП-26</v>
      </c>
      <c r="C403" s="14" t="str">
        <f>IFERROR(__xludf.DUMMYFUNCTION("""COMPUTED_VALUE"""),"ОКС")</f>
        <v>ОКС</v>
      </c>
      <c r="D403" s="15"/>
      <c r="E403" s="14" t="str">
        <f>IFERROR(__xludf.DUMMYFUNCTION("""COMPUTED_VALUE"""),"Школа на 825 мест р-н Бирюлево Восточное, ул. 6-я Радиальная, влд. 7, участок 20")</f>
        <v>Школа на 825 мест р-н Бирюлево Восточное, ул. 6-я Радиальная, влд. 7, участок 20</v>
      </c>
      <c r="F403" s="25" t="str">
        <f>IFERROR(__xludf.DUMMYFUNCTION("""COMPUTED_VALUE"""),"55.60541624503389")</f>
        <v>55.60541624503389</v>
      </c>
      <c r="G403" s="6" t="str">
        <f>IFERROR(__xludf.DUMMYFUNCTION("""COMPUTED_VALUE"""),"37.6541506745906")</f>
        <v>37.6541506745906</v>
      </c>
      <c r="H403" s="18" t="str">
        <f>IFERROR(__xludf.DUMMYFUNCTION("""COMPUTED_VALUE"""),"https://docs.google.com/spreadsheets/d/19THEBTE9q0fhN2eApZr6BgenIvLGh0AckaYxHQfHk5w/edit?gid=1318424610#gid=1318424610")</f>
        <v>https://docs.google.com/spreadsheets/d/19THEBTE9q0fhN2eApZr6BgenIvLGh0AckaYxHQfHk5w/edit?gid=1318424610#gid=1318424610</v>
      </c>
      <c r="I403" s="19" t="str">
        <f>IFERROR(__xludf.DUMMYFUNCTION("""COMPUTED_VALUE"""),"https://disk.yandex.ru/client/disk/Осмотры%20объектов%20АНО%20СМГ/289.%206-я%20Радиальная%2C%20влд.%207%2C%20участок%2020.%20Школа%20на%20825%20мест")</f>
        <v>https://disk.yandex.ru/client/disk/Осмотры%20объектов%20АНО%20СМГ/289.%206-я%20Радиальная%2C%20влд.%207%2C%20участок%2020.%20Школа%20на%20825%20мест</v>
      </c>
      <c r="J403" s="50">
        <f>IFERROR(__xludf.DUMMYFUNCTION("""COMPUTED_VALUE"""),43.4603)</f>
        <v>43.4603</v>
      </c>
      <c r="K403" s="58">
        <f>IFERROR(__xludf.DUMMYFUNCTION("""COMPUTED_VALUE"""),45968.0)</f>
        <v>45968</v>
      </c>
      <c r="L403" s="6">
        <v>30.0</v>
      </c>
      <c r="M403" s="52">
        <v>45998.0</v>
      </c>
      <c r="N403" s="53" t="s">
        <v>711</v>
      </c>
      <c r="O403" s="19" t="s">
        <v>889</v>
      </c>
      <c r="P403" s="6"/>
      <c r="Q403" s="6"/>
      <c r="R403" s="6"/>
    </row>
    <row r="404">
      <c r="A404" s="31" t="str">
        <f>IFERROR(__xludf.DUMMYFUNCTION("""COMPUTED_VALUE"""),"286")</f>
        <v>286</v>
      </c>
      <c r="B404" s="14" t="str">
        <f>IFERROR(__xludf.DUMMYFUNCTION("""COMPUTED_VALUE"""),"АИП-26")</f>
        <v>АИП-26</v>
      </c>
      <c r="C404" s="14" t="str">
        <f>IFERROR(__xludf.DUMMYFUNCTION("""COMPUTED_VALUE"""),"ОКС")</f>
        <v>ОКС</v>
      </c>
      <c r="D404" s="71"/>
      <c r="E404" s="14" t="str">
        <f>IFERROR(__xludf.DUMMYFUNCTION("""COMPUTED_VALUE"""),"Школа на 1000 мест р-н Даниловский, ул. Восточная, влд. 4А")</f>
        <v>Школа на 1000 мест р-н Даниловский, ул. Восточная, влд. 4А</v>
      </c>
      <c r="F404" s="25" t="str">
        <f>IFERROR(__xludf.DUMMYFUNCTION("""COMPUTED_VALUE"""),"55.71805864742407")</f>
        <v>55.71805864742407</v>
      </c>
      <c r="G404" s="6" t="str">
        <f>IFERROR(__xludf.DUMMYFUNCTION("""COMPUTED_VALUE"""),"37.657010748687185")</f>
        <v>37.657010748687185</v>
      </c>
      <c r="H404" s="18" t="str">
        <f>IFERROR(__xludf.DUMMYFUNCTION("""COMPUTED_VALUE"""),"https://docs.google.com/spreadsheets/d/19THEBTE9q0fhN2eApZr6BgenIvLGh0AckaYxHQfHk5w/edit?gid=68210689#gid=68210689")</f>
        <v>https://docs.google.com/spreadsheets/d/19THEBTE9q0fhN2eApZr6BgenIvLGh0AckaYxHQfHk5w/edit?gid=68210689#gid=68210689</v>
      </c>
      <c r="I404" s="19" t="str">
        <f>IFERROR(__xludf.DUMMYFUNCTION("""COMPUTED_VALUE"""),"https://disk.yandex.ru/client/disk/Осмотры%20объектов%20АНО%20СМГ/286.%20Школа%20на%201000%20мест%2C%20р-н%20Дорогомиловский%2C%20ул.%20Восточная%2C%20вл.%204А")</f>
        <v>https://disk.yandex.ru/client/disk/Осмотры%20объектов%20АНО%20СМГ/286.%20Школа%20на%201000%20мест%2C%20р-н%20Дорогомиловский%2C%20ул.%20Восточная%2C%20вл.%204А</v>
      </c>
      <c r="J404" s="50">
        <f>IFERROR(__xludf.DUMMYFUNCTION("""COMPUTED_VALUE"""),61.280355)</f>
        <v>61.280355</v>
      </c>
      <c r="K404" s="58">
        <f>IFERROR(__xludf.DUMMYFUNCTION("""COMPUTED_VALUE"""),45971.0)</f>
        <v>45971</v>
      </c>
      <c r="L404" s="6">
        <v>14.0</v>
      </c>
      <c r="M404" s="52">
        <v>45985.0</v>
      </c>
      <c r="N404" s="53" t="s">
        <v>711</v>
      </c>
      <c r="O404" s="19" t="s">
        <v>890</v>
      </c>
      <c r="P404" s="6"/>
      <c r="Q404" s="6"/>
      <c r="R404" s="6"/>
    </row>
    <row r="405">
      <c r="A405" s="31" t="str">
        <f>IFERROR(__xludf.DUMMYFUNCTION("""COMPUTED_VALUE"""),"287")</f>
        <v>287</v>
      </c>
      <c r="B405" s="14" t="str">
        <f>IFERROR(__xludf.DUMMYFUNCTION("""COMPUTED_VALUE"""),"АИП-26")</f>
        <v>АИП-26</v>
      </c>
      <c r="C405" s="14" t="str">
        <f>IFERROR(__xludf.DUMMYFUNCTION("""COMPUTED_VALUE"""),"ОКС")</f>
        <v>ОКС</v>
      </c>
      <c r="D405" s="69"/>
      <c r="E405" s="14" t="str">
        <f>IFERROR(__xludf.DUMMYFUNCTION("""COMPUTED_VALUE"""),"Здание образовательной организации на 525 мест (350 школьных и 175 дошкольных) р-н Соколиная Гора, пр-кт Буденного, влд. 51")</f>
        <v>Здание образовательной организации на 525 мест (350 школьных и 175 дошкольных) р-н Соколиная Гора, пр-кт Буденного, влд. 51</v>
      </c>
      <c r="F405" s="25" t="str">
        <f>IFERROR(__xludf.DUMMYFUNCTION("""COMPUTED_VALUE"""),"55.75962520844539")</f>
        <v>55.75962520844539</v>
      </c>
      <c r="G405" s="6" t="str">
        <f>IFERROR(__xludf.DUMMYFUNCTION("""COMPUTED_VALUE"""),"37.739837665357825")</f>
        <v>37.739837665357825</v>
      </c>
      <c r="H405" s="18" t="str">
        <f>IFERROR(__xludf.DUMMYFUNCTION("""COMPUTED_VALUE"""),"https://docs.google.com/spreadsheets/d/19THEBTE9q0fhN2eApZr6BgenIvLGh0AckaYxHQfHk5w/edit?gid=862186919#gid=862186919")</f>
        <v>https://docs.google.com/spreadsheets/d/19THEBTE9q0fhN2eApZr6BgenIvLGh0AckaYxHQfHk5w/edit?gid=862186919#gid=862186919</v>
      </c>
      <c r="I405" s="19" t="str">
        <f>IFERROR(__xludf.DUMMYFUNCTION("""COMPUTED_VALUE"""),"https://disk.yandex.ru/client/disk/Осмотры%20объектов%20АНО%20СМГ/287.%20Здание%20образовательной%20организации%20на%20525%20мест%20Буденного%2051")</f>
        <v>https://disk.yandex.ru/client/disk/Осмотры%20объектов%20АНО%20СМГ/287.%20Здание%20образовательной%20организации%20на%20525%20мест%20Буденного%2051</v>
      </c>
      <c r="J405" s="50">
        <f>IFERROR(__xludf.DUMMYFUNCTION("""COMPUTED_VALUE"""),27.1965)</f>
        <v>27.1965</v>
      </c>
      <c r="K405" s="58">
        <f>IFERROR(__xludf.DUMMYFUNCTION("""COMPUTED_VALUE"""),45950.0)</f>
        <v>45950</v>
      </c>
      <c r="L405" s="6">
        <v>30.0</v>
      </c>
      <c r="M405" s="52">
        <v>45980.0</v>
      </c>
      <c r="N405" s="53" t="s">
        <v>701</v>
      </c>
      <c r="O405" s="19" t="s">
        <v>891</v>
      </c>
      <c r="P405" s="6"/>
      <c r="Q405" s="6"/>
      <c r="R405" s="6"/>
    </row>
    <row r="406">
      <c r="A406" s="31" t="str">
        <f>IFERROR(__xludf.DUMMYFUNCTION("""COMPUTED_VALUE"""),"273")</f>
        <v>273</v>
      </c>
      <c r="B406" s="14" t="str">
        <f>IFERROR(__xludf.DUMMYFUNCTION("""COMPUTED_VALUE"""),"АИП-26")</f>
        <v>АИП-26</v>
      </c>
      <c r="C406" s="14" t="str">
        <f>IFERROR(__xludf.DUMMYFUNCTION("""COMPUTED_VALUE"""),"ОКС")</f>
        <v>ОКС</v>
      </c>
      <c r="D406" s="72"/>
      <c r="E406" s="14" t="str">
        <f>IFERROR(__xludf.DUMMYFUNCTION("""COMPUTED_VALUE"""),"Здание образовательной организации на 1500 мест (общее образование 1225 мест, дошкольное образование 275 мест) р-н Измайлово, Сиреневый бульвар, вл. 4")</f>
        <v>Здание образовательной организации на 1500 мест (общее образование 1225 мест, дошкольное образование 275 мест) р-н Измайлово, Сиреневый бульвар, вл. 4</v>
      </c>
      <c r="F406" s="25" t="str">
        <f>IFERROR(__xludf.DUMMYFUNCTION("""COMPUTED_VALUE"""),"55.79985421604904")</f>
        <v>55.79985421604904</v>
      </c>
      <c r="G406" s="6" t="str">
        <f>IFERROR(__xludf.DUMMYFUNCTION("""COMPUTED_VALUE"""),"37.760885662703735")</f>
        <v>37.760885662703735</v>
      </c>
      <c r="H406" s="18" t="str">
        <f>IFERROR(__xludf.DUMMYFUNCTION("""COMPUTED_VALUE"""),"https://docs.google.com/spreadsheets/d/19THEBTE9q0fhN2eApZr6BgenIvLGh0AckaYxHQfHk5w/edit?gid=80969039#gid=80969039")</f>
        <v>https://docs.google.com/spreadsheets/d/19THEBTE9q0fhN2eApZr6BgenIvLGh0AckaYxHQfHk5w/edit?gid=80969039#gid=80969039</v>
      </c>
      <c r="I406" s="19" t="str">
        <f>IFERROR(__xludf.DUMMYFUNCTION("""COMPUTED_VALUE"""),"https://disk.yandex.ru/client/disk/Осмотры%20объектов%20АНО%20СМГ/273.%20Сиреневый%20бульвар%20вл%204%20Здание%20образовательной%20организации%20на%201500%20мест")</f>
        <v>https://disk.yandex.ru/client/disk/Осмотры%20объектов%20АНО%20СМГ/273.%20Сиреневый%20бульвар%20вл%204%20Здание%20образовательной%20организации%20на%201500%20мест</v>
      </c>
      <c r="J406" s="50">
        <f>IFERROR(__xludf.DUMMYFUNCTION("""COMPUTED_VALUE"""),41.19527500000001)</f>
        <v>41.195275</v>
      </c>
      <c r="K406" s="58">
        <f>IFERROR(__xludf.DUMMYFUNCTION("""COMPUTED_VALUE"""),45971.0)</f>
        <v>45971</v>
      </c>
      <c r="L406" s="6">
        <v>30.0</v>
      </c>
      <c r="M406" s="52">
        <v>46001.0</v>
      </c>
      <c r="N406" s="53" t="s">
        <v>711</v>
      </c>
      <c r="O406" s="19" t="s">
        <v>892</v>
      </c>
      <c r="P406" s="6"/>
      <c r="Q406" s="6"/>
      <c r="R406" s="6"/>
    </row>
    <row r="407">
      <c r="A407" s="31" t="str">
        <f>IFERROR(__xludf.DUMMYFUNCTION("""COMPUTED_VALUE"""),"375д")</f>
        <v>375д</v>
      </c>
      <c r="B407" s="14" t="str">
        <f>IFERROR(__xludf.DUMMYFUNCTION("""COMPUTED_VALUE"""),"АИП-26")</f>
        <v>АИП-26</v>
      </c>
      <c r="C407" s="14" t="str">
        <f>IFERROR(__xludf.DUMMYFUNCTION("""COMPUTED_VALUE"""),"УДС")</f>
        <v>УДС</v>
      </c>
      <c r="D407" s="72"/>
      <c r="E407" s="14" t="str">
        <f>IFERROR(__xludf.DUMMYFUNCTION("""COMPUTED_VALUE"""),"ЮВХ-4. Участок от ул. Шоссейная до ул. Полбина. Пешеходная галерея от ул. Шоссейная до ул. Полбина")</f>
        <v>ЮВХ-4. Участок от ул. Шоссейная до ул. Полбина. Пешеходная галерея от ул. Шоссейная до ул. Полбина</v>
      </c>
      <c r="F407" s="25" t="str">
        <f>IFERROR(__xludf.DUMMYFUNCTION("""COMPUTED_VALUE"""),"#N/A")</f>
        <v>#N/A</v>
      </c>
      <c r="G407" s="6" t="str">
        <f>IFERROR(__xludf.DUMMYFUNCTION("""COMPUTED_VALUE"""),"#N/A")</f>
        <v>#N/A</v>
      </c>
      <c r="H407" s="6"/>
      <c r="I407" s="6"/>
      <c r="J407" s="50">
        <f>IFERROR(__xludf.DUMMYFUNCTION("""COMPUTED_VALUE"""),1.1611764705882355)</f>
        <v>1.161176471</v>
      </c>
      <c r="K407" s="58">
        <f>IFERROR(__xludf.DUMMYFUNCTION("""COMPUTED_VALUE"""),45973.0)</f>
        <v>45973</v>
      </c>
      <c r="L407" s="6">
        <v>30.0</v>
      </c>
      <c r="M407" s="52">
        <v>46003.0</v>
      </c>
      <c r="N407" s="53" t="s">
        <v>711</v>
      </c>
      <c r="O407" s="6" t="s">
        <v>893</v>
      </c>
      <c r="P407" s="6"/>
      <c r="Q407" s="6"/>
      <c r="R407" s="6"/>
    </row>
    <row r="408">
      <c r="A408" s="31" t="str">
        <f>IFERROR(__xludf.DUMMYFUNCTION("""COMPUTED_VALUE"""),"236д")</f>
        <v>236д</v>
      </c>
      <c r="B408" s="14" t="str">
        <f>IFERROR(__xludf.DUMMYFUNCTION("""COMPUTED_VALUE"""),"АИП-26")</f>
        <v>АИП-26</v>
      </c>
      <c r="C408" s="14" t="str">
        <f>IFERROR(__xludf.DUMMYFUNCTION("""COMPUTED_VALUE"""),"УДС")</f>
        <v>УДС</v>
      </c>
      <c r="D408" s="72"/>
      <c r="E408" s="14" t="str">
        <f>IFERROR(__xludf.DUMMYFUNCTION("""COMPUTED_VALUE"""),"Проезд между ул. Нижняя и проектируемым проездом №1808 между ул. Нижняя и проектируемым проездом №1808")</f>
        <v>Проезд между ул. Нижняя и проектируемым проездом №1808 между ул. Нижняя и проектируемым проездом №1808</v>
      </c>
      <c r="F408" s="25" t="str">
        <f>IFERROR(__xludf.DUMMYFUNCTION("""COMPUTED_VALUE"""),"#N/A")</f>
        <v>#N/A</v>
      </c>
      <c r="G408" s="6" t="str">
        <f>IFERROR(__xludf.DUMMYFUNCTION("""COMPUTED_VALUE"""),"#N/A")</f>
        <v>#N/A</v>
      </c>
      <c r="H408" s="6"/>
      <c r="I408" s="6"/>
      <c r="J408" s="50">
        <f>IFERROR(__xludf.DUMMYFUNCTION("""COMPUTED_VALUE"""),0.012000000000000002)</f>
        <v>0.012</v>
      </c>
      <c r="K408" s="58">
        <f>IFERROR(__xludf.DUMMYFUNCTION("""COMPUTED_VALUE"""),45974.0)</f>
        <v>45974</v>
      </c>
      <c r="L408" s="6">
        <v>30.0</v>
      </c>
      <c r="M408" s="52">
        <v>46004.0</v>
      </c>
      <c r="N408" s="53" t="s">
        <v>711</v>
      </c>
      <c r="O408" s="6" t="s">
        <v>893</v>
      </c>
      <c r="P408" s="6"/>
      <c r="Q408" s="6"/>
      <c r="R408" s="6"/>
    </row>
    <row r="409">
      <c r="A409" s="31" t="str">
        <f>IFERROR(__xludf.DUMMYFUNCTION("""COMPUTED_VALUE"""),"1065 (этап 2.1)")</f>
        <v>1065 (этап 2.1)</v>
      </c>
      <c r="B409" s="14" t="str">
        <f>IFERROR(__xludf.DUMMYFUNCTION("""COMPUTED_VALUE"""),"АИП-26")</f>
        <v>АИП-26</v>
      </c>
      <c r="C409" s="14" t="str">
        <f>IFERROR(__xludf.DUMMYFUNCTION("""COMPUTED_VALUE"""),"УДС")</f>
        <v>УДС</v>
      </c>
      <c r="D409" s="72"/>
      <c r="E409" s="14" t="str">
        <f>IFERROR(__xludf.DUMMYFUNCTION("""COMPUTED_VALUE"""),"Технологическая часть ТПУ на станции метро ""Рассказовка"" (""Новопеределкино""). Этап 2.1 Станция метро ""Рассказовка""")</f>
        <v>Технологическая часть ТПУ на станции метро "Рассказовка" ("Новопеределкино"). Этап 2.1 Станция метро "Рассказовка"</v>
      </c>
      <c r="F409" s="25" t="str">
        <f>IFERROR(__xludf.DUMMYFUNCTION("""COMPUTED_VALUE"""),"55.633969596534705")</f>
        <v>55.633969596534705</v>
      </c>
      <c r="G409" s="6" t="str">
        <f>IFERROR(__xludf.DUMMYFUNCTION("""COMPUTED_VALUE"""),"37.3346986726294")</f>
        <v>37.3346986726294</v>
      </c>
      <c r="H409" s="18" t="str">
        <f>IFERROR(__xludf.DUMMYFUNCTION("""COMPUTED_VALUE"""),"https://docs.google.com/spreadsheets/d/1jonEGMB3UFHiUZpltF1zURon8gYN7jGSHu-k9t5TXnA/edit?gid=1539095406#gid=1539095406")</f>
        <v>https://docs.google.com/spreadsheets/d/1jonEGMB3UFHiUZpltF1zURon8gYN7jGSHu-k9t5TXnA/edit?gid=1539095406#gid=1539095406</v>
      </c>
      <c r="I409"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409" s="50">
        <f>IFERROR(__xludf.DUMMYFUNCTION("""COMPUTED_VALUE"""),96.8)</f>
        <v>96.8</v>
      </c>
      <c r="K409" s="58">
        <f>IFERROR(__xludf.DUMMYFUNCTION("""COMPUTED_VALUE"""),45974.0)</f>
        <v>45974</v>
      </c>
      <c r="L409" s="6">
        <v>7.0</v>
      </c>
      <c r="M409" s="52">
        <v>45981.0</v>
      </c>
      <c r="N409" s="53" t="s">
        <v>711</v>
      </c>
      <c r="O409" s="6" t="s">
        <v>669</v>
      </c>
      <c r="P409" s="6"/>
      <c r="Q409" s="6"/>
      <c r="R409" s="6"/>
    </row>
    <row r="410">
      <c r="A410" s="31" t="str">
        <f>IFERROR(__xludf.DUMMYFUNCTION("""COMPUTED_VALUE"""),"1065 (этап 4)")</f>
        <v>1065 (этап 4)</v>
      </c>
      <c r="B410" s="14" t="str">
        <f>IFERROR(__xludf.DUMMYFUNCTION("""COMPUTED_VALUE"""),"АИП-26")</f>
        <v>АИП-26</v>
      </c>
      <c r="C410" s="14" t="str">
        <f>IFERROR(__xludf.DUMMYFUNCTION("""COMPUTED_VALUE"""),"УДС")</f>
        <v>УДС</v>
      </c>
      <c r="D410" s="72"/>
      <c r="E410" s="14" t="str">
        <f>IFERROR(__xludf.DUMMYFUNCTION("""COMPUTED_VALUE"""),"Технологическая часть ТПУ на станции метро ""Рассказовка"" (""Новопеределкино""). Этап 4 Станция метро ""Рассказовка""")</f>
        <v>Технологическая часть ТПУ на станции метро "Рассказовка" ("Новопеределкино"). Этап 4 Станция метро "Рассказовка"</v>
      </c>
      <c r="F410" s="25" t="str">
        <f>IFERROR(__xludf.DUMMYFUNCTION("""COMPUTED_VALUE"""),"55.633969596534705")</f>
        <v>55.633969596534705</v>
      </c>
      <c r="G410" s="6" t="str">
        <f>IFERROR(__xludf.DUMMYFUNCTION("""COMPUTED_VALUE"""),"37.3346986726294")</f>
        <v>37.3346986726294</v>
      </c>
      <c r="H410" s="18" t="str">
        <f>IFERROR(__xludf.DUMMYFUNCTION("""COMPUTED_VALUE"""),"https://docs.google.com/spreadsheets/d/1jonEGMB3UFHiUZpltF1zURon8gYN7jGSHu-k9t5TXnA/edit?gid=123308300#gid=123308300")</f>
        <v>https://docs.google.com/spreadsheets/d/1jonEGMB3UFHiUZpltF1zURon8gYN7jGSHu-k9t5TXnA/edit?gid=123308300#gid=123308300</v>
      </c>
      <c r="I410"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410" s="50">
        <f>IFERROR(__xludf.DUMMYFUNCTION("""COMPUTED_VALUE"""),17.12)</f>
        <v>17.12</v>
      </c>
      <c r="K410" s="58">
        <f>IFERROR(__xludf.DUMMYFUNCTION("""COMPUTED_VALUE"""),45974.0)</f>
        <v>45974</v>
      </c>
      <c r="L410" s="6">
        <v>30.0</v>
      </c>
      <c r="M410" s="52">
        <v>46004.0</v>
      </c>
      <c r="N410" s="53" t="s">
        <v>711</v>
      </c>
      <c r="O410" s="6" t="s">
        <v>669</v>
      </c>
      <c r="P410" s="6"/>
      <c r="Q410" s="6"/>
      <c r="R410" s="6"/>
    </row>
    <row r="411">
      <c r="A411" s="31" t="str">
        <f>IFERROR(__xludf.DUMMYFUNCTION("""COMPUTED_VALUE"""),"218д")</f>
        <v>218д</v>
      </c>
      <c r="B411" s="14" t="str">
        <f>IFERROR(__xludf.DUMMYFUNCTION("""COMPUTED_VALUE"""),"АИП-26")</f>
        <v>АИП-26</v>
      </c>
      <c r="C411" s="14" t="str">
        <f>IFERROR(__xludf.DUMMYFUNCTION("""COMPUTED_VALUE"""),"УДС")</f>
        <v>УДС</v>
      </c>
      <c r="D411" s="72"/>
      <c r="E411" s="14" t="str">
        <f>IFERROR(__xludf.DUMMYFUNCTION("""COMPUTED_VALUE"""),"Реконструкция ул. Генерала Дорохова на участке от транспортной развязки с Аминьевским ш. с реконструкцией Верейской улицы ул. Генерала Дорохова")</f>
        <v>Реконструкция ул. Генерала Дорохова на участке от транспортной развязки с Аминьевским ш. с реконструкцией Верейской улицы ул. Генерала Дорохова</v>
      </c>
      <c r="F411" s="25" t="str">
        <f>IFERROR(__xludf.DUMMYFUNCTION("""COMPUTED_VALUE"""),"#N/A")</f>
        <v>#N/A</v>
      </c>
      <c r="G411" s="6" t="str">
        <f>IFERROR(__xludf.DUMMYFUNCTION("""COMPUTED_VALUE"""),"#N/A")</f>
        <v>#N/A</v>
      </c>
      <c r="H411" s="6"/>
      <c r="I411" s="6"/>
      <c r="J411" s="50">
        <f>IFERROR(__xludf.DUMMYFUNCTION("""COMPUTED_VALUE"""),19.352249999999998)</f>
        <v>19.35225</v>
      </c>
      <c r="K411" s="58">
        <f>IFERROR(__xludf.DUMMYFUNCTION("""COMPUTED_VALUE"""),45960.0)</f>
        <v>45960</v>
      </c>
      <c r="L411" s="6">
        <v>30.0</v>
      </c>
      <c r="M411" s="52">
        <v>45990.0</v>
      </c>
      <c r="N411" s="53" t="s">
        <v>692</v>
      </c>
      <c r="O411" s="6"/>
      <c r="P411" s="6"/>
      <c r="Q411" s="6"/>
      <c r="R411" s="6"/>
    </row>
    <row r="412">
      <c r="A412" s="31" t="str">
        <f>IFERROR(__xludf.DUMMYFUNCTION("""COMPUTED_VALUE"""),"нд")</f>
        <v>нд</v>
      </c>
      <c r="B412" s="14" t="str">
        <f>IFERROR(__xludf.DUMMYFUNCTION("""COMPUTED_VALUE"""),"АИП-26")</f>
        <v>АИП-26</v>
      </c>
      <c r="C412" s="14" t="str">
        <f>IFERROR(__xludf.DUMMYFUNCTION("""COMPUTED_VALUE"""),"УДС")</f>
        <v>УДС</v>
      </c>
      <c r="D412" s="72"/>
      <c r="E412" s="14" t="str">
        <f>IFERROR(__xludf.DUMMYFUNCTION("""COMPUTED_VALUE"""),"Этап 5.1. Реконструкция ул. Генерала Дорохова на участке от транспортной развязки с Аминьевским ш. с реконструкцией Верейской ул. Строительство подъездной дороги к многоуровневому паркингу ул. Дорохова, ТЭЦ-25")</f>
        <v>Этап 5.1. Реконструкция ул. Генерала Дорохова на участке от транспортной развязки с Аминьевским ш. с реконструкцией Верейской ул. Строительство подъездной дороги к многоуровневому паркингу ул. Дорохова, ТЭЦ-25</v>
      </c>
      <c r="F412" s="25" t="str">
        <f>IFERROR(__xludf.DUMMYFUNCTION("""COMPUTED_VALUE"""),"#N/A")</f>
        <v>#N/A</v>
      </c>
      <c r="G412" s="6" t="str">
        <f>IFERROR(__xludf.DUMMYFUNCTION("""COMPUTED_VALUE"""),"#N/A")</f>
        <v>#N/A</v>
      </c>
      <c r="H412" s="6"/>
      <c r="I412" s="6"/>
      <c r="J412" s="50"/>
      <c r="K412" s="58"/>
      <c r="L412" s="6">
        <v>30.0</v>
      </c>
      <c r="M412" s="52" t="s">
        <v>655</v>
      </c>
      <c r="N412" s="53" t="s">
        <v>698</v>
      </c>
      <c r="O412" s="6" t="s">
        <v>893</v>
      </c>
      <c r="P412" s="6"/>
      <c r="Q412" s="6"/>
      <c r="R412" s="6"/>
    </row>
    <row r="413">
      <c r="A413" s="31" t="str">
        <f>IFERROR(__xludf.DUMMYFUNCTION("""COMPUTED_VALUE"""),"нд")</f>
        <v>нд</v>
      </c>
      <c r="B413" s="14" t="str">
        <f>IFERROR(__xludf.DUMMYFUNCTION("""COMPUTED_VALUE"""),"АИП-26")</f>
        <v>АИП-26</v>
      </c>
      <c r="C413" s="14" t="str">
        <f>IFERROR(__xludf.DUMMYFUNCTION("""COMPUTED_VALUE"""),"УДС")</f>
        <v>УДС</v>
      </c>
      <c r="D413" s="72"/>
      <c r="E413" s="14" t="str">
        <f>IFERROR(__xludf.DUMMYFUNCTION("""COMPUTED_VALUE"""),"Реконструкция ул. Генерала Дорохова на участке от транспортной развязки с Аминьевским ш. с реконструкцией Верейской ул. ул. Генерала Дорохова на участке от транспортной развязки с Аминьевским ш. с реконструкцией Верейской ул.")</f>
        <v>Реконструкция ул. Генерала Дорохова на участке от транспортной развязки с Аминьевским ш. с реконструкцией Верейской ул. ул. Генерала Дорохова на участке от транспортной развязки с Аминьевским ш. с реконструкцией Верейской ул.</v>
      </c>
      <c r="F413" s="25" t="str">
        <f>IFERROR(__xludf.DUMMYFUNCTION("""COMPUTED_VALUE"""),"#N/A")</f>
        <v>#N/A</v>
      </c>
      <c r="G413" s="6" t="str">
        <f>IFERROR(__xludf.DUMMYFUNCTION("""COMPUTED_VALUE"""),"#N/A")</f>
        <v>#N/A</v>
      </c>
      <c r="H413" s="6"/>
      <c r="I413" s="6"/>
      <c r="J413" s="50"/>
      <c r="K413" s="58"/>
      <c r="L413" s="6">
        <v>30.0</v>
      </c>
      <c r="M413" s="52" t="s">
        <v>655</v>
      </c>
      <c r="N413" s="53" t="s">
        <v>698</v>
      </c>
      <c r="O413" s="6" t="s">
        <v>669</v>
      </c>
      <c r="P413" s="6"/>
      <c r="Q413" s="6"/>
      <c r="R413" s="6"/>
    </row>
    <row r="414">
      <c r="A414" s="31" t="str">
        <f>IFERROR(__xludf.DUMMYFUNCTION("""COMPUTED_VALUE"""),"263")</f>
        <v>263</v>
      </c>
      <c r="B414" s="14" t="str">
        <f>IFERROR(__xludf.DUMMYFUNCTION("""COMPUTED_VALUE"""),"АИП-26")</f>
        <v>АИП-26</v>
      </c>
      <c r="C414" s="14" t="str">
        <f>IFERROR(__xludf.DUMMYFUNCTION("""COMPUTED_VALUE"""),"ОКС")</f>
        <v>ОКС</v>
      </c>
      <c r="D414" s="72"/>
      <c r="E414" s="14" t="str">
        <f>IFERROR(__xludf.DUMMYFUNCTION("""COMPUTED_VALUE"""),"ЖК «Легенда», жилой дом г.о. Троицк, 42-й км Калужского шоссе, корп. 5")</f>
        <v>ЖК «Легенда», жилой дом г.о. Троицк, 42-й км Калужского шоссе, корп. 5</v>
      </c>
      <c r="F414" s="25" t="str">
        <f>IFERROR(__xludf.DUMMYFUNCTION("""COMPUTED_VALUE"""),"55.456811953701994")</f>
        <v>55.456811953701994</v>
      </c>
      <c r="G414" s="6" t="str">
        <f>IFERROR(__xludf.DUMMYFUNCTION("""COMPUTED_VALUE"""),"37.28472994840965")</f>
        <v>37.28472994840965</v>
      </c>
      <c r="H414" s="18" t="str">
        <f>IFERROR(__xludf.DUMMYFUNCTION("""COMPUTED_VALUE"""),"https://docs.google.com/spreadsheets/d/19THEBTE9q0fhN2eApZr6BgenIvLGh0AckaYxHQfHk5w/edit?gid=697664258#gid=697664258")</f>
        <v>https://docs.google.com/spreadsheets/d/19THEBTE9q0fhN2eApZr6BgenIvLGh0AckaYxHQfHk5w/edit?gid=697664258#gid=697664258</v>
      </c>
      <c r="I414" s="19" t="str">
        <f>IFERROR(__xludf.DUMMYFUNCTION("""COMPUTED_VALUE"""),"https://disk.yandex.ru/client/disk/Осмотры%20объектов%20АНО%20СМГ/263.%20ЖК%20Легенда%20Корп.%205")</f>
        <v>https://disk.yandex.ru/client/disk/Осмотры%20объектов%20АНО%20СМГ/263.%20ЖК%20Легенда%20Корп.%205</v>
      </c>
      <c r="J414" s="50">
        <f>IFERROR(__xludf.DUMMYFUNCTION("""COMPUTED_VALUE"""),45.230175)</f>
        <v>45.230175</v>
      </c>
      <c r="K414" s="58">
        <f>IFERROR(__xludf.DUMMYFUNCTION("""COMPUTED_VALUE"""),45954.0)</f>
        <v>45954</v>
      </c>
      <c r="L414" s="6">
        <v>30.0</v>
      </c>
      <c r="M414" s="52">
        <v>45984.0</v>
      </c>
      <c r="N414" s="53" t="s">
        <v>741</v>
      </c>
      <c r="O414" s="19" t="s">
        <v>894</v>
      </c>
      <c r="P414" s="6"/>
      <c r="Q414" s="6"/>
      <c r="R414" s="6"/>
    </row>
    <row r="415">
      <c r="A415" s="31" t="str">
        <f>IFERROR(__xludf.DUMMYFUNCTION("""COMPUTED_VALUE"""),"275")</f>
        <v>275</v>
      </c>
      <c r="B415" s="14" t="str">
        <f>IFERROR(__xludf.DUMMYFUNCTION("""COMPUTED_VALUE"""),"АИП-26")</f>
        <v>АИП-26</v>
      </c>
      <c r="C415" s="14" t="str">
        <f>IFERROR(__xludf.DUMMYFUNCTION("""COMPUTED_VALUE"""),"ОКС")</f>
        <v>ОКС</v>
      </c>
      <c r="D415" s="72"/>
      <c r="E415" s="14" t="str">
        <f>IFERROR(__xludf.DUMMYFUNCTION("""COMPUTED_VALUE"""),"Школа на 1100 мест Б.Переяславская ул., 1, Астраханский пер., 24")</f>
        <v>Школа на 1100 мест Б.Переяславская ул., 1, Астраханский пер., 24</v>
      </c>
      <c r="F415" s="25" t="str">
        <f>IFERROR(__xludf.DUMMYFUNCTION("""COMPUTED_VALUE"""),"55.7801411850939")</f>
        <v>55.7801411850939</v>
      </c>
      <c r="G415" s="6" t="str">
        <f>IFERROR(__xludf.DUMMYFUNCTION("""COMPUTED_VALUE"""),"37.64228767857212")</f>
        <v>37.64228767857212</v>
      </c>
      <c r="H415" s="18" t="str">
        <f>IFERROR(__xludf.DUMMYFUNCTION("""COMPUTED_VALUE"""),"https://docs.google.com/spreadsheets/d/19THEBTE9q0fhN2eApZr6BgenIvLGh0AckaYxHQfHk5w/edit?gid=2022377090#gid=2022377090")</f>
        <v>https://docs.google.com/spreadsheets/d/19THEBTE9q0fhN2eApZr6BgenIvLGh0AckaYxHQfHk5w/edit?gid=2022377090#gid=2022377090</v>
      </c>
      <c r="I415" s="19" t="str">
        <f>IFERROR(__xludf.DUMMYFUNCTION("""COMPUTED_VALUE"""),"https://disk.yandex.ru/client/disk/Осмотры%20объектов%20АНО%20СМГ/275.%20Школьное%20здание%20на%201100%20мест%20Большая%20Переяславская%20ул.%2C%20д.1%2Cстр.1%3B%20пер.%20Астраханский%2C%20д.24%2C%20стр.4%2C%20р-н%20Мещанский")</f>
        <v>https://disk.yandex.ru/client/disk/Осмотры%20объектов%20АНО%20СМГ/275.%20Школьное%20здание%20на%201100%20мест%20Большая%20Переяславская%20ул.%2C%20д.1%2Cстр.1%3B%20пер.%20Астраханский%2C%20д.24%2C%20стр.4%2C%20р-н%20Мещанский</v>
      </c>
      <c r="J415" s="50">
        <f>IFERROR(__xludf.DUMMYFUNCTION("""COMPUTED_VALUE"""),0.0)</f>
        <v>0</v>
      </c>
      <c r="K415" s="58">
        <f>IFERROR(__xludf.DUMMYFUNCTION("""COMPUTED_VALUE"""),45954.0)</f>
        <v>45954</v>
      </c>
      <c r="L415" s="6">
        <v>30.0</v>
      </c>
      <c r="M415" s="52">
        <v>45984.0</v>
      </c>
      <c r="N415" s="53" t="s">
        <v>741</v>
      </c>
      <c r="O415" s="19" t="s">
        <v>895</v>
      </c>
      <c r="P415" s="6"/>
      <c r="Q415" s="6"/>
      <c r="R415" s="6"/>
    </row>
    <row r="416">
      <c r="A416" s="31" t="str">
        <f>IFERROR(__xludf.DUMMYFUNCTION("""COMPUTED_VALUE"""),"276")</f>
        <v>276</v>
      </c>
      <c r="B416" s="14" t="str">
        <f>IFERROR(__xludf.DUMMYFUNCTION("""COMPUTED_VALUE"""),"АИП-26")</f>
        <v>АИП-26</v>
      </c>
      <c r="C416" s="14" t="str">
        <f>IFERROR(__xludf.DUMMYFUNCTION("""COMPUTED_VALUE"""),"ОКС")</f>
        <v>ОКС</v>
      </c>
      <c r="D416" s="72"/>
      <c r="E416" s="14" t="str">
        <f>IFERROR(__xludf.DUMMYFUNCTION("""COMPUTED_VALUE"""),"Школьное здание на 1000 мест на месте сноса здания по адресу: пр-д Елоховский, д.1, стр. 5, стр. 6, р-н Басманный пр-д Елоховский, д.1, стр. 5, стр. 6, р-н Басманный")</f>
        <v>Школьное здание на 1000 мест на месте сноса здания по адресу: пр-д Елоховский, д.1, стр. 5, стр. 6, р-н Басманный пр-д Елоховский, д.1, стр. 5, стр. 6, р-н Басманный</v>
      </c>
      <c r="F416" s="25" t="str">
        <f>IFERROR(__xludf.DUMMYFUNCTION("""COMPUTED_VALUE"""),"55.77302890175981")</f>
        <v>55.77302890175981</v>
      </c>
      <c r="G416" s="6" t="str">
        <f>IFERROR(__xludf.DUMMYFUNCTION("""COMPUTED_VALUE"""),"37.67271952380297")</f>
        <v>37.67271952380297</v>
      </c>
      <c r="H416" s="18" t="str">
        <f>IFERROR(__xludf.DUMMYFUNCTION("""COMPUTED_VALUE"""),"https://docs.google.com/spreadsheets/d/19THEBTE9q0fhN2eApZr6BgenIvLGh0AckaYxHQfHk5w/edit?gid=913968712#gid=913968712")</f>
        <v>https://docs.google.com/spreadsheets/d/19THEBTE9q0fhN2eApZr6BgenIvLGh0AckaYxHQfHk5w/edit?gid=913968712#gid=913968712</v>
      </c>
      <c r="I416" s="19" t="str">
        <f>IFERROR(__xludf.DUMMYFUNCTION("""COMPUTED_VALUE"""),"https://disk.yandex.ru/client/disk/Осмотры%20объектов%20АНО%20СМГ/276%20Школьное%20здание%20на%201000%20мест%20на%20месте%20сноса%20здания%20по%20адресу%3A%20пр-д%20Елоховский%2C%20д.1%2C%20стр.%205%2C%20стр.%206%2C%20р-н%20Басманный")</f>
        <v>https://disk.yandex.ru/client/disk/Осмотры%20объектов%20АНО%20СМГ/276%20Школьное%20здание%20на%201000%20мест%20на%20месте%20сноса%20здания%20по%20адресу%3A%20пр-д%20Елоховский%2C%20д.1%2C%20стр.%205%2C%20стр.%206%2C%20р-н%20Басманный</v>
      </c>
      <c r="J416" s="50">
        <f>IFERROR(__xludf.DUMMYFUNCTION("""COMPUTED_VALUE"""),0.0)</f>
        <v>0</v>
      </c>
      <c r="K416" s="58">
        <f>IFERROR(__xludf.DUMMYFUNCTION("""COMPUTED_VALUE"""),45954.0)</f>
        <v>45954</v>
      </c>
      <c r="L416" s="6">
        <v>30.0</v>
      </c>
      <c r="M416" s="52">
        <v>45984.0</v>
      </c>
      <c r="N416" s="53" t="s">
        <v>741</v>
      </c>
      <c r="O416" s="19" t="s">
        <v>896</v>
      </c>
      <c r="P416" s="6"/>
      <c r="Q416" s="6"/>
      <c r="R416" s="6"/>
    </row>
    <row r="417">
      <c r="A417" s="31" t="str">
        <f>IFERROR(__xludf.DUMMYFUNCTION("""COMPUTED_VALUE"""),"242д (этап 2)")</f>
        <v>242д (этап 2)</v>
      </c>
      <c r="B417" s="14" t="str">
        <f>IFERROR(__xludf.DUMMYFUNCTION("""COMPUTED_VALUE"""),"АИП-26")</f>
        <v>АИП-26</v>
      </c>
      <c r="C417" s="14" t="str">
        <f>IFERROR(__xludf.DUMMYFUNCTION("""COMPUTED_VALUE"""),"УДС")</f>
        <v>УДС</v>
      </c>
      <c r="D417" s="72"/>
      <c r="E417" s="14" t="str">
        <f>IFERROR(__xludf.DUMMYFUNCTION("""COMPUTED_VALUE"""),"Строительство путепровода Добролюбова-Складочная. Этап 2 ул. Добролюбова с ул. Складочная")</f>
        <v>Строительство путепровода Добролюбова-Складочная. Этап 2 ул. Добролюбова с ул. Складочная</v>
      </c>
      <c r="F417" s="25" t="str">
        <f>IFERROR(__xludf.DUMMYFUNCTION("""COMPUTED_VALUE"""),"#N/A")</f>
        <v>#N/A</v>
      </c>
      <c r="G417" s="6" t="str">
        <f>IFERROR(__xludf.DUMMYFUNCTION("""COMPUTED_VALUE"""),"#N/A")</f>
        <v>#N/A</v>
      </c>
      <c r="H417" s="6"/>
      <c r="I417" s="6"/>
      <c r="J417" s="50">
        <f>IFERROR(__xludf.DUMMYFUNCTION("""COMPUTED_VALUE"""),42.8898)</f>
        <v>42.8898</v>
      </c>
      <c r="K417" s="58">
        <f>IFERROR(__xludf.DUMMYFUNCTION("""COMPUTED_VALUE"""),45973.0)</f>
        <v>45973</v>
      </c>
      <c r="L417" s="6">
        <v>30.0</v>
      </c>
      <c r="M417" s="52">
        <v>46003.0</v>
      </c>
      <c r="N417" s="53" t="s">
        <v>711</v>
      </c>
      <c r="O417" s="6" t="s">
        <v>897</v>
      </c>
      <c r="P417" s="6"/>
      <c r="Q417" s="6"/>
      <c r="R417" s="6"/>
    </row>
    <row r="418">
      <c r="A418" s="31" t="str">
        <f>IFERROR(__xludf.DUMMYFUNCTION("""COMPUTED_VALUE"""),"202д (этап 1)")</f>
        <v>202д (этап 1)</v>
      </c>
      <c r="B418" s="14" t="str">
        <f>IFERROR(__xludf.DUMMYFUNCTION("""COMPUTED_VALUE"""),"АИП-26")</f>
        <v>АИП-26</v>
      </c>
      <c r="C418" s="14" t="str">
        <f>IFERROR(__xludf.DUMMYFUNCTION("""COMPUTED_VALUE"""),"УДС")</f>
        <v>УДС</v>
      </c>
      <c r="D418" s="72"/>
      <c r="E418" s="14" t="str">
        <f>IFERROR(__xludf.DUMMYFUNCTION("""COMPUTED_VALUE"""),"Реконструкция набережной р. Москвы от Филевского парка до территории театра ""Мастерская П.Н.Фоменко"" (включительно).Этапы 1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1 набережная р. Москвы от Филевского парка до территории театра "Мастерская П.Н.Фоменко"</v>
      </c>
      <c r="F418" s="25" t="str">
        <f>IFERROR(__xludf.DUMMYFUNCTION("""COMPUTED_VALUE"""),"#N/A")</f>
        <v>#N/A</v>
      </c>
      <c r="G418" s="6" t="str">
        <f>IFERROR(__xludf.DUMMYFUNCTION("""COMPUTED_VALUE"""),"#N/A")</f>
        <v>#N/A</v>
      </c>
      <c r="H418" s="6"/>
      <c r="I418" s="6"/>
      <c r="J418" s="50">
        <f>IFERROR(__xludf.DUMMYFUNCTION("""COMPUTED_VALUE"""),60.524000000000015)</f>
        <v>60.524</v>
      </c>
      <c r="K418" s="58">
        <f>IFERROR(__xludf.DUMMYFUNCTION("""COMPUTED_VALUE"""),45972.0)</f>
        <v>45972</v>
      </c>
      <c r="L418" s="6">
        <v>14.0</v>
      </c>
      <c r="M418" s="52">
        <v>45986.0</v>
      </c>
      <c r="N418" s="53" t="s">
        <v>711</v>
      </c>
      <c r="O418" s="6"/>
      <c r="P418" s="6"/>
      <c r="Q418" s="6"/>
      <c r="R418" s="6"/>
    </row>
    <row r="419">
      <c r="A419" s="31" t="str">
        <f>IFERROR(__xludf.DUMMYFUNCTION("""COMPUTED_VALUE"""),"152д (этап 4.1, 4.2)")</f>
        <v>152д (этап 4.1, 4.2)</v>
      </c>
      <c r="B419" s="14" t="str">
        <f>IFERROR(__xludf.DUMMYFUNCTION("""COMPUTED_VALUE"""),"АИП-26")</f>
        <v>АИП-26</v>
      </c>
      <c r="C419" s="14" t="str">
        <f>IFERROR(__xludf.DUMMYFUNCTION("""COMPUTED_VALUE"""),"УДС")</f>
        <v>УДС</v>
      </c>
      <c r="D419" s="72"/>
      <c r="E419" s="14" t="str">
        <f>IFERROR(__xludf.DUMMYFUNCTION("""COMPUTED_VALUE"""),"Реконструкция набережной р. Москвы от Филевского парка до территории театра ""Мастерская П.Н.Фоменко"" (включительно).Этапы 4.1, 4.2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4.1, 4.2 набережная р. Москвы от Филевского парка до территории театра "Мастерская П.Н.Фоменко"</v>
      </c>
      <c r="F419" s="25" t="str">
        <f>IFERROR(__xludf.DUMMYFUNCTION("""COMPUTED_VALUE"""),"#N/A")</f>
        <v>#N/A</v>
      </c>
      <c r="G419" s="6" t="str">
        <f>IFERROR(__xludf.DUMMYFUNCTION("""COMPUTED_VALUE"""),"#N/A")</f>
        <v>#N/A</v>
      </c>
      <c r="H419" s="6"/>
      <c r="I419" s="6"/>
      <c r="J419" s="50">
        <f>IFERROR(__xludf.DUMMYFUNCTION("""COMPUTED_VALUE"""),0.0)</f>
        <v>0</v>
      </c>
      <c r="K419" s="58">
        <f>IFERROR(__xludf.DUMMYFUNCTION("""COMPUTED_VALUE"""),45972.0)</f>
        <v>45972</v>
      </c>
      <c r="L419" s="6">
        <v>30.0</v>
      </c>
      <c r="M419" s="52">
        <v>46002.0</v>
      </c>
      <c r="N419" s="53" t="s">
        <v>711</v>
      </c>
      <c r="O419" s="6" t="s">
        <v>898</v>
      </c>
      <c r="P419" s="6"/>
      <c r="Q419" s="6"/>
      <c r="R419" s="6"/>
    </row>
    <row r="420">
      <c r="A420" s="31" t="str">
        <f>IFERROR(__xludf.DUMMYFUNCTION("""COMPUTED_VALUE"""),"152д (этап 4.2)")</f>
        <v>152д (этап 4.2)</v>
      </c>
      <c r="B420" s="14" t="str">
        <f>IFERROR(__xludf.DUMMYFUNCTION("""COMPUTED_VALUE"""),"АИП-26")</f>
        <v>АИП-26</v>
      </c>
      <c r="C420" s="14" t="str">
        <f>IFERROR(__xludf.DUMMYFUNCTION("""COMPUTED_VALUE"""),"УДС")</f>
        <v>УДС</v>
      </c>
      <c r="D420" s="72"/>
      <c r="E420" s="14" t="str">
        <f>IFERROR(__xludf.DUMMYFUNCTION("""COMPUTED_VALUE"""),"Реконструкция набережной р. Москвы от Филевского парка до территории театра ""Мастерская П.Н.Фоменко"" (включительно).Этапы 4.2.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4.2. набережная р. Москвы от Филевского парка до территории театра "Мастерская П.Н.Фоменко"</v>
      </c>
      <c r="F420" s="25" t="str">
        <f>IFERROR(__xludf.DUMMYFUNCTION("""COMPUTED_VALUE"""),"#N/A")</f>
        <v>#N/A</v>
      </c>
      <c r="G420" s="6" t="str">
        <f>IFERROR(__xludf.DUMMYFUNCTION("""COMPUTED_VALUE"""),"#N/A")</f>
        <v>#N/A</v>
      </c>
      <c r="H420" s="6"/>
      <c r="I420" s="6"/>
      <c r="J420" s="50">
        <f>IFERROR(__xludf.DUMMYFUNCTION("""COMPUTED_VALUE"""),0.0)</f>
        <v>0</v>
      </c>
      <c r="K420" s="58">
        <f>IFERROR(__xludf.DUMMYFUNCTION("""COMPUTED_VALUE"""),45972.0)</f>
        <v>45972</v>
      </c>
      <c r="L420" s="6">
        <v>30.0</v>
      </c>
      <c r="M420" s="52">
        <v>46002.0</v>
      </c>
      <c r="N420" s="53" t="s">
        <v>711</v>
      </c>
      <c r="O420" s="6" t="s">
        <v>898</v>
      </c>
      <c r="P420" s="6"/>
      <c r="Q420" s="6"/>
      <c r="R420" s="6"/>
    </row>
    <row r="421">
      <c r="A421" s="31"/>
      <c r="B421" s="14"/>
      <c r="C421" s="14" t="str">
        <f>IFERROR(__xludf.DUMMYFUNCTION("""COMPUTED_VALUE"""),"УДС")</f>
        <v>УДС</v>
      </c>
      <c r="D421" s="72"/>
      <c r="E421" s="14" t="str">
        <f>IFERROR(__xludf.DUMMYFUNCTION("""COMPUTED_VALUE"""),"Капитальный ремонт существующего подземного пешеходного перехода «Тестовский-1 ТТК» г. Москва, 2-й Красногвардейский проезд, дом 12, соор.1.")</f>
        <v>Капитальный ремонт существующего подземного пешеходного перехода «Тестовский-1 ТТК» г. Москва, 2-й Красногвардейский проезд, дом 12, соор.1.</v>
      </c>
      <c r="F421" s="25" t="str">
        <f>IFERROR(__xludf.DUMMYFUNCTION("""COMPUTED_VALUE"""),"#N/A")</f>
        <v>#N/A</v>
      </c>
      <c r="G421" s="6" t="str">
        <f>IFERROR(__xludf.DUMMYFUNCTION("""COMPUTED_VALUE"""),"#N/A")</f>
        <v>#N/A</v>
      </c>
      <c r="H421" s="6"/>
      <c r="I421" s="6"/>
      <c r="J421" s="50"/>
      <c r="K421" s="58"/>
      <c r="L421" s="6" t="s">
        <v>655</v>
      </c>
      <c r="M421" s="52" t="s">
        <v>655</v>
      </c>
      <c r="N421" s="53" t="s">
        <v>655</v>
      </c>
      <c r="O421" s="6"/>
      <c r="P421" s="6"/>
      <c r="Q421" s="6"/>
      <c r="R421" s="6"/>
    </row>
    <row r="422">
      <c r="A422" s="31" t="str">
        <f>IFERROR(__xludf.DUMMYFUNCTION("""COMPUTED_VALUE"""),"192")</f>
        <v>192</v>
      </c>
      <c r="B422" s="14" t="str">
        <f>IFERROR(__xludf.DUMMYFUNCTION("""COMPUTED_VALUE"""),"АИП-26")</f>
        <v>АИП-26</v>
      </c>
      <c r="C422" s="14" t="str">
        <f>IFERROR(__xludf.DUMMYFUNCTION("""COMPUTED_VALUE"""),"ОКС")</f>
        <v>ОКС</v>
      </c>
      <c r="D422" s="72"/>
      <c r="E422" s="14" t="str">
        <f>IFERROR(__xludf.DUMMYFUNCTION("""COMPUTED_VALUE"""),"Строительство базы ГБУ ""Жилищник р-на Бирюлево Восточное"" в районе 8-я радиальная улица")</f>
        <v>Строительство базы ГБУ "Жилищник р-на Бирюлево Восточное" в районе 8-я радиальная улица</v>
      </c>
      <c r="F422" s="25" t="str">
        <f>IFERROR(__xludf.DUMMYFUNCTION("""COMPUTED_VALUE"""),"55.61198075325992")</f>
        <v>55.61198075325992</v>
      </c>
      <c r="G422" s="6" t="str">
        <f>IFERROR(__xludf.DUMMYFUNCTION("""COMPUTED_VALUE"""),"37.66123421691695")</f>
        <v>37.66123421691695</v>
      </c>
      <c r="H422" s="18" t="str">
        <f>IFERROR(__xludf.DUMMYFUNCTION("""COMPUTED_VALUE"""),"https://docs.google.com/spreadsheets/d/19THEBTE9q0fhN2eApZr6BgenIvLGh0AckaYxHQfHk5w/edit?gid=363363152#gid=363363152")</f>
        <v>https://docs.google.com/spreadsheets/d/19THEBTE9q0fhN2eApZr6BgenIvLGh0AckaYxHQfHk5w/edit?gid=363363152#gid=363363152</v>
      </c>
      <c r="I422" s="19"/>
      <c r="J422" s="50">
        <f>IFERROR(__xludf.DUMMYFUNCTION("""COMPUTED_VALUE"""),0.0)</f>
        <v>0</v>
      </c>
      <c r="K422" s="58">
        <f>IFERROR(__xludf.DUMMYFUNCTION("""COMPUTED_VALUE"""),45951.0)</f>
        <v>45951</v>
      </c>
      <c r="L422" s="6">
        <v>30.0</v>
      </c>
      <c r="M422" s="52">
        <v>45981.0</v>
      </c>
      <c r="N422" s="53" t="s">
        <v>701</v>
      </c>
      <c r="O422" s="19" t="s">
        <v>899</v>
      </c>
      <c r="P422" s="6"/>
      <c r="Q422" s="6"/>
      <c r="R422" s="6"/>
    </row>
    <row r="423">
      <c r="A423" s="31" t="str">
        <f>IFERROR(__xludf.DUMMYFUNCTION("""COMPUTED_VALUE"""),"245д")</f>
        <v>245д</v>
      </c>
      <c r="B423" s="14" t="str">
        <f>IFERROR(__xludf.DUMMYFUNCTION("""COMPUTED_VALUE"""),"АИП-26")</f>
        <v>АИП-26</v>
      </c>
      <c r="C423" s="14" t="str">
        <f>IFERROR(__xludf.DUMMYFUNCTION("""COMPUTED_VALUE"""),"УДС")</f>
        <v>УДС</v>
      </c>
      <c r="D423" s="72"/>
      <c r="E423" s="14" t="str">
        <f>IFERROR(__xludf.DUMMYFUNCTION("""COMPUTED_VALUE"""),"Реконструкция набережной р. Москвы от Филевского парка до территории театра ""Мастерская П.Н.Фоменко"" (включительно).
 этап 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
 этап 2 набережная р. Москвы от Филевского парка до территории театра "Мастерская П.Н.Фоменко"</v>
      </c>
      <c r="F423" s="25" t="str">
        <f>IFERROR(__xludf.DUMMYFUNCTION("""COMPUTED_VALUE"""),"#N/A")</f>
        <v>#N/A</v>
      </c>
      <c r="G423" s="6" t="str">
        <f>IFERROR(__xludf.DUMMYFUNCTION("""COMPUTED_VALUE"""),"#N/A")</f>
        <v>#N/A</v>
      </c>
      <c r="H423" s="6"/>
      <c r="I423" s="6"/>
      <c r="J423" s="50">
        <f>IFERROR(__xludf.DUMMYFUNCTION("""COMPUTED_VALUE"""),7.093750000000001)</f>
        <v>7.09375</v>
      </c>
      <c r="K423" s="58">
        <f>IFERROR(__xludf.DUMMYFUNCTION("""COMPUTED_VALUE"""),45972.0)</f>
        <v>45972</v>
      </c>
      <c r="L423" s="6">
        <v>30.0</v>
      </c>
      <c r="M423" s="52">
        <v>46002.0</v>
      </c>
      <c r="N423" s="53" t="s">
        <v>711</v>
      </c>
      <c r="O423" s="6" t="s">
        <v>900</v>
      </c>
      <c r="P423" s="6"/>
      <c r="Q423" s="6"/>
      <c r="R423" s="6"/>
    </row>
    <row r="424">
      <c r="A424" s="31" t="str">
        <f>IFERROR(__xludf.DUMMYFUNCTION("""COMPUTED_VALUE"""),"022")</f>
        <v>022</v>
      </c>
      <c r="B424" s="14" t="str">
        <f>IFERROR(__xludf.DUMMYFUNCTION("""COMPUTED_VALUE"""),"АИП-26")</f>
        <v>АИП-26</v>
      </c>
      <c r="C424" s="14" t="str">
        <f>IFERROR(__xludf.DUMMYFUNCTION("""COMPUTED_VALUE"""),"ОКС")</f>
        <v>ОКС</v>
      </c>
      <c r="D424" s="72"/>
      <c r="E424" s="14" t="str">
        <f>IFERROR(__xludf.DUMMYFUNCTION("""COMPUTED_VALUE"""),"ДОУ на 150 мест, г.о. Щербинка, кв-л Южный г. Москва, г.о. Щербинка, кв-л Южный. ул. Овражная вл. 7-9")</f>
        <v>ДОУ на 150 мест, г.о. Щербинка, кв-л Южный г. Москва, г.о. Щербинка, кв-л Южный. ул. Овражная вл. 7-9</v>
      </c>
      <c r="F424" s="25" t="str">
        <f>IFERROR(__xludf.DUMMYFUNCTION("""COMPUTED_VALUE"""),"55.49255981187333")</f>
        <v>55.49255981187333</v>
      </c>
      <c r="G424" s="6" t="str">
        <f>IFERROR(__xludf.DUMMYFUNCTION("""COMPUTED_VALUE"""),"37.552906880950104")</f>
        <v>37.552906880950104</v>
      </c>
      <c r="H424" s="18" t="str">
        <f>IFERROR(__xludf.DUMMYFUNCTION("""COMPUTED_VALUE"""),"https://docs.google.com/spreadsheets/d/19THEBTE9q0fhN2eApZr6BgenIvLGh0AckaYxHQfHk5w/edit?gid=799259912#gid=799259912")</f>
        <v>https://docs.google.com/spreadsheets/d/19THEBTE9q0fhN2eApZr6BgenIvLGh0AckaYxHQfHk5w/edit?gid=799259912#gid=799259912</v>
      </c>
      <c r="I424" s="19" t="str">
        <f>IFERROR(__xludf.DUMMYFUNCTION("""COMPUTED_VALUE"""),"https://disk.yandex.ru/client/disk/Осмотры%20объектов%20АНО%20СМГ/022.%20ДОУ%20150%2C%20Щербинка%20Овражная")</f>
        <v>https://disk.yandex.ru/client/disk/Осмотры%20объектов%20АНО%20СМГ/022.%20ДОУ%20150%2C%20Щербинка%20Овражная</v>
      </c>
      <c r="J424" s="50">
        <f>IFERROR(__xludf.DUMMYFUNCTION("""COMPUTED_VALUE"""),56.214062500000004)</f>
        <v>56.2140625</v>
      </c>
      <c r="K424" s="58">
        <f>IFERROR(__xludf.DUMMYFUNCTION("""COMPUTED_VALUE"""),45971.0)</f>
        <v>45971</v>
      </c>
      <c r="L424" s="6">
        <v>14.0</v>
      </c>
      <c r="M424" s="52">
        <v>45985.0</v>
      </c>
      <c r="N424" s="53" t="s">
        <v>711</v>
      </c>
      <c r="O424" s="19" t="s">
        <v>901</v>
      </c>
      <c r="P424" s="6"/>
      <c r="Q424" s="6"/>
      <c r="R424" s="6"/>
    </row>
    <row r="425">
      <c r="A425" s="31" t="str">
        <f>IFERROR(__xludf.DUMMYFUNCTION("""COMPUTED_VALUE"""),"158")</f>
        <v>158</v>
      </c>
      <c r="B425" s="14" t="str">
        <f>IFERROR(__xludf.DUMMYFUNCTION("""COMPUTED_VALUE"""),"АИП-26")</f>
        <v>АИП-26</v>
      </c>
      <c r="C425" s="14" t="str">
        <f>IFERROR(__xludf.DUMMYFUNCTION("""COMPUTED_VALUE"""),"ОКС")</f>
        <v>ОКС</v>
      </c>
      <c r="D425" s="72"/>
      <c r="E425" s="14" t="str">
        <f>IFERROR(__xludf.DUMMYFUNCTION("""COMPUTED_VALUE"""),"ДОУ на 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57")</f>
        <v>ДОУ на 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57</v>
      </c>
      <c r="F425" s="25" t="str">
        <f>IFERROR(__xludf.DUMMYFUNCTION("""COMPUTED_VALUE"""),"55.565322025765866")</f>
        <v>55.565322025765866</v>
      </c>
      <c r="G425" s="6" t="str">
        <f>IFERROR(__xludf.DUMMYFUNCTION("""COMPUTED_VALUE"""),"37.454323375607736")</f>
        <v>37.454323375607736</v>
      </c>
      <c r="H425" s="18" t="str">
        <f>IFERROR(__xludf.DUMMYFUNCTION("""COMPUTED_VALUE"""),"https://docs.google.com/spreadsheets/d/19THEBTE9q0fhN2eApZr6BgenIvLGh0AckaYxHQfHk5w/edit?gid=411584618#gid=411584618")</f>
        <v>https://docs.google.com/spreadsheets/d/19THEBTE9q0fhN2eApZr6BgenIvLGh0AckaYxHQfHk5w/edit?gid=411584618#gid=411584618</v>
      </c>
      <c r="I425" s="19" t="str">
        <f>IFERROR(__xludf.DUMMYFUNCTION("""COMPUTED_VALUE"""),"https://disk.yandex.ru/client/disk/Осмотры%20объектов%20АНО%20СМГ/158.%20ДОУ%20на%20200%20мест%20на%20территории%20АДЦ%20«Коммунарка»")</f>
        <v>https://disk.yandex.ru/client/disk/Осмотры%20объектов%20АНО%20СМГ/158.%20ДОУ%20на%20200%20мест%20на%20территории%20АДЦ%20«Коммунарка»</v>
      </c>
      <c r="J425" s="50">
        <f>IFERROR(__xludf.DUMMYFUNCTION("""COMPUTED_VALUE"""),0.0)</f>
        <v>0</v>
      </c>
      <c r="K425" s="58">
        <f>IFERROR(__xludf.DUMMYFUNCTION("""COMPUTED_VALUE"""),45954.0)</f>
        <v>45954</v>
      </c>
      <c r="L425" s="6">
        <v>30.0</v>
      </c>
      <c r="M425" s="52">
        <v>45984.0</v>
      </c>
      <c r="N425" s="53" t="s">
        <v>741</v>
      </c>
      <c r="O425" s="19" t="s">
        <v>902</v>
      </c>
      <c r="P425" s="6"/>
      <c r="Q425" s="6"/>
      <c r="R425" s="6"/>
    </row>
    <row r="426">
      <c r="A426" s="31" t="str">
        <f>IFERROR(__xludf.DUMMYFUNCTION("""COMPUTED_VALUE"""),"157")</f>
        <v>157</v>
      </c>
      <c r="B426" s="14" t="str">
        <f>IFERROR(__xludf.DUMMYFUNCTION("""COMPUTED_VALUE"""),"АИП-26")</f>
        <v>АИП-26</v>
      </c>
      <c r="C426" s="14" t="str">
        <f>IFERROR(__xludf.DUMMYFUNCTION("""COMPUTED_VALUE"""),"ОКС")</f>
        <v>ОКС</v>
      </c>
      <c r="D426" s="72"/>
      <c r="E426" s="14" t="str">
        <f>IFERROR(__xludf.DUMMYFUNCTION("""COMPUTED_VALUE"""),"ДОУ на 265 мест с бассейном на территории Административно-делового центра в п.Коммунарка г. Москва, поселение Сосенское, п. Коммунарка, территория Административно-делового центра, уч 56")</f>
        <v>ДОУ на 265 мест с бассейном на территории Административно-делового центра в п.Коммунарка г. Москва, поселение Сосенское, п. Коммунарка, территория Административно-делового центра, уч 56</v>
      </c>
      <c r="F426" s="25" t="str">
        <f>IFERROR(__xludf.DUMMYFUNCTION("""COMPUTED_VALUE"""),"55.56385067121409")</f>
        <v>55.56385067121409</v>
      </c>
      <c r="G426" s="6" t="str">
        <f>IFERROR(__xludf.DUMMYFUNCTION("""COMPUTED_VALUE"""),"37.45511194505948")</f>
        <v>37.45511194505948</v>
      </c>
      <c r="H426" s="18" t="str">
        <f>IFERROR(__xludf.DUMMYFUNCTION("""COMPUTED_VALUE"""),"https://docs.google.com/spreadsheets/d/19THEBTE9q0fhN2eApZr6BgenIvLGh0AckaYxHQfHk5w/edit?gid=1064873250#gid=1064873250")</f>
        <v>https://docs.google.com/spreadsheets/d/19THEBTE9q0fhN2eApZr6BgenIvLGh0AckaYxHQfHk5w/edit?gid=1064873250#gid=1064873250</v>
      </c>
      <c r="I426" s="19" t="str">
        <f>IFERROR(__xludf.DUMMYFUNCTION("""COMPUTED_VALUE"""),"https://disk.yandex.ru/client/disk/Осмотры%20объектов%20АНО%20СМГ/157.%20ДОУ%20на%20265%20мест%20с%20бассейном%20на%20территории%20АДЦ%20«Коммунарка»")</f>
        <v>https://disk.yandex.ru/client/disk/Осмотры%20объектов%20АНО%20СМГ/157.%20ДОУ%20на%20265%20мест%20с%20бассейном%20на%20территории%20АДЦ%20«Коммунарка»</v>
      </c>
      <c r="J426" s="50">
        <f>IFERROR(__xludf.DUMMYFUNCTION("""COMPUTED_VALUE"""),0.0)</f>
        <v>0</v>
      </c>
      <c r="K426" s="58">
        <f>IFERROR(__xludf.DUMMYFUNCTION("""COMPUTED_VALUE"""),45954.0)</f>
        <v>45954</v>
      </c>
      <c r="L426" s="6">
        <v>30.0</v>
      </c>
      <c r="M426" s="52">
        <v>45984.0</v>
      </c>
      <c r="N426" s="53" t="s">
        <v>741</v>
      </c>
      <c r="O426" s="19" t="s">
        <v>903</v>
      </c>
      <c r="P426" s="6"/>
      <c r="Q426" s="6"/>
      <c r="R426" s="6"/>
    </row>
    <row r="427">
      <c r="A427" s="31" t="str">
        <f>IFERROR(__xludf.DUMMYFUNCTION("""COMPUTED_VALUE"""),"1054д")</f>
        <v>1054д</v>
      </c>
      <c r="B427" s="14" t="str">
        <f>IFERROR(__xludf.DUMMYFUNCTION("""COMPUTED_VALUE"""),"АИП-26")</f>
        <v>АИП-26</v>
      </c>
      <c r="C427" s="14" t="str">
        <f>IFERROR(__xludf.DUMMYFUNCTION("""COMPUTED_VALUE"""),"УДС")</f>
        <v>УДС</v>
      </c>
      <c r="D427" s="72"/>
      <c r="E427" s="14" t="str">
        <f>IFERROR(__xludf.DUMMYFUNCTION("""COMPUTED_VALUE"""),"015-0556 605-02 Городские инженерные коммуникации для комплексной реконструкции мкр.1 р-на Царицыно 1-ый мкр Царицыно")</f>
        <v>015-0556 605-02 Городские инженерные коммуникации для комплексной реконструкции мкр.1 р-на Царицыно 1-ый мкр Царицыно</v>
      </c>
      <c r="F427" s="25" t="str">
        <f>IFERROR(__xludf.DUMMYFUNCTION("""COMPUTED_VALUE"""),"55.63530081887513")</f>
        <v>55.63530081887513</v>
      </c>
      <c r="G427" s="6" t="str">
        <f>IFERROR(__xludf.DUMMYFUNCTION("""COMPUTED_VALUE"""),"37.66292317664127")</f>
        <v>37.66292317664127</v>
      </c>
      <c r="H427" s="6"/>
      <c r="I427" s="6" t="str">
        <f>IFERROR(__xludf.DUMMYFUNCTION("""COMPUTED_VALUE"""),"https://disk.yandex.ru/client/disk/Осмотры%20объектов%20АНО%20СМГ/1054.%20Городские%20индженерные%20коммуникации%20для%20комплексной%20реконструкции%20мкр.%201%20Царицино")</f>
        <v>https://disk.yandex.ru/client/disk/Осмотры%20объектов%20АНО%20СМГ/1054.%20Городские%20индженерные%20коммуникации%20для%20комплексной%20реконструкции%20мкр.%201%20Царицино</v>
      </c>
      <c r="J427" s="50">
        <f>IFERROR(__xludf.DUMMYFUNCTION("""COMPUTED_VALUE"""),64.575)</f>
        <v>64.575</v>
      </c>
      <c r="K427" s="58">
        <f>IFERROR(__xludf.DUMMYFUNCTION("""COMPUTED_VALUE"""),45954.0)</f>
        <v>45954</v>
      </c>
      <c r="L427" s="6">
        <v>14.0</v>
      </c>
      <c r="M427" s="52">
        <v>45968.0</v>
      </c>
      <c r="N427" s="53" t="s">
        <v>668</v>
      </c>
      <c r="O427" s="6" t="s">
        <v>904</v>
      </c>
      <c r="P427" s="6"/>
      <c r="Q427" s="6"/>
      <c r="R427" s="6"/>
    </row>
    <row r="428">
      <c r="A428" s="31" t="str">
        <f>IFERROR(__xludf.DUMMYFUNCTION("""COMPUTED_VALUE"""),"306д (сводный)")</f>
        <v>306д (сводный)</v>
      </c>
      <c r="B428" s="14" t="str">
        <f>IFERROR(__xludf.DUMMYFUNCTION("""COMPUTED_VALUE"""),"АИП-26")</f>
        <v>АИП-26</v>
      </c>
      <c r="C428" s="14" t="str">
        <f>IFERROR(__xludf.DUMMYFUNCTION("""COMPUTED_VALUE"""),"УДС")</f>
        <v>УДС</v>
      </c>
      <c r="D428" s="72"/>
      <c r="E428"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4.6, 4.7, 1.2. ")</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4.6, 4.7, 1.2. </v>
      </c>
      <c r="F428" s="25" t="str">
        <f>IFERROR(__xludf.DUMMYFUNCTION("""COMPUTED_VALUE"""),"#N/A")</f>
        <v>#N/A</v>
      </c>
      <c r="G428" s="6" t="str">
        <f>IFERROR(__xludf.DUMMYFUNCTION("""COMPUTED_VALUE"""),"#N/A")</f>
        <v>#N/A</v>
      </c>
      <c r="H428" s="6"/>
      <c r="I428" s="6"/>
      <c r="J428" s="50"/>
      <c r="K428" s="58"/>
      <c r="L428" s="6">
        <v>30.0</v>
      </c>
      <c r="M428" s="52" t="s">
        <v>655</v>
      </c>
      <c r="N428" s="53" t="s">
        <v>698</v>
      </c>
      <c r="O428" s="6"/>
      <c r="P428" s="6"/>
      <c r="Q428" s="6"/>
      <c r="R428" s="6"/>
    </row>
    <row r="429">
      <c r="A429" s="31" t="str">
        <f>IFERROR(__xludf.DUMMYFUNCTION("""COMPUTED_VALUE"""),"306д (этап 3.3)")</f>
        <v>306д (этап 3.3)</v>
      </c>
      <c r="B429" s="14"/>
      <c r="C429" s="14" t="str">
        <f>IFERROR(__xludf.DUMMYFUNCTION("""COMPUTED_VALUE"""),"УДС")</f>
        <v>УДС</v>
      </c>
      <c r="D429" s="72"/>
      <c r="E429"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пересечение МКАД с ул."&amp;" 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пересечение МКАД с ул. Капотня</v>
      </c>
      <c r="F429" s="25" t="str">
        <f>IFERROR(__xludf.DUMMYFUNCTION("""COMPUTED_VALUE"""),"#N/A")</f>
        <v>#N/A</v>
      </c>
      <c r="G429" s="6" t="str">
        <f>IFERROR(__xludf.DUMMYFUNCTION("""COMPUTED_VALUE"""),"#N/A")</f>
        <v>#N/A</v>
      </c>
      <c r="H429" s="6"/>
      <c r="I429" s="6"/>
      <c r="J429" s="50"/>
      <c r="K429" s="58"/>
      <c r="L429" s="6">
        <v>30.0</v>
      </c>
      <c r="M429" s="52" t="s">
        <v>655</v>
      </c>
      <c r="N429" s="53" t="s">
        <v>698</v>
      </c>
      <c r="O429" s="6" t="s">
        <v>905</v>
      </c>
      <c r="P429" s="6"/>
      <c r="Q429" s="6"/>
      <c r="R429" s="6"/>
    </row>
    <row r="430">
      <c r="A430" s="31" t="str">
        <f>IFERROR(__xludf.DUMMYFUNCTION("""COMPUTED_VALUE"""),"306д (этап 4.6)")</f>
        <v>306д (этап 4.6)</v>
      </c>
      <c r="B430" s="14"/>
      <c r="C430" s="14" t="str">
        <f>IFERROR(__xludf.DUMMYFUNCTION("""COMPUTED_VALUE"""),"УДС")</f>
        <v>УДС</v>
      </c>
      <c r="D430" s="73"/>
      <c r="E430"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4.6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4.6 пересечение МКАД с ул. Капотня</v>
      </c>
      <c r="F430" s="25" t="str">
        <f>IFERROR(__xludf.DUMMYFUNCTION("""COMPUTED_VALUE"""),"#N/A")</f>
        <v>#N/A</v>
      </c>
      <c r="G430" s="6" t="str">
        <f>IFERROR(__xludf.DUMMYFUNCTION("""COMPUTED_VALUE"""),"#N/A")</f>
        <v>#N/A</v>
      </c>
      <c r="H430" s="6"/>
      <c r="I430" s="6"/>
      <c r="J430" s="50"/>
      <c r="K430" s="58"/>
      <c r="L430" s="6">
        <v>30.0</v>
      </c>
      <c r="M430" s="52" t="s">
        <v>655</v>
      </c>
      <c r="N430" s="53" t="s">
        <v>698</v>
      </c>
      <c r="O430" s="6" t="s">
        <v>906</v>
      </c>
      <c r="P430" s="6"/>
      <c r="Q430" s="6"/>
      <c r="R430" s="6"/>
    </row>
    <row r="431">
      <c r="A431" s="31" t="str">
        <f>IFERROR(__xludf.DUMMYFUNCTION("""COMPUTED_VALUE"""),"306д (этап 4.7)")</f>
        <v>306д (этап 4.7)</v>
      </c>
      <c r="B431" s="14"/>
      <c r="C431" s="14" t="str">
        <f>IFERROR(__xludf.DUMMYFUNCTION("""COMPUTED_VALUE"""),"УДС")</f>
        <v>УДС</v>
      </c>
      <c r="D431" s="69"/>
      <c r="E431"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4.7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4.7 пересечение МКАД с ул. Капотня</v>
      </c>
      <c r="F431" s="25" t="str">
        <f>IFERROR(__xludf.DUMMYFUNCTION("""COMPUTED_VALUE"""),"#N/A")</f>
        <v>#N/A</v>
      </c>
      <c r="G431" s="6" t="str">
        <f>IFERROR(__xludf.DUMMYFUNCTION("""COMPUTED_VALUE"""),"#N/A")</f>
        <v>#N/A</v>
      </c>
      <c r="H431" s="6"/>
      <c r="I431" s="6"/>
      <c r="J431" s="50"/>
      <c r="K431" s="58"/>
      <c r="L431" s="6">
        <v>30.0</v>
      </c>
      <c r="M431" s="52" t="s">
        <v>655</v>
      </c>
      <c r="N431" s="53" t="s">
        <v>698</v>
      </c>
      <c r="O431" s="6" t="s">
        <v>905</v>
      </c>
      <c r="P431" s="6"/>
      <c r="Q431" s="6"/>
      <c r="R431" s="6"/>
    </row>
    <row r="432">
      <c r="A432" s="31" t="str">
        <f>IFERROR(__xludf.DUMMYFUNCTION("""COMPUTED_VALUE"""),"306д (этап 1.2)")</f>
        <v>306д (этап 1.2)</v>
      </c>
      <c r="B432" s="14"/>
      <c r="C432" s="14" t="str">
        <f>IFERROR(__xludf.DUMMYFUNCTION("""COMPUTED_VALUE"""),"УДС")</f>
        <v>УДС</v>
      </c>
      <c r="D432" s="60"/>
      <c r="E432"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1.2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1.2 пересечение МКАД с ул. Капотня</v>
      </c>
      <c r="F432" s="25" t="str">
        <f>IFERROR(__xludf.DUMMYFUNCTION("""COMPUTED_VALUE"""),"#N/A")</f>
        <v>#N/A</v>
      </c>
      <c r="G432" s="6" t="str">
        <f>IFERROR(__xludf.DUMMYFUNCTION("""COMPUTED_VALUE"""),"#N/A")</f>
        <v>#N/A</v>
      </c>
      <c r="H432" s="6"/>
      <c r="I432" s="6"/>
      <c r="J432" s="50"/>
      <c r="K432" s="58"/>
      <c r="L432" s="6">
        <v>30.0</v>
      </c>
      <c r="M432" s="52" t="s">
        <v>655</v>
      </c>
      <c r="N432" s="53" t="s">
        <v>698</v>
      </c>
      <c r="O432" s="6" t="s">
        <v>905</v>
      </c>
      <c r="P432" s="6"/>
      <c r="Q432" s="6"/>
      <c r="R432" s="6"/>
    </row>
    <row r="433">
      <c r="A433" s="31" t="str">
        <f>IFERROR(__xludf.DUMMYFUNCTION("""COMPUTED_VALUE"""),"1132 (этап 1)")</f>
        <v>1132 (этап 1)</v>
      </c>
      <c r="B433" s="14" t="str">
        <f>IFERROR(__xludf.DUMMYFUNCTION("""COMPUTED_VALUE"""),"АИП-26")</f>
        <v>АИП-26</v>
      </c>
      <c r="C433" s="14" t="str">
        <f>IFERROR(__xludf.DUMMYFUNCTION("""COMPUTED_VALUE"""),"УДС")</f>
        <v>УДС</v>
      </c>
      <c r="D433" s="60"/>
      <c r="E433" s="14" t="str">
        <f>IFERROR(__xludf.DUMMYFUNCTION("""COMPUTED_VALUE"""),"Технологическая часть ТПУ на станции метро ""Авиамоторная"". Этапы 1, г.Москва,
 м. ""Авиамоторная""")</f>
        <v>Технологическая часть ТПУ на станции метро "Авиамоторная". Этапы 1, г.Москва,
 м. "Авиамоторная"</v>
      </c>
      <c r="F433" s="25" t="str">
        <f>IFERROR(__xludf.DUMMYFUNCTION("""COMPUTED_VALUE"""),"55.752962604373806")</f>
        <v>55.752962604373806</v>
      </c>
      <c r="G433" s="6" t="str">
        <f>IFERROR(__xludf.DUMMYFUNCTION("""COMPUTED_VALUE"""),"37.71994250729798")</f>
        <v>37.71994250729798</v>
      </c>
      <c r="H433" s="18" t="str">
        <f>IFERROR(__xludf.DUMMYFUNCTION("""COMPUTED_VALUE"""),"https://docs.google.com/spreadsheets/d/1jonEGMB3UFHiUZpltF1zURon8gYN7jGSHu-k9t5TXnA/edit?gid=489526164#gid=489526164")</f>
        <v>https://docs.google.com/spreadsheets/d/1jonEGMB3UFHiUZpltF1zURon8gYN7jGSHu-k9t5TXnA/edit?gid=489526164#gid=489526164</v>
      </c>
      <c r="I433"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3" s="50">
        <f>IFERROR(__xludf.DUMMYFUNCTION("""COMPUTED_VALUE"""),100.0)</f>
        <v>100</v>
      </c>
      <c r="K433" s="58">
        <f>IFERROR(__xludf.DUMMYFUNCTION("""COMPUTED_VALUE"""),45972.0)</f>
        <v>45972</v>
      </c>
      <c r="L433" s="6" t="s">
        <v>654</v>
      </c>
      <c r="M433" s="52" t="s">
        <v>655</v>
      </c>
      <c r="N433" s="53" t="s">
        <v>656</v>
      </c>
      <c r="O433" s="6" t="s">
        <v>907</v>
      </c>
      <c r="P433" s="6"/>
      <c r="Q433" s="6"/>
      <c r="R433" s="6"/>
    </row>
    <row r="434">
      <c r="A434" s="31" t="str">
        <f>IFERROR(__xludf.DUMMYFUNCTION("""COMPUTED_VALUE"""),"1132 (этап 3)")</f>
        <v>1132 (этап 3)</v>
      </c>
      <c r="B434" s="14" t="str">
        <f>IFERROR(__xludf.DUMMYFUNCTION("""COMPUTED_VALUE"""),"АИП-26")</f>
        <v>АИП-26</v>
      </c>
      <c r="C434" s="14" t="str">
        <f>IFERROR(__xludf.DUMMYFUNCTION("""COMPUTED_VALUE"""),"УДС")</f>
        <v>УДС</v>
      </c>
      <c r="D434" s="60"/>
      <c r="E434" s="14" t="str">
        <f>IFERROR(__xludf.DUMMYFUNCTION("""COMPUTED_VALUE"""),"Технологическая часть ТПУ на станции метро ""Авиамоторная"". Этапы 3 (Строительство трамвайного кольца с конечной станцией, перронов посадки-высадки пассажиров НГПТ у вестибюля № 1"" г.Москва,
 м. ""Авиамоторная""")</f>
        <v>Технологическая часть ТПУ на станции метро "Авиамоторная". Этапы 3 (Строительство трамвайного кольца с конечной станцией, перронов посадки-высадки пассажиров НГПТ у вестибюля № 1" г.Москва,
 м. "Авиамоторная"</v>
      </c>
      <c r="F434" s="25" t="str">
        <f>IFERROR(__xludf.DUMMYFUNCTION("""COMPUTED_VALUE"""),"55.752962604373806")</f>
        <v>55.752962604373806</v>
      </c>
      <c r="G434" s="6" t="str">
        <f>IFERROR(__xludf.DUMMYFUNCTION("""COMPUTED_VALUE"""),"37.71994250729798")</f>
        <v>37.71994250729798</v>
      </c>
      <c r="H434" s="18" t="str">
        <f>IFERROR(__xludf.DUMMYFUNCTION("""COMPUTED_VALUE"""),"https://docs.google.com/spreadsheets/d/1jonEGMB3UFHiUZpltF1zURon8gYN7jGSHu-k9t5TXnA/edit?gid=337450969#gid=337450969")</f>
        <v>https://docs.google.com/spreadsheets/d/1jonEGMB3UFHiUZpltF1zURon8gYN7jGSHu-k9t5TXnA/edit?gid=337450969#gid=337450969</v>
      </c>
      <c r="I434"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4" s="50">
        <f>IFERROR(__xludf.DUMMYFUNCTION("""COMPUTED_VALUE"""),41.255)</f>
        <v>41.255</v>
      </c>
      <c r="K434" s="58">
        <f>IFERROR(__xludf.DUMMYFUNCTION("""COMPUTED_VALUE"""),45959.0)</f>
        <v>45959</v>
      </c>
      <c r="L434" s="6">
        <v>30.0</v>
      </c>
      <c r="M434" s="52">
        <v>45989.0</v>
      </c>
      <c r="N434" s="53" t="s">
        <v>692</v>
      </c>
      <c r="O434" s="6" t="s">
        <v>908</v>
      </c>
      <c r="P434" s="6"/>
      <c r="Q434" s="6"/>
      <c r="R434" s="6"/>
    </row>
    <row r="435">
      <c r="A435" s="31" t="str">
        <f>IFERROR(__xludf.DUMMYFUNCTION("""COMPUTED_VALUE"""),"1132 (этап 4)")</f>
        <v>1132 (этап 4)</v>
      </c>
      <c r="B435" s="14" t="str">
        <f>IFERROR(__xludf.DUMMYFUNCTION("""COMPUTED_VALUE"""),"АИП-26")</f>
        <v>АИП-26</v>
      </c>
      <c r="C435" s="14" t="str">
        <f>IFERROR(__xludf.DUMMYFUNCTION("""COMPUTED_VALUE"""),"УДС")</f>
        <v>УДС</v>
      </c>
      <c r="D435" s="60"/>
      <c r="E435" s="14" t="str">
        <f>IFERROR(__xludf.DUMMYFUNCTION("""COMPUTED_VALUE"""),"Технологическая часть ТПУ на станции метро ""Авиамоторная"". Этапы 4 (Реконструкция проезда под Дангауэровским путепроводом и выезда на шоссе Энтузиастов включая шумозащитные сероприятия"" г.Москва,
 м. ""Авиамоторная""")</f>
        <v>Технологическая часть ТПУ на станции метро "Авиамоторная". Этапы 4 (Реконструкция проезда под Дангауэровским путепроводом и выезда на шоссе Энтузиастов включая шумозащитные сероприятия" г.Москва,
 м. "Авиамоторная"</v>
      </c>
      <c r="F435" s="25" t="str">
        <f>IFERROR(__xludf.DUMMYFUNCTION("""COMPUTED_VALUE"""),"55.752962604373806")</f>
        <v>55.752962604373806</v>
      </c>
      <c r="G435" s="6" t="str">
        <f>IFERROR(__xludf.DUMMYFUNCTION("""COMPUTED_VALUE"""),"37.71994250729798")</f>
        <v>37.71994250729798</v>
      </c>
      <c r="H435" s="18" t="str">
        <f>IFERROR(__xludf.DUMMYFUNCTION("""COMPUTED_VALUE"""),"https://docs.google.com/spreadsheets/d/1jonEGMB3UFHiUZpltF1zURon8gYN7jGSHu-k9t5TXnA/edit?gid=1435875576#gid=1435875576")</f>
        <v>https://docs.google.com/spreadsheets/d/1jonEGMB3UFHiUZpltF1zURon8gYN7jGSHu-k9t5TXnA/edit?gid=1435875576#gid=1435875576</v>
      </c>
      <c r="I435"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5" s="50">
        <f>IFERROR(__xludf.DUMMYFUNCTION("""COMPUTED_VALUE"""),100.0)</f>
        <v>100</v>
      </c>
      <c r="K435" s="58">
        <f>IFERROR(__xludf.DUMMYFUNCTION("""COMPUTED_VALUE"""),45959.0)</f>
        <v>45959</v>
      </c>
      <c r="L435" s="6" t="s">
        <v>654</v>
      </c>
      <c r="M435" s="52" t="s">
        <v>655</v>
      </c>
      <c r="N435" s="53" t="s">
        <v>656</v>
      </c>
      <c r="O435" s="6" t="s">
        <v>909</v>
      </c>
      <c r="P435" s="6"/>
      <c r="Q435" s="6"/>
      <c r="R435" s="6"/>
    </row>
    <row r="436">
      <c r="A436" s="31"/>
      <c r="B436" s="14" t="str">
        <f>IFERROR(__xludf.DUMMYFUNCTION("""COMPUTED_VALUE"""),"АИП-26")</f>
        <v>АИП-26</v>
      </c>
      <c r="C436" s="14" t="str">
        <f>IFERROR(__xludf.DUMMYFUNCTION("""COMPUTED_VALUE"""),"УДС")</f>
        <v>УДС</v>
      </c>
      <c r="D436" s="60"/>
      <c r="E436" s="14" t="str">
        <f>IFERROR(__xludf.DUMMYFUNCTION("""COMPUTED_VALUE"""),"Технологическая часть ТПУ на станции метро ""Авиамоторная"". Этапы 6 (Строительство проезда 1210"" по адресу район Соколиная гора, Восточный административный округ города Москвы, район Лефортово, Юго-Восточный административный округ города Москвы) г.Москв"&amp;"а,
 м. ""Авиамоторная""")</f>
        <v>Технологическая часть ТПУ на станции метро "Авиамоторная". Этапы 6 (Строительство проезда 1210" по адресу район Соколиная гора, Восточный административный округ города Москвы, район Лефортово, Юго-Восточный административный округ города Москвы) г.Москва,
 м. "Авиамоторная"</v>
      </c>
      <c r="F436" s="25" t="str">
        <f>IFERROR(__xludf.DUMMYFUNCTION("""COMPUTED_VALUE"""),"#N/A")</f>
        <v>#N/A</v>
      </c>
      <c r="G436" s="6" t="str">
        <f>IFERROR(__xludf.DUMMYFUNCTION("""COMPUTED_VALUE"""),"#N/A")</f>
        <v>#N/A</v>
      </c>
      <c r="H436" s="6"/>
      <c r="I436"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6" s="50"/>
      <c r="K436" s="58"/>
      <c r="L436" s="6" t="s">
        <v>655</v>
      </c>
      <c r="M436" s="52" t="s">
        <v>655</v>
      </c>
      <c r="N436" s="53" t="s">
        <v>655</v>
      </c>
      <c r="O436" s="6" t="s">
        <v>910</v>
      </c>
      <c r="P436" s="6"/>
      <c r="Q436" s="6"/>
      <c r="R436" s="6"/>
    </row>
    <row r="437">
      <c r="A437" s="31" t="str">
        <f>IFERROR(__xludf.DUMMYFUNCTION("""COMPUTED_VALUE"""),"1147")</f>
        <v>1147</v>
      </c>
      <c r="B437" s="14" t="str">
        <f>IFERROR(__xludf.DUMMYFUNCTION("""COMPUTED_VALUE"""),"АИП-26")</f>
        <v>АИП-26</v>
      </c>
      <c r="C437" s="14" t="str">
        <f>IFERROR(__xludf.DUMMYFUNCTION("""COMPUTED_VALUE"""),"ОКС")</f>
        <v>ОКС</v>
      </c>
      <c r="D437" s="60"/>
      <c r="E437" s="14" t="str">
        <f>IFERROR(__xludf.DUMMYFUNCTION("""COMPUTED_VALUE"""),"""Здание образовательной организации на 1450 мест (1200 школьных и 250 дошкольных), пос. Вороновское"" поселение Вороновское, поселок ЛМС, микрорайон Центральный, земельный участок
10Б")</f>
        <v>"Здание образовательной организации на 1450 мест (1200 школьных и 250 дошкольных), пос. Вороновское" поселение Вороновское, поселок ЛМС, микрорайон Центральный, земельный участок
10Б</v>
      </c>
      <c r="F437" s="25" t="str">
        <f>IFERROR(__xludf.DUMMYFUNCTION("""COMPUTED_VALUE"""),"55.31395538906738")</f>
        <v>55.31395538906738</v>
      </c>
      <c r="G437" s="6" t="str">
        <f>IFERROR(__xludf.DUMMYFUNCTION("""COMPUTED_VALUE"""),"37.174944489286595")</f>
        <v>37.174944489286595</v>
      </c>
      <c r="H437" s="18" t="str">
        <f>IFERROR(__xludf.DUMMYFUNCTION("""COMPUTED_VALUE"""),"https://docs.google.com/spreadsheets/d/19THEBTE9q0fhN2eApZr6BgenIvLGh0AckaYxHQfHk5w/edit?gid=141428453#gid=141428453")</f>
        <v>https://docs.google.com/spreadsheets/d/19THEBTE9q0fhN2eApZr6BgenIvLGh0AckaYxHQfHk5w/edit?gid=141428453#gid=141428453</v>
      </c>
      <c r="I437" s="19" t="str">
        <f>IFERROR(__xludf.DUMMYFUNCTION("""COMPUTED_VALUE"""),"https://disk.yandex.ru/client/disk/Осмотры%20объектов%20АНО%20СМГ/1147.%20Здание%20образовательной%20организации%20на%201450%20мест%20(1200%20школьных%20и%20250%20дошкольных)")</f>
        <v>https://disk.yandex.ru/client/disk/Осмотры%20объектов%20АНО%20СМГ/1147.%20Здание%20образовательной%20организации%20на%201450%20мест%20(1200%20школьных%20и%20250%20дошкольных)</v>
      </c>
      <c r="J437" s="50">
        <f>IFERROR(__xludf.DUMMYFUNCTION("""COMPUTED_VALUE"""),23.104999999999997)</f>
        <v>23.105</v>
      </c>
      <c r="K437" s="58">
        <f>IFERROR(__xludf.DUMMYFUNCTION("""COMPUTED_VALUE"""),45971.0)</f>
        <v>45971</v>
      </c>
      <c r="L437" s="6">
        <v>30.0</v>
      </c>
      <c r="M437" s="52">
        <v>46001.0</v>
      </c>
      <c r="N437" s="53" t="s">
        <v>711</v>
      </c>
      <c r="O437" s="19" t="s">
        <v>911</v>
      </c>
      <c r="P437" s="6"/>
      <c r="Q437" s="6"/>
      <c r="R437" s="6"/>
    </row>
    <row r="438">
      <c r="A438" s="31" t="str">
        <f>IFERROR(__xludf.DUMMYFUNCTION("""COMPUTED_VALUE"""),"213д")</f>
        <v>213д</v>
      </c>
      <c r="B438" s="14" t="str">
        <f>IFERROR(__xludf.DUMMYFUNCTION("""COMPUTED_VALUE"""),"АИП-26")</f>
        <v>АИП-26</v>
      </c>
      <c r="C438" s="14" t="str">
        <f>IFERROR(__xludf.DUMMYFUNCTION("""COMPUTED_VALUE"""),"УДС")</f>
        <v>УДС</v>
      </c>
      <c r="D438" s="60"/>
      <c r="E438" s="14" t="str">
        <f>IFERROR(__xludf.DUMMYFUNCTION("""COMPUTED_VALUE"""),"Реконструкция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"&amp;"""Доринвест"" по обслуживанию Третьего транспортного кольца г. Москвы, пр-д Серебрякова 14-В г. Москва, проезд Серебрякова, 14В")</f>
        <v>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 Москвы, пр-д Серебрякова 14-В г. Москва, проезд Серебрякова, 14В</v>
      </c>
      <c r="F438" s="25" t="str">
        <f>IFERROR(__xludf.DUMMYFUNCTION("""COMPUTED_VALUE"""),"55.845294")</f>
        <v>55.845294</v>
      </c>
      <c r="G438" s="6" t="str">
        <f>IFERROR(__xludf.DUMMYFUNCTION("""COMPUTED_VALUE"""),"37.655311")</f>
        <v>37.655311</v>
      </c>
      <c r="H438" s="6"/>
      <c r="I438" s="6"/>
      <c r="J438" s="50">
        <f>IFERROR(__xludf.DUMMYFUNCTION("""COMPUTED_VALUE"""),55.5309475)</f>
        <v>55.5309475</v>
      </c>
      <c r="K438" s="58">
        <f>IFERROR(__xludf.DUMMYFUNCTION("""COMPUTED_VALUE"""),45955.0)</f>
        <v>45955</v>
      </c>
      <c r="L438" s="6">
        <v>14.0</v>
      </c>
      <c r="M438" s="52">
        <v>45969.0</v>
      </c>
      <c r="N438" s="53" t="s">
        <v>668</v>
      </c>
      <c r="O438" s="6" t="s">
        <v>912</v>
      </c>
      <c r="P438" s="6"/>
      <c r="Q438" s="6"/>
      <c r="R438" s="6"/>
    </row>
    <row r="439">
      <c r="A439" s="31" t="str">
        <f>IFERROR(__xludf.DUMMYFUNCTION("""COMPUTED_VALUE"""),"234д")</f>
        <v>234д</v>
      </c>
      <c r="B439" s="14" t="str">
        <f>IFERROR(__xludf.DUMMYFUNCTION("""COMPUTED_VALUE"""),"АИП-26")</f>
        <v>АИП-26</v>
      </c>
      <c r="C439" s="14" t="str">
        <f>IFERROR(__xludf.DUMMYFUNCTION("""COMPUTED_VALUE"""),"УДС")</f>
        <v>УДС</v>
      </c>
      <c r="D439" s="60"/>
      <c r="E439" s="14" t="str">
        <f>IFERROR(__xludf.DUMMYFUNCTION("""COMPUTED_VALUE"""),"Строительство улично-дорожной сети: Котляковского проезда, 2-го Котляковского переулка и 1-го Варшавского проезда. Этап 1 Котляковский проезд, 2-го Котляковский переулок и 1-го Варшавский проезд")</f>
        <v>Строительство улично-дорожной сети: Котляковского проезда, 2-го Котляковского переулка и 1-го Варшавского проезда. Этап 1 Котляковский проезд, 2-го Котляковский переулок и 1-го Варшавский проезд</v>
      </c>
      <c r="F439" s="25" t="str">
        <f>IFERROR(__xludf.DUMMYFUNCTION("""COMPUTED_VALUE"""),"#N/A")</f>
        <v>#N/A</v>
      </c>
      <c r="G439" s="6" t="str">
        <f>IFERROR(__xludf.DUMMYFUNCTION("""COMPUTED_VALUE"""),"#N/A")</f>
        <v>#N/A</v>
      </c>
      <c r="H439" s="6"/>
      <c r="I439" s="6"/>
      <c r="J439" s="50">
        <f>IFERROR(__xludf.DUMMYFUNCTION("""COMPUTED_VALUE"""),48.07217750000001)</f>
        <v>48.0721775</v>
      </c>
      <c r="K439" s="58">
        <f>IFERROR(__xludf.DUMMYFUNCTION("""COMPUTED_VALUE"""),45973.0)</f>
        <v>45973</v>
      </c>
      <c r="L439" s="6">
        <v>30.0</v>
      </c>
      <c r="M439" s="52">
        <v>46003.0</v>
      </c>
      <c r="N439" s="53" t="s">
        <v>711</v>
      </c>
      <c r="O439" s="6" t="s">
        <v>913</v>
      </c>
      <c r="P439" s="6"/>
      <c r="Q439" s="6"/>
      <c r="R439" s="6"/>
    </row>
    <row r="440">
      <c r="A440" s="31" t="str">
        <f>IFERROR(__xludf.DUMMYFUNCTION("""COMPUTED_VALUE"""),"216д (этап 1)")</f>
        <v>216д (этап 1)</v>
      </c>
      <c r="B440" s="14" t="str">
        <f>IFERROR(__xludf.DUMMYFUNCTION("""COMPUTED_VALUE"""),"АИП-26")</f>
        <v>АИП-26</v>
      </c>
      <c r="C440" s="14" t="str">
        <f>IFERROR(__xludf.DUMMYFUNCTION("""COMPUTED_VALUE"""),"УДС")</f>
        <v>УДС</v>
      </c>
      <c r="D440" s="60"/>
      <c r="E440" s="14" t="str">
        <f>IFERROR(__xludf.DUMMYFUNCTION("""COMPUTED_VALUE"""),"Строительство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1 от Б. Академической ул. до ул. Академика Королев"&amp;"а")</f>
        <v>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1 от Б. Академической ул. до ул. Академика Королева</v>
      </c>
      <c r="F440" s="25" t="str">
        <f>IFERROR(__xludf.DUMMYFUNCTION("""COMPUTED_VALUE"""),"#N/A")</f>
        <v>#N/A</v>
      </c>
      <c r="G440" s="6" t="str">
        <f>IFERROR(__xludf.DUMMYFUNCTION("""COMPUTED_VALUE"""),"#N/A")</f>
        <v>#N/A</v>
      </c>
      <c r="H440" s="6"/>
      <c r="I440" s="6"/>
      <c r="J440" s="50">
        <f>IFERROR(__xludf.DUMMYFUNCTION("""COMPUTED_VALUE"""),53.51666999999999)</f>
        <v>53.51667</v>
      </c>
      <c r="K440" s="58">
        <f>IFERROR(__xludf.DUMMYFUNCTION("""COMPUTED_VALUE"""),45971.0)</f>
        <v>45971</v>
      </c>
      <c r="L440" s="6">
        <v>14.0</v>
      </c>
      <c r="M440" s="52">
        <v>45985.0</v>
      </c>
      <c r="N440" s="53" t="s">
        <v>711</v>
      </c>
      <c r="O440" s="6" t="s">
        <v>669</v>
      </c>
      <c r="P440" s="6"/>
      <c r="Q440" s="6"/>
      <c r="R440" s="6"/>
    </row>
    <row r="441">
      <c r="A441" s="31" t="str">
        <f>IFERROR(__xludf.DUMMYFUNCTION("""COMPUTED_VALUE"""),"247д (2 этап)")</f>
        <v>247д (2 этап)</v>
      </c>
      <c r="B441" s="14" t="str">
        <f>IFERROR(__xludf.DUMMYFUNCTION("""COMPUTED_VALUE"""),"АИП-26")</f>
        <v>АИП-26</v>
      </c>
      <c r="C441" s="14" t="str">
        <f>IFERROR(__xludf.DUMMYFUNCTION("""COMPUTED_VALUE"""),"УДС")</f>
        <v>УДС</v>
      </c>
      <c r="D441" s="60"/>
      <c r="E441" s="14" t="str">
        <f>IFERROR(__xludf.DUMMYFUNCTION("""COMPUTED_VALUE"""),"Строительство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2. от Б. Академической ул. до ул. Академика Короле"&amp;"ва")</f>
        <v>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2. от Б. Академической ул. до ул. Академика Королева</v>
      </c>
      <c r="F441" s="25" t="str">
        <f>IFERROR(__xludf.DUMMYFUNCTION("""COMPUTED_VALUE"""),"#N/A")</f>
        <v>#N/A</v>
      </c>
      <c r="G441" s="6" t="str">
        <f>IFERROR(__xludf.DUMMYFUNCTION("""COMPUTED_VALUE"""),"#N/A")</f>
        <v>#N/A</v>
      </c>
      <c r="H441" s="6"/>
      <c r="I441" s="6"/>
      <c r="J441" s="50">
        <f>IFERROR(__xludf.DUMMYFUNCTION("""COMPUTED_VALUE"""),38.65375)</f>
        <v>38.65375</v>
      </c>
      <c r="K441" s="58">
        <f>IFERROR(__xludf.DUMMYFUNCTION("""COMPUTED_VALUE"""),45971.0)</f>
        <v>45971</v>
      </c>
      <c r="L441" s="6">
        <v>30.0</v>
      </c>
      <c r="M441" s="52">
        <v>46001.0</v>
      </c>
      <c r="N441" s="53" t="s">
        <v>711</v>
      </c>
      <c r="O441" s="6" t="s">
        <v>669</v>
      </c>
      <c r="P441" s="6"/>
      <c r="Q441" s="6"/>
      <c r="R441" s="6"/>
    </row>
    <row r="442">
      <c r="A442" s="31" t="str">
        <f>IFERROR(__xludf.DUMMYFUNCTION("""COMPUTED_VALUE"""),"280д")</f>
        <v>280д</v>
      </c>
      <c r="B442" s="14" t="str">
        <f>IFERROR(__xludf.DUMMYFUNCTION("""COMPUTED_VALUE"""),"АИП-26")</f>
        <v>АИП-26</v>
      </c>
      <c r="C442" s="14" t="str">
        <f>IFERROR(__xludf.DUMMYFUNCTION("""COMPUTED_VALUE"""),"УДС")</f>
        <v>УДС</v>
      </c>
      <c r="D442" s="60"/>
      <c r="E442" s="14" t="str">
        <f>IFERROR(__xludf.DUMMYFUNCTION("""COMPUTED_VALUE"""),"Поморская ул. реконструкция, включая круговую развязку,проектируемый проезд 4052 вдоль Савеловского направления МЖД от Стандартной ул. до пл. Бескудниково, проезд на продолжении ул. Римского- Корсакова от Стандартной ул. до пл. Бескудниково")</f>
        <v>Поморская ул. реконструкция, включая круговую развязку,проектируемый проезд 4052 вдоль Савеловского направления МЖД от Стандартной ул. до пл. Бескудниково, проезд на продолжении ул. Римского- Корсакова от Стандартной ул. до пл. Бескудниково</v>
      </c>
      <c r="F442" s="25" t="str">
        <f>IFERROR(__xludf.DUMMYFUNCTION("""COMPUTED_VALUE"""),"#N/A")</f>
        <v>#N/A</v>
      </c>
      <c r="G442" s="6" t="str">
        <f>IFERROR(__xludf.DUMMYFUNCTION("""COMPUTED_VALUE"""),"#N/A")</f>
        <v>#N/A</v>
      </c>
      <c r="H442" s="6"/>
      <c r="I442" s="6"/>
      <c r="J442" s="50">
        <f>IFERROR(__xludf.DUMMYFUNCTION("""COMPUTED_VALUE"""),32.282500000000006)</f>
        <v>32.2825</v>
      </c>
      <c r="K442" s="58">
        <f>IFERROR(__xludf.DUMMYFUNCTION("""COMPUTED_VALUE"""),45962.0)</f>
        <v>45962</v>
      </c>
      <c r="L442" s="6">
        <v>30.0</v>
      </c>
      <c r="M442" s="52">
        <v>45992.0</v>
      </c>
      <c r="N442" s="53" t="s">
        <v>692</v>
      </c>
      <c r="O442" s="6"/>
      <c r="P442" s="6"/>
      <c r="Q442" s="6"/>
      <c r="R442" s="6"/>
    </row>
    <row r="443">
      <c r="A443" s="31" t="str">
        <f>IFERROR(__xludf.DUMMYFUNCTION("""COMPUTED_VALUE"""),"398д")</f>
        <v>398д</v>
      </c>
      <c r="B443" s="14" t="str">
        <f>IFERROR(__xludf.DUMMYFUNCTION("""COMPUTED_VALUE"""),"АИП-26")</f>
        <v>АИП-26</v>
      </c>
      <c r="C443" s="14" t="str">
        <f>IFERROR(__xludf.DUMMYFUNCTION("""COMPUTED_VALUE"""),"УДС")</f>
        <v>УДС</v>
      </c>
      <c r="D443" s="60"/>
      <c r="E443" s="14" t="str">
        <f>IFERROR(__xludf.DUMMYFUNCTION("""COMPUTED_VALUE"""),"Устройство отстойно-разворотной площадки наземного городского пассажирского транспорта в районе ул. Нижняя Хохловка в районе ул. Нижняя Хохловка")</f>
        <v>Устройство отстойно-разворотной площадки наземного городского пассажирского транспорта в районе ул. Нижняя Хохловка в районе ул. Нижняя Хохловка</v>
      </c>
      <c r="F443" s="25" t="str">
        <f>IFERROR(__xludf.DUMMYFUNCTION("""COMPUTED_VALUE"""),"#N/A")</f>
        <v>#N/A</v>
      </c>
      <c r="G443" s="6" t="str">
        <f>IFERROR(__xludf.DUMMYFUNCTION("""COMPUTED_VALUE"""),"#N/A")</f>
        <v>#N/A</v>
      </c>
      <c r="H443" s="6"/>
      <c r="I443" s="6"/>
      <c r="J443" s="50">
        <f>IFERROR(__xludf.DUMMYFUNCTION("""COMPUTED_VALUE"""),0.0)</f>
        <v>0</v>
      </c>
      <c r="K443" s="58">
        <f>IFERROR(__xludf.DUMMYFUNCTION("""COMPUTED_VALUE"""),45973.0)</f>
        <v>45973</v>
      </c>
      <c r="L443" s="6">
        <v>30.0</v>
      </c>
      <c r="M443" s="52">
        <v>46003.0</v>
      </c>
      <c r="N443" s="53" t="s">
        <v>711</v>
      </c>
      <c r="O443" s="6" t="s">
        <v>914</v>
      </c>
      <c r="P443" s="6"/>
      <c r="Q443" s="6"/>
      <c r="R443" s="6"/>
    </row>
    <row r="444">
      <c r="A444" s="31" t="str">
        <f>IFERROR(__xludf.DUMMYFUNCTION("""COMPUTED_VALUE"""),"420д")</f>
        <v>420д</v>
      </c>
      <c r="B444" s="14" t="str">
        <f>IFERROR(__xludf.DUMMYFUNCTION("""COMPUTED_VALUE"""),"АИП-26")</f>
        <v>АИП-26</v>
      </c>
      <c r="C444" s="14" t="str">
        <f>IFERROR(__xludf.DUMMYFUNCTION("""COMPUTED_VALUE"""),"УДС")</f>
        <v>УДС</v>
      </c>
      <c r="D444" s="60"/>
      <c r="E444" s="14" t="str">
        <f>IFERROR(__xludf.DUMMYFUNCTION("""COMPUTED_VALUE"""),"Транспортная развязка МКАД с Липецкой ул. Съезд на Старонагорную ул. МКАД")</f>
        <v>Транспортная развязка МКАД с Липецкой ул. Съезд на Старонагорную ул. МКАД</v>
      </c>
      <c r="F444" s="25" t="str">
        <f>IFERROR(__xludf.DUMMYFUNCTION("""COMPUTED_VALUE"""),"#N/A")</f>
        <v>#N/A</v>
      </c>
      <c r="G444" s="6" t="str">
        <f>IFERROR(__xludf.DUMMYFUNCTION("""COMPUTED_VALUE"""),"#N/A")</f>
        <v>#N/A</v>
      </c>
      <c r="H444" s="6"/>
      <c r="I444" s="6"/>
      <c r="J444" s="50">
        <f>IFERROR(__xludf.DUMMYFUNCTION("""COMPUTED_VALUE"""),0.0)</f>
        <v>0</v>
      </c>
      <c r="K444" s="58">
        <f>IFERROR(__xludf.DUMMYFUNCTION("""COMPUTED_VALUE"""),45973.0)</f>
        <v>45973</v>
      </c>
      <c r="L444" s="6">
        <v>30.0</v>
      </c>
      <c r="M444" s="52">
        <v>46003.0</v>
      </c>
      <c r="N444" s="53" t="s">
        <v>711</v>
      </c>
      <c r="O444" s="6" t="s">
        <v>915</v>
      </c>
      <c r="P444" s="6"/>
      <c r="Q444" s="6"/>
      <c r="R444" s="6"/>
    </row>
    <row r="445">
      <c r="A445" s="31" t="str">
        <f>IFERROR(__xludf.DUMMYFUNCTION("""COMPUTED_VALUE"""),"205")</f>
        <v>205</v>
      </c>
      <c r="B445" s="14" t="str">
        <f>IFERROR(__xludf.DUMMYFUNCTION("""COMPUTED_VALUE"""),"АИП-26")</f>
        <v>АИП-26</v>
      </c>
      <c r="C445" s="14" t="str">
        <f>IFERROR(__xludf.DUMMYFUNCTION("""COMPUTED_VALUE"""),"ОКС")</f>
        <v>ОКС</v>
      </c>
      <c r="D445" s="60"/>
      <c r="E445" s="14" t="str">
        <f>IFERROR(__xludf.DUMMYFUNCTION("""COMPUTED_VALUE"""),"ДОУ на 250 на территории Рождествено район Митино, 2-я Муравская улица, 21с1")</f>
        <v>ДОУ на 250 на территории Рождествено район Митино, 2-я Муравская улица, 21с1</v>
      </c>
      <c r="F445" s="25" t="str">
        <f>IFERROR(__xludf.DUMMYFUNCTION("""COMPUTED_VALUE"""),"55.86398643500764")</f>
        <v>55.86398643500764</v>
      </c>
      <c r="G445" s="6" t="str">
        <f>IFERROR(__xludf.DUMMYFUNCTION("""COMPUTED_VALUE"""),"37.369573220900726")</f>
        <v>37.369573220900726</v>
      </c>
      <c r="H445" s="18" t="str">
        <f>IFERROR(__xludf.DUMMYFUNCTION("""COMPUTED_VALUE"""),"https://docs.google.com/spreadsheets/d/19THEBTE9q0fhN2eApZr6BgenIvLGh0AckaYxHQfHk5w/edit?gid=140939233#gid=140939233")</f>
        <v>https://docs.google.com/spreadsheets/d/19THEBTE9q0fhN2eApZr6BgenIvLGh0AckaYxHQfHk5w/edit?gid=140939233#gid=140939233</v>
      </c>
      <c r="I445" s="19" t="str">
        <f>IFERROR(__xludf.DUMMYFUNCTION("""COMPUTED_VALUE"""),"https://disk.yandex.ru/client/disk/Осмотры%20объектов%20АНО%20СМГ/205.%202-я%20Муравская%2021%20стр1%20ДОУ%20250")</f>
        <v>https://disk.yandex.ru/client/disk/Осмотры%20объектов%20АНО%20СМГ/205.%202-я%20Муравская%2021%20стр1%20ДОУ%20250</v>
      </c>
      <c r="J445" s="50">
        <f>IFERROR(__xludf.DUMMYFUNCTION("""COMPUTED_VALUE"""),6.92375)</f>
        <v>6.92375</v>
      </c>
      <c r="K445" s="58">
        <f>IFERROR(__xludf.DUMMYFUNCTION("""COMPUTED_VALUE"""),45971.0)</f>
        <v>45971</v>
      </c>
      <c r="L445" s="6">
        <v>30.0</v>
      </c>
      <c r="M445" s="52">
        <v>46001.0</v>
      </c>
      <c r="N445" s="53" t="s">
        <v>711</v>
      </c>
      <c r="O445" s="19" t="s">
        <v>916</v>
      </c>
      <c r="P445" s="6"/>
      <c r="Q445" s="6"/>
      <c r="R445" s="6"/>
    </row>
    <row r="446">
      <c r="A446" s="31" t="str">
        <f>IFERROR(__xludf.DUMMYFUNCTION("""COMPUTED_VALUE"""),"219")</f>
        <v>219</v>
      </c>
      <c r="B446" s="14" t="str">
        <f>IFERROR(__xludf.DUMMYFUNCTION("""COMPUTED_VALUE"""),"АИП-26")</f>
        <v>АИП-26</v>
      </c>
      <c r="C446" s="14" t="str">
        <f>IFERROR(__xludf.DUMMYFUNCTION("""COMPUTED_VALUE"""),"ОКС")</f>
        <v>ОКС</v>
      </c>
      <c r="D446" s="60"/>
      <c r="E446" s="14" t="str">
        <f>IFERROR(__xludf.DUMMYFUNCTION("""COMPUTED_VALUE"""),"Школьное здание на 1000 мест Алтуфьевское ш., влд. 53, р-н Алтуфьевский")</f>
        <v>Школьное здание на 1000 мест Алтуфьевское ш., влд. 53, р-н Алтуфьевский</v>
      </c>
      <c r="F446" s="25" t="str">
        <f>IFERROR(__xludf.DUMMYFUNCTION("""COMPUTED_VALUE"""),"55.87221124220595")</f>
        <v>55.87221124220595</v>
      </c>
      <c r="G446" s="6" t="str">
        <f>IFERROR(__xludf.DUMMYFUNCTION("""COMPUTED_VALUE"""),"37.58387974603241")</f>
        <v>37.58387974603241</v>
      </c>
      <c r="H446" s="18" t="str">
        <f>IFERROR(__xludf.DUMMYFUNCTION("""COMPUTED_VALUE"""),"https://docs.google.com/spreadsheets/d/19THEBTE9q0fhN2eApZr6BgenIvLGh0AckaYxHQfHk5w/edit?gid=310058684#gid=310058684")</f>
        <v>https://docs.google.com/spreadsheets/d/19THEBTE9q0fhN2eApZr6BgenIvLGh0AckaYxHQfHk5w/edit?gid=310058684#gid=310058684</v>
      </c>
      <c r="I446" s="21" t="str">
        <f>IFERROR(__xludf.DUMMYFUNCTION("""COMPUTED_VALUE"""),"https://disk.yandex.ru/client/disk/%D0%9E%D1%81%D0%BC%D0%BE%D1%82%D1%80%D1%8B%20%D0%BE%D0%B1%D1%8A%D0%B5%D0%BA%D1%82%D0%BE%D0%B2%20%D0%90%D0%9D%D0%9E%20%D0%A1%D0%9C%D0%93/219.%20%D0%A8%D0%BA%D0%BE%D0%BB%D1%8C%D0%BD%D0%BE%D0%B5%20%D0%B7%D0%B4%D0%B0%D0%BD%D"&amp;"0%B8%D0%B5%20%D0%BD%D0%B0%20950%20%D0%BC%D0%B5%D1%81%D1%82%2C%20%D0%90%D0%BB%D1%82%D1%83%D1%84%D1%8C%D0%B5%D0%B2%D1%81%D0%BA%D0%BE%D0%B5%20%D1%88.%2C%20%D0%B2%D0%BB%D0%B4.%2053%2C%20%D1%80-%D0%BD%20%D0%90%D0%BB%D1%82%D1%83%D1%84%D1%8C%D0%B5%D0%B2%D1%81%D0"&amp;"%BA%D0%B8%D0%B9%09%09%09")</f>
        <v>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v>
      </c>
      <c r="J446" s="50">
        <f>IFERROR(__xludf.DUMMYFUNCTION("""COMPUTED_VALUE"""),18.695)</f>
        <v>18.695</v>
      </c>
      <c r="K446" s="58">
        <f>IFERROR(__xludf.DUMMYFUNCTION("""COMPUTED_VALUE"""),45971.0)</f>
        <v>45971</v>
      </c>
      <c r="L446" s="6">
        <v>30.0</v>
      </c>
      <c r="M446" s="52">
        <v>46001.0</v>
      </c>
      <c r="N446" s="53" t="s">
        <v>711</v>
      </c>
      <c r="O446" s="19" t="s">
        <v>917</v>
      </c>
      <c r="P446" s="6"/>
      <c r="Q446" s="6"/>
      <c r="R446" s="6"/>
    </row>
    <row r="447">
      <c r="A447" s="31" t="str">
        <f>IFERROR(__xludf.DUMMYFUNCTION("""COMPUTED_VALUE"""),"285")</f>
        <v>285</v>
      </c>
      <c r="B447" s="14" t="str">
        <f>IFERROR(__xludf.DUMMYFUNCTION("""COMPUTED_VALUE"""),"АИП-26")</f>
        <v>АИП-26</v>
      </c>
      <c r="C447" s="14" t="str">
        <f>IFERROR(__xludf.DUMMYFUNCTION("""COMPUTED_VALUE"""),"ОКС")</f>
        <v>ОКС</v>
      </c>
      <c r="D447" s="60"/>
      <c r="E447" s="14" t="str">
        <f>IFERROR(__xludf.DUMMYFUNCTION("""COMPUTED_VALUE"""),"Здание образовательной организации на 1000 мест на месте сноса зданий р-н Очаково-Матвеевское, ул. Большая Очаковская, влд. 4")</f>
        <v>Здание образовательной организации на 1000 мест на месте сноса зданий р-н Очаково-Матвеевское, ул. Большая Очаковская, влд. 4</v>
      </c>
      <c r="F447" s="25" t="str">
        <f>IFERROR(__xludf.DUMMYFUNCTION("""COMPUTED_VALUE"""),"55.69026554574192")</f>
        <v>55.69026554574192</v>
      </c>
      <c r="G447" s="6" t="str">
        <f>IFERROR(__xludf.DUMMYFUNCTION("""COMPUTED_VALUE"""),"37.46503796711526")</f>
        <v>37.46503796711526</v>
      </c>
      <c r="H447" s="18" t="str">
        <f>IFERROR(__xludf.DUMMYFUNCTION("""COMPUTED_VALUE"""),"https://docs.google.com/spreadsheets/d/19THEBTE9q0fhN2eApZr6BgenIvLGh0AckaYxHQfHk5w/edit?gid=1145227752#gid=1145227752")</f>
        <v>https://docs.google.com/spreadsheets/d/19THEBTE9q0fhN2eApZr6BgenIvLGh0AckaYxHQfHk5w/edit?gid=1145227752#gid=1145227752</v>
      </c>
      <c r="I447" s="19" t="str">
        <f>IFERROR(__xludf.DUMMYFUNCTION("""COMPUTED_VALUE"""),"https://disk.yandex.ru/client/disk/Осмотры%20объектов%20АНО%20СМГ/285.%20Здание%20образовательной%20организации%20на%201000%20мест%20на%0Aместе%20сноса%20зданий%2C%20р-н%20ОчаковоМатвеевское%2C%20ул.%20Большая%20Очаковская%2C%20влд.%204")</f>
        <v>https://disk.yandex.ru/client/disk/Осмотры%20объектов%20АНО%20СМГ/285.%20Здание%20образовательной%20организации%20на%201000%20мест%20на%0Aместе%20сноса%20зданий%2C%20р-н%20ОчаковоМатвеевское%2C%20ул.%20Большая%20Очаковская%2C%20влд.%204</v>
      </c>
      <c r="J447" s="50">
        <f>IFERROR(__xludf.DUMMYFUNCTION("""COMPUTED_VALUE"""),8.9125)</f>
        <v>8.9125</v>
      </c>
      <c r="K447" s="58">
        <f>IFERROR(__xludf.DUMMYFUNCTION("""COMPUTED_VALUE"""),45971.0)</f>
        <v>45971</v>
      </c>
      <c r="L447" s="6">
        <v>30.0</v>
      </c>
      <c r="M447" s="52">
        <v>46001.0</v>
      </c>
      <c r="N447" s="53" t="s">
        <v>711</v>
      </c>
      <c r="O447" s="19" t="s">
        <v>918</v>
      </c>
      <c r="P447" s="6"/>
      <c r="Q447" s="6"/>
      <c r="R447" s="6"/>
    </row>
    <row r="448">
      <c r="A448" s="31" t="str">
        <f>IFERROR(__xludf.DUMMYFUNCTION("""COMPUTED_VALUE"""),"272")</f>
        <v>272</v>
      </c>
      <c r="B448" s="14" t="str">
        <f>IFERROR(__xludf.DUMMYFUNCTION("""COMPUTED_VALUE"""),"АИП-26")</f>
        <v>АИП-26</v>
      </c>
      <c r="C448" s="14" t="str">
        <f>IFERROR(__xludf.DUMMYFUNCTION("""COMPUTED_VALUE"""),"ОКС")</f>
        <v>ОКС</v>
      </c>
      <c r="D448" s="60"/>
      <c r="E448" s="14" t="str">
        <f>IFERROR(__xludf.DUMMYFUNCTION("""COMPUTED_VALUE"""),"Школа на 550 мест, внутригородское муниципальное образование Раменки внутригородское муниципальное образование Раменки, улица Минская, земельный участок 1/15")</f>
        <v>Школа на 550 мест, внутригородское муниципальное образование Раменки внутригородское муниципальное образование Раменки, улица Минская, земельный участок 1/15</v>
      </c>
      <c r="F448" s="25" t="str">
        <f>IFERROR(__xludf.DUMMYFUNCTION("""COMPUTED_VALUE"""),"55.71334315849195")</f>
        <v>55.71334315849195</v>
      </c>
      <c r="G448" s="6" t="str">
        <f>IFERROR(__xludf.DUMMYFUNCTION("""COMPUTED_VALUE"""),"37.497706297650986")</f>
        <v>37.497706297650986</v>
      </c>
      <c r="H448" s="18" t="str">
        <f>IFERROR(__xludf.DUMMYFUNCTION("""COMPUTED_VALUE"""),"https://docs.google.com/spreadsheets/d/19THEBTE9q0fhN2eApZr6BgenIvLGh0AckaYxHQfHk5w/edit?gid=1109188996#gid=1109188996")</f>
        <v>https://docs.google.com/spreadsheets/d/19THEBTE9q0fhN2eApZr6BgenIvLGh0AckaYxHQfHk5w/edit?gid=1109188996#gid=1109188996</v>
      </c>
      <c r="I448" s="19" t="str">
        <f>IFERROR(__xludf.DUMMYFUNCTION("""COMPUTED_VALUE"""),"https://disk.yandex.ru/client/disk/Осмотры%20объектов%20АНО%20СМГ/272.Школа%20на%20550%20мест%2C%20пересечение%20ул.%20Минской%20в%20пойме%20р.%20Раменки")</f>
        <v>https://disk.yandex.ru/client/disk/Осмотры%20объектов%20АНО%20СМГ/272.Школа%20на%20550%20мест%2C%20пересечение%20ул.%20Минской%20в%20пойме%20р.%20Раменки</v>
      </c>
      <c r="J448" s="50">
        <f>IFERROR(__xludf.DUMMYFUNCTION("""COMPUTED_VALUE"""),19.555)</f>
        <v>19.555</v>
      </c>
      <c r="K448" s="58">
        <f>IFERROR(__xludf.DUMMYFUNCTION("""COMPUTED_VALUE"""),45954.0)</f>
        <v>45954</v>
      </c>
      <c r="L448" s="6">
        <v>30.0</v>
      </c>
      <c r="M448" s="52">
        <v>45984.0</v>
      </c>
      <c r="N448" s="53" t="s">
        <v>741</v>
      </c>
      <c r="O448" s="19" t="s">
        <v>919</v>
      </c>
      <c r="P448" s="6"/>
      <c r="Q448" s="6"/>
      <c r="R448" s="6"/>
    </row>
    <row r="449">
      <c r="A449" s="31" t="str">
        <f>IFERROR(__xludf.DUMMYFUNCTION("""COMPUTED_VALUE"""),"281д (этап 1)")</f>
        <v>281д (этап 1)</v>
      </c>
      <c r="B449" s="14" t="str">
        <f>IFERROR(__xludf.DUMMYFUNCTION("""COMPUTED_VALUE"""),"АИП-26")</f>
        <v>АИП-26</v>
      </c>
      <c r="C449" s="14" t="str">
        <f>IFERROR(__xludf.DUMMYFUNCTION("""COMPUTED_VALUE"""),"УДС")</f>
        <v>УДС</v>
      </c>
      <c r="D449" s="60"/>
      <c r="E449"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v>
      </c>
      <c r="F449" s="25" t="str">
        <f>IFERROR(__xludf.DUMMYFUNCTION("""COMPUTED_VALUE"""),"55.72190916572191")</f>
        <v>55.72190916572191</v>
      </c>
      <c r="G449" s="6" t="str">
        <f>IFERROR(__xludf.DUMMYFUNCTION("""COMPUTED_VALUE"""),"37.484483898147396")</f>
        <v>37.484483898147396</v>
      </c>
      <c r="H449" s="6"/>
      <c r="I449" s="6"/>
      <c r="J449" s="50">
        <f>IFERROR(__xludf.DUMMYFUNCTION("""COMPUTED_VALUE"""),6.84)</f>
        <v>6.84</v>
      </c>
      <c r="K449" s="58">
        <f>IFERROR(__xludf.DUMMYFUNCTION("""COMPUTED_VALUE"""),45961.0)</f>
        <v>45961</v>
      </c>
      <c r="L449" s="6">
        <v>30.0</v>
      </c>
      <c r="M449" s="52">
        <v>45991.0</v>
      </c>
      <c r="N449" s="53" t="s">
        <v>692</v>
      </c>
      <c r="O449" s="6" t="s">
        <v>920</v>
      </c>
      <c r="P449" s="6"/>
      <c r="Q449" s="6"/>
      <c r="R449" s="6"/>
    </row>
    <row r="450">
      <c r="A450" s="31" t="str">
        <f>IFERROR(__xludf.DUMMYFUNCTION("""COMPUTED_VALUE"""),"281д (этап 2)")</f>
        <v>281д (этап 2)</v>
      </c>
      <c r="B450" s="14" t="str">
        <f>IFERROR(__xludf.DUMMYFUNCTION("""COMPUTED_VALUE"""),"АИП-26")</f>
        <v>АИП-26</v>
      </c>
      <c r="C450" s="14" t="str">
        <f>IFERROR(__xludf.DUMMYFUNCTION("""COMPUTED_VALUE"""),"УДС")</f>
        <v>УДС</v>
      </c>
      <c r="D450" s="60"/>
      <c r="E450"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2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2 г. Москва, район Фили- Давыдково, ул. Староволынская</v>
      </c>
      <c r="F450" s="25" t="str">
        <f>IFERROR(__xludf.DUMMYFUNCTION("""COMPUTED_VALUE"""),"55.72190916572191")</f>
        <v>55.72190916572191</v>
      </c>
      <c r="G450" s="6" t="str">
        <f>IFERROR(__xludf.DUMMYFUNCTION("""COMPUTED_VALUE"""),"37.484483898147396")</f>
        <v>37.484483898147396</v>
      </c>
      <c r="H450" s="6"/>
      <c r="I450" s="6"/>
      <c r="J450" s="50">
        <f>IFERROR(__xludf.DUMMYFUNCTION("""COMPUTED_VALUE"""),1.5200000000000002)</f>
        <v>1.52</v>
      </c>
      <c r="K450" s="58">
        <f>IFERROR(__xludf.DUMMYFUNCTION("""COMPUTED_VALUE"""),45961.0)</f>
        <v>45961</v>
      </c>
      <c r="L450" s="6">
        <v>30.0</v>
      </c>
      <c r="M450" s="52">
        <v>45991.0</v>
      </c>
      <c r="N450" s="53" t="s">
        <v>692</v>
      </c>
      <c r="O450" s="6" t="s">
        <v>920</v>
      </c>
      <c r="P450" s="6"/>
      <c r="Q450" s="6"/>
      <c r="R450" s="6"/>
    </row>
    <row r="451">
      <c r="A451" s="31" t="str">
        <f>IFERROR(__xludf.DUMMYFUNCTION("""COMPUTED_VALUE"""),"281д (этап 3)")</f>
        <v>281д (этап 3)</v>
      </c>
      <c r="B451" s="14" t="str">
        <f>IFERROR(__xludf.DUMMYFUNCTION("""COMPUTED_VALUE"""),"АИП-26")</f>
        <v>АИП-26</v>
      </c>
      <c r="C451" s="14" t="str">
        <f>IFERROR(__xludf.DUMMYFUNCTION("""COMPUTED_VALUE"""),"УДС")</f>
        <v>УДС</v>
      </c>
      <c r="D451" s="60"/>
      <c r="E451"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v>
      </c>
      <c r="F451" s="25" t="str">
        <f>IFERROR(__xludf.DUMMYFUNCTION("""COMPUTED_VALUE"""),"55.72190916572191")</f>
        <v>55.72190916572191</v>
      </c>
      <c r="G451" s="6" t="str">
        <f>IFERROR(__xludf.DUMMYFUNCTION("""COMPUTED_VALUE"""),"37.484483898147396")</f>
        <v>37.484483898147396</v>
      </c>
      <c r="H451" s="6"/>
      <c r="I451" s="6"/>
      <c r="J451" s="50">
        <f>IFERROR(__xludf.DUMMYFUNCTION("""COMPUTED_VALUE"""),1.2000000000000002)</f>
        <v>1.2</v>
      </c>
      <c r="K451" s="58">
        <f>IFERROR(__xludf.DUMMYFUNCTION("""COMPUTED_VALUE"""),45961.0)</f>
        <v>45961</v>
      </c>
      <c r="L451" s="6">
        <v>30.0</v>
      </c>
      <c r="M451" s="52">
        <v>45991.0</v>
      </c>
      <c r="N451" s="53" t="s">
        <v>692</v>
      </c>
      <c r="O451" s="6" t="s">
        <v>920</v>
      </c>
      <c r="P451" s="6"/>
      <c r="Q451" s="6"/>
      <c r="R451" s="6"/>
    </row>
    <row r="452">
      <c r="A452" s="31" t="str">
        <f>IFERROR(__xludf.DUMMYFUNCTION("""COMPUTED_VALUE"""),"283д (сводный)")</f>
        <v>283д (сводный)</v>
      </c>
      <c r="B452" s="14" t="str">
        <f>IFERROR(__xludf.DUMMYFUNCTION("""COMPUTED_VALUE"""),"АИП-26")</f>
        <v>АИП-26</v>
      </c>
      <c r="C452" s="14" t="str">
        <f>IFERROR(__xludf.DUMMYFUNCTION("""COMPUTED_VALUE"""),"УДС")</f>
        <v>УДС</v>
      </c>
      <c r="D452" s="60"/>
      <c r="E452"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3.3.2.,3.3.3.,3.3.4.,3.3.5, 3.2 ")</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3.3.2.,3.3.3.,3.3.4.,3.3.5, 3.2 </v>
      </c>
      <c r="F452" s="25" t="str">
        <f>IFERROR(__xludf.DUMMYFUNCTION("""COMPUTED_VALUE"""),"#N/A")</f>
        <v>#N/A</v>
      </c>
      <c r="G452" s="6" t="str">
        <f>IFERROR(__xludf.DUMMYFUNCTION("""COMPUTED_VALUE"""),"#N/A")</f>
        <v>#N/A</v>
      </c>
      <c r="H452" s="6"/>
      <c r="I452" s="6"/>
      <c r="J452" s="50"/>
      <c r="K452" s="58"/>
      <c r="L452" s="6">
        <v>30.0</v>
      </c>
      <c r="M452" s="52" t="s">
        <v>655</v>
      </c>
      <c r="N452" s="53" t="s">
        <v>698</v>
      </c>
      <c r="O452" s="6"/>
      <c r="P452" s="6"/>
      <c r="Q452" s="6"/>
      <c r="R452" s="6"/>
    </row>
    <row r="453">
      <c r="A453" s="31" t="str">
        <f>IFERROR(__xludf.DUMMYFUNCTION("""COMPUTED_VALUE"""),"283д (этап 3.3.2)")</f>
        <v>283д (этап 3.3.2)</v>
      </c>
      <c r="B453" s="14"/>
      <c r="C453" s="14" t="str">
        <f>IFERROR(__xludf.DUMMYFUNCTION("""COMPUTED_VALUE"""),"УДС")</f>
        <v>УДС</v>
      </c>
      <c r="D453" s="60"/>
      <c r="E453"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 пересечение Северного дублера Кутузовского проспекта, Шелепихинской набережной и Третьего транспортного кольца</v>
      </c>
      <c r="F453" s="25" t="str">
        <f>IFERROR(__xludf.DUMMYFUNCTION("""COMPUTED_VALUE"""),"#N/A")</f>
        <v>#N/A</v>
      </c>
      <c r="G453" s="6" t="str">
        <f>IFERROR(__xludf.DUMMYFUNCTION("""COMPUTED_VALUE"""),"#N/A")</f>
        <v>#N/A</v>
      </c>
      <c r="H453" s="6"/>
      <c r="I453" s="6"/>
      <c r="J453" s="50"/>
      <c r="K453" s="58"/>
      <c r="L453" s="6">
        <v>30.0</v>
      </c>
      <c r="M453" s="52" t="s">
        <v>655</v>
      </c>
      <c r="N453" s="53" t="s">
        <v>698</v>
      </c>
      <c r="O453" s="6" t="s">
        <v>921</v>
      </c>
      <c r="P453" s="6"/>
      <c r="Q453" s="6"/>
      <c r="R453" s="6"/>
    </row>
    <row r="454">
      <c r="A454" s="31" t="str">
        <f>IFERROR(__xludf.DUMMYFUNCTION("""COMPUTED_VALUE"""),"283д (этап 3.3.3)")</f>
        <v>283д (этап 3.3.3)</v>
      </c>
      <c r="B454" s="14"/>
      <c r="C454" s="14" t="str">
        <f>IFERROR(__xludf.DUMMYFUNCTION("""COMPUTED_VALUE"""),"УДС")</f>
        <v>УДС</v>
      </c>
      <c r="D454" s="60"/>
      <c r="E454"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3.3.3. пересечение Северного дублера Кутузовского проспекта, Шелепихинской набережн"&amp;"ой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3.3.3. пересечение Северного дублера Кутузовского проспекта, Шелепихинской набережной и Третьего транспортного кольца</v>
      </c>
      <c r="F454" s="25" t="str">
        <f>IFERROR(__xludf.DUMMYFUNCTION("""COMPUTED_VALUE"""),"#N/A")</f>
        <v>#N/A</v>
      </c>
      <c r="G454" s="6" t="str">
        <f>IFERROR(__xludf.DUMMYFUNCTION("""COMPUTED_VALUE"""),"#N/A")</f>
        <v>#N/A</v>
      </c>
      <c r="H454" s="6"/>
      <c r="I454" s="6"/>
      <c r="J454" s="50"/>
      <c r="K454" s="58"/>
      <c r="L454" s="6">
        <v>30.0</v>
      </c>
      <c r="M454" s="52" t="s">
        <v>655</v>
      </c>
      <c r="N454" s="53" t="s">
        <v>698</v>
      </c>
      <c r="O454" s="6" t="s">
        <v>921</v>
      </c>
      <c r="P454" s="6"/>
      <c r="Q454" s="6"/>
      <c r="R454" s="6"/>
    </row>
    <row r="455">
      <c r="A455" s="31" t="str">
        <f>IFERROR(__xludf.DUMMYFUNCTION("""COMPUTED_VALUE"""),"283д (этап 3.3.4)")</f>
        <v>283д (этап 3.3.4)</v>
      </c>
      <c r="B455" s="14"/>
      <c r="C455" s="14" t="str">
        <f>IFERROR(__xludf.DUMMYFUNCTION("""COMPUTED_VALUE"""),"УДС")</f>
        <v>УДС</v>
      </c>
      <c r="D455" s="60"/>
      <c r="E455"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3.3.4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3.3.4 пересечение Северного дублера Кутузовского проспекта, Шелепихинской набережной и Третьего транспортного кольца</v>
      </c>
      <c r="F455" s="25" t="str">
        <f>IFERROR(__xludf.DUMMYFUNCTION("""COMPUTED_VALUE"""),"#N/A")</f>
        <v>#N/A</v>
      </c>
      <c r="G455" s="6" t="str">
        <f>IFERROR(__xludf.DUMMYFUNCTION("""COMPUTED_VALUE"""),"#N/A")</f>
        <v>#N/A</v>
      </c>
      <c r="H455" s="6"/>
      <c r="I455" s="6"/>
      <c r="J455" s="50"/>
      <c r="K455" s="58"/>
      <c r="L455" s="6">
        <v>30.0</v>
      </c>
      <c r="M455" s="52" t="s">
        <v>655</v>
      </c>
      <c r="N455" s="53" t="s">
        <v>698</v>
      </c>
      <c r="O455" s="6" t="s">
        <v>921</v>
      </c>
      <c r="P455" s="6"/>
      <c r="Q455" s="6"/>
      <c r="R455" s="6"/>
    </row>
    <row r="456">
      <c r="A456" s="31" t="str">
        <f>IFERROR(__xludf.DUMMYFUNCTION("""COMPUTED_VALUE"""),"283д (этап 3.3.5)")</f>
        <v>283д (этап 3.3.5)</v>
      </c>
      <c r="B456" s="14"/>
      <c r="C456" s="14" t="str">
        <f>IFERROR(__xludf.DUMMYFUNCTION("""COMPUTED_VALUE"""),"УДС")</f>
        <v>УДС</v>
      </c>
      <c r="D456" s="60"/>
      <c r="E456"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3.3.5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3.3.5 пересечение Северного дублера Кутузовского проспекта, Шелепихинской набережной и Третьего транспортного кольца</v>
      </c>
      <c r="F456" s="25" t="str">
        <f>IFERROR(__xludf.DUMMYFUNCTION("""COMPUTED_VALUE"""),"#N/A")</f>
        <v>#N/A</v>
      </c>
      <c r="G456" s="6" t="str">
        <f>IFERROR(__xludf.DUMMYFUNCTION("""COMPUTED_VALUE"""),"#N/A")</f>
        <v>#N/A</v>
      </c>
      <c r="H456" s="6"/>
      <c r="I456" s="6"/>
      <c r="J456" s="50"/>
      <c r="K456" s="58"/>
      <c r="L456" s="6">
        <v>30.0</v>
      </c>
      <c r="M456" s="52" t="s">
        <v>655</v>
      </c>
      <c r="N456" s="53" t="s">
        <v>698</v>
      </c>
      <c r="O456" s="6" t="s">
        <v>921</v>
      </c>
      <c r="P456" s="6"/>
      <c r="Q456" s="6"/>
      <c r="R456" s="6"/>
    </row>
    <row r="457">
      <c r="A457" s="31" t="str">
        <f>IFERROR(__xludf.DUMMYFUNCTION("""COMPUTED_VALUE"""),"283д (этап 3.1)")</f>
        <v>283д (этап 3.1)</v>
      </c>
      <c r="B457" s="14"/>
      <c r="C457" s="14" t="str">
        <f>IFERROR(__xludf.DUMMYFUNCTION("""COMPUTED_VALUE"""),"УДС")</f>
        <v>УДС</v>
      </c>
      <c r="D457" s="60"/>
      <c r="E457"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3.1 пересечение Северного дублера Кутузовского проспекта, Шелепихинской набережной "&amp;"и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3.1 пересечение Северного дублера Кутузовского проспекта, Шелепихинской набережной и Третьего транспортного кольца</v>
      </c>
      <c r="F457" s="25" t="str">
        <f>IFERROR(__xludf.DUMMYFUNCTION("""COMPUTED_VALUE"""),"#N/A")</f>
        <v>#N/A</v>
      </c>
      <c r="G457" s="6" t="str">
        <f>IFERROR(__xludf.DUMMYFUNCTION("""COMPUTED_VALUE"""),"#N/A")</f>
        <v>#N/A</v>
      </c>
      <c r="H457" s="6"/>
      <c r="I457" s="6"/>
      <c r="J457" s="50"/>
      <c r="K457" s="58"/>
      <c r="L457" s="6">
        <v>30.0</v>
      </c>
      <c r="M457" s="52" t="s">
        <v>655</v>
      </c>
      <c r="N457" s="53" t="s">
        <v>698</v>
      </c>
      <c r="O457" s="6" t="s">
        <v>921</v>
      </c>
      <c r="P457" s="6"/>
      <c r="Q457" s="6"/>
      <c r="R457" s="6"/>
    </row>
    <row r="458">
      <c r="A458" s="31" t="str">
        <f>IFERROR(__xludf.DUMMYFUNCTION("""COMPUTED_VALUE"""),"283д (этап 3.2)")</f>
        <v>283д (этап 3.2)</v>
      </c>
      <c r="B458" s="14"/>
      <c r="C458" s="14" t="str">
        <f>IFERROR(__xludf.DUMMYFUNCTION("""COMPUTED_VALUE"""),"УДС")</f>
        <v>УДС</v>
      </c>
      <c r="D458" s="60"/>
      <c r="E458"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3.2 пересечение Северного дублера Кутузовского проспекта, Шелепихинской набережной "&amp;"и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3.2 пересечение Северного дублера Кутузовского проспекта, Шелепихинской набережной и Третьего транспортного кольца</v>
      </c>
      <c r="F458" s="25" t="str">
        <f>IFERROR(__xludf.DUMMYFUNCTION("""COMPUTED_VALUE"""),"#N/A")</f>
        <v>#N/A</v>
      </c>
      <c r="G458" s="6" t="str">
        <f>IFERROR(__xludf.DUMMYFUNCTION("""COMPUTED_VALUE"""),"#N/A")</f>
        <v>#N/A</v>
      </c>
      <c r="H458" s="6"/>
      <c r="I458" s="6"/>
      <c r="J458" s="50"/>
      <c r="K458" s="58"/>
      <c r="L458" s="6">
        <v>30.0</v>
      </c>
      <c r="M458" s="52" t="s">
        <v>655</v>
      </c>
      <c r="N458" s="53" t="s">
        <v>698</v>
      </c>
      <c r="O458" s="6" t="s">
        <v>921</v>
      </c>
      <c r="P458" s="6"/>
      <c r="Q458" s="6"/>
      <c r="R458" s="6"/>
    </row>
    <row r="459">
      <c r="A459" s="31" t="str">
        <f>IFERROR(__xludf.DUMMYFUNCTION("""COMPUTED_VALUE"""),"270д")</f>
        <v>270д</v>
      </c>
      <c r="B459" s="14" t="str">
        <f>IFERROR(__xludf.DUMMYFUNCTION("""COMPUTED_VALUE"""),"АИП-26")</f>
        <v>АИП-26</v>
      </c>
      <c r="C459" s="14" t="str">
        <f>IFERROR(__xludf.DUMMYFUNCTION("""COMPUTED_VALUE"""),"УДС")</f>
        <v>УДС</v>
      </c>
      <c r="D459" s="60"/>
      <c r="E459" s="14" t="str">
        <f>IFERROR(__xludf.DUMMYFUNCTION("""COMPUTED_VALUE"""),"Реконструкция ул. Большая Юшуньская ул. Большая Юшуньская")</f>
        <v>Реконструкция ул. Большая Юшуньская ул. Большая Юшуньская</v>
      </c>
      <c r="F459" s="25" t="str">
        <f>IFERROR(__xludf.DUMMYFUNCTION("""COMPUTED_VALUE"""),"#N/A")</f>
        <v>#N/A</v>
      </c>
      <c r="G459" s="6" t="str">
        <f>IFERROR(__xludf.DUMMYFUNCTION("""COMPUTED_VALUE"""),"#N/A")</f>
        <v>#N/A</v>
      </c>
      <c r="H459" s="6"/>
      <c r="I459" s="6"/>
      <c r="J459" s="50">
        <f>IFERROR(__xludf.DUMMYFUNCTION("""COMPUTED_VALUE"""),2.025)</f>
        <v>2.025</v>
      </c>
      <c r="K459" s="58">
        <f>IFERROR(__xludf.DUMMYFUNCTION("""COMPUTED_VALUE"""),45973.0)</f>
        <v>45973</v>
      </c>
      <c r="L459" s="6">
        <v>30.0</v>
      </c>
      <c r="M459" s="52">
        <v>46003.0</v>
      </c>
      <c r="N459" s="53" t="s">
        <v>711</v>
      </c>
      <c r="O459" s="6" t="s">
        <v>893</v>
      </c>
      <c r="P459" s="6"/>
      <c r="Q459" s="6"/>
      <c r="R459" s="6"/>
    </row>
    <row r="460">
      <c r="A460" s="31" t="str">
        <f>IFERROR(__xludf.DUMMYFUNCTION("""COMPUTED_VALUE"""),"281")</f>
        <v>281</v>
      </c>
      <c r="B460" s="14" t="str">
        <f>IFERROR(__xludf.DUMMYFUNCTION("""COMPUTED_VALUE"""),"АИП-26")</f>
        <v>АИП-26</v>
      </c>
      <c r="C460" s="14" t="str">
        <f>IFERROR(__xludf.DUMMYFUNCTION("""COMPUTED_VALUE"""),"ОКС")</f>
        <v>ОКС</v>
      </c>
      <c r="D460" s="71"/>
      <c r="E460" s="14" t="str">
        <f>IFERROR(__xludf.DUMMYFUNCTION("""COMPUTED_VALUE"""),"Дошкольное здание на 350 мест Дошкольное здание на 350 мест, район Даниловский, Лихачёва проспект, з/у 10/1")</f>
        <v>Дошкольное здание на 350 мест Дошкольное здание на 350 мест, район Даниловский, Лихачёва проспект, з/у 10/1</v>
      </c>
      <c r="F460" s="25" t="str">
        <f>IFERROR(__xludf.DUMMYFUNCTION("""COMPUTED_VALUE"""),"55.69177498071195")</f>
        <v>55.69177498071195</v>
      </c>
      <c r="G460" s="6" t="str">
        <f>IFERROR(__xludf.DUMMYFUNCTION("""COMPUTED_VALUE"""),"37.65743118783511")</f>
        <v>37.65743118783511</v>
      </c>
      <c r="H460" s="18" t="str">
        <f>IFERROR(__xludf.DUMMYFUNCTION("""COMPUTED_VALUE"""),"https://docs.google.com/spreadsheets/d/19THEBTE9q0fhN2eApZr6BgenIvLGh0AckaYxHQfHk5w/edit?gid=613124997#gid=613124997")</f>
        <v>https://docs.google.com/spreadsheets/d/19THEBTE9q0fhN2eApZr6BgenIvLGh0AckaYxHQfHk5w/edit?gid=613124997#gid=613124997</v>
      </c>
      <c r="I460" s="19"/>
      <c r="J460" s="50">
        <f>IFERROR(__xludf.DUMMYFUNCTION("""COMPUTED_VALUE"""),7.55)</f>
        <v>7.55</v>
      </c>
      <c r="K460" s="58">
        <f>IFERROR(__xludf.DUMMYFUNCTION("""COMPUTED_VALUE"""),45971.0)</f>
        <v>45971</v>
      </c>
      <c r="L460" s="6">
        <v>30.0</v>
      </c>
      <c r="M460" s="52">
        <v>46001.0</v>
      </c>
      <c r="N460" s="53" t="s">
        <v>711</v>
      </c>
      <c r="O460" s="19" t="s">
        <v>922</v>
      </c>
      <c r="P460" s="6"/>
      <c r="Q460" s="6"/>
      <c r="R460" s="6"/>
    </row>
    <row r="461">
      <c r="A461" s="31" t="str">
        <f>IFERROR(__xludf.DUMMYFUNCTION("""COMPUTED_VALUE"""),"171д")</f>
        <v>171д</v>
      </c>
      <c r="B461" s="14" t="str">
        <f>IFERROR(__xludf.DUMMYFUNCTION("""COMPUTED_VALUE"""),"АИП-26")</f>
        <v>АИП-26</v>
      </c>
      <c r="C461" s="14" t="str">
        <f>IFERROR(__xludf.DUMMYFUNCTION("""COMPUTED_VALUE"""),"УДС")</f>
        <v>УДС</v>
      </c>
      <c r="D461" s="69"/>
      <c r="E461" s="14" t="str">
        <f>IFERROR(__xludf.DUMMYFUNCTION("""COMPUTED_VALUE"""),"Реконструкция МКАД от ш.Энтузиастов до ул.Молдагуловой. Этап 1 МКАД от ш.Энтузиастов до ул.Молдагуловой")</f>
        <v>Реконструкция МКАД от ш.Энтузиастов до ул.Молдагуловой. Этап 1 МКАД от ш.Энтузиастов до ул.Молдагуловой</v>
      </c>
      <c r="F461" s="25" t="str">
        <f>IFERROR(__xludf.DUMMYFUNCTION("""COMPUTED_VALUE"""),"#N/A")</f>
        <v>#N/A</v>
      </c>
      <c r="G461" s="6" t="str">
        <f>IFERROR(__xludf.DUMMYFUNCTION("""COMPUTED_VALUE"""),"#N/A")</f>
        <v>#N/A</v>
      </c>
      <c r="H461" s="6"/>
      <c r="I461" s="6"/>
      <c r="J461" s="50">
        <f>IFERROR(__xludf.DUMMYFUNCTION("""COMPUTED_VALUE"""),2.25678)</f>
        <v>2.25678</v>
      </c>
      <c r="K461" s="58">
        <f>IFERROR(__xludf.DUMMYFUNCTION("""COMPUTED_VALUE"""),45974.0)</f>
        <v>45974</v>
      </c>
      <c r="L461" s="6">
        <v>30.0</v>
      </c>
      <c r="M461" s="52">
        <v>46004.0</v>
      </c>
      <c r="N461" s="53" t="s">
        <v>711</v>
      </c>
      <c r="O461" s="6" t="s">
        <v>768</v>
      </c>
      <c r="P461" s="6"/>
      <c r="Q461" s="6"/>
      <c r="R461" s="6"/>
    </row>
    <row r="462">
      <c r="A462" s="31" t="str">
        <f>IFERROR(__xludf.DUMMYFUNCTION("""COMPUTED_VALUE"""),"248д")</f>
        <v>248д</v>
      </c>
      <c r="B462" s="14" t="str">
        <f>IFERROR(__xludf.DUMMYFUNCTION("""COMPUTED_VALUE"""),"АИП-26")</f>
        <v>АИП-26</v>
      </c>
      <c r="C462" s="14" t="str">
        <f>IFERROR(__xludf.DUMMYFUNCTION("""COMPUTED_VALUE"""),"УДС")</f>
        <v>УДС</v>
      </c>
      <c r="D462" s="60"/>
      <c r="E462" s="14" t="str">
        <f>IFERROR(__xludf.DUMMYFUNCTION("""COMPUTED_VALUE"""),"Реконструкция ул.Кульнева ул.Кульнева")</f>
        <v>Реконструкция ул.Кульнева ул.Кульнева</v>
      </c>
      <c r="F462" s="25" t="str">
        <f>IFERROR(__xludf.DUMMYFUNCTION("""COMPUTED_VALUE"""),"#N/A")</f>
        <v>#N/A</v>
      </c>
      <c r="G462" s="6" t="str">
        <f>IFERROR(__xludf.DUMMYFUNCTION("""COMPUTED_VALUE"""),"#N/A")</f>
        <v>#N/A</v>
      </c>
      <c r="H462" s="6"/>
      <c r="I462" s="6"/>
      <c r="J462" s="50">
        <f>IFERROR(__xludf.DUMMYFUNCTION("""COMPUTED_VALUE"""),18.601499999999998)</f>
        <v>18.6015</v>
      </c>
      <c r="K462" s="58">
        <f>IFERROR(__xludf.DUMMYFUNCTION("""COMPUTED_VALUE"""),45962.0)</f>
        <v>45962</v>
      </c>
      <c r="L462" s="6">
        <v>30.0</v>
      </c>
      <c r="M462" s="52">
        <v>45992.0</v>
      </c>
      <c r="N462" s="53" t="s">
        <v>692</v>
      </c>
      <c r="O462" s="6" t="s">
        <v>923</v>
      </c>
      <c r="P462" s="6"/>
      <c r="Q462" s="6"/>
      <c r="R462" s="6"/>
    </row>
    <row r="463">
      <c r="A463" s="31" t="str">
        <f>IFERROR(__xludf.DUMMYFUNCTION("""COMPUTED_VALUE"""),"1057д")</f>
        <v>1057д</v>
      </c>
      <c r="B463" s="14" t="str">
        <f>IFERROR(__xludf.DUMMYFUNCTION("""COMPUTED_VALUE"""),"АИП-26")</f>
        <v>АИП-26</v>
      </c>
      <c r="C463" s="14" t="str">
        <f>IFERROR(__xludf.DUMMYFUNCTION("""COMPUTED_VALUE"""),"УДС")</f>
        <v>УДС</v>
      </c>
      <c r="D463" s="60"/>
      <c r="E463" s="14" t="str">
        <f>IFERROR(__xludf.DUMMYFUNCTION("""COMPUTED_VALUE"""),"Очистные сооружения № 3 для 1 очереди застройки р-на Щербинка Щербинка, мкр.2, 3, 4")</f>
        <v>Очистные сооружения № 3 для 1 очереди застройки р-на Щербинка Щербинка, мкр.2, 3, 4</v>
      </c>
      <c r="F463" s="25" t="str">
        <f>IFERROR(__xludf.DUMMYFUNCTION("""COMPUTED_VALUE"""),"55.50105536013862")</f>
        <v>55.50105536013862</v>
      </c>
      <c r="G463" s="6" t="str">
        <f>IFERROR(__xludf.DUMMYFUNCTION("""COMPUTED_VALUE"""),"37.58911401985064")</f>
        <v>37.58911401985064</v>
      </c>
      <c r="H463" s="6"/>
      <c r="I463" s="6" t="str">
        <f>IFERROR(__xludf.DUMMYFUNCTION("""COMPUTED_VALUE"""),"https://disk.yandex.ru/client/disk/Осмотры%20объектов%20АНО%20СМГ/1057.%20Очистные%20сооружения%20№3.%20р-н%20Щербинка")</f>
        <v>https://disk.yandex.ru/client/disk/Осмотры%20объектов%20АНО%20СМГ/1057.%20Очистные%20сооружения%20№3.%20р-н%20Щербинка</v>
      </c>
      <c r="J463" s="50">
        <f>IFERROR(__xludf.DUMMYFUNCTION("""COMPUTED_VALUE"""),20.88)</f>
        <v>20.88</v>
      </c>
      <c r="K463" s="58">
        <f>IFERROR(__xludf.DUMMYFUNCTION("""COMPUTED_VALUE"""),45958.0)</f>
        <v>45958</v>
      </c>
      <c r="L463" s="6">
        <v>30.0</v>
      </c>
      <c r="M463" s="52">
        <v>45988.0</v>
      </c>
      <c r="N463" s="53" t="s">
        <v>741</v>
      </c>
      <c r="O463" s="6" t="s">
        <v>924</v>
      </c>
      <c r="P463" s="6"/>
      <c r="Q463" s="6"/>
      <c r="R463" s="6"/>
    </row>
    <row r="464">
      <c r="A464" s="31" t="str">
        <f>IFERROR(__xludf.DUMMYFUNCTION("""COMPUTED_VALUE"""),"238д")</f>
        <v>238д</v>
      </c>
      <c r="B464" s="14" t="str">
        <f>IFERROR(__xludf.DUMMYFUNCTION("""COMPUTED_VALUE"""),"АИП-26")</f>
        <v>АИП-26</v>
      </c>
      <c r="C464" s="14" t="str">
        <f>IFERROR(__xludf.DUMMYFUNCTION("""COMPUTED_VALUE"""),"УДС")</f>
        <v>УДС</v>
      </c>
      <c r="D464" s="60"/>
      <c r="E464" s="14" t="str">
        <f>IFERROR(__xludf.DUMMYFUNCTION("""COMPUTED_VALUE"""),"Реконструкция Староватутинского пр-да Староватутинский пр-д")</f>
        <v>Реконструкция Староватутинского пр-да Староватутинский пр-д</v>
      </c>
      <c r="F464" s="25" t="str">
        <f>IFERROR(__xludf.DUMMYFUNCTION("""COMPUTED_VALUE"""),"#N/A")</f>
        <v>#N/A</v>
      </c>
      <c r="G464" s="6" t="str">
        <f>IFERROR(__xludf.DUMMYFUNCTION("""COMPUTED_VALUE"""),"#N/A")</f>
        <v>#N/A</v>
      </c>
      <c r="H464" s="6"/>
      <c r="I464" s="6"/>
      <c r="J464" s="50">
        <f>IFERROR(__xludf.DUMMYFUNCTION("""COMPUTED_VALUE"""),0.0)</f>
        <v>0</v>
      </c>
      <c r="K464" s="58">
        <f>IFERROR(__xludf.DUMMYFUNCTION("""COMPUTED_VALUE"""),45968.0)</f>
        <v>45968</v>
      </c>
      <c r="L464" s="6">
        <v>30.0</v>
      </c>
      <c r="M464" s="52">
        <v>45998.0</v>
      </c>
      <c r="N464" s="53" t="s">
        <v>711</v>
      </c>
      <c r="O464" s="6" t="s">
        <v>925</v>
      </c>
      <c r="P464" s="6"/>
      <c r="Q464" s="6"/>
      <c r="R464" s="6"/>
    </row>
    <row r="465">
      <c r="A465" s="31" t="str">
        <f>IFERROR(__xludf.DUMMYFUNCTION("""COMPUTED_VALUE"""),"287д")</f>
        <v>287д</v>
      </c>
      <c r="B465" s="14" t="str">
        <f>IFERROR(__xludf.DUMMYFUNCTION("""COMPUTED_VALUE"""),"АИП-26")</f>
        <v>АИП-26</v>
      </c>
      <c r="C465" s="14" t="str">
        <f>IFERROR(__xludf.DUMMYFUNCTION("""COMPUTED_VALUE"""),"УДС")</f>
        <v>УДС</v>
      </c>
      <c r="D465" s="60"/>
      <c r="E465" s="14" t="str">
        <f>IFERROR(__xludf.DUMMYFUNCTION("""COMPUTED_VALUE"""),"Развитие улично-дорожной сети Молжаниновского района. Этап 1.1 Молжаниновский район")</f>
        <v>Развитие улично-дорожной сети Молжаниновского района. Этап 1.1 Молжаниновский район</v>
      </c>
      <c r="F465" s="25" t="str">
        <f>IFERROR(__xludf.DUMMYFUNCTION("""COMPUTED_VALUE"""),"#N/A")</f>
        <v>#N/A</v>
      </c>
      <c r="G465" s="6" t="str">
        <f>IFERROR(__xludf.DUMMYFUNCTION("""COMPUTED_VALUE"""),"#N/A")</f>
        <v>#N/A</v>
      </c>
      <c r="H465" s="6"/>
      <c r="I465" s="6"/>
      <c r="J465" s="50">
        <f>IFERROR(__xludf.DUMMYFUNCTION("""COMPUTED_VALUE"""),7.013000000000001)</f>
        <v>7.013</v>
      </c>
      <c r="K465" s="58">
        <f>IFERROR(__xludf.DUMMYFUNCTION("""COMPUTED_VALUE"""),45971.0)</f>
        <v>45971</v>
      </c>
      <c r="L465" s="6">
        <v>30.0</v>
      </c>
      <c r="M465" s="52">
        <v>46001.0</v>
      </c>
      <c r="N465" s="53" t="s">
        <v>711</v>
      </c>
      <c r="O465" s="6" t="s">
        <v>893</v>
      </c>
      <c r="P465" s="6"/>
      <c r="Q465" s="6"/>
      <c r="R465" s="6"/>
    </row>
    <row r="466">
      <c r="A466" s="31" t="str">
        <f>IFERROR(__xludf.DUMMYFUNCTION("""COMPUTED_VALUE"""),"259д")</f>
        <v>259д</v>
      </c>
      <c r="B466" s="14" t="str">
        <f>IFERROR(__xludf.DUMMYFUNCTION("""COMPUTED_VALUE"""),"АИП-26")</f>
        <v>АИП-26</v>
      </c>
      <c r="C466" s="14" t="str">
        <f>IFERROR(__xludf.DUMMYFUNCTION("""COMPUTED_VALUE"""),"УДС")</f>
        <v>УДС</v>
      </c>
      <c r="D466" s="60"/>
      <c r="E466" s="14" t="str">
        <f>IFERROR(__xludf.DUMMYFUNCTION("""COMPUTED_VALUE"""),"Строительство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f>
        <v>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v>
      </c>
      <c r="F466" s="25" t="str">
        <f>IFERROR(__xludf.DUMMYFUNCTION("""COMPUTED_VALUE"""),"#N/A")</f>
        <v>#N/A</v>
      </c>
      <c r="G466" s="6" t="str">
        <f>IFERROR(__xludf.DUMMYFUNCTION("""COMPUTED_VALUE"""),"#N/A")</f>
        <v>#N/A</v>
      </c>
      <c r="H466" s="6"/>
      <c r="I466" s="6"/>
      <c r="J466" s="50">
        <f>IFERROR(__xludf.DUMMYFUNCTION("""COMPUTED_VALUE"""),11.101466094600251)</f>
        <v>11.10146609</v>
      </c>
      <c r="K466" s="58">
        <f>IFERROR(__xludf.DUMMYFUNCTION("""COMPUTED_VALUE"""),45971.0)</f>
        <v>45971</v>
      </c>
      <c r="L466" s="6">
        <v>30.0</v>
      </c>
      <c r="M466" s="52">
        <v>46001.0</v>
      </c>
      <c r="N466" s="53" t="s">
        <v>711</v>
      </c>
      <c r="O466" s="6" t="s">
        <v>926</v>
      </c>
      <c r="P466" s="6"/>
      <c r="Q466" s="6"/>
      <c r="R466" s="6"/>
    </row>
    <row r="467">
      <c r="A467" s="31" t="str">
        <f>IFERROR(__xludf.DUMMYFUNCTION("""COMPUTED_VALUE"""),"264")</f>
        <v>264</v>
      </c>
      <c r="B467" s="14" t="str">
        <f>IFERROR(__xludf.DUMMYFUNCTION("""COMPUTED_VALUE"""),"АИП-26")</f>
        <v>АИП-26</v>
      </c>
      <c r="C467" s="14" t="str">
        <f>IFERROR(__xludf.DUMMYFUNCTION("""COMPUTED_VALUE"""),"ОКС")</f>
        <v>ОКС</v>
      </c>
      <c r="D467" s="60"/>
      <c r="E467" s="14" t="str">
        <f>IFERROR(__xludf.DUMMYFUNCTION("""COMPUTED_VALUE"""),"ЖК «Легенда», жилой дом г.о. Троицк, 42-й км Калужского шоссе, корп. 6")</f>
        <v>ЖК «Легенда», жилой дом г.о. Троицк, 42-й км Калужского шоссе, корп. 6</v>
      </c>
      <c r="F467" s="25" t="str">
        <f>IFERROR(__xludf.DUMMYFUNCTION("""COMPUTED_VALUE"""),"55.455519426714716")</f>
        <v>55.455519426714716</v>
      </c>
      <c r="G467" s="6" t="str">
        <f>IFERROR(__xludf.DUMMYFUNCTION("""COMPUTED_VALUE"""),"37.2839123514691")</f>
        <v>37.2839123514691</v>
      </c>
      <c r="H467" s="18" t="str">
        <f>IFERROR(__xludf.DUMMYFUNCTION("""COMPUTED_VALUE"""),"https://docs.google.com/spreadsheets/d/19THEBTE9q0fhN2eApZr6BgenIvLGh0AckaYxHQfHk5w/edit?gid=2114429362#gid=2114429362")</f>
        <v>https://docs.google.com/spreadsheets/d/19THEBTE9q0fhN2eApZr6BgenIvLGh0AckaYxHQfHk5w/edit?gid=2114429362#gid=2114429362</v>
      </c>
      <c r="I467" s="19" t="str">
        <f>IFERROR(__xludf.DUMMYFUNCTION("""COMPUTED_VALUE"""),"https://disk.yandex.ru/client/disk/Осмотры%20объектов%20АНО%20СМГ/264.%20ЖК%20Легенда%20Корп.%206")</f>
        <v>https://disk.yandex.ru/client/disk/Осмотры%20объектов%20АНО%20СМГ/264.%20ЖК%20Легенда%20Корп.%206</v>
      </c>
      <c r="J467" s="50">
        <f>IFERROR(__xludf.DUMMYFUNCTION("""COMPUTED_VALUE"""),20.497999999999998)</f>
        <v>20.498</v>
      </c>
      <c r="K467" s="58">
        <f>IFERROR(__xludf.DUMMYFUNCTION("""COMPUTED_VALUE"""),45954.0)</f>
        <v>45954</v>
      </c>
      <c r="L467" s="6">
        <v>30.0</v>
      </c>
      <c r="M467" s="52">
        <v>45984.0</v>
      </c>
      <c r="N467" s="53" t="s">
        <v>741</v>
      </c>
      <c r="O467" s="19" t="s">
        <v>927</v>
      </c>
      <c r="P467" s="6"/>
      <c r="Q467" s="6"/>
      <c r="R467" s="6"/>
    </row>
    <row r="468">
      <c r="A468" s="70" t="str">
        <f>IFERROR(__xludf.DUMMYFUNCTION("""COMPUTED_VALUE"""),"215")</f>
        <v>215</v>
      </c>
      <c r="B468" s="14" t="str">
        <f>IFERROR(__xludf.DUMMYFUNCTION("""COMPUTED_VALUE"""),"АИП-26")</f>
        <v>АИП-26</v>
      </c>
      <c r="C468" s="14" t="str">
        <f>IFERROR(__xludf.DUMMYFUNCTION("""COMPUTED_VALUE"""),"ОКС")</f>
        <v>ОКС</v>
      </c>
      <c r="D468" s="60"/>
      <c r="E468" s="14" t="str">
        <f>IFERROR(__xludf.DUMMYFUNCTION("""COMPUTED_VALUE"""),"Проектирование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з/у г. Москва, р-н Молжаниновский, 3-я Подрезковская ул."&amp;", напротив влд. 26")</f>
        <v>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з/у г. Москва, р-н Молжаниновский, 3-я Подрезковская ул., напротив влд. 26</v>
      </c>
      <c r="F468" s="25" t="str">
        <f>IFERROR(__xludf.DUMMYFUNCTION("""COMPUTED_VALUE"""),"55.94165447021686")</f>
        <v>55.94165447021686</v>
      </c>
      <c r="G468" s="6" t="str">
        <f>IFERROR(__xludf.DUMMYFUNCTION("""COMPUTED_VALUE"""),"37.351886453688586")</f>
        <v>37.351886453688586</v>
      </c>
      <c r="H468" s="18" t="str">
        <f>IFERROR(__xludf.DUMMYFUNCTION("""COMPUTED_VALUE"""),"https://docs.google.com/spreadsheets/d/19THEBTE9q0fhN2eApZr6BgenIvLGh0AckaYxHQfHk5w/edit?gid=662134191#gid=662134191")</f>
        <v>https://docs.google.com/spreadsheets/d/19THEBTE9q0fhN2eApZr6BgenIvLGh0AckaYxHQfHk5w/edit?gid=662134191#gid=662134191</v>
      </c>
      <c r="I468" s="19" t="str">
        <f>IFERROR(__xludf.DUMMYFUNCTION("""COMPUTED_VALUE"""),"https://disk.yandex.ru/client/disk/Осмотры%20объектов%20АНО%20СМГ/215.%203-я%20Подрезковская%20напротив%20д%2026")</f>
        <v>https://disk.yandex.ru/client/disk/Осмотры%20объектов%20АНО%20СМГ/215.%203-я%20Подрезковская%20напротив%20д%2026</v>
      </c>
      <c r="J468" s="50">
        <f>IFERROR(__xludf.DUMMYFUNCTION("""COMPUTED_VALUE"""),0.0)</f>
        <v>0</v>
      </c>
      <c r="K468" s="58">
        <f>IFERROR(__xludf.DUMMYFUNCTION("""COMPUTED_VALUE"""),45919.0)</f>
        <v>45919</v>
      </c>
      <c r="L468" s="6">
        <v>30.0</v>
      </c>
      <c r="M468" s="52">
        <v>45949.0</v>
      </c>
      <c r="N468" s="53" t="s">
        <v>668</v>
      </c>
      <c r="O468" s="19" t="s">
        <v>928</v>
      </c>
      <c r="P468" s="6"/>
      <c r="Q468" s="6"/>
      <c r="R468" s="6"/>
    </row>
    <row r="469">
      <c r="A469" s="31" t="str">
        <f>IFERROR(__xludf.DUMMYFUNCTION("""COMPUTED_VALUE"""),"276д")</f>
        <v>276д</v>
      </c>
      <c r="B469" s="14" t="str">
        <f>IFERROR(__xludf.DUMMYFUNCTION("""COMPUTED_VALUE"""),"АИП-26")</f>
        <v>АИП-26</v>
      </c>
      <c r="C469" s="14" t="str">
        <f>IFERROR(__xludf.DUMMYFUNCTION("""COMPUTED_VALUE"""),"УДС")</f>
        <v>УДС</v>
      </c>
      <c r="D469" s="60"/>
      <c r="E469" s="14" t="str">
        <f>IFERROR(__xludf.DUMMYFUNCTION("""COMPUTED_VALUE"""),"ЮВХ-7. Участок вдоль ул.Каспийской от ул.Кантемировской до Павелецкого направления Московской железной дороги. Этапы 2 вдоль ул.Каспийской от ул.Кантемировской до Павелецкого направления Московской железной дороги")</f>
        <v>ЮВХ-7. Участок вдоль ул.Каспийской от ул.Кантемировской до Павелецкого направления Московской железной дороги. Этапы 2 вдоль ул.Каспийской от ул.Кантемировской до Павелецкого направления Московской железной дороги</v>
      </c>
      <c r="F469" s="25" t="str">
        <f>IFERROR(__xludf.DUMMYFUNCTION("""COMPUTED_VALUE"""),"#N/A")</f>
        <v>#N/A</v>
      </c>
      <c r="G469" s="6" t="str">
        <f>IFERROR(__xludf.DUMMYFUNCTION("""COMPUTED_VALUE"""),"#N/A")</f>
        <v>#N/A</v>
      </c>
      <c r="H469" s="6"/>
      <c r="I469" s="6"/>
      <c r="J469" s="50">
        <f>IFERROR(__xludf.DUMMYFUNCTION("""COMPUTED_VALUE"""),45.743266509433944)</f>
        <v>45.74326651</v>
      </c>
      <c r="K469" s="58">
        <f>IFERROR(__xludf.DUMMYFUNCTION("""COMPUTED_VALUE"""),45971.0)</f>
        <v>45971</v>
      </c>
      <c r="L469" s="6">
        <v>30.0</v>
      </c>
      <c r="M469" s="52">
        <v>46001.0</v>
      </c>
      <c r="N469" s="53" t="s">
        <v>711</v>
      </c>
      <c r="O469" s="6" t="s">
        <v>929</v>
      </c>
      <c r="P469" s="6"/>
      <c r="Q469" s="6"/>
      <c r="R469" s="6"/>
    </row>
    <row r="470">
      <c r="A470" s="31" t="str">
        <f>IFERROR(__xludf.DUMMYFUNCTION("""COMPUTED_VALUE"""),"264д")</f>
        <v>264д</v>
      </c>
      <c r="B470" s="14" t="str">
        <f>IFERROR(__xludf.DUMMYFUNCTION("""COMPUTED_VALUE"""),"АИП-26")</f>
        <v>АИП-26</v>
      </c>
      <c r="C470" s="14" t="str">
        <f>IFERROR(__xludf.DUMMYFUNCTION("""COMPUTED_VALUE"""),"УДС")</f>
        <v>УДС</v>
      </c>
      <c r="D470" s="60"/>
      <c r="E470" s="14" t="str">
        <f>IFERROR(__xludf.DUMMYFUNCTION("""COMPUTED_VALUE"""),"Реконструкция Краснобогатырской ул. Этап 2. Краснобогатырская ул.")</f>
        <v>Реконструкция Краснобогатырской ул. Этап 2. Краснобогатырская ул.</v>
      </c>
      <c r="F470" s="25" t="str">
        <f>IFERROR(__xludf.DUMMYFUNCTION("""COMPUTED_VALUE"""),"#N/A")</f>
        <v>#N/A</v>
      </c>
      <c r="G470" s="6" t="str">
        <f>IFERROR(__xludf.DUMMYFUNCTION("""COMPUTED_VALUE"""),"#N/A")</f>
        <v>#N/A</v>
      </c>
      <c r="H470" s="6"/>
      <c r="I470" s="6"/>
      <c r="J470" s="50">
        <f>IFERROR(__xludf.DUMMYFUNCTION("""COMPUTED_VALUE"""),0.30487804878048785)</f>
        <v>0.3048780488</v>
      </c>
      <c r="K470" s="58">
        <f>IFERROR(__xludf.DUMMYFUNCTION("""COMPUTED_VALUE"""),45961.0)</f>
        <v>45961</v>
      </c>
      <c r="L470" s="6">
        <v>30.0</v>
      </c>
      <c r="M470" s="52">
        <v>45991.0</v>
      </c>
      <c r="N470" s="53" t="s">
        <v>692</v>
      </c>
      <c r="O470" s="6" t="s">
        <v>930</v>
      </c>
      <c r="P470" s="6"/>
      <c r="Q470" s="6"/>
      <c r="R470" s="6"/>
    </row>
    <row r="471">
      <c r="A471" s="31" t="str">
        <f>IFERROR(__xludf.DUMMYFUNCTION("""COMPUTED_VALUE"""),"457д (этап 2)")</f>
        <v>457д (этап 2)</v>
      </c>
      <c r="B471" s="14" t="str">
        <f>IFERROR(__xludf.DUMMYFUNCTION("""COMPUTED_VALUE"""),"АИП-26")</f>
        <v>АИП-26</v>
      </c>
      <c r="C471" s="14" t="str">
        <f>IFERROR(__xludf.DUMMYFUNCTION("""COMPUTED_VALUE"""),"УДС")</f>
        <v>УДС</v>
      </c>
      <c r="D471" s="60"/>
      <c r="E471" s="14" t="str">
        <f>IFERROR(__xludf.DUMMYFUNCTION("""COMPUTED_VALUE"""),"Улично-дорожная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2 этап ул. Лобачевского, Киевское направление МЖД, Мичуринский проспект")</f>
        <v>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2 этап ул. Лобачевского, Киевское направление МЖД, Мичуринский проспект</v>
      </c>
      <c r="F471" s="25" t="str">
        <f>IFERROR(__xludf.DUMMYFUNCTION("""COMPUTED_VALUE"""),"#N/A")</f>
        <v>#N/A</v>
      </c>
      <c r="G471" s="6" t="str">
        <f>IFERROR(__xludf.DUMMYFUNCTION("""COMPUTED_VALUE"""),"#N/A")</f>
        <v>#N/A</v>
      </c>
      <c r="H471" s="6"/>
      <c r="I471" s="6"/>
      <c r="J471" s="50">
        <f>IFERROR(__xludf.DUMMYFUNCTION("""COMPUTED_VALUE"""),0.0)</f>
        <v>0</v>
      </c>
      <c r="K471" s="58">
        <f>IFERROR(__xludf.DUMMYFUNCTION("""COMPUTED_VALUE"""),45953.0)</f>
        <v>45953</v>
      </c>
      <c r="L471" s="6">
        <v>30.0</v>
      </c>
      <c r="M471" s="52">
        <v>45983.0</v>
      </c>
      <c r="N471" s="53" t="s">
        <v>741</v>
      </c>
      <c r="O471" s="6" t="s">
        <v>931</v>
      </c>
      <c r="P471" s="6"/>
      <c r="Q471" s="6"/>
      <c r="R471" s="6"/>
    </row>
    <row r="472">
      <c r="A472" s="31" t="str">
        <f>IFERROR(__xludf.DUMMYFUNCTION("""COMPUTED_VALUE"""),"275д")</f>
        <v>275д</v>
      </c>
      <c r="B472" s="14" t="str">
        <f>IFERROR(__xludf.DUMMYFUNCTION("""COMPUTED_VALUE"""),"АИП-26")</f>
        <v>АИП-26</v>
      </c>
      <c r="C472" s="14" t="str">
        <f>IFERROR(__xludf.DUMMYFUNCTION("""COMPUTED_VALUE"""),"УДС")</f>
        <v>УДС</v>
      </c>
      <c r="D472" s="60"/>
      <c r="E472" s="14" t="str">
        <f>IFERROR(__xludf.DUMMYFUNCTION("""COMPUTED_VALUE"""),"Транспортная развязка и мостовые сооружения на территории Мневниковской поймы с примыканием к Северо-Западной хорде. Мост Парус Новозаводский территория Мневниковской поймы")</f>
        <v>Транспортная развязка и мостовые сооружения на территории Мневниковской поймы с примыканием к Северо-Западной хорде. Мост Парус Новозаводский территория Мневниковской поймы</v>
      </c>
      <c r="F472" s="25" t="str">
        <f>IFERROR(__xludf.DUMMYFUNCTION("""COMPUTED_VALUE"""),"#N/A")</f>
        <v>#N/A</v>
      </c>
      <c r="G472" s="6" t="str">
        <f>IFERROR(__xludf.DUMMYFUNCTION("""COMPUTED_VALUE"""),"#N/A")</f>
        <v>#N/A</v>
      </c>
      <c r="H472" s="6"/>
      <c r="I472" s="6"/>
      <c r="J472" s="50">
        <f>IFERROR(__xludf.DUMMYFUNCTION("""COMPUTED_VALUE"""),25.427666666666674)</f>
        <v>25.42766667</v>
      </c>
      <c r="K472" s="58">
        <f>IFERROR(__xludf.DUMMYFUNCTION("""COMPUTED_VALUE"""),45971.0)</f>
        <v>45971</v>
      </c>
      <c r="L472" s="6">
        <v>30.0</v>
      </c>
      <c r="M472" s="52">
        <v>46001.0</v>
      </c>
      <c r="N472" s="53" t="s">
        <v>711</v>
      </c>
      <c r="O472" s="6" t="s">
        <v>669</v>
      </c>
      <c r="P472" s="6"/>
      <c r="Q472" s="6"/>
      <c r="R472" s="6"/>
    </row>
    <row r="473">
      <c r="A473" s="31" t="str">
        <f>IFERROR(__xludf.DUMMYFUNCTION("""COMPUTED_VALUE"""),"408д")</f>
        <v>408д</v>
      </c>
      <c r="B473" s="14" t="str">
        <f>IFERROR(__xludf.DUMMYFUNCTION("""COMPUTED_VALUE"""),"АИП-26")</f>
        <v>АИП-26</v>
      </c>
      <c r="C473" s="14" t="str">
        <f>IFERROR(__xludf.DUMMYFUNCTION("""COMPUTED_VALUE"""),"УДС")</f>
        <v>УДС</v>
      </c>
      <c r="D473" s="60"/>
      <c r="E473" s="14" t="str">
        <f>IFERROR(__xludf.DUMMYFUNCTION("""COMPUTED_VALUE"""),"Строительство искусственного сооружения в русле р. Москвы с реконструкцией Крутицкой наб. Этапы 3 Крутицкая наб.")</f>
        <v>Строительство искусственного сооружения в русле р. Москвы с реконструкцией Крутицкой наб. Этапы 3 Крутицкая наб.</v>
      </c>
      <c r="F473" s="25" t="str">
        <f>IFERROR(__xludf.DUMMYFUNCTION("""COMPUTED_VALUE"""),"#N/A")</f>
        <v>#N/A</v>
      </c>
      <c r="G473" s="6" t="str">
        <f>IFERROR(__xludf.DUMMYFUNCTION("""COMPUTED_VALUE"""),"#N/A")</f>
        <v>#N/A</v>
      </c>
      <c r="H473" s="6"/>
      <c r="I473" s="6"/>
      <c r="J473" s="50">
        <f>IFERROR(__xludf.DUMMYFUNCTION("""COMPUTED_VALUE"""),0.0)</f>
        <v>0</v>
      </c>
      <c r="K473" s="58">
        <f>IFERROR(__xludf.DUMMYFUNCTION("""COMPUTED_VALUE"""),45972.0)</f>
        <v>45972</v>
      </c>
      <c r="L473" s="6">
        <v>30.0</v>
      </c>
      <c r="M473" s="52">
        <v>46002.0</v>
      </c>
      <c r="N473" s="53" t="s">
        <v>711</v>
      </c>
      <c r="O473" s="6" t="s">
        <v>932</v>
      </c>
      <c r="P473" s="6"/>
      <c r="Q473" s="6"/>
      <c r="R473" s="6"/>
    </row>
    <row r="474">
      <c r="A474" s="31" t="str">
        <f>IFERROR(__xludf.DUMMYFUNCTION("""COMPUTED_VALUE"""),"1344")</f>
        <v>1344</v>
      </c>
      <c r="B474" s="14" t="str">
        <f>IFERROR(__xludf.DUMMYFUNCTION("""COMPUTED_VALUE"""),"АИП-26")</f>
        <v>АИП-26</v>
      </c>
      <c r="C474" s="14" t="str">
        <f>IFERROR(__xludf.DUMMYFUNCTION("""COMPUTED_VALUE"""),"ОКС")</f>
        <v>ОКС</v>
      </c>
      <c r="D474" s="60"/>
      <c r="E474" s="14" t="str">
        <f>IFERROR(__xludf.DUMMYFUNCTION("""COMPUTED_VALUE"""),"мкр.18Б р-на Богородское мкр.18Б р-на Богородское")</f>
        <v>мкр.18Б р-на Богородское мкр.18Б р-на Богородское</v>
      </c>
      <c r="F474" s="25" t="str">
        <f>IFERROR(__xludf.DUMMYFUNCTION("""COMPUTED_VALUE"""),"#N/A")</f>
        <v>#N/A</v>
      </c>
      <c r="G474" s="6" t="str">
        <f>IFERROR(__xludf.DUMMYFUNCTION("""COMPUTED_VALUE"""),"#N/A")</f>
        <v>#N/A</v>
      </c>
      <c r="H474" s="18" t="str">
        <f>IFERROR(__xludf.DUMMYFUNCTION("""COMPUTED_VALUE"""),"https://docs.google.com/spreadsheets/d/19THEBTE9q0fhN2eApZr6BgenIvLGh0AckaYxHQfHk5w/edit?gid=343288429#gid=343288429")</f>
        <v>https://docs.google.com/spreadsheets/d/19THEBTE9q0fhN2eApZr6BgenIvLGh0AckaYxHQfHk5w/edit?gid=343288429#gid=343288429</v>
      </c>
      <c r="I474" s="19"/>
      <c r="J474" s="50"/>
      <c r="K474" s="58">
        <f>IFERROR(__xludf.DUMMYFUNCTION("""COMPUTED_VALUE"""),45962.0)</f>
        <v>45962</v>
      </c>
      <c r="L474" s="6">
        <v>30.0</v>
      </c>
      <c r="M474" s="52">
        <v>45992.0</v>
      </c>
      <c r="N474" s="53" t="s">
        <v>692</v>
      </c>
      <c r="O474" s="19" t="s">
        <v>933</v>
      </c>
      <c r="P474" s="6"/>
      <c r="Q474" s="6"/>
      <c r="R474" s="6"/>
    </row>
    <row r="475">
      <c r="A475" s="31" t="str">
        <f>IFERROR(__xludf.DUMMYFUNCTION("""COMPUTED_VALUE"""),"372д")</f>
        <v>372д</v>
      </c>
      <c r="B475" s="14" t="str">
        <f>IFERROR(__xludf.DUMMYFUNCTION("""COMPUTED_VALUE"""),"АИП-26")</f>
        <v>АИП-26</v>
      </c>
      <c r="C475" s="14" t="str">
        <f>IFERROR(__xludf.DUMMYFUNCTION("""COMPUTED_VALUE"""),"УДС")</f>
        <v>УДС</v>
      </c>
      <c r="D475" s="60"/>
      <c r="E475" s="14" t="str">
        <f>IFERROR(__xludf.DUMMYFUNCTION("""COMPUTED_VALUE"""),"ЮВХ-7. Участок вдоль ул. Каспийской от ул. Кантемировской до Павелецкого направления Московской железной дороги. Этапы 1 вдоль ул.Каспийской от ул. Кантемировской до ул. Севанская, Ул. Каспийская от ул. Севанская до МСД")</f>
        <v>ЮВХ-7. Участок вдоль ул. Каспийской от ул. Кантемировской до Павелецкого направления Московской железной дороги. Этапы 1 вдоль ул.Каспийской от ул. Кантемировской до ул. Севанская, Ул. Каспийская от ул. Севанская до МСД</v>
      </c>
      <c r="F475" s="25" t="str">
        <f>IFERROR(__xludf.DUMMYFUNCTION("""COMPUTED_VALUE"""),"#N/A")</f>
        <v>#N/A</v>
      </c>
      <c r="G475" s="6" t="str">
        <f>IFERROR(__xludf.DUMMYFUNCTION("""COMPUTED_VALUE"""),"#N/A")</f>
        <v>#N/A</v>
      </c>
      <c r="H475" s="6"/>
      <c r="I475" s="6"/>
      <c r="J475" s="50">
        <f>IFERROR(__xludf.DUMMYFUNCTION("""COMPUTED_VALUE"""),0.0)</f>
        <v>0</v>
      </c>
      <c r="K475" s="58">
        <f>IFERROR(__xludf.DUMMYFUNCTION("""COMPUTED_VALUE"""),45971.0)</f>
        <v>45971</v>
      </c>
      <c r="L475" s="6">
        <v>30.0</v>
      </c>
      <c r="M475" s="52">
        <v>46001.0</v>
      </c>
      <c r="N475" s="53" t="s">
        <v>711</v>
      </c>
      <c r="O475" s="6" t="s">
        <v>934</v>
      </c>
      <c r="P475" s="6"/>
      <c r="Q475" s="6"/>
      <c r="R475" s="6"/>
    </row>
    <row r="476">
      <c r="A476" s="31" t="str">
        <f>IFERROR(__xludf.DUMMYFUNCTION("""COMPUTED_VALUE"""),"373д")</f>
        <v>373д</v>
      </c>
      <c r="B476" s="14" t="str">
        <f>IFERROR(__xludf.DUMMYFUNCTION("""COMPUTED_VALUE"""),"АИП-26")</f>
        <v>АИП-26</v>
      </c>
      <c r="C476" s="14" t="str">
        <f>IFERROR(__xludf.DUMMYFUNCTION("""COMPUTED_VALUE"""),"УДС")</f>
        <v>УДС</v>
      </c>
      <c r="D476" s="60"/>
      <c r="E476" s="14" t="str">
        <f>IFERROR(__xludf.DUMMYFUNCTION("""COMPUTED_VALUE"""),"Реконструкция Дмитровского ш. от Малого кольца Московской железной
 дороги до Коровинского ш.
 ОС Дмитровское ш.")</f>
        <v>Реконструкция Дмитровского ш. от Малого кольца Московской железной
 дороги до Коровинского ш.
 ОС Дмитровское ш.</v>
      </c>
      <c r="F476" s="25" t="str">
        <f>IFERROR(__xludf.DUMMYFUNCTION("""COMPUTED_VALUE"""),"#N/A")</f>
        <v>#N/A</v>
      </c>
      <c r="G476" s="6" t="str">
        <f>IFERROR(__xludf.DUMMYFUNCTION("""COMPUTED_VALUE"""),"#N/A")</f>
        <v>#N/A</v>
      </c>
      <c r="H476" s="6"/>
      <c r="I476" s="74"/>
      <c r="J476" s="50">
        <f>IFERROR(__xludf.DUMMYFUNCTION("""COMPUTED_VALUE"""),43.959999999999994)</f>
        <v>43.96</v>
      </c>
      <c r="K476" s="58">
        <f>IFERROR(__xludf.DUMMYFUNCTION("""COMPUTED_VALUE"""),45962.0)</f>
        <v>45962</v>
      </c>
      <c r="L476" s="6">
        <v>30.0</v>
      </c>
      <c r="M476" s="52">
        <v>45992.0</v>
      </c>
      <c r="N476" s="53" t="s">
        <v>692</v>
      </c>
      <c r="O476" s="6" t="s">
        <v>935</v>
      </c>
      <c r="P476" s="6"/>
      <c r="Q476" s="6"/>
      <c r="R476" s="6"/>
    </row>
    <row r="477">
      <c r="A477" s="31" t="str">
        <f>IFERROR(__xludf.DUMMYFUNCTION("""COMPUTED_VALUE"""),"262д")</f>
        <v>262д</v>
      </c>
      <c r="B477" s="14" t="str">
        <f>IFERROR(__xludf.DUMMYFUNCTION("""COMPUTED_VALUE"""),"АИП-26")</f>
        <v>АИП-26</v>
      </c>
      <c r="C477" s="14" t="str">
        <f>IFERROR(__xludf.DUMMYFUNCTION("""COMPUTED_VALUE"""),"УДС")</f>
        <v>УДС</v>
      </c>
      <c r="D477" s="60"/>
      <c r="E477" s="14" t="str">
        <f>IFERROR(__xludf.DUMMYFUNCTION("""COMPUTED_VALUE"""),"Многоуровневые транспортные развязки на пересечении Северо-Восточной хорды с 5-м проездом Подбельского и Открытым шоссе. Этап 2. пересечение Северо-Восточной хорды с 5-м проездом Подбельского и Открытым шоссе")</f>
        <v>Многоуровневые транспортные развязки на пересечении Северо-Восточной хорды с 5-м проездом Подбельского и Открытым шоссе. Этап 2. пересечение Северо-Восточной хорды с 5-м проездом Подбельского и Открытым шоссе</v>
      </c>
      <c r="F477" s="25" t="str">
        <f>IFERROR(__xludf.DUMMYFUNCTION("""COMPUTED_VALUE"""),"#N/A")</f>
        <v>#N/A</v>
      </c>
      <c r="G477" s="6" t="str">
        <f>IFERROR(__xludf.DUMMYFUNCTION("""COMPUTED_VALUE"""),"#N/A")</f>
        <v>#N/A</v>
      </c>
      <c r="H477" s="6"/>
      <c r="I477" s="6"/>
      <c r="J477" s="50">
        <f>IFERROR(__xludf.DUMMYFUNCTION("""COMPUTED_VALUE"""),19.896029411764708)</f>
        <v>19.89602941</v>
      </c>
      <c r="K477" s="58">
        <f>IFERROR(__xludf.DUMMYFUNCTION("""COMPUTED_VALUE"""),45972.0)</f>
        <v>45972</v>
      </c>
      <c r="L477" s="6">
        <v>30.0</v>
      </c>
      <c r="M477" s="52">
        <v>46002.0</v>
      </c>
      <c r="N477" s="53" t="s">
        <v>711</v>
      </c>
      <c r="O477" s="6" t="s">
        <v>669</v>
      </c>
      <c r="P477" s="6"/>
      <c r="Q477" s="6"/>
      <c r="R477" s="6"/>
    </row>
    <row r="478">
      <c r="A478" s="31" t="str">
        <f>IFERROR(__xludf.DUMMYFUNCTION("""COMPUTED_VALUE"""),"381д")</f>
        <v>381д</v>
      </c>
      <c r="B478" s="14" t="str">
        <f>IFERROR(__xludf.DUMMYFUNCTION("""COMPUTED_VALUE"""),"АИП-26")</f>
        <v>АИП-26</v>
      </c>
      <c r="C478" s="14" t="str">
        <f>IFERROR(__xludf.DUMMYFUNCTION("""COMPUTED_VALUE"""),"УДС")</f>
        <v>УДС</v>
      </c>
      <c r="D478" s="60"/>
      <c r="E478" s="14" t="str">
        <f>IFERROR(__xludf.DUMMYFUNCTION("""COMPUTED_VALUE"""),"Улично-дорожная сеть к образовательным учреждениям ЖК ""Царицыно"" ЖК ""Царицино""")</f>
        <v>Улично-дорожная сеть к образовательным учреждениям ЖК "Царицыно" ЖК "Царицино"</v>
      </c>
      <c r="F478" s="25" t="str">
        <f>IFERROR(__xludf.DUMMYFUNCTION("""COMPUTED_VALUE"""),"#N/A")</f>
        <v>#N/A</v>
      </c>
      <c r="G478" s="6" t="str">
        <f>IFERROR(__xludf.DUMMYFUNCTION("""COMPUTED_VALUE"""),"#N/A")</f>
        <v>#N/A</v>
      </c>
      <c r="H478" s="6"/>
      <c r="I478" s="6"/>
      <c r="J478" s="50">
        <f>IFERROR(__xludf.DUMMYFUNCTION("""COMPUTED_VALUE"""),0.0)</f>
        <v>0</v>
      </c>
      <c r="K478" s="58">
        <f>IFERROR(__xludf.DUMMYFUNCTION("""COMPUTED_VALUE"""),45974.0)</f>
        <v>45974</v>
      </c>
      <c r="L478" s="6">
        <v>30.0</v>
      </c>
      <c r="M478" s="52">
        <v>46004.0</v>
      </c>
      <c r="N478" s="53" t="s">
        <v>711</v>
      </c>
      <c r="O478" s="6" t="s">
        <v>936</v>
      </c>
      <c r="P478" s="6"/>
      <c r="Q478" s="6"/>
      <c r="R478" s="6"/>
    </row>
    <row r="479">
      <c r="A479" s="31" t="str">
        <f>IFERROR(__xludf.DUMMYFUNCTION("""COMPUTED_VALUE"""),"382д")</f>
        <v>382д</v>
      </c>
      <c r="B479" s="14" t="str">
        <f>IFERROR(__xludf.DUMMYFUNCTION("""COMPUTED_VALUE"""),"АИП-26")</f>
        <v>АИП-26</v>
      </c>
      <c r="C479" s="14" t="str">
        <f>IFERROR(__xludf.DUMMYFUNCTION("""COMPUTED_VALUE"""),"УДС")</f>
        <v>УДС</v>
      </c>
      <c r="D479" s="60"/>
      <c r="E479" s="14" t="str">
        <f>IFERROR(__xludf.DUMMYFUNCTION("""COMPUTED_VALUE"""),"Строительство проектируемого проезда 2017 от ул. Б. Филевской до пр.пр.153 с переустройством инженерных коммуникаций для транспортного обслуживания жилой застройки на Береговом проезде. Этап 3 от ул. Б. Филевской до пр.пр.153")</f>
        <v>Строительство проектируемого проезда 2017 от ул. Б. Филевской до пр.пр.153 с переустройством инженерных коммуникаций для транспортного обслуживания жилой застройки на Береговом проезде. Этап 3 от ул. Б. Филевской до пр.пр.153</v>
      </c>
      <c r="F479" s="25" t="str">
        <f>IFERROR(__xludf.DUMMYFUNCTION("""COMPUTED_VALUE"""),"#N/A")</f>
        <v>#N/A</v>
      </c>
      <c r="G479" s="6" t="str">
        <f>IFERROR(__xludf.DUMMYFUNCTION("""COMPUTED_VALUE"""),"#N/A")</f>
        <v>#N/A</v>
      </c>
      <c r="H479" s="6"/>
      <c r="I479" s="6"/>
      <c r="J479" s="50">
        <f>IFERROR(__xludf.DUMMYFUNCTION("""COMPUTED_VALUE"""),0.0)</f>
        <v>0</v>
      </c>
      <c r="K479" s="58">
        <f>IFERROR(__xludf.DUMMYFUNCTION("""COMPUTED_VALUE"""),45961.0)</f>
        <v>45961</v>
      </c>
      <c r="L479" s="6">
        <v>30.0</v>
      </c>
      <c r="M479" s="52">
        <v>45991.0</v>
      </c>
      <c r="N479" s="53" t="s">
        <v>692</v>
      </c>
      <c r="O479" s="6" t="s">
        <v>937</v>
      </c>
      <c r="P479" s="6"/>
      <c r="Q479" s="6"/>
      <c r="R479" s="6"/>
    </row>
    <row r="480">
      <c r="A480" s="31" t="str">
        <f>IFERROR(__xludf.DUMMYFUNCTION("""COMPUTED_VALUE"""),"278д (сводный)")</f>
        <v>278д (сводный)</v>
      </c>
      <c r="B480" s="14" t="str">
        <f>IFERROR(__xludf.DUMMYFUNCTION("""COMPUTED_VALUE"""),"АИП-26")</f>
        <v>АИП-26</v>
      </c>
      <c r="C480" s="14" t="str">
        <f>IFERROR(__xludf.DUMMYFUNCTION("""COMPUTED_VALUE"""),"УДС")</f>
        <v>УДС</v>
      </c>
      <c r="D480" s="60"/>
      <c r="E480"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1.1, 1.2  ")</f>
        <v>Строительство многоуровневых транспортных развязок на участке магистрали "Солнцево-Бутово-Варшавское шоссе" от ул. Поляны до Симферопольского ш. Этапы 1.1, 1.2  </v>
      </c>
      <c r="F480" s="25" t="str">
        <f>IFERROR(__xludf.DUMMYFUNCTION("""COMPUTED_VALUE"""),"#N/A")</f>
        <v>#N/A</v>
      </c>
      <c r="G480" s="6" t="str">
        <f>IFERROR(__xludf.DUMMYFUNCTION("""COMPUTED_VALUE"""),"#N/A")</f>
        <v>#N/A</v>
      </c>
      <c r="H480" s="6"/>
      <c r="I480" s="6"/>
      <c r="J480" s="50"/>
      <c r="K480" s="58"/>
      <c r="L480" s="6">
        <v>30.0</v>
      </c>
      <c r="M480" s="52" t="s">
        <v>655</v>
      </c>
      <c r="N480" s="53" t="s">
        <v>698</v>
      </c>
      <c r="O480" s="6"/>
      <c r="P480" s="6"/>
      <c r="Q480" s="6"/>
      <c r="R480" s="6"/>
    </row>
    <row r="481">
      <c r="A481" s="31" t="str">
        <f>IFERROR(__xludf.DUMMYFUNCTION("""COMPUTED_VALUE"""),"278д (этап 1.1)")</f>
        <v>278д (этап 1.1)</v>
      </c>
      <c r="B481" s="14"/>
      <c r="C481" s="14" t="str">
        <f>IFERROR(__xludf.DUMMYFUNCTION("""COMPUTED_VALUE"""),"УДС")</f>
        <v>УДС</v>
      </c>
      <c r="D481" s="60"/>
      <c r="E481"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1.1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1.1 от ул. Поляны до Симферопольского ш.</v>
      </c>
      <c r="F481" s="25" t="str">
        <f>IFERROR(__xludf.DUMMYFUNCTION("""COMPUTED_VALUE"""),"#N/A")</f>
        <v>#N/A</v>
      </c>
      <c r="G481" s="6" t="str">
        <f>IFERROR(__xludf.DUMMYFUNCTION("""COMPUTED_VALUE"""),"#N/A")</f>
        <v>#N/A</v>
      </c>
      <c r="H481" s="6"/>
      <c r="I481" s="6"/>
      <c r="J481" s="50"/>
      <c r="K481" s="58"/>
      <c r="L481" s="6">
        <v>30.0</v>
      </c>
      <c r="M481" s="52" t="s">
        <v>655</v>
      </c>
      <c r="N481" s="53" t="s">
        <v>698</v>
      </c>
      <c r="O481" s="6" t="s">
        <v>938</v>
      </c>
      <c r="P481" s="6"/>
      <c r="Q481" s="6"/>
      <c r="R481" s="6"/>
    </row>
    <row r="482">
      <c r="A482" s="31" t="str">
        <f>IFERROR(__xludf.DUMMYFUNCTION("""COMPUTED_VALUE"""),"278д (этап 1.2)")</f>
        <v>278д (этап 1.2)</v>
      </c>
      <c r="B482" s="14"/>
      <c r="C482" s="14" t="str">
        <f>IFERROR(__xludf.DUMMYFUNCTION("""COMPUTED_VALUE"""),"УДС")</f>
        <v>УДС</v>
      </c>
      <c r="D482" s="60"/>
      <c r="E482"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1.2.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1.2. от ул. Поляны до Симферопольского ш.</v>
      </c>
      <c r="F482" s="25" t="str">
        <f>IFERROR(__xludf.DUMMYFUNCTION("""COMPUTED_VALUE"""),"#N/A")</f>
        <v>#N/A</v>
      </c>
      <c r="G482" s="6" t="str">
        <f>IFERROR(__xludf.DUMMYFUNCTION("""COMPUTED_VALUE"""),"#N/A")</f>
        <v>#N/A</v>
      </c>
      <c r="H482" s="6"/>
      <c r="I482" s="6"/>
      <c r="J482" s="50"/>
      <c r="K482" s="58"/>
      <c r="L482" s="6">
        <v>30.0</v>
      </c>
      <c r="M482" s="52" t="s">
        <v>655</v>
      </c>
      <c r="N482" s="53" t="s">
        <v>698</v>
      </c>
      <c r="O482" s="6" t="s">
        <v>938</v>
      </c>
      <c r="P482" s="6"/>
      <c r="Q482" s="6"/>
      <c r="R482" s="6"/>
    </row>
    <row r="483">
      <c r="A483" s="31" t="str">
        <f>IFERROR(__xludf.DUMMYFUNCTION("""COMPUTED_VALUE"""),"256д (этап 2)")</f>
        <v>256д (этап 2)</v>
      </c>
      <c r="B483" s="14" t="str">
        <f>IFERROR(__xludf.DUMMYFUNCTION("""COMPUTED_VALUE"""),"АИП-26")</f>
        <v>АИП-26</v>
      </c>
      <c r="C483" s="14" t="str">
        <f>IFERROR(__xludf.DUMMYFUNCTION("""COMPUTED_VALUE"""),"УДС")</f>
        <v>УДС</v>
      </c>
      <c r="D483" s="60"/>
      <c r="E483"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2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2 от ул. Поляны до Симферопольского ш.</v>
      </c>
      <c r="F483" s="25" t="str">
        <f>IFERROR(__xludf.DUMMYFUNCTION("""COMPUTED_VALUE"""),"#N/A")</f>
        <v>#N/A</v>
      </c>
      <c r="G483" s="6" t="str">
        <f>IFERROR(__xludf.DUMMYFUNCTION("""COMPUTED_VALUE"""),"#N/A")</f>
        <v>#N/A</v>
      </c>
      <c r="H483" s="6"/>
      <c r="I483" s="6"/>
      <c r="J483" s="50">
        <f>IFERROR(__xludf.DUMMYFUNCTION("""COMPUTED_VALUE"""),11.759039999999999)</f>
        <v>11.75904</v>
      </c>
      <c r="K483" s="58">
        <f>IFERROR(__xludf.DUMMYFUNCTION("""COMPUTED_VALUE"""),45974.0)</f>
        <v>45974</v>
      </c>
      <c r="L483" s="6">
        <v>30.0</v>
      </c>
      <c r="M483" s="52">
        <v>46004.0</v>
      </c>
      <c r="N483" s="53" t="s">
        <v>711</v>
      </c>
      <c r="O483" s="6" t="s">
        <v>939</v>
      </c>
      <c r="P483" s="6"/>
      <c r="Q483" s="6"/>
      <c r="R483" s="6"/>
    </row>
    <row r="484">
      <c r="A484" s="31" t="str">
        <f>IFERROR(__xludf.DUMMYFUNCTION("""COMPUTED_VALUE"""),"288д (этап 2.1)")</f>
        <v>288д (этап 2.1)</v>
      </c>
      <c r="B484" s="14" t="str">
        <f>IFERROR(__xludf.DUMMYFUNCTION("""COMPUTED_VALUE"""),"АИП-26")</f>
        <v>АИП-26</v>
      </c>
      <c r="C484" s="14" t="str">
        <f>IFERROR(__xludf.DUMMYFUNCTION("""COMPUTED_VALUE"""),"УДС")</f>
        <v>УДС</v>
      </c>
      <c r="D484" s="60"/>
      <c r="E484" s="14" t="str">
        <f>IFERROR(__xludf.DUMMYFUNCTION("""COMPUTED_VALUE"""),"Симоновская набережная от существующего участка до Третьего транспортного кольца. Этапы 2.1. Симоновская набережная от существующего участка до Третьего транспортного кольца")</f>
        <v>Симоновская набережная от существующего участка до Третьего транспортного кольца. Этапы 2.1. Симоновская набережная от существующего участка до Третьего транспортного кольца</v>
      </c>
      <c r="F484" s="25" t="str">
        <f>IFERROR(__xludf.DUMMYFUNCTION("""COMPUTED_VALUE"""),"#N/A")</f>
        <v>#N/A</v>
      </c>
      <c r="G484" s="6" t="str">
        <f>IFERROR(__xludf.DUMMYFUNCTION("""COMPUTED_VALUE"""),"#N/A")</f>
        <v>#N/A</v>
      </c>
      <c r="H484" s="6"/>
      <c r="I484" s="6"/>
      <c r="J484" s="50">
        <f>IFERROR(__xludf.DUMMYFUNCTION("""COMPUTED_VALUE"""),0.545)</f>
        <v>0.545</v>
      </c>
      <c r="K484" s="58">
        <f>IFERROR(__xludf.DUMMYFUNCTION("""COMPUTED_VALUE"""),45972.0)</f>
        <v>45972</v>
      </c>
      <c r="L484" s="6">
        <v>30.0</v>
      </c>
      <c r="M484" s="52">
        <v>46002.0</v>
      </c>
      <c r="N484" s="53" t="s">
        <v>711</v>
      </c>
      <c r="O484" s="6" t="s">
        <v>893</v>
      </c>
      <c r="P484" s="6"/>
      <c r="Q484" s="6"/>
      <c r="R484" s="6"/>
    </row>
    <row r="485">
      <c r="A485" s="31" t="str">
        <f>IFERROR(__xludf.DUMMYFUNCTION("""COMPUTED_VALUE"""),"023")</f>
        <v>023</v>
      </c>
      <c r="B485" s="14" t="str">
        <f>IFERROR(__xludf.DUMMYFUNCTION("""COMPUTED_VALUE"""),"АИП-26")</f>
        <v>АИП-26</v>
      </c>
      <c r="C485" s="14" t="str">
        <f>IFERROR(__xludf.DUMMYFUNCTION("""COMPUTED_VALUE"""),"ОКС")</f>
        <v>ОКС</v>
      </c>
      <c r="D485" s="60"/>
      <c r="E485" s="14" t="str">
        <f>IFERROR(__xludf.DUMMYFUNCTION("""COMPUTED_VALUE"""),"Взрослая поликлиника на 750 посещений в смену вблизи Октябрьского пр-кта д. 5, г.о.Троицк вблизи Октябрьского пр-кта д. 5, г.о.Троицк")</f>
        <v>Взрослая поликлиника на 750 посещений в смену вблизи Октябрьского пр-кта д. 5, г.о.Троицк вблизи Октябрьского пр-кта д. 5, г.о.Троицк</v>
      </c>
      <c r="F485" s="25" t="str">
        <f>IFERROR(__xludf.DUMMYFUNCTION("""COMPUTED_VALUE"""),"55.47459819347975")</f>
        <v>55.47459819347975</v>
      </c>
      <c r="G485" s="6" t="str">
        <f>IFERROR(__xludf.DUMMYFUNCTION("""COMPUTED_VALUE"""),"37.290847238037024")</f>
        <v>37.290847238037024</v>
      </c>
      <c r="H485" s="18" t="str">
        <f>IFERROR(__xludf.DUMMYFUNCTION("""COMPUTED_VALUE"""),"https://docs.google.com/spreadsheets/d/19THEBTE9q0fhN2eApZr6BgenIvLGh0AckaYxHQfHk5w/edit?gid=1771081492#gid=1771081492")</f>
        <v>https://docs.google.com/spreadsheets/d/19THEBTE9q0fhN2eApZr6BgenIvLGh0AckaYxHQfHk5w/edit?gid=1771081492#gid=1771081492</v>
      </c>
      <c r="I485" s="19" t="str">
        <f>IFERROR(__xludf.DUMMYFUNCTION("""COMPUTED_VALUE"""),"https://disk.yandex.ru/client/disk/Осмотры%20объектов%20АНО%20СМГ/023.%20Поликлиника%20на%20750.%20г.%20Троицк%20пр%20октябрьский%205")</f>
        <v>https://disk.yandex.ru/client/disk/Осмотры%20объектов%20АНО%20СМГ/023.%20Поликлиника%20на%20750.%20г.%20Троицк%20пр%20октябрьский%205</v>
      </c>
      <c r="J485" s="50">
        <f>IFERROR(__xludf.DUMMYFUNCTION("""COMPUTED_VALUE"""),46.1009)</f>
        <v>46.1009</v>
      </c>
      <c r="K485" s="58">
        <f>IFERROR(__xludf.DUMMYFUNCTION("""COMPUTED_VALUE"""),45954.0)</f>
        <v>45954</v>
      </c>
      <c r="L485" s="6">
        <v>30.0</v>
      </c>
      <c r="M485" s="52">
        <v>45984.0</v>
      </c>
      <c r="N485" s="53" t="s">
        <v>741</v>
      </c>
      <c r="O485" s="19" t="s">
        <v>940</v>
      </c>
      <c r="P485" s="6"/>
      <c r="Q485" s="6"/>
      <c r="R485" s="6"/>
    </row>
    <row r="486">
      <c r="A486" s="31" t="str">
        <f>IFERROR(__xludf.DUMMYFUNCTION("""COMPUTED_VALUE"""),"1270")</f>
        <v>1270</v>
      </c>
      <c r="B486" s="14" t="str">
        <f>IFERROR(__xludf.DUMMYFUNCTION("""COMPUTED_VALUE"""),"АИП-26")</f>
        <v>АИП-26</v>
      </c>
      <c r="C486" s="14" t="str">
        <f>IFERROR(__xludf.DUMMYFUNCTION("""COMPUTED_VALUE"""),"ОКС")</f>
        <v>ОКС</v>
      </c>
      <c r="D486" s="60"/>
      <c r="E486" s="14" t="str">
        <f>IFERROR(__xludf.DUMMYFUNCTION("""COMPUTED_VALUE"""),"ЖК «Легенда», г.о. Троицк, 42-й км Калужского шоссе, гаражный комплекс 12 г.о. Троицк, 42-й км Калужского шоссе")</f>
        <v>ЖК «Легенда», г.о. Троицк, 42-й км Калужского шоссе, гаражный комплекс 12 г.о. Троицк, 42-й км Калужского шоссе</v>
      </c>
      <c r="F486" s="25" t="str">
        <f>IFERROR(__xludf.DUMMYFUNCTION("""COMPUTED_VALUE"""),"55.452184266536904")</f>
        <v>55.452184266536904</v>
      </c>
      <c r="G486" s="6" t="str">
        <f>IFERROR(__xludf.DUMMYFUNCTION("""COMPUTED_VALUE"""),"37.28299187696795")</f>
        <v>37.28299187696795</v>
      </c>
      <c r="H486" s="18" t="str">
        <f>IFERROR(__xludf.DUMMYFUNCTION("""COMPUTED_VALUE"""),"https://docs.google.com/spreadsheets/d/19THEBTE9q0fhN2eApZr6BgenIvLGh0AckaYxHQfHk5w/edit?gid=274135139#gid=274135139")</f>
        <v>https://docs.google.com/spreadsheets/d/19THEBTE9q0fhN2eApZr6BgenIvLGh0AckaYxHQfHk5w/edit?gid=274135139#gid=274135139</v>
      </c>
      <c r="I486" s="19"/>
      <c r="J486" s="50">
        <f>IFERROR(__xludf.DUMMYFUNCTION("""COMPUTED_VALUE"""),0.0)</f>
        <v>0</v>
      </c>
      <c r="K486" s="58">
        <f>IFERROR(__xludf.DUMMYFUNCTION("""COMPUTED_VALUE"""),45954.0)</f>
        <v>45954</v>
      </c>
      <c r="L486" s="6">
        <v>30.0</v>
      </c>
      <c r="M486" s="52">
        <v>45984.0</v>
      </c>
      <c r="N486" s="53" t="s">
        <v>741</v>
      </c>
      <c r="O486" s="19" t="s">
        <v>941</v>
      </c>
      <c r="P486" s="6"/>
      <c r="Q486" s="6"/>
      <c r="R486" s="6"/>
    </row>
    <row r="487">
      <c r="A487" s="31" t="str">
        <f>IFERROR(__xludf.DUMMYFUNCTION("""COMPUTED_VALUE"""),"1270")</f>
        <v>1270</v>
      </c>
      <c r="B487" s="14" t="str">
        <f>IFERROR(__xludf.DUMMYFUNCTION("""COMPUTED_VALUE"""),"АИП-26")</f>
        <v>АИП-26</v>
      </c>
      <c r="C487" s="14" t="str">
        <f>IFERROR(__xludf.DUMMYFUNCTION("""COMPUTED_VALUE"""),"ОКС")</f>
        <v>ОКС</v>
      </c>
      <c r="D487" s="60"/>
      <c r="E487" s="14" t="str">
        <f>IFERROR(__xludf.DUMMYFUNCTION("""COMPUTED_VALUE"""),"ЖК «Легенда», г.о. Троицк, 42-й км Калужского шоссе, гаражный комплекс 13 г.о. Троицк, 42-й км Калужского шоссе")</f>
        <v>ЖК «Легенда», г.о. Троицк, 42-й км Калужского шоссе, гаражный комплекс 13 г.о. Троицк, 42-й км Калужского шоссе</v>
      </c>
      <c r="F487" s="25" t="str">
        <f>IFERROR(__xludf.DUMMYFUNCTION("""COMPUTED_VALUE"""),"55.452184266536904")</f>
        <v>55.452184266536904</v>
      </c>
      <c r="G487" s="6" t="str">
        <f>IFERROR(__xludf.DUMMYFUNCTION("""COMPUTED_VALUE"""),"37.28299187696795")</f>
        <v>37.28299187696795</v>
      </c>
      <c r="H487" s="18" t="str">
        <f>IFERROR(__xludf.DUMMYFUNCTION("""COMPUTED_VALUE"""),"https://docs.google.com/spreadsheets/d/19THEBTE9q0fhN2eApZr6BgenIvLGh0AckaYxHQfHk5w/edit?gid=274135139#gid=274135139")</f>
        <v>https://docs.google.com/spreadsheets/d/19THEBTE9q0fhN2eApZr6BgenIvLGh0AckaYxHQfHk5w/edit?gid=274135139#gid=274135139</v>
      </c>
      <c r="I487" s="19"/>
      <c r="J487" s="50">
        <f>IFERROR(__xludf.DUMMYFUNCTION("""COMPUTED_VALUE"""),0.0)</f>
        <v>0</v>
      </c>
      <c r="K487" s="58">
        <f>IFERROR(__xludf.DUMMYFUNCTION("""COMPUTED_VALUE"""),45954.0)</f>
        <v>45954</v>
      </c>
      <c r="L487" s="6">
        <v>30.0</v>
      </c>
      <c r="M487" s="52">
        <v>45984.0</v>
      </c>
      <c r="N487" s="53" t="s">
        <v>741</v>
      </c>
      <c r="O487" s="19" t="s">
        <v>941</v>
      </c>
      <c r="P487" s="6"/>
      <c r="Q487" s="6"/>
      <c r="R487" s="6"/>
    </row>
    <row r="488">
      <c r="A488" s="31" t="str">
        <f>IFERROR(__xludf.DUMMYFUNCTION("""COMPUTED_VALUE"""),"1270")</f>
        <v>1270</v>
      </c>
      <c r="B488" s="14" t="str">
        <f>IFERROR(__xludf.DUMMYFUNCTION("""COMPUTED_VALUE"""),"АИП-26")</f>
        <v>АИП-26</v>
      </c>
      <c r="C488" s="14" t="str">
        <f>IFERROR(__xludf.DUMMYFUNCTION("""COMPUTED_VALUE"""),"ОКС")</f>
        <v>ОКС</v>
      </c>
      <c r="D488" s="60"/>
      <c r="E488" s="14" t="str">
        <f>IFERROR(__xludf.DUMMYFUNCTION("""COMPUTED_VALUE"""),"ЖК «Легенда», г.о. Троицк, 42-й км Калужского шоссе, гаражный комплекс 14 г.о. Троицк, 42-й км Калужского шоссе")</f>
        <v>ЖК «Легенда», г.о. Троицк, 42-й км Калужского шоссе, гаражный комплекс 14 г.о. Троицк, 42-й км Калужского шоссе</v>
      </c>
      <c r="F488" s="25" t="str">
        <f>IFERROR(__xludf.DUMMYFUNCTION("""COMPUTED_VALUE"""),"55.452184266536904")</f>
        <v>55.452184266536904</v>
      </c>
      <c r="G488" s="6" t="str">
        <f>IFERROR(__xludf.DUMMYFUNCTION("""COMPUTED_VALUE"""),"37.28299187696795")</f>
        <v>37.28299187696795</v>
      </c>
      <c r="H488" s="18" t="str">
        <f>IFERROR(__xludf.DUMMYFUNCTION("""COMPUTED_VALUE"""),"https://docs.google.com/spreadsheets/d/19THEBTE9q0fhN2eApZr6BgenIvLGh0AckaYxHQfHk5w/edit?gid=274135139#gid=274135139")</f>
        <v>https://docs.google.com/spreadsheets/d/19THEBTE9q0fhN2eApZr6BgenIvLGh0AckaYxHQfHk5w/edit?gid=274135139#gid=274135139</v>
      </c>
      <c r="I488" s="19"/>
      <c r="J488" s="50">
        <f>IFERROR(__xludf.DUMMYFUNCTION("""COMPUTED_VALUE"""),0.0)</f>
        <v>0</v>
      </c>
      <c r="K488" s="58">
        <f>IFERROR(__xludf.DUMMYFUNCTION("""COMPUTED_VALUE"""),45954.0)</f>
        <v>45954</v>
      </c>
      <c r="L488" s="6">
        <v>30.0</v>
      </c>
      <c r="M488" s="52">
        <v>45984.0</v>
      </c>
      <c r="N488" s="53" t="s">
        <v>741</v>
      </c>
      <c r="O488" s="19" t="s">
        <v>942</v>
      </c>
      <c r="P488" s="6"/>
      <c r="Q488" s="6"/>
      <c r="R488" s="6"/>
    </row>
    <row r="489">
      <c r="A489" s="31" t="str">
        <f>IFERROR(__xludf.DUMMYFUNCTION("""COMPUTED_VALUE"""),"260д")</f>
        <v>260д</v>
      </c>
      <c r="B489" s="14" t="str">
        <f>IFERROR(__xludf.DUMMYFUNCTION("""COMPUTED_VALUE"""),"АИП-26")</f>
        <v>АИП-26</v>
      </c>
      <c r="C489" s="14" t="str">
        <f>IFERROR(__xludf.DUMMYFUNCTION("""COMPUTED_VALUE"""),"УДС")</f>
        <v>УДС</v>
      </c>
      <c r="D489" s="60"/>
      <c r="E489" s="14" t="str">
        <f>IFERROR(__xludf.DUMMYFUNCTION("""COMPUTED_VALUE"""),"Строительство проектируемого проезда № 6297 и реконструкция Ельнинской улицы .Этап 1 Ельнинскай улицы")</f>
        <v>Строительство проектируемого проезда № 6297 и реконструкция Ельнинской улицы .Этап 1 Ельнинскай улицы</v>
      </c>
      <c r="F489" s="25" t="str">
        <f>IFERROR(__xludf.DUMMYFUNCTION("""COMPUTED_VALUE"""),"#N/A")</f>
        <v>#N/A</v>
      </c>
      <c r="G489" s="6" t="str">
        <f>IFERROR(__xludf.DUMMYFUNCTION("""COMPUTED_VALUE"""),"#N/A")</f>
        <v>#N/A</v>
      </c>
      <c r="H489" s="6"/>
      <c r="I489" s="6"/>
      <c r="J489" s="50">
        <f>IFERROR(__xludf.DUMMYFUNCTION("""COMPUTED_VALUE"""),43.08805000000001)</f>
        <v>43.08805</v>
      </c>
      <c r="K489" s="58">
        <f>IFERROR(__xludf.DUMMYFUNCTION("""COMPUTED_VALUE"""),45962.0)</f>
        <v>45962</v>
      </c>
      <c r="L489" s="6">
        <v>30.0</v>
      </c>
      <c r="M489" s="52">
        <v>45992.0</v>
      </c>
      <c r="N489" s="53" t="s">
        <v>692</v>
      </c>
      <c r="O489" s="6" t="s">
        <v>669</v>
      </c>
      <c r="P489" s="6"/>
      <c r="Q489" s="6"/>
      <c r="R489" s="6"/>
    </row>
    <row r="490">
      <c r="A490" s="31" t="str">
        <f>IFERROR(__xludf.DUMMYFUNCTION("""COMPUTED_VALUE"""),"1056д")</f>
        <v>1056д</v>
      </c>
      <c r="B490" s="14" t="str">
        <f>IFERROR(__xludf.DUMMYFUNCTION("""COMPUTED_VALUE"""),"АИП-26")</f>
        <v>АИП-26</v>
      </c>
      <c r="C490" s="14" t="str">
        <f>IFERROR(__xludf.DUMMYFUNCTION("""COMPUTED_VALUE"""),"УДС")</f>
        <v>УДС</v>
      </c>
      <c r="D490" s="60"/>
      <c r="E490" s="14" t="str">
        <f>IFERROR(__xludf.DUMMYFUNCTION("""COMPUTED_VALUE"""),"Очистные сооружения № 1 для 1 очереди застройки р-на Щербинка Щербинка, Варшавское шосе (пересечение с пр.пр.733 и ул. Шоссейная).")</f>
        <v>Очистные сооружения № 1 для 1 очереди застройки р-на Щербинка Щербинка, Варшавское шосе (пересечение с пр.пр.733 и ул. Шоссейная).</v>
      </c>
      <c r="F490" s="25" t="str">
        <f>IFERROR(__xludf.DUMMYFUNCTION("""COMPUTED_VALUE"""),"55.49905952460647")</f>
        <v>55.49905952460647</v>
      </c>
      <c r="G490" s="6" t="str">
        <f>IFERROR(__xludf.DUMMYFUNCTION("""COMPUTED_VALUE"""),"37.574446538283134")</f>
        <v>37.574446538283134</v>
      </c>
      <c r="H490" s="6"/>
      <c r="I490" s="6" t="str">
        <f>IFERROR(__xludf.DUMMYFUNCTION("""COMPUTED_VALUE"""),"https://disk.yandex.ru/client/disk/Осмотры%20объектов%20АНО%20СМГ/1056.%20Очистные%20сооружения%20№1%2C%201%20очередь.%20Щербинка")</f>
        <v>https://disk.yandex.ru/client/disk/Осмотры%20объектов%20АНО%20СМГ/1056.%20Очистные%20сооружения%20№1%2C%201%20очередь.%20Щербинка</v>
      </c>
      <c r="J490" s="50">
        <f>IFERROR(__xludf.DUMMYFUNCTION("""COMPUTED_VALUE"""),3.596)</f>
        <v>3.596</v>
      </c>
      <c r="K490" s="58">
        <f>IFERROR(__xludf.DUMMYFUNCTION("""COMPUTED_VALUE"""),45954.0)</f>
        <v>45954</v>
      </c>
      <c r="L490" s="6">
        <v>30.0</v>
      </c>
      <c r="M490" s="52">
        <v>45984.0</v>
      </c>
      <c r="N490" s="53" t="s">
        <v>741</v>
      </c>
      <c r="O490" s="6" t="s">
        <v>943</v>
      </c>
      <c r="P490" s="6"/>
      <c r="Q490" s="6"/>
      <c r="R490" s="6"/>
    </row>
    <row r="491">
      <c r="A491" s="31" t="str">
        <f>IFERROR(__xludf.DUMMYFUNCTION("""COMPUTED_VALUE"""),"1055д")</f>
        <v>1055д</v>
      </c>
      <c r="B491" s="14" t="str">
        <f>IFERROR(__xludf.DUMMYFUNCTION("""COMPUTED_VALUE"""),"АИП-26")</f>
        <v>АИП-26</v>
      </c>
      <c r="C491" s="14" t="str">
        <f>IFERROR(__xludf.DUMMYFUNCTION("""COMPUTED_VALUE"""),"УДС")</f>
        <v>УДС</v>
      </c>
      <c r="D491" s="60"/>
      <c r="E491" s="14" t="str">
        <f>IFERROR(__xludf.DUMMYFUNCTION("""COMPUTED_VALUE"""),"Инженерная подготовка территории жилой застройки по адресу: Проектируемый пр-д 4062, влд. 8 с перебазированием ремонтно-производственной базы флота ГУП ""Мосводосток"" (проектирование и строительство) по адресу:
 2-й Южнопортовый пр-д 2-й Южнопортовый про"&amp;"езд")</f>
        <v>Инженерная подготовка территории жилой застройки по адресу: Проектируемый пр-д 4062, влд. 8 с перебазированием ремонтно-производственной базы флота ГУП "Мосводосток" (проектирование и строительство) по адресу:
 2-й Южнопортовый пр-д 2-й Южнопортовый проезд</v>
      </c>
      <c r="F491" s="25" t="str">
        <f>IFERROR(__xludf.DUMMYFUNCTION("""COMPUTED_VALUE"""),"55.70150928861814")</f>
        <v>55.70150928861814</v>
      </c>
      <c r="G491" s="6" t="str">
        <f>IFERROR(__xludf.DUMMYFUNCTION("""COMPUTED_VALUE"""),"37.673321817350796")</f>
        <v>37.673321817350796</v>
      </c>
      <c r="H491" s="6"/>
      <c r="I491" s="6" t="str">
        <f>IFERROR(__xludf.DUMMYFUNCTION("""COMPUTED_VALUE"""),"https://disk.yandex.ru/client/disk/Осмотры%20объектов%20АНО%20СМГ/1055.%20Инженерная%20подготовка%20территорий%20жилой%20застройки%20по%20адрсу%3A%20Проектируемый%20пр-д%204062%2C%20влд.%208%20с%20перебазированием%20ремонтно-произвооодственной%20базы%20фл"&amp;"ота%20ГУП%20%22Мосводосток%22%20(проектирование%20и%20строительство)")</f>
        <v>https://disk.yandex.ru/client/disk/Осмотры%20объектов%20АНО%20СМГ/1055.%20Инженерная%20подготовка%20территорий%20жилой%20застройки%20по%20адрсу%3A%20Проектируемый%20пр-д%204062%2C%20влд.%208%20с%20перебазированием%20ремонтно-произвооодственной%20базы%20флота%20ГУП%20%22Мосводосток%22%20(проектирование%20и%20строительство)</v>
      </c>
      <c r="J491" s="50">
        <f>IFERROR(__xludf.DUMMYFUNCTION("""COMPUTED_VALUE"""),4.375)</f>
        <v>4.375</v>
      </c>
      <c r="K491" s="58">
        <f>IFERROR(__xludf.DUMMYFUNCTION("""COMPUTED_VALUE"""),45954.0)</f>
        <v>45954</v>
      </c>
      <c r="L491" s="6">
        <v>30.0</v>
      </c>
      <c r="M491" s="52">
        <v>45984.0</v>
      </c>
      <c r="N491" s="53" t="s">
        <v>741</v>
      </c>
      <c r="O491" s="6" t="s">
        <v>944</v>
      </c>
      <c r="P491" s="6"/>
      <c r="Q491" s="6"/>
      <c r="R491" s="6"/>
    </row>
    <row r="492">
      <c r="A492" s="31" t="str">
        <f>IFERROR(__xludf.DUMMYFUNCTION("""COMPUTED_VALUE"""),"378д")</f>
        <v>378д</v>
      </c>
      <c r="B492" s="14" t="str">
        <f>IFERROR(__xludf.DUMMYFUNCTION("""COMPUTED_VALUE"""),"АИП-26")</f>
        <v>АИП-26</v>
      </c>
      <c r="C492" s="14" t="str">
        <f>IFERROR(__xludf.DUMMYFUNCTION("""COMPUTED_VALUE"""),"УДС")</f>
        <v>УДС</v>
      </c>
      <c r="D492" s="60"/>
      <c r="E492" s="14" t="str">
        <f>IFERROR(__xludf.DUMMYFUNCTION("""COMPUTED_VALUE"""),"Строительство путепровода через Октябрьское направление Московской железной дороги и мостовых сооружений через р. Сходня Октябрьское направление Московской железной дороги")</f>
        <v>Строительство путепровода через Октябрьское направление Московской железной дороги и мостовых сооружений через р. Сходня Октябрьское направление Московской железной дороги</v>
      </c>
      <c r="F492" s="25" t="str">
        <f>IFERROR(__xludf.DUMMYFUNCTION("""COMPUTED_VALUE"""),"#N/A")</f>
        <v>#N/A</v>
      </c>
      <c r="G492" s="6" t="str">
        <f>IFERROR(__xludf.DUMMYFUNCTION("""COMPUTED_VALUE"""),"#N/A")</f>
        <v>#N/A</v>
      </c>
      <c r="H492" s="6"/>
      <c r="I492" s="6"/>
      <c r="J492" s="50">
        <f>IFERROR(__xludf.DUMMYFUNCTION("""COMPUTED_VALUE"""),0.0)</f>
        <v>0</v>
      </c>
      <c r="K492" s="58">
        <f>IFERROR(__xludf.DUMMYFUNCTION("""COMPUTED_VALUE"""),45971.0)</f>
        <v>45971</v>
      </c>
      <c r="L492" s="6">
        <v>30.0</v>
      </c>
      <c r="M492" s="52">
        <v>46001.0</v>
      </c>
      <c r="N492" s="53" t="s">
        <v>711</v>
      </c>
      <c r="O492" s="6" t="s">
        <v>945</v>
      </c>
      <c r="P492" s="6"/>
      <c r="Q492" s="6"/>
      <c r="R492" s="6"/>
    </row>
    <row r="493">
      <c r="A493" s="31" t="str">
        <f>IFERROR(__xludf.DUMMYFUNCTION("""COMPUTED_VALUE"""),"290Д")</f>
        <v>290Д</v>
      </c>
      <c r="B493" s="14" t="str">
        <f>IFERROR(__xludf.DUMMYFUNCTION("""COMPUTED_VALUE"""),"АИП-26")</f>
        <v>АИП-26</v>
      </c>
      <c r="C493" s="14" t="str">
        <f>IFERROR(__xludf.DUMMYFUNCTION("""COMPUTED_VALUE"""),"УДС")</f>
        <v>УДС</v>
      </c>
      <c r="D493" s="60"/>
      <c r="E493" s="14" t="str">
        <f>IFERROR(__xludf.DUMMYFUNCTION("""COMPUTED_VALUE"""),"Строительство улично-дорожной сети для обслуживания станции метро ""Столбово"" (3 этап). Реконструкция улицы от ул. Александры Монаховой до ул. Сосенский Стан от ул. Александры Монаховой до ул. Сосенский Стан")</f>
        <v>Строительство улично-дорожной сети для обслуживания станции метро "Столбово" (3 этап). Реконструкция улицы от ул. Александры Монаховой до ул. Сосенский Стан от ул. Александры Монаховой до ул. Сосенский Стан</v>
      </c>
      <c r="F493" s="25" t="str">
        <f>IFERROR(__xludf.DUMMYFUNCTION("""COMPUTED_VALUE"""),"#N/A")</f>
        <v>#N/A</v>
      </c>
      <c r="G493" s="6" t="str">
        <f>IFERROR(__xludf.DUMMYFUNCTION("""COMPUTED_VALUE"""),"#N/A")</f>
        <v>#N/A</v>
      </c>
      <c r="H493" s="6"/>
      <c r="I493" s="6"/>
      <c r="J493" s="50">
        <f>IFERROR(__xludf.DUMMYFUNCTION("""COMPUTED_VALUE"""),0.0)</f>
        <v>0</v>
      </c>
      <c r="K493" s="58">
        <f>IFERROR(__xludf.DUMMYFUNCTION("""COMPUTED_VALUE"""),45962.0)</f>
        <v>45962</v>
      </c>
      <c r="L493" s="6">
        <v>30.0</v>
      </c>
      <c r="M493" s="52">
        <v>45992.0</v>
      </c>
      <c r="N493" s="53" t="s">
        <v>692</v>
      </c>
      <c r="O493" s="6" t="s">
        <v>946</v>
      </c>
      <c r="P493" s="6"/>
      <c r="Q493" s="6"/>
      <c r="R493" s="6"/>
    </row>
    <row r="494">
      <c r="A494" s="31" t="str">
        <f>IFERROR(__xludf.DUMMYFUNCTION("""COMPUTED_VALUE"""),"383д")</f>
        <v>383д</v>
      </c>
      <c r="B494" s="14" t="str">
        <f>IFERROR(__xludf.DUMMYFUNCTION("""COMPUTED_VALUE"""),"АИП-26")</f>
        <v>АИП-26</v>
      </c>
      <c r="C494" s="14" t="str">
        <f>IFERROR(__xludf.DUMMYFUNCTION("""COMPUTED_VALUE"""),"УДС")</f>
        <v>УДС</v>
      </c>
      <c r="D494" s="60"/>
      <c r="E494" s="14" t="str">
        <f>IFERROR(__xludf.DUMMYFUNCTION("""COMPUTED_VALUE"""),"Пешеходный переход через МЦД в районе Локомотивного проезда в районе Локомотивного проезда")</f>
        <v>Пешеходный переход через МЦД в районе Локомотивного проезда в районе Локомотивного проезда</v>
      </c>
      <c r="F494" s="25" t="str">
        <f>IFERROR(__xludf.DUMMYFUNCTION("""COMPUTED_VALUE"""),"#N/A")</f>
        <v>#N/A</v>
      </c>
      <c r="G494" s="6" t="str">
        <f>IFERROR(__xludf.DUMMYFUNCTION("""COMPUTED_VALUE"""),"#N/A")</f>
        <v>#N/A</v>
      </c>
      <c r="H494" s="6"/>
      <c r="I494" s="6"/>
      <c r="J494" s="50">
        <f>IFERROR(__xludf.DUMMYFUNCTION("""COMPUTED_VALUE"""),0.0)</f>
        <v>0</v>
      </c>
      <c r="K494" s="58">
        <f>IFERROR(__xludf.DUMMYFUNCTION("""COMPUTED_VALUE"""),45962.0)</f>
        <v>45962</v>
      </c>
      <c r="L494" s="6">
        <v>30.0</v>
      </c>
      <c r="M494" s="52">
        <v>45992.0</v>
      </c>
      <c r="N494" s="53" t="s">
        <v>692</v>
      </c>
      <c r="O494" s="6" t="s">
        <v>893</v>
      </c>
      <c r="P494" s="6"/>
      <c r="Q494" s="6"/>
      <c r="R494" s="6"/>
    </row>
    <row r="495">
      <c r="A495" s="31" t="str">
        <f>IFERROR(__xludf.DUMMYFUNCTION("""COMPUTED_VALUE"""),"409д")</f>
        <v>409д</v>
      </c>
      <c r="B495" s="14" t="str">
        <f>IFERROR(__xludf.DUMMYFUNCTION("""COMPUTED_VALUE"""),"АИП-26")</f>
        <v>АИП-26</v>
      </c>
      <c r="C495" s="14" t="str">
        <f>IFERROR(__xludf.DUMMYFUNCTION("""COMPUTED_VALUE"""),"УДС")</f>
        <v>УДС</v>
      </c>
      <c r="D495" s="60"/>
      <c r="E495" s="14" t="str">
        <f>IFERROR(__xludf.DUMMYFUNCTION("""COMPUTED_VALUE"""),"Внеуличные пешеходные переходы через ж/д пути Большого кольца МЖД вблизи оп.""Поселок Киевский"" вблизи оп.""Поселок Киевский""")</f>
        <v>Внеуличные пешеходные переходы через ж/д пути Большого кольца МЖД вблизи оп."Поселок Киевский" вблизи оп."Поселок Киевский"</v>
      </c>
      <c r="F495" s="25" t="str">
        <f>IFERROR(__xludf.DUMMYFUNCTION("""COMPUTED_VALUE"""),"#N/A")</f>
        <v>#N/A</v>
      </c>
      <c r="G495" s="6" t="str">
        <f>IFERROR(__xludf.DUMMYFUNCTION("""COMPUTED_VALUE"""),"#N/A")</f>
        <v>#N/A</v>
      </c>
      <c r="H495" s="6"/>
      <c r="I495" s="6"/>
      <c r="J495" s="50">
        <f>IFERROR(__xludf.DUMMYFUNCTION("""COMPUTED_VALUE"""),0.0)</f>
        <v>0</v>
      </c>
      <c r="K495" s="58">
        <f>IFERROR(__xludf.DUMMYFUNCTION("""COMPUTED_VALUE"""),45960.0)</f>
        <v>45960</v>
      </c>
      <c r="L495" s="6">
        <v>30.0</v>
      </c>
      <c r="M495" s="52">
        <v>45990.0</v>
      </c>
      <c r="N495" s="53" t="s">
        <v>692</v>
      </c>
      <c r="O495" s="6" t="s">
        <v>893</v>
      </c>
      <c r="P495" s="6"/>
      <c r="Q495" s="6"/>
      <c r="R495" s="6"/>
    </row>
    <row r="496">
      <c r="A496" s="31" t="str">
        <f>IFERROR(__xludf.DUMMYFUNCTION("""COMPUTED_VALUE"""),"410д")</f>
        <v>410д</v>
      </c>
      <c r="B496" s="14" t="str">
        <f>IFERROR(__xludf.DUMMYFUNCTION("""COMPUTED_VALUE"""),"АИП-26")</f>
        <v>АИП-26</v>
      </c>
      <c r="C496" s="14" t="str">
        <f>IFERROR(__xludf.DUMMYFUNCTION("""COMPUTED_VALUE"""),"УДС")</f>
        <v>УДС</v>
      </c>
      <c r="D496" s="60"/>
      <c r="E496" s="14" t="str">
        <f>IFERROR(__xludf.DUMMYFUNCTION("""COMPUTED_VALUE"""),"Реконструкция Карамышевской набережной. Этап 1. Карамышевская набережной")</f>
        <v>Реконструкция Карамышевской набережной. Этап 1. Карамышевская набережной</v>
      </c>
      <c r="F496" s="25" t="str">
        <f>IFERROR(__xludf.DUMMYFUNCTION("""COMPUTED_VALUE"""),"#N/A")</f>
        <v>#N/A</v>
      </c>
      <c r="G496" s="6" t="str">
        <f>IFERROR(__xludf.DUMMYFUNCTION("""COMPUTED_VALUE"""),"#N/A")</f>
        <v>#N/A</v>
      </c>
      <c r="H496" s="6"/>
      <c r="I496" s="6"/>
      <c r="J496" s="50">
        <f>IFERROR(__xludf.DUMMYFUNCTION("""COMPUTED_VALUE"""),2.770117647058824)</f>
        <v>2.770117647</v>
      </c>
      <c r="K496" s="58">
        <f>IFERROR(__xludf.DUMMYFUNCTION("""COMPUTED_VALUE"""),45966.0)</f>
        <v>45966</v>
      </c>
      <c r="L496" s="6">
        <v>30.0</v>
      </c>
      <c r="M496" s="52">
        <v>45996.0</v>
      </c>
      <c r="N496" s="53" t="s">
        <v>711</v>
      </c>
      <c r="O496" s="6" t="s">
        <v>669</v>
      </c>
      <c r="P496" s="6"/>
      <c r="Q496" s="6"/>
      <c r="R496" s="6"/>
    </row>
    <row r="497">
      <c r="A497" s="31" t="str">
        <f>IFERROR(__xludf.DUMMYFUNCTION("""COMPUTED_VALUE"""),"411д")</f>
        <v>411д</v>
      </c>
      <c r="B497" s="14" t="str">
        <f>IFERROR(__xludf.DUMMYFUNCTION("""COMPUTED_VALUE"""),"АИП-26")</f>
        <v>АИП-26</v>
      </c>
      <c r="C497" s="14" t="str">
        <f>IFERROR(__xludf.DUMMYFUNCTION("""COMPUTED_VALUE"""),"УДС")</f>
        <v>УДС</v>
      </c>
      <c r="D497" s="60"/>
      <c r="E497" s="14" t="str">
        <f>IFERROR(__xludf.DUMMYFUNCTION("""COMPUTED_VALUE"""),"Реконструкция проезда, примыкающего к Волочаевской ул. вблизи Волочаевской ул.")</f>
        <v>Реконструкция проезда, примыкающего к Волочаевской ул. вблизи Волочаевской ул.</v>
      </c>
      <c r="F497" s="25" t="str">
        <f>IFERROR(__xludf.DUMMYFUNCTION("""COMPUTED_VALUE"""),"#N/A")</f>
        <v>#N/A</v>
      </c>
      <c r="G497" s="6" t="str">
        <f>IFERROR(__xludf.DUMMYFUNCTION("""COMPUTED_VALUE"""),"#N/A")</f>
        <v>#N/A</v>
      </c>
      <c r="H497" s="6"/>
      <c r="I497" s="6"/>
      <c r="J497" s="50">
        <f>IFERROR(__xludf.DUMMYFUNCTION("""COMPUTED_VALUE"""),0.0)</f>
        <v>0</v>
      </c>
      <c r="K497" s="58">
        <f>IFERROR(__xludf.DUMMYFUNCTION("""COMPUTED_VALUE"""),45974.0)</f>
        <v>45974</v>
      </c>
      <c r="L497" s="6">
        <v>30.0</v>
      </c>
      <c r="M497" s="52">
        <v>46004.0</v>
      </c>
      <c r="N497" s="53" t="s">
        <v>711</v>
      </c>
      <c r="O497" s="6" t="s">
        <v>947</v>
      </c>
      <c r="P497" s="6"/>
      <c r="Q497" s="6"/>
      <c r="R497" s="6"/>
    </row>
    <row r="498">
      <c r="A498" s="31" t="str">
        <f>IFERROR(__xludf.DUMMYFUNCTION("""COMPUTED_VALUE"""),"412д")</f>
        <v>412д</v>
      </c>
      <c r="B498" s="14" t="str">
        <f>IFERROR(__xludf.DUMMYFUNCTION("""COMPUTED_VALUE"""),"АИП-26")</f>
        <v>АИП-26</v>
      </c>
      <c r="C498" s="14" t="str">
        <f>IFERROR(__xludf.DUMMYFUNCTION("""COMPUTED_VALUE"""),"УДС")</f>
        <v>УДС</v>
      </c>
      <c r="D498" s="60"/>
      <c r="E498" s="14" t="str">
        <f>IFERROR(__xludf.DUMMYFUNCTION("""COMPUTED_VALUE"""),"Реконструкция и строительство проезда Черепановых от Михалковской ул. до Старокоптевского пер. от Михалковской ул. до Старокоптевского пер.")</f>
        <v>Реконструкция и строительство проезда Черепановых от Михалковской ул. до Старокоптевского пер. от Михалковской ул. до Старокоптевского пер.</v>
      </c>
      <c r="F498" s="25" t="str">
        <f>IFERROR(__xludf.DUMMYFUNCTION("""COMPUTED_VALUE"""),"#N/A")</f>
        <v>#N/A</v>
      </c>
      <c r="G498" s="6" t="str">
        <f>IFERROR(__xludf.DUMMYFUNCTION("""COMPUTED_VALUE"""),"#N/A")</f>
        <v>#N/A</v>
      </c>
      <c r="H498" s="6"/>
      <c r="I498" s="6"/>
      <c r="J498" s="50">
        <f>IFERROR(__xludf.DUMMYFUNCTION("""COMPUTED_VALUE"""),0.0)</f>
        <v>0</v>
      </c>
      <c r="K498" s="58">
        <f>IFERROR(__xludf.DUMMYFUNCTION("""COMPUTED_VALUE"""),45925.0)</f>
        <v>45925</v>
      </c>
      <c r="L498" s="6">
        <v>30.0</v>
      </c>
      <c r="M498" s="52">
        <v>45955.0</v>
      </c>
      <c r="N498" s="53" t="s">
        <v>668</v>
      </c>
      <c r="O498" s="6" t="s">
        <v>948</v>
      </c>
      <c r="P498" s="6"/>
      <c r="Q498" s="6"/>
      <c r="R498" s="6"/>
    </row>
    <row r="499">
      <c r="A499" s="31" t="str">
        <f>IFERROR(__xludf.DUMMYFUNCTION("""COMPUTED_VALUE"""),"413д")</f>
        <v>413д</v>
      </c>
      <c r="B499" s="14" t="str">
        <f>IFERROR(__xludf.DUMMYFUNCTION("""COMPUTED_VALUE"""),"АИП-26")</f>
        <v>АИП-26</v>
      </c>
      <c r="C499" s="14" t="str">
        <f>IFERROR(__xludf.DUMMYFUNCTION("""COMPUTED_VALUE"""),"УДС")</f>
        <v>УДС</v>
      </c>
      <c r="D499" s="60"/>
      <c r="E499" s="14" t="str">
        <f>IFERROR(__xludf.DUMMYFUNCTION("""COMPUTED_VALUE"""),"Реконструкция улицы от автобусного парка в пос. Краснопахорское с выездом на Калужское шоссе пос. Краснопахорское")</f>
        <v>Реконструкция улицы от автобусного парка в пос. Краснопахорское с выездом на Калужское шоссе пос. Краснопахорское</v>
      </c>
      <c r="F499" s="25" t="str">
        <f>IFERROR(__xludf.DUMMYFUNCTION("""COMPUTED_VALUE"""),"#N/A")</f>
        <v>#N/A</v>
      </c>
      <c r="G499" s="6" t="str">
        <f>IFERROR(__xludf.DUMMYFUNCTION("""COMPUTED_VALUE"""),"#N/A")</f>
        <v>#N/A</v>
      </c>
      <c r="H499" s="6"/>
      <c r="I499" s="6"/>
      <c r="J499" s="50">
        <f>IFERROR(__xludf.DUMMYFUNCTION("""COMPUTED_VALUE"""),0.0)</f>
        <v>0</v>
      </c>
      <c r="K499" s="58">
        <f>IFERROR(__xludf.DUMMYFUNCTION("""COMPUTED_VALUE"""),45933.0)</f>
        <v>45933</v>
      </c>
      <c r="L499" s="6">
        <v>30.0</v>
      </c>
      <c r="M499" s="52">
        <v>45963.0</v>
      </c>
      <c r="N499" s="53" t="s">
        <v>668</v>
      </c>
      <c r="O499" s="6" t="s">
        <v>937</v>
      </c>
      <c r="P499" s="6"/>
      <c r="Q499" s="6"/>
      <c r="R499" s="6"/>
    </row>
    <row r="500">
      <c r="A500" s="31" t="str">
        <f>IFERROR(__xludf.DUMMYFUNCTION("""COMPUTED_VALUE"""),"414д")</f>
        <v>414д</v>
      </c>
      <c r="B500" s="14" t="str">
        <f>IFERROR(__xludf.DUMMYFUNCTION("""COMPUTED_VALUE"""),"АИП-26")</f>
        <v>АИП-26</v>
      </c>
      <c r="C500" s="14" t="str">
        <f>IFERROR(__xludf.DUMMYFUNCTION("""COMPUTED_VALUE"""),"УДС")</f>
        <v>УДС</v>
      </c>
      <c r="D500" s="60"/>
      <c r="E500" s="14" t="str">
        <f>IFERROR(__xludf.DUMMYFUNCTION("""COMPUTED_VALUE"""),"Реконструкция улицы районного значения ""Боровское ш. – ул. Татьянин Парк - МКАД"" Боровское ш. – ул. Татьянин Парк - МКАД")</f>
        <v>Реконструкция улицы районного значения "Боровское ш. – ул. Татьянин Парк - МКАД" Боровское ш. – ул. Татьянин Парк - МКАД</v>
      </c>
      <c r="F500" s="25" t="str">
        <f>IFERROR(__xludf.DUMMYFUNCTION("""COMPUTED_VALUE"""),"#N/A")</f>
        <v>#N/A</v>
      </c>
      <c r="G500" s="6" t="str">
        <f>IFERROR(__xludf.DUMMYFUNCTION("""COMPUTED_VALUE"""),"#N/A")</f>
        <v>#N/A</v>
      </c>
      <c r="H500" s="6"/>
      <c r="I500" s="6"/>
      <c r="J500" s="50">
        <f>IFERROR(__xludf.DUMMYFUNCTION("""COMPUTED_VALUE"""),0.0)</f>
        <v>0</v>
      </c>
      <c r="K500" s="58">
        <f>IFERROR(__xludf.DUMMYFUNCTION("""COMPUTED_VALUE"""),45957.0)</f>
        <v>45957</v>
      </c>
      <c r="L500" s="6">
        <v>30.0</v>
      </c>
      <c r="M500" s="52">
        <v>45987.0</v>
      </c>
      <c r="N500" s="53" t="s">
        <v>741</v>
      </c>
      <c r="O500" s="6" t="s">
        <v>937</v>
      </c>
      <c r="P500" s="6"/>
      <c r="Q500" s="6"/>
      <c r="R500" s="6"/>
    </row>
    <row r="501">
      <c r="A501" s="31" t="str">
        <f>IFERROR(__xludf.DUMMYFUNCTION("""COMPUTED_VALUE"""),"221д")</f>
        <v>221д</v>
      </c>
      <c r="B501" s="14" t="str">
        <f>IFERROR(__xludf.DUMMYFUNCTION("""COMPUTED_VALUE"""),"АИП-26")</f>
        <v>АИП-26</v>
      </c>
      <c r="C501" s="14" t="str">
        <f>IFERROR(__xludf.DUMMYFUNCTION("""COMPUTED_VALUE"""),"УДС")</f>
        <v>УДС</v>
      </c>
      <c r="D501" s="60"/>
      <c r="E501" s="14" t="str">
        <f>IFERROR(__xludf.DUMMYFUNCTION("""COMPUTED_VALUE"""),"Строительство улицы районного значения от автомобильной дороги Варшавское шоссе – д. Андреевское – д. Яковлево до автодороги М-2 «Крым» от автомобильной дороги Варшавское шоссе – д. Андреевское – д. Яковлево до автодороги М-2 «Крым»")</f>
        <v>Строительство улицы районного значения от автомобильной дороги Варшавское шоссе – д. Андреевское – д. Яковлево до автодороги М-2 «Крым» от автомобильной дороги Варшавское шоссе – д. Андреевское – д. Яковлево до автодороги М-2 «Крым»</v>
      </c>
      <c r="F501" s="25" t="str">
        <f>IFERROR(__xludf.DUMMYFUNCTION("""COMPUTED_VALUE"""),"#N/A")</f>
        <v>#N/A</v>
      </c>
      <c r="G501" s="6" t="str">
        <f>IFERROR(__xludf.DUMMYFUNCTION("""COMPUTED_VALUE"""),"#N/A")</f>
        <v>#N/A</v>
      </c>
      <c r="H501" s="6"/>
      <c r="I501" s="6"/>
      <c r="J501" s="50">
        <f>IFERROR(__xludf.DUMMYFUNCTION("""COMPUTED_VALUE"""),0.0)</f>
        <v>0</v>
      </c>
      <c r="K501" s="58">
        <f>IFERROR(__xludf.DUMMYFUNCTION("""COMPUTED_VALUE"""),45974.0)</f>
        <v>45974</v>
      </c>
      <c r="L501" s="6">
        <v>30.0</v>
      </c>
      <c r="M501" s="52">
        <v>46004.0</v>
      </c>
      <c r="N501" s="53" t="s">
        <v>711</v>
      </c>
      <c r="O501" s="6" t="s">
        <v>937</v>
      </c>
      <c r="P501" s="6"/>
      <c r="Q501" s="6"/>
      <c r="R501" s="6"/>
    </row>
    <row r="502">
      <c r="A502" s="31" t="str">
        <f>IFERROR(__xludf.DUMMYFUNCTION("""COMPUTED_VALUE"""),"284д")</f>
        <v>284д</v>
      </c>
      <c r="B502" s="14" t="str">
        <f>IFERROR(__xludf.DUMMYFUNCTION("""COMPUTED_VALUE"""),"АИП-26")</f>
        <v>АИП-26</v>
      </c>
      <c r="C502" s="14" t="str">
        <f>IFERROR(__xludf.DUMMYFUNCTION("""COMPUTED_VALUE"""),"УДС")</f>
        <v>УДС</v>
      </c>
      <c r="D502" s="60"/>
      <c r="E502" s="14" t="str">
        <f>IFERROR(__xludf.DUMMYFUNCTION("""COMPUTED_VALUE"""),"Мероприятия по интеграции и развитию системы АСУДД, системы передачи данных для целей ГБУ «Гормост» и ГУП «Моссвет» на Калужском шоссе Калужское шоссе")</f>
        <v>Мероприятия по интеграции и развитию системы АСУДД, системы передачи данных для целей ГБУ «Гормост» и ГУП «Моссвет» на Калужском шоссе Калужское шоссе</v>
      </c>
      <c r="F502" s="25" t="str">
        <f>IFERROR(__xludf.DUMMYFUNCTION("""COMPUTED_VALUE"""),"#N/A")</f>
        <v>#N/A</v>
      </c>
      <c r="G502" s="6" t="str">
        <f>IFERROR(__xludf.DUMMYFUNCTION("""COMPUTED_VALUE"""),"#N/A")</f>
        <v>#N/A</v>
      </c>
      <c r="H502" s="6"/>
      <c r="I502" s="6"/>
      <c r="J502" s="50">
        <f>IFERROR(__xludf.DUMMYFUNCTION("""COMPUTED_VALUE"""),0.0)</f>
        <v>0</v>
      </c>
      <c r="K502" s="58"/>
      <c r="L502" s="6">
        <v>30.0</v>
      </c>
      <c r="M502" s="52" t="s">
        <v>655</v>
      </c>
      <c r="N502" s="53" t="s">
        <v>698</v>
      </c>
      <c r="O502" s="6" t="s">
        <v>949</v>
      </c>
      <c r="P502" s="6"/>
      <c r="Q502" s="6"/>
      <c r="R502" s="6"/>
    </row>
    <row r="503">
      <c r="A503" s="31" t="str">
        <f>IFERROR(__xludf.DUMMYFUNCTION("""COMPUTED_VALUE"""),"1058д")</f>
        <v>1058д</v>
      </c>
      <c r="B503" s="14" t="str">
        <f>IFERROR(__xludf.DUMMYFUNCTION("""COMPUTED_VALUE"""),"АИП-26")</f>
        <v>АИП-26</v>
      </c>
      <c r="C503" s="14" t="str">
        <f>IFERROR(__xludf.DUMMYFUNCTION("""COMPUTED_VALUE"""),"УДС")</f>
        <v>УДС</v>
      </c>
      <c r="D503" s="60"/>
      <c r="E503" s="14" t="str">
        <f>IFERROR(__xludf.DUMMYFUNCTION("""COMPUTED_VALUE"""),"Строительство аварийно-регулирующего резервуара (АРР) при канализационно-насосной станции (КНС) «Внуковская» д. Лапшинка, пос. Московский Внуково, в районе д. Лапшинка")</f>
        <v>Строительство аварийно-регулирующего резервуара (АРР) при канализационно-насосной станции (КНС) «Внуковская» д. Лапшинка, пос. Московский Внуково, в районе д. Лапшинка</v>
      </c>
      <c r="F503" s="25" t="str">
        <f>IFERROR(__xludf.DUMMYFUNCTION("""COMPUTED_VALUE"""),"55.60850083966733")</f>
        <v>55.60850083966733</v>
      </c>
      <c r="G503" s="6" t="str">
        <f>IFERROR(__xludf.DUMMYFUNCTION("""COMPUTED_VALUE"""),"37.31480802648753")</f>
        <v>37.31480802648753</v>
      </c>
      <c r="H503" s="6"/>
      <c r="I503" s="6" t="str">
        <f>IFERROR(__xludf.DUMMYFUNCTION("""COMPUTED_VALUE"""),"https://disk.yandex.ru/client/disk/Осмотры%20объектов%20АНО%20СМГ/1058.%20Строительство%20аварийно-регулирующего%20резервуара%20(АРР)%20при%20КНС%20«Внуковская»%20д.%20Лапшинка")</f>
        <v>https://disk.yandex.ru/client/disk/Осмотры%20объектов%20АНО%20СМГ/1058.%20Строительство%20аварийно-регулирующего%20резервуара%20(АРР)%20при%20КНС%20«Внуковская»%20д.%20Лапшинка</v>
      </c>
      <c r="J503" s="50">
        <f>IFERROR(__xludf.DUMMYFUNCTION("""COMPUTED_VALUE"""),60.41538)</f>
        <v>60.41538</v>
      </c>
      <c r="K503" s="58">
        <f>IFERROR(__xludf.DUMMYFUNCTION("""COMPUTED_VALUE"""),45954.0)</f>
        <v>45954</v>
      </c>
      <c r="L503" s="6">
        <v>14.0</v>
      </c>
      <c r="M503" s="52">
        <v>45968.0</v>
      </c>
      <c r="N503" s="53" t="s">
        <v>668</v>
      </c>
      <c r="O503" s="6" t="s">
        <v>950</v>
      </c>
      <c r="P503" s="6"/>
      <c r="Q503" s="6"/>
      <c r="R503" s="6"/>
    </row>
    <row r="504">
      <c r="A504" s="31" t="str">
        <f>IFERROR(__xludf.DUMMYFUNCTION("""COMPUTED_VALUE"""),"1173")</f>
        <v>1173</v>
      </c>
      <c r="B504" s="14" t="str">
        <f>IFERROR(__xludf.DUMMYFUNCTION("""COMPUTED_VALUE"""),"АИП-26")</f>
        <v>АИП-26</v>
      </c>
      <c r="C504" s="14" t="str">
        <f>IFERROR(__xludf.DUMMYFUNCTION("""COMPUTED_VALUE"""),"УДС")</f>
        <v>УДС</v>
      </c>
      <c r="D504" s="60"/>
      <c r="E504" s="14" t="str">
        <f>IFERROR(__xludf.DUMMYFUNCTION("""COMPUTED_VALUE"""),"Реконструкция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f>
        <v>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v>
      </c>
      <c r="F504" s="25" t="str">
        <f>IFERROR(__xludf.DUMMYFUNCTION("""COMPUTED_VALUE"""),"55.71284811819205")</f>
        <v>55.71284811819205</v>
      </c>
      <c r="G504" s="6" t="str">
        <f>IFERROR(__xludf.DUMMYFUNCTION("""COMPUTED_VALUE"""),"37.44709151064985")</f>
        <v>37.44709151064985</v>
      </c>
      <c r="H504" s="18" t="str">
        <f>IFERROR(__xludf.DUMMYFUNCTION("""COMPUTED_VALUE"""),"https://docs.google.com/spreadsheets/d/19THEBTE9q0fhN2eApZr6BgenIvLGh0AckaYxHQfHk5w/edit?gid=2098961178#gid=2098961178")</f>
        <v>https://docs.google.com/spreadsheets/d/19THEBTE9q0fhN2eApZr6BgenIvLGh0AckaYxHQfHk5w/edit?gid=2098961178#gid=2098961178</v>
      </c>
      <c r="I504" s="6"/>
      <c r="J504" s="50"/>
      <c r="K504" s="58"/>
      <c r="L504" s="6">
        <v>30.0</v>
      </c>
      <c r="M504" s="52" t="s">
        <v>655</v>
      </c>
      <c r="N504" s="53" t="s">
        <v>698</v>
      </c>
      <c r="O504" s="6" t="s">
        <v>951</v>
      </c>
      <c r="P504" s="6"/>
      <c r="Q504" s="6"/>
      <c r="R504" s="6"/>
    </row>
    <row r="505">
      <c r="A505" s="31" t="str">
        <f>IFERROR(__xludf.DUMMYFUNCTION("""COMPUTED_VALUE"""),"1151д (этап 2)")</f>
        <v>1151д (этап 2)</v>
      </c>
      <c r="B505" s="14" t="str">
        <f>IFERROR(__xludf.DUMMYFUNCTION("""COMPUTED_VALUE"""),"АИП-26")</f>
        <v>АИП-26</v>
      </c>
      <c r="C505" s="14" t="str">
        <f>IFERROR(__xludf.DUMMYFUNCTION("""COMPUTED_VALUE"""),"УДС")</f>
        <v>УДС</v>
      </c>
      <c r="D505" s="60"/>
      <c r="E505" s="14" t="str">
        <f>IFERROR(__xludf.DUMMYFUNCTION("""COMPUTED_VALUE"""),"Напорный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Этап 2. Строительство напорного трубопровода от Ново- Солнцевской КНС до п"&amp;"р-кта Вернадского г. Москва, район Солнцево, Тропарево- Никулино, пр-т, Вернадского")</f>
        <v>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Этап 2. Строительство напорного трубопровода от Ново- Солнцевской КНС до пр-кта Вернадского г. Москва, район Солнцево, Тропарево- Никулино, пр-т, Вернадского</v>
      </c>
      <c r="F505" s="25" t="str">
        <f>IFERROR(__xludf.DUMMYFUNCTION("""COMPUTED_VALUE"""),"55.6620116986423")</f>
        <v>55.6620116986423</v>
      </c>
      <c r="G505" s="6" t="str">
        <f>IFERROR(__xludf.DUMMYFUNCTION("""COMPUTED_VALUE"""),"37.44633431521266")</f>
        <v>37.44633431521266</v>
      </c>
      <c r="H505" s="6"/>
      <c r="I505" s="18" t="str">
        <f>IFERROR(__xludf.DUMMYFUNCTION("""COMPUTED_VALUE"""),"https://disk.yandex.ru/client/disk/%D0%9E%D1%81%D0%BC%D0%BE%D1%82%D1%80%D1%8B%20%D0%BE%D0%B1%D1%8A%D0%B5%D0%BA%D1%82%D0%BE%D0%B2%20%D0%90%D0%9D%D0%9E%20%D0%A1%D0%9C%D0%93/1151%20(%D1%8D%D1%82%D0%B0%D0%BF%202).%20%D0%B3.%20%D0%9C%D0%BE%D1%81%D0%BA%D0%B2%D0"&amp;"%B0%2C%20%D1%80%D0%B0%D0%B9%D0%BE%D0%BD%20%D0%A1%D0%BE%D0%BB%D0%BD%D1%86%D0%B5%D0%B2%D0%BE%2C%20%D0%A2%D1%80%D0%BE%D0%BF%D0%B0%D1%80%D0%B5%D0%B2%D0%BE-%20%D0%9D%D0%B8%D0%BA%D1%83%D0%BB%D0%B8%D0%BD%D0%BE%2C%20%D0%BF%D1%80-%D1%82%2C%20%D0%92%D0%B5%D1%80%D0%"&amp;"BD%D0%B0%D0%B4%D1%81%D0%BA%D0%BE%D0%B3%D0%BE")</f>
        <v>https://disk.yandex.ru/client/disk/%D0%9E%D1%81%D0%BC%D0%BE%D1%82%D1%80%D1%8B%20%D0%BE%D0%B1%D1%8A%D0%B5%D0%BA%D1%82%D0%BE%D0%B2%20%D0%90%D0%9D%D0%9E%20%D0%A1%D0%9C%D0%93/1151%20(%D1%8D%D1%82%D0%B0%D0%BF%202).%20%D0%B3.%20%D0%9C%D0%BE%D1%81%D0%BA%D0%B2%D0%B0%2C%20%D1%80%D0%B0%D0%B9%D0%BE%D0%BD%20%D0%A1%D0%BE%D0%BB%D0%BD%D1%86%D0%B5%D0%B2%D0%BE%2C%20%D0%A2%D1%80%D0%BE%D0%BF%D0%B0%D1%80%D0%B5%D0%B2%D0%BE-%20%D0%9D%D0%B8%D0%BA%D1%83%D0%BB%D0%B8%D0%BD%D0%BE%2C%20%D0%BF%D1%80-%D1%82%2C%20%D0%92%D0%B5%D1%80%D0%BD%D0%B0%D0%B4%D1%81%D0%BA%D0%BE%D0%B3%D0%BE</v>
      </c>
      <c r="J505" s="50">
        <f>IFERROR(__xludf.DUMMYFUNCTION("""COMPUTED_VALUE"""),86.33999999999999)</f>
        <v>86.34</v>
      </c>
      <c r="K505" s="58">
        <f>IFERROR(__xludf.DUMMYFUNCTION("""COMPUTED_VALUE"""),45958.0)</f>
        <v>45958</v>
      </c>
      <c r="L505" s="6">
        <v>14.0</v>
      </c>
      <c r="M505" s="52">
        <v>45972.0</v>
      </c>
      <c r="N505" s="53" t="s">
        <v>668</v>
      </c>
      <c r="O505" s="6" t="s">
        <v>952</v>
      </c>
      <c r="P505" s="6"/>
      <c r="Q505" s="6"/>
      <c r="R505" s="6"/>
    </row>
    <row r="506">
      <c r="A506" s="31" t="str">
        <f>IFERROR(__xludf.DUMMYFUNCTION("""COMPUTED_VALUE"""),"415д")</f>
        <v>415д</v>
      </c>
      <c r="B506" s="14" t="str">
        <f>IFERROR(__xludf.DUMMYFUNCTION("""COMPUTED_VALUE"""),"АИП-26")</f>
        <v>АИП-26</v>
      </c>
      <c r="C506" s="14" t="str">
        <f>IFERROR(__xludf.DUMMYFUNCTION("""COMPUTED_VALUE"""),"УДС")</f>
        <v>УДС</v>
      </c>
      <c r="D506" s="60"/>
      <c r="E50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Мероприятия по интеграции АСУДД в ИТС г. Москвы"" МСД")</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Мероприятия по интеграции АСУДД в ИТС г. Москвы" МСД</v>
      </c>
      <c r="F506" s="25" t="str">
        <f>IFERROR(__xludf.DUMMYFUNCTION("""COMPUTED_VALUE"""),"#N/A")</f>
        <v>#N/A</v>
      </c>
      <c r="G506" s="6" t="str">
        <f>IFERROR(__xludf.DUMMYFUNCTION("""COMPUTED_VALUE"""),"#N/A")</f>
        <v>#N/A</v>
      </c>
      <c r="H506" s="6"/>
      <c r="I506" s="6"/>
      <c r="J506" s="50">
        <f>IFERROR(__xludf.DUMMYFUNCTION("""COMPUTED_VALUE"""),31.36)</f>
        <v>31.36</v>
      </c>
      <c r="K506" s="58">
        <f>IFERROR(__xludf.DUMMYFUNCTION("""COMPUTED_VALUE"""),45974.0)</f>
        <v>45974</v>
      </c>
      <c r="L506" s="6">
        <v>30.0</v>
      </c>
      <c r="M506" s="52">
        <v>46004.0</v>
      </c>
      <c r="N506" s="53" t="s">
        <v>711</v>
      </c>
      <c r="O506" s="6" t="s">
        <v>893</v>
      </c>
      <c r="P506" s="6"/>
      <c r="Q506" s="6"/>
      <c r="R506" s="6"/>
    </row>
    <row r="507">
      <c r="A507" s="31" t="str">
        <f>IFERROR(__xludf.DUMMYFUNCTION("""COMPUTED_VALUE"""),"416д")</f>
        <v>416д</v>
      </c>
      <c r="B507" s="14" t="str">
        <f>IFERROR(__xludf.DUMMYFUNCTION("""COMPUTED_VALUE"""),"АИП-26")</f>
        <v>АИП-26</v>
      </c>
      <c r="C507" s="14" t="str">
        <f>IFERROR(__xludf.DUMMYFUNCTION("""COMPUTED_VALUE"""),"УДС")</f>
        <v>УДС</v>
      </c>
      <c r="D507" s="60"/>
      <c r="E507" s="14" t="str">
        <f>IFERROR(__xludf.DUMMYFUNCTION("""COMPUTED_VALUE"""),"Строительство и благоустройство набережной-реки на территории Мневниковской поймы территория Мневниковской поймы")</f>
        <v>Строительство и благоустройство набережной-реки на территории Мневниковской поймы территория Мневниковской поймы</v>
      </c>
      <c r="F507" s="25" t="str">
        <f>IFERROR(__xludf.DUMMYFUNCTION("""COMPUTED_VALUE"""),"#N/A")</f>
        <v>#N/A</v>
      </c>
      <c r="G507" s="6" t="str">
        <f>IFERROR(__xludf.DUMMYFUNCTION("""COMPUTED_VALUE"""),"#N/A")</f>
        <v>#N/A</v>
      </c>
      <c r="H507" s="6"/>
      <c r="I507" s="6"/>
      <c r="J507" s="50">
        <f>IFERROR(__xludf.DUMMYFUNCTION("""COMPUTED_VALUE"""),0.0)</f>
        <v>0</v>
      </c>
      <c r="K507" s="58">
        <f>IFERROR(__xludf.DUMMYFUNCTION("""COMPUTED_VALUE"""),45966.0)</f>
        <v>45966</v>
      </c>
      <c r="L507" s="6">
        <v>30.0</v>
      </c>
      <c r="M507" s="52">
        <v>45996.0</v>
      </c>
      <c r="N507" s="53" t="s">
        <v>711</v>
      </c>
      <c r="O507" s="6" t="s">
        <v>914</v>
      </c>
      <c r="P507" s="6"/>
      <c r="Q507" s="6"/>
      <c r="R507" s="6"/>
    </row>
    <row r="508">
      <c r="A508" s="31" t="str">
        <f>IFERROR(__xludf.DUMMYFUNCTION("""COMPUTED_VALUE"""),"417д")</f>
        <v>417д</v>
      </c>
      <c r="B508" s="14" t="str">
        <f>IFERROR(__xludf.DUMMYFUNCTION("""COMPUTED_VALUE"""),"АИП-26")</f>
        <v>АИП-26</v>
      </c>
      <c r="C508" s="14" t="str">
        <f>IFERROR(__xludf.DUMMYFUNCTION("""COMPUTED_VALUE"""),"УДС")</f>
        <v>УДС</v>
      </c>
      <c r="D508" s="60"/>
      <c r="E508" s="14" t="str">
        <f>IFERROR(__xludf.DUMMYFUNCTION("""COMPUTED_VALUE"""),"Подъездная дорога к Административному зданию по адресу: ул.Летчика Бабушкина, д.42, р-н Лосиноостровский 0")</f>
        <v>Подъездная дорога к Административному зданию по адресу: ул.Летчика Бабушкина, д.42, р-н Лосиноостровский 0</v>
      </c>
      <c r="F508" s="25" t="str">
        <f>IFERROR(__xludf.DUMMYFUNCTION("""COMPUTED_VALUE"""),"#N/A")</f>
        <v>#N/A</v>
      </c>
      <c r="G508" s="6" t="str">
        <f>IFERROR(__xludf.DUMMYFUNCTION("""COMPUTED_VALUE"""),"#N/A")</f>
        <v>#N/A</v>
      </c>
      <c r="H508" s="6"/>
      <c r="I508" s="6"/>
      <c r="J508" s="50">
        <f>IFERROR(__xludf.DUMMYFUNCTION("""COMPUTED_VALUE"""),0.0)</f>
        <v>0</v>
      </c>
      <c r="K508" s="58">
        <f>IFERROR(__xludf.DUMMYFUNCTION("""COMPUTED_VALUE"""),45961.0)</f>
        <v>45961</v>
      </c>
      <c r="L508" s="6">
        <v>30.0</v>
      </c>
      <c r="M508" s="52">
        <v>45991.0</v>
      </c>
      <c r="N508" s="53" t="s">
        <v>692</v>
      </c>
      <c r="O508" s="6"/>
      <c r="P508" s="6"/>
      <c r="Q508" s="6"/>
      <c r="R508" s="6"/>
    </row>
    <row r="509">
      <c r="A509" s="31" t="str">
        <f>IFERROR(__xludf.DUMMYFUNCTION("""COMPUTED_VALUE"""),"429 (сводный)")</f>
        <v>429 (сводный)</v>
      </c>
      <c r="B509" s="14" t="str">
        <f>IFERROR(__xludf.DUMMYFUNCTION("""COMPUTED_VALUE"""),"АИП-26")</f>
        <v>АИП-26</v>
      </c>
      <c r="C509" s="14" t="str">
        <f>IFERROR(__xludf.DUMMYFUNCTION("""COMPUTED_VALUE"""),"УДС")</f>
        <v>УДС</v>
      </c>
      <c r="D509" s="60"/>
      <c r="E509" s="14" t="str">
        <f>IFERROR(__xludf.DUMMYFUNCTION("""COMPUTED_VALUE"""),"УДС к ТПУ Сити, Этапы 1,2 ТПУ СИТИ")</f>
        <v>УДС к ТПУ Сити, Этапы 1,2 ТПУ СИТИ</v>
      </c>
      <c r="F509" s="25" t="str">
        <f>IFERROR(__xludf.DUMMYFUNCTION("""COMPUTED_VALUE"""),"#N/A")</f>
        <v>#N/A</v>
      </c>
      <c r="G509" s="6" t="str">
        <f>IFERROR(__xludf.DUMMYFUNCTION("""COMPUTED_VALUE"""),"#N/A")</f>
        <v>#N/A</v>
      </c>
      <c r="H509" s="6"/>
      <c r="I509" s="6"/>
      <c r="J509" s="50">
        <f>IFERROR(__xludf.DUMMYFUNCTION("""COMPUTED_VALUE"""),11.512)</f>
        <v>11.512</v>
      </c>
      <c r="K509" s="58"/>
      <c r="L509" s="6">
        <v>30.0</v>
      </c>
      <c r="M509" s="52" t="s">
        <v>655</v>
      </c>
      <c r="N509" s="53" t="s">
        <v>698</v>
      </c>
      <c r="O509" s="6"/>
      <c r="P509" s="6"/>
      <c r="Q509" s="6"/>
      <c r="R509" s="6"/>
    </row>
    <row r="510">
      <c r="A510" s="31" t="str">
        <f>IFERROR(__xludf.DUMMYFUNCTION("""COMPUTED_VALUE"""),"НД")</f>
        <v>НД</v>
      </c>
      <c r="B510" s="14" t="str">
        <f>IFERROR(__xludf.DUMMYFUNCTION("""COMPUTED_VALUE"""),"АИП-26")</f>
        <v>АИП-26</v>
      </c>
      <c r="C510" s="14" t="str">
        <f>IFERROR(__xludf.DUMMYFUNCTION("""COMPUTED_VALUE"""),"УДС")</f>
        <v>УДС</v>
      </c>
      <c r="D510" s="60"/>
      <c r="E510" s="14" t="str">
        <f>IFERROR(__xludf.DUMMYFUNCTION("""COMPUTED_VALUE"""),"УДС к ТПУ Сити, Этапы 2 ТПУ СИТИ")</f>
        <v>УДС к ТПУ Сити, Этапы 2 ТПУ СИТИ</v>
      </c>
      <c r="F510" s="25" t="str">
        <f>IFERROR(__xludf.DUMMYFUNCTION("""COMPUTED_VALUE"""),"#N/A")</f>
        <v>#N/A</v>
      </c>
      <c r="G510" s="6" t="str">
        <f>IFERROR(__xludf.DUMMYFUNCTION("""COMPUTED_VALUE"""),"#N/A")</f>
        <v>#N/A</v>
      </c>
      <c r="H510" s="6"/>
      <c r="I510" s="6"/>
      <c r="J510" s="50"/>
      <c r="K510" s="58"/>
      <c r="L510" s="6">
        <v>30.0</v>
      </c>
      <c r="M510" s="52" t="s">
        <v>655</v>
      </c>
      <c r="N510" s="53" t="s">
        <v>698</v>
      </c>
      <c r="O510" s="6"/>
      <c r="P510" s="6"/>
      <c r="Q510" s="6"/>
      <c r="R510" s="6"/>
    </row>
    <row r="511">
      <c r="A511" s="31" t="str">
        <f>IFERROR(__xludf.DUMMYFUNCTION("""COMPUTED_VALUE"""),"305")</f>
        <v>305</v>
      </c>
      <c r="B511" s="14" t="str">
        <f>IFERROR(__xludf.DUMMYFUNCTION("""COMPUTED_VALUE"""),"АИП-26")</f>
        <v>АИП-26</v>
      </c>
      <c r="C511" s="14" t="str">
        <f>IFERROR(__xludf.DUMMYFUNCTION("""COMPUTED_VALUE"""),"ОКС")</f>
        <v>ОКС</v>
      </c>
      <c r="D511" s="60"/>
      <c r="E511" s="14" t="str">
        <f>IFERROR(__xludf.DUMMYFUNCTION("""COMPUTED_VALUE"""),"Подстанция скорой помощи на 6 машино-мест с центральным складом, р-н Царицыно, р-н Царицыно, Пролетарский проспект, земельный участок 24/2/1")</f>
        <v>Подстанция скорой помощи на 6 машино-мест с центральным складом, р-н Царицыно, р-н Царицыно, Пролетарский проспект, земельный участок 24/2/1</v>
      </c>
      <c r="F511" s="25" t="str">
        <f>IFERROR(__xludf.DUMMYFUNCTION("""COMPUTED_VALUE"""),"55.63182920437575")</f>
        <v>55.63182920437575</v>
      </c>
      <c r="G511" s="6" t="str">
        <f>IFERROR(__xludf.DUMMYFUNCTION("""COMPUTED_VALUE"""),"37.65818639552172")</f>
        <v>37.65818639552172</v>
      </c>
      <c r="H511" s="18" t="str">
        <f>IFERROR(__xludf.DUMMYFUNCTION("""COMPUTED_VALUE"""),"https://docs.google.com/spreadsheets/d/19THEBTE9q0fhN2eApZr6BgenIvLGh0AckaYxHQfHk5w/edit?gid=1251606175#gid=1251606175")</f>
        <v>https://docs.google.com/spreadsheets/d/19THEBTE9q0fhN2eApZr6BgenIvLGh0AckaYxHQfHk5w/edit?gid=1251606175#gid=1251606175</v>
      </c>
      <c r="I511" s="19" t="str">
        <f>IFERROR(__xludf.DUMMYFUNCTION("""COMPUTED_VALUE"""),"https://disk.yandex.ru/client/disk/Осмотры%20объектов%20АНО%20СМГ/305.%20Подстанция%20скорой%20помощи%20на%206%20машиномест.%20Пролетарский%20пр-т%2C%2024-2-1")</f>
        <v>https://disk.yandex.ru/client/disk/Осмотры%20объектов%20АНО%20СМГ/305.%20Подстанция%20скорой%20помощи%20на%206%20машиномест.%20Пролетарский%20пр-т%2C%2024-2-1</v>
      </c>
      <c r="J511" s="50">
        <f>IFERROR(__xludf.DUMMYFUNCTION("""COMPUTED_VALUE"""),11.377825)</f>
        <v>11.377825</v>
      </c>
      <c r="K511" s="58">
        <f>IFERROR(__xludf.DUMMYFUNCTION("""COMPUTED_VALUE"""),45954.0)</f>
        <v>45954</v>
      </c>
      <c r="L511" s="6">
        <v>30.0</v>
      </c>
      <c r="M511" s="52">
        <v>45984.0</v>
      </c>
      <c r="N511" s="53" t="s">
        <v>741</v>
      </c>
      <c r="O511" s="19" t="s">
        <v>953</v>
      </c>
      <c r="P511" s="6"/>
      <c r="Q511" s="6"/>
      <c r="R511" s="6"/>
    </row>
    <row r="512">
      <c r="A512" s="31" t="str">
        <f>IFERROR(__xludf.DUMMYFUNCTION("""COMPUTED_VALUE"""),"298")</f>
        <v>298</v>
      </c>
      <c r="B512" s="14" t="str">
        <f>IFERROR(__xludf.DUMMYFUNCTION("""COMPUTED_VALUE"""),"АИП-26")</f>
        <v>АИП-26</v>
      </c>
      <c r="C512" s="14" t="str">
        <f>IFERROR(__xludf.DUMMYFUNCTION("""COMPUTED_VALUE"""),"ОКС")</f>
        <v>ОКС</v>
      </c>
      <c r="D512" s="60"/>
      <c r="E512" s="14" t="str">
        <f>IFERROR(__xludf.DUMMYFUNCTION("""COMPUTED_VALUE"""),"Подстанция скорой медицинской помощи р-н Выхино-Жулебино, ул. Хлобыстова, влд. 10-12")</f>
        <v>Подстанция скорой медицинской помощи р-н Выхино-Жулебино, ул. Хлобыстова, влд. 10-12</v>
      </c>
      <c r="F512" s="25" t="str">
        <f>IFERROR(__xludf.DUMMYFUNCTION("""COMPUTED_VALUE"""),"55.719444654785185")</f>
        <v>55.719444654785185</v>
      </c>
      <c r="G512" s="6" t="str">
        <f>IFERROR(__xludf.DUMMYFUNCTION("""COMPUTED_VALUE"""),"37.80319964942804")</f>
        <v>37.80319964942804</v>
      </c>
      <c r="H512" s="18" t="str">
        <f>IFERROR(__xludf.DUMMYFUNCTION("""COMPUTED_VALUE"""),"https://docs.google.com/spreadsheets/d/19THEBTE9q0fhN2eApZr6BgenIvLGh0AckaYxHQfHk5w/edit?gid=330165580#gid=330165580")</f>
        <v>https://docs.google.com/spreadsheets/d/19THEBTE9q0fhN2eApZr6BgenIvLGh0AckaYxHQfHk5w/edit?gid=330165580#gid=330165580</v>
      </c>
      <c r="I512" s="19" t="str">
        <f>IFERROR(__xludf.DUMMYFUNCTION("""COMPUTED_VALUE"""),"https://disk.yandex.ru/client/disk/Осмотры%20объектов%20АНО%20СМГ/298.%20Подстанция%20скорой%20медицинской%20помощи%20по%20адресу%3A%20%20ЮВАО%2C%20район%20Выхино-Жулебино%2C%20ул.%20Хлобыстова%2C%20влд.%2010-12")</f>
        <v>https://disk.yandex.ru/client/disk/Осмотры%20объектов%20АНО%20СМГ/298.%20Подстанция%20скорой%20медицинской%20помощи%20по%20адресу%3A%20%20ЮВАО%2C%20район%20Выхино-Жулебино%2C%20ул.%20Хлобыстова%2C%20влд.%2010-12</v>
      </c>
      <c r="J512" s="50">
        <f>IFERROR(__xludf.DUMMYFUNCTION("""COMPUTED_VALUE"""),0.0)</f>
        <v>0</v>
      </c>
      <c r="K512" s="58">
        <f>IFERROR(__xludf.DUMMYFUNCTION("""COMPUTED_VALUE"""),45950.0)</f>
        <v>45950</v>
      </c>
      <c r="L512" s="6">
        <v>30.0</v>
      </c>
      <c r="M512" s="52">
        <v>45980.0</v>
      </c>
      <c r="N512" s="53" t="s">
        <v>701</v>
      </c>
      <c r="O512" s="19" t="s">
        <v>954</v>
      </c>
      <c r="P512" s="6"/>
      <c r="Q512" s="6"/>
      <c r="R512" s="6"/>
    </row>
    <row r="513">
      <c r="A513" s="31" t="str">
        <f>IFERROR(__xludf.DUMMYFUNCTION("""COMPUTED_VALUE"""),"1234")</f>
        <v>1234</v>
      </c>
      <c r="B513" s="14" t="str">
        <f>IFERROR(__xludf.DUMMYFUNCTION("""COMPUTED_VALUE"""),"АИП-26")</f>
        <v>АИП-26</v>
      </c>
      <c r="C513" s="14" t="str">
        <f>IFERROR(__xludf.DUMMYFUNCTION("""COMPUTED_VALUE"""),"ОКС")</f>
        <v>ОКС</v>
      </c>
      <c r="D513" s="60"/>
      <c r="E513" s="14" t="str">
        <f>IFERROR(__xludf.DUMMYFUNCTION("""COMPUTED_VALUE"""),"«Инфекционный лечебно-диагностический комплекс на территории ГБУЗ ""ИКБ №1 ДЗМ"" (5 этап строительства - склад)» г. Москва, Волоколамское шоссе, д. 63")</f>
        <v>«Инфекционный лечебно-диагностический комплекс на территории ГБУЗ "ИКБ №1 ДЗМ" (5 этап строительства - склад)» г. Москва, Волоколамское шоссе, д. 63</v>
      </c>
      <c r="F513" s="25" t="str">
        <f>IFERROR(__xludf.DUMMYFUNCTION("""COMPUTED_VALUE"""),"55.81586442092502")</f>
        <v>55.81586442092502</v>
      </c>
      <c r="G513" s="6" t="str">
        <f>IFERROR(__xludf.DUMMYFUNCTION("""COMPUTED_VALUE"""),"37.45357806214695")</f>
        <v>37.45357806214695</v>
      </c>
      <c r="H513" s="18" t="str">
        <f>IFERROR(__xludf.DUMMYFUNCTION("""COMPUTED_VALUE"""),"https://docs.google.com/spreadsheets/d/19THEBTE9q0fhN2eApZr6BgenIvLGh0AckaYxHQfHk5w/edit?gid=950438285#gid=950438285")</f>
        <v>https://docs.google.com/spreadsheets/d/19THEBTE9q0fhN2eApZr6BgenIvLGh0AckaYxHQfHk5w/edit?gid=950438285#gid=950438285</v>
      </c>
      <c r="I513" s="19" t="str">
        <f>IFERROR(__xludf.DUMMYFUNCTION("""COMPUTED_VALUE"""),"https://disk.yandex.ru/client/disk/Осмотры%20объектов%20АНО%20СМГ/1234.%20Волоколамское%20шоссе%20вл.%2063%20этап%205%20склад")</f>
        <v>https://disk.yandex.ru/client/disk/Осмотры%20объектов%20АНО%20СМГ/1234.%20Волоколамское%20шоссе%20вл.%2063%20этап%205%20склад</v>
      </c>
      <c r="J513" s="50">
        <f>IFERROR(__xludf.DUMMYFUNCTION("""COMPUTED_VALUE"""),0.0)</f>
        <v>0</v>
      </c>
      <c r="K513" s="58">
        <f>IFERROR(__xludf.DUMMYFUNCTION("""COMPUTED_VALUE"""),45954.0)</f>
        <v>45954</v>
      </c>
      <c r="L513" s="6">
        <v>30.0</v>
      </c>
      <c r="M513" s="52">
        <v>45984.0</v>
      </c>
      <c r="N513" s="53" t="s">
        <v>741</v>
      </c>
      <c r="O513" s="19" t="s">
        <v>955</v>
      </c>
      <c r="P513" s="6"/>
      <c r="Q513" s="6"/>
      <c r="R513" s="6"/>
    </row>
    <row r="514">
      <c r="A514" s="31" t="str">
        <f>IFERROR(__xludf.DUMMYFUNCTION("""COMPUTED_VALUE"""),"297")</f>
        <v>297</v>
      </c>
      <c r="B514" s="14" t="str">
        <f>IFERROR(__xludf.DUMMYFUNCTION("""COMPUTED_VALUE"""),"АИП-26")</f>
        <v>АИП-26</v>
      </c>
      <c r="C514" s="14" t="str">
        <f>IFERROR(__xludf.DUMMYFUNCTION("""COMPUTED_VALUE"""),"ОКС")</f>
        <v>ОКС</v>
      </c>
      <c r="D514" s="60"/>
      <c r="E514" s="14" t="str">
        <f>IFERROR(__xludf.DUMMYFUNCTION("""COMPUTED_VALUE"""),"Лечебно-диагностический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(4 этап строительства (паркинг) ш. Энтузиастов, вл. 86")</f>
        <v>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(4 этап строительства (паркинг) ш. Энтузиастов, вл. 86</v>
      </c>
      <c r="F514" s="25" t="str">
        <f>IFERROR(__xludf.DUMMYFUNCTION("""COMPUTED_VALUE"""),"55.76521285831778")</f>
        <v>55.76521285831778</v>
      </c>
      <c r="G514" s="6" t="str">
        <f>IFERROR(__xludf.DUMMYFUNCTION("""COMPUTED_VALUE"""),"37.7956623862295")</f>
        <v>37.7956623862295</v>
      </c>
      <c r="H514" s="18" t="str">
        <f>IFERROR(__xludf.DUMMYFUNCTION("""COMPUTED_VALUE"""),"https://docs.google.com/spreadsheets/d/19THEBTE9q0fhN2eApZr6BgenIvLGh0AckaYxHQfHk5w/edit?gid=1703085430#gid=1703085430")</f>
        <v>https://docs.google.com/spreadsheets/d/19THEBTE9q0fhN2eApZr6BgenIvLGh0AckaYxHQfHk5w/edit?gid=1703085430#gid=1703085430</v>
      </c>
      <c r="I514"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514" s="50">
        <f>IFERROR(__xludf.DUMMYFUNCTION("""COMPUTED_VALUE"""),0.0)</f>
        <v>0</v>
      </c>
      <c r="K514" s="58">
        <f>IFERROR(__xludf.DUMMYFUNCTION("""COMPUTED_VALUE"""),45954.0)</f>
        <v>45954</v>
      </c>
      <c r="L514" s="6">
        <v>30.0</v>
      </c>
      <c r="M514" s="52">
        <v>45984.0</v>
      </c>
      <c r="N514" s="53" t="s">
        <v>741</v>
      </c>
      <c r="O514" s="19" t="s">
        <v>956</v>
      </c>
      <c r="P514" s="6"/>
      <c r="Q514" s="6"/>
      <c r="R514" s="6"/>
    </row>
    <row r="515">
      <c r="A515" s="31" t="str">
        <f>IFERROR(__xludf.DUMMYFUNCTION("""COMPUTED_VALUE"""),"267")</f>
        <v>267</v>
      </c>
      <c r="B515" s="14" t="str">
        <f>IFERROR(__xludf.DUMMYFUNCTION("""COMPUTED_VALUE"""),"АИП-26")</f>
        <v>АИП-26</v>
      </c>
      <c r="C515" s="14" t="str">
        <f>IFERROR(__xludf.DUMMYFUNCTION("""COMPUTED_VALUE"""),"ОКС")</f>
        <v>ОКС</v>
      </c>
      <c r="D515" s="15"/>
      <c r="E515" s="14" t="str">
        <f>IFERROR(__xludf.DUMMYFUNCTION("""COMPUTED_VALUE"""),"Реконструкция здания ГБУДО г. Москвы ""ДМШ им. Д.Б.Кабалевского"" по адресу: ул. Палиха, д. 14/33, стр. 1 г. Москва, ул. Палиха, д. 14/33, стр. 1")</f>
        <v>Реконструкция здания ГБУДО г. Москвы "ДМШ им. Д.Б.Кабалевского" по адресу: ул. Палиха, д. 14/33, стр. 1 г. Москва, ул. Палиха, д. 14/33, стр. 1</v>
      </c>
      <c r="F515" s="25" t="str">
        <f>IFERROR(__xludf.DUMMYFUNCTION("""COMPUTED_VALUE"""),"55.784644434168655")</f>
        <v>55.784644434168655</v>
      </c>
      <c r="G515" s="6" t="str">
        <f>IFERROR(__xludf.DUMMYFUNCTION("""COMPUTED_VALUE"""),"37.600731392867395")</f>
        <v>37.600731392867395</v>
      </c>
      <c r="H515" s="18" t="str">
        <f>IFERROR(__xludf.DUMMYFUNCTION("""COMPUTED_VALUE"""),"https://docs.google.com/spreadsheets/d/19THEBTE9q0fhN2eApZr6BgenIvLGh0AckaYxHQfHk5w/edit?gid=734388632#gid=734388632")</f>
        <v>https://docs.google.com/spreadsheets/d/19THEBTE9q0fhN2eApZr6BgenIvLGh0AckaYxHQfHk5w/edit?gid=734388632#gid=734388632</v>
      </c>
      <c r="I515" s="19" t="str">
        <f>IFERROR(__xludf.DUMMYFUNCTION("""COMPUTED_VALUE"""),"https://disk.yandex.ru/client/disk/Осмотры%20объектов%20АНО%20СМГ/267%20Палиха%20д%2014%20%5C33%20стр1")</f>
        <v>https://disk.yandex.ru/client/disk/Осмотры%20объектов%20АНО%20СМГ/267%20Палиха%20д%2014%20%5C33%20стр1</v>
      </c>
      <c r="J515" s="50">
        <f>IFERROR(__xludf.DUMMYFUNCTION("""COMPUTED_VALUE"""),0.0)</f>
        <v>0</v>
      </c>
      <c r="K515" s="58">
        <f>IFERROR(__xludf.DUMMYFUNCTION("""COMPUTED_VALUE"""),45959.0)</f>
        <v>45959</v>
      </c>
      <c r="L515" s="6">
        <v>30.0</v>
      </c>
      <c r="M515" s="52">
        <v>45989.0</v>
      </c>
      <c r="N515" s="53" t="s">
        <v>692</v>
      </c>
      <c r="O515" s="19" t="s">
        <v>957</v>
      </c>
      <c r="P515" s="6"/>
      <c r="Q515" s="6"/>
      <c r="R515" s="6"/>
    </row>
    <row r="516">
      <c r="A516" s="31" t="str">
        <f>IFERROR(__xludf.DUMMYFUNCTION("""COMPUTED_VALUE"""),"212")</f>
        <v>212</v>
      </c>
      <c r="B516" s="14" t="str">
        <f>IFERROR(__xludf.DUMMYFUNCTION("""COMPUTED_VALUE"""),"АИП-26")</f>
        <v>АИП-26</v>
      </c>
      <c r="C516" s="14" t="str">
        <f>IFERROR(__xludf.DUMMYFUNCTION("""COMPUTED_VALUE"""),"ОКС")</f>
        <v>ОКС</v>
      </c>
      <c r="D516" s="69"/>
      <c r="E516" s="14" t="str">
        <f>IFERROR(__xludf.DUMMYFUNCTION("""COMPUTED_VALUE"""),"Строительство Домодедовского кладбища, новые территории (3 этап), (Домодедовский р-н, Московская обл.) Домодедовский р-н, Московская обл., д. Истомиха")</f>
        <v>Строительство Домодедовского кладбища, новые территории (3 этап), (Домодедовский р-н, Московская обл.) Домодедовский р-н, Московская обл., д. Истомиха</v>
      </c>
      <c r="F516" s="25" t="str">
        <f>IFERROR(__xludf.DUMMYFUNCTION("""COMPUTED_VALUE"""),"55.45234655768289")</f>
        <v>55.45234655768289</v>
      </c>
      <c r="G516" s="6" t="str">
        <f>IFERROR(__xludf.DUMMYFUNCTION("""COMPUTED_VALUE"""),"37.88694735442989")</f>
        <v>37.88694735442989</v>
      </c>
      <c r="H516" s="18" t="str">
        <f>IFERROR(__xludf.DUMMYFUNCTION("""COMPUTED_VALUE"""),"https://docs.google.com/spreadsheets/d/19THEBTE9q0fhN2eApZr6BgenIvLGh0AckaYxHQfHk5w/edit?gid=1201519029#gid=1201519029")</f>
        <v>https://docs.google.com/spreadsheets/d/19THEBTE9q0fhN2eApZr6BgenIvLGh0AckaYxHQfHk5w/edit?gid=1201519029#gid=1201519029</v>
      </c>
      <c r="I516" s="19"/>
      <c r="J516" s="50">
        <f>IFERROR(__xludf.DUMMYFUNCTION("""COMPUTED_VALUE"""),0.0625)</f>
        <v>0.0625</v>
      </c>
      <c r="K516" s="58">
        <f>IFERROR(__xludf.DUMMYFUNCTION("""COMPUTED_VALUE"""),45954.0)</f>
        <v>45954</v>
      </c>
      <c r="L516" s="6">
        <v>30.0</v>
      </c>
      <c r="M516" s="52">
        <v>45984.0</v>
      </c>
      <c r="N516" s="53" t="s">
        <v>741</v>
      </c>
      <c r="O516" s="19" t="s">
        <v>958</v>
      </c>
      <c r="P516" s="6"/>
      <c r="Q516" s="6"/>
      <c r="R516" s="6"/>
    </row>
    <row r="517">
      <c r="A517" s="70" t="str">
        <f>IFERROR(__xludf.DUMMYFUNCTION("""COMPUTED_VALUE"""),"308")</f>
        <v>308</v>
      </c>
      <c r="B517" s="14" t="str">
        <f>IFERROR(__xludf.DUMMYFUNCTION("""COMPUTED_VALUE"""),"АИП-26")</f>
        <v>АИП-26</v>
      </c>
      <c r="C517" s="14" t="str">
        <f>IFERROR(__xludf.DUMMYFUNCTION("""COMPUTED_VALUE"""),"ОКС")</f>
        <v>ОКС</v>
      </c>
      <c r="D517" s="60"/>
      <c r="E517" s="14" t="str">
        <f>IFERROR(__xludf.DUMMYFUNCTION("""COMPUTED_VALUE"""),"Реконструкция с реставрацией ограждения Ваганьковского кладбища (Армянский участок) г. Москва, ул. Сергея Макеева, влд. 15")</f>
        <v>Реконструкция с реставрацией ограждения Ваганьковского кладбища (Армянский участок) г. Москва, ул. Сергея Макеева, влд. 15</v>
      </c>
      <c r="F517" s="25" t="str">
        <f>IFERROR(__xludf.DUMMYFUNCTION("""COMPUTED_VALUE"""),"55.76631570657444")</f>
        <v>55.76631570657444</v>
      </c>
      <c r="G517" s="6" t="str">
        <f>IFERROR(__xludf.DUMMYFUNCTION("""COMPUTED_VALUE"""),"37.55447603970192")</f>
        <v>37.55447603970192</v>
      </c>
      <c r="H517" s="18" t="str">
        <f>IFERROR(__xludf.DUMMYFUNCTION("""COMPUTED_VALUE"""),"https://docs.google.com/spreadsheets/d/19THEBTE9q0fhN2eApZr6BgenIvLGh0AckaYxHQfHk5w/edit?gid=251201264#gid=251201264")</f>
        <v>https://docs.google.com/spreadsheets/d/19THEBTE9q0fhN2eApZr6BgenIvLGh0AckaYxHQfHk5w/edit?gid=251201264#gid=251201264</v>
      </c>
      <c r="I517" s="19"/>
      <c r="J517" s="50">
        <f>IFERROR(__xludf.DUMMYFUNCTION("""COMPUTED_VALUE"""),0.0)</f>
        <v>0</v>
      </c>
      <c r="K517" s="58">
        <f>IFERROR(__xludf.DUMMYFUNCTION("""COMPUTED_VALUE"""),45919.0)</f>
        <v>45919</v>
      </c>
      <c r="L517" s="6">
        <v>30.0</v>
      </c>
      <c r="M517" s="52">
        <v>45949.0</v>
      </c>
      <c r="N517" s="53" t="s">
        <v>668</v>
      </c>
      <c r="O517" s="19" t="s">
        <v>959</v>
      </c>
      <c r="P517" s="6"/>
      <c r="Q517" s="6"/>
      <c r="R517" s="6"/>
    </row>
    <row r="518">
      <c r="A518" s="31" t="str">
        <f>IFERROR(__xludf.DUMMYFUNCTION("""COMPUTED_VALUE"""),"194")</f>
        <v>194</v>
      </c>
      <c r="B518" s="14" t="str">
        <f>IFERROR(__xludf.DUMMYFUNCTION("""COMPUTED_VALUE"""),"АИП-26")</f>
        <v>АИП-26</v>
      </c>
      <c r="C518" s="14" t="str">
        <f>IFERROR(__xludf.DUMMYFUNCTION("""COMPUTED_VALUE"""),"ОКС")</f>
        <v>ОКС</v>
      </c>
      <c r="D518" s="60"/>
      <c r="E518" s="14" t="str">
        <f>IFERROR(__xludf.DUMMYFUNCTION("""COMPUTED_VALUE"""),"Объект общественного назначения с гаражом р-н проспект Вернадского, кв. 32-33, 34-35")</f>
        <v>Объект общественного назначения с гаражом р-н проспект Вернадского, кв. 32-33, 34-35</v>
      </c>
      <c r="F518" s="25" t="str">
        <f>IFERROR(__xludf.DUMMYFUNCTION("""COMPUTED_VALUE"""),"55.671881738540606")</f>
        <v>55.671881738540606</v>
      </c>
      <c r="G518" s="6" t="str">
        <f>IFERROR(__xludf.DUMMYFUNCTION("""COMPUTED_VALUE"""),"37.49437076594457")</f>
        <v>37.49437076594457</v>
      </c>
      <c r="H518" s="18" t="str">
        <f>IFERROR(__xludf.DUMMYFUNCTION("""COMPUTED_VALUE"""),"https://docs.google.com/spreadsheets/d/19THEBTE9q0fhN2eApZr6BgenIvLGh0AckaYxHQfHk5w/edit?gid=1327731705#gid=1327731705")</f>
        <v>https://docs.google.com/spreadsheets/d/19THEBTE9q0fhN2eApZr6BgenIvLGh0AckaYxHQfHk5w/edit?gid=1327731705#gid=1327731705</v>
      </c>
      <c r="I518" s="19" t="str">
        <f>IFERROR(__xludf.DUMMYFUNCTION("""COMPUTED_VALUE"""),"https://disk.yandex.ru/client/disk/Осмотры%20объектов%20АНО%20СМГ/308.%20Реконструкция%20с%20реставрацией%20ограждения%20Ваганьковского%20кладбища%20(Армянский%20участок)%09%09%09")</f>
        <v>https://disk.yandex.ru/client/disk/Осмотры%20объектов%20АНО%20СМГ/308.%20Реконструкция%20с%20реставрацией%20ограждения%20Ваганьковского%20кладбища%20(Армянский%20участок)%09%09%09</v>
      </c>
      <c r="J518" s="50">
        <f>IFERROR(__xludf.DUMMYFUNCTION("""COMPUTED_VALUE"""),0.0)</f>
        <v>0</v>
      </c>
      <c r="K518" s="58">
        <f>IFERROR(__xludf.DUMMYFUNCTION("""COMPUTED_VALUE"""),45954.0)</f>
        <v>45954</v>
      </c>
      <c r="L518" s="6">
        <v>30.0</v>
      </c>
      <c r="M518" s="52">
        <v>45984.0</v>
      </c>
      <c r="N518" s="53" t="s">
        <v>741</v>
      </c>
      <c r="O518" s="19" t="s">
        <v>960</v>
      </c>
      <c r="P518" s="6"/>
      <c r="Q518" s="6"/>
      <c r="R518" s="6"/>
    </row>
    <row r="519">
      <c r="A519" s="31" t="str">
        <f>IFERROR(__xludf.DUMMYFUNCTION("""COMPUTED_VALUE"""),"235")</f>
        <v>235</v>
      </c>
      <c r="B519" s="14" t="str">
        <f>IFERROR(__xludf.DUMMYFUNCTION("""COMPUTED_VALUE"""),"АИП-26")</f>
        <v>АИП-26</v>
      </c>
      <c r="C519" s="14" t="str">
        <f>IFERROR(__xludf.DUMMYFUNCTION("""COMPUTED_VALUE"""),"ОКС")</f>
        <v>ОКС</v>
      </c>
      <c r="D519" s="60"/>
      <c r="E519" s="14" t="str">
        <f>IFERROR(__xludf.DUMMYFUNCTION("""COMPUTED_VALUE"""),"Пожарное депо в районе промзоны Руднево Промзона Руднево, ул. Красковская, з.у. 7Б")</f>
        <v>Пожарное депо в районе промзоны Руднево Промзона Руднево, ул. Красковская, з.у. 7Б</v>
      </c>
      <c r="F519" s="25" t="str">
        <f>IFERROR(__xludf.DUMMYFUNCTION("""COMPUTED_VALUE"""),"55.717875543136785")</f>
        <v>55.717875543136785</v>
      </c>
      <c r="G519" s="6" t="str">
        <f>IFERROR(__xludf.DUMMYFUNCTION("""COMPUTED_VALUE"""),"37.91962241796813")</f>
        <v>37.91962241796813</v>
      </c>
      <c r="H519" s="18" t="str">
        <f>IFERROR(__xludf.DUMMYFUNCTION("""COMPUTED_VALUE"""),"https://docs.google.com/spreadsheets/d/19THEBTE9q0fhN2eApZr6BgenIvLGh0AckaYxHQfHk5w/edit?gid=969577696#gid=969577696")</f>
        <v>https://docs.google.com/spreadsheets/d/19THEBTE9q0fhN2eApZr6BgenIvLGh0AckaYxHQfHk5w/edit?gid=969577696#gid=969577696</v>
      </c>
      <c r="I519" s="19" t="str">
        <f>IFERROR(__xludf.DUMMYFUNCTION("""COMPUTED_VALUE"""),"https://disk.yandex.ru/client/disk/Осмотры%20объектов%20АНО%20СМГ/194.%20Объект%20общественного%20назначения%20с%20гаражом%2C%20р-н%20Проспект%20Вернадского%2C%20кв-л.%2032-33%2C%2034-35")</f>
        <v>https://disk.yandex.ru/client/disk/Осмотры%20объектов%20АНО%20СМГ/194.%20Объект%20общественного%20назначения%20с%20гаражом%2C%20р-н%20Проспект%20Вернадского%2C%20кв-л.%2032-33%2C%2034-35</v>
      </c>
      <c r="J519" s="50">
        <f>IFERROR(__xludf.DUMMYFUNCTION("""COMPUTED_VALUE"""),0.0)</f>
        <v>0</v>
      </c>
      <c r="K519" s="58">
        <f>IFERROR(__xludf.DUMMYFUNCTION("""COMPUTED_VALUE"""),45954.0)</f>
        <v>45954</v>
      </c>
      <c r="L519" s="6">
        <v>30.0</v>
      </c>
      <c r="M519" s="52">
        <v>45984.0</v>
      </c>
      <c r="N519" s="53" t="s">
        <v>741</v>
      </c>
      <c r="O519" s="19" t="s">
        <v>961</v>
      </c>
      <c r="P519" s="6"/>
      <c r="Q519" s="6"/>
      <c r="R519" s="6"/>
    </row>
    <row r="520">
      <c r="A520" s="31" t="str">
        <f>IFERROR(__xludf.DUMMYFUNCTION("""COMPUTED_VALUE"""),"241")</f>
        <v>241</v>
      </c>
      <c r="B520" s="14" t="str">
        <f>IFERROR(__xludf.DUMMYFUNCTION("""COMPUTED_VALUE"""),"АИП-26")</f>
        <v>АИП-26</v>
      </c>
      <c r="C520" s="14" t="str">
        <f>IFERROR(__xludf.DUMMYFUNCTION("""COMPUTED_VALUE"""),"ОКС")</f>
        <v>ОКС</v>
      </c>
      <c r="D520" s="60"/>
      <c r="E520" s="14" t="str">
        <f>IFERROR(__xludf.DUMMYFUNCTION("""COMPUTED_VALUE"""),"Пожарное депо на 4 машино-места район Богородское, 6-й проезд Подбельского, вл. 8-10")</f>
        <v>Пожарное депо на 4 машино-места район Богородское, 6-й проезд Подбельского, вл. 8-10</v>
      </c>
      <c r="F520" s="25" t="str">
        <f>IFERROR(__xludf.DUMMYFUNCTION("""COMPUTED_VALUE"""),"55.81811962463805")</f>
        <v>55.81811962463805</v>
      </c>
      <c r="G520" s="6" t="str">
        <f>IFERROR(__xludf.DUMMYFUNCTION("""COMPUTED_VALUE"""),"37.732697657393885")</f>
        <v>37.732697657393885</v>
      </c>
      <c r="H520" s="18" t="str">
        <f>IFERROR(__xludf.DUMMYFUNCTION("""COMPUTED_VALUE"""),"https://docs.google.com/spreadsheets/d/19THEBTE9q0fhN2eApZr6BgenIvLGh0AckaYxHQfHk5w/edit?gid=1562121210#gid=1562121210")</f>
        <v>https://docs.google.com/spreadsheets/d/19THEBTE9q0fhN2eApZr6BgenIvLGh0AckaYxHQfHk5w/edit?gid=1562121210#gid=1562121210</v>
      </c>
      <c r="I520" s="19" t="str">
        <f>IFERROR(__xludf.DUMMYFUNCTION("""COMPUTED_VALUE"""),"https://disk.yandex.ru/client/disk/Осмотры%20объектов%20АНО%20СМГ/234.%20пр-т%20Вернадского%2012Б%202-й%20этап%20дороги%20и%20инженерн.коммуникации/235.%20Пожарное%20депо%20в%20районе%20промзоны%20руднево%20з-у%207Б")</f>
        <v>https://disk.yandex.ru/client/disk/Осмотры%20объектов%20АНО%20СМГ/234.%20пр-т%20Вернадского%2012Б%202-й%20этап%20дороги%20и%20инженерн.коммуникации/235.%20Пожарное%20депо%20в%20районе%20промзоны%20руднево%20з-у%207Б</v>
      </c>
      <c r="J520" s="50">
        <f>IFERROR(__xludf.DUMMYFUNCTION("""COMPUTED_VALUE"""),15.225)</f>
        <v>15.225</v>
      </c>
      <c r="K520" s="58">
        <f>IFERROR(__xludf.DUMMYFUNCTION("""COMPUTED_VALUE"""),45954.0)</f>
        <v>45954</v>
      </c>
      <c r="L520" s="6">
        <v>30.0</v>
      </c>
      <c r="M520" s="52">
        <v>45984.0</v>
      </c>
      <c r="N520" s="53" t="s">
        <v>741</v>
      </c>
      <c r="O520" s="19" t="s">
        <v>962</v>
      </c>
      <c r="P520" s="6"/>
      <c r="Q520" s="6"/>
      <c r="R520" s="6"/>
    </row>
    <row r="521">
      <c r="A521" s="31" t="str">
        <f>IFERROR(__xludf.DUMMYFUNCTION("""COMPUTED_VALUE"""),"957")</f>
        <v>957</v>
      </c>
      <c r="B521" s="14" t="str">
        <f>IFERROR(__xludf.DUMMYFUNCTION("""COMPUTED_VALUE"""),"АИП-27")</f>
        <v>АИП-27</v>
      </c>
      <c r="C521" s="14" t="str">
        <f>IFERROR(__xludf.DUMMYFUNCTION("""COMPUTED_VALUE"""),"ОКС")</f>
        <v>ОКС</v>
      </c>
      <c r="D521" s="60"/>
      <c r="E521" s="14" t="str">
        <f>IFERROR(__xludf.DUMMYFUNCTION("""COMPUTED_VALUE"""),"ММК - Биотехнологическая лаборатория г. Москва, Западный округ, территория инновационного центра ""Сколково""")</f>
        <v>ММК - Биотехнологическая лаборатория г. Москва, Западный округ, территория инновационного центра "Сколково"</v>
      </c>
      <c r="F521" s="25" t="str">
        <f>IFERROR(__xludf.DUMMYFUNCTION("""COMPUTED_VALUE"""),"55.68055215795606")</f>
        <v>55.68055215795606</v>
      </c>
      <c r="G521" s="6" t="str">
        <f>IFERROR(__xludf.DUMMYFUNCTION("""COMPUTED_VALUE"""),"37.34710970632785")</f>
        <v>37.34710970632785</v>
      </c>
      <c r="H521" s="18" t="str">
        <f>IFERROR(__xludf.DUMMYFUNCTION("""COMPUTED_VALUE"""),"https://docs.google.com/spreadsheets/d/19THEBTE9q0fhN2eApZr6BgenIvLGh0AckaYxHQfHk5w/edit?gid=48405114#gid=48405114")</f>
        <v>https://docs.google.com/spreadsheets/d/19THEBTE9q0fhN2eApZr6BgenIvLGh0AckaYxHQfHk5w/edit?gid=48405114#gid=48405114</v>
      </c>
      <c r="I521" s="19"/>
      <c r="J521" s="50">
        <f>IFERROR(__xludf.DUMMYFUNCTION("""COMPUTED_VALUE"""),25.3755)</f>
        <v>25.3755</v>
      </c>
      <c r="K521" s="58">
        <f>IFERROR(__xludf.DUMMYFUNCTION("""COMPUTED_VALUE"""),45972.0)</f>
        <v>45972</v>
      </c>
      <c r="L521" s="6">
        <v>30.0</v>
      </c>
      <c r="M521" s="52">
        <v>46002.0</v>
      </c>
      <c r="N521" s="53" t="s">
        <v>711</v>
      </c>
      <c r="O521" s="19" t="s">
        <v>963</v>
      </c>
      <c r="P521" s="6"/>
      <c r="Q521" s="6"/>
      <c r="R521" s="6"/>
    </row>
    <row r="522">
      <c r="A522" s="31" t="str">
        <f>IFERROR(__xludf.DUMMYFUNCTION("""COMPUTED_VALUE"""),"380д")</f>
        <v>380д</v>
      </c>
      <c r="B522" s="14" t="str">
        <f>IFERROR(__xludf.DUMMYFUNCTION("""COMPUTED_VALUE"""),"АИП-26")</f>
        <v>АИП-26</v>
      </c>
      <c r="C522" s="14" t="str">
        <f>IFERROR(__xludf.DUMMYFUNCTION("""COMPUTED_VALUE"""),"УДС")</f>
        <v>УДС</v>
      </c>
      <c r="D522" s="60"/>
      <c r="E522" s="14" t="str">
        <f>IFERROR(__xludf.DUMMYFUNCTION("""COMPUTED_VALUE"""),"Реконструкция проектируемого проезда № 22 в пос. Шишкин лес пос. Шишкин лес")</f>
        <v>Реконструкция проектируемого проезда № 22 в пос. Шишкин лес пос. Шишкин лес</v>
      </c>
      <c r="F522" s="25" t="str">
        <f>IFERROR(__xludf.DUMMYFUNCTION("""COMPUTED_VALUE"""),"#N/A")</f>
        <v>#N/A</v>
      </c>
      <c r="G522" s="6" t="str">
        <f>IFERROR(__xludf.DUMMYFUNCTION("""COMPUTED_VALUE"""),"#N/A")</f>
        <v>#N/A</v>
      </c>
      <c r="H522" s="6"/>
      <c r="I522" s="6"/>
      <c r="J522" s="50">
        <f>IFERROR(__xludf.DUMMYFUNCTION("""COMPUTED_VALUE"""),0.0)</f>
        <v>0</v>
      </c>
      <c r="K522" s="58">
        <f>IFERROR(__xludf.DUMMYFUNCTION("""COMPUTED_VALUE"""),45960.0)</f>
        <v>45960</v>
      </c>
      <c r="L522" s="6">
        <v>30.0</v>
      </c>
      <c r="M522" s="52">
        <v>45990.0</v>
      </c>
      <c r="N522" s="53" t="s">
        <v>692</v>
      </c>
      <c r="O522" s="6" t="s">
        <v>936</v>
      </c>
      <c r="P522" s="6"/>
      <c r="Q522" s="6"/>
      <c r="R522" s="6"/>
    </row>
    <row r="523">
      <c r="A523" s="31" t="str">
        <f>IFERROR(__xludf.DUMMYFUNCTION("""COMPUTED_VALUE"""),"279д")</f>
        <v>279д</v>
      </c>
      <c r="B523" s="14" t="str">
        <f>IFERROR(__xludf.DUMMYFUNCTION("""COMPUTED_VALUE"""),"АИП-26")</f>
        <v>АИП-26</v>
      </c>
      <c r="C523" s="14" t="str">
        <f>IFERROR(__xludf.DUMMYFUNCTION("""COMPUTED_VALUE"""),"УДС")</f>
        <v>УДС</v>
      </c>
      <c r="D523" s="60"/>
      <c r="E523" s="14" t="str">
        <f>IFERROR(__xludf.DUMMYFUNCTION("""COMPUTED_VALUE"""),"Строительство проектируемого пр-да № 4162 и Гжатской ул. с обустройством вело-пешеходной зоны пр-д № 4162 и Гжатская ул.")</f>
        <v>Строительство проектируемого пр-да № 4162 и Гжатской ул. с обустройством вело-пешеходной зоны пр-д № 4162 и Гжатская ул.</v>
      </c>
      <c r="F523" s="25" t="str">
        <f>IFERROR(__xludf.DUMMYFUNCTION("""COMPUTED_VALUE"""),"#N/A")</f>
        <v>#N/A</v>
      </c>
      <c r="G523" s="6" t="str">
        <f>IFERROR(__xludf.DUMMYFUNCTION("""COMPUTED_VALUE"""),"#N/A")</f>
        <v>#N/A</v>
      </c>
      <c r="H523" s="6"/>
      <c r="I523" s="6"/>
      <c r="J523" s="50">
        <f>IFERROR(__xludf.DUMMYFUNCTION("""COMPUTED_VALUE"""),0.0)</f>
        <v>0</v>
      </c>
      <c r="K523" s="58">
        <f>IFERROR(__xludf.DUMMYFUNCTION("""COMPUTED_VALUE"""),45974.0)</f>
        <v>45974</v>
      </c>
      <c r="L523" s="6">
        <v>30.0</v>
      </c>
      <c r="M523" s="52">
        <v>46004.0</v>
      </c>
      <c r="N523" s="53" t="s">
        <v>711</v>
      </c>
      <c r="O523" s="6" t="s">
        <v>964</v>
      </c>
      <c r="P523" s="6"/>
      <c r="Q523" s="6"/>
      <c r="R523" s="6"/>
    </row>
    <row r="524">
      <c r="A524" s="31" t="str">
        <f>IFERROR(__xludf.DUMMYFUNCTION("""COMPUTED_VALUE"""),"1308")</f>
        <v>1308</v>
      </c>
      <c r="B524" s="14" t="str">
        <f>IFERROR(__xludf.DUMMYFUNCTION("""COMPUTED_VALUE"""),"АИП-27")</f>
        <v>АИП-27</v>
      </c>
      <c r="C524" s="14" t="str">
        <f>IFERROR(__xludf.DUMMYFUNCTION("""COMPUTED_VALUE"""),"УДС")</f>
        <v>УДС</v>
      </c>
      <c r="D524" s="60"/>
      <c r="E524" s="14" t="str">
        <f>IFERROR(__xludf.DUMMYFUNCTION("""COMPUTED_VALUE"""),"Технологическая часть ТПУ на станции метро ""Люблино"". Этапы 1 (УДС 600 кв.м, парковка 65 кв.м) Станция метро ""Люблино""")</f>
        <v>Технологическая часть ТПУ на станции метро "Люблино". Этапы 1 (УДС 600 кв.м, парковка 65 кв.м) Станция метро "Люблино"</v>
      </c>
      <c r="F524" s="25" t="str">
        <f>IFERROR(__xludf.DUMMYFUNCTION("""COMPUTED_VALUE"""),"#N/A")</f>
        <v>#N/A</v>
      </c>
      <c r="G524" s="6" t="str">
        <f>IFERROR(__xludf.DUMMYFUNCTION("""COMPUTED_VALUE"""),"#N/A")</f>
        <v>#N/A</v>
      </c>
      <c r="H524" s="6"/>
      <c r="I524" s="6"/>
      <c r="J524" s="50">
        <f>IFERROR(__xludf.DUMMYFUNCTION("""COMPUTED_VALUE"""),0.0)</f>
        <v>0</v>
      </c>
      <c r="K524" s="58">
        <f>IFERROR(__xludf.DUMMYFUNCTION("""COMPUTED_VALUE"""),45954.0)</f>
        <v>45954</v>
      </c>
      <c r="L524" s="6">
        <v>30.0</v>
      </c>
      <c r="M524" s="52">
        <v>45984.0</v>
      </c>
      <c r="N524" s="53" t="s">
        <v>741</v>
      </c>
      <c r="O524" s="6" t="s">
        <v>965</v>
      </c>
      <c r="P524" s="6"/>
      <c r="Q524" s="6"/>
      <c r="R524" s="6"/>
    </row>
    <row r="525">
      <c r="A525" s="31" t="str">
        <f>IFERROR(__xludf.DUMMYFUNCTION("""COMPUTED_VALUE"""),"387д")</f>
        <v>387д</v>
      </c>
      <c r="B525" s="14" t="str">
        <f>IFERROR(__xludf.DUMMYFUNCTION("""COMPUTED_VALUE"""),"АИП-26")</f>
        <v>АИП-26</v>
      </c>
      <c r="C525" s="14" t="str">
        <f>IFERROR(__xludf.DUMMYFUNCTION("""COMPUTED_VALUE"""),"УДС")</f>
        <v>УДС</v>
      </c>
      <c r="D525" s="60"/>
      <c r="E525" s="14" t="str">
        <f>IFERROR(__xludf.DUMMYFUNCTION("""COMPUTED_VALUE"""),"Строительство многоуровсневой транспортной развязки на дороге ""Солнцево-Бутово-Видное""и прилегающая улично-дорожная сеть
 Этап 4.1. Участок пр.пр № 635 до ул.Новопеределкинская Участок пр.пр № 635 до ул.Новопеределкинская")</f>
        <v>Строительство многоуровсневой транспортной развязки на дороге "Солнцево-Бутово-Видное"и прилегающая улично-дорожная сеть
 Этап 4.1. Участок пр.пр № 635 до ул.Новопеределкинская Участок пр.пр № 635 до ул.Новопеределкинская</v>
      </c>
      <c r="F525" s="25" t="str">
        <f>IFERROR(__xludf.DUMMYFUNCTION("""COMPUTED_VALUE"""),"#N/A")</f>
        <v>#N/A</v>
      </c>
      <c r="G525" s="6" t="str">
        <f>IFERROR(__xludf.DUMMYFUNCTION("""COMPUTED_VALUE"""),"#N/A")</f>
        <v>#N/A</v>
      </c>
      <c r="H525" s="6"/>
      <c r="I525" s="6"/>
      <c r="J525" s="50">
        <f>IFERROR(__xludf.DUMMYFUNCTION("""COMPUTED_VALUE"""),99.73526000000001)</f>
        <v>99.73526</v>
      </c>
      <c r="K525" s="58">
        <f>IFERROR(__xludf.DUMMYFUNCTION("""COMPUTED_VALUE"""),45972.0)</f>
        <v>45972</v>
      </c>
      <c r="L525" s="6">
        <v>7.0</v>
      </c>
      <c r="M525" s="52">
        <v>45979.0</v>
      </c>
      <c r="N525" s="53" t="s">
        <v>692</v>
      </c>
      <c r="O525" s="6"/>
      <c r="P525" s="6"/>
      <c r="Q525" s="6"/>
      <c r="R525" s="6"/>
    </row>
    <row r="526">
      <c r="A526" s="31" t="str">
        <f>IFERROR(__xludf.DUMMYFUNCTION("""COMPUTED_VALUE"""),"1064")</f>
        <v>1064</v>
      </c>
      <c r="B526" s="14" t="str">
        <f>IFERROR(__xludf.DUMMYFUNCTION("""COMPUTED_VALUE"""),"АИП-26")</f>
        <v>АИП-26</v>
      </c>
      <c r="C526" s="14" t="str">
        <f>IFERROR(__xludf.DUMMYFUNCTION("""COMPUTED_VALUE"""),"УДС")</f>
        <v>УДС</v>
      </c>
      <c r="D526" s="60"/>
      <c r="E526" s="14" t="str">
        <f>IFERROR(__xludf.DUMMYFUNCTION("""COMPUTED_VALUE"""),"Рублево-Архангельская линия ст. «Шелепиха» – ст. «Бульвар Генерала Карбышева»
 («Звенигородская», «Народное Ополчение», «Бульвар Генерала Карбышева») Звенигородская» в районе Береговой проезд, 2, с8, «Народное Ополчение», пр-т Маршала Жукова, 16, к7 «Буль"&amp;"вар Генерала Карбышева» ул. Маршала Тухачевского, 35, к1")</f>
        <v>Рублево-Архангельская линия ст. «Шелепиха» – ст. «Бульвар Генерала Карбышева»
 («Звенигородская», «Народное Ополчение», «Бульвар Генерала Карбышева») Звенигородская» в районе Береговой проезд, 2, с8, «Народное Ополчение», пр-т Маршала Жукова, 16, к7 «Бульвар Генерала Карбышева» ул. Маршала Тухачевского, 35, к1</v>
      </c>
      <c r="F526" s="25" t="str">
        <f>IFERROR(__xludf.DUMMYFUNCTION("""COMPUTED_VALUE"""),"#N/A")</f>
        <v>#N/A</v>
      </c>
      <c r="G526" s="6" t="str">
        <f>IFERROR(__xludf.DUMMYFUNCTION("""COMPUTED_VALUE"""),"#N/A")</f>
        <v>#N/A</v>
      </c>
      <c r="H526" s="18" t="str">
        <f>IFERROR(__xludf.DUMMYFUNCTION("""COMPUTED_VALUE"""),"https://docs.google.com/spreadsheets/d/1jonEGMB3UFHiUZpltF1zURon8gYN7jGSHu-k9t5TXnA/edit?gid=1469752331#gid=1469752331")</f>
        <v>https://docs.google.com/spreadsheets/d/1jonEGMB3UFHiUZpltF1zURon8gYN7jGSHu-k9t5TXnA/edit?gid=1469752331#gid=1469752331</v>
      </c>
      <c r="I526" s="6" t="str">
        <f>IFERROR(__xludf.DUMMYFUNCTION("""COMPUTED_VALUE"""),"https://disk.yandex.ru/client/disk/Осмотры%20объектов%20АНО%20СМГ/1064%20ст%20метро%20Рублево-Архангельская")</f>
        <v>https://disk.yandex.ru/client/disk/Осмотры%20объектов%20АНО%20СМГ/1064%20ст%20метро%20Рублево-Архангельская</v>
      </c>
      <c r="J526" s="50">
        <f>IFERROR(__xludf.DUMMYFUNCTION("""COMPUTED_VALUE"""),8.568000000000001)</f>
        <v>8.568</v>
      </c>
      <c r="K526" s="58">
        <f>IFERROR(__xludf.DUMMYFUNCTION("""COMPUTED_VALUE"""),45748.0)</f>
        <v>45748</v>
      </c>
      <c r="L526" s="6">
        <v>30.0</v>
      </c>
      <c r="M526" s="52">
        <v>45778.0</v>
      </c>
      <c r="N526" s="53" t="s">
        <v>668</v>
      </c>
      <c r="O526" s="6"/>
      <c r="P526" s="6"/>
      <c r="Q526" s="6"/>
      <c r="R526" s="6"/>
    </row>
    <row r="527">
      <c r="A527" s="31" t="str">
        <f>IFERROR(__xludf.DUMMYFUNCTION("""COMPUTED_VALUE"""),"1064")</f>
        <v>1064</v>
      </c>
      <c r="B527" s="14" t="str">
        <f>IFERROR(__xludf.DUMMYFUNCTION("""COMPUTED_VALUE"""),"АИП-26")</f>
        <v>АИП-26</v>
      </c>
      <c r="C527" s="14" t="str">
        <f>IFERROR(__xludf.DUMMYFUNCTION("""COMPUTED_VALUE"""),"УДС")</f>
        <v>УДС</v>
      </c>
      <c r="D527" s="60"/>
      <c r="E527" s="14" t="str">
        <f>IFERROR(__xludf.DUMMYFUNCTION("""COMPUTED_VALUE"""),"Рублево-Архангельская линия ст. «Шелепиха» – ст. «Бульвар Генерала Карбышева»
(«Народное Ополчение») Звенигородская» в районе Береговой проезд, 2, с8, «Народное Ополчение»")</f>
        <v>Рублево-Архангельская линия ст. «Шелепиха» – ст. «Бульвар Генерала Карбышева»
(«Народное Ополчение») Звенигородская» в районе Береговой проезд, 2, с8, «Народное Ополчение»</v>
      </c>
      <c r="F527" s="25" t="str">
        <f>IFERROR(__xludf.DUMMYFUNCTION("""COMPUTED_VALUE"""),"#N/A")</f>
        <v>#N/A</v>
      </c>
      <c r="G527" s="6" t="str">
        <f>IFERROR(__xludf.DUMMYFUNCTION("""COMPUTED_VALUE"""),"#N/A")</f>
        <v>#N/A</v>
      </c>
      <c r="H527" s="18" t="str">
        <f>IFERROR(__xludf.DUMMYFUNCTION("""COMPUTED_VALUE"""),"https://docs.google.com/spreadsheets/d/1jonEGMB3UFHiUZpltF1zURon8gYN7jGSHu-k9t5TXnA/edit?gid=1469752331#gid=1469752331")</f>
        <v>https://docs.google.com/spreadsheets/d/1jonEGMB3UFHiUZpltF1zURon8gYN7jGSHu-k9t5TXnA/edit?gid=1469752331#gid=1469752331</v>
      </c>
      <c r="I527" s="6" t="str">
        <f>IFERROR(__xludf.DUMMYFUNCTION("""COMPUTED_VALUE"""),"https://disk.yandex.ru/client/disk/Осмотры%20объектов%20АНО%20СМГ/1064%20ст%20метро%20Рублево-Архангельская")</f>
        <v>https://disk.yandex.ru/client/disk/Осмотры%20объектов%20АНО%20СМГ/1064%20ст%20метро%20Рублево-Архангельская</v>
      </c>
      <c r="J527" s="50">
        <f>IFERROR(__xludf.DUMMYFUNCTION("""COMPUTED_VALUE"""),8.568000000000001)</f>
        <v>8.568</v>
      </c>
      <c r="K527" s="58">
        <f>IFERROR(__xludf.DUMMYFUNCTION("""COMPUTED_VALUE"""),45748.0)</f>
        <v>45748</v>
      </c>
      <c r="L527" s="6">
        <v>30.0</v>
      </c>
      <c r="M527" s="52">
        <v>45778.0</v>
      </c>
      <c r="N527" s="53" t="s">
        <v>668</v>
      </c>
      <c r="O527" s="6" t="s">
        <v>669</v>
      </c>
      <c r="P527" s="6"/>
      <c r="Q527" s="6"/>
      <c r="R527" s="6"/>
    </row>
    <row r="528">
      <c r="A528" s="31" t="str">
        <f>IFERROR(__xludf.DUMMYFUNCTION("""COMPUTED_VALUE"""),"227")</f>
        <v>227</v>
      </c>
      <c r="B528" s="14" t="str">
        <f>IFERROR(__xludf.DUMMYFUNCTION("""COMPUTED_VALUE"""),"АИП-26")</f>
        <v>АИП-26</v>
      </c>
      <c r="C528" s="14" t="str">
        <f>IFERROR(__xludf.DUMMYFUNCTION("""COMPUTED_VALUE"""),"УДС")</f>
        <v>УДС</v>
      </c>
      <c r="D528" s="60"/>
      <c r="E528" s="14" t="str">
        <f>IFERROR(__xludf.DUMMYFUNCTION("""COMPUTED_VALUE"""),"Технологическая часть ТПУ на станции метро ""Верхние Лихоборы"". Этап 1.1 г. Москва, м. ""Верхние Лихоборы""")</f>
        <v>Технологическая часть ТПУ на станции метро "Верхние Лихоборы". Этап 1.1 г. Москва, м. "Верхние Лихоборы"</v>
      </c>
      <c r="F528" s="25" t="str">
        <f>IFERROR(__xludf.DUMMYFUNCTION("""COMPUTED_VALUE"""),"55.85465208501044")</f>
        <v>55.85465208501044</v>
      </c>
      <c r="G528" s="6" t="str">
        <f>IFERROR(__xludf.DUMMYFUNCTION("""COMPUTED_VALUE"""),"37.56066086375353")</f>
        <v>37.56066086375353</v>
      </c>
      <c r="H528" s="18" t="str">
        <f>IFERROR(__xludf.DUMMYFUNCTION("""COMPUTED_VALUE"""),"https://docs.google.com/spreadsheets/d/1jonEGMB3UFHiUZpltF1zURon8gYN7jGSHu-k9t5TXnA/edit?gid=1179595420#gid=1179595420")</f>
        <v>https://docs.google.com/spreadsheets/d/1jonEGMB3UFHiUZpltF1zURon8gYN7jGSHu-k9t5TXnA/edit?gid=1179595420#gid=1179595420</v>
      </c>
      <c r="I528"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28" s="50">
        <f>IFERROR(__xludf.DUMMYFUNCTION("""COMPUTED_VALUE"""),67.92281249999999)</f>
        <v>67.9228125</v>
      </c>
      <c r="K528" s="58">
        <f>IFERROR(__xludf.DUMMYFUNCTION("""COMPUTED_VALUE"""),45918.0)</f>
        <v>45918</v>
      </c>
      <c r="L528" s="6">
        <v>14.0</v>
      </c>
      <c r="M528" s="52">
        <v>45932.0</v>
      </c>
      <c r="N528" s="53" t="s">
        <v>668</v>
      </c>
      <c r="O528" s="6" t="s">
        <v>966</v>
      </c>
      <c r="P528" s="6"/>
      <c r="Q528" s="6"/>
      <c r="R528" s="6"/>
    </row>
    <row r="529">
      <c r="A529" s="31" t="str">
        <f>IFERROR(__xludf.DUMMYFUNCTION("""COMPUTED_VALUE"""),"227")</f>
        <v>227</v>
      </c>
      <c r="B529" s="14" t="str">
        <f>IFERROR(__xludf.DUMMYFUNCTION("""COMPUTED_VALUE"""),"АИП-26")</f>
        <v>АИП-26</v>
      </c>
      <c r="C529" s="14" t="str">
        <f>IFERROR(__xludf.DUMMYFUNCTION("""COMPUTED_VALUE"""),"УДС")</f>
        <v>УДС</v>
      </c>
      <c r="D529" s="60"/>
      <c r="E529" s="14" t="str">
        <f>IFERROR(__xludf.DUMMYFUNCTION("""COMPUTED_VALUE"""),"Технологическая часть ТПУ на станции метро ""Верхние Лихоборы"". Этап 1.2 г. Москва, м. ""Верхние Лихоборы""")</f>
        <v>Технологическая часть ТПУ на станции метро "Верхние Лихоборы". Этап 1.2 г. Москва, м. "Верхние Лихоборы"</v>
      </c>
      <c r="F529" s="25" t="str">
        <f>IFERROR(__xludf.DUMMYFUNCTION("""COMPUTED_VALUE"""),"55.85465208501044")</f>
        <v>55.85465208501044</v>
      </c>
      <c r="G529" s="6" t="str">
        <f>IFERROR(__xludf.DUMMYFUNCTION("""COMPUTED_VALUE"""),"37.56066086375353")</f>
        <v>37.56066086375353</v>
      </c>
      <c r="H529" s="18" t="str">
        <f>IFERROR(__xludf.DUMMYFUNCTION("""COMPUTED_VALUE"""),"https://docs.google.com/spreadsheets/d/1jonEGMB3UFHiUZpltF1zURon8gYN7jGSHu-k9t5TXnA/edit?gid=1179595420#gid=1179595420")</f>
        <v>https://docs.google.com/spreadsheets/d/1jonEGMB3UFHiUZpltF1zURon8gYN7jGSHu-k9t5TXnA/edit?gid=1179595420#gid=1179595420</v>
      </c>
      <c r="I529"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29" s="50">
        <f>IFERROR(__xludf.DUMMYFUNCTION("""COMPUTED_VALUE"""),67.92281249999999)</f>
        <v>67.9228125</v>
      </c>
      <c r="K529" s="58">
        <f>IFERROR(__xludf.DUMMYFUNCTION("""COMPUTED_VALUE"""),45918.0)</f>
        <v>45918</v>
      </c>
      <c r="L529" s="6">
        <v>14.0</v>
      </c>
      <c r="M529" s="52">
        <v>45932.0</v>
      </c>
      <c r="N529" s="53" t="s">
        <v>668</v>
      </c>
      <c r="O529" s="6" t="s">
        <v>967</v>
      </c>
      <c r="P529" s="6"/>
      <c r="Q529" s="6"/>
      <c r="R529" s="6"/>
    </row>
    <row r="530">
      <c r="A530" s="31" t="str">
        <f>IFERROR(__xludf.DUMMYFUNCTION("""COMPUTED_VALUE"""),"227")</f>
        <v>227</v>
      </c>
      <c r="B530" s="14" t="str">
        <f>IFERROR(__xludf.DUMMYFUNCTION("""COMPUTED_VALUE"""),"АИП-26")</f>
        <v>АИП-26</v>
      </c>
      <c r="C530" s="14" t="str">
        <f>IFERROR(__xludf.DUMMYFUNCTION("""COMPUTED_VALUE"""),"УДС")</f>
        <v>УДС</v>
      </c>
      <c r="D530" s="60"/>
      <c r="E530" s="14" t="str">
        <f>IFERROR(__xludf.DUMMYFUNCTION("""COMPUTED_VALUE"""),"Технологическая часть ТПУ на станции метро ""Верхние Лихоборы"". Этап 2 г. Москва, м. ""Верхние Лихоборы""")</f>
        <v>Технологическая часть ТПУ на станции метро "Верхние Лихоборы". Этап 2 г. Москва, м. "Верхние Лихоборы"</v>
      </c>
      <c r="F530" s="25" t="str">
        <f>IFERROR(__xludf.DUMMYFUNCTION("""COMPUTED_VALUE"""),"55.85465208501044")</f>
        <v>55.85465208501044</v>
      </c>
      <c r="G530" s="6" t="str">
        <f>IFERROR(__xludf.DUMMYFUNCTION("""COMPUTED_VALUE"""),"37.56066086375353")</f>
        <v>37.56066086375353</v>
      </c>
      <c r="H530" s="18" t="str">
        <f>IFERROR(__xludf.DUMMYFUNCTION("""COMPUTED_VALUE"""),"https://docs.google.com/spreadsheets/d/1jonEGMB3UFHiUZpltF1zURon8gYN7jGSHu-k9t5TXnA/edit?gid=1179595420#gid=1179595420")</f>
        <v>https://docs.google.com/spreadsheets/d/1jonEGMB3UFHiUZpltF1zURon8gYN7jGSHu-k9t5TXnA/edit?gid=1179595420#gid=1179595420</v>
      </c>
      <c r="I530"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30" s="50">
        <f>IFERROR(__xludf.DUMMYFUNCTION("""COMPUTED_VALUE"""),67.92281249999999)</f>
        <v>67.9228125</v>
      </c>
      <c r="K530" s="58">
        <f>IFERROR(__xludf.DUMMYFUNCTION("""COMPUTED_VALUE"""),45918.0)</f>
        <v>45918</v>
      </c>
      <c r="L530" s="6">
        <v>14.0</v>
      </c>
      <c r="M530" s="52">
        <v>45932.0</v>
      </c>
      <c r="N530" s="53" t="s">
        <v>668</v>
      </c>
      <c r="O530" s="6" t="s">
        <v>968</v>
      </c>
      <c r="P530" s="6"/>
      <c r="Q530" s="6"/>
      <c r="R530" s="6"/>
    </row>
    <row r="531">
      <c r="A531" s="31" t="str">
        <f>IFERROR(__xludf.DUMMYFUNCTION("""COMPUTED_VALUE"""),"НД")</f>
        <v>НД</v>
      </c>
      <c r="B531" s="14" t="str">
        <f>IFERROR(__xludf.DUMMYFUNCTION("""COMPUTED_VALUE"""),"АИП-26")</f>
        <v>АИП-26</v>
      </c>
      <c r="C531" s="14" t="str">
        <f>IFERROR(__xludf.DUMMYFUNCTION("""COMPUTED_VALUE"""),"УДС")</f>
        <v>УДС</v>
      </c>
      <c r="D531" s="60"/>
      <c r="E531" s="14" t="str">
        <f>IFERROR(__xludf.DUMMYFUNCTION("""COMPUTED_VALUE"""),"Технологическая часть ТПУ на станции метро ""Молодежная"" г. Москва, ст. ММ Молодежная")</f>
        <v>Технологическая часть ТПУ на станции метро "Молодежная" г. Москва, ст. ММ Молодежная</v>
      </c>
      <c r="F531" s="25" t="str">
        <f>IFERROR(__xludf.DUMMYFUNCTION("""COMPUTED_VALUE"""),"#N/A")</f>
        <v>#N/A</v>
      </c>
      <c r="G531" s="6" t="str">
        <f>IFERROR(__xludf.DUMMYFUNCTION("""COMPUTED_VALUE"""),"#N/A")</f>
        <v>#N/A</v>
      </c>
      <c r="H531" s="6"/>
      <c r="I531" s="6"/>
      <c r="J531" s="50"/>
      <c r="K531" s="58"/>
      <c r="L531" s="6">
        <v>30.0</v>
      </c>
      <c r="M531" s="52" t="s">
        <v>655</v>
      </c>
      <c r="N531" s="53" t="s">
        <v>698</v>
      </c>
      <c r="O531" s="6"/>
      <c r="P531" s="6"/>
      <c r="Q531" s="6"/>
      <c r="R531" s="6"/>
    </row>
    <row r="532">
      <c r="A532" s="31" t="str">
        <f>IFERROR(__xludf.DUMMYFUNCTION("""COMPUTED_VALUE"""),"НД")</f>
        <v>НД</v>
      </c>
      <c r="B532" s="14" t="str">
        <f>IFERROR(__xludf.DUMMYFUNCTION("""COMPUTED_VALUE"""),"АИП-26")</f>
        <v>АИП-26</v>
      </c>
      <c r="C532" s="14" t="str">
        <f>IFERROR(__xludf.DUMMYFUNCTION("""COMPUTED_VALUE"""),"УДС")</f>
        <v>УДС</v>
      </c>
      <c r="D532" s="60"/>
      <c r="E532" s="14" t="str">
        <f>IFERROR(__xludf.DUMMYFUNCTION("""COMPUTED_VALUE"""),"Технологическая часть ТПУ на станции метро ""Нагатинская"". Станция метро ""Нагатинская""")</f>
        <v>Технологическая часть ТПУ на станции метро "Нагатинская". Станция метро "Нагатинская"</v>
      </c>
      <c r="F532" s="25" t="str">
        <f>IFERROR(__xludf.DUMMYFUNCTION("""COMPUTED_VALUE"""),"#N/A")</f>
        <v>#N/A</v>
      </c>
      <c r="G532" s="6" t="str">
        <f>IFERROR(__xludf.DUMMYFUNCTION("""COMPUTED_VALUE"""),"#N/A")</f>
        <v>#N/A</v>
      </c>
      <c r="H532" s="6"/>
      <c r="I532" s="6"/>
      <c r="J532" s="50"/>
      <c r="K532" s="58"/>
      <c r="L532" s="6">
        <v>30.0</v>
      </c>
      <c r="M532" s="52" t="s">
        <v>655</v>
      </c>
      <c r="N532" s="53" t="s">
        <v>698</v>
      </c>
      <c r="O532" s="6" t="s">
        <v>969</v>
      </c>
      <c r="P532" s="6"/>
      <c r="Q532" s="6"/>
      <c r="R532" s="6"/>
    </row>
    <row r="533">
      <c r="A533" s="31" t="str">
        <f>IFERROR(__xludf.DUMMYFUNCTION("""COMPUTED_VALUE"""),"1150д")</f>
        <v>1150д</v>
      </c>
      <c r="B533" s="14" t="str">
        <f>IFERROR(__xludf.DUMMYFUNCTION("""COMPUTED_VALUE"""),"АИП-26")</f>
        <v>АИП-26</v>
      </c>
      <c r="C533" s="14" t="str">
        <f>IFERROR(__xludf.DUMMYFUNCTION("""COMPUTED_VALUE"""),"УДС")</f>
        <v>УДС</v>
      </c>
      <c r="D533" s="60"/>
      <c r="E533" s="14" t="str">
        <f>IFERROR(__xludf.DUMMYFUNCTION("""COMPUTED_VALUE"""),"Реконструкция Войковских кустовых очистных сооружений поверхностных и близких к ним по составу производственных сточных вод, Ленинградское ш., влд.23Б г. Москва, Ленинградское ш., влд.23Б")</f>
        <v>Реконструкция Войковских кустовых очистных сооружений поверхностных и близких к ним по составу производственных сточных вод, Ленинградское ш., влд.23Б г. Москва, Ленинградское ш., влд.23Б</v>
      </c>
      <c r="F533" s="25" t="str">
        <f>IFERROR(__xludf.DUMMYFUNCTION("""COMPUTED_VALUE"""),"55.3235038033209")</f>
        <v>55.3235038033209</v>
      </c>
      <c r="G533" s="6" t="str">
        <f>IFERROR(__xludf.DUMMYFUNCTION("""COMPUTED_VALUE"""),"35.963989539426755")</f>
        <v>35.963989539426755</v>
      </c>
      <c r="H533" s="6"/>
      <c r="I533" s="6"/>
      <c r="J533" s="50">
        <f>IFERROR(__xludf.DUMMYFUNCTION("""COMPUTED_VALUE"""),0.0)</f>
        <v>0</v>
      </c>
      <c r="K533" s="58">
        <f>IFERROR(__xludf.DUMMYFUNCTION("""COMPUTED_VALUE"""),45954.0)</f>
        <v>45954</v>
      </c>
      <c r="L533" s="6">
        <v>30.0</v>
      </c>
      <c r="M533" s="52">
        <v>45984.0</v>
      </c>
      <c r="N533" s="53" t="s">
        <v>741</v>
      </c>
      <c r="O533" s="6"/>
      <c r="P533" s="6"/>
      <c r="Q533" s="6"/>
      <c r="R533" s="6"/>
    </row>
    <row r="534">
      <c r="A534" s="31" t="str">
        <f>IFERROR(__xludf.DUMMYFUNCTION("""COMPUTED_VALUE"""),"190д")</f>
        <v>190д</v>
      </c>
      <c r="B534" s="14" t="str">
        <f>IFERROR(__xludf.DUMMYFUNCTION("""COMPUTED_VALUE"""),"АИП-26")</f>
        <v>АИП-26</v>
      </c>
      <c r="C534" s="14" t="str">
        <f>IFERROR(__xludf.DUMMYFUNCTION("""COMPUTED_VALUE"""),"УДС")</f>
        <v>УДС</v>
      </c>
      <c r="D534" s="60"/>
      <c r="E534" s="14" t="str">
        <f>IFERROR(__xludf.DUMMYFUNCTION("""COMPUTED_VALUE"""),"«Дороги, инженерные коммуникации и сооружения для жилой застройки в районе деревни Ватутинки, поселение Десеновское, с реконструкцией ВЗУ «Ватутинки-1/4» Этап 1.7. Отстойно-разворотная площадка с конечной станцией ""Ватутинки""» поселение Десеновское, вбл"&amp;"изи д. Ватутинки")</f>
        <v>«Дороги, инженерные коммуникации и сооружения для жилой застройки в районе деревни Ватутинки, поселение Десеновское, с реконструкцией ВЗУ «Ватутинки-1/4» Этап 1.7. Отстойно-разворотная площадка с конечной станцией "Ватутинки"» поселение Десеновское, вблизи д. Ватутинки</v>
      </c>
      <c r="F534" s="25" t="str">
        <f>IFERROR(__xludf.DUMMYFUNCTION("""COMPUTED_VALUE"""),"55.505582852766445")</f>
        <v>55.505582852766445</v>
      </c>
      <c r="G534" s="6" t="str">
        <f>IFERROR(__xludf.DUMMYFUNCTION("""COMPUTED_VALUE"""),"37.33197753701625")</f>
        <v>37.33197753701625</v>
      </c>
      <c r="H534" s="6"/>
      <c r="I534" s="6"/>
      <c r="J534" s="50">
        <f>IFERROR(__xludf.DUMMYFUNCTION("""COMPUTED_VALUE"""),73.25189999999999)</f>
        <v>73.2519</v>
      </c>
      <c r="K534" s="58">
        <f>IFERROR(__xludf.DUMMYFUNCTION("""COMPUTED_VALUE"""),45961.0)</f>
        <v>45961</v>
      </c>
      <c r="L534" s="6">
        <v>14.0</v>
      </c>
      <c r="M534" s="52">
        <v>45975.0</v>
      </c>
      <c r="N534" s="53" t="s">
        <v>701</v>
      </c>
      <c r="O534" s="6" t="s">
        <v>970</v>
      </c>
      <c r="P534" s="6"/>
      <c r="Q534" s="6"/>
      <c r="R534" s="6"/>
    </row>
    <row r="535">
      <c r="A535" s="31" t="str">
        <f>IFERROR(__xludf.DUMMYFUNCTION("""COMPUTED_VALUE"""),"1059.1")</f>
        <v>1059.1</v>
      </c>
      <c r="B535" s="14" t="str">
        <f>IFERROR(__xludf.DUMMYFUNCTION("""COMPUTED_VALUE"""),"АИП-26")</f>
        <v>АИП-26</v>
      </c>
      <c r="C535" s="14" t="str">
        <f>IFERROR(__xludf.DUMMYFUNCTION("""COMPUTED_VALUE"""),"ОКС")</f>
        <v>ОКС</v>
      </c>
      <c r="D535" s="60"/>
      <c r="E535" s="14" t="str">
        <f>IFERROR(__xludf.DUMMYFUNCTION("""COMPUTED_VALUE"""),"Многофункциональный кульруно-досуговый центр, д. Рассказовка, пос. Внуковское Новомосковский административный округ, район Внуково")</f>
        <v>Многофункциональный кульруно-досуговый центр, д. Рассказовка, пос. Внуковское Новомосковский административный округ, район Внуково</v>
      </c>
      <c r="F535" s="25" t="str">
        <f>IFERROR(__xludf.DUMMYFUNCTION("""COMPUTED_VALUE"""),"55.6184493373304")</f>
        <v>55.6184493373304</v>
      </c>
      <c r="G535" s="6" t="str">
        <f>IFERROR(__xludf.DUMMYFUNCTION("""COMPUTED_VALUE"""),"37.30889079901117")</f>
        <v>37.30889079901117</v>
      </c>
      <c r="H535" s="18" t="str">
        <f>IFERROR(__xludf.DUMMYFUNCTION("""COMPUTED_VALUE"""),"https://docs.google.com/spreadsheets/d/19THEBTE9q0fhN2eApZr6BgenIvLGh0AckaYxHQfHk5w/edit?gid=481187794#gid=481187794")</f>
        <v>https://docs.google.com/spreadsheets/d/19THEBTE9q0fhN2eApZr6BgenIvLGh0AckaYxHQfHk5w/edit?gid=481187794#gid=481187794</v>
      </c>
      <c r="I535" s="19"/>
      <c r="J535" s="50">
        <f>IFERROR(__xludf.DUMMYFUNCTION("""COMPUTED_VALUE"""),0.0)</f>
        <v>0</v>
      </c>
      <c r="K535" s="58">
        <f>IFERROR(__xludf.DUMMYFUNCTION("""COMPUTED_VALUE"""),45953.0)</f>
        <v>45953</v>
      </c>
      <c r="L535" s="6">
        <v>30.0</v>
      </c>
      <c r="M535" s="52">
        <v>45983.0</v>
      </c>
      <c r="N535" s="53" t="s">
        <v>741</v>
      </c>
      <c r="O535" s="19" t="s">
        <v>971</v>
      </c>
      <c r="P535" s="6"/>
      <c r="Q535" s="6"/>
      <c r="R535" s="6"/>
    </row>
    <row r="536">
      <c r="A536" s="31" t="str">
        <f>IFERROR(__xludf.DUMMYFUNCTION("""COMPUTED_VALUE"""),"1148")</f>
        <v>1148</v>
      </c>
      <c r="B536" s="14" t="str">
        <f>IFERROR(__xludf.DUMMYFUNCTION("""COMPUTED_VALUE"""),"АИП-26")</f>
        <v>АИП-26</v>
      </c>
      <c r="C536" s="14" t="str">
        <f>IFERROR(__xludf.DUMMYFUNCTION("""COMPUTED_VALUE"""),"ОКС")</f>
        <v>ОКС</v>
      </c>
      <c r="D536" s="60"/>
      <c r="E536" s="14" t="str">
        <f>IFERROR(__xludf.DUMMYFUNCTION("""COMPUTED_VALUE"""),"Многофункциональное здание на территории района Филимонковский Новомосковский административный округ, район Филимонковский")</f>
        <v>Многофункциональное здание на территории района Филимонковский Новомосковский административный округ, район Филимонковский</v>
      </c>
      <c r="F536" s="25" t="str">
        <f>IFERROR(__xludf.DUMMYFUNCTION("""COMPUTED_VALUE"""),"55.573457083470984")</f>
        <v>55.573457083470984</v>
      </c>
      <c r="G536" s="6" t="str">
        <f>IFERROR(__xludf.DUMMYFUNCTION("""COMPUTED_VALUE"""),"37.29337581951661")</f>
        <v>37.29337581951661</v>
      </c>
      <c r="H536" s="6" t="str">
        <f>IFERROR(__xludf.DUMMYFUNCTION("""COMPUTED_VALUE"""),"#ERROR!")</f>
        <v>#ERROR!</v>
      </c>
      <c r="I536" s="19" t="str">
        <f>IFERROR(__xludf.DUMMYFUNCTION("""COMPUTED_VALUE"""),"https://disk.yandex.ru/client/disk/Осмотры%20объектов%20АНО%20СМГ/1148.%20Многофункциональное%20здание%20на%20территории%20р-на%20Филимонковский")</f>
        <v>https://disk.yandex.ru/client/disk/Осмотры%20объектов%20АНО%20СМГ/1148.%20Многофункциональное%20здание%20на%20территории%20р-на%20Филимонковский</v>
      </c>
      <c r="J536" s="50">
        <f>IFERROR(__xludf.DUMMYFUNCTION("""COMPUTED_VALUE"""),0.0)</f>
        <v>0</v>
      </c>
      <c r="K536" s="58">
        <f>IFERROR(__xludf.DUMMYFUNCTION("""COMPUTED_VALUE"""),45954.0)</f>
        <v>45954</v>
      </c>
      <c r="L536" s="6">
        <v>30.0</v>
      </c>
      <c r="M536" s="52">
        <v>45984.0</v>
      </c>
      <c r="N536" s="53" t="s">
        <v>741</v>
      </c>
      <c r="O536" s="19" t="s">
        <v>972</v>
      </c>
      <c r="P536" s="6"/>
      <c r="Q536" s="6"/>
      <c r="R536" s="6"/>
    </row>
    <row r="537">
      <c r="A537" s="31" t="str">
        <f>IFERROR(__xludf.DUMMYFUNCTION("""COMPUTED_VALUE"""),"1149")</f>
        <v>1149</v>
      </c>
      <c r="B537" s="14" t="str">
        <f>IFERROR(__xludf.DUMMYFUNCTION("""COMPUTED_VALUE"""),"АИП-26")</f>
        <v>АИП-26</v>
      </c>
      <c r="C537" s="14" t="str">
        <f>IFERROR(__xludf.DUMMYFUNCTION("""COMPUTED_VALUE"""),"ОКС")</f>
        <v>ОКС</v>
      </c>
      <c r="D537" s="60"/>
      <c r="E537" s="14" t="str">
        <f>IFERROR(__xludf.DUMMYFUNCTION("""COMPUTED_VALUE"""),"Административное здание на территории района Бекасово Троицкий административный округ, район Бекасово")</f>
        <v>Административное здание на территории района Бекасово Троицкий административный округ, район Бекасово</v>
      </c>
      <c r="F537" s="25" t="str">
        <f>IFERROR(__xludf.DUMMYFUNCTION("""COMPUTED_VALUE"""),"55.46710283918992")</f>
        <v>55.46710283918992</v>
      </c>
      <c r="G537" s="6" t="str">
        <f>IFERROR(__xludf.DUMMYFUNCTION("""COMPUTED_VALUE"""),"36.93117958329118")</f>
        <v>36.93117958329118</v>
      </c>
      <c r="H537" s="18" t="str">
        <f>IFERROR(__xludf.DUMMYFUNCTION("""COMPUTED_VALUE"""),"https://docs.google.com/spreadsheets/d/19THEBTE9q0fhN2eApZr6BgenIvLGh0AckaYxHQfHk5w/edit?gid=670602752#gid=670602752")</f>
        <v>https://docs.google.com/spreadsheets/d/19THEBTE9q0fhN2eApZr6BgenIvLGh0AckaYxHQfHk5w/edit?gid=670602752#gid=670602752</v>
      </c>
      <c r="I537" s="19" t="str">
        <f>IFERROR(__xludf.DUMMYFUNCTION("""COMPUTED_VALUE"""),"https://disk.yandex.ru/client/disk/Осмотры%20объектов%20АНО%20СМГ/1149.%20Административное%20здание%20на%20территории%20района%20Бекасово")</f>
        <v>https://disk.yandex.ru/client/disk/Осмотры%20объектов%20АНО%20СМГ/1149.%20Административное%20здание%20на%20территории%20района%20Бекасово</v>
      </c>
      <c r="J537" s="50">
        <f>IFERROR(__xludf.DUMMYFUNCTION("""COMPUTED_VALUE"""),0.0)</f>
        <v>0</v>
      </c>
      <c r="K537" s="58">
        <f>IFERROR(__xludf.DUMMYFUNCTION("""COMPUTED_VALUE"""),45954.0)</f>
        <v>45954</v>
      </c>
      <c r="L537" s="6">
        <v>30.0</v>
      </c>
      <c r="M537" s="52">
        <v>45984.0</v>
      </c>
      <c r="N537" s="53" t="s">
        <v>741</v>
      </c>
      <c r="O537" s="19" t="s">
        <v>972</v>
      </c>
      <c r="P537" s="6"/>
      <c r="Q537" s="6"/>
      <c r="R537" s="6"/>
    </row>
    <row r="538">
      <c r="A538" s="70" t="str">
        <f>IFERROR(__xludf.DUMMYFUNCTION("""COMPUTED_VALUE"""),"1291")</f>
        <v>1291</v>
      </c>
      <c r="B538" s="14" t="str">
        <f>IFERROR(__xludf.DUMMYFUNCTION("""COMPUTED_VALUE"""),"АИП-26")</f>
        <v>АИП-26</v>
      </c>
      <c r="C538" s="14" t="str">
        <f>IFERROR(__xludf.DUMMYFUNCTION("""COMPUTED_VALUE"""),"ОКС")</f>
        <v>ОКС</v>
      </c>
      <c r="D538" s="60"/>
      <c r="E538" s="14" t="str">
        <f>IFERROR(__xludf.DUMMYFUNCTION("""COMPUTED_VALUE"""),"Административное здание на территории района Вороново Троицкий административный округ, район Вороново")</f>
        <v>Административное здание на территории района Вороново Троицкий административный округ, район Вороново</v>
      </c>
      <c r="F538" s="25" t="str">
        <f>IFERROR(__xludf.DUMMYFUNCTION("""COMPUTED_VALUE"""),"55.28454332117833")</f>
        <v>55.28454332117833</v>
      </c>
      <c r="G538" s="6" t="str">
        <f>IFERROR(__xludf.DUMMYFUNCTION("""COMPUTED_VALUE"""),"37.187481783079654")</f>
        <v>37.187481783079654</v>
      </c>
      <c r="H538" s="18" t="str">
        <f>IFERROR(__xludf.DUMMYFUNCTION("""COMPUTED_VALUE"""),"https://docs.google.com/spreadsheets/d/19THEBTE9q0fhN2eApZr6BgenIvLGh0AckaYxHQfHk5w/edit?gid=1882277180#gid=1882277180")</f>
        <v>https://docs.google.com/spreadsheets/d/19THEBTE9q0fhN2eApZr6BgenIvLGh0AckaYxHQfHk5w/edit?gid=1882277180#gid=1882277180</v>
      </c>
      <c r="I538" s="19" t="str">
        <f>IFERROR(__xludf.DUMMYFUNCTION("""COMPUTED_VALUE"""),"https://disk.yandex.ru/client/disk/Осмотры%20объектов%20АНО%20СМГ/1059.%20Многофункциональный%20кульруно-досуговый%20центр%2C%20д.%20Рассказовка%2C%20пос.%20Внуковское")</f>
        <v>https://disk.yandex.ru/client/disk/Осмотры%20объектов%20АНО%20СМГ/1059.%20Многофункциональный%20кульруно-досуговый%20центр%2C%20д.%20Рассказовка%2C%20пос.%20Внуковское</v>
      </c>
      <c r="J538" s="50">
        <f>IFERROR(__xludf.DUMMYFUNCTION("""COMPUTED_VALUE"""),0.0)</f>
        <v>0</v>
      </c>
      <c r="K538" s="58">
        <f>IFERROR(__xludf.DUMMYFUNCTION("""COMPUTED_VALUE"""),45919.0)</f>
        <v>45919</v>
      </c>
      <c r="L538" s="6">
        <v>30.0</v>
      </c>
      <c r="M538" s="52">
        <v>45949.0</v>
      </c>
      <c r="N538" s="53" t="s">
        <v>668</v>
      </c>
      <c r="O538" s="19" t="s">
        <v>972</v>
      </c>
      <c r="P538" s="6"/>
      <c r="Q538" s="6"/>
      <c r="R538" s="6"/>
    </row>
    <row r="539">
      <c r="A539" s="31" t="str">
        <f>IFERROR(__xludf.DUMMYFUNCTION("""COMPUTED_VALUE"""),"1059.2")</f>
        <v>1059.2</v>
      </c>
      <c r="B539" s="14" t="str">
        <f>IFERROR(__xludf.DUMMYFUNCTION("""COMPUTED_VALUE"""),"АИП-26")</f>
        <v>АИП-26</v>
      </c>
      <c r="C539" s="14" t="str">
        <f>IFERROR(__xludf.DUMMYFUNCTION("""COMPUTED_VALUE"""),"ОКС")</f>
        <v>ОКС</v>
      </c>
      <c r="D539" s="60"/>
      <c r="E539" s="14" t="str">
        <f>IFERROR(__xludf.DUMMYFUNCTION("""COMPUTED_VALUE"""),"Многофункциональное здание на территории района Внуково НАО, р-н Внуково")</f>
        <v>Многофункциональное здание на территории района Внуково НАО, р-н Внуково</v>
      </c>
      <c r="F539" s="25" t="str">
        <f>IFERROR(__xludf.DUMMYFUNCTION("""COMPUTED_VALUE"""),"55.637449283521")</f>
        <v>55.637449283521</v>
      </c>
      <c r="G539" s="6" t="str">
        <f>IFERROR(__xludf.DUMMYFUNCTION("""COMPUTED_VALUE"""),"37.30879281747347")</f>
        <v>37.30879281747347</v>
      </c>
      <c r="H539" s="18" t="str">
        <f>IFERROR(__xludf.DUMMYFUNCTION("""COMPUTED_VALUE"""),"https://docs.google.com/spreadsheets/d/19THEBTE9q0fhN2eApZr6BgenIvLGh0AckaYxHQfHk5w/edit?gid=678589478#gid=678589478")</f>
        <v>https://docs.google.com/spreadsheets/d/19THEBTE9q0fhN2eApZr6BgenIvLGh0AckaYxHQfHk5w/edit?gid=678589478#gid=678589478</v>
      </c>
      <c r="I539" s="19" t="str">
        <f>IFERROR(__xludf.DUMMYFUNCTION("""COMPUTED_VALUE"""),"https://disk.yandex.ru/client/disk/Осмотры%20объектов%20АНО%20СМГ/1059.%20Многофункциональный%20кульруно-досуговый%20центр%2C%20д.%20Рассказовка%2C%20пос.%20Внуковское")</f>
        <v>https://disk.yandex.ru/client/disk/Осмотры%20объектов%20АНО%20СМГ/1059.%20Многофункциональный%20кульруно-досуговый%20центр%2C%20д.%20Рассказовка%2C%20пос.%20Внуковское</v>
      </c>
      <c r="J539" s="50">
        <f>IFERROR(__xludf.DUMMYFUNCTION("""COMPUTED_VALUE"""),0.0)</f>
        <v>0</v>
      </c>
      <c r="K539" s="58">
        <f>IFERROR(__xludf.DUMMYFUNCTION("""COMPUTED_VALUE"""),45953.0)</f>
        <v>45953</v>
      </c>
      <c r="L539" s="6">
        <v>30.0</v>
      </c>
      <c r="M539" s="52">
        <v>45983.0</v>
      </c>
      <c r="N539" s="53" t="s">
        <v>741</v>
      </c>
      <c r="O539" s="19" t="s">
        <v>973</v>
      </c>
      <c r="P539" s="6"/>
      <c r="Q539" s="6"/>
      <c r="R539" s="6"/>
    </row>
    <row r="540">
      <c r="A540" s="31" t="str">
        <f>IFERROR(__xludf.DUMMYFUNCTION("""COMPUTED_VALUE"""),"1146")</f>
        <v>1146</v>
      </c>
      <c r="B540" s="14" t="str">
        <f>IFERROR(__xludf.DUMMYFUNCTION("""COMPUTED_VALUE"""),"АИП-26")</f>
        <v>АИП-26</v>
      </c>
      <c r="C540" s="14" t="str">
        <f>IFERROR(__xludf.DUMMYFUNCTION("""COMPUTED_VALUE"""),"УДС")</f>
        <v>УДС</v>
      </c>
      <c r="D540" s="60"/>
      <c r="E540" s="14" t="str">
        <f>IFERROR(__xludf.DUMMYFUNCTION("""COMPUTED_VALUE"""),"Технологическая часть ТПУ на станции метро ""Тимирязевская"" г. Москва, м. ""Тимирязевская""")</f>
        <v>Технологическая часть ТПУ на станции метро "Тимирязевская" г. Москва, м. "Тимирязевская"</v>
      </c>
      <c r="F540" s="25" t="str">
        <f>IFERROR(__xludf.DUMMYFUNCTION("""COMPUTED_VALUE"""),"55.81906646382499")</f>
        <v>55.81906646382499</v>
      </c>
      <c r="G540" s="6" t="str">
        <f>IFERROR(__xludf.DUMMYFUNCTION("""COMPUTED_VALUE"""),"37.57426948940947")</f>
        <v>37.57426948940947</v>
      </c>
      <c r="H540" s="18" t="str">
        <f>IFERROR(__xludf.DUMMYFUNCTION("""COMPUTED_VALUE"""),"https://docs.google.com/spreadsheets/d/19THEBTE9q0fhN2eApZr6BgenIvLGh0AckaYxHQfHk5w/edit?gid=481187794#gid=481187794")</f>
        <v>https://docs.google.com/spreadsheets/d/19THEBTE9q0fhN2eApZr6BgenIvLGh0AckaYxHQfHk5w/edit?gid=481187794#gid=481187794</v>
      </c>
      <c r="I540" s="6"/>
      <c r="J540" s="50">
        <f>IFERROR(__xludf.DUMMYFUNCTION("""COMPUTED_VALUE"""),58.504)</f>
        <v>58.504</v>
      </c>
      <c r="K540" s="58"/>
      <c r="L540" s="6">
        <v>14.0</v>
      </c>
      <c r="M540" s="52" t="s">
        <v>655</v>
      </c>
      <c r="N540" s="53" t="s">
        <v>698</v>
      </c>
      <c r="O540" s="6" t="s">
        <v>974</v>
      </c>
      <c r="P540" s="6"/>
      <c r="Q540" s="6"/>
      <c r="R540" s="6"/>
    </row>
    <row r="541">
      <c r="A541" s="31" t="str">
        <f>IFERROR(__xludf.DUMMYFUNCTION("""COMPUTED_VALUE"""),"330д")</f>
        <v>330д</v>
      </c>
      <c r="B541" s="14" t="str">
        <f>IFERROR(__xludf.DUMMYFUNCTION("""COMPUTED_VALUE"""),"АИП-26")</f>
        <v>АИП-26</v>
      </c>
      <c r="C541" s="14" t="str">
        <f>IFERROR(__xludf.DUMMYFUNCTION("""COMPUTED_VALUE"""),"УДС")</f>
        <v>УДС</v>
      </c>
      <c r="D541" s="60"/>
      <c r="E541" s="14" t="str">
        <f>IFERROR(__xludf.DUMMYFUNCTION("""COMPUTED_VALUE"""),"Пешеходный переход через Северный дублер Кутузовского проспекта и железнодорожные пути Смоленского направления Московской железной дороги в районе д.22 по ул. Василисы Кожиной в районе д.22 по ул. Василисы Кожиной")</f>
        <v>Пешеходный переход через Северный дублер Кутузовского проспекта и железнодорожные пути Смоленского направления Московской железной дороги в районе д.22 по ул. Василисы Кожиной в районе д.22 по ул. Василисы Кожиной</v>
      </c>
      <c r="F541" s="25" t="str">
        <f>IFERROR(__xludf.DUMMYFUNCTION("""COMPUTED_VALUE"""),"#N/A")</f>
        <v>#N/A</v>
      </c>
      <c r="G541" s="6" t="str">
        <f>IFERROR(__xludf.DUMMYFUNCTION("""COMPUTED_VALUE"""),"#N/A")</f>
        <v>#N/A</v>
      </c>
      <c r="H541" s="6"/>
      <c r="I541" s="6"/>
      <c r="J541" s="50">
        <f>IFERROR(__xludf.DUMMYFUNCTION("""COMPUTED_VALUE"""),4.700000000000001)</f>
        <v>4.7</v>
      </c>
      <c r="K541" s="58">
        <f>IFERROR(__xludf.DUMMYFUNCTION("""COMPUTED_VALUE"""),45962.0)</f>
        <v>45962</v>
      </c>
      <c r="L541" s="6">
        <v>30.0</v>
      </c>
      <c r="M541" s="52">
        <v>45992.0</v>
      </c>
      <c r="N541" s="53" t="s">
        <v>692</v>
      </c>
      <c r="O541" s="6" t="s">
        <v>975</v>
      </c>
      <c r="P541" s="6"/>
      <c r="Q541" s="6"/>
      <c r="R541" s="6"/>
    </row>
    <row r="542">
      <c r="A542" s="31" t="str">
        <f>IFERROR(__xludf.DUMMYFUNCTION("""COMPUTED_VALUE"""),"332д")</f>
        <v>332д</v>
      </c>
      <c r="B542" s="14" t="str">
        <f>IFERROR(__xludf.DUMMYFUNCTION("""COMPUTED_VALUE"""),"АИП-26")</f>
        <v>АИП-26</v>
      </c>
      <c r="C542" s="14" t="str">
        <f>IFERROR(__xludf.DUMMYFUNCTION("""COMPUTED_VALUE"""),"УДС")</f>
        <v>УДС</v>
      </c>
      <c r="D542" s="60"/>
      <c r="E542" s="14" t="str">
        <f>IFERROR(__xludf.DUMMYFUNCTION("""COMPUTED_VALUE"""),"Пешеходный переход через МЦД-1 и ул. Бутырский Вал в районе д.48 вблизи ул. Бутырский Вал д.48")</f>
        <v>Пешеходный переход через МЦД-1 и ул. Бутырский Вал в районе д.48 вблизи ул. Бутырский Вал д.48</v>
      </c>
      <c r="F542" s="25" t="str">
        <f>IFERROR(__xludf.DUMMYFUNCTION("""COMPUTED_VALUE"""),"#N/A")</f>
        <v>#N/A</v>
      </c>
      <c r="G542" s="6" t="str">
        <f>IFERROR(__xludf.DUMMYFUNCTION("""COMPUTED_VALUE"""),"#N/A")</f>
        <v>#N/A</v>
      </c>
      <c r="H542" s="6"/>
      <c r="I542" s="6"/>
      <c r="J542" s="50">
        <f>IFERROR(__xludf.DUMMYFUNCTION("""COMPUTED_VALUE"""),46.416)</f>
        <v>46.416</v>
      </c>
      <c r="K542" s="58">
        <f>IFERROR(__xludf.DUMMYFUNCTION("""COMPUTED_VALUE"""),45974.0)</f>
        <v>45974</v>
      </c>
      <c r="L542" s="6">
        <v>30.0</v>
      </c>
      <c r="M542" s="52">
        <v>46004.0</v>
      </c>
      <c r="N542" s="53" t="s">
        <v>711</v>
      </c>
      <c r="O542" s="6" t="s">
        <v>976</v>
      </c>
      <c r="P542" s="6"/>
      <c r="Q542" s="6"/>
      <c r="R542" s="6"/>
    </row>
    <row r="543">
      <c r="A543" s="31" t="str">
        <f>IFERROR(__xludf.DUMMYFUNCTION("""COMPUTED_VALUE"""),"НД")</f>
        <v>НД</v>
      </c>
      <c r="B543" s="14" t="str">
        <f>IFERROR(__xludf.DUMMYFUNCTION("""COMPUTED_VALUE"""),"АИП-26")</f>
        <v>АИП-26</v>
      </c>
      <c r="C543" s="14" t="str">
        <f>IFERROR(__xludf.DUMMYFUNCTION("""COMPUTED_VALUE"""),"УДС")</f>
        <v>УДС</v>
      </c>
      <c r="D543" s="60"/>
      <c r="E543" s="14" t="str">
        <f>IFERROR(__xludf.DUMMYFUNCTION("""COMPUTED_VALUE"""),"Развитие улично-дорожной сети для транспортного обслуживания территории развития открытого акционерного московского общества ""Завод имени И.А. Лихачева"". Улично-дорожная сеть по территории перспективной застройки район Даниловский")</f>
        <v>Развитие улично-дорожной сети для транспортного обслуживания территории развития открытого акционерного московского общества "Завод имени И.А. Лихачева". Улично-дорожная сеть по территории перспективной застройки район Даниловский</v>
      </c>
      <c r="F543" s="25" t="str">
        <f>IFERROR(__xludf.DUMMYFUNCTION("""COMPUTED_VALUE"""),"#N/A")</f>
        <v>#N/A</v>
      </c>
      <c r="G543" s="6" t="str">
        <f>IFERROR(__xludf.DUMMYFUNCTION("""COMPUTED_VALUE"""),"#N/A")</f>
        <v>#N/A</v>
      </c>
      <c r="H543" s="6"/>
      <c r="I543" s="6"/>
      <c r="J543" s="50"/>
      <c r="K543" s="58"/>
      <c r="L543" s="6">
        <v>30.0</v>
      </c>
      <c r="M543" s="52" t="s">
        <v>655</v>
      </c>
      <c r="N543" s="53" t="s">
        <v>698</v>
      </c>
      <c r="O543" s="6" t="s">
        <v>669</v>
      </c>
      <c r="P543" s="6"/>
      <c r="Q543" s="6"/>
      <c r="R543" s="6"/>
    </row>
    <row r="544">
      <c r="A544" s="31" t="str">
        <f>IFERROR(__xludf.DUMMYFUNCTION("""COMPUTED_VALUE"""),"142д")</f>
        <v>142д</v>
      </c>
      <c r="B544" s="14" t="str">
        <f>IFERROR(__xludf.DUMMYFUNCTION("""COMPUTED_VALUE"""),"АИП-26")</f>
        <v>АИП-26</v>
      </c>
      <c r="C544" s="14" t="str">
        <f>IFERROR(__xludf.DUMMYFUNCTION("""COMPUTED_VALUE"""),"УДС")</f>
        <v>УДС</v>
      </c>
      <c r="D544" s="60"/>
      <c r="E544"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4 ЗИ"&amp;"Л")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4 ЗИЛ</v>
      </c>
      <c r="F544" s="25" t="str">
        <f>IFERROR(__xludf.DUMMYFUNCTION("""COMPUTED_VALUE"""),"#N/A")</f>
        <v>#N/A</v>
      </c>
      <c r="G544" s="6" t="str">
        <f>IFERROR(__xludf.DUMMYFUNCTION("""COMPUTED_VALUE"""),"#N/A")</f>
        <v>#N/A</v>
      </c>
      <c r="H544" s="6"/>
      <c r="I544" s="6"/>
      <c r="J544" s="50">
        <f>IFERROR(__xludf.DUMMYFUNCTION("""COMPUTED_VALUE"""),5.88235294117647E-4)</f>
        <v>0.0005882352941</v>
      </c>
      <c r="K544" s="58">
        <f>IFERROR(__xludf.DUMMYFUNCTION("""COMPUTED_VALUE"""),45962.0)</f>
        <v>45962</v>
      </c>
      <c r="L544" s="6">
        <v>30.0</v>
      </c>
      <c r="M544" s="52">
        <v>45992.0</v>
      </c>
      <c r="N544" s="53" t="s">
        <v>692</v>
      </c>
      <c r="O544" s="6" t="s">
        <v>893</v>
      </c>
      <c r="P544" s="6"/>
      <c r="Q544" s="6"/>
      <c r="R544" s="6"/>
    </row>
    <row r="545">
      <c r="A545" s="31" t="str">
        <f>IFERROR(__xludf.DUMMYFUNCTION("""COMPUTED_VALUE"""),"НД")</f>
        <v>НД</v>
      </c>
      <c r="B545" s="14" t="str">
        <f>IFERROR(__xludf.DUMMYFUNCTION("""COMPUTED_VALUE"""),"АИП-26")</f>
        <v>АИП-26</v>
      </c>
      <c r="C545" s="14" t="str">
        <f>IFERROR(__xludf.DUMMYFUNCTION("""COMPUTED_VALUE"""),"УДС")</f>
        <v>УДС</v>
      </c>
      <c r="D545" s="60"/>
      <c r="E545" s="14" t="str">
        <f>IFERROR(__xludf.DUMMYFUNCTION("""COMPUTED_VALUE"""),"2 вестибюль ст. «Лесопарковая» Бутовская линия МКАД 34 км, влд. 4 (ЮАО)")</f>
        <v>2 вестибюль ст. «Лесопарковая» Бутовская линия МКАД 34 км, влд. 4 (ЮАО)</v>
      </c>
      <c r="F545" s="25" t="str">
        <f>IFERROR(__xludf.DUMMYFUNCTION("""COMPUTED_VALUE"""),"#N/A")</f>
        <v>#N/A</v>
      </c>
      <c r="G545" s="6" t="str">
        <f>IFERROR(__xludf.DUMMYFUNCTION("""COMPUTED_VALUE"""),"#N/A")</f>
        <v>#N/A</v>
      </c>
      <c r="H545" s="6"/>
      <c r="I545" s="6"/>
      <c r="J545" s="50"/>
      <c r="K545" s="58"/>
      <c r="L545" s="6">
        <v>30.0</v>
      </c>
      <c r="M545" s="52" t="s">
        <v>655</v>
      </c>
      <c r="N545" s="53" t="s">
        <v>698</v>
      </c>
      <c r="O545" s="6"/>
      <c r="P545" s="6"/>
      <c r="Q545" s="6"/>
      <c r="R545" s="6"/>
    </row>
    <row r="546">
      <c r="A546" s="31" t="str">
        <f>IFERROR(__xludf.DUMMYFUNCTION("""COMPUTED_VALUE"""),"296")</f>
        <v>296</v>
      </c>
      <c r="B546" s="14" t="str">
        <f>IFERROR(__xludf.DUMMYFUNCTION("""COMPUTED_VALUE"""),"АИП-26")</f>
        <v>АИП-26</v>
      </c>
      <c r="C546" s="14" t="str">
        <f>IFERROR(__xludf.DUMMYFUNCTION("""COMPUTED_VALUE"""),"ОКС")</f>
        <v>ОКС</v>
      </c>
      <c r="D546" s="60"/>
      <c r="E546" s="14" t="str">
        <f>IFERROR(__xludf.DUMMYFUNCTION("""COMPUTED_VALUE"""),"Детско-взрослая поликлиника на 750 посещений в смену с детским и взрослым травмпунктами, женской консультацией и стоматологией, р-н Некрасовка р-н Некрасовка, Маршала Еременко, влад. 26")</f>
        <v>Детско-взрослая поликлиника на 750 посещений в смену с детским и взрослым травмпунктами, женской консультацией и стоматологией, р-н Некрасовка р-н Некрасовка, Маршала Еременко, влад. 26</v>
      </c>
      <c r="F546" s="25" t="str">
        <f>IFERROR(__xludf.DUMMYFUNCTION("""COMPUTED_VALUE"""),"55.71036980149383")</f>
        <v>55.71036980149383</v>
      </c>
      <c r="G546" s="6" t="str">
        <f>IFERROR(__xludf.DUMMYFUNCTION("""COMPUTED_VALUE"""),"37.94832475134159")</f>
        <v>37.94832475134159</v>
      </c>
      <c r="H546" s="18" t="str">
        <f>IFERROR(__xludf.DUMMYFUNCTION("""COMPUTED_VALUE"""),"https://docs.google.com/spreadsheets/d/19THEBTE9q0fhN2eApZr6BgenIvLGh0AckaYxHQfHk5w/edit?gid=908346785#gid=908346785")</f>
        <v>https://docs.google.com/spreadsheets/d/19THEBTE9q0fhN2eApZr6BgenIvLGh0AckaYxHQfHk5w/edit?gid=908346785#gid=908346785</v>
      </c>
      <c r="I546" s="19" t="str">
        <f>IFERROR(__xludf.DUMMYFUNCTION("""COMPUTED_VALUE"""),"https://disk.yandex.ru/client/disk/Осмотры%20объектов%20АНО%20СМГ/296.%20Детско-взрослая%20поликлиника%20на%20750%20посещений%20в%20смену%20с%20детским%20и%20взрослым%20травмпунктами%2C%20женской%20консультацией%20и%20стоматологией%2C%20р-н%20%20Некрасовк"&amp;"а%2C%20Маршала%20Еременко%2C%20влд.%2026")</f>
        <v>https://disk.yandex.ru/client/disk/Осмотры%20объектов%20АНО%20СМГ/296.%20Детско-взрослая%20поликлиника%20на%20750%20посещений%20в%20смену%20с%20детским%20и%20взрослым%20травмпунктами%2C%20женской%20консультацией%20и%20стоматологией%2C%20р-н%20%20Некрасовка%2C%20Маршала%20Еременко%2C%20влд.%2026</v>
      </c>
      <c r="J546" s="50">
        <f>IFERROR(__xludf.DUMMYFUNCTION("""COMPUTED_VALUE"""),64.3121025)</f>
        <v>64.3121025</v>
      </c>
      <c r="K546" s="58">
        <f>IFERROR(__xludf.DUMMYFUNCTION("""COMPUTED_VALUE"""),45972.0)</f>
        <v>45972</v>
      </c>
      <c r="L546" s="6">
        <v>14.0</v>
      </c>
      <c r="M546" s="52">
        <v>45986.0</v>
      </c>
      <c r="N546" s="53" t="s">
        <v>711</v>
      </c>
      <c r="O546" s="19" t="s">
        <v>977</v>
      </c>
      <c r="P546" s="6"/>
      <c r="Q546" s="6"/>
      <c r="R546" s="6"/>
    </row>
    <row r="547">
      <c r="A547" s="31" t="str">
        <f>IFERROR(__xludf.DUMMYFUNCTION("""COMPUTED_VALUE"""),"300")</f>
        <v>300</v>
      </c>
      <c r="B547" s="14" t="str">
        <f>IFERROR(__xludf.DUMMYFUNCTION("""COMPUTED_VALUE"""),"АИП-27")</f>
        <v>АИП-27</v>
      </c>
      <c r="C547" s="14" t="str">
        <f>IFERROR(__xludf.DUMMYFUNCTION("""COMPUTED_VALUE"""),"ОКС")</f>
        <v>ОКС</v>
      </c>
      <c r="D547" s="60"/>
      <c r="E547" s="14" t="str">
        <f>IFERROR(__xludf.DUMMYFUNCTION("""COMPUTED_VALUE"""),"Административное здание Ферганский проезд, вл. 6")</f>
        <v>Административное здание Ферганский проезд, вл. 6</v>
      </c>
      <c r="F547" s="25" t="str">
        <f>IFERROR(__xludf.DUMMYFUNCTION("""COMPUTED_VALUE"""),"#N/A")</f>
        <v>#N/A</v>
      </c>
      <c r="G547" s="6" t="str">
        <f>IFERROR(__xludf.DUMMYFUNCTION("""COMPUTED_VALUE"""),"#N/A")</f>
        <v>#N/A</v>
      </c>
      <c r="H547" s="18" t="str">
        <f>IFERROR(__xludf.DUMMYFUNCTION("""COMPUTED_VALUE"""),"https://docs.google.com/spreadsheets/d/19THEBTE9q0fhN2eApZr6BgenIvLGh0AckaYxHQfHk5w/edit?gid=952023246#gid=952023246")</f>
        <v>https://docs.google.com/spreadsheets/d/19THEBTE9q0fhN2eApZr6BgenIvLGh0AckaYxHQfHk5w/edit?gid=952023246#gid=952023246</v>
      </c>
      <c r="I547" s="21" t="str">
        <f>IFERROR(__xludf.DUMMYFUNCTION("""COMPUTED_VALUE"""),"https://disk.yandex.ru/client/disk/%D0%9E%D1%81%D0%BC%D0%BE%D1%82%D1%80%D1%8B%20%D0%BE%D0%B1%D1%8A%D0%B5%D0%BA%D1%82%D0%BE%D0%B2%20%D0%90%D0%9D%D0%9E%20%D0%A1%D0%9C%D0%93/300.%20%D0%A4%D0%B5%D1%80%D0%B3%D0%B0%D0%BD%D1%81%D0%BA%D0%B8%D0%B9%20%D0%BF%D1%80%D"&amp;"0%BE%D0%B5%D0%B7%D0%B4%20%D0%B4.6%20(%D0%B4.6%20%D1%81%D1%82%D1%80.%202)")</f>
        <v>https://disk.yandex.ru/client/disk/%D0%9E%D1%81%D0%BC%D0%BE%D1%82%D1%80%D1%8B%20%D0%BE%D0%B1%D1%8A%D0%B5%D0%BA%D1%82%D0%BE%D0%B2%20%D0%90%D0%9D%D0%9E%20%D0%A1%D0%9C%D0%93/300.%20%D0%A4%D0%B5%D1%80%D0%B3%D0%B0%D0%BD%D1%81%D0%BA%D0%B8%D0%B9%20%D0%BF%D1%80%D0%BE%D0%B5%D0%B7%D0%B4%20%D0%B4.6%20(%D0%B4.6%20%D1%81%D1%82%D1%80.%202)</v>
      </c>
      <c r="J547" s="50">
        <f>IFERROR(__xludf.DUMMYFUNCTION("""COMPUTED_VALUE"""),0.0)</f>
        <v>0</v>
      </c>
      <c r="K547" s="58">
        <f>IFERROR(__xludf.DUMMYFUNCTION("""COMPUTED_VALUE"""),45812.0)</f>
        <v>45812</v>
      </c>
      <c r="L547" s="6">
        <v>30.0</v>
      </c>
      <c r="M547" s="52">
        <v>45842.0</v>
      </c>
      <c r="N547" s="53" t="s">
        <v>668</v>
      </c>
      <c r="O547" s="19" t="s">
        <v>978</v>
      </c>
      <c r="P547" s="6"/>
      <c r="Q547" s="6"/>
      <c r="R547" s="6"/>
    </row>
    <row r="548">
      <c r="A548" s="31" t="str">
        <f>IFERROR(__xludf.DUMMYFUNCTION("""COMPUTED_VALUE"""),"142д(эт2)")</f>
        <v>142д(эт2)</v>
      </c>
      <c r="B548" s="14" t="str">
        <f>IFERROR(__xludf.DUMMYFUNCTION("""COMPUTED_VALUE"""),"АИП-27")</f>
        <v>АИП-27</v>
      </c>
      <c r="C548" s="14" t="str">
        <f>IFERROR(__xludf.DUMMYFUNCTION("""COMPUTED_VALUE"""),"УДС")</f>
        <v>УДС</v>
      </c>
      <c r="D548" s="60"/>
      <c r="E548"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2 "&amp;"ЗИЛ")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2 ЗИЛ</v>
      </c>
      <c r="F548" s="25" t="str">
        <f>IFERROR(__xludf.DUMMYFUNCTION("""COMPUTED_VALUE"""),"#N/A")</f>
        <v>#N/A</v>
      </c>
      <c r="G548" s="6" t="str">
        <f>IFERROR(__xludf.DUMMYFUNCTION("""COMPUTED_VALUE"""),"#N/A")</f>
        <v>#N/A</v>
      </c>
      <c r="H548" s="6"/>
      <c r="I548" s="6"/>
      <c r="J548" s="50">
        <f>IFERROR(__xludf.DUMMYFUNCTION("""COMPUTED_VALUE"""),0.0)</f>
        <v>0</v>
      </c>
      <c r="K548" s="58">
        <f>IFERROR(__xludf.DUMMYFUNCTION("""COMPUTED_VALUE"""),45962.0)</f>
        <v>45962</v>
      </c>
      <c r="L548" s="6">
        <v>30.0</v>
      </c>
      <c r="M548" s="52">
        <v>45992.0</v>
      </c>
      <c r="N548" s="53" t="s">
        <v>692</v>
      </c>
      <c r="O548" s="6" t="s">
        <v>893</v>
      </c>
      <c r="P548" s="6"/>
      <c r="Q548" s="6"/>
      <c r="R548" s="6"/>
    </row>
    <row r="549">
      <c r="A549" s="31" t="str">
        <f>IFERROR(__xludf.DUMMYFUNCTION("""COMPUTED_VALUE"""),"431д")</f>
        <v>431д</v>
      </c>
      <c r="B549" s="14" t="str">
        <f>IFERROR(__xludf.DUMMYFUNCTION("""COMPUTED_VALUE"""),"АИП-27")</f>
        <v>АИП-27</v>
      </c>
      <c r="C549" s="14" t="str">
        <f>IFERROR(__xludf.DUMMYFUNCTION("""COMPUTED_VALUE"""),"УДС")</f>
        <v>УДС</v>
      </c>
      <c r="D549" s="60"/>
      <c r="E549" s="14" t="str">
        <f>IFERROR(__xludf.DUMMYFUNCTION("""COMPUTED_VALUE"""),"Строительство искусственного сооружения через железнодорожные пути Курского направления Московской железной дороги для соединения 2-ой Мелитопольской ул. с Веневской ул. вблизи 2-ой Мелитопольской ул. и Веневской ул.")</f>
        <v>Строительство искусственного сооружения через железнодорожные пути Курского направления Московской железной дороги для соединения 2-ой Мелитопольской ул. с Веневской ул. вблизи 2-ой Мелитопольской ул. и Веневской ул.</v>
      </c>
      <c r="F549" s="25" t="str">
        <f>IFERROR(__xludf.DUMMYFUNCTION("""COMPUTED_VALUE"""),"#N/A")</f>
        <v>#N/A</v>
      </c>
      <c r="G549" s="6" t="str">
        <f>IFERROR(__xludf.DUMMYFUNCTION("""COMPUTED_VALUE"""),"#N/A")</f>
        <v>#N/A</v>
      </c>
      <c r="H549" s="6"/>
      <c r="I549" s="6"/>
      <c r="J549" s="50">
        <f>IFERROR(__xludf.DUMMYFUNCTION("""COMPUTED_VALUE"""),0.49559999999999993)</f>
        <v>0.4956</v>
      </c>
      <c r="K549" s="58">
        <f>IFERROR(__xludf.DUMMYFUNCTION("""COMPUTED_VALUE"""),45971.0)</f>
        <v>45971</v>
      </c>
      <c r="L549" s="6">
        <v>30.0</v>
      </c>
      <c r="M549" s="52">
        <v>46001.0</v>
      </c>
      <c r="N549" s="53" t="s">
        <v>711</v>
      </c>
      <c r="O549" s="6" t="s">
        <v>979</v>
      </c>
      <c r="P549" s="6"/>
      <c r="Q549" s="6"/>
      <c r="R549" s="6"/>
    </row>
    <row r="550">
      <c r="A550" s="31" t="str">
        <f>IFERROR(__xludf.DUMMYFUNCTION("""COMPUTED_VALUE"""),"423д")</f>
        <v>423д</v>
      </c>
      <c r="B550" s="14" t="str">
        <f>IFERROR(__xludf.DUMMYFUNCTION("""COMPUTED_VALUE"""),"АИП-27")</f>
        <v>АИП-27</v>
      </c>
      <c r="C550" s="14" t="str">
        <f>IFERROR(__xludf.DUMMYFUNCTION("""COMPUTED_VALUE"""),"УДС")</f>
        <v>УДС</v>
      </c>
      <c r="D550" s="60"/>
      <c r="E550" s="14" t="str">
        <f>IFERROR(__xludf.DUMMYFUNCTION("""COMPUTED_VALUE"""),"Строительство многоуровневых транспортных развязок в п. Рассудово, п.Киевский с реконструкцией Киевского ш. на участке 51-65 км. Этапы 1.3. п. Рассудово, п.Киевский")</f>
        <v>Строительство многоуровневых транспортных развязок в п. Рассудово, п.Киевский с реконструкцией Киевского ш. на участке 51-65 км. Этапы 1.3. п. Рассудово, п.Киевский</v>
      </c>
      <c r="F550" s="25" t="str">
        <f>IFERROR(__xludf.DUMMYFUNCTION("""COMPUTED_VALUE"""),"#N/A")</f>
        <v>#N/A</v>
      </c>
      <c r="G550" s="6" t="str">
        <f>IFERROR(__xludf.DUMMYFUNCTION("""COMPUTED_VALUE"""),"#N/A")</f>
        <v>#N/A</v>
      </c>
      <c r="H550" s="6"/>
      <c r="I550" s="6"/>
      <c r="J550" s="50">
        <f>IFERROR(__xludf.DUMMYFUNCTION("""COMPUTED_VALUE"""),0.0)</f>
        <v>0</v>
      </c>
      <c r="K550" s="58"/>
      <c r="L550" s="6">
        <v>30.0</v>
      </c>
      <c r="M550" s="52" t="s">
        <v>655</v>
      </c>
      <c r="N550" s="53" t="s">
        <v>698</v>
      </c>
      <c r="O550" s="6" t="s">
        <v>980</v>
      </c>
      <c r="P550" s="6"/>
      <c r="Q550" s="6"/>
      <c r="R550" s="6"/>
    </row>
    <row r="551">
      <c r="A551" s="31" t="str">
        <f>IFERROR(__xludf.DUMMYFUNCTION("""COMPUTED_VALUE"""),"142д(эт5)")</f>
        <v>142д(эт5)</v>
      </c>
      <c r="B551" s="14" t="str">
        <f>IFERROR(__xludf.DUMMYFUNCTION("""COMPUTED_VALUE"""),"АИП-27")</f>
        <v>АИП-27</v>
      </c>
      <c r="C551" s="14" t="str">
        <f>IFERROR(__xludf.DUMMYFUNCTION("""COMPUTED_VALUE"""),"УДС")</f>
        <v>УДС</v>
      </c>
      <c r="D551" s="60"/>
      <c r="E551"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 Этап 5"&amp;". ОС ЗИЛ")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 Этап 5. ОС ЗИЛ</v>
      </c>
      <c r="F551" s="25" t="str">
        <f>IFERROR(__xludf.DUMMYFUNCTION("""COMPUTED_VALUE"""),"#N/A")</f>
        <v>#N/A</v>
      </c>
      <c r="G551" s="6" t="str">
        <f>IFERROR(__xludf.DUMMYFUNCTION("""COMPUTED_VALUE"""),"#N/A")</f>
        <v>#N/A</v>
      </c>
      <c r="H551" s="6"/>
      <c r="I551" s="6"/>
      <c r="J551" s="50">
        <f>IFERROR(__xludf.DUMMYFUNCTION("""COMPUTED_VALUE"""),0.014823529411764704)</f>
        <v>0.01482352941</v>
      </c>
      <c r="K551" s="58">
        <f>IFERROR(__xludf.DUMMYFUNCTION("""COMPUTED_VALUE"""),45962.0)</f>
        <v>45962</v>
      </c>
      <c r="L551" s="6">
        <v>30.0</v>
      </c>
      <c r="M551" s="52">
        <v>45992.0</v>
      </c>
      <c r="N551" s="53" t="s">
        <v>692</v>
      </c>
      <c r="O551" s="6" t="s">
        <v>981</v>
      </c>
      <c r="P551" s="6"/>
      <c r="Q551" s="6"/>
      <c r="R551" s="6"/>
    </row>
    <row r="552">
      <c r="A552" s="31" t="str">
        <f>IFERROR(__xludf.DUMMYFUNCTION("""COMPUTED_VALUE"""),"432д")</f>
        <v>432д</v>
      </c>
      <c r="B552" s="14" t="str">
        <f>IFERROR(__xludf.DUMMYFUNCTION("""COMPUTED_VALUE"""),"АИП-27")</f>
        <v>АИП-27</v>
      </c>
      <c r="C552" s="14" t="str">
        <f>IFERROR(__xludf.DUMMYFUNCTION("""COMPUTED_VALUE"""),"УДС")</f>
        <v>УДС</v>
      </c>
      <c r="D552" s="60"/>
      <c r="E552" s="14" t="str">
        <f>IFERROR(__xludf.DUMMYFUNCTION("""COMPUTED_VALUE"""),"Участок улично-дорожной сети от Каширского шоссе до Елецкой улицы от Каширского шоссе до Елецкой улицы")</f>
        <v>Участок улично-дорожной сети от Каширского шоссе до Елецкой улицы от Каширского шоссе до Елецкой улицы</v>
      </c>
      <c r="F552" s="25" t="str">
        <f>IFERROR(__xludf.DUMMYFUNCTION("""COMPUTED_VALUE"""),"#N/A")</f>
        <v>#N/A</v>
      </c>
      <c r="G552" s="6" t="str">
        <f>IFERROR(__xludf.DUMMYFUNCTION("""COMPUTED_VALUE"""),"#N/A")</f>
        <v>#N/A</v>
      </c>
      <c r="H552" s="6"/>
      <c r="I552" s="6"/>
      <c r="J552" s="50">
        <f>IFERROR(__xludf.DUMMYFUNCTION("""COMPUTED_VALUE"""),0.0)</f>
        <v>0</v>
      </c>
      <c r="K552" s="58">
        <f>IFERROR(__xludf.DUMMYFUNCTION("""COMPUTED_VALUE"""),45962.0)</f>
        <v>45962</v>
      </c>
      <c r="L552" s="6">
        <v>30.0</v>
      </c>
      <c r="M552" s="52">
        <v>45992.0</v>
      </c>
      <c r="N552" s="53" t="s">
        <v>692</v>
      </c>
      <c r="O552" s="6" t="s">
        <v>893</v>
      </c>
      <c r="P552" s="6"/>
      <c r="Q552" s="6"/>
      <c r="R552" s="6"/>
    </row>
    <row r="553">
      <c r="A553" s="31" t="str">
        <f>IFERROR(__xludf.DUMMYFUNCTION("""COMPUTED_VALUE"""),"433д")</f>
        <v>433д</v>
      </c>
      <c r="B553" s="14" t="str">
        <f>IFERROR(__xludf.DUMMYFUNCTION("""COMPUTED_VALUE"""),"АИП-27")</f>
        <v>АИП-27</v>
      </c>
      <c r="C553" s="14" t="str">
        <f>IFERROR(__xludf.DUMMYFUNCTION("""COMPUTED_VALUE"""),"УДС")</f>
        <v>УДС</v>
      </c>
      <c r="D553" s="60"/>
      <c r="E553" s="14" t="str">
        <f>IFERROR(__xludf.DUMMYFUNCTION("""COMPUTED_VALUE"""),"Реконструкция Ботанической ул. на участке от СВХ до ул. Академика Королева Ботаническая ул.")</f>
        <v>Реконструкция Ботанической ул. на участке от СВХ до ул. Академика Королева Ботаническая ул.</v>
      </c>
      <c r="F553" s="25" t="str">
        <f>IFERROR(__xludf.DUMMYFUNCTION("""COMPUTED_VALUE"""),"#N/A")</f>
        <v>#N/A</v>
      </c>
      <c r="G553" s="6" t="str">
        <f>IFERROR(__xludf.DUMMYFUNCTION("""COMPUTED_VALUE"""),"#N/A")</f>
        <v>#N/A</v>
      </c>
      <c r="H553" s="6"/>
      <c r="I553" s="6"/>
      <c r="J553" s="50">
        <f>IFERROR(__xludf.DUMMYFUNCTION("""COMPUTED_VALUE"""),0.0)</f>
        <v>0</v>
      </c>
      <c r="K553" s="58">
        <f>IFERROR(__xludf.DUMMYFUNCTION("""COMPUTED_VALUE"""),45962.0)</f>
        <v>45962</v>
      </c>
      <c r="L553" s="6">
        <v>30.0</v>
      </c>
      <c r="M553" s="52">
        <v>45992.0</v>
      </c>
      <c r="N553" s="53" t="s">
        <v>692</v>
      </c>
      <c r="O553" s="6" t="s">
        <v>982</v>
      </c>
      <c r="P553" s="6"/>
      <c r="Q553" s="6"/>
      <c r="R553" s="6"/>
    </row>
    <row r="554">
      <c r="A554" s="31" t="str">
        <f>IFERROR(__xludf.DUMMYFUNCTION("""COMPUTED_VALUE"""),"459д")</f>
        <v>459д</v>
      </c>
      <c r="B554" s="14" t="str">
        <f>IFERROR(__xludf.DUMMYFUNCTION("""COMPUTED_VALUE"""),"АИП-27")</f>
        <v>АИП-27</v>
      </c>
      <c r="C554" s="14" t="str">
        <f>IFERROR(__xludf.DUMMYFUNCTION("""COMPUTED_VALUE"""),"УДС")</f>
        <v>УДС</v>
      </c>
      <c r="D554" s="60"/>
      <c r="E554" s="14" t="str">
        <f>IFERROR(__xludf.DUMMYFUNCTION("""COMPUTED_VALUE"""),"Строительство проектируемого проезда № 3982 от Варшавского шоссе до Нагатинской набережной. Этап 2. Проектируемый проезд № 3982
от Проектируемого проезда № 8138
до Нагатинской набережной от Варшавского шоссе до проектируемого проезда № 3982")</f>
        <v>Строительство проектируемого проезда № 3982 от Варшавского шоссе до Нагатинской набережной. Этап 2. Проектируемый проезд № 3982
от Проектируемого проезда № 8138
до Нагатинской набережной от Варшавского шоссе до проектируемого проезда № 3982</v>
      </c>
      <c r="F554" s="25" t="str">
        <f>IFERROR(__xludf.DUMMYFUNCTION("""COMPUTED_VALUE"""),"#N/A")</f>
        <v>#N/A</v>
      </c>
      <c r="G554" s="6" t="str">
        <f>IFERROR(__xludf.DUMMYFUNCTION("""COMPUTED_VALUE"""),"#N/A")</f>
        <v>#N/A</v>
      </c>
      <c r="H554" s="6"/>
      <c r="I554" s="6"/>
      <c r="J554" s="50">
        <f>IFERROR(__xludf.DUMMYFUNCTION("""COMPUTED_VALUE"""),0.0)</f>
        <v>0</v>
      </c>
      <c r="K554" s="58">
        <f>IFERROR(__xludf.DUMMYFUNCTION("""COMPUTED_VALUE"""),45961.0)</f>
        <v>45961</v>
      </c>
      <c r="L554" s="6">
        <v>30.0</v>
      </c>
      <c r="M554" s="52">
        <v>45991.0</v>
      </c>
      <c r="N554" s="53" t="s">
        <v>692</v>
      </c>
      <c r="O554" s="6" t="s">
        <v>983</v>
      </c>
      <c r="P554" s="6"/>
      <c r="Q554" s="6"/>
      <c r="R554" s="6"/>
    </row>
    <row r="555">
      <c r="A555" s="31" t="str">
        <f>IFERROR(__xludf.DUMMYFUNCTION("""COMPUTED_VALUE"""),"435д")</f>
        <v>435д</v>
      </c>
      <c r="B555" s="14" t="str">
        <f>IFERROR(__xludf.DUMMYFUNCTION("""COMPUTED_VALUE"""),"АИП-27")</f>
        <v>АИП-27</v>
      </c>
      <c r="C555" s="14" t="str">
        <f>IFERROR(__xludf.DUMMYFUNCTION("""COMPUTED_VALUE"""),"УДС")</f>
        <v>УДС</v>
      </c>
      <c r="D555" s="60"/>
      <c r="E555" s="14" t="str">
        <f>IFERROR(__xludf.DUMMYFUNCTION("""COMPUTED_VALUE"""),"Реконструкция Краснобогатырской улицы, Этап 4 (ОС) Краснобогатырская ул.")</f>
        <v>Реконструкция Краснобогатырской улицы, Этап 4 (ОС) Краснобогатырская ул.</v>
      </c>
      <c r="F555" s="25" t="str">
        <f>IFERROR(__xludf.DUMMYFUNCTION("""COMPUTED_VALUE"""),"#N/A")</f>
        <v>#N/A</v>
      </c>
      <c r="G555" s="6" t="str">
        <f>IFERROR(__xludf.DUMMYFUNCTION("""COMPUTED_VALUE"""),"#N/A")</f>
        <v>#N/A</v>
      </c>
      <c r="H555" s="6"/>
      <c r="I555" s="6"/>
      <c r="J555" s="50">
        <f>IFERROR(__xludf.DUMMYFUNCTION("""COMPUTED_VALUE"""),0.0)</f>
        <v>0</v>
      </c>
      <c r="K555" s="58">
        <f>IFERROR(__xludf.DUMMYFUNCTION("""COMPUTED_VALUE"""),45962.0)</f>
        <v>45962</v>
      </c>
      <c r="L555" s="6">
        <v>30.0</v>
      </c>
      <c r="M555" s="52">
        <v>45992.0</v>
      </c>
      <c r="N555" s="53" t="s">
        <v>692</v>
      </c>
      <c r="O555" s="6" t="s">
        <v>984</v>
      </c>
      <c r="P555" s="6"/>
      <c r="Q555" s="6"/>
      <c r="R555" s="6"/>
    </row>
    <row r="556">
      <c r="A556" s="31" t="str">
        <f>IFERROR(__xludf.DUMMYFUNCTION("""COMPUTED_VALUE"""),"283")</f>
        <v>283</v>
      </c>
      <c r="B556" s="14" t="str">
        <f>IFERROR(__xludf.DUMMYFUNCTION("""COMPUTED_VALUE"""),"АИП-27")</f>
        <v>АИП-27</v>
      </c>
      <c r="C556" s="14" t="str">
        <f>IFERROR(__xludf.DUMMYFUNCTION("""COMPUTED_VALUE"""),"ОКС")</f>
        <v>ОКС</v>
      </c>
      <c r="D556" s="60"/>
      <c r="E556" s="14" t="str">
        <f>IFERROR(__xludf.DUMMYFUNCTION("""COMPUTED_VALUE"""),"Здание образовательной организации максимальной вместимости (не менее 675 мест) на месте сноса существующего школьного здания ул. Климашкина, д. 13б, стр. 1")</f>
        <v>Здание образовательной организации максимальной вместимости (не менее 675 мест) на месте сноса существующего школьного здания ул. Климашкина, д. 13б, стр. 1</v>
      </c>
      <c r="F556" s="25" t="str">
        <f>IFERROR(__xludf.DUMMYFUNCTION("""COMPUTED_VALUE"""),"#N/A")</f>
        <v>#N/A</v>
      </c>
      <c r="G556" s="6" t="str">
        <f>IFERROR(__xludf.DUMMYFUNCTION("""COMPUTED_VALUE"""),"#N/A")</f>
        <v>#N/A</v>
      </c>
      <c r="H556" s="18" t="str">
        <f>IFERROR(__xludf.DUMMYFUNCTION("""COMPUTED_VALUE"""),"https://docs.google.com/spreadsheets/d/19THEBTE9q0fhN2eApZr6BgenIvLGh0AckaYxHQfHk5w/edit?gid=2080968173#gid=2080968173")</f>
        <v>https://docs.google.com/spreadsheets/d/19THEBTE9q0fhN2eApZr6BgenIvLGh0AckaYxHQfHk5w/edit?gid=2080968173#gid=2080968173</v>
      </c>
      <c r="I556" s="19" t="str">
        <f>IFERROR(__xludf.DUMMYFUNCTION("""COMPUTED_VALUE"""),"https://disk.yandex.ru/client/disk/Осмотры%20объектов%20АНО%20СМГ/283.%20ул.%20Климашкина%2C%20д.13Б%2C%20стр.%201")</f>
        <v>https://disk.yandex.ru/client/disk/Осмотры%20объектов%20АНО%20СМГ/283.%20ул.%20Климашкина%2C%20д.13Б%2C%20стр.%201</v>
      </c>
      <c r="J556" s="50">
        <f>IFERROR(__xludf.DUMMYFUNCTION("""COMPUTED_VALUE"""),0.0)</f>
        <v>0</v>
      </c>
      <c r="K556" s="58">
        <f>IFERROR(__xludf.DUMMYFUNCTION("""COMPUTED_VALUE"""),45717.0)</f>
        <v>45717</v>
      </c>
      <c r="L556" s="6">
        <v>30.0</v>
      </c>
      <c r="M556" s="52">
        <v>45747.0</v>
      </c>
      <c r="N556" s="53" t="s">
        <v>668</v>
      </c>
      <c r="O556" s="19" t="s">
        <v>985</v>
      </c>
      <c r="P556" s="6"/>
      <c r="Q556" s="6"/>
      <c r="R556" s="6"/>
    </row>
    <row r="557">
      <c r="A557" s="31" t="str">
        <f>IFERROR(__xludf.DUMMYFUNCTION("""COMPUTED_VALUE"""),"274д")</f>
        <v>274д</v>
      </c>
      <c r="B557" s="14" t="str">
        <f>IFERROR(__xludf.DUMMYFUNCTION("""COMPUTED_VALUE"""),"АИП-27")</f>
        <v>АИП-27</v>
      </c>
      <c r="C557" s="14" t="str">
        <f>IFERROR(__xludf.DUMMYFUNCTION("""COMPUTED_VALUE"""),"УДС")</f>
        <v>УДС</v>
      </c>
      <c r="D557" s="60"/>
      <c r="E557" s="14" t="str">
        <f>IFERROR(__xludf.DUMMYFUNCTION("""COMPUTED_VALUE"""),"Соединение проектируемого проезда № 219 с Перовским шоссе и Басовской улицей проектируемый проезд № 219")</f>
        <v>Соединение проектируемого проезда № 219 с Перовским шоссе и Басовской улицей проектируемый проезд № 219</v>
      </c>
      <c r="F557" s="25" t="str">
        <f>IFERROR(__xludf.DUMMYFUNCTION("""COMPUTED_VALUE"""),"#N/A")</f>
        <v>#N/A</v>
      </c>
      <c r="G557" s="6" t="str">
        <f>IFERROR(__xludf.DUMMYFUNCTION("""COMPUTED_VALUE"""),"#N/A")</f>
        <v>#N/A</v>
      </c>
      <c r="H557" s="6"/>
      <c r="I557" s="6"/>
      <c r="J557" s="50">
        <f>IFERROR(__xludf.DUMMYFUNCTION("""COMPUTED_VALUE"""),0.0)</f>
        <v>0</v>
      </c>
      <c r="K557" s="58">
        <f>IFERROR(__xludf.DUMMYFUNCTION("""COMPUTED_VALUE"""),45962.0)</f>
        <v>45962</v>
      </c>
      <c r="L557" s="6">
        <v>30.0</v>
      </c>
      <c r="M557" s="52">
        <v>45992.0</v>
      </c>
      <c r="N557" s="53" t="s">
        <v>692</v>
      </c>
      <c r="O557" s="6" t="s">
        <v>986</v>
      </c>
      <c r="P557" s="6"/>
      <c r="Q557" s="6"/>
      <c r="R557" s="6"/>
    </row>
    <row r="558">
      <c r="A558" s="31" t="str">
        <f>IFERROR(__xludf.DUMMYFUNCTION("""COMPUTED_VALUE"""),"434д")</f>
        <v>434д</v>
      </c>
      <c r="B558" s="14" t="str">
        <f>IFERROR(__xludf.DUMMYFUNCTION("""COMPUTED_VALUE"""),"АИП-27")</f>
        <v>АИП-27</v>
      </c>
      <c r="C558" s="14" t="str">
        <f>IFERROR(__xludf.DUMMYFUNCTION("""COMPUTED_VALUE"""),"УДС")</f>
        <v>УДС</v>
      </c>
      <c r="D558" s="60"/>
      <c r="E558" s="14" t="str">
        <f>IFERROR(__xludf.DUMMYFUNCTION("""COMPUTED_VALUE"""),"Пешеходный переход через МЦД в районе ул. Зарянова в районе ул. Зарянова")</f>
        <v>Пешеходный переход через МЦД в районе ул. Зарянова в районе ул. Зарянова</v>
      </c>
      <c r="F558" s="25" t="str">
        <f>IFERROR(__xludf.DUMMYFUNCTION("""COMPUTED_VALUE"""),"#N/A")</f>
        <v>#N/A</v>
      </c>
      <c r="G558" s="6" t="str">
        <f>IFERROR(__xludf.DUMMYFUNCTION("""COMPUTED_VALUE"""),"#N/A")</f>
        <v>#N/A</v>
      </c>
      <c r="H558" s="6"/>
      <c r="I558" s="6"/>
      <c r="J558" s="50">
        <f>IFERROR(__xludf.DUMMYFUNCTION("""COMPUTED_VALUE"""),0.0)</f>
        <v>0</v>
      </c>
      <c r="K558" s="58">
        <f>IFERROR(__xludf.DUMMYFUNCTION("""COMPUTED_VALUE"""),45933.0)</f>
        <v>45933</v>
      </c>
      <c r="L558" s="6">
        <v>30.0</v>
      </c>
      <c r="M558" s="52">
        <v>45963.0</v>
      </c>
      <c r="N558" s="53" t="s">
        <v>668</v>
      </c>
      <c r="O558" s="6" t="s">
        <v>987</v>
      </c>
      <c r="P558" s="6"/>
      <c r="Q558" s="6"/>
      <c r="R558" s="6"/>
    </row>
    <row r="559">
      <c r="A559" s="31" t="str">
        <f>IFERROR(__xludf.DUMMYFUNCTION("""COMPUTED_VALUE"""),"461д")</f>
        <v>461д</v>
      </c>
      <c r="B559" s="14" t="str">
        <f>IFERROR(__xludf.DUMMYFUNCTION("""COMPUTED_VALUE"""),"АИП-27")</f>
        <v>АИП-27</v>
      </c>
      <c r="C559" s="14" t="str">
        <f>IFERROR(__xludf.DUMMYFUNCTION("""COMPUTED_VALUE"""),"УДС")</f>
        <v>УДС</v>
      </c>
      <c r="D559" s="60"/>
      <c r="E559" s="14" t="str">
        <f>IFERROR(__xludf.DUMMYFUNCTION("""COMPUTED_VALUE"""),"ЮВХ-7. Участок вдоль  ул.Каспийской от ул.Кантемировской до Павелецкого направления Московской железной дороги. ОС от ул.Кантемировской до Павелецкого направления Московской железной дороги")</f>
        <v>ЮВХ-7. Участок вдоль  ул.Каспийской от ул.Кантемировской до Павелецкого направления Московской железной дороги. ОС от ул.Кантемировской до Павелецкого направления Московской железной дороги</v>
      </c>
      <c r="F559" s="25" t="str">
        <f>IFERROR(__xludf.DUMMYFUNCTION("""COMPUTED_VALUE"""),"#N/A")</f>
        <v>#N/A</v>
      </c>
      <c r="G559" s="6" t="str">
        <f>IFERROR(__xludf.DUMMYFUNCTION("""COMPUTED_VALUE"""),"#N/A")</f>
        <v>#N/A</v>
      </c>
      <c r="H559" s="6"/>
      <c r="I559" s="6"/>
      <c r="J559" s="50">
        <f>IFERROR(__xludf.DUMMYFUNCTION("""COMPUTED_VALUE"""),0.0)</f>
        <v>0</v>
      </c>
      <c r="K559" s="58">
        <f>IFERROR(__xludf.DUMMYFUNCTION("""COMPUTED_VALUE"""),45961.0)</f>
        <v>45961</v>
      </c>
      <c r="L559" s="6">
        <v>30.0</v>
      </c>
      <c r="M559" s="52">
        <v>45991.0</v>
      </c>
      <c r="N559" s="53" t="s">
        <v>692</v>
      </c>
      <c r="O559" s="6" t="s">
        <v>987</v>
      </c>
      <c r="P559" s="6"/>
      <c r="Q559" s="6"/>
      <c r="R559" s="6"/>
    </row>
    <row r="560">
      <c r="A560" s="31" t="str">
        <f>IFERROR(__xludf.DUMMYFUNCTION("""COMPUTED_VALUE"""),"1293")</f>
        <v>1293</v>
      </c>
      <c r="B560" s="14" t="str">
        <f>IFERROR(__xludf.DUMMYFUNCTION("""COMPUTED_VALUE"""),"АИП-27")</f>
        <v>АИП-27</v>
      </c>
      <c r="C560" s="14" t="str">
        <f>IFERROR(__xludf.DUMMYFUNCTION("""COMPUTED_VALUE"""),"ОКС")</f>
        <v>ОКС</v>
      </c>
      <c r="D560" s="60"/>
      <c r="E560" s="14" t="str">
        <f>IFERROR(__xludf.DUMMYFUNCTION("""COMPUTED_VALUE"""),"Школа на 1200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59")</f>
        <v>Школа на 1200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59</v>
      </c>
      <c r="F560" s="25" t="str">
        <f>IFERROR(__xludf.DUMMYFUNCTION("""COMPUTED_VALUE"""),"#N/A")</f>
        <v>#N/A</v>
      </c>
      <c r="G560" s="6" t="str">
        <f>IFERROR(__xludf.DUMMYFUNCTION("""COMPUTED_VALUE"""),"#N/A")</f>
        <v>#N/A</v>
      </c>
      <c r="H560" s="18" t="str">
        <f>IFERROR(__xludf.DUMMYFUNCTION("""COMPUTED_VALUE"""),"https://docs.google.com/spreadsheets/d/19THEBTE9q0fhN2eApZr6BgenIvLGh0AckaYxHQfHk5w/edit?gid=307470456#gid=307470456")</f>
        <v>https://docs.google.com/spreadsheets/d/19THEBTE9q0fhN2eApZr6BgenIvLGh0AckaYxHQfHk5w/edit?gid=307470456#gid=307470456</v>
      </c>
      <c r="I560" s="19"/>
      <c r="J560" s="50">
        <f>IFERROR(__xludf.DUMMYFUNCTION("""COMPUTED_VALUE"""),0.0)</f>
        <v>0</v>
      </c>
      <c r="K560" s="58">
        <f>IFERROR(__xludf.DUMMYFUNCTION("""COMPUTED_VALUE"""),45895.0)</f>
        <v>45895</v>
      </c>
      <c r="L560" s="6">
        <v>30.0</v>
      </c>
      <c r="M560" s="52">
        <v>45925.0</v>
      </c>
      <c r="N560" s="53" t="s">
        <v>668</v>
      </c>
      <c r="O560" s="19" t="s">
        <v>988</v>
      </c>
      <c r="P560" s="6"/>
      <c r="Q560" s="6"/>
      <c r="R560" s="6"/>
    </row>
    <row r="561">
      <c r="A561" s="31" t="str">
        <f>IFERROR(__xludf.DUMMYFUNCTION("""COMPUTED_VALUE"""),"1268")</f>
        <v>1268</v>
      </c>
      <c r="B561" s="14" t="str">
        <f>IFERROR(__xludf.DUMMYFUNCTION("""COMPUTED_VALUE"""),"АИП-27")</f>
        <v>АИП-27</v>
      </c>
      <c r="C561" s="14" t="str">
        <f>IFERROR(__xludf.DUMMYFUNCTION("""COMPUTED_VALUE"""),"ОКС")</f>
        <v>ОКС</v>
      </c>
      <c r="D561" s="60"/>
      <c r="E561" s="14" t="str">
        <f>IFERROR(__xludf.DUMMYFUNCTION("""COMPUTED_VALUE"""),"Блок начальных классов на 300 мест, пос. Роговское пос. Роговское, поселок Рогово, улица Школьная, земельный участок 20А")</f>
        <v>Блок начальных классов на 300 мест, пос. Роговское пос. Роговское, поселок Рогово, улица Школьная, земельный участок 20А</v>
      </c>
      <c r="F561" s="25" t="str">
        <f>IFERROR(__xludf.DUMMYFUNCTION("""COMPUTED_VALUE"""),"#N/A")</f>
        <v>#N/A</v>
      </c>
      <c r="G561" s="6" t="str">
        <f>IFERROR(__xludf.DUMMYFUNCTION("""COMPUTED_VALUE"""),"#N/A")</f>
        <v>#N/A</v>
      </c>
      <c r="H561" s="18" t="str">
        <f>IFERROR(__xludf.DUMMYFUNCTION("""COMPUTED_VALUE"""),"https://docs.google.com/spreadsheets/d/19THEBTE9q0fhN2eApZr6BgenIvLGh0AckaYxHQfHk5w/edit?gid=76672550#gid=76672550")</f>
        <v>https://docs.google.com/spreadsheets/d/19THEBTE9q0fhN2eApZr6BgenIvLGh0AckaYxHQfHk5w/edit?gid=76672550#gid=76672550</v>
      </c>
      <c r="I561" s="21" t="str">
        <f>IFERROR(__xludf.DUMMYFUNCTION("""COMPUTED_VALUE"""),"https://disk.yandex.ru/d/iRTb6x-s7u0Bcw")</f>
        <v>https://disk.yandex.ru/d/iRTb6x-s7u0Bcw</v>
      </c>
      <c r="J561" s="50">
        <f>IFERROR(__xludf.DUMMYFUNCTION("""COMPUTED_VALUE"""),0.0)</f>
        <v>0</v>
      </c>
      <c r="K561" s="58">
        <f>IFERROR(__xludf.DUMMYFUNCTION("""COMPUTED_VALUE"""),45860.0)</f>
        <v>45860</v>
      </c>
      <c r="L561" s="6">
        <v>30.0</v>
      </c>
      <c r="M561" s="52">
        <v>45890.0</v>
      </c>
      <c r="N561" s="53" t="s">
        <v>668</v>
      </c>
      <c r="O561" s="19" t="s">
        <v>989</v>
      </c>
      <c r="P561" s="6"/>
      <c r="Q561" s="6"/>
      <c r="R561" s="6"/>
    </row>
    <row r="562">
      <c r="A562" s="31" t="str">
        <f>IFERROR(__xludf.DUMMYFUNCTION("""COMPUTED_VALUE"""),"1067 (1.1.1)")</f>
        <v>1067 (1.1.1)</v>
      </c>
      <c r="B562" s="14" t="str">
        <f>IFERROR(__xludf.DUMMYFUNCTION("""COMPUTED_VALUE"""),"АИП-27")</f>
        <v>АИП-27</v>
      </c>
      <c r="C562" s="14" t="str">
        <f>IFERROR(__xludf.DUMMYFUNCTION("""COMPUTED_VALUE"""),"УДС")</f>
        <v>УДС</v>
      </c>
      <c r="D562" s="60"/>
      <c r="E562" s="14" t="str">
        <f>IFERROR(__xludf.DUMMYFUNCTION("""COMPUTED_VALUE"""),"Технологическая часть ТПУ на станции метро  ""Косино"" (""Лермонтовский проспект""). Этапы 1, 1.1.1, г.Москва,
м. ""Лермонтовский проспект""")</f>
        <v>Технологическая часть ТПУ на станции метро  "Косино" ("Лермонтовский проспект"). Этапы 1, 1.1.1, г.Москва,
м. "Лермонтовский проспект"</v>
      </c>
      <c r="F562" s="25" t="str">
        <f>IFERROR(__xludf.DUMMYFUNCTION("""COMPUTED_VALUE"""),"#N/A")</f>
        <v>#N/A</v>
      </c>
      <c r="G562" s="6" t="str">
        <f>IFERROR(__xludf.DUMMYFUNCTION("""COMPUTED_VALUE"""),"#N/A")</f>
        <v>#N/A</v>
      </c>
      <c r="H562" s="18" t="str">
        <f>IFERROR(__xludf.DUMMYFUNCTION("""COMPUTED_VALUE"""),"https://docs.google.com/spreadsheets/d/1jonEGMB3UFHiUZpltF1zURon8gYN7jGSHu-k9t5TXnA/edit?gid=1027797639#gid=1027797639")</f>
        <v>https://docs.google.com/spreadsheets/d/1jonEGMB3UFHiUZpltF1zURon8gYN7jGSHu-k9t5TXnA/edit?gid=1027797639#gid=1027797639</v>
      </c>
      <c r="I562" s="6" t="str">
        <f>IFERROR(__xludf.DUMMYFUNCTION("""COMPUTED_VALUE"""),"https://disk.yandex.ru/client/disk/Осмотры%20объектов%20АНО%20СМГ/1067.%20Технологическая%20часть%20ТПУ%20на%20станции%20метро%20%22Лермонтовский%20проспект%22%20(Косино)")</f>
        <v>https://disk.yandex.ru/client/disk/Осмотры%20объектов%20АНО%20СМГ/1067.%20Технологическая%20часть%20ТПУ%20на%20станции%20метро%20%22Лермонтовский%20проспект%22%20(Косино)</v>
      </c>
      <c r="J562" s="50">
        <f>IFERROR(__xludf.DUMMYFUNCTION("""COMPUTED_VALUE"""),39.038385000000005)</f>
        <v>39.038385</v>
      </c>
      <c r="K562" s="58">
        <f>IFERROR(__xludf.DUMMYFUNCTION("""COMPUTED_VALUE"""),45931.0)</f>
        <v>45931</v>
      </c>
      <c r="L562" s="6">
        <v>30.0</v>
      </c>
      <c r="M562" s="52">
        <v>45961.0</v>
      </c>
      <c r="N562" s="53" t="s">
        <v>668</v>
      </c>
      <c r="O562" s="6" t="s">
        <v>990</v>
      </c>
      <c r="P562" s="6"/>
      <c r="Q562" s="6"/>
      <c r="R562" s="6"/>
    </row>
    <row r="563">
      <c r="A563" s="31" t="str">
        <f>IFERROR(__xludf.DUMMYFUNCTION("""COMPUTED_VALUE"""),"1067 (1.1.4)")</f>
        <v>1067 (1.1.4)</v>
      </c>
      <c r="B563" s="14" t="str">
        <f>IFERROR(__xludf.DUMMYFUNCTION("""COMPUTED_VALUE"""),"АИП-27")</f>
        <v>АИП-27</v>
      </c>
      <c r="C563" s="14" t="str">
        <f>IFERROR(__xludf.DUMMYFUNCTION("""COMPUTED_VALUE"""),"УДС")</f>
        <v>УДС</v>
      </c>
      <c r="D563" s="60"/>
      <c r="E563" s="14" t="str">
        <f>IFERROR(__xludf.DUMMYFUNCTION("""COMPUTED_VALUE"""),"Технологическая часть ТПУ на станции метро  ""Косино"" (""Лермонтовский проспект""). Этапы  1.1.4 г.Москва,
м. ""Лермонтовский проспект""")</f>
        <v>Технологическая часть ТПУ на станции метро  "Косино" ("Лермонтовский проспект"). Этапы  1.1.4 г.Москва,
м. "Лермонтовский проспект"</v>
      </c>
      <c r="F563" s="25" t="str">
        <f>IFERROR(__xludf.DUMMYFUNCTION("""COMPUTED_VALUE"""),"#N/A")</f>
        <v>#N/A</v>
      </c>
      <c r="G563" s="6" t="str">
        <f>IFERROR(__xludf.DUMMYFUNCTION("""COMPUTED_VALUE"""),"#N/A")</f>
        <v>#N/A</v>
      </c>
      <c r="H563" s="18" t="str">
        <f>IFERROR(__xludf.DUMMYFUNCTION("""COMPUTED_VALUE"""),"https://docs.google.com/spreadsheets/d/1jonEGMB3UFHiUZpltF1zURon8gYN7jGSHu-k9t5TXnA/edit?gid=1284874728#gid=1284874728")</f>
        <v>https://docs.google.com/spreadsheets/d/1jonEGMB3UFHiUZpltF1zURon8gYN7jGSHu-k9t5TXnA/edit?gid=1284874728#gid=1284874728</v>
      </c>
      <c r="I563" s="6" t="str">
        <f>IFERROR(__xludf.DUMMYFUNCTION("""COMPUTED_VALUE"""),"https://disk.yandex.ru/client/disk/Осмотры%20объектов%20АНО%20СМГ/1067.%20Технологическая%20часть%20ТПУ%20на%20станции%20метро%20%22Лермонтовский%20проспект%22%20(Косино)")</f>
        <v>https://disk.yandex.ru/client/disk/Осмотры%20объектов%20АНО%20СМГ/1067.%20Технологическая%20часть%20ТПУ%20на%20станции%20метро%20%22Лермонтовский%20проспект%22%20(Косино)</v>
      </c>
      <c r="J563" s="50">
        <f>IFERROR(__xludf.DUMMYFUNCTION("""COMPUTED_VALUE"""),0.0)</f>
        <v>0</v>
      </c>
      <c r="K563" s="58">
        <f>IFERROR(__xludf.DUMMYFUNCTION("""COMPUTED_VALUE"""),45931.0)</f>
        <v>45931</v>
      </c>
      <c r="L563" s="6">
        <v>30.0</v>
      </c>
      <c r="M563" s="52">
        <v>45961.0</v>
      </c>
      <c r="N563" s="53" t="s">
        <v>668</v>
      </c>
      <c r="O563" s="6" t="s">
        <v>991</v>
      </c>
      <c r="P563" s="6"/>
      <c r="Q563" s="6"/>
      <c r="R563" s="6"/>
    </row>
    <row r="564">
      <c r="A564" s="31" t="str">
        <f>IFERROR(__xludf.DUMMYFUNCTION("""COMPUTED_VALUE"""),"НД")</f>
        <v>НД</v>
      </c>
      <c r="B564" s="14" t="str">
        <f>IFERROR(__xludf.DUMMYFUNCTION("""COMPUTED_VALUE"""),"АИП-27")</f>
        <v>АИП-27</v>
      </c>
      <c r="C564" s="14" t="str">
        <f>IFERROR(__xludf.DUMMYFUNCTION("""COMPUTED_VALUE"""),"УДС")</f>
        <v>УДС</v>
      </c>
      <c r="D564" s="60"/>
      <c r="E564" s="14" t="str">
        <f>IFERROR(__xludf.DUMMYFUNCTION("""COMPUTED_VALUE"""),"Технологическая часть ТПУ на станции метро  ""Косино"" (""Лермонтовский проспект""). Этапы  1.2.4, 1.2.5 г. Москва,
м. ""Лермонтовский проспект""")</f>
        <v>Технологическая часть ТПУ на станции метро  "Косино" ("Лермонтовский проспект"). Этапы  1.2.4, 1.2.5 г. Москва,
м. "Лермонтовский проспект"</v>
      </c>
      <c r="F564" s="25" t="str">
        <f>IFERROR(__xludf.DUMMYFUNCTION("""COMPUTED_VALUE"""),"#N/A")</f>
        <v>#N/A</v>
      </c>
      <c r="G564" s="6" t="str">
        <f>IFERROR(__xludf.DUMMYFUNCTION("""COMPUTED_VALUE"""),"#N/A")</f>
        <v>#N/A</v>
      </c>
      <c r="H564" s="6"/>
      <c r="I564" s="6"/>
      <c r="J564" s="50"/>
      <c r="K564" s="58"/>
      <c r="L564" s="6">
        <v>30.0</v>
      </c>
      <c r="M564" s="52" t="s">
        <v>655</v>
      </c>
      <c r="N564" s="53" t="s">
        <v>698</v>
      </c>
      <c r="O564" s="6" t="s">
        <v>992</v>
      </c>
      <c r="P564" s="6"/>
      <c r="Q564" s="6"/>
      <c r="R564" s="6"/>
    </row>
    <row r="565">
      <c r="A565" s="31" t="str">
        <f>IFERROR(__xludf.DUMMYFUNCTION("""COMPUTED_VALUE"""),"1179 (этап 1)")</f>
        <v>1179 (этап 1)</v>
      </c>
      <c r="B565" s="14" t="str">
        <f>IFERROR(__xludf.DUMMYFUNCTION("""COMPUTED_VALUE"""),"АИП-27")</f>
        <v>АИП-27</v>
      </c>
      <c r="C565" s="14" t="str">
        <f>IFERROR(__xludf.DUMMYFUNCTION("""COMPUTED_VALUE"""),"УДС")</f>
        <v>УДС</v>
      </c>
      <c r="D565" s="60"/>
      <c r="E565" s="14" t="str">
        <f>IFERROR(__xludf.DUMMYFUNCTION("""COMPUTED_VALUE"""),"Технологическая часть ТПУ на станции метро ""Электрозаводская"". Этапы 1  г. Москва,
м. ""Электрозаводская""")</f>
        <v>Технологическая часть ТПУ на станции метро "Электрозаводская". Этапы 1  г. Москва,
м. "Электрозаводская"</v>
      </c>
      <c r="F565" s="25" t="str">
        <f>IFERROR(__xludf.DUMMYFUNCTION("""COMPUTED_VALUE"""),"#N/A")</f>
        <v>#N/A</v>
      </c>
      <c r="G565" s="6" t="str">
        <f>IFERROR(__xludf.DUMMYFUNCTION("""COMPUTED_VALUE"""),"#N/A")</f>
        <v>#N/A</v>
      </c>
      <c r="H565" s="18" t="str">
        <f>IFERROR(__xludf.DUMMYFUNCTION("""COMPUTED_VALUE"""),"https://docs.google.com/spreadsheets/d/1jonEGMB3UFHiUZpltF1zURon8gYN7jGSHu-k9t5TXnA/edit?gid=9028693#gid=9028693")</f>
        <v>https://docs.google.com/spreadsheets/d/1jonEGMB3UFHiUZpltF1zURon8gYN7jGSHu-k9t5TXnA/edit?gid=9028693#gid=9028693</v>
      </c>
      <c r="I565" s="6" t="str">
        <f>IFERROR(__xludf.DUMMYFUNCTION("""COMPUTED_VALUE"""),"https://disk.yandex.ru/client/disk/Осмотры%20объектов%20АНО%20СМГ/%22АИП%202027%22%20Технологическая%20часть%20ТПУ%20на%20станции%20метро%20%22Электрозаводская%22.%20Этап%201")</f>
        <v>https://disk.yandex.ru/client/disk/Осмотры%20объектов%20АНО%20СМГ/%22АИП%202027%22%20Технологическая%20часть%20ТПУ%20на%20станции%20метро%20%22Электрозаводская%22.%20Этап%201</v>
      </c>
      <c r="J565" s="50">
        <f>IFERROR(__xludf.DUMMYFUNCTION("""COMPUTED_VALUE"""),95.064)</f>
        <v>95.064</v>
      </c>
      <c r="K565" s="58">
        <f>IFERROR(__xludf.DUMMYFUNCTION("""COMPUTED_VALUE"""),45807.0)</f>
        <v>45807</v>
      </c>
      <c r="L565" s="6">
        <v>7.0</v>
      </c>
      <c r="M565" s="52">
        <v>45814.0</v>
      </c>
      <c r="N565" s="53" t="s">
        <v>668</v>
      </c>
      <c r="O565" s="6" t="s">
        <v>993</v>
      </c>
      <c r="P565" s="6"/>
      <c r="Q565" s="6"/>
      <c r="R565" s="6"/>
    </row>
    <row r="566">
      <c r="A566" s="31" t="str">
        <f>IFERROR(__xludf.DUMMYFUNCTION("""COMPUTED_VALUE"""),"1179 (этап 2)")</f>
        <v>1179 (этап 2)</v>
      </c>
      <c r="B566" s="14" t="str">
        <f>IFERROR(__xludf.DUMMYFUNCTION("""COMPUTED_VALUE"""),"АИП-27")</f>
        <v>АИП-27</v>
      </c>
      <c r="C566" s="14" t="str">
        <f>IFERROR(__xludf.DUMMYFUNCTION("""COMPUTED_VALUE"""),"УДС")</f>
        <v>УДС</v>
      </c>
      <c r="D566" s="60"/>
      <c r="E566" s="14" t="str">
        <f>IFERROR(__xludf.DUMMYFUNCTION("""COMPUTED_VALUE"""),"Технологическая часть ТПУ на станции метро ""Электрозаводская"". Этапы  2 г. Москва,
м. ""Электрозаводская""")</f>
        <v>Технологическая часть ТПУ на станции метро "Электрозаводская". Этапы  2 г. Москва,
м. "Электрозаводская"</v>
      </c>
      <c r="F566" s="25" t="str">
        <f>IFERROR(__xludf.DUMMYFUNCTION("""COMPUTED_VALUE"""),"#N/A")</f>
        <v>#N/A</v>
      </c>
      <c r="G566" s="6" t="str">
        <f>IFERROR(__xludf.DUMMYFUNCTION("""COMPUTED_VALUE"""),"#N/A")</f>
        <v>#N/A</v>
      </c>
      <c r="H566" s="18" t="str">
        <f>IFERROR(__xludf.DUMMYFUNCTION("""COMPUTED_VALUE"""),"https://docs.google.com/spreadsheets/d/1jonEGMB3UFHiUZpltF1zURon8gYN7jGSHu-k9t5TXnA/edit?gid=1024106965#gid=1024106965")</f>
        <v>https://docs.google.com/spreadsheets/d/1jonEGMB3UFHiUZpltF1zURon8gYN7jGSHu-k9t5TXnA/edit?gid=1024106965#gid=1024106965</v>
      </c>
      <c r="I566" s="6" t="str">
        <f>IFERROR(__xludf.DUMMYFUNCTION("""COMPUTED_VALUE"""),"https://disk.yandex.ru/client/disk/Осмотры%20объектов%20АНО%20СМГ/%22АИП%202027%22%20Технологическая%20часть%20ТПУ%20на%20станции%20метро%20%22Электрозаводская%22.%20Этап%202")</f>
        <v>https://disk.yandex.ru/client/disk/Осмотры%20объектов%20АНО%20СМГ/%22АИП%202027%22%20Технологическая%20часть%20ТПУ%20на%20станции%20метро%20%22Электрозаводская%22.%20Этап%202</v>
      </c>
      <c r="J566" s="50">
        <f>IFERROR(__xludf.DUMMYFUNCTION("""COMPUTED_VALUE"""),2.502)</f>
        <v>2.502</v>
      </c>
      <c r="K566" s="58">
        <f>IFERROR(__xludf.DUMMYFUNCTION("""COMPUTED_VALUE"""),45807.0)</f>
        <v>45807</v>
      </c>
      <c r="L566" s="6">
        <v>30.0</v>
      </c>
      <c r="M566" s="52">
        <v>45837.0</v>
      </c>
      <c r="N566" s="53" t="s">
        <v>668</v>
      </c>
      <c r="O566" s="6" t="s">
        <v>994</v>
      </c>
      <c r="P566" s="6"/>
      <c r="Q566" s="6"/>
      <c r="R566" s="6"/>
    </row>
    <row r="567">
      <c r="A567" s="31" t="str">
        <f>IFERROR(__xludf.DUMMYFUNCTION("""COMPUTED_VALUE"""),"173д")</f>
        <v>173д</v>
      </c>
      <c r="B567" s="14" t="str">
        <f>IFERROR(__xludf.DUMMYFUNCTION("""COMPUTED_VALUE"""),"АИП-27")</f>
        <v>АИП-27</v>
      </c>
      <c r="C567" s="14" t="str">
        <f>IFERROR(__xludf.DUMMYFUNCTION("""COMPUTED_VALUE"""),"УДС")</f>
        <v>УДС</v>
      </c>
      <c r="D567" s="60"/>
      <c r="E567" s="14" t="str">
        <f>IFERROR(__xludf.DUMMYFUNCTION("""COMPUTED_VALUE"""),"Строительство многоуровневых транспортных развязок на пересечении автомобильной дороги ""Солнцево - Бутово-Видное"" с Боровским шоссе и Киевским шоссе. Транспортная развязка c Новоорловской ул. Этап 2 пересечение автомобильной дороги ""Солнцево - Бутово-В"&amp;"идное"" с Боровским шоссе и Киевским шоссе")</f>
        <v>Строительство многоуровневых транспортных развязок на пересечении автомобильной дороги "Солнцево - Бутово-Видное" с Боровским шоссе и Киевским шоссе. Транспортная развязка c Новоорловской ул. Этап 2 пересечение автомобильной дороги "Солнцево - Бутово-Видное" с Боровским шоссе и Киевским шоссе</v>
      </c>
      <c r="F567" s="25" t="str">
        <f>IFERROR(__xludf.DUMMYFUNCTION("""COMPUTED_VALUE"""),"#N/A")</f>
        <v>#N/A</v>
      </c>
      <c r="G567" s="6" t="str">
        <f>IFERROR(__xludf.DUMMYFUNCTION("""COMPUTED_VALUE"""),"#N/A")</f>
        <v>#N/A</v>
      </c>
      <c r="H567" s="6"/>
      <c r="I567" s="6"/>
      <c r="J567" s="50">
        <f>IFERROR(__xludf.DUMMYFUNCTION("""COMPUTED_VALUE"""),0.0)</f>
        <v>0</v>
      </c>
      <c r="K567" s="58">
        <f>IFERROR(__xludf.DUMMYFUNCTION("""COMPUTED_VALUE"""),45974.0)</f>
        <v>45974</v>
      </c>
      <c r="L567" s="6">
        <v>30.0</v>
      </c>
      <c r="M567" s="52">
        <v>46004.0</v>
      </c>
      <c r="N567" s="53" t="s">
        <v>711</v>
      </c>
      <c r="O567" s="6" t="s">
        <v>995</v>
      </c>
      <c r="P567" s="6"/>
      <c r="Q567" s="6"/>
      <c r="R567" s="6"/>
    </row>
    <row r="568">
      <c r="A568" s="31" t="str">
        <f>IFERROR(__xludf.DUMMYFUNCTION("""COMPUTED_VALUE"""),"436д")</f>
        <v>436д</v>
      </c>
      <c r="B568" s="14" t="str">
        <f>IFERROR(__xludf.DUMMYFUNCTION("""COMPUTED_VALUE"""),"АИП-27")</f>
        <v>АИП-27</v>
      </c>
      <c r="C568" s="14" t="str">
        <f>IFERROR(__xludf.DUMMYFUNCTION("""COMPUTED_VALUE"""),"УДС")</f>
        <v>УДС</v>
      </c>
      <c r="D568" s="60"/>
      <c r="E568" s="14" t="str">
        <f>IFERROR(__xludf.DUMMYFUNCTION("""COMPUTED_VALUE"""),"Строительство и реконструкция улично-дорожной сети ограниченной Савеловским направлением Московской железной дороги, Алексеевской соединительной веткой Московской железной дороги, Звездным б-ром и пр-дом Добролюбова со строительством искусственного сооруж"&amp;"ения через Октябрьское направления железной дороги Звездный бульвар, пр Добролюбова")</f>
        <v>Строительство и реконструкция улично-дорожной сети ограниченной Савеловским направлением Московской железной дороги, Алексеевской соединительной веткой Московской железной дороги, Звездным б-ром и пр-дом Добролюбова со строительством искусственного сооружения через Октябрьское направления железной дороги Звездный бульвар, пр Добролюбова</v>
      </c>
      <c r="F568" s="25" t="str">
        <f>IFERROR(__xludf.DUMMYFUNCTION("""COMPUTED_VALUE"""),"#N/A")</f>
        <v>#N/A</v>
      </c>
      <c r="G568" s="6" t="str">
        <f>IFERROR(__xludf.DUMMYFUNCTION("""COMPUTED_VALUE"""),"#N/A")</f>
        <v>#N/A</v>
      </c>
      <c r="H568" s="6"/>
      <c r="I568" s="6"/>
      <c r="J568" s="50">
        <f>IFERROR(__xludf.DUMMYFUNCTION("""COMPUTED_VALUE"""),0.0)</f>
        <v>0</v>
      </c>
      <c r="K568" s="58"/>
      <c r="L568" s="6">
        <v>30.0</v>
      </c>
      <c r="M568" s="52" t="s">
        <v>655</v>
      </c>
      <c r="N568" s="53" t="s">
        <v>698</v>
      </c>
      <c r="O568" s="6" t="s">
        <v>893</v>
      </c>
      <c r="P568" s="6"/>
      <c r="Q568" s="6"/>
      <c r="R568" s="6"/>
    </row>
    <row r="569">
      <c r="A569" s="31" t="str">
        <f>IFERROR(__xludf.DUMMYFUNCTION("""COMPUTED_VALUE"""),"1292")</f>
        <v>1292</v>
      </c>
      <c r="B569" s="14" t="str">
        <f>IFERROR(__xludf.DUMMYFUNCTION("""COMPUTED_VALUE"""),"АИП-27")</f>
        <v>АИП-27</v>
      </c>
      <c r="C569" s="14" t="str">
        <f>IFERROR(__xludf.DUMMYFUNCTION("""COMPUTED_VALUE"""),"ОКС")</f>
        <v>ОКС</v>
      </c>
      <c r="D569" s="60"/>
      <c r="E569" s="14" t="str">
        <f>IFERROR(__xludf.DUMMYFUNCTION("""COMPUTED_VALUE"""),"ДОУ на 350 мест, пос. Новофедоровское, д. Яковлевское пос. Новофедоровское, д. Яковлевское")</f>
        <v>ДОУ на 350 мест, пос. Новофедоровское, д. Яковлевское пос. Новофедоровское, д. Яковлевское</v>
      </c>
      <c r="F569" s="25" t="str">
        <f>IFERROR(__xludf.DUMMYFUNCTION("""COMPUTED_VALUE"""),"#N/A")</f>
        <v>#N/A</v>
      </c>
      <c r="G569" s="6" t="str">
        <f>IFERROR(__xludf.DUMMYFUNCTION("""COMPUTED_VALUE"""),"#N/A")</f>
        <v>#N/A</v>
      </c>
      <c r="H569" s="18" t="str">
        <f>IFERROR(__xludf.DUMMYFUNCTION("""COMPUTED_VALUE"""),"https://docs.google.com/spreadsheets/d/19THEBTE9q0fhN2eApZr6BgenIvLGh0AckaYxHQfHk5w/edit?gid=1788417276#gid=1788417276")</f>
        <v>https://docs.google.com/spreadsheets/d/19THEBTE9q0fhN2eApZr6BgenIvLGh0AckaYxHQfHk5w/edit?gid=1788417276#gid=1788417276</v>
      </c>
      <c r="I569" s="19"/>
      <c r="J569" s="50">
        <f>IFERROR(__xludf.DUMMYFUNCTION("""COMPUTED_VALUE"""),0.0)</f>
        <v>0</v>
      </c>
      <c r="K569" s="58">
        <f>IFERROR(__xludf.DUMMYFUNCTION("""COMPUTED_VALUE"""),45895.0)</f>
        <v>45895</v>
      </c>
      <c r="L569" s="6">
        <v>30.0</v>
      </c>
      <c r="M569" s="52">
        <v>45925.0</v>
      </c>
      <c r="N569" s="53" t="s">
        <v>668</v>
      </c>
      <c r="O569" s="19" t="s">
        <v>996</v>
      </c>
      <c r="P569" s="6"/>
      <c r="Q569" s="6"/>
      <c r="R569" s="6"/>
    </row>
    <row r="570">
      <c r="A570" s="31" t="str">
        <f>IFERROR(__xludf.DUMMYFUNCTION("""COMPUTED_VALUE"""),"284")</f>
        <v>284</v>
      </c>
      <c r="B570" s="14" t="str">
        <f>IFERROR(__xludf.DUMMYFUNCTION("""COMPUTED_VALUE"""),"АИП-27")</f>
        <v>АИП-27</v>
      </c>
      <c r="C570" s="14" t="str">
        <f>IFERROR(__xludf.DUMMYFUNCTION("""COMPUTED_VALUE"""),"ОКС")</f>
        <v>ОКС</v>
      </c>
      <c r="D570" s="60"/>
      <c r="E570" s="14" t="str">
        <f>IFERROR(__xludf.DUMMYFUNCTION("""COMPUTED_VALUE"""),"Школьное здание на 2200 мест на месте сноса зданий. Этап 1 ул. Главная, д. 9А и д. 13")</f>
        <v>Школьное здание на 2200 мест на месте сноса зданий. Этап 1 ул. Главная, д. 9А и д. 13</v>
      </c>
      <c r="F570" s="25" t="str">
        <f>IFERROR(__xludf.DUMMYFUNCTION("""COMPUTED_VALUE"""),"#N/A")</f>
        <v>#N/A</v>
      </c>
      <c r="G570" s="6" t="str">
        <f>IFERROR(__xludf.DUMMYFUNCTION("""COMPUTED_VALUE"""),"#N/A")</f>
        <v>#N/A</v>
      </c>
      <c r="H570" s="18" t="str">
        <f>IFERROR(__xludf.DUMMYFUNCTION("""COMPUTED_VALUE"""),"https://docs.google.com/spreadsheets/d/19THEBTE9q0fhN2eApZr6BgenIvLGh0AckaYxHQfHk5w/edit?gid=241258397#gid=241258397")</f>
        <v>https://docs.google.com/spreadsheets/d/19THEBTE9q0fhN2eApZr6BgenIvLGh0AckaYxHQfHk5w/edit?gid=241258397#gid=241258397</v>
      </c>
      <c r="I570" s="19" t="str">
        <f>IFERROR(__xludf.DUMMYFUNCTION("""COMPUTED_VALUE"""),"https://disk.yandex.ru/client/disk/Осмотры%20объектов%20АНО%20СМГ/284.%20р-н%20Восточный%2C%20ул.%20Главная%2C%20д.%2013%2C%20д.13%20стр.%202%2C3.%20д.%2015%20А%2C%20ул.%209%20мая%2C%20д.%2013")</f>
        <v>https://disk.yandex.ru/client/disk/Осмотры%20объектов%20АНО%20СМГ/284.%20р-н%20Восточный%2C%20ул.%20Главная%2C%20д.%2013%2C%20д.13%20стр.%202%2C3.%20д.%2015%20А%2C%20ул.%209%20мая%2C%20д.%2013</v>
      </c>
      <c r="J570" s="50">
        <f>IFERROR(__xludf.DUMMYFUNCTION("""COMPUTED_VALUE"""),0.0)</f>
        <v>0</v>
      </c>
      <c r="K570" s="58">
        <f>IFERROR(__xludf.DUMMYFUNCTION("""COMPUTED_VALUE"""),45681.0)</f>
        <v>45681</v>
      </c>
      <c r="L570" s="6">
        <v>30.0</v>
      </c>
      <c r="M570" s="52">
        <v>45711.0</v>
      </c>
      <c r="N570" s="53" t="s">
        <v>668</v>
      </c>
      <c r="O570" s="19" t="s">
        <v>997</v>
      </c>
      <c r="P570" s="6"/>
      <c r="Q570" s="6"/>
      <c r="R570" s="6"/>
    </row>
    <row r="571">
      <c r="A571" s="31" t="str">
        <f>IFERROR(__xludf.DUMMYFUNCTION("""COMPUTED_VALUE"""),"НД")</f>
        <v>НД</v>
      </c>
      <c r="B571" s="14" t="str">
        <f>IFERROR(__xludf.DUMMYFUNCTION("""COMPUTED_VALUE"""),"АИП-27")</f>
        <v>АИП-27</v>
      </c>
      <c r="C571" s="14" t="str">
        <f>IFERROR(__xludf.DUMMYFUNCTION("""COMPUTED_VALUE"""),"ОКС")</f>
        <v>ОКС</v>
      </c>
      <c r="D571" s="60"/>
      <c r="E571" s="14" t="str">
        <f>IFERROR(__xludf.DUMMYFUNCTION("""COMPUTED_VALUE"""),"Школьное здание на 2200 мест на месте сноса зданий. Этап 2 ул. Главная, д. 9А и д. 13")</f>
        <v>Школьное здание на 2200 мест на месте сноса зданий. Этап 2 ул. Главная, д. 9А и д. 13</v>
      </c>
      <c r="F571" s="25" t="str">
        <f>IFERROR(__xludf.DUMMYFUNCTION("""COMPUTED_VALUE"""),"#N/A")</f>
        <v>#N/A</v>
      </c>
      <c r="G571" s="6" t="str">
        <f>IFERROR(__xludf.DUMMYFUNCTION("""COMPUTED_VALUE"""),"#N/A")</f>
        <v>#N/A</v>
      </c>
      <c r="H571" s="6"/>
      <c r="I571" s="19"/>
      <c r="J571" s="50"/>
      <c r="K571" s="58"/>
      <c r="L571" s="6">
        <v>30.0</v>
      </c>
      <c r="M571" s="52" t="s">
        <v>655</v>
      </c>
      <c r="N571" s="53" t="s">
        <v>698</v>
      </c>
      <c r="O571" s="19" t="s">
        <v>997</v>
      </c>
      <c r="P571" s="6"/>
      <c r="Q571" s="6"/>
      <c r="R571" s="6"/>
    </row>
    <row r="572">
      <c r="A572" s="31" t="str">
        <f>IFERROR(__xludf.DUMMYFUNCTION("""COMPUTED_VALUE"""),"282")</f>
        <v>282</v>
      </c>
      <c r="B572" s="14" t="str">
        <f>IFERROR(__xludf.DUMMYFUNCTION("""COMPUTED_VALUE"""),"АИП-27")</f>
        <v>АИП-27</v>
      </c>
      <c r="C572" s="14" t="str">
        <f>IFERROR(__xludf.DUMMYFUNCTION("""COMPUTED_VALUE"""),"ОКС")</f>
        <v>ОКС</v>
      </c>
      <c r="D572" s="60"/>
      <c r="E572" s="14" t="str">
        <f>IFERROR(__xludf.DUMMYFUNCTION("""COMPUTED_VALUE"""),"Школьное здание на 2000 мест, пр-кт Андропова, р-н Даниловский пр-кт Андропова, р-н Даниловский")</f>
        <v>Школьное здание на 2000 мест, пр-кт Андропова, р-н Даниловский пр-кт Андропова, р-н Даниловский</v>
      </c>
      <c r="F572" s="25" t="str">
        <f>IFERROR(__xludf.DUMMYFUNCTION("""COMPUTED_VALUE"""),"#N/A")</f>
        <v>#N/A</v>
      </c>
      <c r="G572" s="6" t="str">
        <f>IFERROR(__xludf.DUMMYFUNCTION("""COMPUTED_VALUE"""),"#N/A")</f>
        <v>#N/A</v>
      </c>
      <c r="H572" s="18" t="str">
        <f>IFERROR(__xludf.DUMMYFUNCTION("""COMPUTED_VALUE"""),"https://docs.google.com/spreadsheets/d/19THEBTE9q0fhN2eApZr6BgenIvLGh0AckaYxHQfHk5w/edit?gid=373322802#gid=373322802")</f>
        <v>https://docs.google.com/spreadsheets/d/19THEBTE9q0fhN2eApZr6BgenIvLGh0AckaYxHQfHk5w/edit?gid=373322802#gid=373322802</v>
      </c>
      <c r="I572" s="19" t="str">
        <f>IFERROR(__xludf.DUMMYFUNCTION("""COMPUTED_VALUE"""),"https://disk.yandex.ru/client/disk/Осмотры%20объектов%20АНО%20СМГ/282.%20Школьное%20здание%20на%202000%20мест%2C%20пр-кт%20Андропова%2C%20р-н%20Даниловский")</f>
        <v>https://disk.yandex.ru/client/disk/Осмотры%20объектов%20АНО%20СМГ/282.%20Школьное%20здание%20на%202000%20мест%2C%20пр-кт%20Андропова%2C%20р-н%20Даниловский</v>
      </c>
      <c r="J572" s="50">
        <f>IFERROR(__xludf.DUMMYFUNCTION("""COMPUTED_VALUE"""),0.0)</f>
        <v>0</v>
      </c>
      <c r="K572" s="58">
        <f>IFERROR(__xludf.DUMMYFUNCTION("""COMPUTED_VALUE"""),45845.0)</f>
        <v>45845</v>
      </c>
      <c r="L572" s="6">
        <v>30.0</v>
      </c>
      <c r="M572" s="52">
        <v>45875.0</v>
      </c>
      <c r="N572" s="53" t="s">
        <v>668</v>
      </c>
      <c r="O572" s="19" t="s">
        <v>998</v>
      </c>
      <c r="P572" s="6"/>
      <c r="Q572" s="6"/>
      <c r="R572" s="6"/>
    </row>
    <row r="573">
      <c r="A573" s="31" t="str">
        <f>IFERROR(__xludf.DUMMYFUNCTION("""COMPUTED_VALUE"""),"311")</f>
        <v>311</v>
      </c>
      <c r="B573" s="14" t="str">
        <f>IFERROR(__xludf.DUMMYFUNCTION("""COMPUTED_VALUE"""),"АИП-27")</f>
        <v>АИП-27</v>
      </c>
      <c r="C573" s="14" t="str">
        <f>IFERROR(__xludf.DUMMYFUNCTION("""COMPUTED_VALUE"""),"ОКС")</f>
        <v>ОКС</v>
      </c>
      <c r="D573" s="60"/>
      <c r="E573" s="14" t="str">
        <f>IFERROR(__xludf.DUMMYFUNCTION("""COMPUTED_VALUE"""),"Детско-взрослая поликлиника на 560 посещений в смену проектируемый проезд 3538 напротив Мичуринского проспекта, д.29, к.4, район Раменки, ЗАО")</f>
        <v>Детско-взрослая поликлиника на 560 посещений в смену проектируемый проезд 3538 напротив Мичуринского проспекта, д.29, к.4, район Раменки, ЗАО</v>
      </c>
      <c r="F573" s="25" t="str">
        <f>IFERROR(__xludf.DUMMYFUNCTION("""COMPUTED_VALUE"""),"#N/A")</f>
        <v>#N/A</v>
      </c>
      <c r="G573" s="6" t="str">
        <f>IFERROR(__xludf.DUMMYFUNCTION("""COMPUTED_VALUE"""),"#N/A")</f>
        <v>#N/A</v>
      </c>
      <c r="H573" s="18" t="str">
        <f>IFERROR(__xludf.DUMMYFUNCTION("""COMPUTED_VALUE"""),"https://docs.google.com/spreadsheets/d/19THEBTE9q0fhN2eApZr6BgenIvLGh0AckaYxHQfHk5w/edit?gid=612628733#gid=612628733")</f>
        <v>https://docs.google.com/spreadsheets/d/19THEBTE9q0fhN2eApZr6BgenIvLGh0AckaYxHQfHk5w/edit?gid=612628733#gid=612628733</v>
      </c>
      <c r="I573" s="19" t="str">
        <f>IFERROR(__xludf.DUMMYFUNCTION("""COMPUTED_VALUE"""),"https://disk.yandex.ru/client/disk/Осмотры%20объектов%20АНО%20СМГ/311.%20Детско-взрослая%20поликлиника%20на%20560%20посещений%20в%20смену%20по%20адресу%3A%20г.%20Москва%2Cнапротив%20Мичуринского%20пр-кта%2C%0Aд.29%2C%20к.4%2C")</f>
        <v>https://disk.yandex.ru/client/disk/Осмотры%20объектов%20АНО%20СМГ/311.%20Детско-взрослая%20поликлиника%20на%20560%20посещений%20в%20смену%20по%20адресу%3A%20г.%20Москва%2Cнапротив%20Мичуринского%20пр-кта%2C%0Aд.29%2C%20к.4%2C</v>
      </c>
      <c r="J573" s="50">
        <f>IFERROR(__xludf.DUMMYFUNCTION("""COMPUTED_VALUE"""),0.0)</f>
        <v>0</v>
      </c>
      <c r="K573" s="58">
        <f>IFERROR(__xludf.DUMMYFUNCTION("""COMPUTED_VALUE"""),45807.0)</f>
        <v>45807</v>
      </c>
      <c r="L573" s="6">
        <v>30.0</v>
      </c>
      <c r="M573" s="52">
        <v>45837.0</v>
      </c>
      <c r="N573" s="53" t="s">
        <v>668</v>
      </c>
      <c r="O573" s="19" t="s">
        <v>999</v>
      </c>
      <c r="P573" s="6"/>
      <c r="Q573" s="6"/>
      <c r="R573" s="6"/>
    </row>
    <row r="574">
      <c r="A574" s="31" t="str">
        <f>IFERROR(__xludf.DUMMYFUNCTION("""COMPUTED_VALUE"""),"437д")</f>
        <v>437д</v>
      </c>
      <c r="B574" s="14" t="str">
        <f>IFERROR(__xludf.DUMMYFUNCTION("""COMPUTED_VALUE"""),"АИП-27")</f>
        <v>АИП-27</v>
      </c>
      <c r="C574" s="14" t="str">
        <f>IFERROR(__xludf.DUMMYFUNCTION("""COMPUTED_VALUE"""),"УДС")</f>
        <v>УДС</v>
      </c>
      <c r="D574" s="60"/>
      <c r="E574" s="14" t="str">
        <f>IFERROR(__xludf.DUMMYFUNCTION("""COMPUTED_VALUE"""),"Пешеходный переход через Киевское направление МЖД, ул. Рябиновая и проектируемый пр-д № 1980 ул. Рябиновая и проектируемый пр-д № 1980")</f>
        <v>Пешеходный переход через Киевское направление МЖД, ул. Рябиновая и проектируемый пр-д № 1980 ул. Рябиновая и проектируемый пр-д № 1980</v>
      </c>
      <c r="F574" s="25" t="str">
        <f>IFERROR(__xludf.DUMMYFUNCTION("""COMPUTED_VALUE"""),"#N/A")</f>
        <v>#N/A</v>
      </c>
      <c r="G574" s="6" t="str">
        <f>IFERROR(__xludf.DUMMYFUNCTION("""COMPUTED_VALUE"""),"#N/A")</f>
        <v>#N/A</v>
      </c>
      <c r="H574" s="6"/>
      <c r="I574" s="6"/>
      <c r="J574" s="50">
        <f>IFERROR(__xludf.DUMMYFUNCTION("""COMPUTED_VALUE"""),0.0)</f>
        <v>0</v>
      </c>
      <c r="K574" s="58"/>
      <c r="L574" s="6">
        <v>30.0</v>
      </c>
      <c r="M574" s="52" t="s">
        <v>655</v>
      </c>
      <c r="N574" s="53" t="s">
        <v>698</v>
      </c>
      <c r="O574" s="6" t="s">
        <v>893</v>
      </c>
      <c r="P574" s="6"/>
      <c r="Q574" s="6"/>
      <c r="R574" s="6"/>
    </row>
    <row r="575">
      <c r="A575" s="31" t="str">
        <f>IFERROR(__xludf.DUMMYFUNCTION("""COMPUTED_VALUE"""),"453д")</f>
        <v>453д</v>
      </c>
      <c r="B575" s="14" t="str">
        <f>IFERROR(__xludf.DUMMYFUNCTION("""COMPUTED_VALUE"""),"АИП-27")</f>
        <v>АИП-27</v>
      </c>
      <c r="C575" s="14" t="str">
        <f>IFERROR(__xludf.DUMMYFUNCTION("""COMPUTED_VALUE"""),"УДС")</f>
        <v>УДС</v>
      </c>
      <c r="D575" s="60"/>
      <c r="E575" s="14" t="str">
        <f>IFERROR(__xludf.DUMMYFUNCTION("""COMPUTED_VALUE"""),"Многоуровневые транспортные развязки на пересечении Северо- Восточной хорды с 5-м проездом Подбельского и Открытым шоссе. Пешеходная галерея пересечение Северо- Восточной хорды с 5-м проездом Подбельского и Открытым шоссе")</f>
        <v>Многоуровневые транспортные развязки на пересечении Северо- Восточной хорды с 5-м проездом Подбельского и Открытым шоссе. Пешеходная галерея пересечение Северо- Восточной хорды с 5-м проездом Подбельского и Открытым шоссе</v>
      </c>
      <c r="F575" s="25" t="str">
        <f>IFERROR(__xludf.DUMMYFUNCTION("""COMPUTED_VALUE"""),"#N/A")</f>
        <v>#N/A</v>
      </c>
      <c r="G575" s="6" t="str">
        <f>IFERROR(__xludf.DUMMYFUNCTION("""COMPUTED_VALUE"""),"#N/A")</f>
        <v>#N/A</v>
      </c>
      <c r="H575" s="6"/>
      <c r="I575" s="6"/>
      <c r="J575" s="50">
        <f>IFERROR(__xludf.DUMMYFUNCTION("""COMPUTED_VALUE"""),0.0)</f>
        <v>0</v>
      </c>
      <c r="K575" s="58">
        <f>IFERROR(__xludf.DUMMYFUNCTION("""COMPUTED_VALUE"""),45962.0)</f>
        <v>45962</v>
      </c>
      <c r="L575" s="6">
        <v>30.0</v>
      </c>
      <c r="M575" s="52">
        <v>45992.0</v>
      </c>
      <c r="N575" s="53" t="s">
        <v>692</v>
      </c>
      <c r="O575" s="6" t="s">
        <v>980</v>
      </c>
      <c r="P575" s="6"/>
      <c r="Q575" s="6"/>
      <c r="R575" s="6"/>
    </row>
    <row r="576">
      <c r="A576" s="31" t="str">
        <f>IFERROR(__xludf.DUMMYFUNCTION("""COMPUTED_VALUE"""),"НД")</f>
        <v>НД</v>
      </c>
      <c r="B576" s="14" t="str">
        <f>IFERROR(__xludf.DUMMYFUNCTION("""COMPUTED_VALUE"""),"АИП-27")</f>
        <v>АИП-27</v>
      </c>
      <c r="C576" s="14" t="str">
        <f>IFERROR(__xludf.DUMMYFUNCTION("""COMPUTED_VALUE"""),"УДС")</f>
        <v>УДС</v>
      </c>
      <c r="D576" s="60"/>
      <c r="E576" s="14" t="str">
        <f>IFERROR(__xludf.DUMMYFUNCTION("""COMPUTED_VALUE"""),"Прокладка инженерных коммуникаций для мкр. 9-10К р- на Войковский микрорайон 9-10К района Войковский")</f>
        <v>Прокладка инженерных коммуникаций для мкр. 9-10К р- на Войковский микрорайон 9-10К района Войковский</v>
      </c>
      <c r="F576" s="25" t="str">
        <f>IFERROR(__xludf.DUMMYFUNCTION("""COMPUTED_VALUE"""),"#N/A")</f>
        <v>#N/A</v>
      </c>
      <c r="G576" s="6" t="str">
        <f>IFERROR(__xludf.DUMMYFUNCTION("""COMPUTED_VALUE"""),"#N/A")</f>
        <v>#N/A</v>
      </c>
      <c r="H576" s="6"/>
      <c r="I576" s="6"/>
      <c r="J576" s="50"/>
      <c r="K576" s="58"/>
      <c r="L576" s="6">
        <v>30.0</v>
      </c>
      <c r="M576" s="52" t="s">
        <v>655</v>
      </c>
      <c r="N576" s="53" t="s">
        <v>698</v>
      </c>
      <c r="O576" s="6" t="s">
        <v>1000</v>
      </c>
      <c r="P576" s="6"/>
      <c r="Q576" s="6"/>
      <c r="R576" s="6"/>
    </row>
    <row r="577">
      <c r="A577" s="31" t="str">
        <f>IFERROR(__xludf.DUMMYFUNCTION("""COMPUTED_VALUE"""),"1174д")</f>
        <v>1174д</v>
      </c>
      <c r="B577" s="14" t="str">
        <f>IFERROR(__xludf.DUMMYFUNCTION("""COMPUTED_VALUE"""),"АИП-27")</f>
        <v>АИП-27</v>
      </c>
      <c r="C577" s="14" t="str">
        <f>IFERROR(__xludf.DUMMYFUNCTION("""COMPUTED_VALUE"""),"УДС")</f>
        <v>УДС</v>
      </c>
      <c r="D577" s="60"/>
      <c r="E577"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5.1.2: реконструкция ВЗУ
«Ботаков"&amp;"о» г. Троицк, в районе ВЗС ""Ботаково""")</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5.1.2: реконструкция ВЗУ
«Ботаково» г. Троицк, в районе ВЗС "Ботаково"</v>
      </c>
      <c r="F577" s="25" t="str">
        <f>IFERROR(__xludf.DUMMYFUNCTION("""COMPUTED_VALUE"""),"#N/A")</f>
        <v>#N/A</v>
      </c>
      <c r="G577" s="6" t="str">
        <f>IFERROR(__xludf.DUMMYFUNCTION("""COMPUTED_VALUE"""),"#N/A")</f>
        <v>#N/A</v>
      </c>
      <c r="H577" s="6"/>
      <c r="I577" s="6"/>
      <c r="J577" s="50">
        <f>IFERROR(__xludf.DUMMYFUNCTION("""COMPUTED_VALUE"""),0.05)</f>
        <v>0.05</v>
      </c>
      <c r="K577" s="58">
        <f>IFERROR(__xludf.DUMMYFUNCTION("""COMPUTED_VALUE"""),45806.0)</f>
        <v>45806</v>
      </c>
      <c r="L577" s="6">
        <v>30.0</v>
      </c>
      <c r="M577" s="52">
        <v>45836.0</v>
      </c>
      <c r="N577" s="53" t="s">
        <v>668</v>
      </c>
      <c r="O577" s="6" t="s">
        <v>1001</v>
      </c>
      <c r="P577" s="6"/>
      <c r="Q577" s="6"/>
      <c r="R577" s="6"/>
    </row>
    <row r="578">
      <c r="A578" s="31" t="str">
        <f>IFERROR(__xludf.DUMMYFUNCTION("""COMPUTED_VALUE"""),"1174д")</f>
        <v>1174д</v>
      </c>
      <c r="B578" s="14" t="str">
        <f>IFERROR(__xludf.DUMMYFUNCTION("""COMPUTED_VALUE"""),"АИП-27")</f>
        <v>АИП-27</v>
      </c>
      <c r="C578" s="14" t="str">
        <f>IFERROR(__xludf.DUMMYFUNCTION("""COMPUTED_VALUE"""),"УДС")</f>
        <v>УДС</v>
      </c>
      <c r="D578" s="60"/>
      <c r="E578"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5.1.4 Водопровод-уход на ВЗУ «Ботаково» г. Троицк, ул. Полковника Милиции Курочкина, земельный участ"&amp;"ок 7.")</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5.1.4 Водопровод-уход на ВЗУ «Ботаково» г. Троицк, ул. Полковника Милиции Курочкина, земельный участок 7.</v>
      </c>
      <c r="F578" s="25" t="str">
        <f>IFERROR(__xludf.DUMMYFUNCTION("""COMPUTED_VALUE"""),"#N/A")</f>
        <v>#N/A</v>
      </c>
      <c r="G578" s="6" t="str">
        <f>IFERROR(__xludf.DUMMYFUNCTION("""COMPUTED_VALUE"""),"#N/A")</f>
        <v>#N/A</v>
      </c>
      <c r="H578" s="6"/>
      <c r="I578" s="6"/>
      <c r="J578" s="50">
        <f>IFERROR(__xludf.DUMMYFUNCTION("""COMPUTED_VALUE"""),0.05)</f>
        <v>0.05</v>
      </c>
      <c r="K578" s="58">
        <f>IFERROR(__xludf.DUMMYFUNCTION("""COMPUTED_VALUE"""),45806.0)</f>
        <v>45806</v>
      </c>
      <c r="L578" s="6">
        <v>30.0</v>
      </c>
      <c r="M578" s="52">
        <v>45836.0</v>
      </c>
      <c r="N578" s="53" t="s">
        <v>668</v>
      </c>
      <c r="O578" s="6" t="s">
        <v>1002</v>
      </c>
      <c r="P578" s="6"/>
      <c r="Q578" s="6"/>
      <c r="R578" s="6"/>
    </row>
    <row r="579">
      <c r="A579" s="31" t="str">
        <f>IFERROR(__xludf.DUMMYFUNCTION("""COMPUTED_VALUE"""),"1174д")</f>
        <v>1174д</v>
      </c>
      <c r="B579" s="14" t="str">
        <f>IFERROR(__xludf.DUMMYFUNCTION("""COMPUTED_VALUE"""),"АИП-27")</f>
        <v>АИП-27</v>
      </c>
      <c r="C579" s="14" t="str">
        <f>IFERROR(__xludf.DUMMYFUNCTION("""COMPUTED_VALUE"""),"УДС")</f>
        <v>УДС</v>
      </c>
      <c r="D579" s="60"/>
      <c r="E579"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5.1.1: реконструкция ВЗУ
«Микрора"&amp;"йон В г. Троицк, ул. Полковника Милиции Курочкина, земельный участок 7.")</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5.1.1: реконструкция ВЗУ
«Микрорайон В г. Троицк, ул. Полковника Милиции Курочкина, земельный участок 7.</v>
      </c>
      <c r="F579" s="25" t="str">
        <f>IFERROR(__xludf.DUMMYFUNCTION("""COMPUTED_VALUE"""),"#N/A")</f>
        <v>#N/A</v>
      </c>
      <c r="G579" s="6" t="str">
        <f>IFERROR(__xludf.DUMMYFUNCTION("""COMPUTED_VALUE"""),"#N/A")</f>
        <v>#N/A</v>
      </c>
      <c r="H579" s="6"/>
      <c r="I579" s="6"/>
      <c r="J579" s="50">
        <f>IFERROR(__xludf.DUMMYFUNCTION("""COMPUTED_VALUE"""),0.05)</f>
        <v>0.05</v>
      </c>
      <c r="K579" s="58">
        <f>IFERROR(__xludf.DUMMYFUNCTION("""COMPUTED_VALUE"""),45806.0)</f>
        <v>45806</v>
      </c>
      <c r="L579" s="6">
        <v>30.0</v>
      </c>
      <c r="M579" s="52">
        <v>45836.0</v>
      </c>
      <c r="N579" s="53" t="s">
        <v>668</v>
      </c>
      <c r="O579" s="6" t="s">
        <v>1003</v>
      </c>
      <c r="P579" s="6"/>
      <c r="Q579" s="6"/>
      <c r="R579" s="6"/>
    </row>
    <row r="580">
      <c r="A580" s="31" t="str">
        <f>IFERROR(__xludf.DUMMYFUNCTION("""COMPUTED_VALUE"""),"НД")</f>
        <v>НД</v>
      </c>
      <c r="B580" s="14" t="str">
        <f>IFERROR(__xludf.DUMMYFUNCTION("""COMPUTED_VALUE"""),"АИП-27")</f>
        <v>АИП-27</v>
      </c>
      <c r="C580" s="14" t="str">
        <f>IFERROR(__xludf.DUMMYFUNCTION("""COMPUTED_VALUE"""),"УДС")</f>
        <v>УДС</v>
      </c>
      <c r="D580" s="60"/>
      <c r="E580"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5.2: водопровод - уход на ВЗУ «ИЯИ» и ВЗУ «ФИАН») этап 5.2.1: реконструкция ВЗУ «ИЯИ» г. Троицк")</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5.2: водопровод - уход на ВЗУ «ИЯИ» и ВЗУ «ФИАН») этап 5.2.1: реконструкция ВЗУ «ИЯИ» г. Троицк</v>
      </c>
      <c r="F580" s="25" t="str">
        <f>IFERROR(__xludf.DUMMYFUNCTION("""COMPUTED_VALUE"""),"#N/A")</f>
        <v>#N/A</v>
      </c>
      <c r="G580" s="6" t="str">
        <f>IFERROR(__xludf.DUMMYFUNCTION("""COMPUTED_VALUE"""),"#N/A")</f>
        <v>#N/A</v>
      </c>
      <c r="H580" s="6"/>
      <c r="I580" s="6"/>
      <c r="J580" s="50"/>
      <c r="K580" s="58"/>
      <c r="L580" s="6">
        <v>30.0</v>
      </c>
      <c r="M580" s="52" t="s">
        <v>655</v>
      </c>
      <c r="N580" s="53" t="s">
        <v>698</v>
      </c>
      <c r="O580" s="6" t="s">
        <v>1003</v>
      </c>
      <c r="P580" s="6"/>
      <c r="Q580" s="6"/>
      <c r="R580" s="6"/>
    </row>
    <row r="581">
      <c r="A581" s="31" t="str">
        <f>IFERROR(__xludf.DUMMYFUNCTION("""COMPUTED_VALUE"""),"НД")</f>
        <v>НД</v>
      </c>
      <c r="B581" s="14" t="str">
        <f>IFERROR(__xludf.DUMMYFUNCTION("""COMPUTED_VALUE"""),"АИП-27")</f>
        <v>АИП-27</v>
      </c>
      <c r="C581" s="14" t="str">
        <f>IFERROR(__xludf.DUMMYFUNCTION("""COMPUTED_VALUE"""),"УДС")</f>
        <v>УДС</v>
      </c>
      <c r="D581" s="60"/>
      <c r="E581" s="14" t="str">
        <f>IFERROR(__xludf.DUMMYFUNCTION("""COMPUTED_VALUE"""),"этап 2.1: реконструкция ВЗУ «ИЗМИРАН» г. Троицк, на пересечении улиц Центральная и Пушковых")</f>
        <v>этап 2.1: реконструкция ВЗУ «ИЗМИРАН» г. Троицк, на пересечении улиц Центральная и Пушковых</v>
      </c>
      <c r="F581" s="25" t="str">
        <f>IFERROR(__xludf.DUMMYFUNCTION("""COMPUTED_VALUE"""),"#N/A")</f>
        <v>#N/A</v>
      </c>
      <c r="G581" s="6" t="str">
        <f>IFERROR(__xludf.DUMMYFUNCTION("""COMPUTED_VALUE"""),"#N/A")</f>
        <v>#N/A</v>
      </c>
      <c r="H581" s="6"/>
      <c r="I581" s="6"/>
      <c r="J581" s="50"/>
      <c r="K581" s="58"/>
      <c r="L581" s="6">
        <v>30.0</v>
      </c>
      <c r="M581" s="52" t="s">
        <v>655</v>
      </c>
      <c r="N581" s="53" t="s">
        <v>698</v>
      </c>
      <c r="O581" s="6" t="s">
        <v>1004</v>
      </c>
      <c r="P581" s="6"/>
      <c r="Q581" s="6"/>
      <c r="R581" s="6"/>
    </row>
    <row r="582">
      <c r="A582" s="31" t="str">
        <f>IFERROR(__xludf.DUMMYFUNCTION("""COMPUTED_VALUE"""),"1054д (дубль с 2026, возможно некорректоное наименование в графике ВВЕ)")</f>
        <v>1054д (дубль с 2026, возможно некорректоное наименование в графике ВВЕ)</v>
      </c>
      <c r="B582" s="14" t="str">
        <f>IFERROR(__xludf.DUMMYFUNCTION("""COMPUTED_VALUE"""),"АИП-27")</f>
        <v>АИП-27</v>
      </c>
      <c r="C582" s="14" t="str">
        <f>IFERROR(__xludf.DUMMYFUNCTION("""COMPUTED_VALUE"""),"УДС")</f>
        <v>УДС</v>
      </c>
      <c r="D582" s="15"/>
      <c r="E582" s="14" t="str">
        <f>IFERROR(__xludf.DUMMYFUNCTION("""COMPUTED_VALUE"""),"605-02  Городские инженерные коммуникации для комплексной реконструкции мкр. 1 р-на Царицыно г. Москва, ул. Кантемировская 31к2")</f>
        <v>605-02  Городские инженерные коммуникации для комплексной реконструкции мкр. 1 р-на Царицыно г. Москва, ул. Кантемировская 31к2</v>
      </c>
      <c r="F582" s="25" t="str">
        <f>IFERROR(__xludf.DUMMYFUNCTION("""COMPUTED_VALUE"""),"#N/A")</f>
        <v>#N/A</v>
      </c>
      <c r="G582" s="6" t="str">
        <f>IFERROR(__xludf.DUMMYFUNCTION("""COMPUTED_VALUE"""),"#N/A")</f>
        <v>#N/A</v>
      </c>
      <c r="H582" s="6"/>
      <c r="I582" s="6" t="str">
        <f>IFERROR(__xludf.DUMMYFUNCTION("""COMPUTED_VALUE"""),"https://disk.yandex.ru/client/disk/Осмотры%20объектов%20АНО%20СМГ/1054.%20Городские%20индженерные%20коммуникации%20для%20комплексной%20реконструкции%20мкр.%201%20Царицино")</f>
        <v>https://disk.yandex.ru/client/disk/Осмотры%20объектов%20АНО%20СМГ/1054.%20Городские%20индженерные%20коммуникации%20для%20комплексной%20реконструкции%20мкр.%201%20Царицино</v>
      </c>
      <c r="J582" s="50"/>
      <c r="K582" s="58"/>
      <c r="L582" s="6">
        <v>30.0</v>
      </c>
      <c r="M582" s="52" t="s">
        <v>655</v>
      </c>
      <c r="N582" s="53" t="s">
        <v>698</v>
      </c>
      <c r="O582" s="6"/>
      <c r="P582" s="6"/>
      <c r="Q582" s="6"/>
      <c r="R582" s="6"/>
    </row>
    <row r="583">
      <c r="A583" s="31" t="str">
        <f>IFERROR(__xludf.DUMMYFUNCTION("""COMPUTED_VALUE"""),"НД")</f>
        <v>НД</v>
      </c>
      <c r="B583" s="14" t="str">
        <f>IFERROR(__xludf.DUMMYFUNCTION("""COMPUTED_VALUE"""),"АИП-27")</f>
        <v>АИП-27</v>
      </c>
      <c r="C583" s="14" t="str">
        <f>IFERROR(__xludf.DUMMYFUNCTION("""COMPUTED_VALUE"""),"УДС")</f>
        <v>УДС</v>
      </c>
      <c r="D583" s="15"/>
      <c r="E583" s="14" t="str">
        <f>IFERROR(__xludf.DUMMYFUNCTION("""COMPUTED_VALUE"""),"Технологическая часть ТПУ на станции метро ""Текстильщики"". Этапы 4, 5, 6, 7 г. Москва, м. ""Текстильщики""")</f>
        <v>Технологическая часть ТПУ на станции метро "Текстильщики". Этапы 4, 5, 6, 7 г. Москва, м. "Текстильщики"</v>
      </c>
      <c r="F583" s="25" t="str">
        <f>IFERROR(__xludf.DUMMYFUNCTION("""COMPUTED_VALUE"""),"#N/A")</f>
        <v>#N/A</v>
      </c>
      <c r="G583" s="6" t="str">
        <f>IFERROR(__xludf.DUMMYFUNCTION("""COMPUTED_VALUE"""),"#N/A")</f>
        <v>#N/A</v>
      </c>
      <c r="H583" s="6"/>
      <c r="I583" s="6"/>
      <c r="J583" s="50"/>
      <c r="K583" s="58"/>
      <c r="L583" s="6">
        <v>30.0</v>
      </c>
      <c r="M583" s="52" t="s">
        <v>655</v>
      </c>
      <c r="N583" s="53" t="s">
        <v>698</v>
      </c>
      <c r="O583" s="6" t="s">
        <v>1005</v>
      </c>
      <c r="P583" s="6"/>
      <c r="Q583" s="6"/>
      <c r="R583" s="6"/>
    </row>
    <row r="584">
      <c r="A584" s="31" t="str">
        <f>IFERROR(__xludf.DUMMYFUNCTION("""COMPUTED_VALUE"""),"НД")</f>
        <v>НД</v>
      </c>
      <c r="B584" s="14" t="str">
        <f>IFERROR(__xludf.DUMMYFUNCTION("""COMPUTED_VALUE"""),"АИП-27")</f>
        <v>АИП-27</v>
      </c>
      <c r="C584" s="14" t="str">
        <f>IFERROR(__xludf.DUMMYFUNCTION("""COMPUTED_VALUE"""),"УДС")</f>
        <v>УДС</v>
      </c>
      <c r="D584" s="15"/>
      <c r="E584" s="14" t="str">
        <f>IFERROR(__xludf.DUMMYFUNCTION("""COMPUTED_VALUE"""),"Реконструкция инженерной инфраструктуры на территории Административно-делового центра в п. Коммунарка. Теплосеть (2 этап) п.Коммунарка")</f>
        <v>Реконструкция инженерной инфраструктуры на территории Административно-делового центра в п. Коммунарка. Теплосеть (2 этап) п.Коммунарка</v>
      </c>
      <c r="F584" s="25" t="str">
        <f>IFERROR(__xludf.DUMMYFUNCTION("""COMPUTED_VALUE"""),"#N/A")</f>
        <v>#N/A</v>
      </c>
      <c r="G584" s="6" t="str">
        <f>IFERROR(__xludf.DUMMYFUNCTION("""COMPUTED_VALUE"""),"#N/A")</f>
        <v>#N/A</v>
      </c>
      <c r="H584" s="6"/>
      <c r="I584" s="6"/>
      <c r="J584" s="50"/>
      <c r="K584" s="58"/>
      <c r="L584" s="6">
        <v>30.0</v>
      </c>
      <c r="M584" s="52" t="s">
        <v>655</v>
      </c>
      <c r="N584" s="53" t="s">
        <v>698</v>
      </c>
      <c r="O584" s="6" t="s">
        <v>1006</v>
      </c>
      <c r="P584" s="6"/>
      <c r="Q584" s="6"/>
      <c r="R584" s="6"/>
    </row>
    <row r="585">
      <c r="A585" s="31" t="str">
        <f>IFERROR(__xludf.DUMMYFUNCTION("""COMPUTED_VALUE"""),"НД")</f>
        <v>НД</v>
      </c>
      <c r="B585" s="14" t="str">
        <f>IFERROR(__xludf.DUMMYFUNCTION("""COMPUTED_VALUE"""),"АИП-27")</f>
        <v>АИП-27</v>
      </c>
      <c r="C585" s="14" t="str">
        <f>IFERROR(__xludf.DUMMYFUNCTION("""COMPUTED_VALUE"""),"УДС")</f>
        <v>УДС</v>
      </c>
      <c r="D585" s="69"/>
      <c r="E585" s="14" t="str">
        <f>IFERROR(__xludf.DUMMYFUNCTION("""COMPUTED_VALUE"""),"Реконструкция инженерной инфраструктуры на территории Административно-делового центра в п. Коммунарка. Городская канализация п.Коммунарка")</f>
        <v>Реконструкция инженерной инфраструктуры на территории Административно-делового центра в п. Коммунарка. Городская канализация п.Коммунарка</v>
      </c>
      <c r="F585" s="25" t="str">
        <f>IFERROR(__xludf.DUMMYFUNCTION("""COMPUTED_VALUE"""),"#N/A")</f>
        <v>#N/A</v>
      </c>
      <c r="G585" s="6" t="str">
        <f>IFERROR(__xludf.DUMMYFUNCTION("""COMPUTED_VALUE"""),"#N/A")</f>
        <v>#N/A</v>
      </c>
      <c r="H585" s="6"/>
      <c r="I585" s="6"/>
      <c r="J585" s="50"/>
      <c r="K585" s="58"/>
      <c r="L585" s="6">
        <v>30.0</v>
      </c>
      <c r="M585" s="52" t="s">
        <v>655</v>
      </c>
      <c r="N585" s="53" t="s">
        <v>698</v>
      </c>
      <c r="O585" s="6" t="s">
        <v>1006</v>
      </c>
      <c r="P585" s="6"/>
      <c r="Q585" s="6"/>
      <c r="R585" s="6"/>
    </row>
    <row r="586">
      <c r="A586" s="31" t="str">
        <f>IFERROR(__xludf.DUMMYFUNCTION("""COMPUTED_VALUE"""),"НД")</f>
        <v>НД</v>
      </c>
      <c r="B586" s="14" t="str">
        <f>IFERROR(__xludf.DUMMYFUNCTION("""COMPUTED_VALUE"""),"АИП-27")</f>
        <v>АИП-27</v>
      </c>
      <c r="C586" s="14" t="str">
        <f>IFERROR(__xludf.DUMMYFUNCTION("""COMPUTED_VALUE"""),"УДС")</f>
        <v>УДС</v>
      </c>
      <c r="D586" s="60"/>
      <c r="E586" s="14" t="str">
        <f>IFERROR(__xludf.DUMMYFUNCTION("""COMPUTED_VALUE"""),"Реконструкция инженерной инфраструктуры на территории Административно-делового центра в п. Коммунарка. Городской водопровод п.Коммунарка")</f>
        <v>Реконструкция инженерной инфраструктуры на территории Административно-делового центра в п. Коммунарка. Городской водопровод п.Коммунарка</v>
      </c>
      <c r="F586" s="25" t="str">
        <f>IFERROR(__xludf.DUMMYFUNCTION("""COMPUTED_VALUE"""),"#N/A")</f>
        <v>#N/A</v>
      </c>
      <c r="G586" s="6" t="str">
        <f>IFERROR(__xludf.DUMMYFUNCTION("""COMPUTED_VALUE"""),"#N/A")</f>
        <v>#N/A</v>
      </c>
      <c r="H586" s="6"/>
      <c r="I586" s="6"/>
      <c r="J586" s="50"/>
      <c r="K586" s="58"/>
      <c r="L586" s="6">
        <v>30.0</v>
      </c>
      <c r="M586" s="52" t="s">
        <v>655</v>
      </c>
      <c r="N586" s="53" t="s">
        <v>698</v>
      </c>
      <c r="O586" s="6" t="s">
        <v>1007</v>
      </c>
      <c r="P586" s="6"/>
      <c r="Q586" s="6"/>
      <c r="R586" s="6"/>
    </row>
    <row r="587">
      <c r="A587" s="31" t="str">
        <f>IFERROR(__xludf.DUMMYFUNCTION("""COMPUTED_VALUE"""),"НД")</f>
        <v>НД</v>
      </c>
      <c r="B587" s="14" t="str">
        <f>IFERROR(__xludf.DUMMYFUNCTION("""COMPUTED_VALUE"""),"АИП-27")</f>
        <v>АИП-27</v>
      </c>
      <c r="C587" s="14" t="str">
        <f>IFERROR(__xludf.DUMMYFUNCTION("""COMPUTED_VALUE"""),"УДС")</f>
        <v>УДС</v>
      </c>
      <c r="D587" s="60"/>
      <c r="E587" s="14" t="str">
        <f>IFERROR(__xludf.DUMMYFUNCTION("""COMPUTED_VALUE"""),"Проектирование и строительство двух водозаборных узлов и закольцованной сети водоснабжения на территории пищевого и строительного кластеров п.Коммунарка")</f>
        <v>Проектирование и строительство двух водозаборных узлов и закольцованной сети водоснабжения на территории пищевого и строительного кластеров п.Коммунарка</v>
      </c>
      <c r="F587" s="25" t="str">
        <f>IFERROR(__xludf.DUMMYFUNCTION("""COMPUTED_VALUE"""),"#N/A")</f>
        <v>#N/A</v>
      </c>
      <c r="G587" s="6" t="str">
        <f>IFERROR(__xludf.DUMMYFUNCTION("""COMPUTED_VALUE"""),"#N/A")</f>
        <v>#N/A</v>
      </c>
      <c r="H587" s="6"/>
      <c r="I587" s="6"/>
      <c r="J587" s="50"/>
      <c r="K587" s="58"/>
      <c r="L587" s="6">
        <v>30.0</v>
      </c>
      <c r="M587" s="52" t="s">
        <v>655</v>
      </c>
      <c r="N587" s="53" t="s">
        <v>698</v>
      </c>
      <c r="O587" s="6" t="s">
        <v>1008</v>
      </c>
      <c r="P587" s="6"/>
      <c r="Q587" s="6"/>
      <c r="R587" s="6"/>
    </row>
    <row r="588">
      <c r="A588" s="31" t="str">
        <f>IFERROR(__xludf.DUMMYFUNCTION("""COMPUTED_VALUE"""),"НД")</f>
        <v>НД</v>
      </c>
      <c r="B588" s="14" t="str">
        <f>IFERROR(__xludf.DUMMYFUNCTION("""COMPUTED_VALUE"""),"АИП-27")</f>
        <v>АИП-27</v>
      </c>
      <c r="C588" s="14" t="str">
        <f>IFERROR(__xludf.DUMMYFUNCTION("""COMPUTED_VALUE"""),"УДС")</f>
        <v>УДС</v>
      </c>
      <c r="D588" s="60"/>
      <c r="E588" s="14" t="str">
        <f>IFERROR(__xludf.DUMMYFUNCTION("""COMPUTED_VALUE"""),"Проектирование и строительство канализационной насосной станции и очистного сооружения с линией канализования п.Коммунарка")</f>
        <v>Проектирование и строительство канализационной насосной станции и очистного сооружения с линией канализования п.Коммунарка</v>
      </c>
      <c r="F588" s="25" t="str">
        <f>IFERROR(__xludf.DUMMYFUNCTION("""COMPUTED_VALUE"""),"#N/A")</f>
        <v>#N/A</v>
      </c>
      <c r="G588" s="6" t="str">
        <f>IFERROR(__xludf.DUMMYFUNCTION("""COMPUTED_VALUE"""),"#N/A")</f>
        <v>#N/A</v>
      </c>
      <c r="H588" s="6"/>
      <c r="I588" s="6"/>
      <c r="J588" s="50"/>
      <c r="K588" s="58"/>
      <c r="L588" s="6">
        <v>30.0</v>
      </c>
      <c r="M588" s="52" t="s">
        <v>655</v>
      </c>
      <c r="N588" s="53" t="s">
        <v>698</v>
      </c>
      <c r="O588" s="6" t="s">
        <v>1009</v>
      </c>
      <c r="P588" s="6"/>
      <c r="Q588" s="6"/>
      <c r="R588" s="6"/>
    </row>
    <row r="589">
      <c r="A589" s="31" t="str">
        <f>IFERROR(__xludf.DUMMYFUNCTION("""COMPUTED_VALUE"""),"НД")</f>
        <v>НД</v>
      </c>
      <c r="B589" s="14" t="str">
        <f>IFERROR(__xludf.DUMMYFUNCTION("""COMPUTED_VALUE"""),"АИП-27")</f>
        <v>АИП-27</v>
      </c>
      <c r="C589" s="14" t="str">
        <f>IFERROR(__xludf.DUMMYFUNCTION("""COMPUTED_VALUE"""),"УДС")</f>
        <v>УДС</v>
      </c>
      <c r="D589" s="60"/>
      <c r="E589" s="14" t="str">
        <f>IFERROR(__xludf.DUMMYFUNCTION("""COMPUTED_VALUE"""),"Проектирование и строительство локальных очистных сооружений с подводящим коллектором поселение поселения Щаповское, в районе села Ознобишено.")</f>
        <v>Проектирование и строительство локальных очистных сооружений с подводящим коллектором поселение поселения Щаповское, в районе села Ознобишено.</v>
      </c>
      <c r="F589" s="25" t="str">
        <f>IFERROR(__xludf.DUMMYFUNCTION("""COMPUTED_VALUE"""),"#N/A")</f>
        <v>#N/A</v>
      </c>
      <c r="G589" s="6" t="str">
        <f>IFERROR(__xludf.DUMMYFUNCTION("""COMPUTED_VALUE"""),"#N/A")</f>
        <v>#N/A</v>
      </c>
      <c r="H589" s="6"/>
      <c r="I589" s="6"/>
      <c r="J589" s="50"/>
      <c r="K589" s="58"/>
      <c r="L589" s="6">
        <v>30.0</v>
      </c>
      <c r="M589" s="52" t="s">
        <v>655</v>
      </c>
      <c r="N589" s="53" t="s">
        <v>698</v>
      </c>
      <c r="O589" s="6" t="s">
        <v>1010</v>
      </c>
      <c r="P589" s="6"/>
      <c r="Q589" s="6"/>
      <c r="R589" s="6"/>
    </row>
    <row r="590">
      <c r="A590" s="31" t="str">
        <f>IFERROR(__xludf.DUMMYFUNCTION("""COMPUTED_VALUE"""),"НД")</f>
        <v>НД</v>
      </c>
      <c r="B590" s="14" t="str">
        <f>IFERROR(__xludf.DUMMYFUNCTION("""COMPUTED_VALUE"""),"АИП-27")</f>
        <v>АИП-27</v>
      </c>
      <c r="C590" s="14" t="str">
        <f>IFERROR(__xludf.DUMMYFUNCTION("""COMPUTED_VALUE"""),"УДС")</f>
        <v>УДС</v>
      </c>
      <c r="D590" s="60"/>
      <c r="E590" s="14" t="str">
        <f>IFERROR(__xludf.DUMMYFUNCTION("""COMPUTED_VALUE"""),"Строительство хозяйственно-бытовой канализации в пос. Шишкин лес п.Коммунарка")</f>
        <v>Строительство хозяйственно-бытовой канализации в пос. Шишкин лес п.Коммунарка</v>
      </c>
      <c r="F590" s="25" t="str">
        <f>IFERROR(__xludf.DUMMYFUNCTION("""COMPUTED_VALUE"""),"#N/A")</f>
        <v>#N/A</v>
      </c>
      <c r="G590" s="6" t="str">
        <f>IFERROR(__xludf.DUMMYFUNCTION("""COMPUTED_VALUE"""),"#N/A")</f>
        <v>#N/A</v>
      </c>
      <c r="H590" s="6"/>
      <c r="I590" s="6"/>
      <c r="J590" s="50"/>
      <c r="K590" s="58"/>
      <c r="L590" s="6">
        <v>30.0</v>
      </c>
      <c r="M590" s="52" t="s">
        <v>655</v>
      </c>
      <c r="N590" s="53" t="s">
        <v>698</v>
      </c>
      <c r="O590" s="6" t="s">
        <v>1011</v>
      </c>
      <c r="P590" s="6"/>
      <c r="Q590" s="6"/>
      <c r="R590" s="6"/>
    </row>
    <row r="591">
      <c r="A591" s="31" t="str">
        <f>IFERROR(__xludf.DUMMYFUNCTION("""COMPUTED_VALUE"""),"211")</f>
        <v>211</v>
      </c>
      <c r="B591" s="14" t="str">
        <f>IFERROR(__xludf.DUMMYFUNCTION("""COMPUTED_VALUE"""),"АИП-27")</f>
        <v>АИП-27</v>
      </c>
      <c r="C591" s="14" t="str">
        <f>IFERROR(__xludf.DUMMYFUNCTION("""COMPUTED_VALUE"""),"ОКС")</f>
        <v>ОКС</v>
      </c>
      <c r="D591" s="60"/>
      <c r="E591" s="14" t="str">
        <f>IFERROR(__xludf.DUMMYFUNCTION("""COMPUTED_VALUE"""),"Жилой дом с инженерными коммуникациями, благоустройством, р-н Покрово-Стрешнево, ул. Лётная, участок 4 Лётная ул., участок 4")</f>
        <v>Жилой дом с инженерными коммуникациями, благоустройством, р-н Покрово-Стрешнево, ул. Лётная, участок 4 Лётная ул., участок 4</v>
      </c>
      <c r="F591" s="25" t="str">
        <f>IFERROR(__xludf.DUMMYFUNCTION("""COMPUTED_VALUE"""),"55.824357")</f>
        <v>55.824357</v>
      </c>
      <c r="G591" s="6" t="str">
        <f>IFERROR(__xludf.DUMMYFUNCTION("""COMPUTED_VALUE"""),"37.423881")</f>
        <v>37.423881</v>
      </c>
      <c r="H591" s="18" t="str">
        <f>IFERROR(__xludf.DUMMYFUNCTION("""COMPUTED_VALUE"""),"https://docs.google.com/spreadsheets/d/19THEBTE9q0fhN2eApZr6BgenIvLGh0AckaYxHQfHk5w/edit?gid=1676523530#gid=1676523530")</f>
        <v>https://docs.google.com/spreadsheets/d/19THEBTE9q0fhN2eApZr6BgenIvLGh0AckaYxHQfHk5w/edit?gid=1676523530#gid=1676523530</v>
      </c>
      <c r="I591" s="19" t="str">
        <f>IFERROR(__xludf.DUMMYFUNCTION("""COMPUTED_VALUE"""),"https://disk.yandex.ru/client/disk/Осмотры%20объектов%20АНО%20СМГ/211.%20ул.%20Летная%2C%20уч.%204")</f>
        <v>https://disk.yandex.ru/client/disk/Осмотры%20объектов%20АНО%20СМГ/211.%20ул.%20Летная%2C%20уч.%204</v>
      </c>
      <c r="J591" s="50">
        <f>IFERROR(__xludf.DUMMYFUNCTION("""COMPUTED_VALUE"""),0.0)</f>
        <v>0</v>
      </c>
      <c r="K591" s="58">
        <f>IFERROR(__xludf.DUMMYFUNCTION("""COMPUTED_VALUE"""),45971.0)</f>
        <v>45971</v>
      </c>
      <c r="L591" s="6">
        <v>30.0</v>
      </c>
      <c r="M591" s="52">
        <v>46001.0</v>
      </c>
      <c r="N591" s="53" t="s">
        <v>711</v>
      </c>
      <c r="O591" s="19" t="s">
        <v>1012</v>
      </c>
      <c r="P591" s="6"/>
      <c r="Q591" s="6"/>
      <c r="R591" s="6"/>
    </row>
    <row r="592">
      <c r="A592" s="31" t="str">
        <f>IFERROR(__xludf.DUMMYFUNCTION("""COMPUTED_VALUE"""),"240")</f>
        <v>240</v>
      </c>
      <c r="B592" s="14" t="str">
        <f>IFERROR(__xludf.DUMMYFUNCTION("""COMPUTED_VALUE"""),"АИП-27")</f>
        <v>АИП-27</v>
      </c>
      <c r="C592" s="14" t="str">
        <f>IFERROR(__xludf.DUMMYFUNCTION("""COMPUTED_VALUE"""),"ОКС")</f>
        <v>ОКС</v>
      </c>
      <c r="D592" s="60"/>
      <c r="E592" s="14" t="str">
        <f>IFERROR(__xludf.DUMMYFUNCTION("""COMPUTED_VALUE"""),"Многофункциональный спортивный комплекс ул. Москворечье, д. 4, к. 1")</f>
        <v>Многофункциональный спортивный комплекс ул. Москворечье, д. 4, к. 1</v>
      </c>
      <c r="F592" s="25" t="str">
        <f>IFERROR(__xludf.DUMMYFUNCTION("""COMPUTED_VALUE"""),"55.644816")</f>
        <v>55.644816</v>
      </c>
      <c r="G592" s="6" t="str">
        <f>IFERROR(__xludf.DUMMYFUNCTION("""COMPUTED_VALUE"""),"37.650969")</f>
        <v>37.650969</v>
      </c>
      <c r="H592" s="18" t="str">
        <f>IFERROR(__xludf.DUMMYFUNCTION("""COMPUTED_VALUE"""),"https://docs.google.com/spreadsheets/d/19THEBTE9q0fhN2eApZr6BgenIvLGh0AckaYxHQfHk5w/edit?gid=1484428884#gid=1484428884")</f>
        <v>https://docs.google.com/spreadsheets/d/19THEBTE9q0fhN2eApZr6BgenIvLGh0AckaYxHQfHk5w/edit?gid=1484428884#gid=1484428884</v>
      </c>
      <c r="I592" s="19"/>
      <c r="J592" s="50">
        <f>IFERROR(__xludf.DUMMYFUNCTION("""COMPUTED_VALUE"""),2.6785)</f>
        <v>2.6785</v>
      </c>
      <c r="K592" s="58">
        <f>IFERROR(__xludf.DUMMYFUNCTION("""COMPUTED_VALUE"""),45967.0)</f>
        <v>45967</v>
      </c>
      <c r="L592" s="6">
        <v>30.0</v>
      </c>
      <c r="M592" s="52">
        <v>45997.0</v>
      </c>
      <c r="N592" s="53" t="s">
        <v>711</v>
      </c>
      <c r="O592" s="19" t="s">
        <v>1013</v>
      </c>
      <c r="P592" s="6"/>
      <c r="Q592" s="6"/>
      <c r="R592" s="6"/>
    </row>
    <row r="593">
      <c r="A593" s="31" t="str">
        <f>IFERROR(__xludf.DUMMYFUNCTION("""COMPUTED_VALUE"""),"438д")</f>
        <v>438д</v>
      </c>
      <c r="B593" s="14" t="str">
        <f>IFERROR(__xludf.DUMMYFUNCTION("""COMPUTED_VALUE"""),"АИП-27")</f>
        <v>АИП-27</v>
      </c>
      <c r="C593" s="14" t="str">
        <f>IFERROR(__xludf.DUMMYFUNCTION("""COMPUTED_VALUE"""),"УДС")</f>
        <v>УДС</v>
      </c>
      <c r="D593" s="60"/>
      <c r="E593" s="14" t="str">
        <f>IFERROR(__xludf.DUMMYFUNCTION("""COMPUTED_VALUE"""),"Надземный пешеходный переход через МКАД в районе станции метрополитена ""Тютчевская"" в районе станции метрополитена ""Тютчевская""")</f>
        <v>Надземный пешеходный переход через МКАД в районе станции метрополитена "Тютчевская" в районе станции метрополитена "Тютчевская"</v>
      </c>
      <c r="F593" s="25" t="str">
        <f>IFERROR(__xludf.DUMMYFUNCTION("""COMPUTED_VALUE"""),"#N/A")</f>
        <v>#N/A</v>
      </c>
      <c r="G593" s="6" t="str">
        <f>IFERROR(__xludf.DUMMYFUNCTION("""COMPUTED_VALUE"""),"#N/A")</f>
        <v>#N/A</v>
      </c>
      <c r="H593" s="6"/>
      <c r="I593" s="6"/>
      <c r="J593" s="50">
        <f>IFERROR(__xludf.DUMMYFUNCTION("""COMPUTED_VALUE"""),0.0)</f>
        <v>0</v>
      </c>
      <c r="K593" s="58">
        <f>IFERROR(__xludf.DUMMYFUNCTION("""COMPUTED_VALUE"""),45961.0)</f>
        <v>45961</v>
      </c>
      <c r="L593" s="6">
        <v>30.0</v>
      </c>
      <c r="M593" s="52">
        <v>45991.0</v>
      </c>
      <c r="N593" s="53" t="s">
        <v>692</v>
      </c>
      <c r="O593" s="6" t="s">
        <v>893</v>
      </c>
      <c r="P593" s="6"/>
      <c r="Q593" s="6"/>
      <c r="R593" s="6"/>
    </row>
    <row r="594">
      <c r="A594" s="31" t="str">
        <f>IFERROR(__xludf.DUMMYFUNCTION("""COMPUTED_VALUE"""),"НД")</f>
        <v>НД</v>
      </c>
      <c r="B594" s="14" t="str">
        <f>IFERROR(__xludf.DUMMYFUNCTION("""COMPUTED_VALUE"""),"АИП-27")</f>
        <v>АИП-27</v>
      </c>
      <c r="C594" s="14" t="str">
        <f>IFERROR(__xludf.DUMMYFUNCTION("""COMPUTED_VALUE"""),"УДС")</f>
        <v>УДС</v>
      </c>
      <c r="D594" s="60"/>
      <c r="E594" s="14" t="str">
        <f>IFERROR(__xludf.DUMMYFUNCTION("""COMPUTED_VALUE"""),"Строительство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f>
        <v>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v>
      </c>
      <c r="F594" s="25" t="str">
        <f>IFERROR(__xludf.DUMMYFUNCTION("""COMPUTED_VALUE"""),"#N/A")</f>
        <v>#N/A</v>
      </c>
      <c r="G594" s="6" t="str">
        <f>IFERROR(__xludf.DUMMYFUNCTION("""COMPUTED_VALUE"""),"#N/A")</f>
        <v>#N/A</v>
      </c>
      <c r="H594" s="6"/>
      <c r="I594" s="6"/>
      <c r="J594" s="50"/>
      <c r="K594" s="58"/>
      <c r="L594" s="6">
        <v>30.0</v>
      </c>
      <c r="M594" s="52" t="s">
        <v>655</v>
      </c>
      <c r="N594" s="53" t="s">
        <v>698</v>
      </c>
      <c r="O594" s="6" t="s">
        <v>926</v>
      </c>
      <c r="P594" s="6"/>
      <c r="Q594" s="6"/>
      <c r="R594" s="6"/>
    </row>
    <row r="595">
      <c r="A595" s="31" t="str">
        <f>IFERROR(__xludf.DUMMYFUNCTION("""COMPUTED_VALUE"""),"287д(эт1.2)")</f>
        <v>287д(эт1.2)</v>
      </c>
      <c r="B595" s="14" t="str">
        <f>IFERROR(__xludf.DUMMYFUNCTION("""COMPUTED_VALUE"""),"АИП-27")</f>
        <v>АИП-27</v>
      </c>
      <c r="C595" s="14" t="str">
        <f>IFERROR(__xludf.DUMMYFUNCTION("""COMPUTED_VALUE"""),"УДС")</f>
        <v>УДС</v>
      </c>
      <c r="D595" s="60"/>
      <c r="E595" s="14" t="str">
        <f>IFERROR(__xludf.DUMMYFUNCTION("""COMPUTED_VALUE"""),"Развитие улично-дорожной сети Молжаниновского района. Этап 1.2. Молжаниновский район")</f>
        <v>Развитие улично-дорожной сети Молжаниновского района. Этап 1.2. Молжаниновский район</v>
      </c>
      <c r="F595" s="25" t="str">
        <f>IFERROR(__xludf.DUMMYFUNCTION("""COMPUTED_VALUE"""),"#N/A")</f>
        <v>#N/A</v>
      </c>
      <c r="G595" s="6" t="str">
        <f>IFERROR(__xludf.DUMMYFUNCTION("""COMPUTED_VALUE"""),"#N/A")</f>
        <v>#N/A</v>
      </c>
      <c r="H595" s="6"/>
      <c r="I595" s="6"/>
      <c r="J595" s="50">
        <f>IFERROR(__xludf.DUMMYFUNCTION("""COMPUTED_VALUE"""),0.0)</f>
        <v>0</v>
      </c>
      <c r="K595" s="58">
        <f>IFERROR(__xludf.DUMMYFUNCTION("""COMPUTED_VALUE"""),45971.0)</f>
        <v>45971</v>
      </c>
      <c r="L595" s="6">
        <v>30.0</v>
      </c>
      <c r="M595" s="52">
        <v>46001.0</v>
      </c>
      <c r="N595" s="53" t="s">
        <v>711</v>
      </c>
      <c r="O595" s="6" t="s">
        <v>893</v>
      </c>
      <c r="P595" s="6"/>
      <c r="Q595" s="6"/>
      <c r="R595" s="6"/>
    </row>
    <row r="596">
      <c r="A596" s="31" t="str">
        <f>IFERROR(__xludf.DUMMYFUNCTION("""COMPUTED_VALUE"""),"439д")</f>
        <v>439д</v>
      </c>
      <c r="B596" s="14" t="str">
        <f>IFERROR(__xludf.DUMMYFUNCTION("""COMPUTED_VALUE"""),"АИП-27")</f>
        <v>АИП-27</v>
      </c>
      <c r="C596" s="14" t="str">
        <f>IFERROR(__xludf.DUMMYFUNCTION("""COMPUTED_VALUE"""),"УДС")</f>
        <v>УДС</v>
      </c>
      <c r="D596" s="60"/>
      <c r="E596" s="14" t="str">
        <f>IFERROR(__xludf.DUMMYFUNCTION("""COMPUTED_VALUE"""),"Улица местного значения (проектируемый пр-д 8042). Этап 1 проектируемый пр-д 8042")</f>
        <v>Улица местного значения (проектируемый пр-д 8042). Этап 1 проектируемый пр-д 8042</v>
      </c>
      <c r="F596" s="25" t="str">
        <f>IFERROR(__xludf.DUMMYFUNCTION("""COMPUTED_VALUE"""),"#N/A")</f>
        <v>#N/A</v>
      </c>
      <c r="G596" s="6" t="str">
        <f>IFERROR(__xludf.DUMMYFUNCTION("""COMPUTED_VALUE"""),"#N/A")</f>
        <v>#N/A</v>
      </c>
      <c r="H596" s="6"/>
      <c r="I596" s="6"/>
      <c r="J596" s="50">
        <f>IFERROR(__xludf.DUMMYFUNCTION("""COMPUTED_VALUE"""),0.0)</f>
        <v>0</v>
      </c>
      <c r="K596" s="58"/>
      <c r="L596" s="6">
        <v>30.0</v>
      </c>
      <c r="M596" s="52" t="s">
        <v>655</v>
      </c>
      <c r="N596" s="53" t="s">
        <v>698</v>
      </c>
      <c r="O596" s="6" t="s">
        <v>893</v>
      </c>
      <c r="P596" s="6"/>
      <c r="Q596" s="6"/>
      <c r="R596" s="6"/>
    </row>
    <row r="597">
      <c r="A597" s="31" t="str">
        <f>IFERROR(__xludf.DUMMYFUNCTION("""COMPUTED_VALUE"""),"426д")</f>
        <v>426д</v>
      </c>
      <c r="B597" s="14" t="str">
        <f>IFERROR(__xludf.DUMMYFUNCTION("""COMPUTED_VALUE"""),"АИП-27")</f>
        <v>АИП-27</v>
      </c>
      <c r="C597" s="14" t="str">
        <f>IFERROR(__xludf.DUMMYFUNCTION("""COMPUTED_VALUE"""),"УДС")</f>
        <v>УДС</v>
      </c>
      <c r="D597" s="60"/>
      <c r="E597" s="14" t="str">
        <f>IFERROR(__xludf.DUMMYFUNCTION("""COMPUTED_VALUE"""),"Транспортная развязка и мостовые сооружения на территории Мневниковской поймы с примыканием к Северо-Западной хорде. Пешеходный мост Фили территория Мневниковской поймы")</f>
        <v>Транспортная развязка и мостовые сооружения на территории Мневниковской поймы с примыканием к Северо-Западной хорде. Пешеходный мост Фили территория Мневниковской поймы</v>
      </c>
      <c r="F597" s="25" t="str">
        <f>IFERROR(__xludf.DUMMYFUNCTION("""COMPUTED_VALUE"""),"#N/A")</f>
        <v>#N/A</v>
      </c>
      <c r="G597" s="6" t="str">
        <f>IFERROR(__xludf.DUMMYFUNCTION("""COMPUTED_VALUE"""),"#N/A")</f>
        <v>#N/A</v>
      </c>
      <c r="H597" s="6"/>
      <c r="I597" s="6"/>
      <c r="J597" s="50">
        <f>IFERROR(__xludf.DUMMYFUNCTION("""COMPUTED_VALUE"""),1.024)</f>
        <v>1.024</v>
      </c>
      <c r="K597" s="58"/>
      <c r="L597" s="6">
        <v>30.0</v>
      </c>
      <c r="M597" s="52" t="s">
        <v>655</v>
      </c>
      <c r="N597" s="53" t="s">
        <v>698</v>
      </c>
      <c r="O597" s="6" t="s">
        <v>893</v>
      </c>
      <c r="P597" s="6"/>
      <c r="Q597" s="6"/>
      <c r="R597" s="6"/>
    </row>
    <row r="598">
      <c r="A598" s="31" t="str">
        <f>IFERROR(__xludf.DUMMYFUNCTION("""COMPUTED_VALUE"""),"317")</f>
        <v>317</v>
      </c>
      <c r="B598" s="14" t="str">
        <f>IFERROR(__xludf.DUMMYFUNCTION("""COMPUTED_VALUE"""),"АИП-27")</f>
        <v>АИП-27</v>
      </c>
      <c r="C598" s="14" t="str">
        <f>IFERROR(__xludf.DUMMYFUNCTION("""COMPUTED_VALUE"""),"ОКС")</f>
        <v>ОКС</v>
      </c>
      <c r="D598" s="60"/>
      <c r="E598" s="14" t="str">
        <f>IFERROR(__xludf.DUMMYFUNCTION("""COMPUTED_VALUE"""),"Административное здание р-н Зюзино, ул. Азовская, влд. 26")</f>
        <v>Административное здание р-н Зюзино, ул. Азовская, влд. 26</v>
      </c>
      <c r="F598" s="25" t="str">
        <f>IFERROR(__xludf.DUMMYFUNCTION("""COMPUTED_VALUE"""),"#N/A")</f>
        <v>#N/A</v>
      </c>
      <c r="G598" s="6" t="str">
        <f>IFERROR(__xludf.DUMMYFUNCTION("""COMPUTED_VALUE"""),"#N/A")</f>
        <v>#N/A</v>
      </c>
      <c r="H598" s="18" t="str">
        <f>IFERROR(__xludf.DUMMYFUNCTION("""COMPUTED_VALUE"""),"https://docs.google.com/spreadsheets/d/19THEBTE9q0fhN2eApZr6BgenIvLGh0AckaYxHQfHk5w/edit?gid=1720182899#gid=1720182899")</f>
        <v>https://docs.google.com/spreadsheets/d/19THEBTE9q0fhN2eApZr6BgenIvLGh0AckaYxHQfHk5w/edit?gid=1720182899#gid=1720182899</v>
      </c>
      <c r="I598" s="19" t="str">
        <f>IFERROR(__xludf.DUMMYFUNCTION("""COMPUTED_VALUE"""),"https://disk.yandex.ru/client/disk/Осмотры%20объектов%20АНО%20СМГ/317.%20ул.%20Азовская%20влд.26%20Административное%20здание")</f>
        <v>https://disk.yandex.ru/client/disk/Осмотры%20объектов%20АНО%20СМГ/317.%20ул.%20Азовская%20влд.26%20Административное%20здание</v>
      </c>
      <c r="J598" s="50">
        <f>IFERROR(__xludf.DUMMYFUNCTION("""COMPUTED_VALUE"""),0.0)</f>
        <v>0</v>
      </c>
      <c r="K598" s="58"/>
      <c r="L598" s="6">
        <v>30.0</v>
      </c>
      <c r="M598" s="52" t="s">
        <v>655</v>
      </c>
      <c r="N598" s="53" t="s">
        <v>698</v>
      </c>
      <c r="O598" s="19" t="s">
        <v>1014</v>
      </c>
      <c r="P598" s="6"/>
      <c r="Q598" s="6"/>
      <c r="R598" s="6"/>
    </row>
    <row r="599">
      <c r="A599" s="31" t="str">
        <f>IFERROR(__xludf.DUMMYFUNCTION("""COMPUTED_VALUE"""),"310")</f>
        <v>310</v>
      </c>
      <c r="B599" s="14" t="str">
        <f>IFERROR(__xludf.DUMMYFUNCTION("""COMPUTED_VALUE"""),"АИП-27")</f>
        <v>АИП-27</v>
      </c>
      <c r="C599" s="14" t="str">
        <f>IFERROR(__xludf.DUMMYFUNCTION("""COMPUTED_VALUE"""),"ОКС")</f>
        <v>ОКС</v>
      </c>
      <c r="D599" s="60"/>
      <c r="E599" s="14" t="str">
        <f>IFERROR(__xludf.DUMMYFUNCTION("""COMPUTED_VALUE"""),"Административное здание Чертановская ул., вл.25А, район Центральное Чертаново")</f>
        <v>Административное здание Чертановская ул., вл.25А, район Центральное Чертаново</v>
      </c>
      <c r="F599" s="25" t="str">
        <f>IFERROR(__xludf.DUMMYFUNCTION("""COMPUTED_VALUE"""),"#N/A")</f>
        <v>#N/A</v>
      </c>
      <c r="G599" s="6" t="str">
        <f>IFERROR(__xludf.DUMMYFUNCTION("""COMPUTED_VALUE"""),"#N/A")</f>
        <v>#N/A</v>
      </c>
      <c r="H599" s="18" t="str">
        <f>IFERROR(__xludf.DUMMYFUNCTION("""COMPUTED_VALUE"""),"https://docs.google.com/spreadsheets/d/19THEBTE9q0fhN2eApZr6BgenIvLGh0AckaYxHQfHk5w/edit?gid=323323731#gid=323323731")</f>
        <v>https://docs.google.com/spreadsheets/d/19THEBTE9q0fhN2eApZr6BgenIvLGh0AckaYxHQfHk5w/edit?gid=323323731#gid=323323731</v>
      </c>
      <c r="I599" s="19" t="str">
        <f>IFERROR(__xludf.DUMMYFUNCTION("""COMPUTED_VALUE"""),"https://disk.yandex.ru/client/disk/Осмотры%20объектов%20АНО%20СМГ/310.%20Административное%20здание%20%2C%20ул.%20Чертановская%2025А%2C%20р-н%20Центральное%20Чертаново")</f>
        <v>https://disk.yandex.ru/client/disk/Осмотры%20объектов%20АНО%20СМГ/310.%20Административное%20здание%20%2C%20ул.%20Чертановская%2025А%2C%20р-н%20Центральное%20Чертаново</v>
      </c>
      <c r="J599" s="50">
        <f>IFERROR(__xludf.DUMMYFUNCTION("""COMPUTED_VALUE"""),0.0)</f>
        <v>0</v>
      </c>
      <c r="K599" s="58">
        <f>IFERROR(__xludf.DUMMYFUNCTION("""COMPUTED_VALUE"""),45681.0)</f>
        <v>45681</v>
      </c>
      <c r="L599" s="6">
        <v>30.0</v>
      </c>
      <c r="M599" s="52">
        <v>45711.0</v>
      </c>
      <c r="N599" s="53" t="s">
        <v>668</v>
      </c>
      <c r="O599" s="19" t="s">
        <v>1015</v>
      </c>
      <c r="P599" s="6"/>
      <c r="Q599" s="6"/>
      <c r="R599" s="6"/>
    </row>
    <row r="600">
      <c r="A600" s="31" t="str">
        <f>IFERROR(__xludf.DUMMYFUNCTION("""COMPUTED_VALUE"""),"208д")</f>
        <v>208д</v>
      </c>
      <c r="B600" s="14" t="str">
        <f>IFERROR(__xludf.DUMMYFUNCTION("""COMPUTED_VALUE"""),"АИП-27")</f>
        <v>АИП-27</v>
      </c>
      <c r="C600" s="14" t="str">
        <f>IFERROR(__xludf.DUMMYFUNCTION("""COMPUTED_VALUE"""),"УДС")</f>
        <v>УДС</v>
      </c>
      <c r="D600" s="60"/>
      <c r="E600" s="14" t="str">
        <f>IFERROR(__xludf.DUMMYFUNCTION("""COMPUTED_VALUE"""),"Транспортная развязка и мостовые сооружения на территории Мневниковской поймы с примыканием к Северо-Западной хорде. Пешеходный мост на ул.Островная территория Мневниковской поймы")</f>
        <v>Транспортная развязка и мостовые сооружения на территории Мневниковской поймы с примыканием к Северо-Западной хорде. Пешеходный мост на ул.Островная территория Мневниковской поймы</v>
      </c>
      <c r="F600" s="25" t="str">
        <f>IFERROR(__xludf.DUMMYFUNCTION("""COMPUTED_VALUE"""),"#N/A")</f>
        <v>#N/A</v>
      </c>
      <c r="G600" s="6" t="str">
        <f>IFERROR(__xludf.DUMMYFUNCTION("""COMPUTED_VALUE"""),"#N/A")</f>
        <v>#N/A</v>
      </c>
      <c r="H600" s="6"/>
      <c r="I600" s="6"/>
      <c r="J600" s="50">
        <f>IFERROR(__xludf.DUMMYFUNCTION("""COMPUTED_VALUE"""),1.584)</f>
        <v>1.584</v>
      </c>
      <c r="K600" s="58">
        <f>IFERROR(__xludf.DUMMYFUNCTION("""COMPUTED_VALUE"""),45972.0)</f>
        <v>45972</v>
      </c>
      <c r="L600" s="6">
        <v>30.0</v>
      </c>
      <c r="M600" s="52">
        <v>46002.0</v>
      </c>
      <c r="N600" s="53" t="s">
        <v>711</v>
      </c>
      <c r="O600" s="6" t="s">
        <v>1016</v>
      </c>
      <c r="P600" s="6"/>
      <c r="Q600" s="6"/>
      <c r="R600" s="6"/>
    </row>
    <row r="601">
      <c r="A601" s="31" t="str">
        <f>IFERROR(__xludf.DUMMYFUNCTION("""COMPUTED_VALUE"""),"421д")</f>
        <v>421д</v>
      </c>
      <c r="B601" s="14" t="str">
        <f>IFERROR(__xludf.DUMMYFUNCTION("""COMPUTED_VALUE"""),"АИП-27")</f>
        <v>АИП-27</v>
      </c>
      <c r="C601" s="14" t="str">
        <f>IFERROR(__xludf.DUMMYFUNCTION("""COMPUTED_VALUE"""),"УДС")</f>
        <v>УДС</v>
      </c>
      <c r="D601" s="60"/>
      <c r="E601" s="14" t="str">
        <f>IFERROR(__xludf.DUMMYFUNCTION("""COMPUTED_VALUE"""),"Реконструкция Рублевского шоссе и строительство моста через р. Москву Рублевское шоссе Рублевское шоссе")</f>
        <v>Реконструкция Рублевского шоссе и строительство моста через р. Москву Рублевское шоссе Рублевское шоссе</v>
      </c>
      <c r="F601" s="25" t="str">
        <f>IFERROR(__xludf.DUMMYFUNCTION("""COMPUTED_VALUE"""),"#N/A")</f>
        <v>#N/A</v>
      </c>
      <c r="G601" s="6" t="str">
        <f>IFERROR(__xludf.DUMMYFUNCTION("""COMPUTED_VALUE"""),"#N/A")</f>
        <v>#N/A</v>
      </c>
      <c r="H601" s="6"/>
      <c r="I601" s="6"/>
      <c r="J601" s="50">
        <f>IFERROR(__xludf.DUMMYFUNCTION("""COMPUTED_VALUE"""),0.0)</f>
        <v>0</v>
      </c>
      <c r="K601" s="58">
        <f>IFERROR(__xludf.DUMMYFUNCTION("""COMPUTED_VALUE"""),45960.0)</f>
        <v>45960</v>
      </c>
      <c r="L601" s="6">
        <v>30.0</v>
      </c>
      <c r="M601" s="52">
        <v>45990.0</v>
      </c>
      <c r="N601" s="53" t="s">
        <v>692</v>
      </c>
      <c r="O601" s="6" t="s">
        <v>893</v>
      </c>
      <c r="P601" s="6"/>
      <c r="Q601" s="6"/>
      <c r="R601" s="6"/>
    </row>
    <row r="602">
      <c r="A602" s="31" t="str">
        <f>IFERROR(__xludf.DUMMYFUNCTION("""COMPUTED_VALUE"""),"460д")</f>
        <v>460д</v>
      </c>
      <c r="B602" s="14" t="str">
        <f>IFERROR(__xludf.DUMMYFUNCTION("""COMPUTED_VALUE"""),"АИП-27")</f>
        <v>АИП-27</v>
      </c>
      <c r="C602" s="14" t="str">
        <f>IFERROR(__xludf.DUMMYFUNCTION("""COMPUTED_VALUE"""),"УДС")</f>
        <v>УДС</v>
      </c>
      <c r="D602" s="15"/>
      <c r="E602"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шоссе до Коссинского шоссе. ЛЭП пересечение МКАД с "&amp;"ул. Верхние Поля и на пересечение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шоссе до Коссинского шоссе. ЛЭП пересечение МКАД с ул. Верхние Поля и на пересечение МКАД с ул. Капотня</v>
      </c>
      <c r="F602" s="25" t="str">
        <f>IFERROR(__xludf.DUMMYFUNCTION("""COMPUTED_VALUE"""),"#N/A")</f>
        <v>#N/A</v>
      </c>
      <c r="G602" s="6" t="str">
        <f>IFERROR(__xludf.DUMMYFUNCTION("""COMPUTED_VALUE"""),"#N/A")</f>
        <v>#N/A</v>
      </c>
      <c r="H602" s="6"/>
      <c r="I602" s="6"/>
      <c r="J602" s="50">
        <f>IFERROR(__xludf.DUMMYFUNCTION("""COMPUTED_VALUE"""),0.0)</f>
        <v>0</v>
      </c>
      <c r="K602" s="58">
        <f>IFERROR(__xludf.DUMMYFUNCTION("""COMPUTED_VALUE"""),45973.0)</f>
        <v>45973</v>
      </c>
      <c r="L602" s="6">
        <v>30.0</v>
      </c>
      <c r="M602" s="52">
        <v>46003.0</v>
      </c>
      <c r="N602" s="53" t="s">
        <v>711</v>
      </c>
      <c r="O602" s="6" t="s">
        <v>1017</v>
      </c>
      <c r="P602" s="6"/>
      <c r="Q602" s="6"/>
      <c r="R602" s="6"/>
    </row>
    <row r="603">
      <c r="A603" s="31" t="str">
        <f>IFERROR(__xludf.DUMMYFUNCTION("""COMPUTED_VALUE"""),"НД")</f>
        <v>НД</v>
      </c>
      <c r="B603" s="14" t="str">
        <f>IFERROR(__xludf.DUMMYFUNCTION("""COMPUTED_VALUE"""),"АИП-27")</f>
        <v>АИП-27</v>
      </c>
      <c r="C603" s="14" t="str">
        <f>IFERROR(__xludf.DUMMYFUNCTION("""COMPUTED_VALUE"""),"УДС")</f>
        <v>УДС</v>
      </c>
      <c r="D603" s="15"/>
      <c r="E603" s="14" t="str">
        <f>IFERROR(__xludf.DUMMYFUNCTION("""COMPUTED_VALUE"""),"Проектирование и строительство двух распределительных трансформаторных подстанций с подводящей сетью от ПС ""Фетищево"" п.Коммунарка")</f>
        <v>Проектирование и строительство двух распределительных трансформаторных подстанций с подводящей сетью от ПС "Фетищево" п.Коммунарка</v>
      </c>
      <c r="F603" s="25" t="str">
        <f>IFERROR(__xludf.DUMMYFUNCTION("""COMPUTED_VALUE"""),"#N/A")</f>
        <v>#N/A</v>
      </c>
      <c r="G603" s="6" t="str">
        <f>IFERROR(__xludf.DUMMYFUNCTION("""COMPUTED_VALUE"""),"#N/A")</f>
        <v>#N/A</v>
      </c>
      <c r="H603" s="6"/>
      <c r="I603" s="6"/>
      <c r="J603" s="50"/>
      <c r="K603" s="58"/>
      <c r="L603" s="6">
        <v>30.0</v>
      </c>
      <c r="M603" s="52" t="s">
        <v>655</v>
      </c>
      <c r="N603" s="53" t="s">
        <v>698</v>
      </c>
      <c r="O603" s="6" t="s">
        <v>1018</v>
      </c>
      <c r="P603" s="6"/>
      <c r="Q603" s="6"/>
      <c r="R603" s="6"/>
    </row>
    <row r="604">
      <c r="A604" s="31" t="str">
        <f>IFERROR(__xludf.DUMMYFUNCTION("""COMPUTED_VALUE"""),"НД")</f>
        <v>НД</v>
      </c>
      <c r="B604" s="14" t="str">
        <f>IFERROR(__xludf.DUMMYFUNCTION("""COMPUTED_VALUE"""),"АИП-27")</f>
        <v>АИП-27</v>
      </c>
      <c r="C604" s="14" t="str">
        <f>IFERROR(__xludf.DUMMYFUNCTION("""COMPUTED_VALUE"""),"УДС")</f>
        <v>УДС</v>
      </c>
      <c r="D604" s="15"/>
      <c r="E604" s="14" t="str">
        <f>IFERROR(__xludf.DUMMYFUNCTION("""COMPUTED_VALUE"""),"02-6900  Очистные сооружения для застройки кв-ла 32А в р-не Новые Черемушки, Нахимовский пр-кт
(в пойме р. Котловки) ул.Болотниковская д.36")</f>
        <v>02-6900  Очистные сооружения для застройки кв-ла 32А в р-не Новые Черемушки, Нахимовский пр-кт
(в пойме р. Котловки) ул.Болотниковская д.36</v>
      </c>
      <c r="F604" s="25" t="str">
        <f>IFERROR(__xludf.DUMMYFUNCTION("""COMPUTED_VALUE"""),"#N/A")</f>
        <v>#N/A</v>
      </c>
      <c r="G604" s="6" t="str">
        <f>IFERROR(__xludf.DUMMYFUNCTION("""COMPUTED_VALUE"""),"#N/A")</f>
        <v>#N/A</v>
      </c>
      <c r="H604" s="6"/>
      <c r="I604" s="6"/>
      <c r="J604" s="50"/>
      <c r="K604" s="58"/>
      <c r="L604" s="6">
        <v>30.0</v>
      </c>
      <c r="M604" s="52" t="s">
        <v>655</v>
      </c>
      <c r="N604" s="53" t="s">
        <v>698</v>
      </c>
      <c r="O604" s="6" t="s">
        <v>1019</v>
      </c>
      <c r="P604" s="6"/>
      <c r="Q604" s="6"/>
      <c r="R604" s="6"/>
    </row>
    <row r="605">
      <c r="A605" s="31" t="str">
        <f>IFERROR(__xludf.DUMMYFUNCTION("""COMPUTED_VALUE"""),"209д")</f>
        <v>209д</v>
      </c>
      <c r="B605" s="14" t="str">
        <f>IFERROR(__xludf.DUMMYFUNCTION("""COMPUTED_VALUE"""),"АИП-27")</f>
        <v>АИП-27</v>
      </c>
      <c r="C605" s="14" t="str">
        <f>IFERROR(__xludf.DUMMYFUNCTION("""COMPUTED_VALUE"""),"УДС")</f>
        <v>УДС</v>
      </c>
      <c r="D605" s="15"/>
      <c r="E605" s="14" t="str">
        <f>IFERROR(__xludf.DUMMYFUNCTION("""COMPUTED_VALUE"""),"Реконструкция Талдомской улицы Талдомская улица")</f>
        <v>Реконструкция Талдомской улицы Талдомская улица</v>
      </c>
      <c r="F605" s="25" t="str">
        <f>IFERROR(__xludf.DUMMYFUNCTION("""COMPUTED_VALUE"""),"#N/A")</f>
        <v>#N/A</v>
      </c>
      <c r="G605" s="6" t="str">
        <f>IFERROR(__xludf.DUMMYFUNCTION("""COMPUTED_VALUE"""),"#N/A")</f>
        <v>#N/A</v>
      </c>
      <c r="H605" s="6"/>
      <c r="I605" s="6"/>
      <c r="J605" s="50">
        <f>IFERROR(__xludf.DUMMYFUNCTION("""COMPUTED_VALUE"""),0.0)</f>
        <v>0</v>
      </c>
      <c r="K605" s="58">
        <f>IFERROR(__xludf.DUMMYFUNCTION("""COMPUTED_VALUE"""),45962.0)</f>
        <v>45962</v>
      </c>
      <c r="L605" s="6">
        <v>30.0</v>
      </c>
      <c r="M605" s="52">
        <v>45992.0</v>
      </c>
      <c r="N605" s="53" t="s">
        <v>692</v>
      </c>
      <c r="O605" s="6" t="s">
        <v>893</v>
      </c>
      <c r="P605" s="6"/>
      <c r="Q605" s="6"/>
      <c r="R605" s="6"/>
    </row>
    <row r="606">
      <c r="A606" s="31" t="str">
        <f>IFERROR(__xludf.DUMMYFUNCTION("""COMPUTED_VALUE"""),"НД")</f>
        <v>НД</v>
      </c>
      <c r="B606" s="14" t="str">
        <f>IFERROR(__xludf.DUMMYFUNCTION("""COMPUTED_VALUE"""),"АИП-27")</f>
        <v>АИП-27</v>
      </c>
      <c r="C606" s="14" t="str">
        <f>IFERROR(__xludf.DUMMYFUNCTION("""COMPUTED_VALUE"""),"УДС")</f>
        <v>УДС</v>
      </c>
      <c r="D606" s="15"/>
      <c r="E606" s="14" t="str">
        <f>IFERROR(__xludf.DUMMYFUNCTION("""COMPUTED_VALUE"""),"Технологическая часть ТПУ на станции метро ""Люблино"". Этапы 2 (Подземные пешеходные переходы 2 шт. ) Станция метро ""Люблино""")</f>
        <v>Технологическая часть ТПУ на станции метро "Люблино". Этапы 2 (Подземные пешеходные переходы 2 шт. ) Станция метро "Люблино"</v>
      </c>
      <c r="F606" s="25" t="str">
        <f>IFERROR(__xludf.DUMMYFUNCTION("""COMPUTED_VALUE"""),"#N/A")</f>
        <v>#N/A</v>
      </c>
      <c r="G606" s="6" t="str">
        <f>IFERROR(__xludf.DUMMYFUNCTION("""COMPUTED_VALUE"""),"#N/A")</f>
        <v>#N/A</v>
      </c>
      <c r="H606" s="6"/>
      <c r="I606" s="6"/>
      <c r="J606" s="50"/>
      <c r="K606" s="58"/>
      <c r="L606" s="6">
        <v>30.0</v>
      </c>
      <c r="M606" s="52" t="s">
        <v>655</v>
      </c>
      <c r="N606" s="53" t="s">
        <v>698</v>
      </c>
      <c r="O606" s="6"/>
      <c r="P606" s="6"/>
      <c r="Q606" s="6"/>
      <c r="R606" s="6"/>
    </row>
    <row r="607">
      <c r="A607" s="31" t="str">
        <f>IFERROR(__xludf.DUMMYFUNCTION("""COMPUTED_VALUE"""),"НД")</f>
        <v>НД</v>
      </c>
      <c r="B607" s="14" t="str">
        <f>IFERROR(__xludf.DUMMYFUNCTION("""COMPUTED_VALUE"""),"АИП-27")</f>
        <v>АИП-27</v>
      </c>
      <c r="C607" s="14" t="str">
        <f>IFERROR(__xludf.DUMMYFUNCTION("""COMPUTED_VALUE"""),"УДС")</f>
        <v>УДС</v>
      </c>
      <c r="D607" s="15"/>
      <c r="E607" s="14" t="str">
        <f>IFERROR(__xludf.DUMMYFUNCTION("""COMPUTED_VALUE"""),"Технологическая часть ТПУ на станции метро ""Люблино"". Этап 3 (Подземный пешеходный переход (продление) 1 шт.) Станция метро ""Люблино""")</f>
        <v>Технологическая часть ТПУ на станции метро "Люблино". Этап 3 (Подземный пешеходный переход (продление) 1 шт.) Станция метро "Люблино"</v>
      </c>
      <c r="F607" s="25" t="str">
        <f>IFERROR(__xludf.DUMMYFUNCTION("""COMPUTED_VALUE"""),"#N/A")</f>
        <v>#N/A</v>
      </c>
      <c r="G607" s="6" t="str">
        <f>IFERROR(__xludf.DUMMYFUNCTION("""COMPUTED_VALUE"""),"#N/A")</f>
        <v>#N/A</v>
      </c>
      <c r="H607" s="6"/>
      <c r="I607" s="6"/>
      <c r="J607" s="50"/>
      <c r="K607" s="58"/>
      <c r="L607" s="6">
        <v>30.0</v>
      </c>
      <c r="M607" s="52" t="s">
        <v>655</v>
      </c>
      <c r="N607" s="53" t="s">
        <v>698</v>
      </c>
      <c r="O607" s="6"/>
      <c r="P607" s="6"/>
      <c r="Q607" s="6"/>
      <c r="R607" s="6"/>
    </row>
    <row r="608">
      <c r="A608" s="31" t="str">
        <f>IFERROR(__xludf.DUMMYFUNCTION("""COMPUTED_VALUE"""),"462д")</f>
        <v>462д</v>
      </c>
      <c r="B608" s="14" t="str">
        <f>IFERROR(__xludf.DUMMYFUNCTION("""COMPUTED_VALUE"""),"АИП-27")</f>
        <v>АИП-27</v>
      </c>
      <c r="C608" s="14" t="str">
        <f>IFERROR(__xludf.DUMMYFUNCTION("""COMPUTED_VALUE"""),"УДС")</f>
        <v>УДС</v>
      </c>
      <c r="D608" s="15"/>
      <c r="E608" s="14" t="str">
        <f>IFERROR(__xludf.DUMMYFUNCTION("""COMPUTED_VALUE"""),"Реконструкция ул. Антонова-Овсеенко и прилегающей улично–дорожной сети для обеспечения  транспортной доступности
«Сити-2» 2 этап. ул. Антонова-Овсеенко")</f>
        <v>Реконструкция ул. Антонова-Овсеенко и прилегающей улично–дорожной сети для обеспечения  транспортной доступности
«Сити-2» 2 этап. ул. Антонова-Овсеенко</v>
      </c>
      <c r="F608" s="25" t="str">
        <f>IFERROR(__xludf.DUMMYFUNCTION("""COMPUTED_VALUE"""),"#N/A")</f>
        <v>#N/A</v>
      </c>
      <c r="G608" s="6" t="str">
        <f>IFERROR(__xludf.DUMMYFUNCTION("""COMPUTED_VALUE"""),"#N/A")</f>
        <v>#N/A</v>
      </c>
      <c r="H608" s="6"/>
      <c r="I608" s="6"/>
      <c r="J608" s="50">
        <f>IFERROR(__xludf.DUMMYFUNCTION("""COMPUTED_VALUE"""),0.0)</f>
        <v>0</v>
      </c>
      <c r="K608" s="58"/>
      <c r="L608" s="6">
        <v>30.0</v>
      </c>
      <c r="M608" s="52" t="s">
        <v>655</v>
      </c>
      <c r="N608" s="53" t="s">
        <v>698</v>
      </c>
      <c r="O608" s="6" t="s">
        <v>1020</v>
      </c>
      <c r="P608" s="6"/>
      <c r="Q608" s="6"/>
      <c r="R608" s="6"/>
    </row>
    <row r="609">
      <c r="A609" s="31" t="str">
        <f>IFERROR(__xludf.DUMMYFUNCTION("""COMPUTED_VALUE"""),"440д")</f>
        <v>440д</v>
      </c>
      <c r="B609" s="14" t="str">
        <f>IFERROR(__xludf.DUMMYFUNCTION("""COMPUTED_VALUE"""),"АИП-27")</f>
        <v>АИП-27</v>
      </c>
      <c r="C609" s="14" t="str">
        <f>IFERROR(__xludf.DUMMYFUNCTION("""COMPUTED_VALUE"""),"УДС")</f>
        <v>УДС</v>
      </c>
      <c r="D609" s="15"/>
      <c r="E609" s="14" t="str">
        <f>IFERROR(__xludf.DUMMYFUNCTION("""COMPUTED_VALUE"""),"Реконструкция Киевского шоссе на участке от 53 до 65 км (кап.ремонт и реконструкция) Киевское шоссе")</f>
        <v>Реконструкция Киевского шоссе на участке от 53 до 65 км (кап.ремонт и реконструкция) Киевское шоссе</v>
      </c>
      <c r="F609" s="25" t="str">
        <f>IFERROR(__xludf.DUMMYFUNCTION("""COMPUTED_VALUE"""),"#N/A")</f>
        <v>#N/A</v>
      </c>
      <c r="G609" s="6" t="str">
        <f>IFERROR(__xludf.DUMMYFUNCTION("""COMPUTED_VALUE"""),"#N/A")</f>
        <v>#N/A</v>
      </c>
      <c r="H609" s="6"/>
      <c r="I609" s="6"/>
      <c r="J609" s="50">
        <f>IFERROR(__xludf.DUMMYFUNCTION("""COMPUTED_VALUE"""),0.0)</f>
        <v>0</v>
      </c>
      <c r="K609" s="58"/>
      <c r="L609" s="6">
        <v>30.0</v>
      </c>
      <c r="M609" s="52" t="s">
        <v>655</v>
      </c>
      <c r="N609" s="53" t="s">
        <v>698</v>
      </c>
      <c r="O609" s="6" t="s">
        <v>980</v>
      </c>
      <c r="P609" s="6"/>
      <c r="Q609" s="6"/>
      <c r="R609" s="6"/>
    </row>
    <row r="610">
      <c r="A610" s="31" t="str">
        <f>IFERROR(__xludf.DUMMYFUNCTION("""COMPUTED_VALUE"""),"441д")</f>
        <v>441д</v>
      </c>
      <c r="B610" s="14" t="str">
        <f>IFERROR(__xludf.DUMMYFUNCTION("""COMPUTED_VALUE"""),"АИП-27")</f>
        <v>АИП-27</v>
      </c>
      <c r="C610" s="14" t="str">
        <f>IFERROR(__xludf.DUMMYFUNCTION("""COMPUTED_VALUE"""),"УДС")</f>
        <v>УДС</v>
      </c>
      <c r="D610" s="15"/>
      <c r="E610" s="14" t="str">
        <f>IFERROR(__xludf.DUMMYFUNCTION("""COMPUTED_VALUE"""),"Строительство и реконструкция магистральной улицы общегородского значения ""Мамыри – Пенино - Шарапово"". 2 очередь ""Николо-Хованская ул. – ул. Адмирала Корнилова"" Мамыри – Пенино - Шарапово")</f>
        <v>Строительство и реконструкция магистральной улицы общегородского значения "Мамыри – Пенино - Шарапово". 2 очередь "Николо-Хованская ул. – ул. Адмирала Корнилова" Мамыри – Пенино - Шарапово</v>
      </c>
      <c r="F610" s="25" t="str">
        <f>IFERROR(__xludf.DUMMYFUNCTION("""COMPUTED_VALUE"""),"#N/A")</f>
        <v>#N/A</v>
      </c>
      <c r="G610" s="6" t="str">
        <f>IFERROR(__xludf.DUMMYFUNCTION("""COMPUTED_VALUE"""),"#N/A")</f>
        <v>#N/A</v>
      </c>
      <c r="H610" s="6"/>
      <c r="I610" s="6"/>
      <c r="J610" s="50">
        <f>IFERROR(__xludf.DUMMYFUNCTION("""COMPUTED_VALUE"""),0.0)</f>
        <v>0</v>
      </c>
      <c r="K610" s="58">
        <f>IFERROR(__xludf.DUMMYFUNCTION("""COMPUTED_VALUE"""),45962.0)</f>
        <v>45962</v>
      </c>
      <c r="L610" s="6">
        <v>30.0</v>
      </c>
      <c r="M610" s="52">
        <v>45992.0</v>
      </c>
      <c r="N610" s="53" t="s">
        <v>692</v>
      </c>
      <c r="O610" s="6" t="s">
        <v>1021</v>
      </c>
      <c r="P610" s="6"/>
      <c r="Q610" s="6"/>
      <c r="R610" s="6"/>
    </row>
    <row r="611">
      <c r="A611" s="31" t="str">
        <f>IFERROR(__xludf.DUMMYFUNCTION("""COMPUTED_VALUE"""),"442д")</f>
        <v>442д</v>
      </c>
      <c r="B611" s="14" t="str">
        <f>IFERROR(__xludf.DUMMYFUNCTION("""COMPUTED_VALUE"""),"АИП-27")</f>
        <v>АИП-27</v>
      </c>
      <c r="C611" s="14" t="str">
        <f>IFERROR(__xludf.DUMMYFUNCTION("""COMPUTED_VALUE"""),"УДС")</f>
        <v>УДС</v>
      </c>
      <c r="D611" s="15"/>
      <c r="E611" s="14" t="str">
        <f>IFERROR(__xludf.DUMMYFUNCTION("""COMPUTED_VALUE"""),"Строительство автомобильной дороги «Марьино – д. Саларьево» (3 этап) Марьино – д. Саларьево")</f>
        <v>Строительство автомобильной дороги «Марьино – д. Саларьево» (3 этап) Марьино – д. Саларьево</v>
      </c>
      <c r="F611" s="25" t="str">
        <f>IFERROR(__xludf.DUMMYFUNCTION("""COMPUTED_VALUE"""),"#N/A")</f>
        <v>#N/A</v>
      </c>
      <c r="G611" s="6" t="str">
        <f>IFERROR(__xludf.DUMMYFUNCTION("""COMPUTED_VALUE"""),"#N/A")</f>
        <v>#N/A</v>
      </c>
      <c r="H611" s="6"/>
      <c r="I611" s="6"/>
      <c r="J611" s="50">
        <f>IFERROR(__xludf.DUMMYFUNCTION("""COMPUTED_VALUE"""),0.0)</f>
        <v>0</v>
      </c>
      <c r="K611" s="58"/>
      <c r="L611" s="6">
        <v>30.0</v>
      </c>
      <c r="M611" s="52" t="s">
        <v>655</v>
      </c>
      <c r="N611" s="53" t="s">
        <v>698</v>
      </c>
      <c r="O611" s="6" t="s">
        <v>893</v>
      </c>
      <c r="P611" s="6"/>
      <c r="Q611" s="6"/>
      <c r="R611" s="6"/>
    </row>
    <row r="612">
      <c r="A612" s="31" t="str">
        <f>IFERROR(__xludf.DUMMYFUNCTION("""COMPUTED_VALUE"""),"443д")</f>
        <v>443д</v>
      </c>
      <c r="B612" s="14" t="str">
        <f>IFERROR(__xludf.DUMMYFUNCTION("""COMPUTED_VALUE"""),"АИП-27")</f>
        <v>АИП-27</v>
      </c>
      <c r="C612" s="14" t="str">
        <f>IFERROR(__xludf.DUMMYFUNCTION("""COMPUTED_VALUE"""),"УДС")</f>
        <v>УДС</v>
      </c>
      <c r="D612" s="15"/>
      <c r="E612" s="14" t="str">
        <f>IFERROR(__xludf.DUMMYFUNCTION("""COMPUTED_VALUE"""),"Строительство улицы районного значения к ж/д ст. Санино (с ОРП и конечной станцией) вблизи ж/д ст. Санино")</f>
        <v>Строительство улицы районного значения к ж/д ст. Санино (с ОРП и конечной станцией) вблизи ж/д ст. Санино</v>
      </c>
      <c r="F612" s="25" t="str">
        <f>IFERROR(__xludf.DUMMYFUNCTION("""COMPUTED_VALUE"""),"#N/A")</f>
        <v>#N/A</v>
      </c>
      <c r="G612" s="6" t="str">
        <f>IFERROR(__xludf.DUMMYFUNCTION("""COMPUTED_VALUE"""),"#N/A")</f>
        <v>#N/A</v>
      </c>
      <c r="H612" s="6"/>
      <c r="I612" s="6"/>
      <c r="J612" s="50">
        <f>IFERROR(__xludf.DUMMYFUNCTION("""COMPUTED_VALUE"""),0.0)</f>
        <v>0</v>
      </c>
      <c r="K612" s="58">
        <f>IFERROR(__xludf.DUMMYFUNCTION("""COMPUTED_VALUE"""),45962.0)</f>
        <v>45962</v>
      </c>
      <c r="L612" s="6">
        <v>30.0</v>
      </c>
      <c r="M612" s="52">
        <v>45992.0</v>
      </c>
      <c r="N612" s="53" t="s">
        <v>692</v>
      </c>
      <c r="O612" s="6" t="s">
        <v>1022</v>
      </c>
      <c r="P612" s="6"/>
      <c r="Q612" s="6"/>
      <c r="R612" s="6"/>
    </row>
    <row r="613">
      <c r="A613" s="31" t="str">
        <f>IFERROR(__xludf.DUMMYFUNCTION("""COMPUTED_VALUE"""),"444д")</f>
        <v>444д</v>
      </c>
      <c r="B613" s="14" t="str">
        <f>IFERROR(__xludf.DUMMYFUNCTION("""COMPUTED_VALUE"""),"АИП-27")</f>
        <v>АИП-27</v>
      </c>
      <c r="C613" s="14" t="str">
        <f>IFERROR(__xludf.DUMMYFUNCTION("""COMPUTED_VALUE"""),"УДС")</f>
        <v>УДС</v>
      </c>
      <c r="D613" s="15"/>
      <c r="E613" s="14" t="str">
        <f>IFERROR(__xludf.DUMMYFUNCTION("""COMPUTED_VALUE"""),"Реконструкция улицы районного значения от Боровского ш. до ж/д ст. Толстопальцево (с ОРП и конечной станцией) от Боровского ш. до ж/д ст. Толстопальцево")</f>
        <v>Реконструкция улицы районного значения от Боровского ш. до ж/д ст. Толстопальцево (с ОРП и конечной станцией) от Боровского ш. до ж/д ст. Толстопальцево</v>
      </c>
      <c r="F613" s="25" t="str">
        <f>IFERROR(__xludf.DUMMYFUNCTION("""COMPUTED_VALUE"""),"#N/A")</f>
        <v>#N/A</v>
      </c>
      <c r="G613" s="6" t="str">
        <f>IFERROR(__xludf.DUMMYFUNCTION("""COMPUTED_VALUE"""),"#N/A")</f>
        <v>#N/A</v>
      </c>
      <c r="H613" s="6"/>
      <c r="I613" s="6"/>
      <c r="J613" s="50">
        <f>IFERROR(__xludf.DUMMYFUNCTION("""COMPUTED_VALUE"""),0.0)</f>
        <v>0</v>
      </c>
      <c r="K613" s="58">
        <f>IFERROR(__xludf.DUMMYFUNCTION("""COMPUTED_VALUE"""),45975.0)</f>
        <v>45975</v>
      </c>
      <c r="L613" s="6">
        <v>30.0</v>
      </c>
      <c r="M613" s="52">
        <v>46005.0</v>
      </c>
      <c r="N613" s="53" t="s">
        <v>711</v>
      </c>
      <c r="O613" s="6" t="s">
        <v>1023</v>
      </c>
      <c r="P613" s="6"/>
      <c r="Q613" s="6"/>
      <c r="R613" s="6"/>
    </row>
    <row r="614">
      <c r="A614" s="31" t="str">
        <f>IFERROR(__xludf.DUMMYFUNCTION("""COMPUTED_VALUE"""),"445д(этап2.1)")</f>
        <v>445д(этап2.1)</v>
      </c>
      <c r="B614" s="14" t="str">
        <f>IFERROR(__xludf.DUMMYFUNCTION("""COMPUTED_VALUE"""),"АИП-27")</f>
        <v>АИП-27</v>
      </c>
      <c r="C614" s="14" t="str">
        <f>IFERROR(__xludf.DUMMYFUNCTION("""COMPUTED_VALUE"""),"УДС")</f>
        <v>УДС</v>
      </c>
      <c r="D614" s="15"/>
      <c r="E614"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2.1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2.1 территория Административно-делового центра  в п. Коммунарка</v>
      </c>
      <c r="F614" s="25" t="str">
        <f>IFERROR(__xludf.DUMMYFUNCTION("""COMPUTED_VALUE"""),"#N/A")</f>
        <v>#N/A</v>
      </c>
      <c r="G614" s="6" t="str">
        <f>IFERROR(__xludf.DUMMYFUNCTION("""COMPUTED_VALUE"""),"#N/A")</f>
        <v>#N/A</v>
      </c>
      <c r="H614" s="6"/>
      <c r="I614" s="6"/>
      <c r="J614" s="50">
        <f>IFERROR(__xludf.DUMMYFUNCTION("""COMPUTED_VALUE"""),0.0)</f>
        <v>0</v>
      </c>
      <c r="K614" s="58"/>
      <c r="L614" s="6">
        <v>30.0</v>
      </c>
      <c r="M614" s="52" t="s">
        <v>655</v>
      </c>
      <c r="N614" s="53" t="s">
        <v>698</v>
      </c>
      <c r="O614" s="6" t="s">
        <v>1024</v>
      </c>
      <c r="P614" s="6"/>
      <c r="Q614" s="6"/>
      <c r="R614" s="6"/>
    </row>
    <row r="615">
      <c r="A615" s="31" t="str">
        <f>IFERROR(__xludf.DUMMYFUNCTION("""COMPUTED_VALUE"""),"445д(этап2.2)")</f>
        <v>445д(этап2.2)</v>
      </c>
      <c r="B615" s="14" t="str">
        <f>IFERROR(__xludf.DUMMYFUNCTION("""COMPUTED_VALUE"""),"АИП-27")</f>
        <v>АИП-27</v>
      </c>
      <c r="C615" s="14" t="str">
        <f>IFERROR(__xludf.DUMMYFUNCTION("""COMPUTED_VALUE"""),"УДС")</f>
        <v>УДС</v>
      </c>
      <c r="D615" s="15"/>
      <c r="E615"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2.2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2.2 территория Административно-делового центра  в п. Коммунарка</v>
      </c>
      <c r="F615" s="25" t="str">
        <f>IFERROR(__xludf.DUMMYFUNCTION("""COMPUTED_VALUE"""),"#N/A")</f>
        <v>#N/A</v>
      </c>
      <c r="G615" s="6" t="str">
        <f>IFERROR(__xludf.DUMMYFUNCTION("""COMPUTED_VALUE"""),"#N/A")</f>
        <v>#N/A</v>
      </c>
      <c r="H615" s="6"/>
      <c r="I615" s="6"/>
      <c r="J615" s="50">
        <f>IFERROR(__xludf.DUMMYFUNCTION("""COMPUTED_VALUE"""),0.0)</f>
        <v>0</v>
      </c>
      <c r="K615" s="58"/>
      <c r="L615" s="6">
        <v>30.0</v>
      </c>
      <c r="M615" s="52" t="s">
        <v>655</v>
      </c>
      <c r="N615" s="53" t="s">
        <v>698</v>
      </c>
      <c r="O615" s="6" t="s">
        <v>1024</v>
      </c>
      <c r="P615" s="6"/>
      <c r="Q615" s="6"/>
      <c r="R615" s="6"/>
    </row>
    <row r="616">
      <c r="A616" s="31" t="str">
        <f>IFERROR(__xludf.DUMMYFUNCTION("""COMPUTED_VALUE"""),"445д(этап2.5)")</f>
        <v>445д(этап2.5)</v>
      </c>
      <c r="B616" s="14" t="str">
        <f>IFERROR(__xludf.DUMMYFUNCTION("""COMPUTED_VALUE"""),"АИП-27")</f>
        <v>АИП-27</v>
      </c>
      <c r="C616" s="14" t="str">
        <f>IFERROR(__xludf.DUMMYFUNCTION("""COMPUTED_VALUE"""),"УДС")</f>
        <v>УДС</v>
      </c>
      <c r="D616" s="15"/>
      <c r="E616"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2.5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2.5 территория Административно-делового центра  в п. Коммунарка</v>
      </c>
      <c r="F616" s="25" t="str">
        <f>IFERROR(__xludf.DUMMYFUNCTION("""COMPUTED_VALUE"""),"#N/A")</f>
        <v>#N/A</v>
      </c>
      <c r="G616" s="6" t="str">
        <f>IFERROR(__xludf.DUMMYFUNCTION("""COMPUTED_VALUE"""),"#N/A")</f>
        <v>#N/A</v>
      </c>
      <c r="H616" s="6"/>
      <c r="I616" s="6"/>
      <c r="J616" s="50">
        <f>IFERROR(__xludf.DUMMYFUNCTION("""COMPUTED_VALUE"""),0.0)</f>
        <v>0</v>
      </c>
      <c r="K616" s="58"/>
      <c r="L616" s="6">
        <v>30.0</v>
      </c>
      <c r="M616" s="52" t="s">
        <v>655</v>
      </c>
      <c r="N616" s="53" t="s">
        <v>698</v>
      </c>
      <c r="O616" s="6" t="s">
        <v>1024</v>
      </c>
      <c r="P616" s="6"/>
      <c r="Q616" s="6"/>
      <c r="R616" s="6"/>
    </row>
    <row r="617">
      <c r="A617" s="31" t="str">
        <f>IFERROR(__xludf.DUMMYFUNCTION("""COMPUTED_VALUE"""),"НД")</f>
        <v>НД</v>
      </c>
      <c r="B617" s="14" t="str">
        <f>IFERROR(__xludf.DUMMYFUNCTION("""COMPUTED_VALUE"""),"АИП-27")</f>
        <v>АИП-27</v>
      </c>
      <c r="C617" s="14" t="str">
        <f>IFERROR(__xludf.DUMMYFUNCTION("""COMPUTED_VALUE"""),"УДС")</f>
        <v>УДС</v>
      </c>
      <c r="D617" s="15"/>
      <c r="E617" s="14" t="str">
        <f>IFERROR(__xludf.DUMMYFUNCTION("""COMPUTED_VALUE"""),"3020-05 Очистные сооружения дождевой канализации для застройки мкр. 18Б р-на Богородское г. Москва, 18Б р-на Богородское")</f>
        <v>3020-05 Очистные сооружения дождевой канализации для застройки мкр. 18Б р-на Богородское г. Москва, 18Б р-на Богородское</v>
      </c>
      <c r="F617" s="25" t="str">
        <f>IFERROR(__xludf.DUMMYFUNCTION("""COMPUTED_VALUE"""),"#N/A")</f>
        <v>#N/A</v>
      </c>
      <c r="G617" s="6" t="str">
        <f>IFERROR(__xludf.DUMMYFUNCTION("""COMPUTED_VALUE"""),"#N/A")</f>
        <v>#N/A</v>
      </c>
      <c r="H617" s="6"/>
      <c r="I617" s="6"/>
      <c r="J617" s="50"/>
      <c r="K617" s="58"/>
      <c r="L617" s="6">
        <v>30.0</v>
      </c>
      <c r="M617" s="52" t="s">
        <v>655</v>
      </c>
      <c r="N617" s="53" t="s">
        <v>698</v>
      </c>
      <c r="O617" s="6" t="s">
        <v>1025</v>
      </c>
      <c r="P617" s="6"/>
      <c r="Q617" s="6"/>
      <c r="R617" s="6"/>
    </row>
    <row r="618">
      <c r="A618" s="31" t="str">
        <f>IFERROR(__xludf.DUMMYFUNCTION("""COMPUTED_VALUE"""),"1198")</f>
        <v>1198</v>
      </c>
      <c r="B618" s="14" t="str">
        <f>IFERROR(__xludf.DUMMYFUNCTION("""COMPUTED_VALUE"""),"АИП-27")</f>
        <v>АИП-27</v>
      </c>
      <c r="C618" s="14" t="str">
        <f>IFERROR(__xludf.DUMMYFUNCTION("""COMPUTED_VALUE"""),"ОКС")</f>
        <v>ОКС</v>
      </c>
      <c r="D618" s="15"/>
      <c r="E618" s="14" t="str">
        <f>IFERROR(__xludf.DUMMYFUNCTION("""COMPUTED_VALUE"""),"Детская городская поликлиника № 69 ДЗМ на 560 посещений в смену по адресу: Южный административный округ г. Москвы, р-н Нагорный, ул. Нагорная, 16/1 г. Москвы, р-н Нагорный, ул. Нагорная, 16/1")</f>
        <v>Детская городская поликлиника № 69 ДЗМ на 560 посещений в смену по адресу: Южный административный округ г. Москвы, р-н Нагорный, ул. Нагорная, 16/1 г. Москвы, р-н Нагорный, ул. Нагорная, 16/1</v>
      </c>
      <c r="F618" s="25" t="str">
        <f>IFERROR(__xludf.DUMMYFUNCTION("""COMPUTED_VALUE"""),"#N/A")</f>
        <v>#N/A</v>
      </c>
      <c r="G618" s="6" t="str">
        <f>IFERROR(__xludf.DUMMYFUNCTION("""COMPUTED_VALUE"""),"#N/A")</f>
        <v>#N/A</v>
      </c>
      <c r="H618" s="18" t="str">
        <f>IFERROR(__xludf.DUMMYFUNCTION("""COMPUTED_VALUE"""),"https://docs.google.com/spreadsheets/d/19THEBTE9q0fhN2eApZr6BgenIvLGh0AckaYxHQfHk5w/edit?gid=1762521778#gid=1762521778")</f>
        <v>https://docs.google.com/spreadsheets/d/19THEBTE9q0fhN2eApZr6BgenIvLGh0AckaYxHQfHk5w/edit?gid=1762521778#gid=1762521778</v>
      </c>
      <c r="I618" s="6" t="str">
        <f>IFERROR(__xludf.DUMMYFUNCTION("""COMPUTED_VALUE"""),"https://disk.yandex.ru/client/disk/Осмотры%20объектов%20АНО%20СМГ/1198.%20Поликлиника%20ул.%20Нагорная%2016-1")</f>
        <v>https://disk.yandex.ru/client/disk/Осмотры%20объектов%20АНО%20СМГ/1198.%20Поликлиника%20ул.%20Нагорная%2016-1</v>
      </c>
      <c r="J618" s="50">
        <f>IFERROR(__xludf.DUMMYFUNCTION("""COMPUTED_VALUE"""),0.0)</f>
        <v>0</v>
      </c>
      <c r="K618" s="58"/>
      <c r="L618" s="6">
        <v>30.0</v>
      </c>
      <c r="M618" s="52" t="s">
        <v>655</v>
      </c>
      <c r="N618" s="53" t="s">
        <v>698</v>
      </c>
      <c r="O618" s="6" t="s">
        <v>1026</v>
      </c>
      <c r="P618" s="6"/>
      <c r="Q618" s="6"/>
      <c r="R618" s="6"/>
    </row>
    <row r="619">
      <c r="A619" s="31" t="str">
        <f>IFERROR(__xludf.DUMMYFUNCTION("""COMPUTED_VALUE"""),"НД")</f>
        <v>НД</v>
      </c>
      <c r="B619" s="14" t="str">
        <f>IFERROR(__xludf.DUMMYFUNCTION("""COMPUTED_VALUE"""),"АИП-27")</f>
        <v>АИП-27</v>
      </c>
      <c r="C619" s="14" t="str">
        <f>IFERROR(__xludf.DUMMYFUNCTION("""COMPUTED_VALUE"""),"ОКС")</f>
        <v>ОКС</v>
      </c>
      <c r="D619" s="15"/>
      <c r="E619" s="14" t="str">
        <f>IFERROR(__xludf.DUMMYFUNCTION("""COMPUTED_VALUE"""),"Реконструкция инженерных сетей ""Базового центра служебного собаководства"" М.О., г. Балашиха, Западная коммунальная зона, шоссе Энтузиастов, влд. 3")</f>
        <v>Реконструкция инженерных сетей "Базового центра служебного собаководства" М.О., г. Балашиха, Западная коммунальная зона, шоссе Энтузиастов, влд. 3</v>
      </c>
      <c r="F619" s="25" t="str">
        <f>IFERROR(__xludf.DUMMYFUNCTION("""COMPUTED_VALUE"""),"#N/A")</f>
        <v>#N/A</v>
      </c>
      <c r="G619" s="6" t="str">
        <f>IFERROR(__xludf.DUMMYFUNCTION("""COMPUTED_VALUE"""),"#N/A")</f>
        <v>#N/A</v>
      </c>
      <c r="H619" s="6"/>
      <c r="I619" s="19"/>
      <c r="J619" s="50"/>
      <c r="K619" s="58"/>
      <c r="L619" s="6">
        <v>30.0</v>
      </c>
      <c r="M619" s="52" t="s">
        <v>655</v>
      </c>
      <c r="N619" s="53" t="s">
        <v>698</v>
      </c>
      <c r="O619" s="19" t="s">
        <v>1027</v>
      </c>
      <c r="P619" s="6"/>
      <c r="Q619" s="6"/>
      <c r="R619" s="6"/>
    </row>
    <row r="620">
      <c r="A620" s="31" t="str">
        <f>IFERROR(__xludf.DUMMYFUNCTION("""COMPUTED_VALUE"""),"812")</f>
        <v>812</v>
      </c>
      <c r="B620" s="14" t="str">
        <f>IFERROR(__xludf.DUMMYFUNCTION("""COMPUTED_VALUE"""),"АИП-27")</f>
        <v>АИП-27</v>
      </c>
      <c r="C620" s="14" t="str">
        <f>IFERROR(__xludf.DUMMYFUNCTION("""COMPUTED_VALUE"""),"ОКС")</f>
        <v>ОКС</v>
      </c>
      <c r="D620" s="15"/>
      <c r="E620" s="14" t="str">
        <f>IFERROR(__xludf.DUMMYFUNCTION("""COMPUTED_VALUE"""),"Административное здание ул. Деловая, вл.15, район Царицыно")</f>
        <v>Административное здание ул. Деловая, вл.15, район Царицыно</v>
      </c>
      <c r="F620" s="25" t="str">
        <f>IFERROR(__xludf.DUMMYFUNCTION("""COMPUTED_VALUE"""),"#N/A")</f>
        <v>#N/A</v>
      </c>
      <c r="G620" s="6" t="str">
        <f>IFERROR(__xludf.DUMMYFUNCTION("""COMPUTED_VALUE"""),"#N/A")</f>
        <v>#N/A</v>
      </c>
      <c r="H620" s="18" t="str">
        <f>IFERROR(__xludf.DUMMYFUNCTION("""COMPUTED_VALUE"""),"https://docs.google.com/spreadsheets/d/19THEBTE9q0fhN2eApZr6BgenIvLGh0AckaYxHQfHk5w/edit?gid=1599271911#gid=1599271911")</f>
        <v>https://docs.google.com/spreadsheets/d/19THEBTE9q0fhN2eApZr6BgenIvLGh0AckaYxHQfHk5w/edit?gid=1599271911#gid=1599271911</v>
      </c>
      <c r="I620" s="19" t="str">
        <f>IFERROR(__xludf.DUMMYFUNCTION("""COMPUTED_VALUE"""),"https://disk.yandex.ru/client/disk/Осмотры%20объектов%20АНО%20СМГ/812Деловая%2015%20(стр%202%2C3.4.6)")</f>
        <v>https://disk.yandex.ru/client/disk/Осмотры%20объектов%20АНО%20СМГ/812Деловая%2015%20(стр%202%2C3.4.6)</v>
      </c>
      <c r="J620" s="50">
        <f>IFERROR(__xludf.DUMMYFUNCTION("""COMPUTED_VALUE"""),0.0)</f>
        <v>0</v>
      </c>
      <c r="K620" s="58">
        <f>IFERROR(__xludf.DUMMYFUNCTION("""COMPUTED_VALUE"""),45812.0)</f>
        <v>45812</v>
      </c>
      <c r="L620" s="6">
        <v>30.0</v>
      </c>
      <c r="M620" s="52">
        <v>45842.0</v>
      </c>
      <c r="N620" s="53" t="s">
        <v>668</v>
      </c>
      <c r="O620" s="19" t="s">
        <v>1028</v>
      </c>
      <c r="P620" s="6"/>
      <c r="Q620" s="6"/>
      <c r="R620" s="6"/>
    </row>
    <row r="621">
      <c r="A621" s="31" t="str">
        <f>IFERROR(__xludf.DUMMYFUNCTION("""COMPUTED_VALUE"""),"302")</f>
        <v>302</v>
      </c>
      <c r="B621" s="14" t="str">
        <f>IFERROR(__xludf.DUMMYFUNCTION("""COMPUTED_VALUE"""),"АИП-27")</f>
        <v>АИП-27</v>
      </c>
      <c r="C621" s="14" t="str">
        <f>IFERROR(__xludf.DUMMYFUNCTION("""COMPUTED_VALUE"""),"ОКС")</f>
        <v>ОКС</v>
      </c>
      <c r="D621" s="15"/>
      <c r="E621" s="14" t="str">
        <f>IFERROR(__xludf.DUMMYFUNCTION("""COMPUTED_VALUE"""),"Административное здание Физкультурный пр-д, д.2, стр.1, район Филевский парк")</f>
        <v>Административное здание Физкультурный пр-д, д.2, стр.1, район Филевский парк</v>
      </c>
      <c r="F621" s="25" t="str">
        <f>IFERROR(__xludf.DUMMYFUNCTION("""COMPUTED_VALUE"""),"#N/A")</f>
        <v>#N/A</v>
      </c>
      <c r="G621" s="6" t="str">
        <f>IFERROR(__xludf.DUMMYFUNCTION("""COMPUTED_VALUE"""),"#N/A")</f>
        <v>#N/A</v>
      </c>
      <c r="H621" s="18" t="str">
        <f>IFERROR(__xludf.DUMMYFUNCTION("""COMPUTED_VALUE"""),"https://docs.google.com/spreadsheets/d/19THEBTE9q0fhN2eApZr6BgenIvLGh0AckaYxHQfHk5w/edit?gid=117335017#gid=117335017")</f>
        <v>https://docs.google.com/spreadsheets/d/19THEBTE9q0fhN2eApZr6BgenIvLGh0AckaYxHQfHk5w/edit?gid=117335017#gid=117335017</v>
      </c>
      <c r="I621" s="19" t="str">
        <f>IFERROR(__xludf.DUMMYFUNCTION("""COMPUTED_VALUE"""),"https://disk.yandex.ru/client/disk/Осмотры%20объектов%20АНО%20СМГ/302.%20Административное%20здание%20Физкультурный%20проезд%202с2")</f>
        <v>https://disk.yandex.ru/client/disk/Осмотры%20объектов%20АНО%20СМГ/302.%20Административное%20здание%20Физкультурный%20проезд%202с2</v>
      </c>
      <c r="J621" s="50">
        <f>IFERROR(__xludf.DUMMYFUNCTION("""COMPUTED_VALUE"""),0.0)</f>
        <v>0</v>
      </c>
      <c r="K621" s="58">
        <f>IFERROR(__xludf.DUMMYFUNCTION("""COMPUTED_VALUE"""),45681.0)</f>
        <v>45681</v>
      </c>
      <c r="L621" s="6">
        <v>30.0</v>
      </c>
      <c r="M621" s="52">
        <v>45711.0</v>
      </c>
      <c r="N621" s="53" t="s">
        <v>668</v>
      </c>
      <c r="O621" s="19" t="s">
        <v>1028</v>
      </c>
      <c r="P621" s="6"/>
      <c r="Q621" s="6"/>
      <c r="R621" s="6"/>
    </row>
    <row r="622">
      <c r="A622" s="31" t="str">
        <f>IFERROR(__xludf.DUMMYFUNCTION("""COMPUTED_VALUE"""),"197")</f>
        <v>197</v>
      </c>
      <c r="B622" s="14" t="str">
        <f>IFERROR(__xludf.DUMMYFUNCTION("""COMPUTED_VALUE"""),"АИП-27")</f>
        <v>АИП-27</v>
      </c>
      <c r="C622" s="14" t="str">
        <f>IFERROR(__xludf.DUMMYFUNCTION("""COMPUTED_VALUE"""),"ОКС")</f>
        <v>ОКС</v>
      </c>
      <c r="D622" s="15"/>
      <c r="E622" s="14" t="str">
        <f>IFERROR(__xludf.DUMMYFUNCTION("""COMPUTED_VALUE"""),"Административное здание ул. Дорожная, вл.13 А, район Чертаново-Южное")</f>
        <v>Административное здание ул. Дорожная, вл.13 А, район Чертаново-Южное</v>
      </c>
      <c r="F622" s="25" t="str">
        <f>IFERROR(__xludf.DUMMYFUNCTION("""COMPUTED_VALUE"""),"#N/A")</f>
        <v>#N/A</v>
      </c>
      <c r="G622" s="6" t="str">
        <f>IFERROR(__xludf.DUMMYFUNCTION("""COMPUTED_VALUE"""),"#N/A")</f>
        <v>#N/A</v>
      </c>
      <c r="H622" s="18" t="str">
        <f>IFERROR(__xludf.DUMMYFUNCTION("""COMPUTED_VALUE"""),"https://docs.google.com/spreadsheets/d/19THEBTE9q0fhN2eApZr6BgenIvLGh0AckaYxHQfHk5w/edit?gid=1184026835#gid=1184026835")</f>
        <v>https://docs.google.com/spreadsheets/d/19THEBTE9q0fhN2eApZr6BgenIvLGh0AckaYxHQfHk5w/edit?gid=1184026835#gid=1184026835</v>
      </c>
      <c r="I622" s="19" t="str">
        <f>IFERROR(__xludf.DUMMYFUNCTION("""COMPUTED_VALUE"""),"https://disk.yandex.ru/client/disk/Осмотры%20объектов%20АНО%20СМГ/197.%20«Административное%20здание%20по%20адресу%3A%20ул.%20Дорожная%2C%20влд.%2013А%2C%20р-н%20Чертаново-Южное»")</f>
        <v>https://disk.yandex.ru/client/disk/Осмотры%20объектов%20АНО%20СМГ/197.%20«Административное%20здание%20по%20адресу%3A%20ул.%20Дорожная%2C%20влд.%2013А%2C%20р-н%20Чертаново-Южное»</v>
      </c>
      <c r="J622" s="50">
        <f>IFERROR(__xludf.DUMMYFUNCTION("""COMPUTED_VALUE"""),0.0)</f>
        <v>0</v>
      </c>
      <c r="K622" s="58">
        <f>IFERROR(__xludf.DUMMYFUNCTION("""COMPUTED_VALUE"""),45895.0)</f>
        <v>45895</v>
      </c>
      <c r="L622" s="6">
        <v>30.0</v>
      </c>
      <c r="M622" s="52">
        <v>45925.0</v>
      </c>
      <c r="N622" s="53" t="s">
        <v>668</v>
      </c>
      <c r="O622" s="19" t="s">
        <v>1029</v>
      </c>
      <c r="P622" s="6"/>
      <c r="Q622" s="6"/>
      <c r="R622" s="6"/>
    </row>
    <row r="623">
      <c r="A623" s="31" t="str">
        <f>IFERROR(__xludf.DUMMYFUNCTION("""COMPUTED_VALUE"""),"422д")</f>
        <v>422д</v>
      </c>
      <c r="B623" s="14" t="str">
        <f>IFERROR(__xludf.DUMMYFUNCTION("""COMPUTED_VALUE"""),"АИП-27")</f>
        <v>АИП-27</v>
      </c>
      <c r="C623" s="14" t="str">
        <f>IFERROR(__xludf.DUMMYFUNCTION("""COMPUTED_VALUE"""),"УДС")</f>
        <v>УДС</v>
      </c>
      <c r="D623" s="15"/>
      <c r="E623" s="14" t="str">
        <f>IFERROR(__xludf.DUMMYFUNCTION("""COMPUTED_VALUE"""),"Автодорожный путепровод взамен существующего переезда через Рижское направление МЖД на пересечении со Сходненской ул. с  Волоколамским пр-дом пересечение со Сходненской ул. с  Волоколамским пр-дом")</f>
        <v>Автодорожный путепровод взамен существующего переезда через Рижское направление МЖД на пересечении со Сходненской ул. с  Волоколамским пр-дом пересечение со Сходненской ул. с  Волоколамским пр-дом</v>
      </c>
      <c r="F623" s="25" t="str">
        <f>IFERROR(__xludf.DUMMYFUNCTION("""COMPUTED_VALUE"""),"#N/A")</f>
        <v>#N/A</v>
      </c>
      <c r="G623" s="6" t="str">
        <f>IFERROR(__xludf.DUMMYFUNCTION("""COMPUTED_VALUE"""),"#N/A")</f>
        <v>#N/A</v>
      </c>
      <c r="H623" s="6"/>
      <c r="I623" s="19"/>
      <c r="J623" s="50">
        <f>IFERROR(__xludf.DUMMYFUNCTION("""COMPUTED_VALUE"""),0.0)</f>
        <v>0</v>
      </c>
      <c r="K623" s="58">
        <f>IFERROR(__xludf.DUMMYFUNCTION("""COMPUTED_VALUE"""),45960.0)</f>
        <v>45960</v>
      </c>
      <c r="L623" s="6">
        <v>30.0</v>
      </c>
      <c r="M623" s="52">
        <v>45990.0</v>
      </c>
      <c r="N623" s="53" t="s">
        <v>692</v>
      </c>
      <c r="O623" s="19" t="s">
        <v>1030</v>
      </c>
      <c r="P623" s="6"/>
      <c r="Q623" s="6"/>
      <c r="R623" s="6"/>
    </row>
    <row r="624">
      <c r="A624" s="31" t="str">
        <f>IFERROR(__xludf.DUMMYFUNCTION("""COMPUTED_VALUE"""),"НД")</f>
        <v>НД</v>
      </c>
      <c r="B624" s="14" t="str">
        <f>IFERROR(__xludf.DUMMYFUNCTION("""COMPUTED_VALUE"""),"АИП-27")</f>
        <v>АИП-27</v>
      </c>
      <c r="C624" s="14" t="str">
        <f>IFERROR(__xludf.DUMMYFUNCTION("""COMPUTED_VALUE"""),"УДС")</f>
        <v>УДС</v>
      </c>
      <c r="D624" s="15"/>
      <c r="E624" s="14" t="str">
        <f>IFERROR(__xludf.DUMMYFUNCTION("""COMPUTED_VALUE"""),"Реконструкция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f>
        <v>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v>
      </c>
      <c r="F624" s="25" t="str">
        <f>IFERROR(__xludf.DUMMYFUNCTION("""COMPUTED_VALUE"""),"#N/A")</f>
        <v>#N/A</v>
      </c>
      <c r="G624" s="6" t="str">
        <f>IFERROR(__xludf.DUMMYFUNCTION("""COMPUTED_VALUE"""),"#N/A")</f>
        <v>#N/A</v>
      </c>
      <c r="H624" s="6"/>
      <c r="I624" s="6"/>
      <c r="J624" s="50"/>
      <c r="K624" s="58"/>
      <c r="L624" s="6">
        <v>30.0</v>
      </c>
      <c r="M624" s="52" t="s">
        <v>655</v>
      </c>
      <c r="N624" s="53" t="s">
        <v>698</v>
      </c>
      <c r="O624" s="6" t="s">
        <v>951</v>
      </c>
      <c r="P624" s="6"/>
      <c r="Q624" s="6"/>
      <c r="R624" s="6"/>
    </row>
    <row r="625">
      <c r="A625" s="31" t="str">
        <f>IFERROR(__xludf.DUMMYFUNCTION("""COMPUTED_VALUE"""),"446д")</f>
        <v>446д</v>
      </c>
      <c r="B625" s="14" t="str">
        <f>IFERROR(__xludf.DUMMYFUNCTION("""COMPUTED_VALUE"""),"АИП-27")</f>
        <v>АИП-27</v>
      </c>
      <c r="C625" s="14" t="str">
        <f>IFERROR(__xludf.DUMMYFUNCTION("""COMPUTED_VALUE"""),"УДС")</f>
        <v>УДС</v>
      </c>
      <c r="D625" s="15"/>
      <c r="E625" s="14" t="str">
        <f>IFERROR(__xludf.DUMMYFUNCTION("""COMPUTED_VALUE"""),"Строительство проезда от Библиотечного пр-да до платформы ""Ховрино"" от Библиотечного пр-да до платформы ""Ховрино""")</f>
        <v>Строительство проезда от Библиотечного пр-да до платформы "Ховрино" от Библиотечного пр-да до платформы "Ховрино"</v>
      </c>
      <c r="F625" s="25" t="str">
        <f>IFERROR(__xludf.DUMMYFUNCTION("""COMPUTED_VALUE"""),"#N/A")</f>
        <v>#N/A</v>
      </c>
      <c r="G625" s="6" t="str">
        <f>IFERROR(__xludf.DUMMYFUNCTION("""COMPUTED_VALUE"""),"#N/A")</f>
        <v>#N/A</v>
      </c>
      <c r="H625" s="6"/>
      <c r="I625" s="6"/>
      <c r="J625" s="50"/>
      <c r="K625" s="58"/>
      <c r="L625" s="6">
        <v>30.0</v>
      </c>
      <c r="M625" s="52" t="s">
        <v>655</v>
      </c>
      <c r="N625" s="53" t="s">
        <v>698</v>
      </c>
      <c r="O625" s="6" t="s">
        <v>1023</v>
      </c>
      <c r="P625" s="6"/>
      <c r="Q625" s="6"/>
      <c r="R625" s="6"/>
    </row>
    <row r="626">
      <c r="A626" s="31" t="str">
        <f>IFERROR(__xludf.DUMMYFUNCTION("""COMPUTED_VALUE"""),"447д")</f>
        <v>447д</v>
      </c>
      <c r="B626" s="14" t="str">
        <f>IFERROR(__xludf.DUMMYFUNCTION("""COMPUTED_VALUE"""),"АИП-27")</f>
        <v>АИП-27</v>
      </c>
      <c r="C626" s="14" t="str">
        <f>IFERROR(__xludf.DUMMYFUNCTION("""COMPUTED_VALUE"""),"УДС")</f>
        <v>УДС</v>
      </c>
      <c r="D626" s="15"/>
      <c r="E626" s="14" t="str">
        <f>IFERROR(__xludf.DUMMYFUNCTION("""COMPUTED_VALUE"""),"Строительство участка улично-дорожной сети от ул. Амурская до кольцевой развязки, расположенной на привокзальной территории Восточного вокзала от ул. Амурская до кольцевой развязки, расположенной на привокзальной территории Восточного вокзала")</f>
        <v>Строительство участка улично-дорожной сети от ул. Амурская до кольцевой развязки, расположенной на привокзальной территории Восточного вокзала от ул. Амурская до кольцевой развязки, расположенной на привокзальной территории Восточного вокзала</v>
      </c>
      <c r="F626" s="25" t="str">
        <f>IFERROR(__xludf.DUMMYFUNCTION("""COMPUTED_VALUE"""),"#N/A")</f>
        <v>#N/A</v>
      </c>
      <c r="G626" s="6" t="str">
        <f>IFERROR(__xludf.DUMMYFUNCTION("""COMPUTED_VALUE"""),"#N/A")</f>
        <v>#N/A</v>
      </c>
      <c r="H626" s="6"/>
      <c r="I626" s="6"/>
      <c r="J626" s="50">
        <f>IFERROR(__xludf.DUMMYFUNCTION("""COMPUTED_VALUE"""),0.0)</f>
        <v>0</v>
      </c>
      <c r="K626" s="58">
        <f>IFERROR(__xludf.DUMMYFUNCTION("""COMPUTED_VALUE"""),45975.0)</f>
        <v>45975</v>
      </c>
      <c r="L626" s="6">
        <v>30.0</v>
      </c>
      <c r="M626" s="52">
        <v>46005.0</v>
      </c>
      <c r="N626" s="53" t="s">
        <v>711</v>
      </c>
      <c r="O626" s="6" t="s">
        <v>1023</v>
      </c>
      <c r="P626" s="6"/>
      <c r="Q626" s="6"/>
      <c r="R626" s="6"/>
    </row>
    <row r="627">
      <c r="A627" s="31" t="str">
        <f>IFERROR(__xludf.DUMMYFUNCTION("""COMPUTED_VALUE"""),"448д")</f>
        <v>448д</v>
      </c>
      <c r="B627" s="14" t="str">
        <f>IFERROR(__xludf.DUMMYFUNCTION("""COMPUTED_VALUE"""),"АИП-27")</f>
        <v>АИП-27</v>
      </c>
      <c r="C627" s="14" t="str">
        <f>IFERROR(__xludf.DUMMYFUNCTION("""COMPUTED_VALUE"""),"УДС")</f>
        <v>УДС</v>
      </c>
      <c r="D627" s="15"/>
      <c r="E627" s="14" t="str">
        <f>IFERROR(__xludf.DUMMYFUNCTION("""COMPUTED_VALUE"""),"Строительство отстойно-разворотной площадки на ул. Игоря Нетто Игоря Нетто")</f>
        <v>Строительство отстойно-разворотной площадки на ул. Игоря Нетто Игоря Нетто</v>
      </c>
      <c r="F627" s="25" t="str">
        <f>IFERROR(__xludf.DUMMYFUNCTION("""COMPUTED_VALUE"""),"#N/A")</f>
        <v>#N/A</v>
      </c>
      <c r="G627" s="6" t="str">
        <f>IFERROR(__xludf.DUMMYFUNCTION("""COMPUTED_VALUE"""),"#N/A")</f>
        <v>#N/A</v>
      </c>
      <c r="H627" s="6"/>
      <c r="I627" s="6"/>
      <c r="J627" s="50">
        <f>IFERROR(__xludf.DUMMYFUNCTION("""COMPUTED_VALUE"""),0.0)</f>
        <v>0</v>
      </c>
      <c r="K627" s="58">
        <f>IFERROR(__xludf.DUMMYFUNCTION("""COMPUTED_VALUE"""),45960.0)</f>
        <v>45960</v>
      </c>
      <c r="L627" s="6">
        <v>30.0</v>
      </c>
      <c r="M627" s="52">
        <v>45990.0</v>
      </c>
      <c r="N627" s="53" t="s">
        <v>692</v>
      </c>
      <c r="O627" s="6" t="s">
        <v>1023</v>
      </c>
      <c r="P627" s="6"/>
      <c r="Q627" s="6"/>
      <c r="R627" s="6"/>
    </row>
    <row r="628">
      <c r="A628" s="31" t="str">
        <f>IFERROR(__xludf.DUMMYFUNCTION("""COMPUTED_VALUE"""),"451д(пл2)")</f>
        <v>451д(пл2)</v>
      </c>
      <c r="B628" s="14" t="str">
        <f>IFERROR(__xludf.DUMMYFUNCTION("""COMPUTED_VALUE"""),"АИП-27")</f>
        <v>АИП-27</v>
      </c>
      <c r="C628" s="14" t="str">
        <f>IFERROR(__xludf.DUMMYFUNCTION("""COMPUTED_VALUE"""),"УДС")</f>
        <v>УДС</v>
      </c>
      <c r="D628" s="15"/>
      <c r="E628" s="14" t="str">
        <f>IFERROR(__xludf.DUMMYFUNCTION("""COMPUTED_VALUE"""),"Реконструкция улично-дорожной сети на территории Административно-делового центра  в п. Коммунарка, площадка 2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2 территория Административно-делового центра  в п. Коммунарка</v>
      </c>
      <c r="F628" s="25" t="str">
        <f>IFERROR(__xludf.DUMMYFUNCTION("""COMPUTED_VALUE"""),"#N/A")</f>
        <v>#N/A</v>
      </c>
      <c r="G628" s="6" t="str">
        <f>IFERROR(__xludf.DUMMYFUNCTION("""COMPUTED_VALUE"""),"#N/A")</f>
        <v>#N/A</v>
      </c>
      <c r="H628" s="6"/>
      <c r="I628" s="6"/>
      <c r="J628" s="50">
        <f>IFERROR(__xludf.DUMMYFUNCTION("""COMPUTED_VALUE"""),0.0)</f>
        <v>0</v>
      </c>
      <c r="K628" s="58"/>
      <c r="L628" s="6">
        <v>30.0</v>
      </c>
      <c r="M628" s="52" t="s">
        <v>655</v>
      </c>
      <c r="N628" s="53" t="s">
        <v>698</v>
      </c>
      <c r="O628" s="6" t="s">
        <v>1023</v>
      </c>
      <c r="P628" s="6"/>
      <c r="Q628" s="6"/>
      <c r="R628" s="6"/>
    </row>
    <row r="629">
      <c r="A629" s="31" t="str">
        <f>IFERROR(__xludf.DUMMYFUNCTION("""COMPUTED_VALUE"""),"451д(пл3)")</f>
        <v>451д(пл3)</v>
      </c>
      <c r="B629" s="14" t="str">
        <f>IFERROR(__xludf.DUMMYFUNCTION("""COMPUTED_VALUE"""),"АИП-27")</f>
        <v>АИП-27</v>
      </c>
      <c r="C629" s="14" t="str">
        <f>IFERROR(__xludf.DUMMYFUNCTION("""COMPUTED_VALUE"""),"УДС")</f>
        <v>УДС</v>
      </c>
      <c r="D629" s="15"/>
      <c r="E629" s="14" t="str">
        <f>IFERROR(__xludf.DUMMYFUNCTION("""COMPUTED_VALUE"""),"Реконструкция улично-дорожной сети на территории Административно-делового центра  в п. Коммунарка, площадка 3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3 территория Административно-делового центра  в п. Коммунарка</v>
      </c>
      <c r="F629" s="25" t="str">
        <f>IFERROR(__xludf.DUMMYFUNCTION("""COMPUTED_VALUE"""),"#N/A")</f>
        <v>#N/A</v>
      </c>
      <c r="G629" s="6" t="str">
        <f>IFERROR(__xludf.DUMMYFUNCTION("""COMPUTED_VALUE"""),"#N/A")</f>
        <v>#N/A</v>
      </c>
      <c r="H629" s="6"/>
      <c r="I629" s="6"/>
      <c r="J629" s="50">
        <f>IFERROR(__xludf.DUMMYFUNCTION("""COMPUTED_VALUE"""),0.0)</f>
        <v>0</v>
      </c>
      <c r="K629" s="58"/>
      <c r="L629" s="6">
        <v>30.0</v>
      </c>
      <c r="M629" s="52" t="s">
        <v>655</v>
      </c>
      <c r="N629" s="53" t="s">
        <v>698</v>
      </c>
      <c r="O629" s="6" t="s">
        <v>1023</v>
      </c>
      <c r="P629" s="6"/>
      <c r="Q629" s="6"/>
      <c r="R629" s="6"/>
    </row>
    <row r="630">
      <c r="A630" s="31" t="str">
        <f>IFERROR(__xludf.DUMMYFUNCTION("""COMPUTED_VALUE"""),"451д(пл4)")</f>
        <v>451д(пл4)</v>
      </c>
      <c r="B630" s="14" t="str">
        <f>IFERROR(__xludf.DUMMYFUNCTION("""COMPUTED_VALUE"""),"АИП-27")</f>
        <v>АИП-27</v>
      </c>
      <c r="C630" s="14" t="str">
        <f>IFERROR(__xludf.DUMMYFUNCTION("""COMPUTED_VALUE"""),"УДС")</f>
        <v>УДС</v>
      </c>
      <c r="D630" s="15"/>
      <c r="E630" s="14" t="str">
        <f>IFERROR(__xludf.DUMMYFUNCTION("""COMPUTED_VALUE"""),"Реконструкция улично-дорожной сети на территории Административно-делового центра  в п. Коммунарка, площадка 4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4 территория Административно-делового центра  в п. Коммунарка</v>
      </c>
      <c r="F630" s="25" t="str">
        <f>IFERROR(__xludf.DUMMYFUNCTION("""COMPUTED_VALUE"""),"#N/A")</f>
        <v>#N/A</v>
      </c>
      <c r="G630" s="6" t="str">
        <f>IFERROR(__xludf.DUMMYFUNCTION("""COMPUTED_VALUE"""),"#N/A")</f>
        <v>#N/A</v>
      </c>
      <c r="H630" s="6"/>
      <c r="I630" s="6"/>
      <c r="J630" s="50">
        <f>IFERROR(__xludf.DUMMYFUNCTION("""COMPUTED_VALUE"""),0.0)</f>
        <v>0</v>
      </c>
      <c r="K630" s="58"/>
      <c r="L630" s="6">
        <v>30.0</v>
      </c>
      <c r="M630" s="52" t="s">
        <v>655</v>
      </c>
      <c r="N630" s="53" t="s">
        <v>698</v>
      </c>
      <c r="O630" s="6" t="s">
        <v>1023</v>
      </c>
      <c r="P630" s="6"/>
      <c r="Q630" s="6"/>
      <c r="R630" s="6"/>
    </row>
    <row r="631">
      <c r="A631" s="31" t="str">
        <f>IFERROR(__xludf.DUMMYFUNCTION("""COMPUTED_VALUE"""),"451д(пл5)")</f>
        <v>451д(пл5)</v>
      </c>
      <c r="B631" s="14" t="str">
        <f>IFERROR(__xludf.DUMMYFUNCTION("""COMPUTED_VALUE"""),"АИП-27")</f>
        <v>АИП-27</v>
      </c>
      <c r="C631" s="14" t="str">
        <f>IFERROR(__xludf.DUMMYFUNCTION("""COMPUTED_VALUE"""),"УДС")</f>
        <v>УДС</v>
      </c>
      <c r="D631" s="15"/>
      <c r="E631" s="14" t="str">
        <f>IFERROR(__xludf.DUMMYFUNCTION("""COMPUTED_VALUE"""),"Реконструкция улично-дорожной сети на территории Административно-делового центра  в п. Коммунарка, площадка 5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5 территория Административно-делового центра  в п. Коммунарка</v>
      </c>
      <c r="F631" s="25" t="str">
        <f>IFERROR(__xludf.DUMMYFUNCTION("""COMPUTED_VALUE"""),"#N/A")</f>
        <v>#N/A</v>
      </c>
      <c r="G631" s="6" t="str">
        <f>IFERROR(__xludf.DUMMYFUNCTION("""COMPUTED_VALUE"""),"#N/A")</f>
        <v>#N/A</v>
      </c>
      <c r="H631" s="6"/>
      <c r="I631" s="6"/>
      <c r="J631" s="50">
        <f>IFERROR(__xludf.DUMMYFUNCTION("""COMPUTED_VALUE"""),0.0)</f>
        <v>0</v>
      </c>
      <c r="K631" s="58"/>
      <c r="L631" s="6">
        <v>30.0</v>
      </c>
      <c r="M631" s="52" t="s">
        <v>655</v>
      </c>
      <c r="N631" s="53" t="s">
        <v>698</v>
      </c>
      <c r="O631" s="6" t="s">
        <v>1023</v>
      </c>
      <c r="P631" s="6"/>
      <c r="Q631" s="6"/>
      <c r="R631" s="6"/>
    </row>
    <row r="632">
      <c r="A632" s="31" t="str">
        <f>IFERROR(__xludf.DUMMYFUNCTION("""COMPUTED_VALUE"""),"445д(этап2.3)")</f>
        <v>445д(этап2.3)</v>
      </c>
      <c r="B632" s="14" t="str">
        <f>IFERROR(__xludf.DUMMYFUNCTION("""COMPUTED_VALUE"""),"АИП-27")</f>
        <v>АИП-27</v>
      </c>
      <c r="C632" s="14" t="str">
        <f>IFERROR(__xludf.DUMMYFUNCTION("""COMPUTED_VALUE"""),"УДС")</f>
        <v>УДС</v>
      </c>
      <c r="D632" s="15"/>
      <c r="E632"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2.3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2.3 территория Административно-делового центра  в п. Коммунарка</v>
      </c>
      <c r="F632" s="25" t="str">
        <f>IFERROR(__xludf.DUMMYFUNCTION("""COMPUTED_VALUE"""),"#N/A")</f>
        <v>#N/A</v>
      </c>
      <c r="G632" s="6" t="str">
        <f>IFERROR(__xludf.DUMMYFUNCTION("""COMPUTED_VALUE"""),"#N/A")</f>
        <v>#N/A</v>
      </c>
      <c r="H632" s="6"/>
      <c r="I632" s="6"/>
      <c r="J632" s="50">
        <f>IFERROR(__xludf.DUMMYFUNCTION("""COMPUTED_VALUE"""),0.0)</f>
        <v>0</v>
      </c>
      <c r="K632" s="58"/>
      <c r="L632" s="6">
        <v>30.0</v>
      </c>
      <c r="M632" s="52" t="s">
        <v>655</v>
      </c>
      <c r="N632" s="53" t="s">
        <v>698</v>
      </c>
      <c r="O632" s="6" t="s">
        <v>1031</v>
      </c>
      <c r="P632" s="6"/>
      <c r="Q632" s="6"/>
      <c r="R632" s="6"/>
    </row>
    <row r="633">
      <c r="A633" s="31" t="str">
        <f>IFERROR(__xludf.DUMMYFUNCTION("""COMPUTED_VALUE"""),"445д(этап2.4)")</f>
        <v>445д(этап2.4)</v>
      </c>
      <c r="B633" s="14" t="str">
        <f>IFERROR(__xludf.DUMMYFUNCTION("""COMPUTED_VALUE"""),"АИП-27")</f>
        <v>АИП-27</v>
      </c>
      <c r="C633" s="14" t="str">
        <f>IFERROR(__xludf.DUMMYFUNCTION("""COMPUTED_VALUE"""),"УДС")</f>
        <v>УДС</v>
      </c>
      <c r="D633" s="15"/>
      <c r="E633"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2.4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2.4 территория Административно-делового центра  в п. Коммунарка</v>
      </c>
      <c r="F633" s="25" t="str">
        <f>IFERROR(__xludf.DUMMYFUNCTION("""COMPUTED_VALUE"""),"#N/A")</f>
        <v>#N/A</v>
      </c>
      <c r="G633" s="6" t="str">
        <f>IFERROR(__xludf.DUMMYFUNCTION("""COMPUTED_VALUE"""),"#N/A")</f>
        <v>#N/A</v>
      </c>
      <c r="H633" s="6"/>
      <c r="I633" s="6"/>
      <c r="J633" s="50">
        <f>IFERROR(__xludf.DUMMYFUNCTION("""COMPUTED_VALUE"""),0.0)</f>
        <v>0</v>
      </c>
      <c r="K633" s="58"/>
      <c r="L633" s="6">
        <v>30.0</v>
      </c>
      <c r="M633" s="52" t="s">
        <v>655</v>
      </c>
      <c r="N633" s="53" t="s">
        <v>698</v>
      </c>
      <c r="O633" s="6" t="s">
        <v>1031</v>
      </c>
      <c r="P633" s="6"/>
      <c r="Q633" s="6"/>
      <c r="R633" s="6"/>
    </row>
    <row r="634">
      <c r="A634" s="31" t="str">
        <f>IFERROR(__xludf.DUMMYFUNCTION("""COMPUTED_VALUE"""),"451д")</f>
        <v>451д</v>
      </c>
      <c r="B634" s="14" t="str">
        <f>IFERROR(__xludf.DUMMYFUNCTION("""COMPUTED_VALUE"""),"АИП-27")</f>
        <v>АИП-27</v>
      </c>
      <c r="C634" s="14" t="str">
        <f>IFERROR(__xludf.DUMMYFUNCTION("""COMPUTED_VALUE"""),"УДС")</f>
        <v>УДС</v>
      </c>
      <c r="D634" s="15"/>
      <c r="E634" s="14" t="str">
        <f>IFERROR(__xludf.DUMMYFUNCTION("""COMPUTED_VALUE"""),"Реконструкция улично-дорожной сети на территории Административно-делового центра  в пос. Коммунарка территория Административно-делового центра  в п. Коммунарка")</f>
        <v>Реконструкция улично-дорожной сети на территории Административно-делового центра  в пос. Коммунарка территория Административно-делового центра  в п. Коммунарка</v>
      </c>
      <c r="F634" s="25" t="str">
        <f>IFERROR(__xludf.DUMMYFUNCTION("""COMPUTED_VALUE"""),"#N/A")</f>
        <v>#N/A</v>
      </c>
      <c r="G634" s="6" t="str">
        <f>IFERROR(__xludf.DUMMYFUNCTION("""COMPUTED_VALUE"""),"#N/A")</f>
        <v>#N/A</v>
      </c>
      <c r="H634" s="6"/>
      <c r="I634" s="6"/>
      <c r="J634" s="50">
        <f>IFERROR(__xludf.DUMMYFUNCTION("""COMPUTED_VALUE"""),0.0)</f>
        <v>0</v>
      </c>
      <c r="K634" s="58"/>
      <c r="L634" s="6">
        <v>30.0</v>
      </c>
      <c r="M634" s="52" t="s">
        <v>655</v>
      </c>
      <c r="N634" s="53" t="s">
        <v>698</v>
      </c>
      <c r="O634" s="6" t="s">
        <v>1032</v>
      </c>
      <c r="P634" s="6"/>
      <c r="Q634" s="6"/>
      <c r="R634" s="6"/>
    </row>
    <row r="635">
      <c r="A635" s="31" t="str">
        <f>IFERROR(__xludf.DUMMYFUNCTION("""COMPUTED_VALUE"""),"451д(пл1)")</f>
        <v>451д(пл1)</v>
      </c>
      <c r="B635" s="14" t="str">
        <f>IFERROR(__xludf.DUMMYFUNCTION("""COMPUTED_VALUE"""),"АИП-27")</f>
        <v>АИП-27</v>
      </c>
      <c r="C635" s="14" t="str">
        <f>IFERROR(__xludf.DUMMYFUNCTION("""COMPUTED_VALUE"""),"УДС")</f>
        <v>УДС</v>
      </c>
      <c r="D635" s="15"/>
      <c r="E635" s="14" t="str">
        <f>IFERROR(__xludf.DUMMYFUNCTION("""COMPUTED_VALUE"""),"Реконструкция улично-дорожной сети на территории Административно-делового центра  в п. Коммунарка, площадка 1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1 территория Административно-делового центра  в п. Коммунарка</v>
      </c>
      <c r="F635" s="25" t="str">
        <f>IFERROR(__xludf.DUMMYFUNCTION("""COMPUTED_VALUE"""),"#N/A")</f>
        <v>#N/A</v>
      </c>
      <c r="G635" s="6" t="str">
        <f>IFERROR(__xludf.DUMMYFUNCTION("""COMPUTED_VALUE"""),"#N/A")</f>
        <v>#N/A</v>
      </c>
      <c r="H635" s="6"/>
      <c r="I635" s="6"/>
      <c r="J635" s="50">
        <f>IFERROR(__xludf.DUMMYFUNCTION("""COMPUTED_VALUE"""),0.0)</f>
        <v>0</v>
      </c>
      <c r="K635" s="58"/>
      <c r="L635" s="6">
        <v>30.0</v>
      </c>
      <c r="M635" s="52" t="s">
        <v>655</v>
      </c>
      <c r="N635" s="53" t="s">
        <v>698</v>
      </c>
      <c r="O635" s="6" t="s">
        <v>1023</v>
      </c>
      <c r="P635" s="6"/>
      <c r="Q635" s="6"/>
      <c r="R635" s="6"/>
    </row>
    <row r="636">
      <c r="A636" s="31" t="str">
        <f>IFERROR(__xludf.DUMMYFUNCTION("""COMPUTED_VALUE"""),"449д")</f>
        <v>449д</v>
      </c>
      <c r="B636" s="14" t="str">
        <f>IFERROR(__xludf.DUMMYFUNCTION("""COMPUTED_VALUE"""),"АИП-27")</f>
        <v>АИП-27</v>
      </c>
      <c r="C636" s="14" t="str">
        <f>IFERROR(__xludf.DUMMYFUNCTION("""COMPUTED_VALUE"""),"УДС")</f>
        <v>УДС</v>
      </c>
      <c r="D636" s="15"/>
      <c r="E636" s="14" t="str">
        <f>IFERROR(__xludf.DUMMYFUNCTION("""COMPUTED_VALUE"""),"Строительство улично-дорожной сети для обслуживания станции метро ""Столбово"" (1 этап). Реконструкция ул.Фитаревская ул.Фитаревская")</f>
        <v>Строительство улично-дорожной сети для обслуживания станции метро "Столбово" (1 этап). Реконструкция ул.Фитаревская ул.Фитаревская</v>
      </c>
      <c r="F636" s="25" t="str">
        <f>IFERROR(__xludf.DUMMYFUNCTION("""COMPUTED_VALUE"""),"#N/A")</f>
        <v>#N/A</v>
      </c>
      <c r="G636" s="6" t="str">
        <f>IFERROR(__xludf.DUMMYFUNCTION("""COMPUTED_VALUE"""),"#N/A")</f>
        <v>#N/A</v>
      </c>
      <c r="H636" s="6"/>
      <c r="I636" s="6"/>
      <c r="J636" s="50">
        <f>IFERROR(__xludf.DUMMYFUNCTION("""COMPUTED_VALUE"""),0.0)</f>
        <v>0</v>
      </c>
      <c r="K636" s="58">
        <f>IFERROR(__xludf.DUMMYFUNCTION("""COMPUTED_VALUE"""),45962.0)</f>
        <v>45962</v>
      </c>
      <c r="L636" s="6">
        <v>30.0</v>
      </c>
      <c r="M636" s="52">
        <v>45992.0</v>
      </c>
      <c r="N636" s="53" t="s">
        <v>692</v>
      </c>
      <c r="O636" s="6" t="s">
        <v>1011</v>
      </c>
      <c r="P636" s="6"/>
      <c r="Q636" s="6"/>
      <c r="R636" s="6"/>
    </row>
    <row r="637">
      <c r="A637" s="31" t="str">
        <f>IFERROR(__xludf.DUMMYFUNCTION("""COMPUTED_VALUE"""),"287д(эт2)")</f>
        <v>287д(эт2)</v>
      </c>
      <c r="B637" s="14" t="str">
        <f>IFERROR(__xludf.DUMMYFUNCTION("""COMPUTED_VALUE"""),"АИП-27")</f>
        <v>АИП-27</v>
      </c>
      <c r="C637" s="14" t="str">
        <f>IFERROR(__xludf.DUMMYFUNCTION("""COMPUTED_VALUE"""),"УДС")</f>
        <v>УДС</v>
      </c>
      <c r="D637" s="15"/>
      <c r="E637" s="14" t="str">
        <f>IFERROR(__xludf.DUMMYFUNCTION("""COMPUTED_VALUE"""),"Развитие улично-дорожной сети Молжаниновского района. Этап 2.ОС Молжаниновский район")</f>
        <v>Развитие улично-дорожной сети Молжаниновского района. Этап 2.ОС Молжаниновский район</v>
      </c>
      <c r="F637" s="25" t="str">
        <f>IFERROR(__xludf.DUMMYFUNCTION("""COMPUTED_VALUE"""),"#N/A")</f>
        <v>#N/A</v>
      </c>
      <c r="G637" s="6" t="str">
        <f>IFERROR(__xludf.DUMMYFUNCTION("""COMPUTED_VALUE"""),"#N/A")</f>
        <v>#N/A</v>
      </c>
      <c r="H637" s="6"/>
      <c r="I637" s="6"/>
      <c r="J637" s="50">
        <f>IFERROR(__xludf.DUMMYFUNCTION("""COMPUTED_VALUE"""),0.0)</f>
        <v>0</v>
      </c>
      <c r="K637" s="58">
        <f>IFERROR(__xludf.DUMMYFUNCTION("""COMPUTED_VALUE"""),45971.0)</f>
        <v>45971</v>
      </c>
      <c r="L637" s="6">
        <v>30.0</v>
      </c>
      <c r="M637" s="52">
        <v>46001.0</v>
      </c>
      <c r="N637" s="53" t="s">
        <v>711</v>
      </c>
      <c r="O637" s="6" t="s">
        <v>936</v>
      </c>
      <c r="P637" s="6"/>
      <c r="Q637" s="6"/>
      <c r="R637" s="6"/>
    </row>
    <row r="638">
      <c r="A638" s="31" t="str">
        <f>IFERROR(__xludf.DUMMYFUNCTION("""COMPUTED_VALUE"""),"НД")</f>
        <v>НД</v>
      </c>
      <c r="B638" s="14" t="str">
        <f>IFERROR(__xludf.DUMMYFUNCTION("""COMPUTED_VALUE"""),"АИП-27")</f>
        <v>АИП-27</v>
      </c>
      <c r="C638" s="14" t="str">
        <f>IFERROR(__xludf.DUMMYFUNCTION("""COMPUTED_VALUE"""),"ОКС")</f>
        <v>ОКС</v>
      </c>
      <c r="D638" s="15"/>
      <c r="E638" s="14" t="str">
        <f>IFERROR(__xludf.DUMMYFUNCTION("""COMPUTED_VALUE"""),"Подстанция скорой медицинской помощи на 10 машино-мест, р-н Вороново, Троицкий административный округ г. Москвы ТАО, р-н Вороново, пос. ЛМС")</f>
        <v>Подстанция скорой медицинской помощи на 10 машино-мест, р-н Вороново, Троицкий административный округ г. Москвы ТАО, р-н Вороново, пос. ЛМС</v>
      </c>
      <c r="F638" s="25" t="str">
        <f>IFERROR(__xludf.DUMMYFUNCTION("""COMPUTED_VALUE"""),"#N/A")</f>
        <v>#N/A</v>
      </c>
      <c r="G638" s="6" t="str">
        <f>IFERROR(__xludf.DUMMYFUNCTION("""COMPUTED_VALUE"""),"#N/A")</f>
        <v>#N/A</v>
      </c>
      <c r="H638" s="6"/>
      <c r="I638" s="6"/>
      <c r="J638" s="50"/>
      <c r="K638" s="58"/>
      <c r="L638" s="6">
        <v>30.0</v>
      </c>
      <c r="M638" s="52" t="s">
        <v>655</v>
      </c>
      <c r="N638" s="53" t="s">
        <v>698</v>
      </c>
      <c r="O638" s="6" t="s">
        <v>1033</v>
      </c>
      <c r="P638" s="6"/>
      <c r="Q638" s="6"/>
      <c r="R638" s="6"/>
    </row>
    <row r="639">
      <c r="A639" s="31" t="str">
        <f>IFERROR(__xludf.DUMMYFUNCTION("""COMPUTED_VALUE"""),"НД")</f>
        <v>НД</v>
      </c>
      <c r="B639" s="14" t="str">
        <f>IFERROR(__xludf.DUMMYFUNCTION("""COMPUTED_VALUE"""),"АИП-27")</f>
        <v>АИП-27</v>
      </c>
      <c r="C639" s="14" t="str">
        <f>IFERROR(__xludf.DUMMYFUNCTION("""COMPUTED_VALUE"""),"ОКС")</f>
        <v>ОКС</v>
      </c>
      <c r="D639" s="15"/>
      <c r="E639" s="14" t="str">
        <f>IFERROR(__xludf.DUMMYFUNCTION("""COMPUTED_VALUE"""),"Дворец бракосочетания в поселке Коммунарка НАО р-н Коммунарка")</f>
        <v>Дворец бракосочетания в поселке Коммунарка НАО р-н Коммунарка</v>
      </c>
      <c r="F639" s="25" t="str">
        <f>IFERROR(__xludf.DUMMYFUNCTION("""COMPUTED_VALUE"""),"#N/A")</f>
        <v>#N/A</v>
      </c>
      <c r="G639" s="6" t="str">
        <f>IFERROR(__xludf.DUMMYFUNCTION("""COMPUTED_VALUE"""),"#N/A")</f>
        <v>#N/A</v>
      </c>
      <c r="H639" s="6"/>
      <c r="I639" s="19"/>
      <c r="J639" s="50"/>
      <c r="K639" s="58"/>
      <c r="L639" s="6">
        <v>30.0</v>
      </c>
      <c r="M639" s="52" t="s">
        <v>655</v>
      </c>
      <c r="N639" s="53" t="s">
        <v>698</v>
      </c>
      <c r="O639" s="19" t="s">
        <v>1034</v>
      </c>
      <c r="P639" s="6"/>
      <c r="Q639" s="6"/>
      <c r="R639" s="6"/>
    </row>
    <row r="640">
      <c r="A640" s="31" t="str">
        <f>IFERROR(__xludf.DUMMYFUNCTION("""COMPUTED_VALUE"""),"1152")</f>
        <v>1152</v>
      </c>
      <c r="B640" s="14" t="str">
        <f>IFERROR(__xludf.DUMMYFUNCTION("""COMPUTED_VALUE"""),"АИП-27")</f>
        <v>АИП-27</v>
      </c>
      <c r="C640" s="14" t="str">
        <f>IFERROR(__xludf.DUMMYFUNCTION("""COMPUTED_VALUE"""),"ОКС")</f>
        <v>ОКС</v>
      </c>
      <c r="D640" s="15"/>
      <c r="E640" s="14" t="str">
        <f>IFERROR(__xludf.DUMMYFUNCTION("""COMPUTED_VALUE"""),"Жилые дома с инженерными коммуникациями, благоустройством и подземным паркингом р-н Фили-Давыдково, Кременчугская ул., влд.5")</f>
        <v>Жилые дома с инженерными коммуникациями, благоустройством и подземным паркингом р-н Фили-Давыдково, Кременчугская ул., влд.5</v>
      </c>
      <c r="F640" s="25" t="str">
        <f>IFERROR(__xludf.DUMMYFUNCTION("""COMPUTED_VALUE"""),"55.723095")</f>
        <v>55.723095</v>
      </c>
      <c r="G640" s="6" t="str">
        <f>IFERROR(__xludf.DUMMYFUNCTION("""COMPUTED_VALUE"""),"37.462083")</f>
        <v>37.462083</v>
      </c>
      <c r="H640" s="18" t="str">
        <f>IFERROR(__xludf.DUMMYFUNCTION("""COMPUTED_VALUE"""),"https://docs.google.com/spreadsheets/d/19THEBTE9q0fhN2eApZr6BgenIvLGh0AckaYxHQfHk5w/edit?gid=39413399#gid=39413399")</f>
        <v>https://docs.google.com/spreadsheets/d/19THEBTE9q0fhN2eApZr6BgenIvLGh0AckaYxHQfHk5w/edit?gid=39413399#gid=39413399</v>
      </c>
      <c r="I640" s="19" t="str">
        <f>IFERROR(__xludf.DUMMYFUNCTION("""COMPUTED_VALUE"""),"https://disk.yandex.ru/client/disk/Осмотры%20объектов%20АНО%20СМГ/1152.%20жилой%20дом%20Кременчугская%205к1")</f>
        <v>https://disk.yandex.ru/client/disk/Осмотры%20объектов%20АНО%20СМГ/1152.%20жилой%20дом%20Кременчугская%205к1</v>
      </c>
      <c r="J640" s="50">
        <f>IFERROR(__xludf.DUMMYFUNCTION("""COMPUTED_VALUE"""),0.0)</f>
        <v>0</v>
      </c>
      <c r="K640" s="58">
        <f>IFERROR(__xludf.DUMMYFUNCTION("""COMPUTED_VALUE"""),45951.0)</f>
        <v>45951</v>
      </c>
      <c r="L640" s="6">
        <v>30.0</v>
      </c>
      <c r="M640" s="52">
        <v>45981.0</v>
      </c>
      <c r="N640" s="53" t="s">
        <v>701</v>
      </c>
      <c r="O640" s="19" t="s">
        <v>1035</v>
      </c>
      <c r="P640" s="6"/>
      <c r="Q640" s="6"/>
      <c r="R640" s="6"/>
    </row>
    <row r="641">
      <c r="A641" s="31" t="str">
        <f>IFERROR(__xludf.DUMMYFUNCTION("""COMPUTED_VALUE"""),"1177")</f>
        <v>1177</v>
      </c>
      <c r="B641" s="14" t="str">
        <f>IFERROR(__xludf.DUMMYFUNCTION("""COMPUTED_VALUE"""),"АИП-27")</f>
        <v>АИП-27</v>
      </c>
      <c r="C641" s="14" t="str">
        <f>IFERROR(__xludf.DUMMYFUNCTION("""COMPUTED_VALUE"""),"ОКС")</f>
        <v>ОКС</v>
      </c>
      <c r="D641" s="15"/>
      <c r="E641" s="14" t="str">
        <f>IFERROR(__xludf.DUMMYFUNCTION("""COMPUTED_VALUE"""),"Жилой дом с инженерными коммуникациями, благоустройством и подземным паркингом р-н Фили-Давыдково, Давыдковская ул., влд.10А (со сносом жилых домов по адресам: Давыдковская ул., д.10, к.4)")</f>
        <v>Жилой дом с инженерными коммуникациями, благоустройством и подземным паркингом р-н Фили-Давыдково, Давыдковская ул., влд.10А (со сносом жилых домов по адресам: Давыдковская ул., д.10, к.4)</v>
      </c>
      <c r="F641" s="25" t="str">
        <f>IFERROR(__xludf.DUMMYFUNCTION("""COMPUTED_VALUE"""),"#N/A")</f>
        <v>#N/A</v>
      </c>
      <c r="G641" s="6" t="str">
        <f>IFERROR(__xludf.DUMMYFUNCTION("""COMPUTED_VALUE"""),"#N/A")</f>
        <v>#N/A</v>
      </c>
      <c r="H641" s="18" t="str">
        <f>IFERROR(__xludf.DUMMYFUNCTION("""COMPUTED_VALUE"""),"https://docs.google.com/spreadsheets/d/19THEBTE9q0fhN2eApZr6BgenIvLGh0AckaYxHQfHk5w/edit?gid=428469808#gid=428469808")</f>
        <v>https://docs.google.com/spreadsheets/d/19THEBTE9q0fhN2eApZr6BgenIvLGh0AckaYxHQfHk5w/edit?gid=428469808#gid=428469808</v>
      </c>
      <c r="I641" s="19" t="str">
        <f>IFERROR(__xludf.DUMMYFUNCTION("""COMPUTED_VALUE"""),"https://disk.yandex.ru/client/disk/Осмотры%20объектов%20АНО%20СМГ/1177.%20Давыдковская%2010к4%20Жилье")</f>
        <v>https://disk.yandex.ru/client/disk/Осмотры%20объектов%20АНО%20СМГ/1177.%20Давыдковская%2010к4%20Жилье</v>
      </c>
      <c r="J641" s="50">
        <f>IFERROR(__xludf.DUMMYFUNCTION("""COMPUTED_VALUE"""),7.86504)</f>
        <v>7.86504</v>
      </c>
      <c r="K641" s="58">
        <f>IFERROR(__xludf.DUMMYFUNCTION("""COMPUTED_VALUE"""),45905.0)</f>
        <v>45905</v>
      </c>
      <c r="L641" s="6">
        <v>30.0</v>
      </c>
      <c r="M641" s="52">
        <v>45935.0</v>
      </c>
      <c r="N641" s="53" t="s">
        <v>668</v>
      </c>
      <c r="O641" s="19" t="s">
        <v>1036</v>
      </c>
      <c r="P641" s="6"/>
      <c r="Q641" s="6"/>
      <c r="R641" s="6"/>
    </row>
    <row r="642">
      <c r="A642" s="31"/>
      <c r="B642" s="14"/>
      <c r="C642" s="14" t="str">
        <f>IFERROR(__xludf.DUMMYFUNCTION("""COMPUTED_VALUE"""),"ОКС")</f>
        <v>ОКС</v>
      </c>
      <c r="D642" s="15"/>
      <c r="E642" s="14" t="str">
        <f>IFERROR(__xludf.DUMMYFUNCTION("""COMPUTED_VALUE"""),"Выполнение  подрядных работ по строительству объекта капитального строительства: ""Инженерная и транспортная инфраструктура Московского международного делового центра ""Москва-Сити"" (1 этап). Этап 1.3. ""Коллектор с коммуникациями под проездом между учас"&amp;"тками 12, 13 и 16 с технологической частью и перекладкой коллектора КВК; устройство камеры соединения с коллектором КВК на ПК51 (1 этап), 5-й пусковой комплекс"". Этап 1. ""Переустройство участка коллектора на ПК 24-51"". Этап 2. ""Переустройство участка "&amp;"коллектора на ПК 24-13"" 1 ММДЦ ""Москва-Сити"".")</f>
        <v>Выполнение  подрядных работ по строительству объекта капитального строительства: "Инженерная и транспортная инфраструктура Московского международного делового центра "Москва-Сити" (1 этап). Этап 1.3. "Коллектор с коммуникациями под проездом между участками 12, 13 и 16 с технологической частью и перекладкой коллектора КВК; устройство камеры соединения с коллектором КВК на ПК51 (1 этап), 5-й пусковой комплекс". Этап 1. "Переустройство участка коллектора на ПК 24-51". Этап 2. "Переустройство участка коллектора на ПК 24-13" 1 ММДЦ "Москва-Сити".</v>
      </c>
      <c r="F642" s="25" t="str">
        <f>IFERROR(__xludf.DUMMYFUNCTION("""COMPUTED_VALUE"""),"#N/A")</f>
        <v>#N/A</v>
      </c>
      <c r="G642" s="6" t="str">
        <f>IFERROR(__xludf.DUMMYFUNCTION("""COMPUTED_VALUE"""),"#N/A")</f>
        <v>#N/A</v>
      </c>
      <c r="H642" s="6"/>
      <c r="I642" s="19"/>
      <c r="J642" s="50"/>
      <c r="K642" s="58"/>
      <c r="L642" s="6" t="s">
        <v>655</v>
      </c>
      <c r="M642" s="52" t="s">
        <v>655</v>
      </c>
      <c r="N642" s="53" t="s">
        <v>655</v>
      </c>
      <c r="O642" s="19" t="s">
        <v>669</v>
      </c>
      <c r="P642" s="6"/>
      <c r="Q642" s="6"/>
      <c r="R642" s="6"/>
    </row>
    <row r="643">
      <c r="A643" s="31" t="str">
        <f>IFERROR(__xludf.DUMMYFUNCTION("""COMPUTED_VALUE"""),"1267")</f>
        <v>1267</v>
      </c>
      <c r="B643" s="14" t="str">
        <f>IFERROR(__xludf.DUMMYFUNCTION("""COMPUTED_VALUE"""),"АИП-27")</f>
        <v>АИП-27</v>
      </c>
      <c r="C643" s="14" t="str">
        <f>IFERROR(__xludf.DUMMYFUNCTION("""COMPUTED_VALUE"""),"ОКС")</f>
        <v>ОКС</v>
      </c>
      <c r="D643" s="15"/>
      <c r="E643" s="14" t="str">
        <f>IFERROR(__xludf.DUMMYFUNCTION("""COMPUTED_VALUE"""),"
Поликлиника р-н Лефортово, 2-я Синичкина ул., влд. 4 (Комплексное развитие территорий)")</f>
        <v>
Поликлиника р-н Лефортово, 2-я Синичкина ул., влд. 4 (Комплексное развитие территорий)</v>
      </c>
      <c r="F643" s="25" t="str">
        <f>IFERROR(__xludf.DUMMYFUNCTION("""COMPUTED_VALUE"""),"#N/A")</f>
        <v>#N/A</v>
      </c>
      <c r="G643" s="6" t="str">
        <f>IFERROR(__xludf.DUMMYFUNCTION("""COMPUTED_VALUE"""),"#N/A")</f>
        <v>#N/A</v>
      </c>
      <c r="H643" s="18" t="str">
        <f>IFERROR(__xludf.DUMMYFUNCTION("""COMPUTED_VALUE"""),"https://docs.google.com/spreadsheets/d/19THEBTE9q0fhN2eApZr6BgenIvLGh0AckaYxHQfHk5w/edit?gid=1343159930#gid=1343159930")</f>
        <v>https://docs.google.com/spreadsheets/d/19THEBTE9q0fhN2eApZr6BgenIvLGh0AckaYxHQfHk5w/edit?gid=1343159930#gid=1343159930</v>
      </c>
      <c r="I643" s="19"/>
      <c r="J643" s="50">
        <f>IFERROR(__xludf.DUMMYFUNCTION("""COMPUTED_VALUE"""),0.0)</f>
        <v>0</v>
      </c>
      <c r="K643" s="58">
        <f>IFERROR(__xludf.DUMMYFUNCTION("""COMPUTED_VALUE"""),45944.0)</f>
        <v>45944</v>
      </c>
      <c r="L643" s="6">
        <v>30.0</v>
      </c>
      <c r="M643" s="52">
        <v>45974.0</v>
      </c>
      <c r="N643" s="53" t="s">
        <v>668</v>
      </c>
      <c r="O643" s="19" t="s">
        <v>1037</v>
      </c>
      <c r="P643" s="6"/>
      <c r="Q643" s="6"/>
      <c r="R643" s="6"/>
    </row>
    <row r="644">
      <c r="A644" s="31" t="str">
        <f>IFERROR(__xludf.DUMMYFUNCTION("""COMPUTED_VALUE"""),"318")</f>
        <v>318</v>
      </c>
      <c r="B644" s="14" t="str">
        <f>IFERROR(__xludf.DUMMYFUNCTION("""COMPUTED_VALUE"""),"АИП-27")</f>
        <v>АИП-27</v>
      </c>
      <c r="C644" s="14" t="str">
        <f>IFERROR(__xludf.DUMMYFUNCTION("""COMPUTED_VALUE"""),"ОКС")</f>
        <v>ОКС</v>
      </c>
      <c r="D644" s="15"/>
      <c r="E644" s="14" t="str">
        <f>IFERROR(__xludf.DUMMYFUNCTION("""COMPUTED_VALUE"""),"Подстанция скорой медицинской помощи р-н Пресненский, ул. Большая Декабрьская, влд. 11 (Комплексное развитие территорий)")</f>
        <v>Подстанция скорой медицинской помощи р-н Пресненский, ул. Большая Декабрьская, влд. 11 (Комплексное развитие территорий)</v>
      </c>
      <c r="F644" s="25" t="str">
        <f>IFERROR(__xludf.DUMMYFUNCTION("""COMPUTED_VALUE"""),"#N/A")</f>
        <v>#N/A</v>
      </c>
      <c r="G644" s="6" t="str">
        <f>IFERROR(__xludf.DUMMYFUNCTION("""COMPUTED_VALUE"""),"#N/A")</f>
        <v>#N/A</v>
      </c>
      <c r="H644" s="18" t="str">
        <f>IFERROR(__xludf.DUMMYFUNCTION("""COMPUTED_VALUE"""),"https://docs.google.com/spreadsheets/d/19THEBTE9q0fhN2eApZr6BgenIvLGh0AckaYxHQfHk5w/edit?gid=630818188#gid=630818188")</f>
        <v>https://docs.google.com/spreadsheets/d/19THEBTE9q0fhN2eApZr6BgenIvLGh0AckaYxHQfHk5w/edit?gid=630818188#gid=630818188</v>
      </c>
      <c r="I644" s="19" t="str">
        <f>IFERROR(__xludf.DUMMYFUNCTION("""COMPUTED_VALUE"""),"https://disk.yandex.ru/client/disk/Осмотры%20объектов%20АНО%20СМГ/318.%20ул.%20Большая%20Декабрьская%2C%20влд.%2011")</f>
        <v>https://disk.yandex.ru/client/disk/Осмотры%20объектов%20АНО%20СМГ/318.%20ул.%20Большая%20Декабрьская%2C%20влд.%2011</v>
      </c>
      <c r="J644" s="50">
        <f>IFERROR(__xludf.DUMMYFUNCTION("""COMPUTED_VALUE"""),25.599999999999998)</f>
        <v>25.6</v>
      </c>
      <c r="K644" s="58">
        <f>IFERROR(__xludf.DUMMYFUNCTION("""COMPUTED_VALUE"""),45905.0)</f>
        <v>45905</v>
      </c>
      <c r="L644" s="6">
        <v>30.0</v>
      </c>
      <c r="M644" s="52">
        <v>45935.0</v>
      </c>
      <c r="N644" s="53" t="s">
        <v>668</v>
      </c>
      <c r="O644" s="19" t="s">
        <v>1038</v>
      </c>
      <c r="P644" s="6"/>
      <c r="Q644" s="6"/>
      <c r="R644" s="6"/>
    </row>
    <row r="645">
      <c r="A645" s="31" t="str">
        <f>IFERROR(__xludf.DUMMYFUNCTION("""COMPUTED_VALUE"""),"319")</f>
        <v>319</v>
      </c>
      <c r="B645" s="14" t="str">
        <f>IFERROR(__xludf.DUMMYFUNCTION("""COMPUTED_VALUE"""),"АИП-27")</f>
        <v>АИП-27</v>
      </c>
      <c r="C645" s="14" t="str">
        <f>IFERROR(__xludf.DUMMYFUNCTION("""COMPUTED_VALUE"""),"ОКС")</f>
        <v>ОКС</v>
      </c>
      <c r="D645" s="15"/>
      <c r="E645" s="14" t="str">
        <f>IFERROR(__xludf.DUMMYFUNCTION("""COMPUTED_VALUE"""),"Подстанция скорой медицинской помощи р-н Тропарево-Никулино, Востряковское ш. (Комплексное развитие территорий)")</f>
        <v>Подстанция скорой медицинской помощи р-н Тропарево-Никулино, Востряковское ш. (Комплексное развитие территорий)</v>
      </c>
      <c r="F645" s="25" t="str">
        <f>IFERROR(__xludf.DUMMYFUNCTION("""COMPUTED_VALUE"""),"#N/A")</f>
        <v>#N/A</v>
      </c>
      <c r="G645" s="6" t="str">
        <f>IFERROR(__xludf.DUMMYFUNCTION("""COMPUTED_VALUE"""),"#N/A")</f>
        <v>#N/A</v>
      </c>
      <c r="H645" s="18" t="str">
        <f>IFERROR(__xludf.DUMMYFUNCTION("""COMPUTED_VALUE"""),"https://docs.google.com/spreadsheets/d/19THEBTE9q0fhN2eApZr6BgenIvLGh0AckaYxHQfHk5w/edit?gid=1872010035#gid=1872010035")</f>
        <v>https://docs.google.com/spreadsheets/d/19THEBTE9q0fhN2eApZr6BgenIvLGh0AckaYxHQfHk5w/edit?gid=1872010035#gid=1872010035</v>
      </c>
      <c r="I645" s="19" t="str">
        <f>IFERROR(__xludf.DUMMYFUNCTION("""COMPUTED_VALUE"""),"https://disk.yandex.ru/client/disk/Осмотры%20объектов%20АНО%20СМГ/319.%20Подстанция%20скорой%20медицинской%20помощи%20Востряковское%20ш.%20Тропарево-Никулино")</f>
        <v>https://disk.yandex.ru/client/disk/Осмотры%20объектов%20АНО%20СМГ/319.%20Подстанция%20скорой%20медицинской%20помощи%20Востряковское%20ш.%20Тропарево-Никулино</v>
      </c>
      <c r="J645" s="50">
        <f>IFERROR(__xludf.DUMMYFUNCTION("""COMPUTED_VALUE"""),0.0)</f>
        <v>0</v>
      </c>
      <c r="K645" s="58">
        <f>IFERROR(__xludf.DUMMYFUNCTION("""COMPUTED_VALUE"""),45745.0)</f>
        <v>45745</v>
      </c>
      <c r="L645" s="6">
        <v>30.0</v>
      </c>
      <c r="M645" s="52">
        <v>45775.0</v>
      </c>
      <c r="N645" s="53" t="s">
        <v>668</v>
      </c>
      <c r="O645" s="19" t="s">
        <v>1039</v>
      </c>
      <c r="P645" s="6"/>
      <c r="Q645" s="6"/>
      <c r="R645" s="6"/>
    </row>
    <row r="646">
      <c r="A646" s="31" t="str">
        <f>IFERROR(__xludf.DUMMYFUNCTION("""COMPUTED_VALUE"""),"1301")</f>
        <v>1301</v>
      </c>
      <c r="B646" s="14" t="str">
        <f>IFERROR(__xludf.DUMMYFUNCTION("""COMPUTED_VALUE"""),"АИП-27")</f>
        <v>АИП-27</v>
      </c>
      <c r="C646" s="14" t="str">
        <f>IFERROR(__xludf.DUMMYFUNCTION("""COMPUTED_VALUE"""),"ОКС")</f>
        <v>ОКС</v>
      </c>
      <c r="D646" s="15"/>
      <c r="E646" s="14" t="str">
        <f>IFERROR(__xludf.DUMMYFUNCTION("""COMPUTED_VALUE"""),"Многопрофильный комплекс ГБУЗ ""ДГКБ св. Владимира ДЗМ"" (Этап 2: Центр детской нейрореабилитации и ортопедии с подземной парковкой на месте сноса корпуса № 9 ГБУЗ ""ДГКБ св.Владимира ДЗМ"" по адресу: ул. Рубцовско-Дворцовая, д. 1/3) г. Москва, ул. Рубцов"&amp;"ско-Дворцовая, д. 1/3 корп.9.")</f>
        <v>Многопрофильный комплекс ГБУЗ "ДГКБ св. Владимира ДЗМ" (Этап 2: Центр детской нейрореабилитации и ортопедии с подземной парковкой на месте сноса корпуса № 9 ГБУЗ "ДГКБ св.Владимира ДЗМ" по адресу: ул. Рубцовско-Дворцовая, д. 1/3) г. Москва, ул. Рубцовско-Дворцовая, д. 1/3 корп.9.</v>
      </c>
      <c r="F646" s="25" t="str">
        <f>IFERROR(__xludf.DUMMYFUNCTION("""COMPUTED_VALUE"""),"#N/A")</f>
        <v>#N/A</v>
      </c>
      <c r="G646" s="6" t="str">
        <f>IFERROR(__xludf.DUMMYFUNCTION("""COMPUTED_VALUE"""),"#N/A")</f>
        <v>#N/A</v>
      </c>
      <c r="H646" s="18" t="str">
        <f>IFERROR(__xludf.DUMMYFUNCTION("""COMPUTED_VALUE"""),"https://docs.google.com/spreadsheets/d/19THEBTE9q0fhN2eApZr6BgenIvLGh0AckaYxHQfHk5w/edit?gid=227683737#gid=227683737")</f>
        <v>https://docs.google.com/spreadsheets/d/19THEBTE9q0fhN2eApZr6BgenIvLGh0AckaYxHQfHk5w/edit?gid=227683737#gid=227683737</v>
      </c>
      <c r="I646" s="19"/>
      <c r="J646" s="50">
        <f>IFERROR(__xludf.DUMMYFUNCTION("""COMPUTED_VALUE"""),0.0)</f>
        <v>0</v>
      </c>
      <c r="K646" s="58">
        <f>IFERROR(__xludf.DUMMYFUNCTION("""COMPUTED_VALUE"""),45912.0)</f>
        <v>45912</v>
      </c>
      <c r="L646" s="6">
        <v>30.0</v>
      </c>
      <c r="M646" s="52">
        <v>45942.0</v>
      </c>
      <c r="N646" s="53" t="s">
        <v>668</v>
      </c>
      <c r="O646" s="19" t="s">
        <v>1040</v>
      </c>
      <c r="P646" s="6"/>
      <c r="Q646" s="6"/>
      <c r="R646" s="6"/>
    </row>
    <row r="647">
      <c r="A647" s="31" t="str">
        <f>IFERROR(__xludf.DUMMYFUNCTION("""COMPUTED_VALUE"""),"320")</f>
        <v>320</v>
      </c>
      <c r="B647" s="14" t="str">
        <f>IFERROR(__xludf.DUMMYFUNCTION("""COMPUTED_VALUE"""),"АИП-27")</f>
        <v>АИП-27</v>
      </c>
      <c r="C647" s="14" t="str">
        <f>IFERROR(__xludf.DUMMYFUNCTION("""COMPUTED_VALUE"""),"ОКС")</f>
        <v>ОКС</v>
      </c>
      <c r="D647" s="15"/>
      <c r="E647" s="14" t="str">
        <f>IFERROR(__xludf.DUMMYFUNCTION("""COMPUTED_VALUE"""),"Физкультурно-оздоровительный комплекс с бассейном 9 мая ул., влд. 28")</f>
        <v>Физкультурно-оздоровительный комплекс с бассейном 9 мая ул., влд. 28</v>
      </c>
      <c r="F647" s="25" t="str">
        <f>IFERROR(__xludf.DUMMYFUNCTION("""COMPUTED_VALUE"""),"#N/A")</f>
        <v>#N/A</v>
      </c>
      <c r="G647" s="6" t="str">
        <f>IFERROR(__xludf.DUMMYFUNCTION("""COMPUTED_VALUE"""),"#N/A")</f>
        <v>#N/A</v>
      </c>
      <c r="H647" s="18" t="str">
        <f>IFERROR(__xludf.DUMMYFUNCTION("""COMPUTED_VALUE"""),"https://docs.google.com/spreadsheets/d/19THEBTE9q0fhN2eApZr6BgenIvLGh0AckaYxHQfHk5w/edit?gid=42376877#gid=42376877")</f>
        <v>https://docs.google.com/spreadsheets/d/19THEBTE9q0fhN2eApZr6BgenIvLGh0AckaYxHQfHk5w/edit?gid=42376877#gid=42376877</v>
      </c>
      <c r="I647" s="19" t="str">
        <f>IFERROR(__xludf.DUMMYFUNCTION("""COMPUTED_VALUE"""),"https://disk.yandex.ru/client/disk/Осмотры%20объектов%20АНО%20СМГ/320.%20р-н%20Восточный%2C%20ул%209%20мая%2C%20влд.%2028")</f>
        <v>https://disk.yandex.ru/client/disk/Осмотры%20объектов%20АНО%20СМГ/320.%20р-н%20Восточный%2C%20ул%209%20мая%2C%20влд.%2028</v>
      </c>
      <c r="J647" s="50">
        <f>IFERROR(__xludf.DUMMYFUNCTION("""COMPUTED_VALUE"""),0.0)</f>
        <v>0</v>
      </c>
      <c r="K647" s="58">
        <f>IFERROR(__xludf.DUMMYFUNCTION("""COMPUTED_VALUE"""),45681.0)</f>
        <v>45681</v>
      </c>
      <c r="L647" s="6">
        <v>30.0</v>
      </c>
      <c r="M647" s="52">
        <v>45711.0</v>
      </c>
      <c r="N647" s="53" t="s">
        <v>668</v>
      </c>
      <c r="O647" s="19" t="s">
        <v>1041</v>
      </c>
      <c r="P647" s="6"/>
      <c r="Q647" s="6"/>
      <c r="R647" s="6"/>
    </row>
    <row r="648">
      <c r="A648" s="31" t="str">
        <f>IFERROR(__xludf.DUMMYFUNCTION("""COMPUTED_VALUE"""),"НД")</f>
        <v>НД</v>
      </c>
      <c r="B648" s="14" t="str">
        <f>IFERROR(__xludf.DUMMYFUNCTION("""COMPUTED_VALUE"""),"АИП-27")</f>
        <v>АИП-27</v>
      </c>
      <c r="C648" s="14" t="str">
        <f>IFERROR(__xludf.DUMMYFUNCTION("""COMPUTED_VALUE"""),"ОКС")</f>
        <v>ОКС</v>
      </c>
      <c r="D648" s="15"/>
      <c r="E648" s="14" t="str">
        <f>IFERROR(__xludf.DUMMYFUNCTION("""COMPUTED_VALUE"""),"Реконструкция Хованского крематория с заменой кремационных печей ул. Адмирала Корнилова, д. 42, стр. 1 (Обследование и проектно-изыскательские работы)")</f>
        <v>Реконструкция Хованского крематория с заменой кремационных печей ул. Адмирала Корнилова, д. 42, стр. 1 (Обследование и проектно-изыскательские работы)</v>
      </c>
      <c r="F648" s="25" t="str">
        <f>IFERROR(__xludf.DUMMYFUNCTION("""COMPUTED_VALUE"""),"#N/A")</f>
        <v>#N/A</v>
      </c>
      <c r="G648" s="6" t="str">
        <f>IFERROR(__xludf.DUMMYFUNCTION("""COMPUTED_VALUE"""),"#N/A")</f>
        <v>#N/A</v>
      </c>
      <c r="H648" s="6"/>
      <c r="I648" s="19"/>
      <c r="J648" s="50"/>
      <c r="K648" s="58"/>
      <c r="L648" s="6">
        <v>30.0</v>
      </c>
      <c r="M648" s="52" t="s">
        <v>655</v>
      </c>
      <c r="N648" s="53" t="s">
        <v>698</v>
      </c>
      <c r="O648" s="19" t="s">
        <v>1042</v>
      </c>
      <c r="P648" s="6"/>
      <c r="Q648" s="6"/>
      <c r="R648" s="6"/>
    </row>
    <row r="649">
      <c r="A649" s="31" t="str">
        <f>IFERROR(__xludf.DUMMYFUNCTION("""COMPUTED_VALUE"""),"НД")</f>
        <v>НД</v>
      </c>
      <c r="B649" s="14" t="str">
        <f>IFERROR(__xludf.DUMMYFUNCTION("""COMPUTED_VALUE"""),"АИП-27")</f>
        <v>АИП-27</v>
      </c>
      <c r="C649" s="14" t="str">
        <f>IFERROR(__xludf.DUMMYFUNCTION("""COMPUTED_VALUE"""),"ОКС")</f>
        <v>ОКС</v>
      </c>
      <c r="D649" s="15"/>
      <c r="E649" s="14" t="str">
        <f>IFERROR(__xludf.DUMMYFUNCTION("""COMPUTED_VALUE"""),"Колледж р-н Лианозово, ул. Череповецкая, д. 8А, д. 10А, ул. Угличская, д. 8")</f>
        <v>Колледж р-н Лианозово, ул. Череповецкая, д. 8А, д. 10А, ул. Угличская, д. 8</v>
      </c>
      <c r="F649" s="25" t="str">
        <f>IFERROR(__xludf.DUMMYFUNCTION("""COMPUTED_VALUE"""),"#N/A")</f>
        <v>#N/A</v>
      </c>
      <c r="G649" s="6" t="str">
        <f>IFERROR(__xludf.DUMMYFUNCTION("""COMPUTED_VALUE"""),"#N/A")</f>
        <v>#N/A</v>
      </c>
      <c r="H649" s="6"/>
      <c r="I649" s="19"/>
      <c r="J649" s="50"/>
      <c r="K649" s="58"/>
      <c r="L649" s="6">
        <v>30.0</v>
      </c>
      <c r="M649" s="52" t="s">
        <v>655</v>
      </c>
      <c r="N649" s="53" t="s">
        <v>698</v>
      </c>
      <c r="O649" s="19" t="s">
        <v>1043</v>
      </c>
      <c r="P649" s="6"/>
      <c r="Q649" s="6"/>
      <c r="R649" s="6"/>
    </row>
    <row r="650">
      <c r="A650" s="31" t="str">
        <f>IFERROR(__xludf.DUMMYFUNCTION("""COMPUTED_VALUE"""),"НД")</f>
        <v>НД</v>
      </c>
      <c r="B650" s="14" t="str">
        <f>IFERROR(__xludf.DUMMYFUNCTION("""COMPUTED_VALUE"""),"АИП-27")</f>
        <v>АИП-27</v>
      </c>
      <c r="C650" s="14" t="str">
        <f>IFERROR(__xludf.DUMMYFUNCTION("""COMPUTED_VALUE"""),"ОКС")</f>
        <v>ОКС</v>
      </c>
      <c r="D650" s="15"/>
      <c r="E650" s="14" t="str">
        <f>IFERROR(__xludf.DUMMYFUNCTION("""COMPUTED_VALUE"""),"Колледж ул. Зеленоградская, д. 11, Головинский р-н, САО")</f>
        <v>Колледж ул. Зеленоградская, д. 11, Головинский р-н, САО</v>
      </c>
      <c r="F650" s="25" t="str">
        <f>IFERROR(__xludf.DUMMYFUNCTION("""COMPUTED_VALUE"""),"#N/A")</f>
        <v>#N/A</v>
      </c>
      <c r="G650" s="6" t="str">
        <f>IFERROR(__xludf.DUMMYFUNCTION("""COMPUTED_VALUE"""),"#N/A")</f>
        <v>#N/A</v>
      </c>
      <c r="H650" s="6"/>
      <c r="I650" s="19"/>
      <c r="J650" s="50"/>
      <c r="K650" s="58"/>
      <c r="L650" s="6">
        <v>30.0</v>
      </c>
      <c r="M650" s="52" t="s">
        <v>655</v>
      </c>
      <c r="N650" s="53" t="s">
        <v>698</v>
      </c>
      <c r="O650" s="19" t="s">
        <v>1044</v>
      </c>
      <c r="P650" s="6"/>
      <c r="Q650" s="6"/>
      <c r="R650" s="6"/>
    </row>
    <row r="651">
      <c r="A651" s="31" t="str">
        <f>IFERROR(__xludf.DUMMYFUNCTION("""COMPUTED_VALUE"""),"НД")</f>
        <v>НД</v>
      </c>
      <c r="B651" s="14" t="str">
        <f>IFERROR(__xludf.DUMMYFUNCTION("""COMPUTED_VALUE"""),"АИП-27")</f>
        <v>АИП-27</v>
      </c>
      <c r="C651" s="14" t="str">
        <f>IFERROR(__xludf.DUMMYFUNCTION("""COMPUTED_VALUE"""),"ОКС")</f>
        <v>ОКС</v>
      </c>
      <c r="D651" s="15"/>
      <c r="E651" s="14" t="str">
        <f>IFERROR(__xludf.DUMMYFUNCTION("""COMPUTED_VALUE"""),"Колледж на месте сноса существующих строений ул. Люблинская, д. 56/2, с. 1, с. 3-5")</f>
        <v>Колледж на месте сноса существующих строений ул. Люблинская, д. 56/2, с. 1, с. 3-5</v>
      </c>
      <c r="F651" s="25" t="str">
        <f>IFERROR(__xludf.DUMMYFUNCTION("""COMPUTED_VALUE"""),"#N/A")</f>
        <v>#N/A</v>
      </c>
      <c r="G651" s="6" t="str">
        <f>IFERROR(__xludf.DUMMYFUNCTION("""COMPUTED_VALUE"""),"#N/A")</f>
        <v>#N/A</v>
      </c>
      <c r="H651" s="6"/>
      <c r="I651" s="19"/>
      <c r="J651" s="50"/>
      <c r="K651" s="58"/>
      <c r="L651" s="6">
        <v>30.0</v>
      </c>
      <c r="M651" s="52" t="s">
        <v>655</v>
      </c>
      <c r="N651" s="53" t="s">
        <v>698</v>
      </c>
      <c r="O651" s="19" t="s">
        <v>1045</v>
      </c>
      <c r="P651" s="6"/>
      <c r="Q651" s="6"/>
      <c r="R651" s="6"/>
    </row>
    <row r="652">
      <c r="A652" s="31" t="str">
        <f>IFERROR(__xludf.DUMMYFUNCTION("""COMPUTED_VALUE"""),"450д")</f>
        <v>450д</v>
      </c>
      <c r="B652" s="14" t="str">
        <f>IFERROR(__xludf.DUMMYFUNCTION("""COMPUTED_VALUE"""),"АИП-27")</f>
        <v>АИП-27</v>
      </c>
      <c r="C652" s="14" t="str">
        <f>IFERROR(__xludf.DUMMYFUNCTION("""COMPUTED_VALUE"""),"УДС")</f>
        <v>УДС</v>
      </c>
      <c r="D652" s="15"/>
      <c r="E652" s="14" t="str">
        <f>IFERROR(__xludf.DUMMYFUNCTION("""COMPUTED_VALUE"""),"Реконструкция подъездной дороги, д. Лапшинка д. Лапшинка")</f>
        <v>Реконструкция подъездной дороги, д. Лапшинка д. Лапшинка</v>
      </c>
      <c r="F652" s="25" t="str">
        <f>IFERROR(__xludf.DUMMYFUNCTION("""COMPUTED_VALUE"""),"#N/A")</f>
        <v>#N/A</v>
      </c>
      <c r="G652" s="6" t="str">
        <f>IFERROR(__xludf.DUMMYFUNCTION("""COMPUTED_VALUE"""),"#N/A")</f>
        <v>#N/A</v>
      </c>
      <c r="H652" s="6"/>
      <c r="I652" s="19"/>
      <c r="J652" s="50">
        <f>IFERROR(__xludf.DUMMYFUNCTION("""COMPUTED_VALUE"""),0.0)</f>
        <v>0</v>
      </c>
      <c r="K652" s="58"/>
      <c r="L652" s="6">
        <v>30.0</v>
      </c>
      <c r="M652" s="52" t="s">
        <v>655</v>
      </c>
      <c r="N652" s="53" t="s">
        <v>698</v>
      </c>
      <c r="O652" s="19" t="s">
        <v>1046</v>
      </c>
      <c r="P652" s="6"/>
      <c r="Q652" s="6"/>
      <c r="R652" s="6"/>
    </row>
    <row r="653">
      <c r="A653" s="31" t="str">
        <f>IFERROR(__xludf.DUMMYFUNCTION("""COMPUTED_VALUE"""),"нд")</f>
        <v>нд</v>
      </c>
      <c r="B653" s="14" t="str">
        <f>IFERROR(__xludf.DUMMYFUNCTION("""COMPUTED_VALUE"""),"Вне списка")</f>
        <v>Вне списка</v>
      </c>
      <c r="C653" s="14" t="str">
        <f>IFERROR(__xludf.DUMMYFUNCTION("""COMPUTED_VALUE"""),"УДС")</f>
        <v>УДС</v>
      </c>
      <c r="D653" s="15"/>
      <c r="E653" s="14" t="str">
        <f>IFERROR(__xludf.DUMMYFUNCTION("""COMPUTED_VALUE"""),"Старт ТПМК от станции «Липовая роща» до станции «Строгино» Рублёво-Архангельской линии, граница СЗАО г. Москвы и  Московской области ")</f>
        <v>Старт ТПМК от станции «Липовая роща» до станции «Строгино» Рублёво-Архангельской линии, граница СЗАО г. Москвы и  Московской области </v>
      </c>
      <c r="F653" s="25" t="str">
        <f>IFERROR(__xludf.DUMMYFUNCTION("""COMPUTED_VALUE"""),"#N/A")</f>
        <v>#N/A</v>
      </c>
      <c r="G653" s="6" t="str">
        <f>IFERROR(__xludf.DUMMYFUNCTION("""COMPUTED_VALUE"""),"#N/A")</f>
        <v>#N/A</v>
      </c>
      <c r="H653" s="6"/>
      <c r="I653" s="6"/>
      <c r="J653" s="50"/>
      <c r="K653" s="58"/>
      <c r="L653" s="6">
        <v>30.0</v>
      </c>
      <c r="M653" s="52" t="s">
        <v>655</v>
      </c>
      <c r="N653" s="53" t="s">
        <v>698</v>
      </c>
      <c r="O653" s="6" t="s">
        <v>669</v>
      </c>
      <c r="P653" s="6"/>
      <c r="Q653" s="6"/>
      <c r="R653" s="6"/>
    </row>
    <row r="654">
      <c r="A654" s="31" t="str">
        <f>IFERROR(__xludf.DUMMYFUNCTION("""COMPUTED_VALUE"""),"НД")</f>
        <v>НД</v>
      </c>
      <c r="B654" s="14" t="str">
        <f>IFERROR(__xludf.DUMMYFUNCTION("""COMPUTED_VALUE"""),"АИП-27")</f>
        <v>АИП-27</v>
      </c>
      <c r="C654" s="14" t="str">
        <f>IFERROR(__xludf.DUMMYFUNCTION("""COMPUTED_VALUE"""),"УДС")</f>
        <v>УДС</v>
      </c>
      <c r="D654" s="15"/>
      <c r="E654" s="14" t="str">
        <f>IFERROR(__xludf.DUMMYFUNCTION("""COMPUTED_VALUE"""),"Рублево-Архангельская линия ст. «Бульвар Генерала Карбышева» – ст. «Липовая Роща»
(«Серебряный Бор», «Строгино», «Липовая Роща») «Серебряный Бор», улица Паршина, 37 «Строгино», Строгинский бульвар, 21 «Липовая Роща» улица Липовой Рощи, 2, к2")</f>
        <v>Рублево-Архангельская линия ст. «Бульвар Генерала Карбышева» – ст. «Липовая Роща»
(«Серебряный Бор», «Строгино», «Липовая Роща») «Серебряный Бор», улица Паршина, 37 «Строгино», Строгинский бульвар, 21 «Липовая Роща» улица Липовой Рощи, 2, к2</v>
      </c>
      <c r="F654" s="25" t="str">
        <f>IFERROR(__xludf.DUMMYFUNCTION("""COMPUTED_VALUE"""),"#N/A")</f>
        <v>#N/A</v>
      </c>
      <c r="G654" s="6" t="str">
        <f>IFERROR(__xludf.DUMMYFUNCTION("""COMPUTED_VALUE"""),"#N/A")</f>
        <v>#N/A</v>
      </c>
      <c r="H654" s="6"/>
      <c r="I654" s="6"/>
      <c r="J654" s="50"/>
      <c r="K654" s="58"/>
      <c r="L654" s="6">
        <v>30.0</v>
      </c>
      <c r="M654" s="52" t="s">
        <v>655</v>
      </c>
      <c r="N654" s="53" t="s">
        <v>698</v>
      </c>
      <c r="O654" s="6" t="s">
        <v>669</v>
      </c>
      <c r="P654" s="6"/>
      <c r="Q654" s="6"/>
      <c r="R654" s="6"/>
    </row>
    <row r="655">
      <c r="A655" s="31" t="str">
        <f>IFERROR(__xludf.DUMMYFUNCTION("""COMPUTED_VALUE"""),"335")</f>
        <v>335</v>
      </c>
      <c r="B655" s="14" t="str">
        <f>IFERROR(__xludf.DUMMYFUNCTION("""COMPUTED_VALUE"""),"АИП-27")</f>
        <v>АИП-27</v>
      </c>
      <c r="C655" s="14" t="str">
        <f>IFERROR(__xludf.DUMMYFUNCTION("""COMPUTED_VALUE"""),"УДС")</f>
        <v>УДС</v>
      </c>
      <c r="D655" s="15"/>
      <c r="E655" s="14" t="str">
        <f>IFERROR(__xludf.DUMMYFUNCTION("""COMPUTED_VALUE"""),"Начало проходки ЛПТ на участке 
от ст. ""Рублево-Архангельское"" до ст. ""Ильинская"" район Кунцево, 
Начало проходки ЛПТ на участке от ст. ""Рублево-Архангельское"" до ст. ""Ильинская""")</f>
        <v>Начало проходки ЛПТ на участке 
от ст. "Рублево-Архангельское" до ст. "Ильинская" район Кунцево, 
Начало проходки ЛПТ на участке от ст. "Рублево-Архангельское" до ст. "Ильинская"</v>
      </c>
      <c r="F655" s="25" t="str">
        <f>IFERROR(__xludf.DUMMYFUNCTION("""COMPUTED_VALUE"""),"#N/A")</f>
        <v>#N/A</v>
      </c>
      <c r="G655" s="6" t="str">
        <f>IFERROR(__xludf.DUMMYFUNCTION("""COMPUTED_VALUE"""),"#N/A")</f>
        <v>#N/A</v>
      </c>
      <c r="H655" s="18" t="str">
        <f>IFERROR(__xludf.DUMMYFUNCTION("""COMPUTED_VALUE"""),"https://docs.google.com/spreadsheets/d/1jonEGMB3UFHiUZpltF1zURon8gYN7jGSHu-k9t5TXnA/edit?gid=654238193#gid=654238193")</f>
        <v>https://docs.google.com/spreadsheets/d/1jonEGMB3UFHiUZpltF1zURon8gYN7jGSHu-k9t5TXnA/edit?gid=654238193#gid=654238193</v>
      </c>
      <c r="I655" s="6" t="str">
        <f>IFERROR(__xludf.DUMMYFUNCTION("""COMPUTED_VALUE"""),"https://disk.yandex.ru/client/disk/Осмотры%20объектов%20АНО%20СМГ/335%20Начало%20проходки%20ЛПТ%20на%20участке%20от%20ст.%20%22Рублево-Архангельское%22%20до%20ст.%20%22Ильинская%22")</f>
        <v>https://disk.yandex.ru/client/disk/Осмотры%20объектов%20АНО%20СМГ/335%20Начало%20проходки%20ЛПТ%20на%20участке%20от%20ст.%20%22Рублево-Архангельское%22%20до%20ст.%20%22Ильинская%22</v>
      </c>
      <c r="J655" s="50">
        <f>IFERROR(__xludf.DUMMYFUNCTION("""COMPUTED_VALUE"""),5.628)</f>
        <v>5.628</v>
      </c>
      <c r="K655" s="58">
        <f>IFERROR(__xludf.DUMMYFUNCTION("""COMPUTED_VALUE"""),45854.0)</f>
        <v>45854</v>
      </c>
      <c r="L655" s="6">
        <v>30.0</v>
      </c>
      <c r="M655" s="52">
        <v>45884.0</v>
      </c>
      <c r="N655" s="53" t="s">
        <v>668</v>
      </c>
      <c r="O655" s="6" t="s">
        <v>669</v>
      </c>
      <c r="P655" s="6"/>
      <c r="Q655" s="6"/>
      <c r="R655" s="6"/>
    </row>
    <row r="656">
      <c r="A656" s="31" t="str">
        <f>IFERROR(__xludf.DUMMYFUNCTION("""COMPUTED_VALUE"""),"НД")</f>
        <v>НД</v>
      </c>
      <c r="B656" s="14" t="str">
        <f>IFERROR(__xludf.DUMMYFUNCTION("""COMPUTED_VALUE"""),"АИП-27")</f>
        <v>АИП-27</v>
      </c>
      <c r="C656" s="14" t="str">
        <f>IFERROR(__xludf.DUMMYFUNCTION("""COMPUTED_VALUE"""),"УДС")</f>
        <v>УДС</v>
      </c>
      <c r="D656" s="15"/>
      <c r="E656" s="14" t="str">
        <f>IFERROR(__xludf.DUMMYFUNCTION("""COMPUTED_VALUE"""),"Рублево-Архангельская линия ст. «Липовая Роща» – ст. «Ильинская»
(«Рублево-Архангельское», «Ильинская») «Рублево-Архангельское»,  в районе квартал А22 «Ильинская» в районе Новорижское шоссе, 22-й километр, вл, 1с1")</f>
        <v>Рублево-Архангельская линия ст. «Липовая Роща» – ст. «Ильинская»
(«Рублево-Архангельское», «Ильинская») «Рублево-Архангельское»,  в районе квартал А22 «Ильинская» в районе Новорижское шоссе, 22-й километр, вл, 1с1</v>
      </c>
      <c r="F656" s="25" t="str">
        <f>IFERROR(__xludf.DUMMYFUNCTION("""COMPUTED_VALUE"""),"#N/A")</f>
        <v>#N/A</v>
      </c>
      <c r="G656" s="6" t="str">
        <f>IFERROR(__xludf.DUMMYFUNCTION("""COMPUTED_VALUE"""),"#N/A")</f>
        <v>#N/A</v>
      </c>
      <c r="H656" s="6"/>
      <c r="I656" s="6"/>
      <c r="J656" s="50"/>
      <c r="K656" s="58"/>
      <c r="L656" s="6">
        <v>30.0</v>
      </c>
      <c r="M656" s="52" t="s">
        <v>655</v>
      </c>
      <c r="N656" s="53" t="s">
        <v>698</v>
      </c>
      <c r="O656" s="6" t="s">
        <v>669</v>
      </c>
      <c r="P656" s="6"/>
      <c r="Q656" s="6"/>
      <c r="R656" s="6"/>
    </row>
    <row r="657">
      <c r="A657" s="31" t="str">
        <f>IFERROR(__xludf.DUMMYFUNCTION("""COMPUTED_VALUE"""),"НД")</f>
        <v>НД</v>
      </c>
      <c r="B657" s="14" t="str">
        <f>IFERROR(__xludf.DUMMYFUNCTION("""COMPUTED_VALUE"""),"АИП-27")</f>
        <v>АИП-27</v>
      </c>
      <c r="C657" s="14" t="str">
        <f>IFERROR(__xludf.DUMMYFUNCTION("""COMPUTED_VALUE"""),"УДС")</f>
        <v>УДС</v>
      </c>
      <c r="D657" s="15"/>
      <c r="E657" s="14" t="str">
        <f>IFERROR(__xludf.DUMMYFUNCTION("""COMPUTED_VALUE"""),"Электродепо «Ильинское» Московская область, Новорижское шоссе, вблизи поселка «Новый», Сосновая улица")</f>
        <v>Электродепо «Ильинское» Московская область, Новорижское шоссе, вблизи поселка «Новый», Сосновая улица</v>
      </c>
      <c r="F657" s="25" t="str">
        <f>IFERROR(__xludf.DUMMYFUNCTION("""COMPUTED_VALUE"""),"#N/A")</f>
        <v>#N/A</v>
      </c>
      <c r="G657" s="6" t="str">
        <f>IFERROR(__xludf.DUMMYFUNCTION("""COMPUTED_VALUE"""),"#N/A")</f>
        <v>#N/A</v>
      </c>
      <c r="H657" s="6"/>
      <c r="I657" s="6"/>
      <c r="J657" s="50"/>
      <c r="K657" s="58"/>
      <c r="L657" s="6">
        <v>30.0</v>
      </c>
      <c r="M657" s="52" t="s">
        <v>655</v>
      </c>
      <c r="N657" s="53" t="s">
        <v>698</v>
      </c>
      <c r="O657" s="6" t="s">
        <v>669</v>
      </c>
      <c r="P657" s="6"/>
      <c r="Q657" s="6"/>
      <c r="R657" s="6"/>
    </row>
    <row r="658">
      <c r="A658" s="31" t="str">
        <f>IFERROR(__xludf.DUMMYFUNCTION("""COMPUTED_VALUE"""),"1325")</f>
        <v>1325</v>
      </c>
      <c r="B658" s="14" t="str">
        <f>IFERROR(__xludf.DUMMYFUNCTION("""COMPUTED_VALUE"""),"АИП-27")</f>
        <v>АИП-27</v>
      </c>
      <c r="C658" s="14" t="str">
        <f>IFERROR(__xludf.DUMMYFUNCTION("""COMPUTED_VALUE"""),"УДС")</f>
        <v>УДС</v>
      </c>
      <c r="D658" s="15"/>
      <c r="E658" s="14" t="str">
        <f>IFERROR(__xludf.DUMMYFUNCTION("""COMPUTED_VALUE"""),"Технологическая часть ТПУ на станции метро ""Ботанический сад"" 1-я улица Леонова, 18")</f>
        <v>Технологическая часть ТПУ на станции метро "Ботанический сад" 1-я улица Леонова, 18</v>
      </c>
      <c r="F658" s="25" t="str">
        <f>IFERROR(__xludf.DUMMYFUNCTION("""COMPUTED_VALUE"""),"#N/A")</f>
        <v>#N/A</v>
      </c>
      <c r="G658" s="6" t="str">
        <f>IFERROR(__xludf.DUMMYFUNCTION("""COMPUTED_VALUE"""),"#N/A")</f>
        <v>#N/A</v>
      </c>
      <c r="H658" s="18" t="str">
        <f>IFERROR(__xludf.DUMMYFUNCTION("""COMPUTED_VALUE"""),"https://docs.google.com/spreadsheets/d/1EI7qusa674eJhuaw-nWWtWMEHVSYMQv7HLsInEZTWpE/edit?gid=501610529#gid=501610529")</f>
        <v>https://docs.google.com/spreadsheets/d/1EI7qusa674eJhuaw-nWWtWMEHVSYMQv7HLsInEZTWpE/edit?gid=501610529#gid=501610529</v>
      </c>
      <c r="I658" s="6"/>
      <c r="J658" s="50">
        <f>IFERROR(__xludf.DUMMYFUNCTION("""COMPUTED_VALUE"""),0.0)</f>
        <v>0</v>
      </c>
      <c r="K658" s="58">
        <f>IFERROR(__xludf.DUMMYFUNCTION("""COMPUTED_VALUE"""),45944.0)</f>
        <v>45944</v>
      </c>
      <c r="L658" s="6">
        <v>30.0</v>
      </c>
      <c r="M658" s="52">
        <v>45974.0</v>
      </c>
      <c r="N658" s="53" t="s">
        <v>668</v>
      </c>
      <c r="O658" s="6" t="s">
        <v>1047</v>
      </c>
      <c r="P658" s="6"/>
      <c r="Q658" s="6"/>
      <c r="R658" s="6"/>
    </row>
    <row r="659">
      <c r="A659" s="31" t="str">
        <f>IFERROR(__xludf.DUMMYFUNCTION("""COMPUTED_VALUE"""),"НД")</f>
        <v>НД</v>
      </c>
      <c r="B659" s="14" t="str">
        <f>IFERROR(__xludf.DUMMYFUNCTION("""COMPUTED_VALUE"""),"АИП-27")</f>
        <v>АИП-27</v>
      </c>
      <c r="C659" s="14" t="str">
        <f>IFERROR(__xludf.DUMMYFUNCTION("""COMPUTED_VALUE"""),"УДС")</f>
        <v>УДС</v>
      </c>
      <c r="D659" s="15"/>
      <c r="E659" s="14" t="str">
        <f>IFERROR(__xludf.DUMMYFUNCTION("""COMPUTED_VALUE"""),"Технологическая часть ТПУ на станции метро ""Петровско-Разумовская"" Станция метро ""Петровско- Разумовская""")</f>
        <v>Технологическая часть ТПУ на станции метро "Петровско-Разумовская" Станция метро "Петровско- Разумовская"</v>
      </c>
      <c r="F659" s="25" t="str">
        <f>IFERROR(__xludf.DUMMYFUNCTION("""COMPUTED_VALUE"""),"#N/A")</f>
        <v>#N/A</v>
      </c>
      <c r="G659" s="6" t="str">
        <f>IFERROR(__xludf.DUMMYFUNCTION("""COMPUTED_VALUE"""),"#N/A")</f>
        <v>#N/A</v>
      </c>
      <c r="H659" s="6"/>
      <c r="I659" s="6"/>
      <c r="J659" s="50"/>
      <c r="K659" s="58"/>
      <c r="L659" s="6">
        <v>30.0</v>
      </c>
      <c r="M659" s="52" t="s">
        <v>655</v>
      </c>
      <c r="N659" s="53" t="s">
        <v>698</v>
      </c>
      <c r="O659" s="6" t="s">
        <v>1048</v>
      </c>
      <c r="P659" s="6"/>
      <c r="Q659" s="6"/>
      <c r="R659" s="6"/>
    </row>
    <row r="660">
      <c r="A660" s="31" t="str">
        <f>IFERROR(__xludf.DUMMYFUNCTION("""COMPUTED_VALUE"""),"227")</f>
        <v>227</v>
      </c>
      <c r="B660" s="14" t="str">
        <f>IFERROR(__xludf.DUMMYFUNCTION("""COMPUTED_VALUE"""),"АИП-27")</f>
        <v>АИП-27</v>
      </c>
      <c r="C660" s="14" t="str">
        <f>IFERROR(__xludf.DUMMYFUNCTION("""COMPUTED_VALUE"""),"УДС")</f>
        <v>УДС</v>
      </c>
      <c r="D660" s="15"/>
      <c r="E660" s="14" t="str">
        <f>IFERROR(__xludf.DUMMYFUNCTION("""COMPUTED_VALUE"""),"Технологическая часть ТПУ на станции метро  ""Верхние Лихоборы"". Этап 3 г. Москва, м. ""Верхние Лихоборы""")</f>
        <v>Технологическая часть ТПУ на станции метро  "Верхние Лихоборы". Этап 3 г. Москва, м. "Верхние Лихоборы"</v>
      </c>
      <c r="F660" s="25" t="str">
        <f>IFERROR(__xludf.DUMMYFUNCTION("""COMPUTED_VALUE"""),"55.85465208501044")</f>
        <v>55.85465208501044</v>
      </c>
      <c r="G660" s="6" t="str">
        <f>IFERROR(__xludf.DUMMYFUNCTION("""COMPUTED_VALUE"""),"37.56066086375353")</f>
        <v>37.56066086375353</v>
      </c>
      <c r="H660" s="18" t="str">
        <f>IFERROR(__xludf.DUMMYFUNCTION("""COMPUTED_VALUE"""),"https://docs.google.com/spreadsheets/d/1jonEGMB3UFHiUZpltF1zURon8gYN7jGSHu-k9t5TXnA/edit?gid=1179595420#gid=1179595420")</f>
        <v>https://docs.google.com/spreadsheets/d/1jonEGMB3UFHiUZpltF1zURon8gYN7jGSHu-k9t5TXnA/edit?gid=1179595420#gid=1179595420</v>
      </c>
      <c r="I660"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660" s="50">
        <f>IFERROR(__xludf.DUMMYFUNCTION("""COMPUTED_VALUE"""),67.92281249999999)</f>
        <v>67.9228125</v>
      </c>
      <c r="K660" s="58">
        <f>IFERROR(__xludf.DUMMYFUNCTION("""COMPUTED_VALUE"""),45918.0)</f>
        <v>45918</v>
      </c>
      <c r="L660" s="6">
        <v>14.0</v>
      </c>
      <c r="M660" s="52">
        <v>45932.0</v>
      </c>
      <c r="N660" s="53" t="s">
        <v>668</v>
      </c>
      <c r="O660" s="6" t="s">
        <v>1049</v>
      </c>
      <c r="P660" s="6"/>
      <c r="Q660" s="6"/>
      <c r="R660" s="6"/>
    </row>
    <row r="661">
      <c r="A661" s="31" t="str">
        <f>IFERROR(__xludf.DUMMYFUNCTION("""COMPUTED_VALUE"""),"1123")</f>
        <v>1123</v>
      </c>
      <c r="B661" s="14" t="str">
        <f>IFERROR(__xludf.DUMMYFUNCTION("""COMPUTED_VALUE"""),"АИП-25")</f>
        <v>АИП-25</v>
      </c>
      <c r="C661" s="14" t="str">
        <f>IFERROR(__xludf.DUMMYFUNCTION("""COMPUTED_VALUE"""),"УДС")</f>
        <v>УДС</v>
      </c>
      <c r="D661" s="15"/>
      <c r="E661" s="14" t="str">
        <f>IFERROR(__xludf.DUMMYFUNCTION("""COMPUTED_VALUE"""),"Технологическая часть ТПУ на станции метро ""ул. Дмитриевского"" (""Салтыковская ул."") (2 этап) Салтыковская улица")</f>
        <v>Технологическая часть ТПУ на станции метро "ул. Дмитриевского" ("Салтыковская ул.") (2 этап) Салтыковская улица</v>
      </c>
      <c r="F661" s="25" t="str">
        <f>IFERROR(__xludf.DUMMYFUNCTION("""COMPUTED_VALUE"""),"#N/A")</f>
        <v>#N/A</v>
      </c>
      <c r="G661" s="6" t="str">
        <f>IFERROR(__xludf.DUMMYFUNCTION("""COMPUTED_VALUE"""),"#N/A")</f>
        <v>#N/A</v>
      </c>
      <c r="H661" s="18" t="str">
        <f>IFERROR(__xludf.DUMMYFUNCTION("""COMPUTED_VALUE"""),"https://docs.google.com/spreadsheets/d/1jonEGMB3UFHiUZpltF1zURon8gYN7jGSHu-k9t5TXnA/edit?gid=867799308#gid=867799308")</f>
        <v>https://docs.google.com/spreadsheets/d/1jonEGMB3UFHiUZpltF1zURon8gYN7jGSHu-k9t5TXnA/edit?gid=867799308#gid=867799308</v>
      </c>
      <c r="I661" s="6" t="str">
        <f>IFERROR(__xludf.DUMMYFUNCTION("""COMPUTED_VALUE"""),"https://disk.yandex.ru/client/disk/Осмотры%20объектов%20АНО%20СМГ/1123.%20Технологическая%20часть%20ТПУ%20на%20станции%20метро%20%22Улица%20Дмитриевского%22")</f>
        <v>https://disk.yandex.ru/client/disk/Осмотры%20объектов%20АНО%20СМГ/1123.%20Технологическая%20часть%20ТПУ%20на%20станции%20метро%20%22Улица%20Дмитриевского%22</v>
      </c>
      <c r="J661" s="50">
        <f>IFERROR(__xludf.DUMMYFUNCTION("""COMPUTED_VALUE"""),93.85)</f>
        <v>93.85</v>
      </c>
      <c r="K661" s="58">
        <f>IFERROR(__xludf.DUMMYFUNCTION("""COMPUTED_VALUE"""),45971.0)</f>
        <v>45971</v>
      </c>
      <c r="L661" s="6">
        <v>14.0</v>
      </c>
      <c r="M661" s="52">
        <v>45985.0</v>
      </c>
      <c r="N661" s="53" t="s">
        <v>711</v>
      </c>
      <c r="O661" s="6" t="s">
        <v>1050</v>
      </c>
      <c r="P661" s="6"/>
      <c r="Q661" s="6"/>
      <c r="R661" s="6"/>
    </row>
    <row r="662">
      <c r="A662" s="31" t="str">
        <f>IFERROR(__xludf.DUMMYFUNCTION("""COMPUTED_VALUE"""),"НД")</f>
        <v>НД</v>
      </c>
      <c r="B662" s="14" t="str">
        <f>IFERROR(__xludf.DUMMYFUNCTION("""COMPUTED_VALUE"""),"АИП-27")</f>
        <v>АИП-27</v>
      </c>
      <c r="C662" s="14" t="str">
        <f>IFERROR(__xludf.DUMMYFUNCTION("""COMPUTED_VALUE"""),"УДС")</f>
        <v>УДС</v>
      </c>
      <c r="D662" s="15"/>
      <c r="E662" s="14" t="str">
        <f>IFERROR(__xludf.DUMMYFUNCTION("""COMPUTED_VALUE"""),"Трамвайная линия на участке 3-я Владимирская ул.,р-н Ивановское г. Москва, 3-я Владимирская улица - район ""Ивановское""")</f>
        <v>Трамвайная линия на участке 3-я Владимирская ул.,р-н Ивановское г. Москва, 3-я Владимирская улица - район "Ивановское"</v>
      </c>
      <c r="F662" s="25" t="str">
        <f>IFERROR(__xludf.DUMMYFUNCTION("""COMPUTED_VALUE"""),"#N/A")</f>
        <v>#N/A</v>
      </c>
      <c r="G662" s="6" t="str">
        <f>IFERROR(__xludf.DUMMYFUNCTION("""COMPUTED_VALUE"""),"#N/A")</f>
        <v>#N/A</v>
      </c>
      <c r="H662" s="6"/>
      <c r="I662" s="6"/>
      <c r="J662" s="50"/>
      <c r="K662" s="58"/>
      <c r="L662" s="6">
        <v>30.0</v>
      </c>
      <c r="M662" s="52" t="s">
        <v>655</v>
      </c>
      <c r="N662" s="53" t="s">
        <v>698</v>
      </c>
      <c r="O662" s="6" t="s">
        <v>1051</v>
      </c>
      <c r="P662" s="6"/>
      <c r="Q662" s="6"/>
      <c r="R662" s="6"/>
    </row>
    <row r="663">
      <c r="A663" s="31" t="str">
        <f>IFERROR(__xludf.DUMMYFUNCTION("""COMPUTED_VALUE"""),"НД")</f>
        <v>НД</v>
      </c>
      <c r="B663" s="14" t="str">
        <f>IFERROR(__xludf.DUMMYFUNCTION("""COMPUTED_VALUE"""),"АИП-27")</f>
        <v>АИП-27</v>
      </c>
      <c r="C663" s="14" t="str">
        <f>IFERROR(__xludf.DUMMYFUNCTION("""COMPUTED_VALUE"""),"УДС")</f>
        <v>УДС</v>
      </c>
      <c r="D663" s="6"/>
      <c r="E663" s="14" t="str">
        <f>IFERROR(__xludf.DUMMYFUNCTION("""COMPUTED_VALUE"""),"798-04 Дорога и инженерные коммуникации
по Волжскому б-ру для застройки р-на Кузьминки (ул. Окская - Волжский б-р)  (водосточные сети) ул. Окская - Волжский б-р")</f>
        <v>798-04 Дорога и инженерные коммуникации
по Волжскому б-ру для застройки р-на Кузьминки (ул. Окская - Волжский б-р)  (водосточные сети) ул. Окская - Волжский б-р</v>
      </c>
      <c r="F663" s="25" t="str">
        <f>IFERROR(__xludf.DUMMYFUNCTION("""COMPUTED_VALUE"""),"#N/A")</f>
        <v>#N/A</v>
      </c>
      <c r="G663" s="6" t="str">
        <f>IFERROR(__xludf.DUMMYFUNCTION("""COMPUTED_VALUE"""),"#N/A")</f>
        <v>#N/A</v>
      </c>
      <c r="H663" s="6"/>
      <c r="I663" s="6"/>
      <c r="J663" s="50"/>
      <c r="K663" s="58"/>
      <c r="L663" s="6">
        <v>30.0</v>
      </c>
      <c r="M663" s="52" t="s">
        <v>655</v>
      </c>
      <c r="N663" s="53" t="s">
        <v>698</v>
      </c>
      <c r="O663" s="6" t="s">
        <v>1052</v>
      </c>
      <c r="P663" s="6"/>
      <c r="Q663" s="6"/>
      <c r="R663" s="6"/>
    </row>
    <row r="664">
      <c r="A664" s="31" t="str">
        <f>IFERROR(__xludf.DUMMYFUNCTION("""COMPUTED_VALUE"""),"НД")</f>
        <v>НД</v>
      </c>
      <c r="B664" s="14" t="str">
        <f>IFERROR(__xludf.DUMMYFUNCTION("""COMPUTED_VALUE"""),"АИП-27")</f>
        <v>АИП-27</v>
      </c>
      <c r="C664" s="14" t="str">
        <f>IFERROR(__xludf.DUMMYFUNCTION("""COMPUTED_VALUE"""),"УДС")</f>
        <v>УДС</v>
      </c>
      <c r="D664" s="6"/>
      <c r="E664" s="14" t="str">
        <f>IFERROR(__xludf.DUMMYFUNCTION("""COMPUTED_VALUE"""),"Дорога и инженерные коммуникации по Саратовской ул., пр.пр. 1506 и 770а от улицы №1 до Волжского бульвара для застройки района ""Кузьминки"" (ул. Окская-Волжский б-р)- завершение строительство – подэтап (проектирование) КУЗЬМИНКИ,ОКСКАЯ УЛ. - ВОЛЖСКИЙ Б-Р")</f>
        <v>Дорога и инженерные коммуникации по Саратовской ул., пр.пр. 1506 и 770а от улицы №1 до Волжского бульвара для застройки района "Кузьминки" (ул. Окская-Волжский б-р)- завершение строительство – подэтап (проектирование) КУЗЬМИНКИ,ОКСКАЯ УЛ. - ВОЛЖСКИЙ Б-Р</v>
      </c>
      <c r="F664" s="25" t="str">
        <f>IFERROR(__xludf.DUMMYFUNCTION("""COMPUTED_VALUE"""),"#N/A")</f>
        <v>#N/A</v>
      </c>
      <c r="G664" s="6" t="str">
        <f>IFERROR(__xludf.DUMMYFUNCTION("""COMPUTED_VALUE"""),"#N/A")</f>
        <v>#N/A</v>
      </c>
      <c r="H664" s="6"/>
      <c r="I664" s="6"/>
      <c r="J664" s="50"/>
      <c r="K664" s="58"/>
      <c r="L664" s="6">
        <v>30.0</v>
      </c>
      <c r="M664" s="52" t="s">
        <v>655</v>
      </c>
      <c r="N664" s="53" t="s">
        <v>698</v>
      </c>
      <c r="O664" s="6" t="s">
        <v>1016</v>
      </c>
      <c r="P664" s="6"/>
      <c r="Q664" s="6"/>
      <c r="R664" s="6"/>
    </row>
    <row r="665">
      <c r="A665" s="31" t="str">
        <f>IFERROR(__xludf.DUMMYFUNCTION("""COMPUTED_VALUE"""),"НД")</f>
        <v>НД</v>
      </c>
      <c r="B665" s="14" t="str">
        <f>IFERROR(__xludf.DUMMYFUNCTION("""COMPUTED_VALUE"""),"АИП-27")</f>
        <v>АИП-27</v>
      </c>
      <c r="C665" s="14" t="str">
        <f>IFERROR(__xludf.DUMMYFUNCTION("""COMPUTED_VALUE"""),"УДС")</f>
        <v>УДС</v>
      </c>
      <c r="D665" s="6"/>
      <c r="E665" s="14" t="str">
        <f>IFERROR(__xludf.DUMMYFUNCTION("""COMPUTED_VALUE"""),"Дождевая канализация для жилого дома по адресу: ул. Авиационная, влд.77-79, к.6 УЛ. АВИАЦИОННАЯ ВЛ. 77-79, К.6 (К.5)")</f>
        <v>Дождевая канализация для жилого дома по адресу: ул. Авиационная, влд.77-79, к.6 УЛ. АВИАЦИОННАЯ ВЛ. 77-79, К.6 (К.5)</v>
      </c>
      <c r="F665" s="25" t="str">
        <f>IFERROR(__xludf.DUMMYFUNCTION("""COMPUTED_VALUE"""),"#N/A")</f>
        <v>#N/A</v>
      </c>
      <c r="G665" s="6" t="str">
        <f>IFERROR(__xludf.DUMMYFUNCTION("""COMPUTED_VALUE"""),"#N/A")</f>
        <v>#N/A</v>
      </c>
      <c r="H665" s="6"/>
      <c r="I665" s="6"/>
      <c r="J665" s="50"/>
      <c r="K665" s="58"/>
      <c r="L665" s="6">
        <v>30.0</v>
      </c>
      <c r="M665" s="52" t="s">
        <v>655</v>
      </c>
      <c r="N665" s="53" t="s">
        <v>698</v>
      </c>
      <c r="O665" s="6" t="s">
        <v>1053</v>
      </c>
      <c r="P665" s="6"/>
      <c r="Q665" s="6"/>
      <c r="R665" s="6"/>
    </row>
    <row r="666">
      <c r="A666" s="31" t="str">
        <f>IFERROR(__xludf.DUMMYFUNCTION("""COMPUTED_VALUE"""),"1311")</f>
        <v>1311</v>
      </c>
      <c r="B666" s="14" t="str">
        <f>IFERROR(__xludf.DUMMYFUNCTION("""COMPUTED_VALUE"""),"АИП-27")</f>
        <v>АИП-27</v>
      </c>
      <c r="C666" s="14" t="str">
        <f>IFERROR(__xludf.DUMMYFUNCTION("""COMPUTED_VALUE"""),"ОКС")</f>
        <v>ОКС</v>
      </c>
      <c r="D666" s="6"/>
      <c r="E666" s="14" t="str">
        <f>IFERROR(__xludf.DUMMYFUNCTION("""COMPUTED_VALUE"""),"Дренажная насосная станция дождевой канализации для застройки мкр. 12 р-на Щукино Щукино мкр.12 СЗАО")</f>
        <v>Дренажная насосная станция дождевой канализации для застройки мкр. 12 р-на Щукино Щукино мкр.12 СЗАО</v>
      </c>
      <c r="F666" s="25" t="str">
        <f>IFERROR(__xludf.DUMMYFUNCTION("""COMPUTED_VALUE"""),"#N/A")</f>
        <v>#N/A</v>
      </c>
      <c r="G666" s="6" t="str">
        <f>IFERROR(__xludf.DUMMYFUNCTION("""COMPUTED_VALUE"""),"#N/A")</f>
        <v>#N/A</v>
      </c>
      <c r="H666" s="18" t="str">
        <f>IFERROR(__xludf.DUMMYFUNCTION("""COMPUTED_VALUE"""),"https://docs.google.com/spreadsheets/d/1EI7qusa674eJhuaw-nWWtWMEHVSYMQv7HLsInEZTWpE/edit?gid=181219872#gid=181219872")</f>
        <v>https://docs.google.com/spreadsheets/d/1EI7qusa674eJhuaw-nWWtWMEHVSYMQv7HLsInEZTWpE/edit?gid=181219872#gid=181219872</v>
      </c>
      <c r="I666" s="6"/>
      <c r="J666" s="50">
        <f>IFERROR(__xludf.DUMMYFUNCTION("""COMPUTED_VALUE"""),0.0)</f>
        <v>0</v>
      </c>
      <c r="K666" s="58">
        <f>IFERROR(__xludf.DUMMYFUNCTION("""COMPUTED_VALUE"""),45919.0)</f>
        <v>45919</v>
      </c>
      <c r="L666" s="6">
        <v>30.0</v>
      </c>
      <c r="M666" s="52">
        <v>45949.0</v>
      </c>
      <c r="N666" s="53" t="s">
        <v>668</v>
      </c>
      <c r="O666" s="6" t="s">
        <v>1054</v>
      </c>
      <c r="P666" s="6"/>
      <c r="Q666" s="6"/>
      <c r="R666" s="6"/>
    </row>
    <row r="667">
      <c r="A667" s="31" t="str">
        <f>IFERROR(__xludf.DUMMYFUNCTION("""COMPUTED_VALUE"""),"НД")</f>
        <v>НД</v>
      </c>
      <c r="B667" s="14" t="str">
        <f>IFERROR(__xludf.DUMMYFUNCTION("""COMPUTED_VALUE"""),"АИП-27")</f>
        <v>АИП-27</v>
      </c>
      <c r="C667" s="14" t="str">
        <f>IFERROR(__xludf.DUMMYFUNCTION("""COMPUTED_VALUE"""),"УДС")</f>
        <v>УДС</v>
      </c>
      <c r="D667" s="6"/>
      <c r="E667" s="14" t="str">
        <f>IFERROR(__xludf.DUMMYFUNCTION("""COMPUTED_VALUE"""),"Трамвайная линия от ул.Академика Королева до МЦД Останкино ул.Академика Королева")</f>
        <v>Трамвайная линия от ул.Академика Королева до МЦД Останкино ул.Академика Королева</v>
      </c>
      <c r="F667" s="25" t="str">
        <f>IFERROR(__xludf.DUMMYFUNCTION("""COMPUTED_VALUE"""),"#N/A")</f>
        <v>#N/A</v>
      </c>
      <c r="G667" s="6" t="str">
        <f>IFERROR(__xludf.DUMMYFUNCTION("""COMPUTED_VALUE"""),"#N/A")</f>
        <v>#N/A</v>
      </c>
      <c r="H667" s="6"/>
      <c r="I667" s="19"/>
      <c r="J667" s="50"/>
      <c r="K667" s="58"/>
      <c r="L667" s="6">
        <v>30.0</v>
      </c>
      <c r="M667" s="52" t="s">
        <v>655</v>
      </c>
      <c r="N667" s="53" t="s">
        <v>698</v>
      </c>
      <c r="O667" s="19" t="s">
        <v>1055</v>
      </c>
      <c r="P667" s="6"/>
      <c r="Q667" s="6"/>
      <c r="R667" s="6"/>
    </row>
    <row r="668">
      <c r="A668" s="31" t="str">
        <f>IFERROR(__xludf.DUMMYFUNCTION("""COMPUTED_VALUE"""),"НД")</f>
        <v>НД</v>
      </c>
      <c r="B668" s="14" t="str">
        <f>IFERROR(__xludf.DUMMYFUNCTION("""COMPUTED_VALUE"""),"АИП-27")</f>
        <v>АИП-27</v>
      </c>
      <c r="C668" s="14" t="str">
        <f>IFERROR(__xludf.DUMMYFUNCTION("""COMPUTED_VALUE"""),"УДС")</f>
        <v>УДС</v>
      </c>
      <c r="D668" s="6"/>
      <c r="E668" s="14" t="str">
        <f>IFERROR(__xludf.DUMMYFUNCTION("""COMPUTED_VALUE"""),"3020-05 Очистные сооружения дождевой канализации для застройки мкр. 18Б р-на Богородское г. Москва, 18Б р-на Богородское")</f>
        <v>3020-05 Очистные сооружения дождевой канализации для застройки мкр. 18Б р-на Богородское г. Москва, 18Б р-на Богородское</v>
      </c>
      <c r="F668" s="25" t="str">
        <f>IFERROR(__xludf.DUMMYFUNCTION("""COMPUTED_VALUE"""),"#N/A")</f>
        <v>#N/A</v>
      </c>
      <c r="G668" s="6" t="str">
        <f>IFERROR(__xludf.DUMMYFUNCTION("""COMPUTED_VALUE"""),"#N/A")</f>
        <v>#N/A</v>
      </c>
      <c r="H668" s="6"/>
      <c r="I668" s="6"/>
      <c r="J668" s="50"/>
      <c r="K668" s="58"/>
      <c r="L668" s="6">
        <v>30.0</v>
      </c>
      <c r="M668" s="52" t="s">
        <v>655</v>
      </c>
      <c r="N668" s="53" t="s">
        <v>698</v>
      </c>
      <c r="O668" s="6" t="s">
        <v>1056</v>
      </c>
      <c r="P668" s="6"/>
      <c r="Q668" s="6"/>
      <c r="R668" s="6"/>
    </row>
    <row r="669">
      <c r="A669" s="31" t="str">
        <f>IFERROR(__xludf.DUMMYFUNCTION("""COMPUTED_VALUE"""),"НД")</f>
        <v>НД</v>
      </c>
      <c r="B669" s="14" t="str">
        <f>IFERROR(__xludf.DUMMYFUNCTION("""COMPUTED_VALUE"""),"АИП-27")</f>
        <v>АИП-27</v>
      </c>
      <c r="C669" s="14" t="str">
        <f>IFERROR(__xludf.DUMMYFUNCTION("""COMPUTED_VALUE"""),"УДС")</f>
        <v>УДС</v>
      </c>
      <c r="D669" s="6"/>
      <c r="E669" s="14" t="str">
        <f>IFERROR(__xludf.DUMMYFUNCTION("""COMPUTED_VALUE"""),"Строительство сети водостока Д=1500 мм под железной дорогой Савеловского направления Московской железной дороги и бетонным заводом Общество с ограниченной ответственностью ""Бетас"" для обеспечения водоотведения от жилой застройки, по адресу: р-н Северный"&amp;", Дмитровское ш., влд. 167 г. Москва, р-н Северный, Дмитровское ш., влд. 167")</f>
        <v>Строительство сети водостока Д=1500 мм под железной дорогой Савеловского направления Московской железной дороги и бетонным заводом Общество с ограниченной ответственностью "Бетас" для обеспечения водоотведения от жилой застройки, по адресу: р-н Северный, Дмитровское ш., влд. 167 г. Москва, р-н Северный, Дмитровское ш., влд. 167</v>
      </c>
      <c r="F669" s="25" t="str">
        <f>IFERROR(__xludf.DUMMYFUNCTION("""COMPUTED_VALUE"""),"#N/A")</f>
        <v>#N/A</v>
      </c>
      <c r="G669" s="6" t="str">
        <f>IFERROR(__xludf.DUMMYFUNCTION("""COMPUTED_VALUE"""),"#N/A")</f>
        <v>#N/A</v>
      </c>
      <c r="H669" s="6"/>
      <c r="I669" s="6"/>
      <c r="J669" s="50"/>
      <c r="K669" s="58"/>
      <c r="L669" s="6">
        <v>30.0</v>
      </c>
      <c r="M669" s="52" t="s">
        <v>655</v>
      </c>
      <c r="N669" s="53" t="s">
        <v>698</v>
      </c>
      <c r="O669" s="6" t="s">
        <v>1057</v>
      </c>
      <c r="P669" s="6"/>
      <c r="Q669" s="6"/>
      <c r="R669" s="6"/>
    </row>
    <row r="670">
      <c r="A670" s="31" t="str">
        <f>IFERROR(__xludf.DUMMYFUNCTION("""COMPUTED_VALUE"""),"НД")</f>
        <v>НД</v>
      </c>
      <c r="B670" s="14" t="str">
        <f>IFERROR(__xludf.DUMMYFUNCTION("""COMPUTED_VALUE"""),"АИП-27")</f>
        <v>АИП-27</v>
      </c>
      <c r="C670" s="14" t="str">
        <f>IFERROR(__xludf.DUMMYFUNCTION("""COMPUTED_VALUE"""),"ОКС")</f>
        <v>ОКС</v>
      </c>
      <c r="D670" s="6"/>
      <c r="E670" s="14" t="str">
        <f>IFERROR(__xludf.DUMMYFUNCTION("""COMPUTED_VALUE"""),"Административное здание на территории района Щербинка Новомосковский административный округ, район Щербинка")</f>
        <v>Административное здание на территории района Щербинка Новомосковский административный округ, район Щербинка</v>
      </c>
      <c r="F670" s="25" t="str">
        <f>IFERROR(__xludf.DUMMYFUNCTION("""COMPUTED_VALUE"""),"#N/A")</f>
        <v>#N/A</v>
      </c>
      <c r="G670" s="6" t="str">
        <f>IFERROR(__xludf.DUMMYFUNCTION("""COMPUTED_VALUE"""),"#N/A")</f>
        <v>#N/A</v>
      </c>
      <c r="H670" s="6"/>
      <c r="I670" s="6"/>
      <c r="J670" s="50"/>
      <c r="K670" s="58"/>
      <c r="L670" s="6">
        <v>30.0</v>
      </c>
      <c r="M670" s="52" t="s">
        <v>655</v>
      </c>
      <c r="N670" s="53" t="s">
        <v>698</v>
      </c>
      <c r="O670" s="6" t="s">
        <v>1058</v>
      </c>
      <c r="P670" s="6"/>
      <c r="Q670" s="6"/>
      <c r="R670" s="6"/>
    </row>
    <row r="671">
      <c r="A671" s="31" t="str">
        <f>IFERROR(__xludf.DUMMYFUNCTION("""COMPUTED_VALUE"""),"НД")</f>
        <v>НД</v>
      </c>
      <c r="B671" s="14" t="str">
        <f>IFERROR(__xludf.DUMMYFUNCTION("""COMPUTED_VALUE"""),"АИП-27")</f>
        <v>АИП-27</v>
      </c>
      <c r="C671" s="14" t="str">
        <f>IFERROR(__xludf.DUMMYFUNCTION("""COMPUTED_VALUE"""),"ОКС")</f>
        <v>ОКС</v>
      </c>
      <c r="D671" s="6"/>
      <c r="E671" s="14" t="str">
        <f>IFERROR(__xludf.DUMMYFUNCTION("""COMPUTED_VALUE"""),"Административное здание в р-нах Троицк и Краснопахорский (Административное здание УВД по ТиНАО, изолятор временного содержания на 50 мест и МО МВД России Троицк/Краснопахорский) ТАО р-н Троиц, Краснопахорский")</f>
        <v>Административное здание в р-нах Троицк и Краснопахорский (Административное здание УВД по ТиНАО, изолятор временного содержания на 50 мест и МО МВД России Троицк/Краснопахорский) ТАО р-н Троиц, Краснопахорский</v>
      </c>
      <c r="F671" s="25" t="str">
        <f>IFERROR(__xludf.DUMMYFUNCTION("""COMPUTED_VALUE"""),"#N/A")</f>
        <v>#N/A</v>
      </c>
      <c r="G671" s="6" t="str">
        <f>IFERROR(__xludf.DUMMYFUNCTION("""COMPUTED_VALUE"""),"#N/A")</f>
        <v>#N/A</v>
      </c>
      <c r="H671" s="6"/>
      <c r="I671" s="19"/>
      <c r="J671" s="50"/>
      <c r="K671" s="58"/>
      <c r="L671" s="6">
        <v>30.0</v>
      </c>
      <c r="M671" s="52" t="s">
        <v>655</v>
      </c>
      <c r="N671" s="53" t="s">
        <v>698</v>
      </c>
      <c r="O671" s="19" t="s">
        <v>1059</v>
      </c>
      <c r="P671" s="6"/>
      <c r="Q671" s="6"/>
      <c r="R671" s="6"/>
    </row>
    <row r="672">
      <c r="A672" s="31" t="str">
        <f>IFERROR(__xludf.DUMMYFUNCTION("""COMPUTED_VALUE"""),"1235")</f>
        <v>1235</v>
      </c>
      <c r="B672" s="14" t="str">
        <f>IFERROR(__xludf.DUMMYFUNCTION("""COMPUTED_VALUE"""),"АИП-27")</f>
        <v>АИП-27</v>
      </c>
      <c r="C672" s="14" t="str">
        <f>IFERROR(__xludf.DUMMYFUNCTION("""COMPUTED_VALUE"""),"ОКС")</f>
        <v>ОКС</v>
      </c>
      <c r="D672" s="6"/>
      <c r="E672" s="14" t="str">
        <f>IFERROR(__xludf.DUMMYFUNCTION("""COMPUTED_VALUE"""),"Детско-взрослая поликлиника на 750 посещений в смену г. Московский, район Тепличного комбината № 1, третий микрорайон, квартал 1")</f>
        <v>Детско-взрослая поликлиника на 750 посещений в смену г. Московский, район Тепличного комбината № 1, третий микрорайон, квартал 1</v>
      </c>
      <c r="F672" s="25" t="str">
        <f>IFERROR(__xludf.DUMMYFUNCTION("""COMPUTED_VALUE"""),"#N/A")</f>
        <v>#N/A</v>
      </c>
      <c r="G672" s="6" t="str">
        <f>IFERROR(__xludf.DUMMYFUNCTION("""COMPUTED_VALUE"""),"#N/A")</f>
        <v>#N/A</v>
      </c>
      <c r="H672" s="18" t="str">
        <f>IFERROR(__xludf.DUMMYFUNCTION("""COMPUTED_VALUE"""),"https://docs.google.com/spreadsheets/d/19THEBTE9q0fhN2eApZr6BgenIvLGh0AckaYxHQfHk5w/edit?gid=1232288908#gid=1232288908")</f>
        <v>https://docs.google.com/spreadsheets/d/19THEBTE9q0fhN2eApZr6BgenIvLGh0AckaYxHQfHk5w/edit?gid=1232288908#gid=1232288908</v>
      </c>
      <c r="I672" s="19" t="str">
        <f>IFERROR(__xludf.DUMMYFUNCTION("""COMPUTED_VALUE"""),"https://disk.yandex.ru/client/disk/Осмотры%20объектов%20АНО%20СМГ/1235.%20Детско-взрослая%20поликлиника%20на%20750%20посещений%20в%20смену%20по%20адресу%3A%20г.%20%20Москва%2C%20г.%20Московский%2C%20район%20Тепличного%20комбината%20%20№%201%2C%20третий%20"&amp;"мкр.%2C%20кв-л%201")</f>
        <v>https://disk.yandex.ru/client/disk/Осмотры%20объектов%20АНО%20СМГ/1235.%20Детско-взрослая%20поликлиника%20на%20750%20посещений%20в%20смену%20по%20адресу%3A%20г.%20%20Москва%2C%20г.%20Московский%2C%20район%20Тепличного%20комбината%20%20№%201%2C%20третий%20мкр.%2C%20кв-л%201</v>
      </c>
      <c r="J672" s="50">
        <f>IFERROR(__xludf.DUMMYFUNCTION("""COMPUTED_VALUE"""),0.0)</f>
        <v>0</v>
      </c>
      <c r="K672" s="58">
        <f>IFERROR(__xludf.DUMMYFUNCTION("""COMPUTED_VALUE"""),45911.0)</f>
        <v>45911</v>
      </c>
      <c r="L672" s="6">
        <v>30.0</v>
      </c>
      <c r="M672" s="52">
        <v>45941.0</v>
      </c>
      <c r="N672" s="53" t="s">
        <v>668</v>
      </c>
      <c r="O672" s="19" t="s">
        <v>1060</v>
      </c>
      <c r="P672" s="6"/>
      <c r="Q672" s="6"/>
      <c r="R672" s="6"/>
    </row>
    <row r="673">
      <c r="A673" s="31" t="str">
        <f>IFERROR(__xludf.DUMMYFUNCTION("""COMPUTED_VALUE"""),"1294")</f>
        <v>1294</v>
      </c>
      <c r="B673" s="14" t="str">
        <f>IFERROR(__xludf.DUMMYFUNCTION("""COMPUTED_VALUE"""),"АИП-27")</f>
        <v>АИП-27</v>
      </c>
      <c r="C673" s="14" t="str">
        <f>IFERROR(__xludf.DUMMYFUNCTION("""COMPUTED_VALUE"""),"ОКС")</f>
        <v>ОКС</v>
      </c>
      <c r="D673" s="6"/>
      <c r="E673" s="14" t="str">
        <f>IFERROR(__xludf.DUMMYFUNCTION("""COMPUTED_VALUE"""),"Детская школа искусств с. Красная Пахра, пос. Краснопахорское г. Москва, поселение Краcнопахорское, квартал № 107, земельный участок 8\")</f>
        <v>Детская школа искусств с. Красная Пахра, пос. Краснопахорское г. Москва, поселение Краcнопахорское, квартал № 107, земельный участок 8\</v>
      </c>
      <c r="F673" s="25" t="str">
        <f>IFERROR(__xludf.DUMMYFUNCTION("""COMPUTED_VALUE"""),"#N/A")</f>
        <v>#N/A</v>
      </c>
      <c r="G673" s="6" t="str">
        <f>IFERROR(__xludf.DUMMYFUNCTION("""COMPUTED_VALUE"""),"#N/A")</f>
        <v>#N/A</v>
      </c>
      <c r="H673" s="18" t="str">
        <f>IFERROR(__xludf.DUMMYFUNCTION("""COMPUTED_VALUE"""),"https://docs.google.com/spreadsheets/d/19THEBTE9q0fhN2eApZr6BgenIvLGh0AckaYxHQfHk5w/edit?gid=1607211749#gid=1607211749")</f>
        <v>https://docs.google.com/spreadsheets/d/19THEBTE9q0fhN2eApZr6BgenIvLGh0AckaYxHQfHk5w/edit?gid=1607211749#gid=1607211749</v>
      </c>
      <c r="I673" s="19"/>
      <c r="J673" s="50">
        <f>IFERROR(__xludf.DUMMYFUNCTION("""COMPUTED_VALUE"""),0.0)</f>
        <v>0</v>
      </c>
      <c r="K673" s="58">
        <f>IFERROR(__xludf.DUMMYFUNCTION("""COMPUTED_VALUE"""),45895.0)</f>
        <v>45895</v>
      </c>
      <c r="L673" s="6">
        <v>30.0</v>
      </c>
      <c r="M673" s="52">
        <v>45925.0</v>
      </c>
      <c r="N673" s="53" t="s">
        <v>668</v>
      </c>
      <c r="O673" s="19" t="s">
        <v>1042</v>
      </c>
      <c r="P673" s="6"/>
      <c r="Q673" s="6"/>
      <c r="R673" s="6"/>
    </row>
    <row r="674">
      <c r="A674" s="31" t="str">
        <f>IFERROR(__xludf.DUMMYFUNCTION("""COMPUTED_VALUE"""),"1299")</f>
        <v>1299</v>
      </c>
      <c r="B674" s="14" t="str">
        <f>IFERROR(__xludf.DUMMYFUNCTION("""COMPUTED_VALUE"""),"АИП-27")</f>
        <v>АИП-27</v>
      </c>
      <c r="C674" s="14" t="str">
        <f>IFERROR(__xludf.DUMMYFUNCTION("""COMPUTED_VALUE"""),"ОКС")</f>
        <v>ОКС</v>
      </c>
      <c r="D674" s="6"/>
      <c r="E674" s="14" t="str">
        <f>IFERROR(__xludf.DUMMYFUNCTION("""COMPUTED_VALUE"""),"Административное здание на территории района Коммунарка Новомосковский административный округ, район Коммунарка")</f>
        <v>Административное здание на территории района Коммунарка Новомосковский административный округ, район Коммунарка</v>
      </c>
      <c r="F674" s="25" t="str">
        <f>IFERROR(__xludf.DUMMYFUNCTION("""COMPUTED_VALUE"""),"#N/A")</f>
        <v>#N/A</v>
      </c>
      <c r="G674" s="6" t="str">
        <f>IFERROR(__xludf.DUMMYFUNCTION("""COMPUTED_VALUE"""),"#N/A")</f>
        <v>#N/A</v>
      </c>
      <c r="H674" s="18" t="str">
        <f>IFERROR(__xludf.DUMMYFUNCTION("""COMPUTED_VALUE"""),"https://docs.google.com/spreadsheets/d/19THEBTE9q0fhN2eApZr6BgenIvLGh0AckaYxHQfHk5w/edit?gid=373423726#gid=373423726")</f>
        <v>https://docs.google.com/spreadsheets/d/19THEBTE9q0fhN2eApZr6BgenIvLGh0AckaYxHQfHk5w/edit?gid=373423726#gid=373423726</v>
      </c>
      <c r="I674" s="19"/>
      <c r="J674" s="50">
        <f>IFERROR(__xludf.DUMMYFUNCTION("""COMPUTED_VALUE"""),0.0)</f>
        <v>0</v>
      </c>
      <c r="K674" s="58">
        <f>IFERROR(__xludf.DUMMYFUNCTION("""COMPUTED_VALUE"""),45911.0)</f>
        <v>45911</v>
      </c>
      <c r="L674" s="6">
        <v>30.0</v>
      </c>
      <c r="M674" s="52">
        <v>45941.0</v>
      </c>
      <c r="N674" s="53" t="s">
        <v>668</v>
      </c>
      <c r="O674" s="19" t="s">
        <v>1042</v>
      </c>
      <c r="P674" s="6"/>
      <c r="Q674" s="6"/>
      <c r="R674" s="6"/>
    </row>
    <row r="675">
      <c r="A675" s="31" t="str">
        <f>IFERROR(__xludf.DUMMYFUNCTION("""COMPUTED_VALUE"""),"198")</f>
        <v>198</v>
      </c>
      <c r="B675" s="14" t="str">
        <f>IFERROR(__xludf.DUMMYFUNCTION("""COMPUTED_VALUE"""),"АИП-27")</f>
        <v>АИП-27</v>
      </c>
      <c r="C675" s="14" t="str">
        <f>IFERROR(__xludf.DUMMYFUNCTION("""COMPUTED_VALUE"""),"ОКС")</f>
        <v>ОКС</v>
      </c>
      <c r="D675" s="6"/>
      <c r="E675" s="14" t="str">
        <f>IFERROR(__xludf.DUMMYFUNCTION("""COMPUTED_VALUE"""),"Реконструкция объекта незавершенного строительства с перепрофилированием под размещение Геронтопсихиатрического центра на территории ГБУ ЦРИ ""Красная Пахра"" (Троицкий и Новомосковский административный округ г. Москвы, г.о. Троицк) ТАО р-н Троицк")</f>
        <v>Реконструкция объекта незавершенного строительства с перепрофилированием под размещение Геронтопсихиатрического центра на территории ГБУ ЦРИ "Красная Пахра" (Троицкий и Новомосковский административный округ г. Москвы, г.о. Троицк) ТАО р-н Троицк</v>
      </c>
      <c r="F675" s="25" t="str">
        <f>IFERROR(__xludf.DUMMYFUNCTION("""COMPUTED_VALUE"""),"55.500902")</f>
        <v>55.500902</v>
      </c>
      <c r="G675" s="6" t="str">
        <f>IFERROR(__xludf.DUMMYFUNCTION("""COMPUTED_VALUE""")," 37.306494")</f>
        <v> 37.306494</v>
      </c>
      <c r="H675" s="18" t="str">
        <f>IFERROR(__xludf.DUMMYFUNCTION("""COMPUTED_VALUE"""),"https://docs.google.com/spreadsheets/d/19THEBTE9q0fhN2eApZr6BgenIvLGh0AckaYxHQfHk5w/edit?gid=2126809757#gid=2126809757")</f>
        <v>https://docs.google.com/spreadsheets/d/19THEBTE9q0fhN2eApZr6BgenIvLGh0AckaYxHQfHk5w/edit?gid=2126809757#gid=2126809757</v>
      </c>
      <c r="I675" s="19" t="str">
        <f>IFERROR(__xludf.DUMMYFUNCTION("""COMPUTED_VALUE"""),"https://disk.yandex.ru/client/disk/Осмотры%20объектов%20АНО%20СМГ/198.%20РЦИ%20ул.%20Теннисная%202")</f>
        <v>https://disk.yandex.ru/client/disk/Осмотры%20объектов%20АНО%20СМГ/198.%20РЦИ%20ул.%20Теннисная%202</v>
      </c>
      <c r="J675" s="50">
        <f>IFERROR(__xludf.DUMMYFUNCTION("""COMPUTED_VALUE"""),0.0)</f>
        <v>0</v>
      </c>
      <c r="K675" s="58">
        <f>IFERROR(__xludf.DUMMYFUNCTION("""COMPUTED_VALUE"""),45972.0)</f>
        <v>45972</v>
      </c>
      <c r="L675" s="6">
        <v>30.0</v>
      </c>
      <c r="M675" s="52">
        <v>46002.0</v>
      </c>
      <c r="N675" s="53" t="s">
        <v>711</v>
      </c>
      <c r="O675" s="19" t="s">
        <v>1061</v>
      </c>
      <c r="P675" s="6"/>
      <c r="Q675" s="6"/>
      <c r="R675" s="6"/>
    </row>
    <row r="676">
      <c r="A676" s="31" t="str">
        <f>IFERROR(__xludf.DUMMYFUNCTION("""COMPUTED_VALUE"""),"1236")</f>
        <v>1236</v>
      </c>
      <c r="B676" s="14" t="str">
        <f>IFERROR(__xludf.DUMMYFUNCTION("""COMPUTED_VALUE"""),"АИП-27")</f>
        <v>АИП-27</v>
      </c>
      <c r="C676" s="14" t="str">
        <f>IFERROR(__xludf.DUMMYFUNCTION("""COMPUTED_VALUE"""),"ОКС")</f>
        <v>ОКС</v>
      </c>
      <c r="D676" s="6"/>
      <c r="E676" s="14" t="str">
        <f>IFERROR(__xludf.DUMMYFUNCTION("""COMPUTED_VALUE"""),"Колледж в Коммунарке на территории АДЦ ""Коммунарка"", пос. Сосенское (Новомосковский административный округ г.Москвы) НАО р-н Коммунарка")</f>
        <v>Колледж в Коммунарке на территории АДЦ "Коммунарка", пос. Сосенское (Новомосковский административный округ г.Москвы) НАО р-н Коммунарка</v>
      </c>
      <c r="F676" s="25" t="str">
        <f>IFERROR(__xludf.DUMMYFUNCTION("""COMPUTED_VALUE"""),"#N/A")</f>
        <v>#N/A</v>
      </c>
      <c r="G676" s="6" t="str">
        <f>IFERROR(__xludf.DUMMYFUNCTION("""COMPUTED_VALUE"""),"#N/A")</f>
        <v>#N/A</v>
      </c>
      <c r="H676" s="18" t="str">
        <f>IFERROR(__xludf.DUMMYFUNCTION("""COMPUTED_VALUE"""),"https://docs.google.com/spreadsheets/d/19THEBTE9q0fhN2eApZr6BgenIvLGh0AckaYxHQfHk5w/edit?gid=290660546#gid=290660546")</f>
        <v>https://docs.google.com/spreadsheets/d/19THEBTE9q0fhN2eApZr6BgenIvLGh0AckaYxHQfHk5w/edit?gid=290660546#gid=290660546</v>
      </c>
      <c r="I676" s="19" t="str">
        <f>IFERROR(__xludf.DUMMYFUNCTION("""COMPUTED_VALUE"""),"https://disk.yandex.ru/client/disk/Осмотры%20объектов%20АНО%20СМГ/1236.%20Колледж%20в%20Коммунарке%20(АДЦ%20КОММУНАРКА)")</f>
        <v>https://disk.yandex.ru/client/disk/Осмотры%20объектов%20АНО%20СМГ/1236.%20Колледж%20в%20Коммунарке%20(АДЦ%20КОММУНАРКА)</v>
      </c>
      <c r="J676" s="50">
        <f>IFERROR(__xludf.DUMMYFUNCTION("""COMPUTED_VALUE"""),0.0)</f>
        <v>0</v>
      </c>
      <c r="K676" s="58">
        <f>IFERROR(__xludf.DUMMYFUNCTION("""COMPUTED_VALUE"""),45845.0)</f>
        <v>45845</v>
      </c>
      <c r="L676" s="6">
        <v>30.0</v>
      </c>
      <c r="M676" s="52">
        <v>45875.0</v>
      </c>
      <c r="N676" s="53" t="s">
        <v>668</v>
      </c>
      <c r="O676" s="19" t="s">
        <v>1062</v>
      </c>
      <c r="P676" s="6"/>
      <c r="Q676" s="6"/>
      <c r="R676" s="6"/>
    </row>
    <row r="677">
      <c r="A677" s="31" t="str">
        <f>IFERROR(__xludf.DUMMYFUNCTION("""COMPUTED_VALUE"""),"НД")</f>
        <v>НД</v>
      </c>
      <c r="B677" s="14" t="str">
        <f>IFERROR(__xludf.DUMMYFUNCTION("""COMPUTED_VALUE"""),"АИП-27")</f>
        <v>АИП-27</v>
      </c>
      <c r="C677" s="14" t="str">
        <f>IFERROR(__xludf.DUMMYFUNCTION("""COMPUTED_VALUE"""),"ОКС+УДС")</f>
        <v>ОКС+УДС</v>
      </c>
      <c r="D677" s="6"/>
      <c r="E677" s="14" t="str">
        <f>IFERROR(__xludf.DUMMYFUNCTION("""COMPUTED_VALUE"""),"Дороги и инженерные коммуникации для кластера «Междисциплинарный» (Подэтап 2.2) Дороги и инженерные коммуникации для кластера «Междисциплинарный»")</f>
        <v>Дороги и инженерные коммуникации для кластера «Междисциплинарный» (Подэтап 2.2) Дороги и инженерные коммуникации для кластера «Междисциплинарный»</v>
      </c>
      <c r="F677" s="25" t="str">
        <f>IFERROR(__xludf.DUMMYFUNCTION("""COMPUTED_VALUE"""),"#N/A")</f>
        <v>#N/A</v>
      </c>
      <c r="G677" s="6" t="str">
        <f>IFERROR(__xludf.DUMMYFUNCTION("""COMPUTED_VALUE"""),"#N/A")</f>
        <v>#N/A</v>
      </c>
      <c r="H677" s="6"/>
      <c r="I677" s="19"/>
      <c r="J677" s="50"/>
      <c r="K677" s="58"/>
      <c r="L677" s="6">
        <v>30.0</v>
      </c>
      <c r="M677" s="52" t="s">
        <v>655</v>
      </c>
      <c r="N677" s="53" t="s">
        <v>698</v>
      </c>
      <c r="O677" s="19" t="s">
        <v>1063</v>
      </c>
      <c r="P677" s="6"/>
      <c r="Q677" s="6"/>
      <c r="R677" s="6"/>
    </row>
    <row r="678">
      <c r="A678" s="31" t="str">
        <f>IFERROR(__xludf.DUMMYFUNCTION("""COMPUTED_VALUE"""),"НД")</f>
        <v>НД</v>
      </c>
      <c r="B678" s="14" t="str">
        <f>IFERROR(__xludf.DUMMYFUNCTION("""COMPUTED_VALUE"""),"ВНЕ СПИСКА")</f>
        <v>ВНЕ СПИСКА</v>
      </c>
      <c r="C678" s="14" t="str">
        <f>IFERROR(__xludf.DUMMYFUNCTION("""COMPUTED_VALUE"""),"УДС")</f>
        <v>УДС</v>
      </c>
      <c r="D678" s="6"/>
      <c r="E678" s="14" t="str">
        <f>IFERROR(__xludf.DUMMYFUNCTION("""COMPUTED_VALUE"""),"Дороги и инженерные коммуникации для Учебно-образовательного кластера «Ломоносов» (1-ый этап) город Москва, район Раменки Западного административного округа города Москвы, напротив проспекта Вернадского, дом 8")</f>
        <v>Дороги и инженерные коммуникации для Учебно-образовательного кластера «Ломоносов» (1-ый этап) город Москва, район Раменки Западного административного округа города Москвы, напротив проспекта Вернадского, дом 8</v>
      </c>
      <c r="F678" s="25" t="str">
        <f>IFERROR(__xludf.DUMMYFUNCTION("""COMPUTED_VALUE"""),"#N/A")</f>
        <v>#N/A</v>
      </c>
      <c r="G678" s="6" t="str">
        <f>IFERROR(__xludf.DUMMYFUNCTION("""COMPUTED_VALUE"""),"#N/A")</f>
        <v>#N/A</v>
      </c>
      <c r="H678" s="6"/>
      <c r="I678" s="19"/>
      <c r="J678" s="50"/>
      <c r="K678" s="58"/>
      <c r="L678" s="6">
        <v>30.0</v>
      </c>
      <c r="M678" s="52" t="s">
        <v>655</v>
      </c>
      <c r="N678" s="53" t="s">
        <v>652</v>
      </c>
      <c r="O678" s="19" t="s">
        <v>1064</v>
      </c>
      <c r="P678" s="6"/>
      <c r="Q678" s="6"/>
      <c r="R678" s="6"/>
    </row>
    <row r="679">
      <c r="A679" s="31" t="str">
        <f>IFERROR(__xludf.DUMMYFUNCTION("""COMPUTED_VALUE"""),"НД")</f>
        <v>НД</v>
      </c>
      <c r="B679" s="14" t="str">
        <f>IFERROR(__xludf.DUMMYFUNCTION("""COMPUTED_VALUE"""),"ВНЕ СПИСКА")</f>
        <v>ВНЕ СПИСКА</v>
      </c>
      <c r="C679" s="14" t="str">
        <f>IFERROR(__xludf.DUMMYFUNCTION("""COMPUTED_VALUE"""),"УДС")</f>
        <v>УДС</v>
      </c>
      <c r="D679" s="6"/>
      <c r="E679" s="14" t="str">
        <f>IFERROR(__xludf.DUMMYFUNCTION("""COMPUTED_VALUE"""),"Дороги и инженерные коммуникации для кластера ""Образовательный"" (Подэтап 2.1) город Москва, район Раменки, проспект Ломоносовский (тер. ИНТЦ МГУ ""Воробьевы горы"")")</f>
        <v>Дороги и инженерные коммуникации для кластера "Образовательный" (Подэтап 2.1) город Москва, район Раменки, проспект Ломоносовский (тер. ИНТЦ МГУ "Воробьевы горы")</v>
      </c>
      <c r="F679" s="25" t="str">
        <f>IFERROR(__xludf.DUMMYFUNCTION("""COMPUTED_VALUE"""),"#N/A")</f>
        <v>#N/A</v>
      </c>
      <c r="G679" s="6" t="str">
        <f>IFERROR(__xludf.DUMMYFUNCTION("""COMPUTED_VALUE"""),"#N/A")</f>
        <v>#N/A</v>
      </c>
      <c r="H679" s="6"/>
      <c r="I679" s="6"/>
      <c r="J679" s="50"/>
      <c r="K679" s="58"/>
      <c r="L679" s="6">
        <v>30.0</v>
      </c>
      <c r="M679" s="52" t="s">
        <v>655</v>
      </c>
      <c r="N679" s="53" t="s">
        <v>652</v>
      </c>
      <c r="O679" s="6" t="s">
        <v>1065</v>
      </c>
      <c r="P679" s="6"/>
      <c r="Q679" s="6"/>
      <c r="R679" s="6"/>
    </row>
    <row r="680">
      <c r="A680" s="31" t="str">
        <f>IFERROR(__xludf.DUMMYFUNCTION("""COMPUTED_VALUE"""),"1280д")</f>
        <v>1280д</v>
      </c>
      <c r="B680" s="14" t="str">
        <f>IFERROR(__xludf.DUMMYFUNCTION("""COMPUTED_VALUE"""),"АИП-27")</f>
        <v>АИП-27</v>
      </c>
      <c r="C680" s="14" t="str">
        <f>IFERROR(__xludf.DUMMYFUNCTION("""COMPUTED_VALUE"""),"УДС")</f>
        <v>УДС</v>
      </c>
      <c r="D680" s="6"/>
      <c r="E680" s="14" t="str">
        <f>IFERROR(__xludf.DUMMYFUNCTION("""COMPUTED_VALUE"""),"Дороги и инженерные коммуникаций на территории Инновационного научно-технологического центра МГУ «Воробьевы горы» район Раменки, между пр. проездами № 1190, 1194, Раменский бульвар")</f>
        <v>Дороги и инженерные коммуникаций на территории Инновационного научно-технологического центра МГУ «Воробьевы горы» район Раменки, между пр. проездами № 1190, 1194, Раменский бульвар</v>
      </c>
      <c r="F680" s="25" t="str">
        <f>IFERROR(__xludf.DUMMYFUNCTION("""COMPUTED_VALUE"""),"#N/A")</f>
        <v>#N/A</v>
      </c>
      <c r="G680" s="6" t="str">
        <f>IFERROR(__xludf.DUMMYFUNCTION("""COMPUTED_VALUE"""),"#N/A")</f>
        <v>#N/A</v>
      </c>
      <c r="H680" s="6"/>
      <c r="I680" s="6"/>
      <c r="J680" s="50">
        <f>IFERROR(__xludf.DUMMYFUNCTION("""COMPUTED_VALUE"""),100.00000000000003)</f>
        <v>100</v>
      </c>
      <c r="K680" s="58">
        <f>IFERROR(__xludf.DUMMYFUNCTION("""COMPUTED_VALUE"""),45874.0)</f>
        <v>45874</v>
      </c>
      <c r="L680" s="6" t="s">
        <v>654</v>
      </c>
      <c r="M680" s="52" t="s">
        <v>655</v>
      </c>
      <c r="N680" s="53" t="s">
        <v>656</v>
      </c>
      <c r="O680" s="6" t="s">
        <v>1066</v>
      </c>
      <c r="P680" s="6"/>
      <c r="Q680" s="6"/>
      <c r="R680" s="6"/>
    </row>
    <row r="681">
      <c r="A681" s="31" t="str">
        <f>IFERROR(__xludf.DUMMYFUNCTION("""COMPUTED_VALUE"""),"НД")</f>
        <v>НД</v>
      </c>
      <c r="B681" s="14" t="str">
        <f>IFERROR(__xludf.DUMMYFUNCTION("""COMPUTED_VALUE"""),"АИП-27")</f>
        <v>АИП-27</v>
      </c>
      <c r="C681" s="14" t="str">
        <f>IFERROR(__xludf.DUMMYFUNCTION("""COMPUTED_VALUE"""),"ОКС+УДС")</f>
        <v>ОКС+УДС</v>
      </c>
      <c r="D681" s="6"/>
      <c r="E681" s="14" t="str">
        <f>IFERROR(__xludf.DUMMYFUNCTION("""COMPUTED_VALUE"""),"Дороги и инженерные коммуникации для кластеров «Космос», «Инфотех», «Инжиниринг», «Геотех», «Нанотех», «Биомед» (Подэтап 2.3) Дороги и инженерные коммуникации для кластеров «Космос», «Инфотех», «Инжиниринг», «Геотех», «Нанотех», «Биомед»")</f>
        <v>Дороги и инженерные коммуникации для кластеров «Космос», «Инфотех», «Инжиниринг», «Геотех», «Нанотех», «Биомед» (Подэтап 2.3) Дороги и инженерные коммуникации для кластеров «Космос», «Инфотех», «Инжиниринг», «Геотех», «Нанотех», «Биомед»</v>
      </c>
      <c r="F681" s="25" t="str">
        <f>IFERROR(__xludf.DUMMYFUNCTION("""COMPUTED_VALUE"""),"#N/A")</f>
        <v>#N/A</v>
      </c>
      <c r="G681" s="6" t="str">
        <f>IFERROR(__xludf.DUMMYFUNCTION("""COMPUTED_VALUE"""),"#N/A")</f>
        <v>#N/A</v>
      </c>
      <c r="H681" s="6"/>
      <c r="I681" s="6"/>
      <c r="J681" s="50"/>
      <c r="K681" s="58"/>
      <c r="L681" s="6">
        <v>30.0</v>
      </c>
      <c r="M681" s="52" t="s">
        <v>655</v>
      </c>
      <c r="N681" s="53" t="s">
        <v>698</v>
      </c>
      <c r="O681" s="6" t="s">
        <v>1063</v>
      </c>
      <c r="P681" s="6"/>
      <c r="Q681" s="6"/>
      <c r="R681" s="6"/>
    </row>
    <row r="682">
      <c r="A682" s="31"/>
      <c r="B682" s="14" t="str">
        <f>IFERROR(__xludf.DUMMYFUNCTION("""COMPUTED_VALUE"""),"АИП-27")</f>
        <v>АИП-27</v>
      </c>
      <c r="C682" s="14" t="str">
        <f>IFERROR(__xludf.DUMMYFUNCTION("""COMPUTED_VALUE"""),"ОКС")</f>
        <v>ОКС</v>
      </c>
      <c r="D682" s="6"/>
      <c r="E682" s="14" t="str">
        <f>IFERROR(__xludf.DUMMYFUNCTION("""COMPUTED_VALUE"""),"Жилой дом с инженерными коммуникациями и благоустройством, р-н Солнцево, ул. Главмосстроя, влд. 7Б (со сносом жилых домов по адресам: ул. Главмосстроя, д. 7, к. 3, д. 7, к. 4; ул. Богданова, д. 26, к. 2, д. 26, к. 3) р-н Солнцево, ул. Главмосстроя, влд. 7"&amp;"Б")</f>
        <v>Жилой дом с инженерными коммуникациями и благоустройством, р-н Солнцево, ул. Главмосстроя, влд. 7Б (со сносом жилых домов по адресам: ул. Главмосстроя, д. 7, к. 3, д. 7, к. 4; ул. Богданова, д. 26, к. 2, д. 26, к. 3) р-н Солнцево, ул. Главмосстроя, влд. 7Б</v>
      </c>
      <c r="F682" s="25" t="str">
        <f>IFERROR(__xludf.DUMMYFUNCTION("""COMPUTED_VALUE"""),"#N/A")</f>
        <v>#N/A</v>
      </c>
      <c r="G682" s="6" t="str">
        <f>IFERROR(__xludf.DUMMYFUNCTION("""COMPUTED_VALUE"""),"#N/A")</f>
        <v>#N/A</v>
      </c>
      <c r="H682" s="6"/>
      <c r="I682" s="19"/>
      <c r="J682" s="50"/>
      <c r="K682" s="58"/>
      <c r="L682" s="6" t="s">
        <v>655</v>
      </c>
      <c r="M682" s="52" t="s">
        <v>655</v>
      </c>
      <c r="N682" s="53" t="s">
        <v>655</v>
      </c>
      <c r="O682" s="19" t="s">
        <v>1067</v>
      </c>
      <c r="P682" s="6"/>
      <c r="Q682" s="6"/>
      <c r="R682" s="6"/>
    </row>
    <row r="683">
      <c r="A683" s="31" t="str">
        <f>IFERROR(__xludf.DUMMYFUNCTION("""COMPUTED_VALUE"""),"196")</f>
        <v>196</v>
      </c>
      <c r="B683" s="14" t="str">
        <f>IFERROR(__xludf.DUMMYFUNCTION("""COMPUTED_VALUE"""),"АИП-27")</f>
        <v>АИП-27</v>
      </c>
      <c r="C683" s="14" t="str">
        <f>IFERROR(__xludf.DUMMYFUNCTION("""COMPUTED_VALUE"""),"ОКС")</f>
        <v>ОКС</v>
      </c>
      <c r="D683" s="6"/>
      <c r="E683" s="14" t="str">
        <f>IFERROR(__xludf.DUMMYFUNCTION("""COMPUTED_VALUE"""),"Подразделения УГИБДД и УВД по ЗелАО ГУ МВД России по г. Москве г. Зеленоград, р-н Крюково, п. Малино, пересечение проектируемого пр-да 6536 и ул. Малинская")</f>
        <v>Подразделения УГИБДД и УВД по ЗелАО ГУ МВД России по г. Москве г. Зеленоград, р-н Крюково, п. Малино, пересечение проектируемого пр-да 6536 и ул. Малинская</v>
      </c>
      <c r="F683" s="25" t="str">
        <f>IFERROR(__xludf.DUMMYFUNCTION("""COMPUTED_VALUE"""),"#N/A")</f>
        <v>#N/A</v>
      </c>
      <c r="G683" s="6" t="str">
        <f>IFERROR(__xludf.DUMMYFUNCTION("""COMPUTED_VALUE"""),"#N/A")</f>
        <v>#N/A</v>
      </c>
      <c r="H683" s="18" t="str">
        <f>IFERROR(__xludf.DUMMYFUNCTION("""COMPUTED_VALUE"""),"https://docs.google.com/spreadsheets/d/19THEBTE9q0fhN2eApZr6BgenIvLGh0AckaYxHQfHk5w/edit?gid=2057403759#gid=2057403759")</f>
        <v>https://docs.google.com/spreadsheets/d/19THEBTE9q0fhN2eApZr6BgenIvLGh0AckaYxHQfHk5w/edit?gid=2057403759#gid=2057403759</v>
      </c>
      <c r="I683" s="19" t="str">
        <f>IFERROR(__xludf.DUMMYFUNCTION("""COMPUTED_VALUE"""),"https://disk.yandex.ru/client/disk/Осмотры%20объектов%20АНО%20СМГ/196.%20ГИБДД%20Зеленоград%20Малинская")</f>
        <v>https://disk.yandex.ru/client/disk/Осмотры%20объектов%20АНО%20СМГ/196.%20ГИБДД%20Зеленоград%20Малинская</v>
      </c>
      <c r="J683" s="50">
        <f>IFERROR(__xludf.DUMMYFUNCTION("""COMPUTED_VALUE"""),0.0)</f>
        <v>0</v>
      </c>
      <c r="K683" s="58">
        <f>IFERROR(__xludf.DUMMYFUNCTION("""COMPUTED_VALUE"""),45736.0)</f>
        <v>45736</v>
      </c>
      <c r="L683" s="6">
        <v>30.0</v>
      </c>
      <c r="M683" s="52">
        <v>45766.0</v>
      </c>
      <c r="N683" s="53" t="s">
        <v>668</v>
      </c>
      <c r="O683" s="19" t="s">
        <v>1068</v>
      </c>
      <c r="P683" s="6"/>
      <c r="Q683" s="6"/>
      <c r="R683" s="6"/>
    </row>
    <row r="684">
      <c r="A684" s="31" t="str">
        <f>IFERROR(__xludf.DUMMYFUNCTION("""COMPUTED_VALUE"""),"386")</f>
        <v>386</v>
      </c>
      <c r="B684" s="14" t="str">
        <f>IFERROR(__xludf.DUMMYFUNCTION("""COMPUTED_VALUE"""),"РЕН-25")</f>
        <v>РЕН-25</v>
      </c>
      <c r="C684" s="14" t="str">
        <f>IFERROR(__xludf.DUMMYFUNCTION("""COMPUTED_VALUE"""),"ОКС")</f>
        <v>ОКС</v>
      </c>
      <c r="D684" s="6"/>
      <c r="E684" s="14" t="str">
        <f>IFERROR(__xludf.DUMMYFUNCTION("""COMPUTED_VALUE"""),"Базовская ул., з/у 24/26 район Западное Дегунино, ул. Базовская, з/у 24-26")</f>
        <v>Базовская ул., з/у 24/26 район Западное Дегунино, ул. Базовская, з/у 24-26</v>
      </c>
      <c r="F684" s="25" t="str">
        <f>IFERROR(__xludf.DUMMYFUNCTION("""COMPUTED_VALUE"""),"55.881507")</f>
        <v>55.881507</v>
      </c>
      <c r="G684" s="6" t="str">
        <f>IFERROR(__xludf.DUMMYFUNCTION("""COMPUTED_VALUE"""),"37.516687")</f>
        <v>37.516687</v>
      </c>
      <c r="H684" s="18" t="str">
        <f>IFERROR(__xludf.DUMMYFUNCTION("""COMPUTED_VALUE"""),"https://docs.google.com/spreadsheets/d/1H1MjbG2y0oC0hhID4do1G0_gfyI1jag72lQd7nL3WDQ/edit?gid=1354888420#gid=1354888420")</f>
        <v>https://docs.google.com/spreadsheets/d/1H1MjbG2y0oC0hhID4do1G0_gfyI1jag72lQd7nL3WDQ/edit?gid=1354888420#gid=1354888420</v>
      </c>
      <c r="I684" s="19" t="str">
        <f>IFERROR(__xludf.DUMMYFUNCTION("""COMPUTED_VALUE"""),"https://disk.yandex.ru/client/disk/Осмотры%20объектов%20АНО%20СМГ/386%20Базовская%20з.у.%2024-26%20мкр.11%2C12")</f>
        <v>https://disk.yandex.ru/client/disk/Осмотры%20объектов%20АНО%20СМГ/386%20Базовская%20з.у.%2024-26%20мкр.11%2C12</v>
      </c>
      <c r="J684" s="50">
        <f>IFERROR(__xludf.DUMMYFUNCTION("""COMPUTED_VALUE"""),99.955)</f>
        <v>99.955</v>
      </c>
      <c r="K684" s="58">
        <f>IFERROR(__xludf.DUMMYFUNCTION("""COMPUTED_VALUE"""),45968.0)</f>
        <v>45968</v>
      </c>
      <c r="L684" s="6">
        <v>7.0</v>
      </c>
      <c r="M684" s="52">
        <v>45975.0</v>
      </c>
      <c r="N684" s="53" t="s">
        <v>652</v>
      </c>
      <c r="O684" s="19" t="s">
        <v>1069</v>
      </c>
      <c r="P684" s="6"/>
      <c r="Q684" s="6"/>
      <c r="R684" s="6"/>
    </row>
    <row r="685">
      <c r="A685" s="31" t="str">
        <f>IFERROR(__xludf.DUMMYFUNCTION("""COMPUTED_VALUE"""),"446")</f>
        <v>446</v>
      </c>
      <c r="B685" s="14" t="str">
        <f>IFERROR(__xludf.DUMMYFUNCTION("""COMPUTED_VALUE"""),"РЕН-25")</f>
        <v>РЕН-25</v>
      </c>
      <c r="C685" s="14" t="str">
        <f>IFERROR(__xludf.DUMMYFUNCTION("""COMPUTED_VALUE"""),"ОКС")</f>
        <v>ОКС</v>
      </c>
      <c r="D685" s="6"/>
      <c r="E685" s="14" t="str">
        <f>IFERROR(__xludf.DUMMYFUNCTION("""COMPUTED_VALUE"""),"Грайвороново, кв. 90А, з/у 1 (Грайвороново, кв. 90А) район Текстильщики, кв-л Грайвороново 90А, з/у 1 (Грайвороново, квартал 90А)")</f>
        <v>Грайвороново, кв. 90А, з/у 1 (Грайвороново, кв. 90А) район Текстильщики, кв-л Грайвороново 90А, з/у 1 (Грайвороново, квартал 90А)</v>
      </c>
      <c r="F685" s="25" t="str">
        <f>IFERROR(__xludf.DUMMYFUNCTION("""COMPUTED_VALUE"""),"55.722629")</f>
        <v>55.722629</v>
      </c>
      <c r="G685" s="6" t="str">
        <f>IFERROR(__xludf.DUMMYFUNCTION("""COMPUTED_VALUE"""),"37.735267")</f>
        <v>37.735267</v>
      </c>
      <c r="H685" s="18" t="str">
        <f>IFERROR(__xludf.DUMMYFUNCTION("""COMPUTED_VALUE"""),"https://docs.google.com/spreadsheets/d/1H1MjbG2y0oC0hhID4do1G0_gfyI1jag72lQd7nL3WDQ/edit?gid=1062247251#gid=1062247251")</f>
        <v>https://docs.google.com/spreadsheets/d/1H1MjbG2y0oC0hhID4do1G0_gfyI1jag72lQd7nL3WDQ/edit?gid=1062247251#gid=1062247251</v>
      </c>
      <c r="I685" s="19" t="str">
        <f>IFERROR(__xludf.DUMMYFUNCTION("""COMPUTED_VALUE"""),"https://disk.yandex.ru/client/disk/Осмотры%20объектов%20АНО%20СМГ/446.%20Грайвороново%2090А%20зу%201")</f>
        <v>https://disk.yandex.ru/client/disk/Осмотры%20объектов%20АНО%20СМГ/446.%20Грайвороново%2090А%20зу%201</v>
      </c>
      <c r="J685" s="50">
        <f>IFERROR(__xludf.DUMMYFUNCTION("""COMPUTED_VALUE"""),99.68787499999999)</f>
        <v>99.687875</v>
      </c>
      <c r="K685" s="58">
        <f>IFERROR(__xludf.DUMMYFUNCTION("""COMPUTED_VALUE"""),45952.0)</f>
        <v>45952</v>
      </c>
      <c r="L685" s="6">
        <v>7.0</v>
      </c>
      <c r="M685" s="52">
        <v>45959.0</v>
      </c>
      <c r="N685" s="53" t="s">
        <v>652</v>
      </c>
      <c r="O685" s="19" t="s">
        <v>1070</v>
      </c>
      <c r="P685" s="6"/>
      <c r="Q685" s="6"/>
      <c r="R685" s="6"/>
    </row>
    <row r="686">
      <c r="A686" s="31" t="str">
        <f>IFERROR(__xludf.DUMMYFUNCTION("""COMPUTED_VALUE"""),"456")</f>
        <v>456</v>
      </c>
      <c r="B686" s="14" t="str">
        <f>IFERROR(__xludf.DUMMYFUNCTION("""COMPUTED_VALUE"""),"РЕН-25")</f>
        <v>РЕН-25</v>
      </c>
      <c r="C686" s="14" t="str">
        <f>IFERROR(__xludf.DUMMYFUNCTION("""COMPUTED_VALUE"""),"ОКС")</f>
        <v>ОКС</v>
      </c>
      <c r="D686" s="6"/>
      <c r="E686" s="14" t="str">
        <f>IFERROR(__xludf.DUMMYFUNCTION("""COMPUTED_VALUE"""),"Черное Озеро ул., з/у 7 (вл. 7) район Косино-Ухтомский, Черное Озеро ул., вл. 7")</f>
        <v>Черное Озеро ул., з/у 7 (вл. 7) район Косино-Ухтомский, Черное Озеро ул., вл. 7</v>
      </c>
      <c r="F686" s="25" t="str">
        <f>IFERROR(__xludf.DUMMYFUNCTION("""COMPUTED_VALUE"""),"55.716472")</f>
        <v>55.716472</v>
      </c>
      <c r="G686" s="6" t="str">
        <f>IFERROR(__xludf.DUMMYFUNCTION("""COMPUTED_VALUE"""),"37.861426")</f>
        <v>37.861426</v>
      </c>
      <c r="H686" s="18" t="str">
        <f>IFERROR(__xludf.DUMMYFUNCTION("""COMPUTED_VALUE"""),"https://docs.google.com/spreadsheets/d/1H1MjbG2y0oC0hhID4do1G0_gfyI1jag72lQd7nL3WDQ/edit?gid=1593101561#gid=1593101561")</f>
        <v>https://docs.google.com/spreadsheets/d/1H1MjbG2y0oC0hhID4do1G0_gfyI1jag72lQd7nL3WDQ/edit?gid=1593101561#gid=1593101561</v>
      </c>
      <c r="I686" s="19" t="str">
        <f>IFERROR(__xludf.DUMMYFUNCTION("""COMPUTED_VALUE"""),"https://disk.yandex.ru/client/disk/Осмотры%20объектов%20АНО%20СМГ/456.%20ВАО%2C%20район%20Косино-Ухтомский%2C%20Чёрное%20Озеро%20ул.%2C%20вл.%207")</f>
        <v>https://disk.yandex.ru/client/disk/Осмотры%20объектов%20АНО%20СМГ/456.%20ВАО%2C%20район%20Косино-Ухтомский%2C%20Чёрное%20Озеро%20ул.%2C%20вл.%207</v>
      </c>
      <c r="J686" s="50">
        <f>IFERROR(__xludf.DUMMYFUNCTION("""COMPUTED_VALUE"""),100.0)</f>
        <v>100</v>
      </c>
      <c r="K686" s="58">
        <f>IFERROR(__xludf.DUMMYFUNCTION("""COMPUTED_VALUE"""),45952.0)</f>
        <v>45952</v>
      </c>
      <c r="L686" s="6" t="s">
        <v>654</v>
      </c>
      <c r="M686" s="52" t="s">
        <v>655</v>
      </c>
      <c r="N686" s="53" t="s">
        <v>656</v>
      </c>
      <c r="O686" s="19" t="s">
        <v>1071</v>
      </c>
      <c r="P686" s="6"/>
      <c r="Q686" s="6"/>
      <c r="R686" s="6"/>
    </row>
    <row r="687">
      <c r="A687" s="31" t="str">
        <f>IFERROR(__xludf.DUMMYFUNCTION("""COMPUTED_VALUE"""),"457")</f>
        <v>457</v>
      </c>
      <c r="B687" s="14" t="str">
        <f>IFERROR(__xludf.DUMMYFUNCTION("""COMPUTED_VALUE"""),"РЕН-25")</f>
        <v>РЕН-25</v>
      </c>
      <c r="C687" s="14" t="str">
        <f>IFERROR(__xludf.DUMMYFUNCTION("""COMPUTED_VALUE"""),"ОКС")</f>
        <v>ОКС</v>
      </c>
      <c r="D687" s="6"/>
      <c r="E687" s="14" t="str">
        <f>IFERROR(__xludf.DUMMYFUNCTION("""COMPUTED_VALUE"""),"Черное Озеро ул., з/у 8 (вл. 8) район Косино-Ухтомский, Черное Озеро ул., вл. 8")</f>
        <v>Черное Озеро ул., з/у 8 (вл. 8) район Косино-Ухтомский, Черное Озеро ул., вл. 8</v>
      </c>
      <c r="F687" s="25" t="str">
        <f>IFERROR(__xludf.DUMMYFUNCTION("""COMPUTED_VALUE"""),"55.715758")</f>
        <v>55.715758</v>
      </c>
      <c r="G687" s="6" t="str">
        <f>IFERROR(__xludf.DUMMYFUNCTION("""COMPUTED_VALUE"""),"37.860632")</f>
        <v>37.860632</v>
      </c>
      <c r="H687" s="18" t="str">
        <f>IFERROR(__xludf.DUMMYFUNCTION("""COMPUTED_VALUE"""),"https://docs.google.com/spreadsheets/d/1H1MjbG2y0oC0hhID4do1G0_gfyI1jag72lQd7nL3WDQ/edit?gid=56472241#gid=56472241")</f>
        <v>https://docs.google.com/spreadsheets/d/1H1MjbG2y0oC0hhID4do1G0_gfyI1jag72lQd7nL3WDQ/edit?gid=56472241#gid=56472241</v>
      </c>
      <c r="I687" s="19" t="str">
        <f>IFERROR(__xludf.DUMMYFUNCTION("""COMPUTED_VALUE"""),"https://disk.yandex.ru/client/disk/Осмотры%20объектов%20АНО%20СМГ/457.%20ВАО%2C%20район%20Косино-Ухтомский%2C%20Чёрное%20Озеро%20ул.%2C%20вл.%208")</f>
        <v>https://disk.yandex.ru/client/disk/Осмотры%20объектов%20АНО%20СМГ/457.%20ВАО%2C%20район%20Косино-Ухтомский%2C%20Чёрное%20Озеро%20ул.%2C%20вл.%208</v>
      </c>
      <c r="J687" s="50">
        <f>IFERROR(__xludf.DUMMYFUNCTION("""COMPUTED_VALUE"""),100.0)</f>
        <v>100</v>
      </c>
      <c r="K687" s="58">
        <f>IFERROR(__xludf.DUMMYFUNCTION("""COMPUTED_VALUE"""),45951.0)</f>
        <v>45951</v>
      </c>
      <c r="L687" s="6" t="s">
        <v>654</v>
      </c>
      <c r="M687" s="52" t="s">
        <v>655</v>
      </c>
      <c r="N687" s="53" t="s">
        <v>656</v>
      </c>
      <c r="O687" s="19" t="s">
        <v>1072</v>
      </c>
      <c r="P687" s="6"/>
      <c r="Q687" s="6"/>
      <c r="R687" s="6"/>
    </row>
    <row r="688">
      <c r="A688" s="31" t="str">
        <f>IFERROR(__xludf.DUMMYFUNCTION("""COMPUTED_VALUE"""),"436")</f>
        <v>436</v>
      </c>
      <c r="B688" s="14" t="str">
        <f>IFERROR(__xludf.DUMMYFUNCTION("""COMPUTED_VALUE"""),"РЕН-25")</f>
        <v>РЕН-25</v>
      </c>
      <c r="C688" s="14" t="str">
        <f>IFERROR(__xludf.DUMMYFUNCTION("""COMPUTED_VALUE"""),"ОКС")</f>
        <v>ОКС</v>
      </c>
      <c r="D688" s="6"/>
      <c r="E688" s="14" t="str">
        <f>IFERROR(__xludf.DUMMYFUNCTION("""COMPUTED_VALUE"""),"Ереванская ул., з/у 4 (вл. 4) район Царицыно, Ереванская ул., вл. 4")</f>
        <v>Ереванская ул., з/у 4 (вл. 4) район Царицыно, Ереванская ул., вл. 4</v>
      </c>
      <c r="F688" s="25" t="str">
        <f>IFERROR(__xludf.DUMMYFUNCTION("""COMPUTED_VALUE"""),"55.630314")</f>
        <v>55.630314</v>
      </c>
      <c r="G688" s="6" t="str">
        <f>IFERROR(__xludf.DUMMYFUNCTION("""COMPUTED_VALUE"""),"37.668111")</f>
        <v>37.668111</v>
      </c>
      <c r="H688" s="18" t="str">
        <f>IFERROR(__xludf.DUMMYFUNCTION("""COMPUTED_VALUE"""),"https://docs.google.com/spreadsheets/d/1H1MjbG2y0oC0hhID4do1G0_gfyI1jag72lQd7nL3WDQ/edit?gid=994638175#gid=994638175")</f>
        <v>https://docs.google.com/spreadsheets/d/1H1MjbG2y0oC0hhID4do1G0_gfyI1jag72lQd7nL3WDQ/edit?gid=994638175#gid=994638175</v>
      </c>
      <c r="I688" s="19" t="str">
        <f>IFERROR(__xludf.DUMMYFUNCTION("""COMPUTED_VALUE"""),"https://disk.yandex.ru/client/disk/Осмотры%20объектов%20АНО%20СМГ/436.%20Жилой%20дом.%20Ереванская%20ул.%2C%20з-у%204")</f>
        <v>https://disk.yandex.ru/client/disk/Осмотры%20объектов%20АНО%20СМГ/436.%20Жилой%20дом.%20Ереванская%20ул.%2C%20з-у%204</v>
      </c>
      <c r="J688" s="50">
        <f>IFERROR(__xludf.DUMMYFUNCTION("""COMPUTED_VALUE"""),99.93775)</f>
        <v>99.93775</v>
      </c>
      <c r="K688" s="58">
        <f>IFERROR(__xludf.DUMMYFUNCTION("""COMPUTED_VALUE"""),45952.0)</f>
        <v>45952</v>
      </c>
      <c r="L688" s="6">
        <v>7.0</v>
      </c>
      <c r="M688" s="52">
        <v>45959.0</v>
      </c>
      <c r="N688" s="53" t="s">
        <v>652</v>
      </c>
      <c r="O688" s="19" t="s">
        <v>1073</v>
      </c>
      <c r="P688" s="6"/>
      <c r="Q688" s="6"/>
      <c r="R688" s="6"/>
    </row>
    <row r="689">
      <c r="A689" s="31" t="str">
        <f>IFERROR(__xludf.DUMMYFUNCTION("""COMPUTED_VALUE"""),"512")</f>
        <v>512</v>
      </c>
      <c r="B689" s="14" t="str">
        <f>IFERROR(__xludf.DUMMYFUNCTION("""COMPUTED_VALUE"""),"РЕН-25")</f>
        <v>РЕН-25</v>
      </c>
      <c r="C689" s="14" t="str">
        <f>IFERROR(__xludf.DUMMYFUNCTION("""COMPUTED_VALUE"""),"ОКС")</f>
        <v>ОКС</v>
      </c>
      <c r="D689" s="6"/>
      <c r="E689" s="14" t="str">
        <f>IFERROR(__xludf.DUMMYFUNCTION("""COMPUTED_VALUE"""),"Никитинская ул., з/у 5 район Измайлово, Никитинская ул., вл. 5")</f>
        <v>Никитинская ул., з/у 5 район Измайлово, Никитинская ул., вл. 5</v>
      </c>
      <c r="F689" s="25" t="str">
        <f>IFERROR(__xludf.DUMMYFUNCTION("""COMPUTED_VALUE"""),"55.796496")</f>
        <v>55.796496</v>
      </c>
      <c r="G689" s="6" t="str">
        <f>IFERROR(__xludf.DUMMYFUNCTION("""COMPUTED_VALUE"""),"37.774778")</f>
        <v>37.774778</v>
      </c>
      <c r="H689" s="18" t="str">
        <f>IFERROR(__xludf.DUMMYFUNCTION("""COMPUTED_VALUE"""),"https://docs.google.com/spreadsheets/d/1H1MjbG2y0oC0hhID4do1G0_gfyI1jag72lQd7nL3WDQ/edit?gid=1217957109#gid=1217957109")</f>
        <v>https://docs.google.com/spreadsheets/d/1H1MjbG2y0oC0hhID4do1G0_gfyI1jag72lQd7nL3WDQ/edit?gid=1217957109#gid=1217957109</v>
      </c>
      <c r="I689" s="19" t="str">
        <f>IFERROR(__xludf.DUMMYFUNCTION("""COMPUTED_VALUE"""),"https://disk.yandex.ru/client/disk/Осмотры%20объектов%20АНО%20СМГ/512.%20Ул.%20Никитинская%20вл.%205%20Район%20Измайлово")</f>
        <v>https://disk.yandex.ru/client/disk/Осмотры%20объектов%20АНО%20СМГ/512.%20Ул.%20Никитинская%20вл.%205%20Район%20Измайлово</v>
      </c>
      <c r="J689" s="50">
        <f>IFERROR(__xludf.DUMMYFUNCTION("""COMPUTED_VALUE"""),100.0)</f>
        <v>100</v>
      </c>
      <c r="K689" s="58">
        <f>IFERROR(__xludf.DUMMYFUNCTION("""COMPUTED_VALUE"""),45952.0)</f>
        <v>45952</v>
      </c>
      <c r="L689" s="6" t="s">
        <v>654</v>
      </c>
      <c r="M689" s="52" t="s">
        <v>655</v>
      </c>
      <c r="N689" s="53" t="s">
        <v>656</v>
      </c>
      <c r="O689" s="19" t="s">
        <v>1074</v>
      </c>
      <c r="P689" s="6"/>
      <c r="Q689" s="6"/>
      <c r="R689" s="6"/>
    </row>
    <row r="690">
      <c r="A690" s="31" t="str">
        <f>IFERROR(__xludf.DUMMYFUNCTION("""COMPUTED_VALUE"""),"179")</f>
        <v>179</v>
      </c>
      <c r="B690" s="14" t="str">
        <f>IFERROR(__xludf.DUMMYFUNCTION("""COMPUTED_VALUE"""),"АИП-25")</f>
        <v>АИП-25</v>
      </c>
      <c r="C690" s="14" t="str">
        <f>IFERROR(__xludf.DUMMYFUNCTION("""COMPUTED_VALUE"""),"ОКС")</f>
        <v>ОКС</v>
      </c>
      <c r="D690" s="6"/>
      <c r="E690" s="14" t="str">
        <f>IFERROR(__xludf.DUMMYFUNCTION("""COMPUTED_VALUE"""),"Здание для размещения Митинского отдела ЗАГС Управления ЗАГС Москвы, ул. Дубравная, вл. 50/1 район Митино, ул. Дубравная, д. 48А")</f>
        <v>Здание для размещения Митинского отдела ЗАГС Управления ЗАГС Москвы, ул. Дубравная, вл. 50/1 район Митино, ул. Дубравная, д. 48А</v>
      </c>
      <c r="F690" s="25" t="str">
        <f>IFERROR(__xludf.DUMMYFUNCTION("""COMPUTED_VALUE"""),"#N/A")</f>
        <v>#N/A</v>
      </c>
      <c r="G690" s="6" t="str">
        <f>IFERROR(__xludf.DUMMYFUNCTION("""COMPUTED_VALUE"""),"#N/A")</f>
        <v>#N/A</v>
      </c>
      <c r="H690" s="18" t="str">
        <f>IFERROR(__xludf.DUMMYFUNCTION("""COMPUTED_VALUE"""),"https://docs.google.com/spreadsheets/d/19THEBTE9q0fhN2eApZr6BgenIvLGh0AckaYxHQfHk5w/edit?gid=923737212#gid=923737212")</f>
        <v>https://docs.google.com/spreadsheets/d/19THEBTE9q0fhN2eApZr6BgenIvLGh0AckaYxHQfHk5w/edit?gid=923737212#gid=923737212</v>
      </c>
      <c r="I690" s="19" t="str">
        <f>IFERROR(__xludf.DUMMYFUNCTION("""COMPUTED_VALUE"""),"https://disk.yandex.ru/client/disk/Осмотры%20объектов%20АНО%20СМГ/179.%20Дубравная%2050%20стр1%20ЗАГС%20Митино")</f>
        <v>https://disk.yandex.ru/client/disk/Осмотры%20объектов%20АНО%20СМГ/179.%20Дубравная%2050%20стр1%20ЗАГС%20Митино</v>
      </c>
      <c r="J690" s="50">
        <f>IFERROR(__xludf.DUMMYFUNCTION("""COMPUTED_VALUE"""),99.992)</f>
        <v>99.992</v>
      </c>
      <c r="K690" s="58">
        <f>IFERROR(__xludf.DUMMYFUNCTION("""COMPUTED_VALUE"""),45943.0)</f>
        <v>45943</v>
      </c>
      <c r="L690" s="6">
        <v>7.0</v>
      </c>
      <c r="M690" s="52">
        <v>45950.0</v>
      </c>
      <c r="N690" s="53" t="s">
        <v>652</v>
      </c>
      <c r="O690" s="19" t="s">
        <v>1075</v>
      </c>
      <c r="P690" s="6"/>
      <c r="Q690" s="6"/>
      <c r="R690" s="6"/>
    </row>
    <row r="691">
      <c r="A691" s="31" t="str">
        <f>IFERROR(__xludf.DUMMYFUNCTION("""COMPUTED_VALUE"""),"391")</f>
        <v>391</v>
      </c>
      <c r="B691" s="14" t="str">
        <f>IFERROR(__xludf.DUMMYFUNCTION("""COMPUTED_VALUE"""),"РЕН-25")</f>
        <v>РЕН-25</v>
      </c>
      <c r="C691" s="14" t="str">
        <f>IFERROR(__xludf.DUMMYFUNCTION("""COMPUTED_VALUE"""),"ОКС")</f>
        <v>ОКС</v>
      </c>
      <c r="D691" s="6"/>
      <c r="E691" s="14" t="str">
        <f>IFERROR(__xludf.DUMMYFUNCTION("""COMPUTED_VALUE"""),"Героев Панфиловцев ул., вл. 31 район Северное Тушино, Героев Панфиловцев ул., з/у 31")</f>
        <v>Героев Панфиловцев ул., вл. 31 район Северное Тушино, Героев Панфиловцев ул., з/у 31</v>
      </c>
      <c r="F691" s="25" t="str">
        <f>IFERROR(__xludf.DUMMYFUNCTION("""COMPUTED_VALUE"""),"55.856918")</f>
        <v>55.856918</v>
      </c>
      <c r="G691" s="6" t="str">
        <f>IFERROR(__xludf.DUMMYFUNCTION("""COMPUTED_VALUE"""),"37.414790")</f>
        <v>37.414790</v>
      </c>
      <c r="H691" s="18" t="str">
        <f>IFERROR(__xludf.DUMMYFUNCTION("""COMPUTED_VALUE"""),"https://docs.google.com/spreadsheets/d/1H1MjbG2y0oC0hhID4do1G0_gfyI1jag72lQd7nL3WDQ/edit?gid=257429727#gid=257429727")</f>
        <v>https://docs.google.com/spreadsheets/d/1H1MjbG2y0oC0hhID4do1G0_gfyI1jag72lQd7nL3WDQ/edit?gid=257429727#gid=257429727</v>
      </c>
      <c r="I691" s="19" t="str">
        <f>IFERROR(__xludf.DUMMYFUNCTION("""COMPUTED_VALUE"""),"https://disk.yandex.ru/client/disk/Осмотры%20объектов%20АНО%20СМГ/391.%20Героев%20Панфиловцев%2C%2031")</f>
        <v>https://disk.yandex.ru/client/disk/Осмотры%20объектов%20АНО%20СМГ/391.%20Героев%20Панфиловцев%2C%2031</v>
      </c>
      <c r="J691" s="50">
        <f>IFERROR(__xludf.DUMMYFUNCTION("""COMPUTED_VALUE"""),99.967125)</f>
        <v>99.967125</v>
      </c>
      <c r="K691" s="58">
        <f>IFERROR(__xludf.DUMMYFUNCTION("""COMPUTED_VALUE"""),45968.0)</f>
        <v>45968</v>
      </c>
      <c r="L691" s="6">
        <v>7.0</v>
      </c>
      <c r="M691" s="52">
        <v>45975.0</v>
      </c>
      <c r="N691" s="53" t="s">
        <v>652</v>
      </c>
      <c r="O691" s="19" t="s">
        <v>1076</v>
      </c>
      <c r="P691" s="6"/>
      <c r="Q691" s="6"/>
      <c r="R691" s="6"/>
    </row>
    <row r="692">
      <c r="A692" s="31" t="str">
        <f>IFERROR(__xludf.DUMMYFUNCTION("""COMPUTED_VALUE"""),"466")</f>
        <v>466</v>
      </c>
      <c r="B692" s="14" t="str">
        <f>IFERROR(__xludf.DUMMYFUNCTION("""COMPUTED_VALUE"""),"РЕН-25")</f>
        <v>РЕН-25</v>
      </c>
      <c r="C692" s="14" t="str">
        <f>IFERROR(__xludf.DUMMYFUNCTION("""COMPUTED_VALUE"""),"ОКС")</f>
        <v>ОКС</v>
      </c>
      <c r="D692" s="6"/>
      <c r="E692" s="14" t="str">
        <f>IFERROR(__xludf.DUMMYFUNCTION("""COMPUTED_VALUE"""),"Дмитровское ш., вл. 93, корп. 2 Бескудниковское, Дмитровское шоссе д. 93, корп. 2")</f>
        <v>Дмитровское ш., вл. 93, корп. 2 Бескудниковское, Дмитровское шоссе д. 93, корп. 2</v>
      </c>
      <c r="F692" s="25" t="str">
        <f>IFERROR(__xludf.DUMMYFUNCTION("""COMPUTED_VALUE"""),"55.870387")</f>
        <v>55.870387</v>
      </c>
      <c r="G692" s="6" t="str">
        <f>IFERROR(__xludf.DUMMYFUNCTION("""COMPUTED_VALUE"""),"37.542528")</f>
        <v>37.542528</v>
      </c>
      <c r="H692" s="18" t="str">
        <f>IFERROR(__xludf.DUMMYFUNCTION("""COMPUTED_VALUE"""),"https://docs.google.com/spreadsheets/d/1H1MjbG2y0oC0hhID4do1G0_gfyI1jag72lQd7nL3WDQ/edit?gid=1086247611#gid=1086247611")</f>
        <v>https://docs.google.com/spreadsheets/d/1H1MjbG2y0oC0hhID4do1G0_gfyI1jag72lQd7nL3WDQ/edit?gid=1086247611#gid=1086247611</v>
      </c>
      <c r="I692" s="19" t="str">
        <f>IFERROR(__xludf.DUMMYFUNCTION("""COMPUTED_VALUE"""),"https://disk.yandex.ru/client/disk/Осмотры%20объектов%20АНО%20СМГ/466.%20Дмитровское%20шоссе%2C%20вл.%2093%2C%20корп.2")</f>
        <v>https://disk.yandex.ru/client/disk/Осмотры%20объектов%20АНО%20СМГ/466.%20Дмитровское%20шоссе%2C%20вл.%2093%2C%20корп.2</v>
      </c>
      <c r="J692" s="50">
        <f>IFERROR(__xludf.DUMMYFUNCTION("""COMPUTED_VALUE"""),99.8164)</f>
        <v>99.8164</v>
      </c>
      <c r="K692" s="58">
        <f>IFERROR(__xludf.DUMMYFUNCTION("""COMPUTED_VALUE"""),45943.0)</f>
        <v>45943</v>
      </c>
      <c r="L692" s="6">
        <v>7.0</v>
      </c>
      <c r="M692" s="52">
        <v>45950.0</v>
      </c>
      <c r="N692" s="53" t="s">
        <v>652</v>
      </c>
      <c r="O692" s="19" t="s">
        <v>1077</v>
      </c>
      <c r="P692" s="6"/>
      <c r="Q692" s="6"/>
      <c r="R692" s="6"/>
    </row>
    <row r="693">
      <c r="A693" s="31" t="str">
        <f>IFERROR(__xludf.DUMMYFUNCTION("""COMPUTED_VALUE"""),"489")</f>
        <v>489</v>
      </c>
      <c r="B693" s="14" t="str">
        <f>IFERROR(__xludf.DUMMYFUNCTION("""COMPUTED_VALUE"""),"РЕН-25")</f>
        <v>РЕН-25</v>
      </c>
      <c r="C693" s="14" t="str">
        <f>IFERROR(__xludf.DUMMYFUNCTION("""COMPUTED_VALUE"""),"ОКС")</f>
        <v>ОКС</v>
      </c>
      <c r="D693" s="6"/>
      <c r="E693" s="14" t="str">
        <f>IFERROR(__xludf.DUMMYFUNCTION("""COMPUTED_VALUE"""),"Спортивная, з/у 1 городской округ Троицк, г. Троицк, ул. Спортивная, з/у 1")</f>
        <v>Спортивная, з/у 1 городской округ Троицк, г. Троицк, ул. Спортивная, з/у 1</v>
      </c>
      <c r="F693" s="25" t="str">
        <f>IFERROR(__xludf.DUMMYFUNCTION("""COMPUTED_VALUE"""),"55.473513")</f>
        <v>55.473513</v>
      </c>
      <c r="G693" s="6" t="str">
        <f>IFERROR(__xludf.DUMMYFUNCTION("""COMPUTED_VALUE"""),"37.304668")</f>
        <v>37.304668</v>
      </c>
      <c r="H693" s="18" t="str">
        <f>IFERROR(__xludf.DUMMYFUNCTION("""COMPUTED_VALUE"""),"https://docs.google.com/spreadsheets/d/1H1MjbG2y0oC0hhID4do1G0_gfyI1jag72lQd7nL3WDQ/edit?gid=1943197822#gid=1943197822")</f>
        <v>https://docs.google.com/spreadsheets/d/1H1MjbG2y0oC0hhID4do1G0_gfyI1jag72lQd7nL3WDQ/edit?gid=1943197822#gid=1943197822</v>
      </c>
      <c r="I693" s="19" t="str">
        <f>IFERROR(__xludf.DUMMYFUNCTION("""COMPUTED_VALUE"""),"https://disk.yandex.ru/client/disk/Осмотры%20объектов%20АНО%20СМГ/489.%20г.о.%20Троицк%2C%20ул.%20Спортивная%2C%20зу%201")</f>
        <v>https://disk.yandex.ru/client/disk/Осмотры%20объектов%20АНО%20СМГ/489.%20г.о.%20Троицк%2C%20ул.%20Спортивная%2C%20зу%201</v>
      </c>
      <c r="J693" s="50">
        <f>IFERROR(__xludf.DUMMYFUNCTION("""COMPUTED_VALUE"""),100.0)</f>
        <v>100</v>
      </c>
      <c r="K693" s="58">
        <f>IFERROR(__xludf.DUMMYFUNCTION("""COMPUTED_VALUE"""),45968.0)</f>
        <v>45968</v>
      </c>
      <c r="L693" s="6" t="s">
        <v>654</v>
      </c>
      <c r="M693" s="52" t="s">
        <v>655</v>
      </c>
      <c r="N693" s="53" t="s">
        <v>656</v>
      </c>
      <c r="O693" s="19" t="s">
        <v>1078</v>
      </c>
      <c r="P693" s="6"/>
      <c r="Q693" s="6"/>
      <c r="R693" s="6"/>
    </row>
    <row r="694">
      <c r="A694" s="31" t="str">
        <f>IFERROR(__xludf.DUMMYFUNCTION("""COMPUTED_VALUE"""),"493")</f>
        <v>493</v>
      </c>
      <c r="B694" s="14" t="str">
        <f>IFERROR(__xludf.DUMMYFUNCTION("""COMPUTED_VALUE"""),"РЕН-25")</f>
        <v>РЕН-25</v>
      </c>
      <c r="C694" s="14" t="str">
        <f>IFERROR(__xludf.DUMMYFUNCTION("""COMPUTED_VALUE"""),"ОКС")</f>
        <v>ОКС</v>
      </c>
      <c r="D694" s="6"/>
      <c r="E694" s="14" t="str">
        <f>IFERROR(__xludf.DUMMYFUNCTION("""COMPUTED_VALUE"""),"ул. Ремизова, вл. 11, корп. 2 район Котловка, ул. Ремизова, вл. 11, корп. 2")</f>
        <v>ул. Ремизова, вл. 11, корп. 2 район Котловка, ул. Ремизова, вл. 11, корп. 2</v>
      </c>
      <c r="F694" s="25" t="str">
        <f>IFERROR(__xludf.DUMMYFUNCTION("""COMPUTED_VALUE"""),"55.676540")</f>
        <v>55.676540</v>
      </c>
      <c r="G694" s="6" t="str">
        <f>IFERROR(__xludf.DUMMYFUNCTION("""COMPUTED_VALUE"""),"37.602661")</f>
        <v>37.602661</v>
      </c>
      <c r="H694" s="18" t="str">
        <f>IFERROR(__xludf.DUMMYFUNCTION("""COMPUTED_VALUE"""),"https://docs.google.com/spreadsheets/d/1H1MjbG2y0oC0hhID4do1G0_gfyI1jag72lQd7nL3WDQ/edit?gid=598220388#gid=598220388")</f>
        <v>https://docs.google.com/spreadsheets/d/1H1MjbG2y0oC0hhID4do1G0_gfyI1jag72lQd7nL3WDQ/edit?gid=598220388#gid=598220388</v>
      </c>
      <c r="I694" s="19" t="str">
        <f>IFERROR(__xludf.DUMMYFUNCTION("""COMPUTED_VALUE"""),"https://disk.yandex.ru/client/disk/Осмотры%20объектов%20АНО%20СМГ/493.%20Ул.%20Ремизова%2C%20вл.%2011%2C%20к2.%20Жилой%20дом")</f>
        <v>https://disk.yandex.ru/client/disk/Осмотры%20объектов%20АНО%20СМГ/493.%20Ул.%20Ремизова%2C%20вл.%2011%2C%20к2.%20Жилой%20дом</v>
      </c>
      <c r="J694" s="50">
        <f>IFERROR(__xludf.DUMMYFUNCTION("""COMPUTED_VALUE"""),100.0)</f>
        <v>100</v>
      </c>
      <c r="K694" s="58">
        <f>IFERROR(__xludf.DUMMYFUNCTION("""COMPUTED_VALUE"""),45952.0)</f>
        <v>45952</v>
      </c>
      <c r="L694" s="6" t="s">
        <v>654</v>
      </c>
      <c r="M694" s="52" t="s">
        <v>655</v>
      </c>
      <c r="N694" s="53" t="s">
        <v>656</v>
      </c>
      <c r="O694" s="19" t="s">
        <v>1079</v>
      </c>
      <c r="P694" s="6"/>
      <c r="Q694" s="6"/>
      <c r="R694" s="6"/>
    </row>
    <row r="695">
      <c r="A695" s="31" t="str">
        <f>IFERROR(__xludf.DUMMYFUNCTION("""COMPUTED_VALUE"""),"382")</f>
        <v>382</v>
      </c>
      <c r="B695" s="14" t="str">
        <f>IFERROR(__xludf.DUMMYFUNCTION("""COMPUTED_VALUE"""),"РЕН-25")</f>
        <v>РЕН-25</v>
      </c>
      <c r="C695" s="14" t="str">
        <f>IFERROR(__xludf.DUMMYFUNCTION("""COMPUTED_VALUE"""),"ОКС")</f>
        <v>ОКС</v>
      </c>
      <c r="D695" s="6"/>
      <c r="E695" s="14" t="str">
        <f>IFERROR(__xludf.DUMMYFUNCTION("""COMPUTED_VALUE"""),"ул. Бехтерева, з/у 25/49/1 (ул. Бехтерева, напротив вл. 25/49 (кв. 14, 14Б, корп. 21)) район Царицыно, ул. Бехтерева, з/у 25/49/1 (ул. Бехтерева, напротив вл. 25/49 (кв. 14, 14Б, корп. 21)")</f>
        <v>ул. Бехтерева, з/у 25/49/1 (ул. Бехтерева, напротив вл. 25/49 (кв. 14, 14Б, корп. 21)) район Царицыно, ул. Бехтерева, з/у 25/49/1 (ул. Бехтерева, напротив вл. 25/49 (кв. 14, 14Б, корп. 21)</v>
      </c>
      <c r="F695" s="25" t="str">
        <f>IFERROR(__xludf.DUMMYFUNCTION("""COMPUTED_VALUE"""),"55.627311")</f>
        <v>55.627311</v>
      </c>
      <c r="G695" s="6" t="str">
        <f>IFERROR(__xludf.DUMMYFUNCTION("""COMPUTED_VALUE"""),"37.647872")</f>
        <v>37.647872</v>
      </c>
      <c r="H695" s="18" t="str">
        <f>IFERROR(__xludf.DUMMYFUNCTION("""COMPUTED_VALUE"""),"https://docs.google.com/spreadsheets/d/1H1MjbG2y0oC0hhID4do1G0_gfyI1jag72lQd7nL3WDQ/edit?gid=238235358#gid=238235358")</f>
        <v>https://docs.google.com/spreadsheets/d/1H1MjbG2y0oC0hhID4do1G0_gfyI1jag72lQd7nL3WDQ/edit?gid=238235358#gid=238235358</v>
      </c>
      <c r="I695" s="19" t="str">
        <f>IFERROR(__xludf.DUMMYFUNCTION("""COMPUTED_VALUE"""),"https://disk.yandex.ru/client/disk/Осмотры%20объектов%20АНО%20СМГ/382.%20Жилой%20дом.%20Ул.%20Бехтерева%2C%20з-у%2025-49-1")</f>
        <v>https://disk.yandex.ru/client/disk/Осмотры%20объектов%20АНО%20СМГ/382.%20Жилой%20дом.%20Ул.%20Бехтерева%2C%20з-у%2025-49-1</v>
      </c>
      <c r="J695" s="50">
        <f>IFERROR(__xludf.DUMMYFUNCTION("""COMPUTED_VALUE"""),100.0)</f>
        <v>100</v>
      </c>
      <c r="K695" s="58">
        <f>IFERROR(__xludf.DUMMYFUNCTION("""COMPUTED_VALUE"""),45951.0)</f>
        <v>45951</v>
      </c>
      <c r="L695" s="6" t="s">
        <v>654</v>
      </c>
      <c r="M695" s="52" t="s">
        <v>655</v>
      </c>
      <c r="N695" s="53" t="s">
        <v>656</v>
      </c>
      <c r="O695" s="19" t="s">
        <v>1080</v>
      </c>
      <c r="P695" s="6"/>
      <c r="Q695" s="6"/>
      <c r="R695" s="6"/>
    </row>
    <row r="696">
      <c r="A696" s="31" t="str">
        <f>IFERROR(__xludf.DUMMYFUNCTION("""COMPUTED_VALUE"""),"500")</f>
        <v>500</v>
      </c>
      <c r="B696" s="14" t="str">
        <f>IFERROR(__xludf.DUMMYFUNCTION("""COMPUTED_VALUE"""),"РЕН-25")</f>
        <v>РЕН-25</v>
      </c>
      <c r="C696" s="14" t="str">
        <f>IFERROR(__xludf.DUMMYFUNCTION("""COMPUTED_VALUE"""),"ОКС")</f>
        <v>ОКС</v>
      </c>
      <c r="D696" s="6"/>
      <c r="E696" s="14" t="str">
        <f>IFERROR(__xludf.DUMMYFUNCTION("""COMPUTED_VALUE"""),"ул. Гарибальди, з/у 17 (участок 1.2) район Обручевский, ул. Гарибальди, з/у 17 (участок 1.2)")</f>
        <v>ул. Гарибальди, з/у 17 (участок 1.2) район Обручевский, ул. Гарибальди, з/у 17 (участок 1.2)</v>
      </c>
      <c r="F696" s="25" t="str">
        <f>IFERROR(__xludf.DUMMYFUNCTION("""COMPUTED_VALUE"""),"55.673727")</f>
        <v>55.673727</v>
      </c>
      <c r="G696" s="6" t="str">
        <f>IFERROR(__xludf.DUMMYFUNCTION("""COMPUTED_VALUE"""),"37.546911")</f>
        <v>37.546911</v>
      </c>
      <c r="H696" s="18" t="str">
        <f>IFERROR(__xludf.DUMMYFUNCTION("""COMPUTED_VALUE"""),"https://docs.google.com/spreadsheets/d/1H1MjbG2y0oC0hhID4do1G0_gfyI1jag72lQd7nL3WDQ/edit?gid=363768853#gid=363768853")</f>
        <v>https://docs.google.com/spreadsheets/d/1H1MjbG2y0oC0hhID4do1G0_gfyI1jag72lQd7nL3WDQ/edit?gid=363768853#gid=363768853</v>
      </c>
      <c r="I696" s="19" t="str">
        <f>IFERROR(__xludf.DUMMYFUNCTION("""COMPUTED_VALUE"""),"https://disk.yandex.ru/client/disk/Осмотры%20объектов%20АНО%20СМГ/500.%20Гарибальди%20з!у%2017%20(участок%201.2)")</f>
        <v>https://disk.yandex.ru/client/disk/Осмотры%20объектов%20АНО%20СМГ/500.%20Гарибальди%20з!у%2017%20(участок%201.2)</v>
      </c>
      <c r="J696" s="50">
        <f>IFERROR(__xludf.DUMMYFUNCTION("""COMPUTED_VALUE"""),100.0)</f>
        <v>100</v>
      </c>
      <c r="K696" s="58">
        <f>IFERROR(__xludf.DUMMYFUNCTION("""COMPUTED_VALUE"""),45952.0)</f>
        <v>45952</v>
      </c>
      <c r="L696" s="6" t="s">
        <v>654</v>
      </c>
      <c r="M696" s="52" t="s">
        <v>655</v>
      </c>
      <c r="N696" s="53" t="s">
        <v>656</v>
      </c>
      <c r="O696" s="19" t="s">
        <v>1081</v>
      </c>
      <c r="P696" s="6"/>
      <c r="Q696" s="6"/>
      <c r="R696" s="6"/>
    </row>
    <row r="697">
      <c r="A697" s="31" t="str">
        <f>IFERROR(__xludf.DUMMYFUNCTION("""COMPUTED_VALUE"""),"445")</f>
        <v>445</v>
      </c>
      <c r="B697" s="14" t="str">
        <f>IFERROR(__xludf.DUMMYFUNCTION("""COMPUTED_VALUE"""),"РЕН-25")</f>
        <v>РЕН-25</v>
      </c>
      <c r="C697" s="14" t="str">
        <f>IFERROR(__xludf.DUMMYFUNCTION("""COMPUTED_VALUE"""),"ОКС")</f>
        <v>ОКС</v>
      </c>
      <c r="D697" s="6"/>
      <c r="E697" s="14" t="str">
        <f>IFERROR(__xludf.DUMMYFUNCTION("""COMPUTED_VALUE"""),"Оренбургская ул., з/у 4 (Оренбургская ул., вл. 4) район Косино-Ухтомский, Оренбургская ул., вл. 4")</f>
        <v>Оренбургская ул., з/у 4 (Оренбургская ул., вл. 4) район Косино-Ухтомский, Оренбургская ул., вл. 4</v>
      </c>
      <c r="F697" s="25" t="str">
        <f>IFERROR(__xludf.DUMMYFUNCTION("""COMPUTED_VALUE"""),"55.713310")</f>
        <v>55.713310</v>
      </c>
      <c r="G697" s="6" t="str">
        <f>IFERROR(__xludf.DUMMYFUNCTION("""COMPUTED_VALUE"""),"37.856726")</f>
        <v>37.856726</v>
      </c>
      <c r="H697" s="18" t="str">
        <f>IFERROR(__xludf.DUMMYFUNCTION("""COMPUTED_VALUE"""),"https://docs.google.com/spreadsheets/d/1H1MjbG2y0oC0hhID4do1G0_gfyI1jag72lQd7nL3WDQ/edit?gid=1165883041#gid=1165883041")</f>
        <v>https://docs.google.com/spreadsheets/d/1H1MjbG2y0oC0hhID4do1G0_gfyI1jag72lQd7nL3WDQ/edit?gid=1165883041#gid=1165883041</v>
      </c>
      <c r="I697" s="19" t="str">
        <f>IFERROR(__xludf.DUMMYFUNCTION("""COMPUTED_VALUE"""),"https://disk.yandex.ru/client/disk/Осмотры%20объектов%20АНО%20СМГ/445.%20ул.%20Оренбургская%2C%20зу%204%20Район%20Косино-Ухтомский%2C%20Оренбургская%20ул.%2C%20вл.%204")</f>
        <v>https://disk.yandex.ru/client/disk/Осмотры%20объектов%20АНО%20СМГ/445.%20ул.%20Оренбургская%2C%20зу%204%20Район%20Косино-Ухтомский%2C%20Оренбургская%20ул.%2C%20вл.%204</v>
      </c>
      <c r="J697" s="50">
        <f>IFERROR(__xludf.DUMMYFUNCTION("""COMPUTED_VALUE"""),99.9943)</f>
        <v>99.9943</v>
      </c>
      <c r="K697" s="58">
        <f>IFERROR(__xludf.DUMMYFUNCTION("""COMPUTED_VALUE"""),45952.0)</f>
        <v>45952</v>
      </c>
      <c r="L697" s="6">
        <v>7.0</v>
      </c>
      <c r="M697" s="52">
        <v>45959.0</v>
      </c>
      <c r="N697" s="53" t="s">
        <v>652</v>
      </c>
      <c r="O697" s="19" t="s">
        <v>1082</v>
      </c>
      <c r="P697" s="6"/>
      <c r="Q697" s="6"/>
      <c r="R697" s="6"/>
    </row>
    <row r="698">
      <c r="A698" s="31" t="str">
        <f>IFERROR(__xludf.DUMMYFUNCTION("""COMPUTED_VALUE"""),"473")</f>
        <v>473</v>
      </c>
      <c r="B698" s="14" t="str">
        <f>IFERROR(__xludf.DUMMYFUNCTION("""COMPUTED_VALUE"""),"РЕН-25")</f>
        <v>РЕН-25</v>
      </c>
      <c r="C698" s="14" t="str">
        <f>IFERROR(__xludf.DUMMYFUNCTION("""COMPUTED_VALUE"""),"ОКС")</f>
        <v>ОКС</v>
      </c>
      <c r="D698" s="6"/>
      <c r="E698" s="14" t="str">
        <f>IFERROR(__xludf.DUMMYFUNCTION("""COMPUTED_VALUE"""),"ул. Заречная, вл. 5 район Филевский Парк , ул. Заречная, вл. 5")</f>
        <v>ул. Заречная, вл. 5 район Филевский Парк , ул. Заречная, вл. 5</v>
      </c>
      <c r="F698" s="25" t="str">
        <f>IFERROR(__xludf.DUMMYFUNCTION("""COMPUTED_VALUE"""),"55.753985")</f>
        <v>55.753985</v>
      </c>
      <c r="G698" s="6" t="str">
        <f>IFERROR(__xludf.DUMMYFUNCTION("""COMPUTED_VALUE"""),"37.508670")</f>
        <v>37.508670</v>
      </c>
      <c r="H698" s="18" t="str">
        <f>IFERROR(__xludf.DUMMYFUNCTION("""COMPUTED_VALUE"""),"https://docs.google.com/spreadsheets/d/1H1MjbG2y0oC0hhID4do1G0_gfyI1jag72lQd7nL3WDQ/edit?gid=173783422#gid=173783422")</f>
        <v>https://docs.google.com/spreadsheets/d/1H1MjbG2y0oC0hhID4do1G0_gfyI1jag72lQd7nL3WDQ/edit?gid=173783422#gid=173783422</v>
      </c>
      <c r="I698" s="19" t="str">
        <f>IFERROR(__xludf.DUMMYFUNCTION("""COMPUTED_VALUE"""),"https://disk.yandex.ru/client/disk/Осмотры%20объектов%20АНО%20СМГ/473.%20Жилой%20дом%20Заречная%20д.%205")</f>
        <v>https://disk.yandex.ru/client/disk/Осмотры%20объектов%20АНО%20СМГ/473.%20Жилой%20дом%20Заречная%20д.%205</v>
      </c>
      <c r="J698" s="50">
        <f>IFERROR(__xludf.DUMMYFUNCTION("""COMPUTED_VALUE"""),100.0)</f>
        <v>100</v>
      </c>
      <c r="K698" s="58">
        <f>IFERROR(__xludf.DUMMYFUNCTION("""COMPUTED_VALUE"""),45952.0)</f>
        <v>45952</v>
      </c>
      <c r="L698" s="6" t="s">
        <v>654</v>
      </c>
      <c r="M698" s="52" t="s">
        <v>655</v>
      </c>
      <c r="N698" s="53" t="s">
        <v>656</v>
      </c>
      <c r="O698" s="19" t="s">
        <v>1083</v>
      </c>
      <c r="P698" s="6"/>
      <c r="Q698" s="6"/>
      <c r="R698" s="6"/>
    </row>
    <row r="699">
      <c r="A699" s="31" t="str">
        <f>IFERROR(__xludf.DUMMYFUNCTION("""COMPUTED_VALUE"""),"530")</f>
        <v>530</v>
      </c>
      <c r="B699" s="14" t="str">
        <f>IFERROR(__xludf.DUMMYFUNCTION("""COMPUTED_VALUE"""),"РЕН-25")</f>
        <v>РЕН-25</v>
      </c>
      <c r="C699" s="14" t="str">
        <f>IFERROR(__xludf.DUMMYFUNCTION("""COMPUTED_VALUE"""),"ОКС")</f>
        <v>ОКС</v>
      </c>
      <c r="D699" s="6"/>
      <c r="E699" s="14" t="str">
        <f>IFERROR(__xludf.DUMMYFUNCTION("""COMPUTED_VALUE"""),"Тайнинская ул., з/у 11 (вл. 11) район Лосиноостровский, ул. Тайнинская, земельный участок 11 (ул. Тайнинская, вл. 11)")</f>
        <v>Тайнинская ул., з/у 11 (вл. 11) район Лосиноостровский, ул. Тайнинская, земельный участок 11 (ул. Тайнинская, вл. 11)</v>
      </c>
      <c r="F699" s="25" t="str">
        <f>IFERROR(__xludf.DUMMYFUNCTION("""COMPUTED_VALUE"""),"55.883040")</f>
        <v>55.883040</v>
      </c>
      <c r="G699" s="6" t="str">
        <f>IFERROR(__xludf.DUMMYFUNCTION("""COMPUTED_VALUE"""),"37.684847")</f>
        <v>37.684847</v>
      </c>
      <c r="H699" s="18" t="str">
        <f>IFERROR(__xludf.DUMMYFUNCTION("""COMPUTED_VALUE"""),"https://docs.google.com/spreadsheets/d/1H1MjbG2y0oC0hhID4do1G0_gfyI1jag72lQd7nL3WDQ/edit?gid=1413670863#gid=1413670863")</f>
        <v>https://docs.google.com/spreadsheets/d/1H1MjbG2y0oC0hhID4do1G0_gfyI1jag72lQd7nL3WDQ/edit?gid=1413670863#gid=1413670863</v>
      </c>
      <c r="I699" s="19" t="str">
        <f>IFERROR(__xludf.DUMMYFUNCTION("""COMPUTED_VALUE"""),"https://disk.yandex.ru/client/disk/Осмотры%20объектов%20АНО%20СМГ/530.%20ул.%20Тайнинская%2C%20вл.%2011")</f>
        <v>https://disk.yandex.ru/client/disk/Осмотры%20объектов%20АНО%20СМГ/530.%20ул.%20Тайнинская%2C%20вл.%2011</v>
      </c>
      <c r="J699" s="50">
        <f>IFERROR(__xludf.DUMMYFUNCTION("""COMPUTED_VALUE"""),99.81671999999999)</f>
        <v>99.81672</v>
      </c>
      <c r="K699" s="58">
        <f>IFERROR(__xludf.DUMMYFUNCTION("""COMPUTED_VALUE"""),45952.0)</f>
        <v>45952</v>
      </c>
      <c r="L699" s="6">
        <v>7.0</v>
      </c>
      <c r="M699" s="52">
        <v>45959.0</v>
      </c>
      <c r="N699" s="53" t="s">
        <v>652</v>
      </c>
      <c r="O699" s="19" t="s">
        <v>1084</v>
      </c>
      <c r="P699" s="6"/>
      <c r="Q699" s="6"/>
      <c r="R699" s="6"/>
    </row>
    <row r="700">
      <c r="A700" s="31" t="str">
        <f>IFERROR(__xludf.DUMMYFUNCTION("""COMPUTED_VALUE"""),"810")</f>
        <v>810</v>
      </c>
      <c r="B700" s="14" t="str">
        <f>IFERROR(__xludf.DUMMYFUNCTION("""COMPUTED_VALUE"""),"РЕН-25")</f>
        <v>РЕН-25</v>
      </c>
      <c r="C700" s="14" t="str">
        <f>IFERROR(__xludf.DUMMYFUNCTION("""COMPUTED_VALUE"""),"ОКС")</f>
        <v>ОКС</v>
      </c>
      <c r="D700" s="6"/>
      <c r="E700" s="14" t="str">
        <f>IFERROR(__xludf.DUMMYFUNCTION("""COMPUTED_VALUE"""),"Чечёрский пр-д, з/у 28/2 (Чечерский пр-д, вл. 28) Южное Бутово, Чечёрский проезд, земельный участок 28/2 (Чечерский пр-д, вл. 28)")</f>
        <v>Чечёрский пр-д, з/у 28/2 (Чечерский пр-д, вл. 28) Южное Бутово, Чечёрский проезд, земельный участок 28/2 (Чечерский пр-д, вл. 28)</v>
      </c>
      <c r="F700" s="25" t="str">
        <f>IFERROR(__xludf.DUMMYFUNCTION("""COMPUTED_VALUE"""),"55.535987")</f>
        <v>55.535987</v>
      </c>
      <c r="G700" s="6" t="str">
        <f>IFERROR(__xludf.DUMMYFUNCTION("""COMPUTED_VALUE"""),"37.538589")</f>
        <v>37.538589</v>
      </c>
      <c r="H700" s="18" t="str">
        <f>IFERROR(__xludf.DUMMYFUNCTION("""COMPUTED_VALUE"""),"https://docs.google.com/spreadsheets/d/1H1MjbG2y0oC0hhID4do1G0_gfyI1jag72lQd7nL3WDQ/edit?gid=325961003#gid=325961003")</f>
        <v>https://docs.google.com/spreadsheets/d/1H1MjbG2y0oC0hhID4do1G0_gfyI1jag72lQd7nL3WDQ/edit?gid=325961003#gid=325961003</v>
      </c>
      <c r="I700" s="19" t="str">
        <f>IFERROR(__xludf.DUMMYFUNCTION("""COMPUTED_VALUE"""),"https://disk.yandex.ru/client/disk/Осмотры%20объектов%20АНО%20СМГ/810.%20Чечерский%20проезд%2028%20ЖК%20реновация%20ГП%20СУ%20214")</f>
        <v>https://disk.yandex.ru/client/disk/Осмотры%20объектов%20АНО%20СМГ/810.%20Чечерский%20проезд%2028%20ЖК%20реновация%20ГП%20СУ%20214</v>
      </c>
      <c r="J700" s="50">
        <f>IFERROR(__xludf.DUMMYFUNCTION("""COMPUTED_VALUE"""),100.0)</f>
        <v>100</v>
      </c>
      <c r="K700" s="58">
        <f>IFERROR(__xludf.DUMMYFUNCTION("""COMPUTED_VALUE"""),45968.0)</f>
        <v>45968</v>
      </c>
      <c r="L700" s="6" t="s">
        <v>654</v>
      </c>
      <c r="M700" s="52" t="s">
        <v>655</v>
      </c>
      <c r="N700" s="53" t="s">
        <v>656</v>
      </c>
      <c r="O700" s="19" t="s">
        <v>1085</v>
      </c>
      <c r="P700" s="6"/>
      <c r="Q700" s="6"/>
      <c r="R700" s="6"/>
    </row>
    <row r="701">
      <c r="A701" s="31" t="str">
        <f>IFERROR(__xludf.DUMMYFUNCTION("""COMPUTED_VALUE"""),"482")</f>
        <v>482</v>
      </c>
      <c r="B701" s="14" t="str">
        <f>IFERROR(__xludf.DUMMYFUNCTION("""COMPUTED_VALUE"""),"РЕН-25")</f>
        <v>РЕН-25</v>
      </c>
      <c r="C701" s="14" t="str">
        <f>IFERROR(__xludf.DUMMYFUNCTION("""COMPUTED_VALUE"""),"ОКС")</f>
        <v>ОКС</v>
      </c>
      <c r="D701" s="6"/>
      <c r="E701" s="14" t="str">
        <f>IFERROR(__xludf.DUMMYFUNCTION("""COMPUTED_VALUE"""),"пр-д Шокальского, з/у 28А/1 (пр-д Шокальского, влд. 28А) район Северное Медведково, Шокальского пр-д, з/у 28 А/1
 (Шокальского пр-д, вл.28А)")</f>
        <v>пр-д Шокальского, з/у 28А/1 (пр-д Шокальского, влд. 28А) район Северное Медведково, Шокальского пр-д, з/у 28 А/1
 (Шокальского пр-д, вл.28А)</v>
      </c>
      <c r="F701" s="25" t="str">
        <f>IFERROR(__xludf.DUMMYFUNCTION("""COMPUTED_VALUE"""),"55.878758")</f>
        <v>55.878758</v>
      </c>
      <c r="G701" s="6" t="str">
        <f>IFERROR(__xludf.DUMMYFUNCTION("""COMPUTED_VALUE"""),"37.650505")</f>
        <v>37.650505</v>
      </c>
      <c r="H701" s="18" t="str">
        <f>IFERROR(__xludf.DUMMYFUNCTION("""COMPUTED_VALUE"""),"https://docs.google.com/spreadsheets/d/1H1MjbG2y0oC0hhID4do1G0_gfyI1jag72lQd7nL3WDQ/edit?gid=291002696#gid=291002696")</f>
        <v>https://docs.google.com/spreadsheets/d/1H1MjbG2y0oC0hhID4do1G0_gfyI1jag72lQd7nL3WDQ/edit?gid=291002696#gid=291002696</v>
      </c>
      <c r="I701" s="19" t="str">
        <f>IFERROR(__xludf.DUMMYFUNCTION("""COMPUTED_VALUE"""),"https://disk.yandex.ru/client/disk/Осмотры%20объектов%20АНО%20СМГ/482.%20Проезд%20Шокальского%2C%20влд.%2028")</f>
        <v>https://disk.yandex.ru/client/disk/Осмотры%20объектов%20АНО%20СМГ/482.%20Проезд%20Шокальского%2C%20влд.%2028</v>
      </c>
      <c r="J701" s="50">
        <f>IFERROR(__xludf.DUMMYFUNCTION("""COMPUTED_VALUE"""),99.99525)</f>
        <v>99.99525</v>
      </c>
      <c r="K701" s="58">
        <f>IFERROR(__xludf.DUMMYFUNCTION("""COMPUTED_VALUE"""),45952.0)</f>
        <v>45952</v>
      </c>
      <c r="L701" s="6">
        <v>7.0</v>
      </c>
      <c r="M701" s="52">
        <v>45959.0</v>
      </c>
      <c r="N701" s="53" t="s">
        <v>652</v>
      </c>
      <c r="O701" s="19" t="s">
        <v>1086</v>
      </c>
      <c r="P701" s="6"/>
      <c r="Q701" s="6"/>
      <c r="R701" s="6"/>
    </row>
    <row r="702">
      <c r="A702" s="31" t="str">
        <f>IFERROR(__xludf.DUMMYFUNCTION("""COMPUTED_VALUE"""),"435")</f>
        <v>435</v>
      </c>
      <c r="B702" s="14" t="str">
        <f>IFERROR(__xludf.DUMMYFUNCTION("""COMPUTED_VALUE"""),"РЕН-25")</f>
        <v>РЕН-25</v>
      </c>
      <c r="C702" s="14" t="str">
        <f>IFERROR(__xludf.DUMMYFUNCTION("""COMPUTED_VALUE"""),"ОКС")</f>
        <v>ОКС</v>
      </c>
      <c r="D702" s="6"/>
      <c r="E702" s="14" t="str">
        <f>IFERROR(__xludf.DUMMYFUNCTION("""COMPUTED_VALUE"""),"Верхние Поля ул., вл. 19 район Люблино, ул. Краснодонская, д. 50 (Верхние Поля ул., вл.19) (8 сек)")</f>
        <v>Верхние Поля ул., вл. 19 район Люблино, ул. Краснодонская, д. 50 (Верхние Поля ул., вл.19) (8 сек)</v>
      </c>
      <c r="F702" s="25" t="str">
        <f>IFERROR(__xludf.DUMMYFUNCTION("""COMPUTED_VALUE"""),"55.667000")</f>
        <v>55.667000</v>
      </c>
      <c r="G702" s="6" t="str">
        <f>IFERROR(__xludf.DUMMYFUNCTION("""COMPUTED_VALUE"""),"37.750918")</f>
        <v>37.750918</v>
      </c>
      <c r="H702" s="18" t="str">
        <f>IFERROR(__xludf.DUMMYFUNCTION("""COMPUTED_VALUE"""),"https://docs.google.com/spreadsheets/d/1H1MjbG2y0oC0hhID4do1G0_gfyI1jag72lQd7nL3WDQ/edit?gid=1610263298#gid=1610263298")</f>
        <v>https://docs.google.com/spreadsheets/d/1H1MjbG2y0oC0hhID4do1G0_gfyI1jag72lQd7nL3WDQ/edit?gid=1610263298#gid=1610263298</v>
      </c>
      <c r="I702" s="19" t="str">
        <f>IFERROR(__xludf.DUMMYFUNCTION("""COMPUTED_VALUE"""),"https://disk.yandex.ru/client/disk/Осмотры%20объектов%20АНО%20СМГ/435.%20Люблино%2C%20Верхние%20Поля%20ул.%2C%20вл.%2019")</f>
        <v>https://disk.yandex.ru/client/disk/Осмотры%20объектов%20АНО%20СМГ/435.%20Люблино%2C%20Верхние%20Поля%20ул.%2C%20вл.%2019</v>
      </c>
      <c r="J702" s="50">
        <f>IFERROR(__xludf.DUMMYFUNCTION("""COMPUTED_VALUE"""),99.917)</f>
        <v>99.917</v>
      </c>
      <c r="K702" s="58">
        <f>IFERROR(__xludf.DUMMYFUNCTION("""COMPUTED_VALUE"""),45947.0)</f>
        <v>45947</v>
      </c>
      <c r="L702" s="6">
        <v>7.0</v>
      </c>
      <c r="M702" s="52">
        <v>45954.0</v>
      </c>
      <c r="N702" s="53" t="s">
        <v>652</v>
      </c>
      <c r="O702" s="19" t="s">
        <v>1087</v>
      </c>
      <c r="P702" s="6"/>
      <c r="Q702" s="6"/>
      <c r="R702" s="6"/>
    </row>
    <row r="703">
      <c r="A703" s="31" t="str">
        <f>IFERROR(__xludf.DUMMYFUNCTION("""COMPUTED_VALUE"""),"509")</f>
        <v>509</v>
      </c>
      <c r="B703" s="14" t="str">
        <f>IFERROR(__xludf.DUMMYFUNCTION("""COMPUTED_VALUE"""),"РЕН-25")</f>
        <v>РЕН-25</v>
      </c>
      <c r="C703" s="14" t="str">
        <f>IFERROR(__xludf.DUMMYFUNCTION("""COMPUTED_VALUE"""),"ОКС")</f>
        <v>ОКС</v>
      </c>
      <c r="D703" s="6"/>
      <c r="E703" s="14" t="str">
        <f>IFERROR(__xludf.DUMMYFUNCTION("""COMPUTED_VALUE"""),"Бочкова ул., з/у 11А/1 (вл. 11А) район Останкинский, ул. Бочкова, земельный участок 11А/1")</f>
        <v>Бочкова ул., з/у 11А/1 (вл. 11А) район Останкинский, ул. Бочкова, земельный участок 11А/1</v>
      </c>
      <c r="F703" s="25" t="str">
        <f>IFERROR(__xludf.DUMMYFUNCTION("""COMPUTED_VALUE"""),"55.808625")</f>
        <v>55.808625</v>
      </c>
      <c r="G703" s="6" t="str">
        <f>IFERROR(__xludf.DUMMYFUNCTION("""COMPUTED_VALUE"""),"37.626171")</f>
        <v>37.626171</v>
      </c>
      <c r="H703" s="18" t="str">
        <f>IFERROR(__xludf.DUMMYFUNCTION("""COMPUTED_VALUE"""),"https://docs.google.com/spreadsheets/d/1H1MjbG2y0oC0hhID4do1G0_gfyI1jag72lQd7nL3WDQ/edit?gid=1334279003#gid=1334279003")</f>
        <v>https://docs.google.com/spreadsheets/d/1H1MjbG2y0oC0hhID4do1G0_gfyI1jag72lQd7nL3WDQ/edit?gid=1334279003#gid=1334279003</v>
      </c>
      <c r="I703" s="19" t="str">
        <f>IFERROR(__xludf.DUMMYFUNCTION("""COMPUTED_VALUE"""),"https://disk.yandex.ru/client/disk/Осмотры%20объектов%20АНО%20СМГ/509.%20Бочкова%20ул.%2C%20зу%2011А-1")</f>
        <v>https://disk.yandex.ru/client/disk/Осмотры%20объектов%20АНО%20СМГ/509.%20Бочкова%20ул.%2C%20зу%2011А-1</v>
      </c>
      <c r="J703" s="50">
        <f>IFERROR(__xludf.DUMMYFUNCTION("""COMPUTED_VALUE"""),99.81537)</f>
        <v>99.81537</v>
      </c>
      <c r="K703" s="58">
        <f>IFERROR(__xludf.DUMMYFUNCTION("""COMPUTED_VALUE"""),45954.0)</f>
        <v>45954</v>
      </c>
      <c r="L703" s="6">
        <v>7.0</v>
      </c>
      <c r="M703" s="52">
        <v>45961.0</v>
      </c>
      <c r="N703" s="53" t="s">
        <v>652</v>
      </c>
      <c r="O703" s="19" t="s">
        <v>1088</v>
      </c>
      <c r="P703" s="6"/>
      <c r="Q703" s="6"/>
      <c r="R703" s="6"/>
    </row>
    <row r="704">
      <c r="A704" s="31" t="str">
        <f>IFERROR(__xludf.DUMMYFUNCTION("""COMPUTED_VALUE"""),"452")</f>
        <v>452</v>
      </c>
      <c r="B704" s="14" t="str">
        <f>IFERROR(__xludf.DUMMYFUNCTION("""COMPUTED_VALUE"""),"РЕН-25")</f>
        <v>РЕН-25</v>
      </c>
      <c r="C704" s="14" t="str">
        <f>IFERROR(__xludf.DUMMYFUNCTION("""COMPUTED_VALUE"""),"ОКС")</f>
        <v>ОКС</v>
      </c>
      <c r="D704" s="6"/>
      <c r="E704" s="14" t="str">
        <f>IFERROR(__xludf.DUMMYFUNCTION("""COMPUTED_VALUE"""),"Ташкентская ул., з/у 29 (зона 2.1, ЖУ-7) Выхино-Жулебино, Ташкентская, з/у 29/1 мкр.137-138, зона № 2.1")</f>
        <v>Ташкентская ул., з/у 29 (зона 2.1, ЖУ-7) Выхино-Жулебино, Ташкентская, з/у 29/1 мкр.137-138, зона № 2.1</v>
      </c>
      <c r="F704" s="25" t="str">
        <f>IFERROR(__xludf.DUMMYFUNCTION("""COMPUTED_VALUE"""),"55.698135")</f>
        <v>55.698135</v>
      </c>
      <c r="G704" s="6" t="str">
        <f>IFERROR(__xludf.DUMMYFUNCTION("""COMPUTED_VALUE"""),"37.808807")</f>
        <v>37.808807</v>
      </c>
      <c r="H704" s="18" t="str">
        <f>IFERROR(__xludf.DUMMYFUNCTION("""COMPUTED_VALUE"""),"https://docs.google.com/spreadsheets/d/1H1MjbG2y0oC0hhID4do1G0_gfyI1jag72lQd7nL3WDQ/edit?gid=1608828847#gid=1608828847")</f>
        <v>https://docs.google.com/spreadsheets/d/1H1MjbG2y0oC0hhID4do1G0_gfyI1jag72lQd7nL3WDQ/edit?gid=1608828847#gid=1608828847</v>
      </c>
      <c r="I704" s="19" t="str">
        <f>IFERROR(__xludf.DUMMYFUNCTION("""COMPUTED_VALUE"""),"https://disk.yandex.ru/client/disk/Осмотры%20объектов%20АНО%20СМГ/452.%20Выхино-Жулебино%2C%20Ташкентская%2C%20з.у.%2029_1")</f>
        <v>https://disk.yandex.ru/client/disk/Осмотры%20объектов%20АНО%20СМГ/452.%20Выхино-Жулебино%2C%20Ташкентская%2C%20з.у.%2029_1</v>
      </c>
      <c r="J704" s="50">
        <f>IFERROR(__xludf.DUMMYFUNCTION("""COMPUTED_VALUE"""),100.0)</f>
        <v>100</v>
      </c>
      <c r="K704" s="58">
        <f>IFERROR(__xludf.DUMMYFUNCTION("""COMPUTED_VALUE"""),45952.0)</f>
        <v>45952</v>
      </c>
      <c r="L704" s="6" t="s">
        <v>654</v>
      </c>
      <c r="M704" s="52" t="s">
        <v>655</v>
      </c>
      <c r="N704" s="53" t="s">
        <v>656</v>
      </c>
      <c r="O704" s="19" t="s">
        <v>1089</v>
      </c>
      <c r="P704" s="6"/>
      <c r="Q704" s="6"/>
      <c r="R704" s="6"/>
    </row>
    <row r="705">
      <c r="A705" s="31" t="str">
        <f>IFERROR(__xludf.DUMMYFUNCTION("""COMPUTED_VALUE"""),"516")</f>
        <v>516</v>
      </c>
      <c r="B705" s="14" t="str">
        <f>IFERROR(__xludf.DUMMYFUNCTION("""COMPUTED_VALUE"""),"РЕН-25")</f>
        <v>РЕН-25</v>
      </c>
      <c r="C705" s="14" t="str">
        <f>IFERROR(__xludf.DUMMYFUNCTION("""COMPUTED_VALUE"""),"ОКС")</f>
        <v>ОКС</v>
      </c>
      <c r="D705" s="6"/>
      <c r="E705" s="14" t="str">
        <f>IFERROR(__xludf.DUMMYFUNCTION("""COMPUTED_VALUE"""),"Илимская ул., з/у 5 район Лианозово, ул. Илимская, з/у 5")</f>
        <v>Илимская ул., з/у 5 район Лианозово, ул. Илимская, з/у 5</v>
      </c>
      <c r="F705" s="25" t="str">
        <f>IFERROR(__xludf.DUMMYFUNCTION("""COMPUTED_VALUE"""),"55.889160")</f>
        <v>55.889160</v>
      </c>
      <c r="G705" s="6" t="str">
        <f>IFERROR(__xludf.DUMMYFUNCTION("""COMPUTED_VALUE"""),"37.580751")</f>
        <v>37.580751</v>
      </c>
      <c r="H705" s="18" t="str">
        <f>IFERROR(__xludf.DUMMYFUNCTION("""COMPUTED_VALUE"""),"https://docs.google.com/spreadsheets/d/1H1MjbG2y0oC0hhID4do1G0_gfyI1jag72lQd7nL3WDQ/edit?gid=1390124130#gid=1390124130")</f>
        <v>https://docs.google.com/spreadsheets/d/1H1MjbG2y0oC0hhID4do1G0_gfyI1jag72lQd7nL3WDQ/edit?gid=1390124130#gid=1390124130</v>
      </c>
      <c r="I705" s="19" t="str">
        <f>IFERROR(__xludf.DUMMYFUNCTION("""COMPUTED_VALUE"""),"https://disk.yandex.ru/client/disk/Осмотры%20объектов%20АНО%20СМГ/516%20Илимская%20вл%205")</f>
        <v>https://disk.yandex.ru/client/disk/Осмотры%20объектов%20АНО%20СМГ/516%20Илимская%20вл%205</v>
      </c>
      <c r="J705" s="50">
        <f>IFERROR(__xludf.DUMMYFUNCTION("""COMPUTED_VALUE"""),100.0)</f>
        <v>100</v>
      </c>
      <c r="K705" s="58">
        <f>IFERROR(__xludf.DUMMYFUNCTION("""COMPUTED_VALUE"""),45968.0)</f>
        <v>45968</v>
      </c>
      <c r="L705" s="6" t="s">
        <v>654</v>
      </c>
      <c r="M705" s="52" t="s">
        <v>655</v>
      </c>
      <c r="N705" s="53" t="s">
        <v>656</v>
      </c>
      <c r="O705" s="19" t="s">
        <v>1090</v>
      </c>
      <c r="P705" s="6"/>
      <c r="Q705" s="6"/>
      <c r="R705" s="6"/>
    </row>
    <row r="706">
      <c r="A706" s="31" t="str">
        <f>IFERROR(__xludf.DUMMYFUNCTION("""COMPUTED_VALUE"""),"497")</f>
        <v>497</v>
      </c>
      <c r="B706" s="14" t="str">
        <f>IFERROR(__xludf.DUMMYFUNCTION("""COMPUTED_VALUE"""),"РЕН-25")</f>
        <v>РЕН-25</v>
      </c>
      <c r="C706" s="14" t="str">
        <f>IFERROR(__xludf.DUMMYFUNCTION("""COMPUTED_VALUE"""),"ОКС")</f>
        <v>ОКС</v>
      </c>
      <c r="D706" s="6"/>
      <c r="E706" s="14" t="str">
        <f>IFERROR(__xludf.DUMMYFUNCTION("""COMPUTED_VALUE"""),"ул. Родниковая, влд. 4/1 район Солнцево, ул. Родниковая, д. 4А")</f>
        <v>ул. Родниковая, влд. 4/1 район Солнцево, ул. Родниковая, д. 4А</v>
      </c>
      <c r="F706" s="25" t="str">
        <f>IFERROR(__xludf.DUMMYFUNCTION("""COMPUTED_VALUE"""),"55.639494")</f>
        <v>55.639494</v>
      </c>
      <c r="G706" s="6" t="str">
        <f>IFERROR(__xludf.DUMMYFUNCTION("""COMPUTED_VALUE"""),"37.377424")</f>
        <v>37.377424</v>
      </c>
      <c r="H706" s="18" t="str">
        <f>IFERROR(__xludf.DUMMYFUNCTION("""COMPUTED_VALUE"""),"https://docs.google.com/spreadsheets/d/1H1MjbG2y0oC0hhID4do1G0_gfyI1jag72lQd7nL3WDQ/edit?gid=1190352531#gid=1190352531")</f>
        <v>https://docs.google.com/spreadsheets/d/1H1MjbG2y0oC0hhID4do1G0_gfyI1jag72lQd7nL3WDQ/edit?gid=1190352531#gid=1190352531</v>
      </c>
      <c r="I706" s="19" t="str">
        <f>IFERROR(__xludf.DUMMYFUNCTION("""COMPUTED_VALUE"""),"https://disk.yandex.ru/client/disk/Осмотры%20объектов%20АНО%20СМГ/497.%20Солнцево%2C%20Родниковая%20ул.%2C%C2%A0%20д.%204-1")</f>
        <v>https://disk.yandex.ru/client/disk/Осмотры%20объектов%20АНО%20СМГ/497.%20Солнцево%2C%20Родниковая%20ул.%2C%C2%A0%20д.%204-1</v>
      </c>
      <c r="J706" s="50">
        <f>IFERROR(__xludf.DUMMYFUNCTION("""COMPUTED_VALUE"""),96.05865)</f>
        <v>96.05865</v>
      </c>
      <c r="K706" s="58">
        <f>IFERROR(__xludf.DUMMYFUNCTION("""COMPUTED_VALUE"""),45952.0)</f>
        <v>45952</v>
      </c>
      <c r="L706" s="6">
        <v>7.0</v>
      </c>
      <c r="M706" s="52">
        <v>45959.0</v>
      </c>
      <c r="N706" s="53" t="s">
        <v>652</v>
      </c>
      <c r="O706" s="19" t="s">
        <v>1091</v>
      </c>
      <c r="P706" s="6"/>
      <c r="Q706" s="6"/>
      <c r="R706" s="6"/>
    </row>
    <row r="707">
      <c r="A707" s="31" t="str">
        <f>IFERROR(__xludf.DUMMYFUNCTION("""COMPUTED_VALUE"""),"389")</f>
        <v>389</v>
      </c>
      <c r="B707" s="14" t="str">
        <f>IFERROR(__xludf.DUMMYFUNCTION("""COMPUTED_VALUE"""),"РЕН-25")</f>
        <v>РЕН-25</v>
      </c>
      <c r="C707" s="14" t="str">
        <f>IFERROR(__xludf.DUMMYFUNCTION("""COMPUTED_VALUE"""),"ОКС")</f>
        <v>ОКС</v>
      </c>
      <c r="D707" s="6"/>
      <c r="E707" s="14" t="str">
        <f>IFERROR(__xludf.DUMMYFUNCTION("""COMPUTED_VALUE"""),"пр-д Черепановых., влд. 56А район Коптево, проезд Черепановых, вл. 56А")</f>
        <v>пр-д Черепановых., влд. 56А район Коптево, проезд Черепановых, вл. 56А</v>
      </c>
      <c r="F707" s="25" t="str">
        <f>IFERROR(__xludf.DUMMYFUNCTION("""COMPUTED_VALUE"""),"55.843565")</f>
        <v>55.843565</v>
      </c>
      <c r="G707" s="6" t="str">
        <f>IFERROR(__xludf.DUMMYFUNCTION("""COMPUTED_VALUE"""),"37.540875")</f>
        <v>37.540875</v>
      </c>
      <c r="H707" s="18" t="str">
        <f>IFERROR(__xludf.DUMMYFUNCTION("""COMPUTED_VALUE"""),"https://docs.google.com/spreadsheets/d/1H1MjbG2y0oC0hhID4do1G0_gfyI1jag72lQd7nL3WDQ/edit?gid=828728965#gid=828728965")</f>
        <v>https://docs.google.com/spreadsheets/d/1H1MjbG2y0oC0hhID4do1G0_gfyI1jag72lQd7nL3WDQ/edit?gid=828728965#gid=828728965</v>
      </c>
      <c r="I707" s="19" t="str">
        <f>IFERROR(__xludf.DUMMYFUNCTION("""COMPUTED_VALUE"""),"https://disk.yandex.ru/client/disk/Осмотры%20объектов%20АНО%20СМГ/389.%20Черепановых%20проезд%2056А")</f>
        <v>https://disk.yandex.ru/client/disk/Осмотры%20объектов%20АНО%20СМГ/389.%20Черепановых%20проезд%2056А</v>
      </c>
      <c r="J707" s="50">
        <f>IFERROR(__xludf.DUMMYFUNCTION("""COMPUTED_VALUE"""),85.33571499999998)</f>
        <v>85.335715</v>
      </c>
      <c r="K707" s="58">
        <f>IFERROR(__xludf.DUMMYFUNCTION("""COMPUTED_VALUE"""),45967.0)</f>
        <v>45967</v>
      </c>
      <c r="L707" s="6">
        <v>14.0</v>
      </c>
      <c r="M707" s="52">
        <v>45981.0</v>
      </c>
      <c r="N707" s="53" t="s">
        <v>741</v>
      </c>
      <c r="O707" s="19" t="s">
        <v>1092</v>
      </c>
      <c r="P707" s="6"/>
      <c r="Q707" s="6"/>
      <c r="R707" s="6"/>
    </row>
    <row r="708">
      <c r="A708" s="31" t="str">
        <f>IFERROR(__xludf.DUMMYFUNCTION("""COMPUTED_VALUE"""),"506")</f>
        <v>506</v>
      </c>
      <c r="B708" s="14" t="str">
        <f>IFERROR(__xludf.DUMMYFUNCTION("""COMPUTED_VALUE"""),"РЕН-25")</f>
        <v>РЕН-25</v>
      </c>
      <c r="C708" s="14" t="str">
        <f>IFERROR(__xludf.DUMMYFUNCTION("""COMPUTED_VALUE"""),"ОКС")</f>
        <v>ОКС</v>
      </c>
      <c r="D708" s="6"/>
      <c r="E708" s="14" t="str">
        <f>IFERROR(__xludf.DUMMYFUNCTION("""COMPUTED_VALUE"""),"ул. Краснобогатырская, з/у 38А (Краснобогатырская ул., вблизи вл. 38) район Богородское, Краснобогатырская ул., з/у 38А (Краснобогатырская ул., вблизи вл. 38) (Краснобогатырская ул.,д.36)")</f>
        <v>ул. Краснобогатырская, з/у 38А (Краснобогатырская ул., вблизи вл. 38) район Богородское, Краснобогатырская ул., з/у 38А (Краснобогатырская ул., вблизи вл. 38) (Краснобогатырская ул.,д.36)</v>
      </c>
      <c r="F708" s="25" t="str">
        <f>IFERROR(__xludf.DUMMYFUNCTION("""COMPUTED_VALUE"""),"55.810938")</f>
        <v>55.810938</v>
      </c>
      <c r="G708" s="6" t="str">
        <f>IFERROR(__xludf.DUMMYFUNCTION("""COMPUTED_VALUE"""),"37.700495")</f>
        <v>37.700495</v>
      </c>
      <c r="H708" s="18" t="str">
        <f>IFERROR(__xludf.DUMMYFUNCTION("""COMPUTED_VALUE"""),"https://docs.google.com/spreadsheets/d/1H1MjbG2y0oC0hhID4do1G0_gfyI1jag72lQd7nL3WDQ/edit?gid=1722375014#gid=1722375014")</f>
        <v>https://docs.google.com/spreadsheets/d/1H1MjbG2y0oC0hhID4do1G0_gfyI1jag72lQd7nL3WDQ/edit?gid=1722375014#gid=1722375014</v>
      </c>
      <c r="I708" s="19" t="str">
        <f>IFERROR(__xludf.DUMMYFUNCTION("""COMPUTED_VALUE"""),"https://disk.yandex.ru/client/disk/Осмотры%20объектов%20АНО%20СМГ/506.%20Краснобогатырская%20ул.%2C%20зу%2038А")</f>
        <v>https://disk.yandex.ru/client/disk/Осмотры%20объектов%20АНО%20СМГ/506.%20Краснобогатырская%20ул.%2C%20зу%2038А</v>
      </c>
      <c r="J708" s="50">
        <f>IFERROR(__xludf.DUMMYFUNCTION("""COMPUTED_VALUE"""),100.0)</f>
        <v>100</v>
      </c>
      <c r="K708" s="58">
        <f>IFERROR(__xludf.DUMMYFUNCTION("""COMPUTED_VALUE"""),45958.0)</f>
        <v>45958</v>
      </c>
      <c r="L708" s="6" t="s">
        <v>654</v>
      </c>
      <c r="M708" s="52" t="s">
        <v>655</v>
      </c>
      <c r="N708" s="53" t="s">
        <v>656</v>
      </c>
      <c r="O708" s="19" t="s">
        <v>1093</v>
      </c>
      <c r="P708" s="6"/>
      <c r="Q708" s="6"/>
      <c r="R708" s="6"/>
    </row>
    <row r="709">
      <c r="A709" s="31" t="str">
        <f>IFERROR(__xludf.DUMMYFUNCTION("""COMPUTED_VALUE"""),"450")</f>
        <v>450</v>
      </c>
      <c r="B709" s="14" t="str">
        <f>IFERROR(__xludf.DUMMYFUNCTION("""COMPUTED_VALUE"""),"РЕН-25")</f>
        <v>РЕН-25</v>
      </c>
      <c r="C709" s="14" t="str">
        <f>IFERROR(__xludf.DUMMYFUNCTION("""COMPUTED_VALUE"""),"ОКС")</f>
        <v>ОКС</v>
      </c>
      <c r="D709" s="6"/>
      <c r="E709" s="14" t="str">
        <f>IFERROR(__xludf.DUMMYFUNCTION("""COMPUTED_VALUE"""),"Люблинская ул., з/у 113/3 (вл. 113, корп. 1) район Люблино, ул. Люблинская, з/у 113/3 (Люблинская ул., вл. 113, корп. 1)")</f>
        <v>Люблинская ул., з/у 113/3 (вл. 113, корп. 1) район Люблино, ул. Люблинская, з/у 113/3 (Люблинская ул., вл. 113, корп. 1)</v>
      </c>
      <c r="F709" s="25" t="str">
        <f>IFERROR(__xludf.DUMMYFUNCTION("""COMPUTED_VALUE"""),"55.678605")</f>
        <v>55.678605</v>
      </c>
      <c r="G709" s="6" t="str">
        <f>IFERROR(__xludf.DUMMYFUNCTION("""COMPUTED_VALUE"""),"37.740449")</f>
        <v>37.740449</v>
      </c>
      <c r="H709" s="18" t="str">
        <f>IFERROR(__xludf.DUMMYFUNCTION("""COMPUTED_VALUE"""),"https://docs.google.com/spreadsheets/d/1H1MjbG2y0oC0hhID4do1G0_gfyI1jag72lQd7nL3WDQ/edit?gid=803822262#gid=803822262")</f>
        <v>https://docs.google.com/spreadsheets/d/1H1MjbG2y0oC0hhID4do1G0_gfyI1jag72lQd7nL3WDQ/edit?gid=803822262#gid=803822262</v>
      </c>
      <c r="I709" s="19" t="str">
        <f>IFERROR(__xludf.DUMMYFUNCTION("""COMPUTED_VALUE"""),"https://disk.yandex.ru/client/disk/Осмотры%20объектов%20АНО%20СМГ/450.%20Люблинская%20ул.%2C%20вл.%20113%2C%20корп.%203.%20Жилой%20дом")</f>
        <v>https://disk.yandex.ru/client/disk/Осмотры%20объектов%20АНО%20СМГ/450.%20Люблинская%20ул.%2C%20вл.%20113%2C%20корп.%203.%20Жилой%20дом</v>
      </c>
      <c r="J709" s="50">
        <f>IFERROR(__xludf.DUMMYFUNCTION("""COMPUTED_VALUE"""),100.0)</f>
        <v>100</v>
      </c>
      <c r="K709" s="58">
        <f>IFERROR(__xludf.DUMMYFUNCTION("""COMPUTED_VALUE"""),45947.0)</f>
        <v>45947</v>
      </c>
      <c r="L709" s="6" t="s">
        <v>654</v>
      </c>
      <c r="M709" s="52" t="s">
        <v>655</v>
      </c>
      <c r="N709" s="53" t="s">
        <v>656</v>
      </c>
      <c r="O709" s="19" t="s">
        <v>1094</v>
      </c>
      <c r="P709" s="6"/>
      <c r="Q709" s="6"/>
      <c r="R709" s="6"/>
    </row>
    <row r="710">
      <c r="A710" s="31" t="str">
        <f>IFERROR(__xludf.DUMMYFUNCTION("""COMPUTED_VALUE"""),"494")</f>
        <v>494</v>
      </c>
      <c r="B710" s="14" t="str">
        <f>IFERROR(__xludf.DUMMYFUNCTION("""COMPUTED_VALUE"""),"РЕН-25")</f>
        <v>РЕН-25</v>
      </c>
      <c r="C710" s="14" t="str">
        <f>IFERROR(__xludf.DUMMYFUNCTION("""COMPUTED_VALUE"""),"ОКС")</f>
        <v>ОКС</v>
      </c>
      <c r="D710" s="6"/>
      <c r="E710" s="14" t="str">
        <f>IFERROR(__xludf.DUMMYFUNCTION("""COMPUTED_VALUE"""),"Кантемировская ул., 43 Кантемировская ул., 43 (Кантемировская, д.41, корп.1, корп.2)")</f>
        <v>Кантемировская ул., 43 Кантемировская ул., 43 (Кантемировская, д.41, корп.1, корп.2)</v>
      </c>
      <c r="F710" s="25" t="str">
        <f>IFERROR(__xludf.DUMMYFUNCTION("""COMPUTED_VALUE"""),"55.636970")</f>
        <v>55.636970</v>
      </c>
      <c r="G710" s="6" t="str">
        <f>IFERROR(__xludf.DUMMYFUNCTION("""COMPUTED_VALUE"""),"37.657955")</f>
        <v>37.657955</v>
      </c>
      <c r="H710" s="18" t="str">
        <f>IFERROR(__xludf.DUMMYFUNCTION("""COMPUTED_VALUE"""),"https://docs.google.com/spreadsheets/d/1H1MjbG2y0oC0hhID4do1G0_gfyI1jag72lQd7nL3WDQ/edit?gid=1973217010#gid=1973217010")</f>
        <v>https://docs.google.com/spreadsheets/d/1H1MjbG2y0oC0hhID4do1G0_gfyI1jag72lQd7nL3WDQ/edit?gid=1973217010#gid=1973217010</v>
      </c>
      <c r="I710" s="19" t="str">
        <f>IFERROR(__xludf.DUMMYFUNCTION("""COMPUTED_VALUE"""),"https://disk.yandex.ru/client/disk/Осмотры%20объектов%20АНО%20СМГ/494.%20Кантемировская%20ул.%2C%2043%20реновация%20(д.43)")</f>
        <v>https://disk.yandex.ru/client/disk/Осмотры%20объектов%20АНО%20СМГ/494.%20Кантемировская%20ул.%2C%2043%20реновация%20(д.43)</v>
      </c>
      <c r="J710" s="50">
        <f>IFERROR(__xludf.DUMMYFUNCTION("""COMPUTED_VALUE"""),98.610375)</f>
        <v>98.610375</v>
      </c>
      <c r="K710" s="58">
        <f>IFERROR(__xludf.DUMMYFUNCTION("""COMPUTED_VALUE"""),45951.0)</f>
        <v>45951</v>
      </c>
      <c r="L710" s="6">
        <v>7.0</v>
      </c>
      <c r="M710" s="52">
        <v>45958.0</v>
      </c>
      <c r="N710" s="53" t="s">
        <v>652</v>
      </c>
      <c r="O710" s="19" t="s">
        <v>1095</v>
      </c>
      <c r="P710" s="6"/>
      <c r="Q710" s="6"/>
      <c r="R710" s="6"/>
    </row>
    <row r="711">
      <c r="A711" s="31" t="str">
        <f>IFERROR(__xludf.DUMMYFUNCTION("""COMPUTED_VALUE"""),"231")</f>
        <v>231</v>
      </c>
      <c r="B711" s="14" t="str">
        <f>IFERROR(__xludf.DUMMYFUNCTION("""COMPUTED_VALUE"""),"АИП-26")</f>
        <v>АИП-26</v>
      </c>
      <c r="C711" s="14" t="str">
        <f>IFERROR(__xludf.DUMMYFUNCTION("""COMPUTED_VALUE"""),"ОКС")</f>
        <v>ОКС</v>
      </c>
      <c r="D711" s="6"/>
      <c r="E711" s="14" t="str">
        <f>IFERROR(__xludf.DUMMYFUNCTION("""COMPUTED_VALUE"""),"Реконструкция Центрального Московского ипподрома, САО, Беговой, ул. Беговая, д. 22 Этап 1  г. Москва, ул. Беговая, д. 22")</f>
        <v>Реконструкция Центрального Московского ипподрома, САО, Беговой, ул. Беговая, д. 22 Этап 1  г. Москва, ул. Беговая, д. 22</v>
      </c>
      <c r="F711" s="25" t="str">
        <f>IFERROR(__xludf.DUMMYFUNCTION("""COMPUTED_VALUE"""),"55.777746")</f>
        <v>55.777746</v>
      </c>
      <c r="G711" s="6" t="str">
        <f>IFERROR(__xludf.DUMMYFUNCTION("""COMPUTED_VALUE"""),"37.558642")</f>
        <v>37.558642</v>
      </c>
      <c r="H711" s="6"/>
      <c r="I711" s="19"/>
      <c r="J711" s="50"/>
      <c r="K711" s="58"/>
      <c r="L711" s="6">
        <v>30.0</v>
      </c>
      <c r="M711" s="52" t="s">
        <v>655</v>
      </c>
      <c r="N711" s="53" t="s">
        <v>698</v>
      </c>
      <c r="O711" s="19" t="s">
        <v>1096</v>
      </c>
      <c r="P711" s="6"/>
      <c r="Q711" s="6"/>
      <c r="R711" s="6"/>
    </row>
    <row r="712">
      <c r="A712" s="31" t="str">
        <f>IFERROR(__xludf.DUMMYFUNCTION("""COMPUTED_VALUE"""),"825")</f>
        <v>825</v>
      </c>
      <c r="B712" s="14" t="str">
        <f>IFERROR(__xludf.DUMMYFUNCTION("""COMPUTED_VALUE"""),"РЕН-25")</f>
        <v>РЕН-25</v>
      </c>
      <c r="C712" s="14" t="str">
        <f>IFERROR(__xludf.DUMMYFUNCTION("""COMPUTED_VALUE"""),"ОКС")</f>
        <v>ОКС</v>
      </c>
      <c r="D712" s="6"/>
      <c r="E712" s="14" t="str">
        <f>IFERROR(__xludf.DUMMYFUNCTION("""COMPUTED_VALUE"""),"улица Маршала Чуйкова, земельный участок 9/5/1 (зоны 4.2 и 4.7) (Маршала Чуйкова ул.,д.9Б) улица Маршала Чуйкова, земельный участок 9/5/1 (зоны 4.2 и 4.7) (9/5/3А)(Маршала Чуйкова ул.,д.9Б)")</f>
        <v>улица Маршала Чуйкова, земельный участок 9/5/1 (зоны 4.2 и 4.7) (Маршала Чуйкова ул.,д.9Б) улица Маршала Чуйкова, земельный участок 9/5/1 (зоны 4.2 и 4.7) (9/5/3А)(Маршала Чуйкова ул.,д.9Б)</v>
      </c>
      <c r="F712" s="25" t="str">
        <f>IFERROR(__xludf.DUMMYFUNCTION("""COMPUTED_VALUE"""),"55.696054")</f>
        <v>55.696054</v>
      </c>
      <c r="G712" s="6" t="str">
        <f>IFERROR(__xludf.DUMMYFUNCTION("""COMPUTED_VALUE"""),"37.763112")</f>
        <v>37.763112</v>
      </c>
      <c r="H712" s="18" t="str">
        <f>IFERROR(__xludf.DUMMYFUNCTION("""COMPUTED_VALUE"""),"https://docs.google.com/spreadsheets/d/1H1MjbG2y0oC0hhID4do1G0_gfyI1jag72lQd7nL3WDQ/edit?gid=372650495#gid=372650495")</f>
        <v>https://docs.google.com/spreadsheets/d/1H1MjbG2y0oC0hhID4do1G0_gfyI1jag72lQd7nL3WDQ/edit?gid=372650495#gid=372650495</v>
      </c>
      <c r="I712" s="19" t="str">
        <f>IFERROR(__xludf.DUMMYFUNCTION("""COMPUTED_VALUE"""),"https://disk.yandex.ru/client/disk/Осмотры%20объектов%20АНО%20СМГ/825.%20район%20Кузьминки%2C%20ул.%20Маршала%20Чуйкова%2C%20зу%209.5.1%20мкр.%20113%2C113а%2C%20зона%20№4.2")</f>
        <v>https://disk.yandex.ru/client/disk/Осмотры%20объектов%20АНО%20СМГ/825.%20район%20Кузьминки%2C%20ул.%20Маршала%20Чуйкова%2C%20зу%209.5.1%20мкр.%20113%2C113а%2C%20зона%20№4.2</v>
      </c>
      <c r="J712" s="50">
        <f>IFERROR(__xludf.DUMMYFUNCTION("""COMPUTED_VALUE"""),100.0)</f>
        <v>100</v>
      </c>
      <c r="K712" s="58">
        <f>IFERROR(__xludf.DUMMYFUNCTION("""COMPUTED_VALUE"""),45945.0)</f>
        <v>45945</v>
      </c>
      <c r="L712" s="6" t="s">
        <v>654</v>
      </c>
      <c r="M712" s="52" t="s">
        <v>655</v>
      </c>
      <c r="N712" s="53" t="s">
        <v>656</v>
      </c>
      <c r="O712" s="19" t="s">
        <v>1097</v>
      </c>
      <c r="P712" s="6"/>
      <c r="Q712" s="6"/>
      <c r="R712" s="6"/>
    </row>
    <row r="713">
      <c r="A713" s="31" t="str">
        <f>IFERROR(__xludf.DUMMYFUNCTION("""COMPUTED_VALUE"""),"475")</f>
        <v>475</v>
      </c>
      <c r="B713" s="14" t="str">
        <f>IFERROR(__xludf.DUMMYFUNCTION("""COMPUTED_VALUE"""),"РЕН-25")</f>
        <v>РЕН-25</v>
      </c>
      <c r="C713" s="14" t="str">
        <f>IFERROR(__xludf.DUMMYFUNCTION("""COMPUTED_VALUE"""),"ОКС")</f>
        <v>ОКС</v>
      </c>
      <c r="D713" s="6"/>
      <c r="E713" s="14" t="str">
        <f>IFERROR(__xludf.DUMMYFUNCTION("""COMPUTED_VALUE"""),"Старокоптевский пер., з/у 7 (вл. 7) район Коптево, переулок Старокоптевский, земельный участок 7 (со сносом здания трансформаторной подстанции по адресу: Старокоптевский пер., д. 7, стр.15)")</f>
        <v>Старокоптевский пер., з/у 7 (вл. 7) район Коптево, переулок Старокоптевский, земельный участок 7 (со сносом здания трансформаторной подстанции по адресу: Старокоптевский пер., д. 7, стр.15)</v>
      </c>
      <c r="F713" s="25" t="str">
        <f>IFERROR(__xludf.DUMMYFUNCTION("""COMPUTED_VALUE"""),"55.834953")</f>
        <v>55.834953</v>
      </c>
      <c r="G713" s="6" t="str">
        <f>IFERROR(__xludf.DUMMYFUNCTION("""COMPUTED_VALUE"""),"37.515185")</f>
        <v>37.515185</v>
      </c>
      <c r="H713" s="18" t="str">
        <f>IFERROR(__xludf.DUMMYFUNCTION("""COMPUTED_VALUE"""),"https://docs.google.com/spreadsheets/d/1H1MjbG2y0oC0hhID4do1G0_gfyI1jag72lQd7nL3WDQ/edit?gid=1742187453#gid=1742187453")</f>
        <v>https://docs.google.com/spreadsheets/d/1H1MjbG2y0oC0hhID4do1G0_gfyI1jag72lQd7nL3WDQ/edit?gid=1742187453#gid=1742187453</v>
      </c>
      <c r="I713" s="19" t="str">
        <f>IFERROR(__xludf.DUMMYFUNCTION("""COMPUTED_VALUE"""),"https://disk.yandex.ru/client/disk/Осмотры%20объектов%20АНО%20СМГ/475.%20Старокоптевский%20пер.%2C%20зу%207")</f>
        <v>https://disk.yandex.ru/client/disk/Осмотры%20объектов%20АНО%20СМГ/475.%20Старокоптевский%20пер.%2C%20зу%207</v>
      </c>
      <c r="J713" s="50">
        <f>IFERROR(__xludf.DUMMYFUNCTION("""COMPUTED_VALUE"""),100.0)</f>
        <v>100</v>
      </c>
      <c r="K713" s="58">
        <f>IFERROR(__xludf.DUMMYFUNCTION("""COMPUTED_VALUE"""),45953.0)</f>
        <v>45953</v>
      </c>
      <c r="L713" s="6" t="s">
        <v>654</v>
      </c>
      <c r="M713" s="52" t="s">
        <v>655</v>
      </c>
      <c r="N713" s="53" t="s">
        <v>656</v>
      </c>
      <c r="O713" s="19" t="s">
        <v>1098</v>
      </c>
      <c r="P713" s="6"/>
      <c r="Q713" s="6"/>
      <c r="R713" s="6"/>
    </row>
    <row r="714">
      <c r="A714" s="31" t="str">
        <f>IFERROR(__xludf.DUMMYFUNCTION("""COMPUTED_VALUE"""),"491")</f>
        <v>491</v>
      </c>
      <c r="B714" s="14" t="str">
        <f>IFERROR(__xludf.DUMMYFUNCTION("""COMPUTED_VALUE"""),"РЕН-25")</f>
        <v>РЕН-25</v>
      </c>
      <c r="C714" s="14" t="str">
        <f>IFERROR(__xludf.DUMMYFUNCTION("""COMPUTED_VALUE"""),"ОКС")</f>
        <v>ОКС</v>
      </c>
      <c r="D714" s="6"/>
      <c r="E714" s="14" t="str">
        <f>IFERROR(__xludf.DUMMYFUNCTION("""COMPUTED_VALUE"""),"ул. Лобачевского, з/у 28/36 (Лобачевского ул., вл. 28-36) район Проспект Вернадского, ул. Лобачевского, з/у 28-36 (Лобачевского ул., вл. 28-36)")</f>
        <v>ул. Лобачевского, з/у 28/36 (Лобачевского ул., вл. 28-36) район Проспект Вернадского, ул. Лобачевского, з/у 28-36 (Лобачевского ул., вл. 28-36)</v>
      </c>
      <c r="F714" s="25" t="str">
        <f>IFERROR(__xludf.DUMMYFUNCTION("""COMPUTED_VALUE"""),"55.669719")</f>
        <v>55.669719</v>
      </c>
      <c r="G714" s="6" t="str">
        <f>IFERROR(__xludf.DUMMYFUNCTION("""COMPUTED_VALUE"""),"37.504939")</f>
        <v>37.504939</v>
      </c>
      <c r="H714" s="18" t="str">
        <f>IFERROR(__xludf.DUMMYFUNCTION("""COMPUTED_VALUE"""),"https://docs.google.com/spreadsheets/d/1H1MjbG2y0oC0hhID4do1G0_gfyI1jag72lQd7nL3WDQ/edit?gid=1094415968#gid=1094415968")</f>
        <v>https://docs.google.com/spreadsheets/d/1H1MjbG2y0oC0hhID4do1G0_gfyI1jag72lQd7nL3WDQ/edit?gid=1094415968#gid=1094415968</v>
      </c>
      <c r="I714" s="19" t="str">
        <f>IFERROR(__xludf.DUMMYFUNCTION("""COMPUTED_VALUE"""),"https://disk.yandex.ru/client/disk/Осмотры%20объектов%20АНО%20СМГ/491.%20проспект%20Вернадского%2C%20ул.%20Лобачевского%2C%20з-у%2028-36%20(Лобачевского%20ул.%20Вл.%2028--36)")</f>
        <v>https://disk.yandex.ru/client/disk/Осмотры%20объектов%20АНО%20СМГ/491.%20проспект%20Вернадского%2C%20ул.%20Лобачевского%2C%20з-у%2028-36%20(Лобачевского%20ул.%20Вл.%2028--36)</v>
      </c>
      <c r="J714" s="50">
        <f>IFERROR(__xludf.DUMMYFUNCTION("""COMPUTED_VALUE"""),97.37505999999999)</f>
        <v>97.37506</v>
      </c>
      <c r="K714" s="58">
        <f>IFERROR(__xludf.DUMMYFUNCTION("""COMPUTED_VALUE"""),45952.0)</f>
        <v>45952</v>
      </c>
      <c r="L714" s="6">
        <v>7.0</v>
      </c>
      <c r="M714" s="52">
        <v>45959.0</v>
      </c>
      <c r="N714" s="53" t="s">
        <v>652</v>
      </c>
      <c r="O714" s="19" t="s">
        <v>1099</v>
      </c>
      <c r="P714" s="6"/>
      <c r="Q714" s="6"/>
      <c r="R714" s="6"/>
    </row>
    <row r="715">
      <c r="A715" s="31" t="str">
        <f>IFERROR(__xludf.DUMMYFUNCTION("""COMPUTED_VALUE"""),"557")</f>
        <v>557</v>
      </c>
      <c r="B715" s="14" t="str">
        <f>IFERROR(__xludf.DUMMYFUNCTION("""COMPUTED_VALUE"""),"РЕН-25")</f>
        <v>РЕН-25</v>
      </c>
      <c r="C715" s="14" t="str">
        <f>IFERROR(__xludf.DUMMYFUNCTION("""COMPUTED_VALUE"""),"ОКС")</f>
        <v>ОКС</v>
      </c>
      <c r="D715" s="6"/>
      <c r="E715" s="14" t="str">
        <f>IFERROR(__xludf.DUMMYFUNCTION("""COMPUTED_VALUE"""),"Полярная ул., з/у 3/1 (Полярная ул., вл. 3, корп. 1) район Южное Медведково, Полярная улица, земельный участок 3/1 (Полярная ул., вл. 3, корп. 1)")</f>
        <v>Полярная ул., з/у 3/1 (Полярная ул., вл. 3, корп. 1) район Южное Медведково, Полярная улица, земельный участок 3/1 (Полярная ул., вл. 3, корп. 1)</v>
      </c>
      <c r="F715" s="25" t="str">
        <f>IFERROR(__xludf.DUMMYFUNCTION("""COMPUTED_VALUE"""),"55.872476")</f>
        <v>55.872476</v>
      </c>
      <c r="G715" s="6" t="str">
        <f>IFERROR(__xludf.DUMMYFUNCTION("""COMPUTED_VALUE"""),"37.636814")</f>
        <v>37.636814</v>
      </c>
      <c r="H715" s="18" t="str">
        <f>IFERROR(__xludf.DUMMYFUNCTION("""COMPUTED_VALUE"""),"https://docs.google.com/spreadsheets/d/1H1MjbG2y0oC0hhID4do1G0_gfyI1jag72lQd7nL3WDQ/edit?gid=1490545737#gid=1490545737")</f>
        <v>https://docs.google.com/spreadsheets/d/1H1MjbG2y0oC0hhID4do1G0_gfyI1jag72lQd7nL3WDQ/edit?gid=1490545737#gid=1490545737</v>
      </c>
      <c r="I715" s="19" t="str">
        <f>IFERROR(__xludf.DUMMYFUNCTION("""COMPUTED_VALUE"""),"https://disk.yandex.ru/client/disk/Осмотры%20объектов%20АНО%20СМГ/557.%20Полярная%20ул.%2C%20зу%203%201")</f>
        <v>https://disk.yandex.ru/client/disk/Осмотры%20объектов%20АНО%20СМГ/557.%20Полярная%20ул.%2C%20зу%203%201</v>
      </c>
      <c r="J715" s="50">
        <f>IFERROR(__xludf.DUMMYFUNCTION("""COMPUTED_VALUE"""),99.90775)</f>
        <v>99.90775</v>
      </c>
      <c r="K715" s="58">
        <f>IFERROR(__xludf.DUMMYFUNCTION("""COMPUTED_VALUE"""),45952.0)</f>
        <v>45952</v>
      </c>
      <c r="L715" s="6">
        <v>7.0</v>
      </c>
      <c r="M715" s="52">
        <v>45959.0</v>
      </c>
      <c r="N715" s="53" t="s">
        <v>652</v>
      </c>
      <c r="O715" s="19" t="s">
        <v>1100</v>
      </c>
      <c r="P715" s="6"/>
      <c r="Q715" s="6"/>
      <c r="R715" s="6"/>
    </row>
    <row r="716">
      <c r="A716" s="31" t="str">
        <f>IFERROR(__xludf.DUMMYFUNCTION("""COMPUTED_VALUE"""),"515")</f>
        <v>515</v>
      </c>
      <c r="B716" s="14" t="str">
        <f>IFERROR(__xludf.DUMMYFUNCTION("""COMPUTED_VALUE"""),"РЕН-25")</f>
        <v>РЕН-25</v>
      </c>
      <c r="C716" s="14" t="str">
        <f>IFERROR(__xludf.DUMMYFUNCTION("""COMPUTED_VALUE"""),"ОКС")</f>
        <v>ОКС</v>
      </c>
      <c r="D716" s="6"/>
      <c r="E716" s="14" t="str">
        <f>IFERROR(__xludf.DUMMYFUNCTION("""COMPUTED_VALUE"""),"11-я Парковая ул., з/у 57 район Северное Измайлово, ул. 11-я Парковая, з/у 57")</f>
        <v>11-я Парковая ул., з/у 57 район Северное Измайлово, ул. 11-я Парковая, з/у 57</v>
      </c>
      <c r="F716" s="25" t="str">
        <f>IFERROR(__xludf.DUMMYFUNCTION("""COMPUTED_VALUE"""),"55.809783")</f>
        <v>55.809783</v>
      </c>
      <c r="G716" s="6" t="str">
        <f>IFERROR(__xludf.DUMMYFUNCTION("""COMPUTED_VALUE"""),"37.803541")</f>
        <v>37.803541</v>
      </c>
      <c r="H716" s="18" t="str">
        <f>IFERROR(__xludf.DUMMYFUNCTION("""COMPUTED_VALUE"""),"https://docs.google.com/spreadsheets/d/1H1MjbG2y0oC0hhID4do1G0_gfyI1jag72lQd7nL3WDQ/edit?gid=1582876076#gid=1582876076")</f>
        <v>https://docs.google.com/spreadsheets/d/1H1MjbG2y0oC0hhID4do1G0_gfyI1jag72lQd7nL3WDQ/edit?gid=1582876076#gid=1582876076</v>
      </c>
      <c r="I716" s="19" t="str">
        <f>IFERROR(__xludf.DUMMYFUNCTION("""COMPUTED_VALUE"""),"https://disk.yandex.ru/client/disk/Осмотры%20объектов%20АНО%20СМГ/515.%20Северное%20Измайлово%2C%2011-я%20Парковаяул.%2057")</f>
        <v>https://disk.yandex.ru/client/disk/Осмотры%20объектов%20АНО%20СМГ/515.%20Северное%20Измайлово%2C%2011-я%20Парковаяул.%2057</v>
      </c>
      <c r="J716" s="50">
        <f>IFERROR(__xludf.DUMMYFUNCTION("""COMPUTED_VALUE"""),69.080985)</f>
        <v>69.080985</v>
      </c>
      <c r="K716" s="58">
        <f>IFERROR(__xludf.DUMMYFUNCTION("""COMPUTED_VALUE"""),45967.0)</f>
        <v>45967</v>
      </c>
      <c r="L716" s="6">
        <v>14.0</v>
      </c>
      <c r="M716" s="52">
        <v>45981.0</v>
      </c>
      <c r="N716" s="53" t="s">
        <v>741</v>
      </c>
      <c r="O716" s="19" t="s">
        <v>669</v>
      </c>
      <c r="P716" s="6"/>
      <c r="Q716" s="6"/>
      <c r="R716" s="6"/>
    </row>
    <row r="717">
      <c r="A717" s="31" t="str">
        <f>IFERROR(__xludf.DUMMYFUNCTION("""COMPUTED_VALUE"""),"548")</f>
        <v>548</v>
      </c>
      <c r="B717" s="14" t="str">
        <f>IFERROR(__xludf.DUMMYFUNCTION("""COMPUTED_VALUE"""),"РЕН-25")</f>
        <v>РЕН-25</v>
      </c>
      <c r="C717" s="14" t="str">
        <f>IFERROR(__xludf.DUMMYFUNCTION("""COMPUTED_VALUE"""),"ОКС")</f>
        <v>ОКС</v>
      </c>
      <c r="D717" s="6"/>
      <c r="E717" s="14" t="str">
        <f>IFERROR(__xludf.DUMMYFUNCTION("""COMPUTED_VALUE"""),"2-я Фрезерная, з/у 6 (2-я Фрезерная ул., вл. 6) район Нижегородский, 2-я Фрезерная, з/у 6 (2-я Фрезерная ул., вл. 6)")</f>
        <v>2-я Фрезерная, з/у 6 (2-я Фрезерная ул., вл. 6) район Нижегородский, 2-я Фрезерная, з/у 6 (2-я Фрезерная ул., вл. 6)</v>
      </c>
      <c r="F717" s="25" t="str">
        <f>IFERROR(__xludf.DUMMYFUNCTION("""COMPUTED_VALUE"""),"55.739866")</f>
        <v>55.739866</v>
      </c>
      <c r="G717" s="6" t="str">
        <f>IFERROR(__xludf.DUMMYFUNCTION("""COMPUTED_VALUE"""),"37.740280")</f>
        <v>37.740280</v>
      </c>
      <c r="H717" s="18" t="str">
        <f>IFERROR(__xludf.DUMMYFUNCTION("""COMPUTED_VALUE"""),"https://docs.google.com/spreadsheets/d/1H1MjbG2y0oC0hhID4do1G0_gfyI1jag72lQd7nL3WDQ/edit?gid=2123184099#gid=2123184099")</f>
        <v>https://docs.google.com/spreadsheets/d/1H1MjbG2y0oC0hhID4do1G0_gfyI1jag72lQd7nL3WDQ/edit?gid=2123184099#gid=2123184099</v>
      </c>
      <c r="I717" s="19" t="str">
        <f>IFERROR(__xludf.DUMMYFUNCTION("""COMPUTED_VALUE"""),"https://disk.yandex.ru/client/disk/Осмотры%20объектов%20АНО%20СМГ/548.%202-я%20Фрезерная%20ул%20вл%206%20(рефинансирование)%20White%20Box")</f>
        <v>https://disk.yandex.ru/client/disk/Осмотры%20объектов%20АНО%20СМГ/548.%202-я%20Фрезерная%20ул%20вл%206%20(рефинансирование)%20White%20Box</v>
      </c>
      <c r="J717" s="50">
        <f>IFERROR(__xludf.DUMMYFUNCTION("""COMPUTED_VALUE"""),79.05030000000001)</f>
        <v>79.0503</v>
      </c>
      <c r="K717" s="58">
        <f>IFERROR(__xludf.DUMMYFUNCTION("""COMPUTED_VALUE"""),45967.0)</f>
        <v>45967</v>
      </c>
      <c r="L717" s="6">
        <v>14.0</v>
      </c>
      <c r="M717" s="52">
        <v>45981.0</v>
      </c>
      <c r="N717" s="53" t="s">
        <v>741</v>
      </c>
      <c r="O717" s="19" t="s">
        <v>669</v>
      </c>
      <c r="P717" s="6"/>
      <c r="Q717" s="6"/>
      <c r="R717" s="6"/>
    </row>
    <row r="718">
      <c r="A718" s="31" t="str">
        <f>IFERROR(__xludf.DUMMYFUNCTION("""COMPUTED_VALUE"""),"547")</f>
        <v>547</v>
      </c>
      <c r="B718" s="14" t="str">
        <f>IFERROR(__xludf.DUMMYFUNCTION("""COMPUTED_VALUE"""),"РЕН-25")</f>
        <v>РЕН-25</v>
      </c>
      <c r="C718" s="14" t="str">
        <f>IFERROR(__xludf.DUMMYFUNCTION("""COMPUTED_VALUE"""),"ОКС")</f>
        <v>ОКС</v>
      </c>
      <c r="D718" s="6"/>
      <c r="E718" s="14" t="str">
        <f>IFERROR(__xludf.DUMMYFUNCTION("""COMPUTED_VALUE"""),"Булатниковский пр-д, з/у 2Б (Булатниковский пр-д, вл. 2Б) район Бирюлёво, Булатниковский пр-д, з/у 2Б (Булатниковский пр-д, вл. 2Б) (Харьковский пр., д.1А, корп.2)")</f>
        <v>Булатниковский пр-д, з/у 2Б (Булатниковский пр-д, вл. 2Б) район Бирюлёво, Булатниковский пр-д, з/у 2Б (Булатниковский пр-д, вл. 2Б) (Харьковский пр., д.1А, корп.2)</v>
      </c>
      <c r="F718" s="25" t="str">
        <f>IFERROR(__xludf.DUMMYFUNCTION("""COMPUTED_VALUE"""),"55.594614")</f>
        <v>55.594614</v>
      </c>
      <c r="G718" s="6" t="str">
        <f>IFERROR(__xludf.DUMMYFUNCTION("""COMPUTED_VALUE"""),"37.648514")</f>
        <v>37.648514</v>
      </c>
      <c r="H718" s="18" t="str">
        <f>IFERROR(__xludf.DUMMYFUNCTION("""COMPUTED_VALUE"""),"https://docs.google.com/spreadsheets/d/1H1MjbG2y0oC0hhID4do1G0_gfyI1jag72lQd7nL3WDQ/edit?gid=955881279#gid=955881279")</f>
        <v>https://docs.google.com/spreadsheets/d/1H1MjbG2y0oC0hhID4do1G0_gfyI1jag72lQd7nL3WDQ/edit?gid=955881279#gid=955881279</v>
      </c>
      <c r="I718" s="19" t="str">
        <f>IFERROR(__xludf.DUMMYFUNCTION("""COMPUTED_VALUE"""),"https://disk.yandex.ru/client/disk/Осмотры%20объектов%20АНО%20СМГ/547.%20Булатниковский%20проезд%202Б%20ЖК%20реновация")</f>
        <v>https://disk.yandex.ru/client/disk/Осмотры%20объектов%20АНО%20СМГ/547.%20Булатниковский%20проезд%202Б%20ЖК%20реновация</v>
      </c>
      <c r="J718" s="50">
        <f>IFERROR(__xludf.DUMMYFUNCTION("""COMPUTED_VALUE"""),100.0)</f>
        <v>100</v>
      </c>
      <c r="K718" s="58">
        <f>IFERROR(__xludf.DUMMYFUNCTION("""COMPUTED_VALUE"""),45952.0)</f>
        <v>45952</v>
      </c>
      <c r="L718" s="6" t="s">
        <v>654</v>
      </c>
      <c r="M718" s="52" t="s">
        <v>655</v>
      </c>
      <c r="N718" s="53" t="s">
        <v>656</v>
      </c>
      <c r="O718" s="19" t="s">
        <v>1101</v>
      </c>
      <c r="P718" s="6"/>
      <c r="Q718" s="6"/>
      <c r="R718" s="6"/>
    </row>
    <row r="719">
      <c r="A719" s="31" t="str">
        <f>IFERROR(__xludf.DUMMYFUNCTION("""COMPUTED_VALUE"""),"518")</f>
        <v>518</v>
      </c>
      <c r="B719" s="14" t="str">
        <f>IFERROR(__xludf.DUMMYFUNCTION("""COMPUTED_VALUE"""),"РЕН-25")</f>
        <v>РЕН-25</v>
      </c>
      <c r="C719" s="14" t="str">
        <f>IFERROR(__xludf.DUMMYFUNCTION("""COMPUTED_VALUE"""),"ОКС")</f>
        <v>ОКС</v>
      </c>
      <c r="D719" s="6"/>
      <c r="E719" s="14" t="str">
        <f>IFERROR(__xludf.DUMMYFUNCTION("""COMPUTED_VALUE"""),"ул. Академика Королева, з/у 21/1 район Марфино, ул. Академика Королева, з/у 21/1")</f>
        <v>ул. Академика Королева, з/у 21/1 район Марфино, ул. Академика Королева, з/у 21/1</v>
      </c>
      <c r="F719" s="25" t="str">
        <f>IFERROR(__xludf.DUMMYFUNCTION("""COMPUTED_VALUE"""),"55.820548")</f>
        <v>55.820548</v>
      </c>
      <c r="G719" s="6" t="str">
        <f>IFERROR(__xludf.DUMMYFUNCTION("""COMPUTED_VALUE"""),"37.600205")</f>
        <v>37.600205</v>
      </c>
      <c r="H719" s="18" t="str">
        <f>IFERROR(__xludf.DUMMYFUNCTION("""COMPUTED_VALUE"""),"https://docs.google.com/spreadsheets/d/1H1MjbG2y0oC0hhID4do1G0_gfyI1jag72lQd7nL3WDQ/edit?gid=607862402#gid=607862402")</f>
        <v>https://docs.google.com/spreadsheets/d/1H1MjbG2y0oC0hhID4do1G0_gfyI1jag72lQd7nL3WDQ/edit?gid=607862402#gid=607862402</v>
      </c>
      <c r="I719" s="19" t="str">
        <f>IFERROR(__xludf.DUMMYFUNCTION("""COMPUTED_VALUE"""),"https://disk.yandex.ru/client/disk/Осмотры%20объектов%20АНО%20СМГ/518.%20Академика%20Королева%2C%20вл.21")</f>
        <v>https://disk.yandex.ru/client/disk/Осмотры%20объектов%20АНО%20СМГ/518.%20Академика%20Королева%2C%20вл.21</v>
      </c>
      <c r="J719" s="50">
        <f>IFERROR(__xludf.DUMMYFUNCTION("""COMPUTED_VALUE"""),99.928)</f>
        <v>99.928</v>
      </c>
      <c r="K719" s="58">
        <f>IFERROR(__xludf.DUMMYFUNCTION("""COMPUTED_VALUE"""),45954.0)</f>
        <v>45954</v>
      </c>
      <c r="L719" s="6">
        <v>7.0</v>
      </c>
      <c r="M719" s="52">
        <v>45961.0</v>
      </c>
      <c r="N719" s="53" t="s">
        <v>652</v>
      </c>
      <c r="O719" s="19" t="s">
        <v>1102</v>
      </c>
      <c r="P719" s="6"/>
      <c r="Q719" s="6"/>
      <c r="R719" s="6"/>
    </row>
    <row r="720">
      <c r="A720" s="31" t="str">
        <f>IFERROR(__xludf.DUMMYFUNCTION("""COMPUTED_VALUE"""),"499")</f>
        <v>499</v>
      </c>
      <c r="B720" s="14" t="str">
        <f>IFERROR(__xludf.DUMMYFUNCTION("""COMPUTED_VALUE"""),"РЕН-25")</f>
        <v>РЕН-25</v>
      </c>
      <c r="C720" s="14" t="str">
        <f>IFERROR(__xludf.DUMMYFUNCTION("""COMPUTED_VALUE"""),"ОКС")</f>
        <v>ОКС</v>
      </c>
      <c r="D720" s="6"/>
      <c r="E720" s="14" t="str">
        <f>IFERROR(__xludf.DUMMYFUNCTION("""COMPUTED_VALUE"""),"Варшавское шос., з/у 47/2 (Варшавское шос., влд.47, к.2) район Нагатино-Садовники, Варшавское шос., з/у 47/2 (Варшавское шос., влд.47, к.2)")</f>
        <v>Варшавское шос., з/у 47/2 (Варшавское шос., влд.47, к.2) район Нагатино-Садовники, Варшавское шос., з/у 47/2 (Варшавское шос., влд.47, к.2)</v>
      </c>
      <c r="F720" s="25" t="str">
        <f>IFERROR(__xludf.DUMMYFUNCTION("""COMPUTED_VALUE"""),"55.679346")</f>
        <v>55.679346</v>
      </c>
      <c r="G720" s="6" t="str">
        <f>IFERROR(__xludf.DUMMYFUNCTION("""COMPUTED_VALUE"""),"37.627319")</f>
        <v>37.627319</v>
      </c>
      <c r="H720" s="18" t="str">
        <f>IFERROR(__xludf.DUMMYFUNCTION("""COMPUTED_VALUE"""),"https://docs.google.com/spreadsheets/d/1H1MjbG2y0oC0hhID4do1G0_gfyI1jag72lQd7nL3WDQ/edit?gid=32132627#gid=32132627")</f>
        <v>https://docs.google.com/spreadsheets/d/1H1MjbG2y0oC0hhID4do1G0_gfyI1jag72lQd7nL3WDQ/edit?gid=32132627#gid=32132627</v>
      </c>
      <c r="I720" s="19" t="str">
        <f>IFERROR(__xludf.DUMMYFUNCTION("""COMPUTED_VALUE"""),"https://disk.yandex.ru/client/disk/Осмотры%20объектов%20АНО%20СМГ/499.%20Варшавское%20ш.%2C%20вл.%2047%2C%20к.%202.%20ЖК%20реновация")</f>
        <v>https://disk.yandex.ru/client/disk/Осмотры%20объектов%20АНО%20СМГ/499.%20Варшавское%20ш.%2C%20вл.%2047%2C%20к.%202.%20ЖК%20реновация</v>
      </c>
      <c r="J720" s="50">
        <f>IFERROR(__xludf.DUMMYFUNCTION("""COMPUTED_VALUE"""),100.0)</f>
        <v>100</v>
      </c>
      <c r="K720" s="58">
        <f>IFERROR(__xludf.DUMMYFUNCTION("""COMPUTED_VALUE"""),45952.0)</f>
        <v>45952</v>
      </c>
      <c r="L720" s="6" t="s">
        <v>654</v>
      </c>
      <c r="M720" s="52" t="s">
        <v>655</v>
      </c>
      <c r="N720" s="53" t="s">
        <v>656</v>
      </c>
      <c r="O720" s="19" t="s">
        <v>1103</v>
      </c>
      <c r="P720" s="6"/>
      <c r="Q720" s="6"/>
      <c r="R720" s="6"/>
    </row>
    <row r="721">
      <c r="A721" s="31" t="str">
        <f>IFERROR(__xludf.DUMMYFUNCTION("""COMPUTED_VALUE"""),"567")</f>
        <v>567</v>
      </c>
      <c r="B721" s="14" t="str">
        <f>IFERROR(__xludf.DUMMYFUNCTION("""COMPUTED_VALUE"""),"РЕН-25")</f>
        <v>РЕН-25</v>
      </c>
      <c r="C721" s="14" t="str">
        <f>IFERROR(__xludf.DUMMYFUNCTION("""COMPUTED_VALUE"""),"ОКС")</f>
        <v>ОКС</v>
      </c>
      <c r="D721" s="6"/>
      <c r="E721" s="14" t="str">
        <f>IFERROR(__xludf.DUMMYFUNCTION("""COMPUTED_VALUE"""),"ул. Гарибальди, з/у 26 (участок 2.2) район Обручевский, Гарибальди ул., вл.26, квартал 26-27, участок 2.2")</f>
        <v>ул. Гарибальди, з/у 26 (участок 2.2) район Обручевский, Гарибальди ул., вл.26, квартал 26-27, участок 2.2</v>
      </c>
      <c r="F721" s="25" t="str">
        <f>IFERROR(__xludf.DUMMYFUNCTION("""COMPUTED_VALUE"""),"55.670770")</f>
        <v>55.670770</v>
      </c>
      <c r="G721" s="6" t="str">
        <f>IFERROR(__xludf.DUMMYFUNCTION("""COMPUTED_VALUE"""),"37.548939")</f>
        <v>37.548939</v>
      </c>
      <c r="H721" s="18" t="str">
        <f>IFERROR(__xludf.DUMMYFUNCTION("""COMPUTED_VALUE"""),"https://docs.google.com/spreadsheets/d/1H1MjbG2y0oC0hhID4do1G0_gfyI1jag72lQd7nL3WDQ/edit?gid=335429819#gid=335429819")</f>
        <v>https://docs.google.com/spreadsheets/d/1H1MjbG2y0oC0hhID4do1G0_gfyI1jag72lQd7nL3WDQ/edit?gid=335429819#gid=335429819</v>
      </c>
      <c r="I721" s="19" t="str">
        <f>IFERROR(__xludf.DUMMYFUNCTION("""COMPUTED_VALUE"""),"https://disk.yandex.ru/client/disk/Осмотры%20объектов%20АНО%20СМГ/567.%20Гарибальди%20вл.26%2C%20квартал%2026-27%20зона%202.2")</f>
        <v>https://disk.yandex.ru/client/disk/Осмотры%20объектов%20АНО%20СМГ/567.%20Гарибальди%20вл.26%2C%20квартал%2026-27%20зона%202.2</v>
      </c>
      <c r="J721" s="50">
        <f>IFERROR(__xludf.DUMMYFUNCTION("""COMPUTED_VALUE"""),100.0)</f>
        <v>100</v>
      </c>
      <c r="K721" s="58">
        <f>IFERROR(__xludf.DUMMYFUNCTION("""COMPUTED_VALUE"""),45972.0)</f>
        <v>45972</v>
      </c>
      <c r="L721" s="6" t="s">
        <v>654</v>
      </c>
      <c r="M721" s="52" t="s">
        <v>655</v>
      </c>
      <c r="N721" s="53" t="s">
        <v>656</v>
      </c>
      <c r="O721" s="19" t="s">
        <v>1104</v>
      </c>
      <c r="P721" s="6"/>
      <c r="Q721" s="6"/>
      <c r="R721" s="6"/>
    </row>
    <row r="722">
      <c r="A722" s="31" t="str">
        <f>IFERROR(__xludf.DUMMYFUNCTION("""COMPUTED_VALUE"""),"474")</f>
        <v>474</v>
      </c>
      <c r="B722" s="14" t="str">
        <f>IFERROR(__xludf.DUMMYFUNCTION("""COMPUTED_VALUE"""),"РЕН-25")</f>
        <v>РЕН-25</v>
      </c>
      <c r="C722" s="14" t="str">
        <f>IFERROR(__xludf.DUMMYFUNCTION("""COMPUTED_VALUE"""),"ОКС")</f>
        <v>ОКС</v>
      </c>
      <c r="D722" s="6"/>
      <c r="E722" s="14" t="str">
        <f>IFERROR(__xludf.DUMMYFUNCTION("""COMPUTED_VALUE"""),"Генерала Глаголева ул., з/у 9 (вл. 9, корп. 1) Генерала Глаголева ул., з/у 9 (вл. 9, корп. 1) (д.11 корп.1)")</f>
        <v>Генерала Глаголева ул., з/у 9 (вл. 9, корп. 1) Генерала Глаголева ул., з/у 9 (вл. 9, корп. 1) (д.11 корп.1)</v>
      </c>
      <c r="F722" s="25" t="str">
        <f>IFERROR(__xludf.DUMMYFUNCTION("""COMPUTED_VALUE"""),"55.781669")</f>
        <v>55.781669</v>
      </c>
      <c r="G722" s="6" t="str">
        <f>IFERROR(__xludf.DUMMYFUNCTION("""COMPUTED_VALUE"""),"37.461154")</f>
        <v>37.461154</v>
      </c>
      <c r="H722" s="18" t="str">
        <f>IFERROR(__xludf.DUMMYFUNCTION("""COMPUTED_VALUE"""),"https://docs.google.com/spreadsheets/d/1H1MjbG2y0oC0hhID4do1G0_gfyI1jag72lQd7nL3WDQ/edit?gid=881100781#gid=881100781")</f>
        <v>https://docs.google.com/spreadsheets/d/1H1MjbG2y0oC0hhID4do1G0_gfyI1jag72lQd7nL3WDQ/edit?gid=881100781#gid=881100781</v>
      </c>
      <c r="I722" s="19" t="str">
        <f>IFERROR(__xludf.DUMMYFUNCTION("""COMPUTED_VALUE"""),"https://disk.yandex.ru/client/disk/Осмотры%20объектов%20АНО%20СМГ/474%20Генерала%20Глаголева%20%20вл%209")</f>
        <v>https://disk.yandex.ru/client/disk/Осмотры%20объектов%20АНО%20СМГ/474%20Генерала%20Глаголева%20%20вл%209</v>
      </c>
      <c r="J722" s="50">
        <f>IFERROR(__xludf.DUMMYFUNCTION("""COMPUTED_VALUE"""),100.0)</f>
        <v>100</v>
      </c>
      <c r="K722" s="58">
        <f>IFERROR(__xludf.DUMMYFUNCTION("""COMPUTED_VALUE"""),45943.0)</f>
        <v>45943</v>
      </c>
      <c r="L722" s="6" t="s">
        <v>654</v>
      </c>
      <c r="M722" s="52" t="s">
        <v>655</v>
      </c>
      <c r="N722" s="53" t="s">
        <v>656</v>
      </c>
      <c r="O722" s="19" t="s">
        <v>1105</v>
      </c>
      <c r="P722" s="6"/>
      <c r="Q722" s="6"/>
      <c r="R722" s="6"/>
    </row>
    <row r="723">
      <c r="A723" s="31" t="str">
        <f>IFERROR(__xludf.DUMMYFUNCTION("""COMPUTED_VALUE"""),"593")</f>
        <v>593</v>
      </c>
      <c r="B723" s="14" t="str">
        <f>IFERROR(__xludf.DUMMYFUNCTION("""COMPUTED_VALUE"""),"РЕН-25")</f>
        <v>РЕН-25</v>
      </c>
      <c r="C723" s="14" t="str">
        <f>IFERROR(__xludf.DUMMYFUNCTION("""COMPUTED_VALUE"""),"ОКС")</f>
        <v>ОКС</v>
      </c>
      <c r="D723" s="6"/>
      <c r="E723" s="14" t="str">
        <f>IFERROR(__xludf.DUMMYFUNCTION("""COMPUTED_VALUE"""),"Люблинская ул., з/у 52/1 (зона №1.1) Улица Люблинская, д.52, к.1")</f>
        <v>Люблинская ул., з/у 52/1 (зона №1.1) Улица Люблинская, д.52, к.1</v>
      </c>
      <c r="F723" s="25" t="str">
        <f>IFERROR(__xludf.DUMMYFUNCTION("""COMPUTED_VALUE"""),"55.678233")</f>
        <v>55.678233</v>
      </c>
      <c r="G723" s="6" t="str">
        <f>IFERROR(__xludf.DUMMYFUNCTION("""COMPUTED_VALUE"""),"37.737429")</f>
        <v>37.737429</v>
      </c>
      <c r="H723" s="18" t="str">
        <f>IFERROR(__xludf.DUMMYFUNCTION("""COMPUTED_VALUE"""),"https://docs.google.com/spreadsheets/d/1H1MjbG2y0oC0hhID4do1G0_gfyI1jag72lQd7nL3WDQ/edit?gid=1303982691#gid=1303982691")</f>
        <v>https://docs.google.com/spreadsheets/d/1H1MjbG2y0oC0hhID4do1G0_gfyI1jag72lQd7nL3WDQ/edit?gid=1303982691#gid=1303982691</v>
      </c>
      <c r="I723" s="19" t="str">
        <f>IFERROR(__xludf.DUMMYFUNCTION("""COMPUTED_VALUE"""),"https://disk.yandex.ru/client/disk/Осмотры%20объектов%20АНО%20СМГ/593.%20Люблинская%20ул.%2C%20з!у%20%2052!1%2C%20%20кв.%20А%2C%20Б%2C%20Г%2C%20Е%2C%20зона%20№%20%201.1")</f>
        <v>https://disk.yandex.ru/client/disk/Осмотры%20объектов%20АНО%20СМГ/593.%20Люблинская%20ул.%2C%20з!у%20%2052!1%2C%20%20кв.%20А%2C%20Б%2C%20Г%2C%20Е%2C%20зона%20№%20%201.1</v>
      </c>
      <c r="J723" s="50">
        <f>IFERROR(__xludf.DUMMYFUNCTION("""COMPUTED_VALUE"""),95.74027499999998)</f>
        <v>95.740275</v>
      </c>
      <c r="K723" s="58">
        <f>IFERROR(__xludf.DUMMYFUNCTION("""COMPUTED_VALUE"""),45952.0)</f>
        <v>45952</v>
      </c>
      <c r="L723" s="6">
        <v>7.0</v>
      </c>
      <c r="M723" s="52">
        <v>45959.0</v>
      </c>
      <c r="N723" s="53" t="s">
        <v>652</v>
      </c>
      <c r="O723" s="19" t="s">
        <v>1105</v>
      </c>
      <c r="P723" s="6"/>
      <c r="Q723" s="6"/>
      <c r="R723" s="6"/>
    </row>
    <row r="724">
      <c r="A724" s="31" t="str">
        <f>IFERROR(__xludf.DUMMYFUNCTION("""COMPUTED_VALUE"""),"601")</f>
        <v>601</v>
      </c>
      <c r="B724" s="14" t="str">
        <f>IFERROR(__xludf.DUMMYFUNCTION("""COMPUTED_VALUE"""),"РЕН-25")</f>
        <v>РЕН-25</v>
      </c>
      <c r="C724" s="14" t="str">
        <f>IFERROR(__xludf.DUMMYFUNCTION("""COMPUTED_VALUE"""),"ОКС")</f>
        <v>ОКС</v>
      </c>
      <c r="D724" s="6"/>
      <c r="E724" s="14" t="str">
        <f>IFERROR(__xludf.DUMMYFUNCTION("""COMPUTED_VALUE"""),"г. Зеленоград, ул. Заводская, 8 район Крюково, Заводская ул., 8 (со сносом жилых зданий по адресам: ул.Заводская, д.6а; ул. Заводская, д.8; ул. Заводская, д.10; ул. Заводская, д.12а)")</f>
        <v>г. Зеленоград, ул. Заводская, 8 район Крюково, Заводская ул., 8 (со сносом жилых зданий по адресам: ул.Заводская, д.6а; ул. Заводская, д.8; ул. Заводская, д.10; ул. Заводская, д.12а)</v>
      </c>
      <c r="F724" s="25" t="str">
        <f>IFERROR(__xludf.DUMMYFUNCTION("""COMPUTED_VALUE"""),"55.976389")</f>
        <v>55.976389</v>
      </c>
      <c r="G724" s="6" t="str">
        <f>IFERROR(__xludf.DUMMYFUNCTION("""COMPUTED_VALUE"""),"37.177202")</f>
        <v>37.177202</v>
      </c>
      <c r="H724" s="18" t="str">
        <f>IFERROR(__xludf.DUMMYFUNCTION("""COMPUTED_VALUE"""),"https://docs.google.com/spreadsheets/d/1H1MjbG2y0oC0hhID4do1G0_gfyI1jag72lQd7nL3WDQ/edit?gid=1947915664#gid=1947915664")</f>
        <v>https://docs.google.com/spreadsheets/d/1H1MjbG2y0oC0hhID4do1G0_gfyI1jag72lQd7nL3WDQ/edit?gid=1947915664#gid=1947915664</v>
      </c>
      <c r="I724" s="19" t="str">
        <f>IFERROR(__xludf.DUMMYFUNCTION("""COMPUTED_VALUE"""),"https://disk.yandex.ru/client/disk/Осмотры%20объектов%20АНО%20СМГ/601%20Заводская%208%20ЗелАО%20Крюково")</f>
        <v>https://disk.yandex.ru/client/disk/Осмотры%20объектов%20АНО%20СМГ/601%20Заводская%208%20ЗелАО%20Крюково</v>
      </c>
      <c r="J724" s="50">
        <f>IFERROR(__xludf.DUMMYFUNCTION("""COMPUTED_VALUE"""),88.13133499999998)</f>
        <v>88.131335</v>
      </c>
      <c r="K724" s="58">
        <f>IFERROR(__xludf.DUMMYFUNCTION("""COMPUTED_VALUE"""),45960.0)</f>
        <v>45960</v>
      </c>
      <c r="L724" s="6">
        <v>14.0</v>
      </c>
      <c r="M724" s="52">
        <v>45974.0</v>
      </c>
      <c r="N724" s="53" t="s">
        <v>668</v>
      </c>
      <c r="O724" s="19" t="s">
        <v>1106</v>
      </c>
      <c r="P724" s="6"/>
      <c r="Q724" s="6"/>
      <c r="R724" s="6"/>
    </row>
    <row r="725">
      <c r="A725" s="31" t="str">
        <f>IFERROR(__xludf.DUMMYFUNCTION("""COMPUTED_VALUE"""),"587")</f>
        <v>587</v>
      </c>
      <c r="B725" s="14" t="str">
        <f>IFERROR(__xludf.DUMMYFUNCTION("""COMPUTED_VALUE"""),"РЕН-25")</f>
        <v>РЕН-25</v>
      </c>
      <c r="C725" s="14" t="str">
        <f>IFERROR(__xludf.DUMMYFUNCTION("""COMPUTED_VALUE"""),"ОКС")</f>
        <v>ОКС</v>
      </c>
      <c r="D725" s="6"/>
      <c r="E725" s="14" t="str">
        <f>IFERROR(__xludf.DUMMYFUNCTION("""COMPUTED_VALUE"""),"1-я Мясниковская ул., з/у 16А (участок 2.1) район Богородское, 1-я Мясниковская ул., д. 16А (участок 2.1)")</f>
        <v>1-я Мясниковская ул., з/у 16А (участок 2.1) район Богородское, 1-я Мясниковская ул., д. 16А (участок 2.1)</v>
      </c>
      <c r="F725" s="25" t="str">
        <f>IFERROR(__xludf.DUMMYFUNCTION("""COMPUTED_VALUE"""),"55.817552")</f>
        <v>55.817552</v>
      </c>
      <c r="G725" s="6" t="str">
        <f>IFERROR(__xludf.DUMMYFUNCTION("""COMPUTED_VALUE"""),"37.707709")</f>
        <v>37.707709</v>
      </c>
      <c r="H725" s="18" t="str">
        <f>IFERROR(__xludf.DUMMYFUNCTION("""COMPUTED_VALUE"""),"https://docs.google.com/spreadsheets/d/1H1MjbG2y0oC0hhID4do1G0_gfyI1jag72lQd7nL3WDQ/edit?gid=575501291#gid=575501291")</f>
        <v>https://docs.google.com/spreadsheets/d/1H1MjbG2y0oC0hhID4do1G0_gfyI1jag72lQd7nL3WDQ/edit?gid=575501291#gid=575501291</v>
      </c>
      <c r="I725" s="19" t="str">
        <f>IFERROR(__xludf.DUMMYFUNCTION("""COMPUTED_VALUE"""),"https://disk.yandex.ru/client/disk/Осмотры%20объектов%20АНО%20СМГ/587.%201-я%20Мясниковская%20ул.%2C%20зу%2016а")</f>
        <v>https://disk.yandex.ru/client/disk/Осмотры%20объектов%20АНО%20СМГ/587.%201-я%20Мясниковская%20ул.%2C%20зу%2016а</v>
      </c>
      <c r="J725" s="50">
        <f>IFERROR(__xludf.DUMMYFUNCTION("""COMPUTED_VALUE"""),99.755725)</f>
        <v>99.755725</v>
      </c>
      <c r="K725" s="58">
        <f>IFERROR(__xludf.DUMMYFUNCTION("""COMPUTED_VALUE"""),45952.0)</f>
        <v>45952</v>
      </c>
      <c r="L725" s="6">
        <v>7.0</v>
      </c>
      <c r="M725" s="52">
        <v>45959.0</v>
      </c>
      <c r="N725" s="53" t="s">
        <v>652</v>
      </c>
      <c r="O725" s="19" t="s">
        <v>1107</v>
      </c>
      <c r="P725" s="6"/>
      <c r="Q725" s="6"/>
      <c r="R725" s="6"/>
    </row>
    <row r="726">
      <c r="A726" s="31" t="str">
        <f>IFERROR(__xludf.DUMMYFUNCTION("""COMPUTED_VALUE"""),"560")</f>
        <v>560</v>
      </c>
      <c r="B726" s="14" t="str">
        <f>IFERROR(__xludf.DUMMYFUNCTION("""COMPUTED_VALUE"""),"РЕН-25")</f>
        <v>РЕН-25</v>
      </c>
      <c r="C726" s="14" t="str">
        <f>IFERROR(__xludf.DUMMYFUNCTION("""COMPUTED_VALUE"""),"ОКС")</f>
        <v>ОКС</v>
      </c>
      <c r="D726" s="6"/>
      <c r="E726" s="14" t="str">
        <f>IFERROR(__xludf.DUMMYFUNCTION("""COMPUTED_VALUE"""),"ул. Щукинская, з/у 7Б (ул. Щукинская. влд. 7) район Щукино, Щукинская ул., з/у 7Б (Щукинская ул., вл. 7)")</f>
        <v>ул. Щукинская, з/у 7Б (ул. Щукинская. влд. 7) район Щукино, Щукинская ул., з/у 7Б (Щукинская ул., вл. 7)</v>
      </c>
      <c r="F726" s="25" t="str">
        <f>IFERROR(__xludf.DUMMYFUNCTION("""COMPUTED_VALUE"""),"55.807700")</f>
        <v>55.807700</v>
      </c>
      <c r="G726" s="6" t="str">
        <f>IFERROR(__xludf.DUMMYFUNCTION("""COMPUTED_VALUE"""),"37.480861")</f>
        <v>37.480861</v>
      </c>
      <c r="H726" s="18" t="str">
        <f>IFERROR(__xludf.DUMMYFUNCTION("""COMPUTED_VALUE"""),"https://docs.google.com/spreadsheets/d/1H1MjbG2y0oC0hhID4do1G0_gfyI1jag72lQd7nL3WDQ/edit?gid=90787826#gid=90787826")</f>
        <v>https://docs.google.com/spreadsheets/d/1H1MjbG2y0oC0hhID4do1G0_gfyI1jag72lQd7nL3WDQ/edit?gid=90787826#gid=90787826</v>
      </c>
      <c r="I726" s="19" t="str">
        <f>IFERROR(__xludf.DUMMYFUNCTION("""COMPUTED_VALUE"""),"https://disk.yandex.ru/client/disk/Осмотры%20объектов%20АНО%20СМГ/560%20Щукинская%207%20Б")</f>
        <v>https://disk.yandex.ru/client/disk/Осмотры%20объектов%20АНО%20СМГ/560%20Щукинская%207%20Б</v>
      </c>
      <c r="J726" s="50">
        <f>IFERROR(__xludf.DUMMYFUNCTION("""COMPUTED_VALUE"""),96.96992499999999)</f>
        <v>96.969925</v>
      </c>
      <c r="K726" s="58">
        <f>IFERROR(__xludf.DUMMYFUNCTION("""COMPUTED_VALUE"""),45952.0)</f>
        <v>45952</v>
      </c>
      <c r="L726" s="6">
        <v>7.0</v>
      </c>
      <c r="M726" s="52">
        <v>45959.0</v>
      </c>
      <c r="N726" s="53" t="s">
        <v>652</v>
      </c>
      <c r="O726" s="19" t="s">
        <v>1108</v>
      </c>
      <c r="P726" s="6"/>
      <c r="Q726" s="6"/>
      <c r="R726" s="6"/>
    </row>
    <row r="727">
      <c r="A727" s="31" t="str">
        <f>IFERROR(__xludf.DUMMYFUNCTION("""COMPUTED_VALUE"""),"483")</f>
        <v>483</v>
      </c>
      <c r="B727" s="14" t="str">
        <f>IFERROR(__xludf.DUMMYFUNCTION("""COMPUTED_VALUE"""),"РЕН-25")</f>
        <v>РЕН-25</v>
      </c>
      <c r="C727" s="14" t="str">
        <f>IFERROR(__xludf.DUMMYFUNCTION("""COMPUTED_VALUE"""),"ОКС")</f>
        <v>ОКС</v>
      </c>
      <c r="D727" s="6"/>
      <c r="E727" s="14" t="str">
        <f>IFERROR(__xludf.DUMMYFUNCTION("""COMPUTED_VALUE"""),"Изумрудная ул., з/у 28 район Лосиноостровский, Изумрудная ул., вл. 28")</f>
        <v>Изумрудная ул., з/у 28 район Лосиноостровский, Изумрудная ул., вл. 28</v>
      </c>
      <c r="F727" s="25" t="str">
        <f>IFERROR(__xludf.DUMMYFUNCTION("""COMPUTED_VALUE"""),"55.873896")</f>
        <v>55.873896</v>
      </c>
      <c r="G727" s="6" t="str">
        <f>IFERROR(__xludf.DUMMYFUNCTION("""COMPUTED_VALUE"""),"37.687002")</f>
        <v>37.687002</v>
      </c>
      <c r="H727" s="18" t="str">
        <f>IFERROR(__xludf.DUMMYFUNCTION("""COMPUTED_VALUE"""),"https://docs.google.com/spreadsheets/d/1H1MjbG2y0oC0hhID4do1G0_gfyI1jag72lQd7nL3WDQ/edit?gid=1858152678#gid=1858152678")</f>
        <v>https://docs.google.com/spreadsheets/d/1H1MjbG2y0oC0hhID4do1G0_gfyI1jag72lQd7nL3WDQ/edit?gid=1858152678#gid=1858152678</v>
      </c>
      <c r="I727" s="19" t="str">
        <f>IFERROR(__xludf.DUMMYFUNCTION("""COMPUTED_VALUE"""),"https://disk.yandex.ru/client/disk/Осмотры%20объектов%20АНО%20СМГ/483%20Изумрудная%2C%20зу%2028")</f>
        <v>https://disk.yandex.ru/client/disk/Осмотры%20объектов%20АНО%20СМГ/483%20Изумрудная%2C%20зу%2028</v>
      </c>
      <c r="J727" s="50">
        <f>IFERROR(__xludf.DUMMYFUNCTION("""COMPUTED_VALUE"""),99.44018999999999)</f>
        <v>99.44019</v>
      </c>
      <c r="K727" s="58">
        <f>IFERROR(__xludf.DUMMYFUNCTION("""COMPUTED_VALUE"""),45952.0)</f>
        <v>45952</v>
      </c>
      <c r="L727" s="6">
        <v>7.0</v>
      </c>
      <c r="M727" s="52">
        <v>45959.0</v>
      </c>
      <c r="N727" s="53" t="s">
        <v>652</v>
      </c>
      <c r="O727" s="19" t="s">
        <v>1109</v>
      </c>
      <c r="P727" s="6"/>
      <c r="Q727" s="6"/>
      <c r="R727" s="6"/>
    </row>
    <row r="728">
      <c r="A728" s="31" t="str">
        <f>IFERROR(__xludf.DUMMYFUNCTION("""COMPUTED_VALUE"""),"492")</f>
        <v>492</v>
      </c>
      <c r="B728" s="14" t="str">
        <f>IFERROR(__xludf.DUMMYFUNCTION("""COMPUTED_VALUE"""),"РЕН-25")</f>
        <v>РЕН-25</v>
      </c>
      <c r="C728" s="14" t="str">
        <f>IFERROR(__xludf.DUMMYFUNCTION("""COMPUTED_VALUE"""),"ОКС")</f>
        <v>ОКС</v>
      </c>
      <c r="D728" s="6"/>
      <c r="E728" s="14" t="str">
        <f>IFERROR(__xludf.DUMMYFUNCTION("""COMPUTED_VALUE"""),"Жилой дом с инженерными сетями и благоустройством территории, ЮЗАО, район Котловка, ул. Нагорная, д. 5А район Котловка, Нагорная ул., д. 5А")</f>
        <v>Жилой дом с инженерными сетями и благоустройством территории, ЮЗАО, район Котловка, ул. Нагорная, д. 5А район Котловка, Нагорная ул., д. 5А</v>
      </c>
      <c r="F728" s="25" t="str">
        <f>IFERROR(__xludf.DUMMYFUNCTION("""COMPUTED_VALUE"""),"55.606054")</f>
        <v>55.606054</v>
      </c>
      <c r="G728" s="6" t="str">
        <f>IFERROR(__xludf.DUMMYFUNCTION("""COMPUTED_VALUE"""),"37.369361")</f>
        <v>37.369361</v>
      </c>
      <c r="H728" s="18" t="str">
        <f>IFERROR(__xludf.DUMMYFUNCTION("""COMPUTED_VALUE"""),"https://docs.google.com/spreadsheets/d/1H1MjbG2y0oC0hhID4do1G0_gfyI1jag72lQd7nL3WDQ/edit?gid=1012385907#gid=1012385907")</f>
        <v>https://docs.google.com/spreadsheets/d/1H1MjbG2y0oC0hhID4do1G0_gfyI1jag72lQd7nL3WDQ/edit?gid=1012385907#gid=1012385907</v>
      </c>
      <c r="I728" s="19" t="str">
        <f>IFERROR(__xludf.DUMMYFUNCTION("""COMPUTED_VALUE"""),"https://disk.yandex.ru/client/disk/Осмотры%20объектов%20АНО%20СМГ/492.%20Нагорная%20вл.%205А%20ЖК%20реновация")</f>
        <v>https://disk.yandex.ru/client/disk/Осмотры%20объектов%20АНО%20СМГ/492.%20Нагорная%20вл.%205А%20ЖК%20реновация</v>
      </c>
      <c r="J728" s="50">
        <f>IFERROR(__xludf.DUMMYFUNCTION("""COMPUTED_VALUE"""),100.0)</f>
        <v>100</v>
      </c>
      <c r="K728" s="58">
        <f>IFERROR(__xludf.DUMMYFUNCTION("""COMPUTED_VALUE"""),45952.0)</f>
        <v>45952</v>
      </c>
      <c r="L728" s="6" t="s">
        <v>654</v>
      </c>
      <c r="M728" s="52" t="s">
        <v>655</v>
      </c>
      <c r="N728" s="53" t="s">
        <v>656</v>
      </c>
      <c r="O728" s="19" t="s">
        <v>1110</v>
      </c>
      <c r="P728" s="6"/>
      <c r="Q728" s="6"/>
      <c r="R728" s="6"/>
    </row>
    <row r="729">
      <c r="A729" s="31" t="str">
        <f>IFERROR(__xludf.DUMMYFUNCTION("""COMPUTED_VALUE"""),"535")</f>
        <v>535</v>
      </c>
      <c r="B729" s="14" t="str">
        <f>IFERROR(__xludf.DUMMYFUNCTION("""COMPUTED_VALUE"""),"РЕН-25")</f>
        <v>РЕН-25</v>
      </c>
      <c r="C729" s="14" t="str">
        <f>IFERROR(__xludf.DUMMYFUNCTION("""COMPUTED_VALUE"""),"ОКС")</f>
        <v>ОКС</v>
      </c>
      <c r="D729" s="6"/>
      <c r="E729" s="14" t="str">
        <f>IFERROR(__xludf.DUMMYFUNCTION("""COMPUTED_VALUE"""),"Ташкентская ул., з/у 14/1 (зона 3.1) Ташкентская ул., з/у 14/1 (зона 3.1)  (Ташкентская ул., д.14 корп.2)")</f>
        <v>Ташкентская ул., з/у 14/1 (зона 3.1) Ташкентская ул., з/у 14/1 (зона 3.1)  (Ташкентская ул., д.14 корп.2)</v>
      </c>
      <c r="F729" s="25" t="str">
        <f>IFERROR(__xludf.DUMMYFUNCTION("""COMPUTED_VALUE"""),"55.704329")</f>
        <v>55.704329</v>
      </c>
      <c r="G729" s="6" t="str">
        <f>IFERROR(__xludf.DUMMYFUNCTION("""COMPUTED_VALUE"""),"37.815570")</f>
        <v>37.815570</v>
      </c>
      <c r="H729" s="18" t="str">
        <f>IFERROR(__xludf.DUMMYFUNCTION("""COMPUTED_VALUE"""),"https://docs.google.com/spreadsheets/d/1H1MjbG2y0oC0hhID4do1G0_gfyI1jag72lQd7nL3WDQ/edit?gid=168468884#gid=168468884")</f>
        <v>https://docs.google.com/spreadsheets/d/1H1MjbG2y0oC0hhID4do1G0_gfyI1jag72lQd7nL3WDQ/edit?gid=168468884#gid=168468884</v>
      </c>
      <c r="I729" s="19" t="str">
        <f>IFERROR(__xludf.DUMMYFUNCTION("""COMPUTED_VALUE"""),"https://disk.yandex.ru/client/disk/Осмотры%20объектов%20АНО%20СМГ/535%20ЮВАО%2C%20район%20Выхино-Жулебино%2C%20ул.%20Ташкентская%20ЗУ%2014.1%2C%20мкр.%20136%2C%20зона%20№%203.1")</f>
        <v>https://disk.yandex.ru/client/disk/Осмотры%20объектов%20АНО%20СМГ/535%20ЮВАО%2C%20район%20Выхино-Жулебино%2C%20ул.%20Ташкентская%20ЗУ%2014.1%2C%20мкр.%20136%2C%20зона%20№%203.1</v>
      </c>
      <c r="J729" s="50">
        <f>IFERROR(__xludf.DUMMYFUNCTION("""COMPUTED_VALUE"""),99.79355000000001)</f>
        <v>99.79355</v>
      </c>
      <c r="K729" s="58">
        <f>IFERROR(__xludf.DUMMYFUNCTION("""COMPUTED_VALUE"""),45968.0)</f>
        <v>45968</v>
      </c>
      <c r="L729" s="6">
        <v>7.0</v>
      </c>
      <c r="M729" s="52">
        <v>45975.0</v>
      </c>
      <c r="N729" s="53" t="s">
        <v>652</v>
      </c>
      <c r="O729" s="19" t="s">
        <v>1111</v>
      </c>
      <c r="P729" s="6"/>
      <c r="Q729" s="6"/>
      <c r="R729" s="6"/>
    </row>
    <row r="730">
      <c r="A730" s="31" t="str">
        <f>IFERROR(__xludf.DUMMYFUNCTION("""COMPUTED_VALUE"""),"508")</f>
        <v>508</v>
      </c>
      <c r="B730" s="14" t="str">
        <f>IFERROR(__xludf.DUMMYFUNCTION("""COMPUTED_VALUE"""),"РЕН-25")</f>
        <v>РЕН-25</v>
      </c>
      <c r="C730" s="14" t="str">
        <f>IFERROR(__xludf.DUMMYFUNCTION("""COMPUTED_VALUE"""),"ОКС")</f>
        <v>ОКС</v>
      </c>
      <c r="D730" s="6"/>
      <c r="E730" s="14" t="str">
        <f>IFERROR(__xludf.DUMMYFUNCTION("""COMPUTED_VALUE"""),"Амурская ул., з/у 1/19 (зона 1.1) (зона 1.2, 1.5) Амурская ул., д. 1А/1/5, 1А/1/5, 1А/1/1")</f>
        <v>Амурская ул., з/у 1/19 (зона 1.1) (зона 1.2, 1.5) Амурская ул., д. 1А/1/5, 1А/1/5, 1А/1/1</v>
      </c>
      <c r="F730" s="25" t="str">
        <f>IFERROR(__xludf.DUMMYFUNCTION("""COMPUTED_VALUE"""),"55.808799")</f>
        <v>55.808799</v>
      </c>
      <c r="G730" s="6" t="str">
        <f>IFERROR(__xludf.DUMMYFUNCTION("""COMPUTED_VALUE"""),"37.755985")</f>
        <v>37.755985</v>
      </c>
      <c r="H730" s="18" t="str">
        <f>IFERROR(__xludf.DUMMYFUNCTION("""COMPUTED_VALUE"""),"https://docs.google.com/spreadsheets/d/1H1MjbG2y0oC0hhID4do1G0_gfyI1jag72lQd7nL3WDQ/edit?gid=1713147169#gid=1713147169")</f>
        <v>https://docs.google.com/spreadsheets/d/1H1MjbG2y0oC0hhID4do1G0_gfyI1jag72lQd7nL3WDQ/edit?gid=1713147169#gid=1713147169</v>
      </c>
      <c r="I730" s="19" t="str">
        <f>IFERROR(__xludf.DUMMYFUNCTION("""COMPUTED_VALUE"""),"https://disk.yandex.ru/client/disk/Осмотры%20объектов%20АНО%20СМГ/508.%20ВАО%2C%20Амурская%20ул.%20вл%201%20зона%201.1%2C1.2%2C1.5%20(Амурская%20з_у%201_19)")</f>
        <v>https://disk.yandex.ru/client/disk/Осмотры%20объектов%20АНО%20СМГ/508.%20ВАО%2C%20Амурская%20ул.%20вл%201%20зона%201.1%2C1.2%2C1.5%20(Амурская%20з_у%201_19)</v>
      </c>
      <c r="J730" s="50">
        <f>IFERROR(__xludf.DUMMYFUNCTION("""COMPUTED_VALUE"""),99.96799)</f>
        <v>99.96799</v>
      </c>
      <c r="K730" s="58">
        <f>IFERROR(__xludf.DUMMYFUNCTION("""COMPUTED_VALUE"""),45958.0)</f>
        <v>45958</v>
      </c>
      <c r="L730" s="6">
        <v>7.0</v>
      </c>
      <c r="M730" s="52">
        <v>45965.0</v>
      </c>
      <c r="N730" s="53" t="s">
        <v>652</v>
      </c>
      <c r="O730" s="19" t="s">
        <v>1112</v>
      </c>
      <c r="P730" s="6"/>
      <c r="Q730" s="6"/>
      <c r="R730" s="6"/>
    </row>
    <row r="731">
      <c r="A731" s="31" t="str">
        <f>IFERROR(__xludf.DUMMYFUNCTION("""COMPUTED_VALUE"""),"586")</f>
        <v>586</v>
      </c>
      <c r="B731" s="14" t="str">
        <f>IFERROR(__xludf.DUMMYFUNCTION("""COMPUTED_VALUE"""),"РЕН-25")</f>
        <v>РЕН-25</v>
      </c>
      <c r="C731" s="14" t="str">
        <f>IFERROR(__xludf.DUMMYFUNCTION("""COMPUTED_VALUE"""),"ОКС")</f>
        <v>ОКС</v>
      </c>
      <c r="D731" s="6"/>
      <c r="E731" s="14" t="str">
        <f>IFERROR(__xludf.DUMMYFUNCTION("""COMPUTED_VALUE"""),"Юных Ленинцев ул., з/у 97/4 (вл. 97А) Юных Ленинцев ул., з/у 97/4 (вл. 97А) (Юных Ленинцев,ул., д.99, корп.2)")</f>
        <v>Юных Ленинцев ул., з/у 97/4 (вл. 97А) Юных Ленинцев ул., з/у 97/4 (вл. 97А) (Юных Ленинцев,ул., д.99, корп.2)</v>
      </c>
      <c r="F731" s="25" t="str">
        <f>IFERROR(__xludf.DUMMYFUNCTION("""COMPUTED_VALUE"""),"55.700074")</f>
        <v>55.700074</v>
      </c>
      <c r="G731" s="6" t="str">
        <f>IFERROR(__xludf.DUMMYFUNCTION("""COMPUTED_VALUE"""),"37.780515")</f>
        <v>37.780515</v>
      </c>
      <c r="H731" s="18" t="str">
        <f>IFERROR(__xludf.DUMMYFUNCTION("""COMPUTED_VALUE"""),"https://docs.google.com/spreadsheets/d/1H1MjbG2y0oC0hhID4do1G0_gfyI1jag72lQd7nL3WDQ/edit?gid=1554437241#gid=1554437241")</f>
        <v>https://docs.google.com/spreadsheets/d/1H1MjbG2y0oC0hhID4do1G0_gfyI1jag72lQd7nL3WDQ/edit?gid=1554437241#gid=1554437241</v>
      </c>
      <c r="I731" s="19" t="str">
        <f>IFERROR(__xludf.DUMMYFUNCTION("""COMPUTED_VALUE"""),"https://disk.yandex.ru/client/disk/Осмотры%20объектов%20АНО%20СМГ/586%20ЮВАО%2C%20район%20Кузьминки%2C%20мкр.%20117%2C%20117а%2C%20118%2C%20118а%2C%20119%2C%20зона%20№12.3%20ул.%20Юных%20Ленинцев%20з-у%2097.4")</f>
        <v>https://disk.yandex.ru/client/disk/Осмотры%20объектов%20АНО%20СМГ/586%20ЮВАО%2C%20район%20Кузьминки%2C%20мкр.%20117%2C%20117а%2C%20118%2C%20118а%2C%20119%2C%20зона%20№12.3%20ул.%20Юных%20Ленинцев%20з-у%2097.4</v>
      </c>
      <c r="J731" s="50">
        <f>IFERROR(__xludf.DUMMYFUNCTION("""COMPUTED_VALUE"""),99.9202)</f>
        <v>99.9202</v>
      </c>
      <c r="K731" s="58">
        <f>IFERROR(__xludf.DUMMYFUNCTION("""COMPUTED_VALUE"""),45943.0)</f>
        <v>45943</v>
      </c>
      <c r="L731" s="6">
        <v>7.0</v>
      </c>
      <c r="M731" s="52">
        <v>45950.0</v>
      </c>
      <c r="N731" s="53" t="s">
        <v>652</v>
      </c>
      <c r="O731" s="19" t="s">
        <v>1113</v>
      </c>
      <c r="P731" s="6"/>
      <c r="Q731" s="6"/>
      <c r="R731" s="6"/>
    </row>
    <row r="732">
      <c r="A732" s="31" t="str">
        <f>IFERROR(__xludf.DUMMYFUNCTION("""COMPUTED_VALUE"""),"539")</f>
        <v>539</v>
      </c>
      <c r="B732" s="14" t="str">
        <f>IFERROR(__xludf.DUMMYFUNCTION("""COMPUTED_VALUE"""),"РЕН-25")</f>
        <v>РЕН-25</v>
      </c>
      <c r="C732" s="14" t="str">
        <f>IFERROR(__xludf.DUMMYFUNCTION("""COMPUTED_VALUE"""),"ОКС")</f>
        <v>ОКС</v>
      </c>
      <c r="D732" s="6"/>
      <c r="E732" s="14" t="str">
        <f>IFERROR(__xludf.DUMMYFUNCTION("""COMPUTED_VALUE"""),"Люблинская ул., з/у 111/2/1 (вл. 111, стр. 2) Люблинская ул., з/у 111/2/1 (вл. 111, стр. 2) (Люблинская,д.109, корп.2)")</f>
        <v>Люблинская ул., з/у 111/2/1 (вл. 111, стр. 2) Люблинская ул., з/у 111/2/1 (вл. 111, стр. 2) (Люблинская,д.109, корп.2)</v>
      </c>
      <c r="F732" s="25" t="str">
        <f>IFERROR(__xludf.DUMMYFUNCTION("""COMPUTED_VALUE"""),"55.682118")</f>
        <v>55.682118</v>
      </c>
      <c r="G732" s="6" t="str">
        <f>IFERROR(__xludf.DUMMYFUNCTION("""COMPUTED_VALUE"""),"37.739842")</f>
        <v>37.739842</v>
      </c>
      <c r="H732" s="18" t="str">
        <f>IFERROR(__xludf.DUMMYFUNCTION("""COMPUTED_VALUE"""),"https://docs.google.com/spreadsheets/d/1H1MjbG2y0oC0hhID4do1G0_gfyI1jag72lQd7nL3WDQ/edit?gid=466795514#gid=466795514")</f>
        <v>https://docs.google.com/spreadsheets/d/1H1MjbG2y0oC0hhID4do1G0_gfyI1jag72lQd7nL3WDQ/edit?gid=466795514#gid=466795514</v>
      </c>
      <c r="I732" s="19" t="str">
        <f>IFERROR(__xludf.DUMMYFUNCTION("""COMPUTED_VALUE"""),"https://disk.yandex.ru/client/disk/Осмотры%20объектов%20АНО%20СМГ/539.%20Ул.%20Люблинская%2C%20з!у%20111-2-1.%20Жилой%20дом")</f>
        <v>https://disk.yandex.ru/client/disk/Осмотры%20объектов%20АНО%20СМГ/539.%20Ул.%20Люблинская%2C%20з!у%20111-2-1.%20Жилой%20дом</v>
      </c>
      <c r="J732" s="50">
        <f>IFERROR(__xludf.DUMMYFUNCTION("""COMPUTED_VALUE"""),99.97555)</f>
        <v>99.97555</v>
      </c>
      <c r="K732" s="58">
        <f>IFERROR(__xludf.DUMMYFUNCTION("""COMPUTED_VALUE"""),45952.0)</f>
        <v>45952</v>
      </c>
      <c r="L732" s="6">
        <v>7.0</v>
      </c>
      <c r="M732" s="52">
        <v>45959.0</v>
      </c>
      <c r="N732" s="53" t="s">
        <v>652</v>
      </c>
      <c r="O732" s="19" t="s">
        <v>1114</v>
      </c>
      <c r="P732" s="6"/>
      <c r="Q732" s="6"/>
      <c r="R732" s="6"/>
    </row>
    <row r="733">
      <c r="A733" s="31" t="str">
        <f>IFERROR(__xludf.DUMMYFUNCTION("""COMPUTED_VALUE"""),"549")</f>
        <v>549</v>
      </c>
      <c r="B733" s="14" t="str">
        <f>IFERROR(__xludf.DUMMYFUNCTION("""COMPUTED_VALUE"""),"РЕН-25")</f>
        <v>РЕН-25</v>
      </c>
      <c r="C733" s="14" t="str">
        <f>IFERROR(__xludf.DUMMYFUNCTION("""COMPUTED_VALUE"""),"ОКС")</f>
        <v>ОКС</v>
      </c>
      <c r="D733" s="6"/>
      <c r="E733" s="14" t="str">
        <f>IFERROR(__xludf.DUMMYFUNCTION("""COMPUTED_VALUE"""),"Боровский пр., з/у 1/5 (вл. 1) район Солнцево, Боровский проезд, земельный участок 1/5 (3 корпуса)")</f>
        <v>Боровский пр., з/у 1/5 (вл. 1) район Солнцево, Боровский проезд, земельный участок 1/5 (3 корпуса)</v>
      </c>
      <c r="F733" s="25" t="str">
        <f>IFERROR(__xludf.DUMMYFUNCTION("""COMPUTED_VALUE"""),"55.654328")</f>
        <v>55.654328</v>
      </c>
      <c r="G733" s="6" t="str">
        <f>IFERROR(__xludf.DUMMYFUNCTION("""COMPUTED_VALUE"""),"37.390491")</f>
        <v>37.390491</v>
      </c>
      <c r="H733" s="18" t="str">
        <f>IFERROR(__xludf.DUMMYFUNCTION("""COMPUTED_VALUE"""),"https://docs.google.com/spreadsheets/d/1H1MjbG2y0oC0hhID4do1G0_gfyI1jag72lQd7nL3WDQ/edit?gid=1000508457#gid=1000508457")</f>
        <v>https://docs.google.com/spreadsheets/d/1H1MjbG2y0oC0hhID4do1G0_gfyI1jag72lQd7nL3WDQ/edit?gid=1000508457#gid=1000508457</v>
      </c>
      <c r="I733" s="19" t="str">
        <f>IFERROR(__xludf.DUMMYFUNCTION("""COMPUTED_VALUE"""),"https://disk.yandex.ru/client/disk/Осмотры%20объектов%20АНО%20СМГ/549.%20Солнцево%20мкр.%203-3А%2C%20Боровский%20проезд%2C%20з-у%201-5%20зона%203.2")</f>
        <v>https://disk.yandex.ru/client/disk/Осмотры%20объектов%20АНО%20СМГ/549.%20Солнцево%20мкр.%203-3А%2C%20Боровский%20проезд%2C%20з-у%201-5%20зона%203.2</v>
      </c>
      <c r="J733" s="50">
        <f>IFERROR(__xludf.DUMMYFUNCTION("""COMPUTED_VALUE"""),81.70043999999999)</f>
        <v>81.70044</v>
      </c>
      <c r="K733" s="58">
        <f>IFERROR(__xludf.DUMMYFUNCTION("""COMPUTED_VALUE"""),45967.0)</f>
        <v>45967</v>
      </c>
      <c r="L733" s="6">
        <v>14.0</v>
      </c>
      <c r="M733" s="52">
        <v>45981.0</v>
      </c>
      <c r="N733" s="53" t="s">
        <v>741</v>
      </c>
      <c r="O733" s="19" t="s">
        <v>669</v>
      </c>
      <c r="P733" s="6"/>
      <c r="Q733" s="6"/>
      <c r="R733" s="6"/>
    </row>
    <row r="734">
      <c r="A734" s="31" t="str">
        <f>IFERROR(__xludf.DUMMYFUNCTION("""COMPUTED_VALUE"""),"455")</f>
        <v>455</v>
      </c>
      <c r="B734" s="14" t="str">
        <f>IFERROR(__xludf.DUMMYFUNCTION("""COMPUTED_VALUE"""),"РЕН-25")</f>
        <v>РЕН-25</v>
      </c>
      <c r="C734" s="14" t="str">
        <f>IFERROR(__xludf.DUMMYFUNCTION("""COMPUTED_VALUE"""),"ОКС")</f>
        <v>ОКС</v>
      </c>
      <c r="D734" s="6"/>
      <c r="E734" s="14" t="str">
        <f>IFERROR(__xludf.DUMMYFUNCTION("""COMPUTED_VALUE"""),"шос. Фрезер, з/у 17 (Фрезер ш., вл. 17, стр. 1, 2) район Нижегородский, Фрезер шоссе., з/у 17 (Фрезер ш., вл. 17, стр. 1, 2)")</f>
        <v>шос. Фрезер, з/у 17 (Фрезер ш., вл. 17, стр. 1, 2) район Нижегородский, Фрезер шоссе., з/у 17 (Фрезер ш., вл. 17, стр. 1, 2)</v>
      </c>
      <c r="F734" s="25" t="str">
        <f>IFERROR(__xludf.DUMMYFUNCTION("""COMPUTED_VALUE"""),"55.735347")</f>
        <v>55.735347</v>
      </c>
      <c r="G734" s="6" t="str">
        <f>IFERROR(__xludf.DUMMYFUNCTION("""COMPUTED_VALUE"""),"37.735832")</f>
        <v>37.735832</v>
      </c>
      <c r="H734" s="18" t="str">
        <f>IFERROR(__xludf.DUMMYFUNCTION("""COMPUTED_VALUE"""),"https://docs.google.com/spreadsheets/d/1H1MjbG2y0oC0hhID4do1G0_gfyI1jag72lQd7nL3WDQ/edit?gid=1051331619#gid=1051331619")</f>
        <v>https://docs.google.com/spreadsheets/d/1H1MjbG2y0oC0hhID4do1G0_gfyI1jag72lQd7nL3WDQ/edit?gid=1051331619#gid=1051331619</v>
      </c>
      <c r="I734" s="21" t="str">
        <f>IFERROR(__xludf.DUMMYFUNCTION("""COMPUTED_VALUE"""),"https://disk.yandex.ru/client/disk/%D0%9E%D1%81%D0%BC%D0%BE%D1%82%D1%80%D1%8B%20%D0%BE%D0%B1%D1%8A%D0%B5%D0%BA%D1%82%D0%BE%D0%B2%20%D0%90%D0%9D%D0%9E%20%D0%A1%D0%9C%D0%93/455.%20%D1%83%D0%BB.%20%D0%A4%D1%80%D0%B5%D0%B7%D0%B5%D1%80%20%D0%B7%D1%83%2017%20%D"&amp;"0%A4%D0%A0%20")</f>
        <v>https://disk.yandex.ru/client/disk/%D0%9E%D1%81%D0%BC%D0%BE%D1%82%D1%80%D1%8B%20%D0%BE%D0%B1%D1%8A%D0%B5%D0%BA%D1%82%D0%BE%D0%B2%20%D0%90%D0%9D%D0%9E%20%D0%A1%D0%9C%D0%93/455.%20%D1%83%D0%BB.%20%D0%A4%D1%80%D0%B5%D0%B7%D0%B5%D1%80%20%D0%B7%D1%83%2017%20%D0%A4%D0%A0%20</v>
      </c>
      <c r="J734" s="50">
        <f>IFERROR(__xludf.DUMMYFUNCTION("""COMPUTED_VALUE"""),93.4945)</f>
        <v>93.4945</v>
      </c>
      <c r="K734" s="58">
        <f>IFERROR(__xludf.DUMMYFUNCTION("""COMPUTED_VALUE"""),45951.0)</f>
        <v>45951</v>
      </c>
      <c r="L734" s="6">
        <v>14.0</v>
      </c>
      <c r="M734" s="52">
        <v>45965.0</v>
      </c>
      <c r="N734" s="53" t="s">
        <v>652</v>
      </c>
      <c r="O734" s="19" t="s">
        <v>1115</v>
      </c>
      <c r="P734" s="6"/>
      <c r="Q734" s="6"/>
      <c r="R734" s="6"/>
    </row>
    <row r="735">
      <c r="A735" s="31" t="str">
        <f>IFERROR(__xludf.DUMMYFUNCTION("""COMPUTED_VALUE"""),"555")</f>
        <v>555</v>
      </c>
      <c r="B735" s="14" t="str">
        <f>IFERROR(__xludf.DUMMYFUNCTION("""COMPUTED_VALUE"""),"РЕН-25")</f>
        <v>РЕН-25</v>
      </c>
      <c r="C735" s="14" t="str">
        <f>IFERROR(__xludf.DUMMYFUNCTION("""COMPUTED_VALUE"""),"ОКС")</f>
        <v>ОКС</v>
      </c>
      <c r="D735" s="6"/>
      <c r="E735" s="14" t="str">
        <f>IFERROR(__xludf.DUMMYFUNCTION("""COMPUTED_VALUE"""),"Севастопольский просп., з/у 46/7 (Севастопольский просп., вблизи д. 46, корп. 7) район Черемушки, Севастопольский пр-кт, вблизи д. 46, к. 7, квартал 32, 33-34, зона № 8.2")</f>
        <v>Севастопольский просп., з/у 46/7 (Севастопольский просп., вблизи д. 46, корп. 7) район Черемушки, Севастопольский пр-кт, вблизи д. 46, к. 7, квартал 32, 33-34, зона № 8.2</v>
      </c>
      <c r="F735" s="25" t="str">
        <f>IFERROR(__xludf.DUMMYFUNCTION("""COMPUTED_VALUE"""),"55.656958")</f>
        <v>55.656958</v>
      </c>
      <c r="G735" s="6" t="str">
        <f>IFERROR(__xludf.DUMMYFUNCTION("""COMPUTED_VALUE"""),"37.565047")</f>
        <v>37.565047</v>
      </c>
      <c r="H735" s="18" t="str">
        <f>IFERROR(__xludf.DUMMYFUNCTION("""COMPUTED_VALUE"""),"https://docs.google.com/spreadsheets/d/1H1MjbG2y0oC0hhID4do1G0_gfyI1jag72lQd7nL3WDQ/edit?gid=1298340576#gid=1298340576")</f>
        <v>https://docs.google.com/spreadsheets/d/1H1MjbG2y0oC0hhID4do1G0_gfyI1jag72lQd7nL3WDQ/edit?gid=1298340576#gid=1298340576</v>
      </c>
      <c r="I735" s="19" t="str">
        <f>IFERROR(__xludf.DUMMYFUNCTION("""COMPUTED_VALUE"""),"https://disk.yandex.ru/client/disk/Осмотры%20объектов%20АНО%20СМГ/555.%20Район%20Черемушки%2C%20Севастопольский%20вблизи%20д46%20к7%2C%20кв%2032%2C33%20зона%208.2")</f>
        <v>https://disk.yandex.ru/client/disk/Осмотры%20объектов%20АНО%20СМГ/555.%20Район%20Черемушки%2C%20Севастопольский%20вблизи%20д46%20к7%2C%20кв%2032%2C33%20зона%208.2</v>
      </c>
      <c r="J735" s="50">
        <f>IFERROR(__xludf.DUMMYFUNCTION("""COMPUTED_VALUE"""),67.18425)</f>
        <v>67.18425</v>
      </c>
      <c r="K735" s="58">
        <f>IFERROR(__xludf.DUMMYFUNCTION("""COMPUTED_VALUE"""),45973.0)</f>
        <v>45973</v>
      </c>
      <c r="L735" s="6">
        <v>14.0</v>
      </c>
      <c r="M735" s="52">
        <v>45987.0</v>
      </c>
      <c r="N735" s="53" t="s">
        <v>711</v>
      </c>
      <c r="O735" s="19" t="s">
        <v>669</v>
      </c>
      <c r="P735" s="6"/>
      <c r="Q735" s="6"/>
      <c r="R735" s="6"/>
    </row>
    <row r="736">
      <c r="A736" s="31" t="str">
        <f>IFERROR(__xludf.DUMMYFUNCTION("""COMPUTED_VALUE"""),"623")</f>
        <v>623</v>
      </c>
      <c r="B736" s="14" t="str">
        <f>IFERROR(__xludf.DUMMYFUNCTION("""COMPUTED_VALUE"""),"РЕН-25")</f>
        <v>РЕН-25</v>
      </c>
      <c r="C736" s="14" t="str">
        <f>IFERROR(__xludf.DUMMYFUNCTION("""COMPUTED_VALUE"""),"ОКС")</f>
        <v>ОКС</v>
      </c>
      <c r="D736" s="6"/>
      <c r="E736" s="14" t="str">
        <f>IFERROR(__xludf.DUMMYFUNCTION("""COMPUTED_VALUE"""),"Окружная ул., з/у 2А (Окружная ул., 2А, Светлогорский пр-д, 1) район Южное Тушино, Окружная ул., з/у 2А (Окружная ул., 2А, Светлогорский пр-д, 1)")</f>
        <v>Окружная ул., з/у 2А (Окружная ул., 2А, Светлогорский пр-д, 1) район Южное Тушино, Окружная ул., з/у 2А (Окружная ул., 2А, Светлогорский пр-д, 1)</v>
      </c>
      <c r="F736" s="25" t="str">
        <f>IFERROR(__xludf.DUMMYFUNCTION("""COMPUTED_VALUE"""),"55.843424")</f>
        <v>55.843424</v>
      </c>
      <c r="G736" s="6" t="str">
        <f>IFERROR(__xludf.DUMMYFUNCTION("""COMPUTED_VALUE"""),"37.402219")</f>
        <v>37.402219</v>
      </c>
      <c r="H736" s="18" t="str">
        <f>IFERROR(__xludf.DUMMYFUNCTION("""COMPUTED_VALUE"""),"https://docs.google.com/spreadsheets/d/1H1MjbG2y0oC0hhID4do1G0_gfyI1jag72lQd7nL3WDQ/edit?gid=55726116#gid=55726116")</f>
        <v>https://docs.google.com/spreadsheets/d/1H1MjbG2y0oC0hhID4do1G0_gfyI1jag72lQd7nL3WDQ/edit?gid=55726116#gid=55726116</v>
      </c>
      <c r="I736" s="19" t="str">
        <f>IFERROR(__xludf.DUMMYFUNCTION("""COMPUTED_VALUE"""),"https://disk.yandex.ru/client/disk/Осмотры%20объектов%20АНО%20СМГ/623%20Окружная%202%20А")</f>
        <v>https://disk.yandex.ru/client/disk/Осмотры%20объектов%20АНО%20СМГ/623%20Окружная%202%20А</v>
      </c>
      <c r="J736" s="50">
        <f>IFERROR(__xludf.DUMMYFUNCTION("""COMPUTED_VALUE"""),99.99886)</f>
        <v>99.99886</v>
      </c>
      <c r="K736" s="58">
        <f>IFERROR(__xludf.DUMMYFUNCTION("""COMPUTED_VALUE"""),45968.0)</f>
        <v>45968</v>
      </c>
      <c r="L736" s="6">
        <v>7.0</v>
      </c>
      <c r="M736" s="52">
        <v>45975.0</v>
      </c>
      <c r="N736" s="53" t="s">
        <v>652</v>
      </c>
      <c r="O736" s="19" t="s">
        <v>1116</v>
      </c>
      <c r="P736" s="6"/>
      <c r="Q736" s="6"/>
      <c r="R736" s="6"/>
    </row>
    <row r="737">
      <c r="A737" s="31" t="str">
        <f>IFERROR(__xludf.DUMMYFUNCTION("""COMPUTED_VALUE"""),"572")</f>
        <v>572</v>
      </c>
      <c r="B737" s="14" t="str">
        <f>IFERROR(__xludf.DUMMYFUNCTION("""COMPUTED_VALUE"""),"РЕН-25")</f>
        <v>РЕН-25</v>
      </c>
      <c r="C737" s="14" t="str">
        <f>IFERROR(__xludf.DUMMYFUNCTION("""COMPUTED_VALUE"""),"ОКС")</f>
        <v>ОКС</v>
      </c>
      <c r="D737" s="6"/>
      <c r="E737" s="14" t="str">
        <f>IFERROR(__xludf.DUMMYFUNCTION("""COMPUTED_VALUE"""),"Кантемировская ул., 35 Кантемировская ул., 35 (ул. Кантемировская, д.35А, корп.1, корп.2, корп.3)")</f>
        <v>Кантемировская ул., 35 Кантемировская ул., 35 (ул. Кантемировская, д.35А, корп.1, корп.2, корп.3)</v>
      </c>
      <c r="F737" s="25" t="str">
        <f>IFERROR(__xludf.DUMMYFUNCTION("""COMPUTED_VALUE"""),"55.636685")</f>
        <v>55.636685</v>
      </c>
      <c r="G737" s="6" t="str">
        <f>IFERROR(__xludf.DUMMYFUNCTION("""COMPUTED_VALUE"""),"37.661649")</f>
        <v>37.661649</v>
      </c>
      <c r="H737" s="18" t="str">
        <f>IFERROR(__xludf.DUMMYFUNCTION("""COMPUTED_VALUE"""),"https://docs.google.com/spreadsheets/d/1H1MjbG2y0oC0hhID4do1G0_gfyI1jag72lQd7nL3WDQ/edit?gid=969218818#gid=969218818")</f>
        <v>https://docs.google.com/spreadsheets/d/1H1MjbG2y0oC0hhID4do1G0_gfyI1jag72lQd7nL3WDQ/edit?gid=969218818#gid=969218818</v>
      </c>
      <c r="I737" s="19" t="str">
        <f>IFERROR(__xludf.DUMMYFUNCTION("""COMPUTED_VALUE"""),"https://disk.yandex.ru/client/disk/Осмотры%20объектов%20АНО%20СМГ/572.%20Кантемировская%20ул.%2C%20д.%2035%2C%20ЖК%20реновация")</f>
        <v>https://disk.yandex.ru/client/disk/Осмотры%20объектов%20АНО%20СМГ/572.%20Кантемировская%20ул.%2C%20д.%2035%2C%20ЖК%20реновация</v>
      </c>
      <c r="J737" s="50">
        <f>IFERROR(__xludf.DUMMYFUNCTION("""COMPUTED_VALUE"""),99.40214999999998)</f>
        <v>99.40215</v>
      </c>
      <c r="K737" s="58">
        <f>IFERROR(__xludf.DUMMYFUNCTION("""COMPUTED_VALUE"""),45951.0)</f>
        <v>45951</v>
      </c>
      <c r="L737" s="6">
        <v>7.0</v>
      </c>
      <c r="M737" s="52">
        <v>45958.0</v>
      </c>
      <c r="N737" s="53" t="s">
        <v>652</v>
      </c>
      <c r="O737" s="19" t="s">
        <v>1117</v>
      </c>
      <c r="P737" s="6"/>
      <c r="Q737" s="6"/>
      <c r="R737" s="6"/>
    </row>
    <row r="738">
      <c r="A738" s="31" t="str">
        <f>IFERROR(__xludf.DUMMYFUNCTION("""COMPUTED_VALUE"""),"606")</f>
        <v>606</v>
      </c>
      <c r="B738" s="14" t="str">
        <f>IFERROR(__xludf.DUMMYFUNCTION("""COMPUTED_VALUE"""),"РЕН-25")</f>
        <v>РЕН-25</v>
      </c>
      <c r="C738" s="14" t="str">
        <f>IFERROR(__xludf.DUMMYFUNCTION("""COMPUTED_VALUE"""),"ОКС")</f>
        <v>ОКС</v>
      </c>
      <c r="D738" s="6"/>
      <c r="E738" s="14" t="str">
        <f>IFERROR(__xludf.DUMMYFUNCTION("""COMPUTED_VALUE"""),"Черноморский б-р, з/у 20 (зона 6.1) Черноморский б-р, з/у 20 (зона 6.1)")</f>
        <v>Черноморский б-р, з/у 20 (зона 6.1) Черноморский б-р, з/у 20 (зона 6.1)</v>
      </c>
      <c r="F738" s="25" t="str">
        <f>IFERROR(__xludf.DUMMYFUNCTION("""COMPUTED_VALUE"""),"55.646259")</f>
        <v>55.646259</v>
      </c>
      <c r="G738" s="6" t="str">
        <f>IFERROR(__xludf.DUMMYFUNCTION("""COMPUTED_VALUE"""),"37.600522")</f>
        <v>37.600522</v>
      </c>
      <c r="H738" s="18" t="str">
        <f>IFERROR(__xludf.DUMMYFUNCTION("""COMPUTED_VALUE"""),"https://docs.google.com/spreadsheets/d/1H1MjbG2y0oC0hhID4do1G0_gfyI1jag72lQd7nL3WDQ/edit?gid=328082788#gid=328082788")</f>
        <v>https://docs.google.com/spreadsheets/d/1H1MjbG2y0oC0hhID4do1G0_gfyI1jag72lQd7nL3WDQ/edit?gid=328082788#gid=328082788</v>
      </c>
      <c r="I738" s="19" t="str">
        <f>IFERROR(__xludf.DUMMYFUNCTION("""COMPUTED_VALUE"""),"https://disk.yandex.ru/client/disk/Осмотры%20объектов%20АНО%20СМГ/606.%20район%20Зюзино%2C%20черноморский%20б-вр%2C%20з_у%2020%2C%20кв%2026-31%2C%20зона%206.1")</f>
        <v>https://disk.yandex.ru/client/disk/Осмотры%20объектов%20АНО%20СМГ/606.%20район%20Зюзино%2C%20черноморский%20б-вр%2C%20з_у%2020%2C%20кв%2026-31%2C%20зона%206.1</v>
      </c>
      <c r="J738" s="50">
        <f>IFERROR(__xludf.DUMMYFUNCTION("""COMPUTED_VALUE"""),96.34420499999999)</f>
        <v>96.344205</v>
      </c>
      <c r="K738" s="58">
        <f>IFERROR(__xludf.DUMMYFUNCTION("""COMPUTED_VALUE"""),45968.0)</f>
        <v>45968</v>
      </c>
      <c r="L738" s="6">
        <v>7.0</v>
      </c>
      <c r="M738" s="52">
        <v>45975.0</v>
      </c>
      <c r="N738" s="53" t="s">
        <v>652</v>
      </c>
      <c r="O738" s="19" t="s">
        <v>1118</v>
      </c>
      <c r="P738" s="6"/>
      <c r="Q738" s="6"/>
      <c r="R738" s="6"/>
    </row>
    <row r="739">
      <c r="A739" s="31" t="str">
        <f>IFERROR(__xludf.DUMMYFUNCTION("""COMPUTED_VALUE"""),"576")</f>
        <v>576</v>
      </c>
      <c r="B739" s="14" t="str">
        <f>IFERROR(__xludf.DUMMYFUNCTION("""COMPUTED_VALUE"""),"РЕН-25")</f>
        <v>РЕН-25</v>
      </c>
      <c r="C739" s="14" t="str">
        <f>IFERROR(__xludf.DUMMYFUNCTION("""COMPUTED_VALUE"""),"ОКС")</f>
        <v>ОКС</v>
      </c>
      <c r="D739" s="6"/>
      <c r="E739" s="14" t="str">
        <f>IFERROR(__xludf.DUMMYFUNCTION("""COMPUTED_VALUE"""),"Зеленодольская ул., з/у 28/3 (зоны 3.3, 3.4) Зеленодольская ул., з/у 28/3 (зоны 3.3, 3.4)")</f>
        <v>Зеленодольская ул., з/у 28/3 (зоны 3.3, 3.4) Зеленодольская ул., з/у 28/3 (зоны 3.3, 3.4)</v>
      </c>
      <c r="F739" s="25" t="str">
        <f>IFERROR(__xludf.DUMMYFUNCTION("""COMPUTED_VALUE"""),"55.712070")</f>
        <v>55.712070</v>
      </c>
      <c r="G739" s="6" t="str">
        <f>IFERROR(__xludf.DUMMYFUNCTION("""COMPUTED_VALUE"""),"37.770969")</f>
        <v>37.770969</v>
      </c>
      <c r="H739" s="18" t="str">
        <f>IFERROR(__xludf.DUMMYFUNCTION("""COMPUTED_VALUE"""),"https://docs.google.com/spreadsheets/d/1H1MjbG2y0oC0hhID4do1G0_gfyI1jag72lQd7nL3WDQ/edit?gid=2042348028#gid=2042348028")</f>
        <v>https://docs.google.com/spreadsheets/d/1H1MjbG2y0oC0hhID4do1G0_gfyI1jag72lQd7nL3WDQ/edit?gid=2042348028#gid=2042348028</v>
      </c>
      <c r="I739" s="19" t="str">
        <f>IFERROR(__xludf.DUMMYFUNCTION("""COMPUTED_VALUE"""),"https://disk.yandex.ru/client/disk/Осмотры%20объектов%20АНО%20СМГ/576.%20район%20Кузьминки%2C%20ул.%20Зеленодольская%2C%20зу%2028_3")</f>
        <v>https://disk.yandex.ru/client/disk/Осмотры%20объектов%20АНО%20СМГ/576.%20район%20Кузьминки%2C%20ул.%20Зеленодольская%2C%20зу%2028_3</v>
      </c>
      <c r="J739" s="50">
        <f>IFERROR(__xludf.DUMMYFUNCTION("""COMPUTED_VALUE"""),94.36386000000002)</f>
        <v>94.36386</v>
      </c>
      <c r="K739" s="58">
        <f>IFERROR(__xludf.DUMMYFUNCTION("""COMPUTED_VALUE"""),45952.0)</f>
        <v>45952</v>
      </c>
      <c r="L739" s="6">
        <v>7.0</v>
      </c>
      <c r="M739" s="52">
        <v>45959.0</v>
      </c>
      <c r="N739" s="53" t="s">
        <v>668</v>
      </c>
      <c r="O739" s="19" t="s">
        <v>1119</v>
      </c>
      <c r="P739" s="6"/>
      <c r="Q739" s="6"/>
      <c r="R739" s="6"/>
    </row>
    <row r="740">
      <c r="A740" s="31" t="str">
        <f>IFERROR(__xludf.DUMMYFUNCTION("""COMPUTED_VALUE"""),"541")</f>
        <v>541</v>
      </c>
      <c r="B740" s="14" t="str">
        <f>IFERROR(__xludf.DUMMYFUNCTION("""COMPUTED_VALUE"""),"РЕН-25")</f>
        <v>РЕН-25</v>
      </c>
      <c r="C740" s="14" t="str">
        <f>IFERROR(__xludf.DUMMYFUNCTION("""COMPUTED_VALUE"""),"ОКС")</f>
        <v>ОКС</v>
      </c>
      <c r="D740" s="6"/>
      <c r="E740" s="14" t="str">
        <f>IFERROR(__xludf.DUMMYFUNCTION("""COMPUTED_VALUE"""),"Михалковская ул., вл. 10 район Коптево, ул. Михалковская, з/у 10")</f>
        <v>Михалковская ул., вл. 10 район Коптево, ул. Михалковская, з/у 10</v>
      </c>
      <c r="F740" s="25" t="str">
        <f>IFERROR(__xludf.DUMMYFUNCTION("""COMPUTED_VALUE"""),"55.838020")</f>
        <v>55.838020</v>
      </c>
      <c r="G740" s="6" t="str">
        <f>IFERROR(__xludf.DUMMYFUNCTION("""COMPUTED_VALUE"""),"37.535916")</f>
        <v>37.535916</v>
      </c>
      <c r="H740" s="18" t="str">
        <f>IFERROR(__xludf.DUMMYFUNCTION("""COMPUTED_VALUE"""),"https://docs.google.com/spreadsheets/d/1H1MjbG2y0oC0hhID4do1G0_gfyI1jag72lQd7nL3WDQ/edit?gid=1202640333#gid=1202640333")</f>
        <v>https://docs.google.com/spreadsheets/d/1H1MjbG2y0oC0hhID4do1G0_gfyI1jag72lQd7nL3WDQ/edit?gid=1202640333#gid=1202640333</v>
      </c>
      <c r="I740" s="19" t="str">
        <f>IFERROR(__xludf.DUMMYFUNCTION("""COMPUTED_VALUE"""),"https://disk.yandex.ru/client/disk/Осмотры%20объектов%20АНО%20СМГ/541.%20Михалковская%20зу%2010")</f>
        <v>https://disk.yandex.ru/client/disk/Осмотры%20объектов%20АНО%20СМГ/541.%20Михалковская%20зу%2010</v>
      </c>
      <c r="J740" s="50">
        <f>IFERROR(__xludf.DUMMYFUNCTION("""COMPUTED_VALUE"""),98.93084999999998)</f>
        <v>98.93085</v>
      </c>
      <c r="K740" s="58">
        <f>IFERROR(__xludf.DUMMYFUNCTION("""COMPUTED_VALUE"""),45968.0)</f>
        <v>45968</v>
      </c>
      <c r="L740" s="6">
        <v>7.0</v>
      </c>
      <c r="M740" s="52">
        <v>45975.0</v>
      </c>
      <c r="N740" s="53" t="s">
        <v>652</v>
      </c>
      <c r="O740" s="61" t="s">
        <v>1120</v>
      </c>
      <c r="P740" s="6"/>
      <c r="Q740" s="6"/>
      <c r="R740" s="6"/>
    </row>
    <row r="741">
      <c r="A741" s="31" t="str">
        <f>IFERROR(__xludf.DUMMYFUNCTION("""COMPUTED_VALUE"""),"554")</f>
        <v>554</v>
      </c>
      <c r="B741" s="14" t="str">
        <f>IFERROR(__xludf.DUMMYFUNCTION("""COMPUTED_VALUE"""),"РЕН-25")</f>
        <v>РЕН-25</v>
      </c>
      <c r="C741" s="14" t="str">
        <f>IFERROR(__xludf.DUMMYFUNCTION("""COMPUTED_VALUE"""),"ОКС")</f>
        <v>ОКС</v>
      </c>
      <c r="D741" s="6"/>
      <c r="E741" s="14" t="str">
        <f>IFERROR(__xludf.DUMMYFUNCTION("""COMPUTED_VALUE"""),"Героев Панфиловцев ул., вл. 39, корп. 2 Район Северное Тушино, ул. Героев Панфиловцев, вл 39, корпус 2")</f>
        <v>Героев Панфиловцев ул., вл. 39, корп. 2 Район Северное Тушино, ул. Героев Панфиловцев, вл 39, корпус 2</v>
      </c>
      <c r="F741" s="25" t="str">
        <f>IFERROR(__xludf.DUMMYFUNCTION("""COMPUTED_VALUE"""),"55.854200")</f>
        <v>55.854200</v>
      </c>
      <c r="G741" s="6" t="str">
        <f>IFERROR(__xludf.DUMMYFUNCTION("""COMPUTED_VALUE"""),"37.411778")</f>
        <v>37.411778</v>
      </c>
      <c r="H741" s="18" t="str">
        <f>IFERROR(__xludf.DUMMYFUNCTION("""COMPUTED_VALUE"""),"https://docs.google.com/spreadsheets/d/1H1MjbG2y0oC0hhID4do1G0_gfyI1jag72lQd7nL3WDQ/edit?gid=1325450813#gid=1325450813")</f>
        <v>https://docs.google.com/spreadsheets/d/1H1MjbG2y0oC0hhID4do1G0_gfyI1jag72lQd7nL3WDQ/edit?gid=1325450813#gid=1325450813</v>
      </c>
      <c r="I741" s="19" t="str">
        <f>IFERROR(__xludf.DUMMYFUNCTION("""COMPUTED_VALUE"""),"https://disk.yandex.ru/client/disk/Осмотры%20объектов%20АНО%20СМГ/554%20Героев%20Панфиловцев%20д%2039%20к%202")</f>
        <v>https://disk.yandex.ru/client/disk/Осмотры%20объектов%20АНО%20СМГ/554%20Героев%20Панфиловцев%20д%2039%20к%202</v>
      </c>
      <c r="J741" s="50">
        <f>IFERROR(__xludf.DUMMYFUNCTION("""COMPUTED_VALUE"""),82.502025)</f>
        <v>82.502025</v>
      </c>
      <c r="K741" s="58">
        <f>IFERROR(__xludf.DUMMYFUNCTION("""COMPUTED_VALUE"""),45961.0)</f>
        <v>45961</v>
      </c>
      <c r="L741" s="6">
        <v>14.0</v>
      </c>
      <c r="M741" s="52">
        <v>45975.0</v>
      </c>
      <c r="N741" s="53" t="s">
        <v>701</v>
      </c>
      <c r="O741" s="19" t="s">
        <v>669</v>
      </c>
      <c r="P741" s="6"/>
      <c r="Q741" s="6"/>
      <c r="R741" s="6"/>
    </row>
    <row r="742">
      <c r="A742" s="31" t="str">
        <f>IFERROR(__xludf.DUMMYFUNCTION("""COMPUTED_VALUE"""),"558")</f>
        <v>558</v>
      </c>
      <c r="B742" s="14" t="str">
        <f>IFERROR(__xludf.DUMMYFUNCTION("""COMPUTED_VALUE"""),"РЕН-25")</f>
        <v>РЕН-25</v>
      </c>
      <c r="C742" s="14" t="str">
        <f>IFERROR(__xludf.DUMMYFUNCTION("""COMPUTED_VALUE"""),"ОКС")</f>
        <v>ОКС</v>
      </c>
      <c r="D742" s="6"/>
      <c r="E742" s="14" t="str">
        <f>IFERROR(__xludf.DUMMYFUNCTION("""COMPUTED_VALUE"""),"3-й Михалковский пер., вл. 17, вл. 19 (зона 7.2) район Коптево, переулок 3-й Михалковский, земельный участок 17/19 (3-й Михалковский пер., вл. 17, вл. 19)")</f>
        <v>3-й Михалковский пер., вл. 17, вл. 19 (зона 7.2) район Коптево, переулок 3-й Михалковский, земельный участок 17/19 (3-й Михалковский пер., вл. 17, вл. 19)</v>
      </c>
      <c r="F742" s="25" t="str">
        <f>IFERROR(__xludf.DUMMYFUNCTION("""COMPUTED_VALUE"""),"55.835719")</f>
        <v>55.835719</v>
      </c>
      <c r="G742" s="6" t="str">
        <f>IFERROR(__xludf.DUMMYFUNCTION("""COMPUTED_VALUE"""),"37.524640")</f>
        <v>37.524640</v>
      </c>
      <c r="H742" s="18" t="str">
        <f>IFERROR(__xludf.DUMMYFUNCTION("""COMPUTED_VALUE"""),"https://docs.google.com/spreadsheets/d/1H1MjbG2y0oC0hhID4do1G0_gfyI1jag72lQd7nL3WDQ/edit?gid=1578036964#gid=1578036964")</f>
        <v>https://docs.google.com/spreadsheets/d/1H1MjbG2y0oC0hhID4do1G0_gfyI1jag72lQd7nL3WDQ/edit?gid=1578036964#gid=1578036964</v>
      </c>
      <c r="I742" s="19" t="str">
        <f>IFERROR(__xludf.DUMMYFUNCTION("""COMPUTED_VALUE"""),"https://disk.yandex.ru/client/disk/Осмотры%20объектов%20АНО%20СМГ/558.%203-й%20Михалковский%20пер.%2C%20зу%2017-19")</f>
        <v>https://disk.yandex.ru/client/disk/Осмотры%20объектов%20АНО%20СМГ/558.%203-й%20Михалковский%20пер.%2C%20зу%2017-19</v>
      </c>
      <c r="J742" s="50">
        <f>IFERROR(__xludf.DUMMYFUNCTION("""COMPUTED_VALUE"""),98.80094999999999)</f>
        <v>98.80095</v>
      </c>
      <c r="K742" s="58">
        <f>IFERROR(__xludf.DUMMYFUNCTION("""COMPUTED_VALUE"""),45968.0)</f>
        <v>45968</v>
      </c>
      <c r="L742" s="6">
        <v>7.0</v>
      </c>
      <c r="M742" s="52">
        <v>45975.0</v>
      </c>
      <c r="N742" s="53" t="s">
        <v>652</v>
      </c>
      <c r="O742" s="19" t="s">
        <v>1121</v>
      </c>
      <c r="P742" s="6"/>
      <c r="Q742" s="6"/>
      <c r="R742" s="6"/>
    </row>
    <row r="743">
      <c r="A743" s="31" t="str">
        <f>IFERROR(__xludf.DUMMYFUNCTION("""COMPUTED_VALUE"""),"565")</f>
        <v>565</v>
      </c>
      <c r="B743" s="14" t="str">
        <f>IFERROR(__xludf.DUMMYFUNCTION("""COMPUTED_VALUE"""),"РЕН-25")</f>
        <v>РЕН-25</v>
      </c>
      <c r="C743" s="14" t="str">
        <f>IFERROR(__xludf.DUMMYFUNCTION("""COMPUTED_VALUE"""),"ОКС")</f>
        <v>ОКС</v>
      </c>
      <c r="D743" s="6"/>
      <c r="E743" s="14" t="str">
        <f>IFERROR(__xludf.DUMMYFUNCTION("""COMPUTED_VALUE"""),"Парковая ул., з/у 7 (зона 2.1) поселок Новобратцевский, район Митино, зона №2.1")</f>
        <v>Парковая ул., з/у 7 (зона 2.1) поселок Новобратцевский, район Митино, зона №2.1</v>
      </c>
      <c r="F743" s="25" t="str">
        <f>IFERROR(__xludf.DUMMYFUNCTION("""COMPUTED_VALUE"""),"55.851649")</f>
        <v>55.851649</v>
      </c>
      <c r="G743" s="6" t="str">
        <f>IFERROR(__xludf.DUMMYFUNCTION("""COMPUTED_VALUE"""),"37.382568")</f>
        <v>37.382568</v>
      </c>
      <c r="H743" s="18" t="str">
        <f>IFERROR(__xludf.DUMMYFUNCTION("""COMPUTED_VALUE"""),"https://docs.google.com/spreadsheets/d/1H1MjbG2y0oC0hhID4do1G0_gfyI1jag72lQd7nL3WDQ/edit?gid=1517123869#gid=1517123869")</f>
        <v>https://docs.google.com/spreadsheets/d/1H1MjbG2y0oC0hhID4do1G0_gfyI1jag72lQd7nL3WDQ/edit?gid=1517123869#gid=1517123869</v>
      </c>
      <c r="I743" s="19" t="str">
        <f>IFERROR(__xludf.DUMMYFUNCTION("""COMPUTED_VALUE"""),"https://disk.yandex.ru/client/disk/Осмотры%20объектов%20АНО%20СМГ/565%20Парковая%20зу%207%20Митино")</f>
        <v>https://disk.yandex.ru/client/disk/Осмотры%20объектов%20АНО%20СМГ/565%20Парковая%20зу%207%20Митино</v>
      </c>
      <c r="J743" s="50">
        <f>IFERROR(__xludf.DUMMYFUNCTION("""COMPUTED_VALUE"""),86.98989999999999)</f>
        <v>86.9899</v>
      </c>
      <c r="K743" s="58">
        <f>IFERROR(__xludf.DUMMYFUNCTION("""COMPUTED_VALUE"""),45960.0)</f>
        <v>45960</v>
      </c>
      <c r="L743" s="6">
        <v>14.0</v>
      </c>
      <c r="M743" s="52">
        <v>45974.0</v>
      </c>
      <c r="N743" s="53" t="s">
        <v>668</v>
      </c>
      <c r="O743" s="19" t="s">
        <v>669</v>
      </c>
      <c r="P743" s="6"/>
      <c r="Q743" s="6"/>
      <c r="R743" s="6"/>
    </row>
    <row r="744">
      <c r="A744" s="31" t="str">
        <f>IFERROR(__xludf.DUMMYFUNCTION("""COMPUTED_VALUE"""),"608")</f>
        <v>608</v>
      </c>
      <c r="B744" s="14" t="str">
        <f>IFERROR(__xludf.DUMMYFUNCTION("""COMPUTED_VALUE"""),"РЕН-25")</f>
        <v>РЕН-25</v>
      </c>
      <c r="C744" s="14" t="str">
        <f>IFERROR(__xludf.DUMMYFUNCTION("""COMPUTED_VALUE"""),"ОКС")</f>
        <v>ОКС</v>
      </c>
      <c r="D744" s="6"/>
      <c r="E744" s="14" t="str">
        <f>IFERROR(__xludf.DUMMYFUNCTION("""COMPUTED_VALUE"""),"Героев Панфиловцев ул., з/у 49 (зона 3.1) район Северное Тушино, улица Героев Панфиловцев, земельный участок 49")</f>
        <v>Героев Панфиловцев ул., з/у 49 (зона 3.1) район Северное Тушино, улица Героев Панфиловцев, земельный участок 49</v>
      </c>
      <c r="F744" s="25" t="str">
        <f>IFERROR(__xludf.DUMMYFUNCTION("""COMPUTED_VALUE"""),"55.852285")</f>
        <v>55.852285</v>
      </c>
      <c r="G744" s="6" t="str">
        <f>IFERROR(__xludf.DUMMYFUNCTION("""COMPUTED_VALUE"""),"37.408515")</f>
        <v>37.408515</v>
      </c>
      <c r="H744" s="18" t="str">
        <f>IFERROR(__xludf.DUMMYFUNCTION("""COMPUTED_VALUE"""),"https://docs.google.com/spreadsheets/d/1H1MjbG2y0oC0hhID4do1G0_gfyI1jag72lQd7nL3WDQ/edit?gid=1413674534#gid=1413674534")</f>
        <v>https://docs.google.com/spreadsheets/d/1H1MjbG2y0oC0hhID4do1G0_gfyI1jag72lQd7nL3WDQ/edit?gid=1413674534#gid=1413674534</v>
      </c>
      <c r="I744" s="19" t="str">
        <f>IFERROR(__xludf.DUMMYFUNCTION("""COMPUTED_VALUE"""),"https://disk.yandex.ru/client/disk/Осмотры%20объектов%20АНО%20СМГ/608%20Героев%20Панфиловцев%20д%2049%20к1%20к2")</f>
        <v>https://disk.yandex.ru/client/disk/Осмотры%20объектов%20АНО%20СМГ/608%20Героев%20Панфиловцев%20д%2049%20к1%20к2</v>
      </c>
      <c r="J744" s="50">
        <f>IFERROR(__xludf.DUMMYFUNCTION("""COMPUTED_VALUE"""),83.40147)</f>
        <v>83.40147</v>
      </c>
      <c r="K744" s="58">
        <f>IFERROR(__xludf.DUMMYFUNCTION("""COMPUTED_VALUE"""),45961.0)</f>
        <v>45961</v>
      </c>
      <c r="L744" s="6">
        <v>14.0</v>
      </c>
      <c r="M744" s="52">
        <v>45975.0</v>
      </c>
      <c r="N744" s="53" t="s">
        <v>701</v>
      </c>
      <c r="O744" s="19" t="s">
        <v>669</v>
      </c>
      <c r="P744" s="6"/>
      <c r="Q744" s="6"/>
      <c r="R744" s="6"/>
    </row>
    <row r="745">
      <c r="A745" s="31" t="str">
        <f>IFERROR(__xludf.DUMMYFUNCTION("""COMPUTED_VALUE"""),"660")</f>
        <v>660</v>
      </c>
      <c r="B745" s="14" t="str">
        <f>IFERROR(__xludf.DUMMYFUNCTION("""COMPUTED_VALUE"""),"РЕН-25")</f>
        <v>РЕН-25</v>
      </c>
      <c r="C745" s="14" t="str">
        <f>IFERROR(__xludf.DUMMYFUNCTION("""COMPUTED_VALUE"""),"ОКС")</f>
        <v>ОКС</v>
      </c>
      <c r="D745" s="6"/>
      <c r="E745" s="14" t="str">
        <f>IFERROR(__xludf.DUMMYFUNCTION("""COMPUTED_VALUE"""),"улица Свободы,земельный участок 69 (Свободы ул.вл. 69) район Северное Тушино, ул. Свободы, земельный участок 69 (Свободы ул.,вл. 69)")</f>
        <v>улица Свободы,земельный участок 69 (Свободы ул.вл. 69) район Северное Тушино, ул. Свободы, земельный участок 69 (Свободы ул.,вл. 69)</v>
      </c>
      <c r="F745" s="25" t="str">
        <f>IFERROR(__xludf.DUMMYFUNCTION("""COMPUTED_VALUE"""),"55.857513")</f>
        <v>55.857513</v>
      </c>
      <c r="G745" s="6" t="str">
        <f>IFERROR(__xludf.DUMMYFUNCTION("""COMPUTED_VALUE"""),"37.448959")</f>
        <v>37.448959</v>
      </c>
      <c r="H745" s="18" t="str">
        <f>IFERROR(__xludf.DUMMYFUNCTION("""COMPUTED_VALUE"""),"https://docs.google.com/spreadsheets/d/1H1MjbG2y0oC0hhID4do1G0_gfyI1jag72lQd7nL3WDQ/edit?gid=604357555#gid=604357555")</f>
        <v>https://docs.google.com/spreadsheets/d/1H1MjbG2y0oC0hhID4do1G0_gfyI1jag72lQd7nL3WDQ/edit?gid=604357555#gid=604357555</v>
      </c>
      <c r="I745" s="19" t="str">
        <f>IFERROR(__xludf.DUMMYFUNCTION("""COMPUTED_VALUE"""),"https://disk.yandex.ru/client/disk/Осмотры%20объектов%20АНО%20СМГ/660.%20жилой%20дом%20ул.%20Свободы%2069")</f>
        <v>https://disk.yandex.ru/client/disk/Осмотры%20объектов%20АНО%20СМГ/660.%20жилой%20дом%20ул.%20Свободы%2069</v>
      </c>
      <c r="J745" s="50">
        <f>IFERROR(__xludf.DUMMYFUNCTION("""COMPUTED_VALUE"""),52.001819999999995)</f>
        <v>52.00182</v>
      </c>
      <c r="K745" s="58">
        <f>IFERROR(__xludf.DUMMYFUNCTION("""COMPUTED_VALUE"""),45967.0)</f>
        <v>45967</v>
      </c>
      <c r="L745" s="6">
        <v>14.0</v>
      </c>
      <c r="M745" s="52">
        <v>45981.0</v>
      </c>
      <c r="N745" s="53" t="s">
        <v>741</v>
      </c>
      <c r="O745" s="19" t="s">
        <v>1122</v>
      </c>
      <c r="P745" s="6"/>
      <c r="Q745" s="6"/>
      <c r="R745" s="6"/>
    </row>
    <row r="746">
      <c r="A746" s="31" t="str">
        <f>IFERROR(__xludf.DUMMYFUNCTION("""COMPUTED_VALUE"""),"615")</f>
        <v>615</v>
      </c>
      <c r="B746" s="14" t="str">
        <f>IFERROR(__xludf.DUMMYFUNCTION("""COMPUTED_VALUE"""),"РЕН-25")</f>
        <v>РЕН-25</v>
      </c>
      <c r="C746" s="14" t="str">
        <f>IFERROR(__xludf.DUMMYFUNCTION("""COMPUTED_VALUE"""),"ОКС")</f>
        <v>ОКС</v>
      </c>
      <c r="D746" s="6"/>
      <c r="E746" s="14" t="str">
        <f>IFERROR(__xludf.DUMMYFUNCTION("""COMPUTED_VALUE"""),"Боровское ш., з/у 26 (пересечение Боровского ш. и Чоботовской ул.) Чоботовская, д. 2а")</f>
        <v>Боровское ш., з/у 26 (пересечение Боровского ш. и Чоботовской ул.) Чоботовская, д. 2а</v>
      </c>
      <c r="F746" s="25" t="str">
        <f>IFERROR(__xludf.DUMMYFUNCTION("""COMPUTED_VALUE"""),"55.644663")</f>
        <v>55.644663</v>
      </c>
      <c r="G746" s="6" t="str">
        <f>IFERROR(__xludf.DUMMYFUNCTION("""COMPUTED_VALUE"""),"37.359945")</f>
        <v>37.359945</v>
      </c>
      <c r="H746" s="18" t="str">
        <f>IFERROR(__xludf.DUMMYFUNCTION("""COMPUTED_VALUE"""),"https://docs.google.com/spreadsheets/d/1H1MjbG2y0oC0hhID4do1G0_gfyI1jag72lQd7nL3WDQ/edit?gid=2120381921#gid=2120381921")</f>
        <v>https://docs.google.com/spreadsheets/d/1H1MjbG2y0oC0hhID4do1G0_gfyI1jag72lQd7nL3WDQ/edit?gid=2120381921#gid=2120381921</v>
      </c>
      <c r="I746" s="19" t="str">
        <f>IFERROR(__xludf.DUMMYFUNCTION("""COMPUTED_VALUE"""),"https://disk.yandex.ru/client/disk/Осмотры%20объектов%20АНО%20СМГ/615.%20Район%20Ново-Переделкино%2C%20Боровское%20шоссе%2C%20земельный%20участок%2026")</f>
        <v>https://disk.yandex.ru/client/disk/Осмотры%20объектов%20АНО%20СМГ/615.%20Район%20Ново-Переделкино%2C%20Боровское%20шоссе%2C%20земельный%20участок%2026</v>
      </c>
      <c r="J746" s="50">
        <f>IFERROR(__xludf.DUMMYFUNCTION("""COMPUTED_VALUE"""),99.36855)</f>
        <v>99.36855</v>
      </c>
      <c r="K746" s="58">
        <f>IFERROR(__xludf.DUMMYFUNCTION("""COMPUTED_VALUE"""),45971.0)</f>
        <v>45971</v>
      </c>
      <c r="L746" s="6">
        <v>7.0</v>
      </c>
      <c r="M746" s="52">
        <v>45978.0</v>
      </c>
      <c r="N746" s="53" t="s">
        <v>652</v>
      </c>
      <c r="O746" s="19" t="s">
        <v>1123</v>
      </c>
      <c r="P746" s="6"/>
      <c r="Q746" s="6"/>
      <c r="R746" s="6"/>
    </row>
    <row r="747">
      <c r="A747" s="31" t="str">
        <f>IFERROR(__xludf.DUMMYFUNCTION("""COMPUTED_VALUE"""),"595")</f>
        <v>595</v>
      </c>
      <c r="B747" s="14" t="str">
        <f>IFERROR(__xludf.DUMMYFUNCTION("""COMPUTED_VALUE"""),"РЕН-25")</f>
        <v>РЕН-25</v>
      </c>
      <c r="C747" s="14" t="str">
        <f>IFERROR(__xludf.DUMMYFUNCTION("""COMPUTED_VALUE"""),"ОКС")</f>
        <v>ОКС</v>
      </c>
      <c r="D747" s="6"/>
      <c r="E747" s="14" t="str">
        <f>IFERROR(__xludf.DUMMYFUNCTION("""COMPUTED_VALUE"""),"Отрадный пр-д, з/у 6/1 (Отрадный пр-д, вл. 6-8) район Отрадное, Отрадное, Отрадный пр-д, з/у 6/1 (Отрадный пр-д, вл. 6-8)")</f>
        <v>Отрадный пр-д, з/у 6/1 (Отрадный пр-д, вл. 6-8) район Отрадное, Отрадное, Отрадный пр-д, з/у 6/1 (Отрадный пр-д, вл. 6-8)</v>
      </c>
      <c r="F747" s="25" t="str">
        <f>IFERROR(__xludf.DUMMYFUNCTION("""COMPUTED_VALUE"""),"55.855397")</f>
        <v>55.855397</v>
      </c>
      <c r="G747" s="6" t="str">
        <f>IFERROR(__xludf.DUMMYFUNCTION("""COMPUTED_VALUE"""),"37.609932")</f>
        <v>37.609932</v>
      </c>
      <c r="H747" s="18" t="str">
        <f>IFERROR(__xludf.DUMMYFUNCTION("""COMPUTED_VALUE"""),"https://docs.google.com/spreadsheets/d/1H1MjbG2y0oC0hhID4do1G0_gfyI1jag72lQd7nL3WDQ/edit?gid=1677110935#gid=1677110935")</f>
        <v>https://docs.google.com/spreadsheets/d/1H1MjbG2y0oC0hhID4do1G0_gfyI1jag72lQd7nL3WDQ/edit?gid=1677110935#gid=1677110935</v>
      </c>
      <c r="I747" s="19" t="str">
        <f>IFERROR(__xludf.DUMMYFUNCTION("""COMPUTED_VALUE"""),"https://disk.yandex.ru/client/disk/Осмотры%20объектов%20АНО%20СМГ/595.%20Отрадный%20проезд%2C%20з.у.%206.1")</f>
        <v>https://disk.yandex.ru/client/disk/Осмотры%20объектов%20АНО%20СМГ/595.%20Отрадный%20проезд%2C%20з.у.%206.1</v>
      </c>
      <c r="J747" s="50">
        <f>IFERROR(__xludf.DUMMYFUNCTION("""COMPUTED_VALUE"""),98.89269999999999)</f>
        <v>98.8927</v>
      </c>
      <c r="K747" s="58">
        <f>IFERROR(__xludf.DUMMYFUNCTION("""COMPUTED_VALUE"""),45952.0)</f>
        <v>45952</v>
      </c>
      <c r="L747" s="6">
        <v>7.0</v>
      </c>
      <c r="M747" s="52">
        <v>45959.0</v>
      </c>
      <c r="N747" s="53" t="s">
        <v>652</v>
      </c>
      <c r="O747" s="19" t="s">
        <v>1124</v>
      </c>
      <c r="P747" s="6"/>
      <c r="Q747" s="6"/>
      <c r="R747" s="6"/>
    </row>
    <row r="748">
      <c r="A748" s="31" t="str">
        <f>IFERROR(__xludf.DUMMYFUNCTION("""COMPUTED_VALUE"""),"544")</f>
        <v>544</v>
      </c>
      <c r="B748" s="14" t="str">
        <f>IFERROR(__xludf.DUMMYFUNCTION("""COMPUTED_VALUE"""),"РЕН-25")</f>
        <v>РЕН-25</v>
      </c>
      <c r="C748" s="14" t="str">
        <f>IFERROR(__xludf.DUMMYFUNCTION("""COMPUTED_VALUE"""),"ОКС")</f>
        <v>ОКС</v>
      </c>
      <c r="D748" s="6"/>
      <c r="E748" s="14" t="str">
        <f>IFERROR(__xludf.DUMMYFUNCTION("""COMPUTED_VALUE"""),"Жилой дом с инженерными
сетями и благоустройством
территории (со сносом зданий
расположенных по адресам:
город Москва, Северное
Бутово, Феодосийская ул., д.
3; Феодосийская ул., д. 5;
Феодосийская ул., д. 7) район Северное Бутово, ул. Феодосийская д.5")</f>
        <v>Жилой дом с инженерными
сетями и благоустройством
территории (со сносом зданий
расположенных по адресам:
город Москва, Северное
Бутово, Феодосийская ул., д.
3; Феодосийская ул., д. 5;
Феодосийская ул., д. 7) район Северное Бутово, ул. Феодосийская д.5</v>
      </c>
      <c r="F748" s="25" t="str">
        <f>IFERROR(__xludf.DUMMYFUNCTION("""COMPUTED_VALUE"""),"55.563100")</f>
        <v>55.563100</v>
      </c>
      <c r="G748" s="6" t="str">
        <f>IFERROR(__xludf.DUMMYFUNCTION("""COMPUTED_VALUE"""),"37.579658")</f>
        <v>37.579658</v>
      </c>
      <c r="H748" s="18" t="str">
        <f>IFERROR(__xludf.DUMMYFUNCTION("""COMPUTED_VALUE"""),"https://docs.google.com/spreadsheets/d/1H1MjbG2y0oC0hhID4do1G0_gfyI1jag72lQd7nL3WDQ/edit?gid=1191711449#gid=1191711449")</f>
        <v>https://docs.google.com/spreadsheets/d/1H1MjbG2y0oC0hhID4do1G0_gfyI1jag72lQd7nL3WDQ/edit?gid=1191711449#gid=1191711449</v>
      </c>
      <c r="I748" s="19" t="str">
        <f>IFERROR(__xludf.DUMMYFUNCTION("""COMPUTED_VALUE"""),"https://disk.yandex.ru/client/disk/Осмотры%20объектов%20АНО%20СМГ/544.%20Феодосийская%20зу7")</f>
        <v>https://disk.yandex.ru/client/disk/Осмотры%20объектов%20АНО%20СМГ/544.%20Феодосийская%20зу7</v>
      </c>
      <c r="J748" s="50">
        <f>IFERROR(__xludf.DUMMYFUNCTION("""COMPUTED_VALUE"""),96.023675)</f>
        <v>96.023675</v>
      </c>
      <c r="K748" s="58">
        <f>IFERROR(__xludf.DUMMYFUNCTION("""COMPUTED_VALUE"""),45971.0)</f>
        <v>45971</v>
      </c>
      <c r="L748" s="6">
        <v>7.0</v>
      </c>
      <c r="M748" s="52">
        <v>45978.0</v>
      </c>
      <c r="N748" s="53" t="s">
        <v>652</v>
      </c>
      <c r="O748" s="19" t="s">
        <v>1125</v>
      </c>
      <c r="P748" s="6"/>
      <c r="Q748" s="6"/>
      <c r="R748" s="6"/>
    </row>
    <row r="749">
      <c r="A749" s="31" t="str">
        <f>IFERROR(__xludf.DUMMYFUNCTION("""COMPUTED_VALUE"""),"602")</f>
        <v>602</v>
      </c>
      <c r="B749" s="14" t="str">
        <f>IFERROR(__xludf.DUMMYFUNCTION("""COMPUTED_VALUE"""),"РЕН-25")</f>
        <v>РЕН-25</v>
      </c>
      <c r="C749" s="14" t="str">
        <f>IFERROR(__xludf.DUMMYFUNCTION("""COMPUTED_VALUE"""),"ОКС")</f>
        <v>ОКС</v>
      </c>
      <c r="D749" s="6"/>
      <c r="E749" s="14" t="str">
        <f>IFERROR(__xludf.DUMMYFUNCTION("""COMPUTED_VALUE"""),"ул. 2-я Хуторская, з/у 31А район Савеловский, ул. 2-я Хуторская улица, дом 33 корпус 2;
дом 33 корпус 1")</f>
        <v>ул. 2-я Хуторская, з/у 31А район Савеловский, ул. 2-я Хуторская улица, дом 33 корпус 2;
дом 33 корпус 1</v>
      </c>
      <c r="F749" s="25" t="str">
        <f>IFERROR(__xludf.DUMMYFUNCTION("""COMPUTED_VALUE"""),"55.804361")</f>
        <v>55.804361</v>
      </c>
      <c r="G749" s="6" t="str">
        <f>IFERROR(__xludf.DUMMYFUNCTION("""COMPUTED_VALUE"""),"37.567554")</f>
        <v>37.567554</v>
      </c>
      <c r="H749" s="18" t="str">
        <f>IFERROR(__xludf.DUMMYFUNCTION("""COMPUTED_VALUE"""),"https://docs.google.com/spreadsheets/d/1H1MjbG2y0oC0hhID4do1G0_gfyI1jag72lQd7nL3WDQ/edit?gid=1870096044#gid=1870096044")</f>
        <v>https://docs.google.com/spreadsheets/d/1H1MjbG2y0oC0hhID4do1G0_gfyI1jag72lQd7nL3WDQ/edit?gid=1870096044#gid=1870096044</v>
      </c>
      <c r="I749" s="19" t="str">
        <f>IFERROR(__xludf.DUMMYFUNCTION("""COMPUTED_VALUE"""),"https://disk.yandex.ru/client/disk/Осмотры%20объектов%20АНО%20СМГ/602.%202-ая%20Хуторская%20ул.%2C%20зу%2031а")</f>
        <v>https://disk.yandex.ru/client/disk/Осмотры%20объектов%20АНО%20СМГ/602.%202-ая%20Хуторская%20ул.%2C%20зу%2031а</v>
      </c>
      <c r="J749" s="50">
        <f>IFERROR(__xludf.DUMMYFUNCTION("""COMPUTED_VALUE"""),91.06339999999999)</f>
        <v>91.0634</v>
      </c>
      <c r="K749" s="58">
        <f>IFERROR(__xludf.DUMMYFUNCTION("""COMPUTED_VALUE"""),45972.0)</f>
        <v>45972</v>
      </c>
      <c r="L749" s="6">
        <v>14.0</v>
      </c>
      <c r="M749" s="52">
        <v>45986.0</v>
      </c>
      <c r="N749" s="53" t="s">
        <v>652</v>
      </c>
      <c r="O749" s="19" t="s">
        <v>1126</v>
      </c>
      <c r="P749" s="6"/>
      <c r="Q749" s="6"/>
      <c r="R749" s="6"/>
    </row>
    <row r="750">
      <c r="A750" s="31" t="str">
        <f>IFERROR(__xludf.DUMMYFUNCTION("""COMPUTED_VALUE"""),"545")</f>
        <v>545</v>
      </c>
      <c r="B750" s="14" t="str">
        <f>IFERROR(__xludf.DUMMYFUNCTION("""COMPUTED_VALUE"""),"РЕН-25")</f>
        <v>РЕН-25</v>
      </c>
      <c r="C750" s="14" t="str">
        <f>IFERROR(__xludf.DUMMYFUNCTION("""COMPUTED_VALUE"""),"ОКС")</f>
        <v>ОКС</v>
      </c>
      <c r="D750" s="6"/>
      <c r="E750" s="14" t="str">
        <f>IFERROR(__xludf.DUMMYFUNCTION("""COMPUTED_VALUE"""),"г. Московский, ул. Никитина, 9 район Московский, г. Московский, ул. Никитина, 9")</f>
        <v>г. Московский, ул. Никитина, 9 район Московский, г. Московский, ул. Никитина, 9</v>
      </c>
      <c r="F750" s="25" t="str">
        <f>IFERROR(__xludf.DUMMYFUNCTION("""COMPUTED_VALUE"""),"55.606618")</f>
        <v>55.606618</v>
      </c>
      <c r="G750" s="6" t="str">
        <f>IFERROR(__xludf.DUMMYFUNCTION("""COMPUTED_VALUE"""),"37.371306")</f>
        <v>37.371306</v>
      </c>
      <c r="H750" s="18" t="str">
        <f>IFERROR(__xludf.DUMMYFUNCTION("""COMPUTED_VALUE"""),"https://docs.google.com/spreadsheets/d/1H1MjbG2y0oC0hhID4do1G0_gfyI1jag72lQd7nL3WDQ/edit?gid=1300457232#gid=1300457232")</f>
        <v>https://docs.google.com/spreadsheets/d/1H1MjbG2y0oC0hhID4do1G0_gfyI1jag72lQd7nL3WDQ/edit?gid=1300457232#gid=1300457232</v>
      </c>
      <c r="I750" s="19" t="str">
        <f>IFERROR(__xludf.DUMMYFUNCTION("""COMPUTED_VALUE"""),"https://disk.yandex.ru/client/disk/Осмотры%20объектов%20АНО%20СМГ/545.%20район%20Московский%2C%20г.%20Московский%2C%20%20ул.%20Никитина%2C%209")</f>
        <v>https://disk.yandex.ru/client/disk/Осмотры%20объектов%20АНО%20СМГ/545.%20район%20Московский%2C%20г.%20Московский%2C%20%20ул.%20Никитина%2C%209</v>
      </c>
      <c r="J750" s="50">
        <f>IFERROR(__xludf.DUMMYFUNCTION("""COMPUTED_VALUE"""),78.39822)</f>
        <v>78.39822</v>
      </c>
      <c r="K750" s="58">
        <f>IFERROR(__xludf.DUMMYFUNCTION("""COMPUTED_VALUE"""),45959.0)</f>
        <v>45959</v>
      </c>
      <c r="L750" s="6">
        <v>14.0</v>
      </c>
      <c r="M750" s="52">
        <v>45973.0</v>
      </c>
      <c r="N750" s="53" t="s">
        <v>668</v>
      </c>
      <c r="O750" s="19" t="s">
        <v>1127</v>
      </c>
      <c r="P750" s="6"/>
      <c r="Q750" s="6"/>
      <c r="R750" s="6"/>
    </row>
    <row r="751">
      <c r="A751" s="31" t="str">
        <f>IFERROR(__xludf.DUMMYFUNCTION("""COMPUTED_VALUE"""),"553")</f>
        <v>553</v>
      </c>
      <c r="B751" s="14" t="str">
        <f>IFERROR(__xludf.DUMMYFUNCTION("""COMPUTED_VALUE"""),"РЕН-25")</f>
        <v>РЕН-25</v>
      </c>
      <c r="C751" s="14" t="str">
        <f>IFERROR(__xludf.DUMMYFUNCTION("""COMPUTED_VALUE"""),"ОКС")</f>
        <v>ОКС</v>
      </c>
      <c r="D751" s="6"/>
      <c r="E751" s="14" t="str">
        <f>IFERROR(__xludf.DUMMYFUNCTION("""COMPUTED_VALUE"""),"Верхоянская ул., з/у 14 (Зоны 10.1, 10.2, 10.3) район Бабушкинский, Верхоянская ул., з/у 14 (Зоны 10.1, 10.2, 10.3)")</f>
        <v>Верхоянская ул., з/у 14 (Зоны 10.1, 10.2, 10.3) район Бабушкинский, Верхоянская ул., з/у 14 (Зоны 10.1, 10.2, 10.3)</v>
      </c>
      <c r="F751" s="25" t="str">
        <f>IFERROR(__xludf.DUMMYFUNCTION("""COMPUTED_VALUE"""),"55.857841")</f>
        <v>55.857841</v>
      </c>
      <c r="G751" s="6" t="str">
        <f>IFERROR(__xludf.DUMMYFUNCTION("""COMPUTED_VALUE"""),"37.664879")</f>
        <v>37.664879</v>
      </c>
      <c r="H751" s="18" t="str">
        <f>IFERROR(__xludf.DUMMYFUNCTION("""COMPUTED_VALUE"""),"https://docs.google.com/spreadsheets/d/1H1MjbG2y0oC0hhID4do1G0_gfyI1jag72lQd7nL3WDQ/edit?gid=815627436#gid=815627436")</f>
        <v>https://docs.google.com/spreadsheets/d/1H1MjbG2y0oC0hhID4do1G0_gfyI1jag72lQd7nL3WDQ/edit?gid=815627436#gid=815627436</v>
      </c>
      <c r="I751" s="19" t="str">
        <f>IFERROR(__xludf.DUMMYFUNCTION("""COMPUTED_VALUE"""),"https://disk.yandex.ru/client/disk/Осмотры%20объектов%20АНО%20СМГ/553.%20ул.%20Верхоянская%20зу%2014")</f>
        <v>https://disk.yandex.ru/client/disk/Осмотры%20объектов%20АНО%20СМГ/553.%20ул.%20Верхоянская%20зу%2014</v>
      </c>
      <c r="J751" s="50">
        <f>IFERROR(__xludf.DUMMYFUNCTION("""COMPUTED_VALUE"""),89.66385000000001)</f>
        <v>89.66385</v>
      </c>
      <c r="K751" s="58">
        <f>IFERROR(__xludf.DUMMYFUNCTION("""COMPUTED_VALUE"""),45971.0)</f>
        <v>45971</v>
      </c>
      <c r="L751" s="6">
        <v>14.0</v>
      </c>
      <c r="M751" s="52">
        <v>45985.0</v>
      </c>
      <c r="N751" s="53" t="s">
        <v>711</v>
      </c>
      <c r="O751" s="19" t="s">
        <v>669</v>
      </c>
      <c r="P751" s="6"/>
      <c r="Q751" s="6"/>
      <c r="R751" s="6"/>
    </row>
    <row r="752">
      <c r="A752" s="31" t="str">
        <f>IFERROR(__xludf.DUMMYFUNCTION("""COMPUTED_VALUE"""),"517")</f>
        <v>517</v>
      </c>
      <c r="B752" s="14" t="str">
        <f>IFERROR(__xludf.DUMMYFUNCTION("""COMPUTED_VALUE"""),"РЕН-25")</f>
        <v>РЕН-25</v>
      </c>
      <c r="C752" s="14" t="str">
        <f>IFERROR(__xludf.DUMMYFUNCTION("""COMPUTED_VALUE"""),"ОКС")</f>
        <v>ОКС</v>
      </c>
      <c r="D752" s="6"/>
      <c r="E752" s="14" t="str">
        <f>IFERROR(__xludf.DUMMYFUNCTION("""COMPUTED_VALUE"""),"Измайловский б-р, вл. 71 (Измайловский б-р, вл. 71/25) Измайловский б-р, вл. 71 (Измайловский б-р, вл. 71/25)")</f>
        <v>Измайловский б-р, вл. 71 (Измайловский б-р, вл. 71/25) Измайловский б-р, вл. 71 (Измайловский б-р, вл. 71/25)</v>
      </c>
      <c r="F752" s="25" t="str">
        <f>IFERROR(__xludf.DUMMYFUNCTION("""COMPUTED_VALUE"""),"55.797771")</f>
        <v>55.797771</v>
      </c>
      <c r="G752" s="6" t="str">
        <f>IFERROR(__xludf.DUMMYFUNCTION("""COMPUTED_VALUE"""),"37.817609")</f>
        <v>37.817609</v>
      </c>
      <c r="H752" s="18" t="str">
        <f>IFERROR(__xludf.DUMMYFUNCTION("""COMPUTED_VALUE"""),"https://docs.google.com/spreadsheets/d/1H1MjbG2y0oC0hhID4do1G0_gfyI1jag72lQd7nL3WDQ/edit?gid=1927985373#gid=1927985373")</f>
        <v>https://docs.google.com/spreadsheets/d/1H1MjbG2y0oC0hhID4do1G0_gfyI1jag72lQd7nL3WDQ/edit?gid=1927985373#gid=1927985373</v>
      </c>
      <c r="I752" s="19" t="str">
        <f>IFERROR(__xludf.DUMMYFUNCTION("""COMPUTED_VALUE"""),"https://disk.yandex.ru/client/disk/Осмотры%20объектов%20АНО%20СМГ/517.%20Измайлово%2C%20Измайловский%20б-р%2C%20вл.%2071")</f>
        <v>https://disk.yandex.ru/client/disk/Осмотры%20объектов%20АНО%20СМГ/517.%20Измайлово%2C%20Измайловский%20б-р%2C%20вл.%2071</v>
      </c>
      <c r="J752" s="50">
        <f>IFERROR(__xludf.DUMMYFUNCTION("""COMPUTED_VALUE"""),97.357075)</f>
        <v>97.357075</v>
      </c>
      <c r="K752" s="58">
        <f>IFERROR(__xludf.DUMMYFUNCTION("""COMPUTED_VALUE"""),45952.0)</f>
        <v>45952</v>
      </c>
      <c r="L752" s="6">
        <v>7.0</v>
      </c>
      <c r="M752" s="52">
        <v>45959.0</v>
      </c>
      <c r="N752" s="53" t="s">
        <v>652</v>
      </c>
      <c r="O752" s="19" t="s">
        <v>1128</v>
      </c>
      <c r="P752" s="6"/>
      <c r="Q752" s="6"/>
      <c r="R752" s="6"/>
    </row>
    <row r="753">
      <c r="A753" s="31" t="str">
        <f>IFERROR(__xludf.DUMMYFUNCTION("""COMPUTED_VALUE"""),"562")</f>
        <v>562</v>
      </c>
      <c r="B753" s="14" t="str">
        <f>IFERROR(__xludf.DUMMYFUNCTION("""COMPUTED_VALUE"""),"РЕН-25")</f>
        <v>РЕН-25</v>
      </c>
      <c r="C753" s="14" t="str">
        <f>IFERROR(__xludf.DUMMYFUNCTION("""COMPUTED_VALUE"""),"ОКС")</f>
        <v>ОКС</v>
      </c>
      <c r="D753" s="6"/>
      <c r="E753" s="14" t="str">
        <f>IFERROR(__xludf.DUMMYFUNCTION("""COMPUTED_VALUE"""),"Жигулевская ул., з/у 12/6, з/у 12/6/1 (Жигулевская ул., д. 12, корп. 6) Жигулевская ул., з/у 12/6, з/у 12/6/1 (Жигулевская ул., д. 12, корп. 6)")</f>
        <v>Жигулевская ул., з/у 12/6, з/у 12/6/1 (Жигулевская ул., д. 12, корп. 6) Жигулевская ул., з/у 12/6, з/у 12/6/1 (Жигулевская ул., д. 12, корп. 6)</v>
      </c>
      <c r="F753" s="25" t="str">
        <f>IFERROR(__xludf.DUMMYFUNCTION("""COMPUTED_VALUE"""),"55.710282")</f>
        <v>55.710282</v>
      </c>
      <c r="G753" s="6" t="str">
        <f>IFERROR(__xludf.DUMMYFUNCTION("""COMPUTED_VALUE"""),"37.758707")</f>
        <v>37.758707</v>
      </c>
      <c r="H753" s="18" t="str">
        <f>IFERROR(__xludf.DUMMYFUNCTION("""COMPUTED_VALUE"""),"https://docs.google.com/spreadsheets/d/1H1MjbG2y0oC0hhID4do1G0_gfyI1jag72lQd7nL3WDQ/edit?gid=1589045795#gid=1589045795")</f>
        <v>https://docs.google.com/spreadsheets/d/1H1MjbG2y0oC0hhID4do1G0_gfyI1jag72lQd7nL3WDQ/edit?gid=1589045795#gid=1589045795</v>
      </c>
      <c r="I753" s="21" t="str">
        <f>IFERROR(__xludf.DUMMYFUNCTION("""COMPUTED_VALUE"""),"https://disk.yandex.ru/client/disk/%D0%9E%D1%81%D0%BC%D0%BE%D1%82%D1%80%D1%8B%20%D0%BE%D0%B1%D1%8A%D0%B5%D0%BA%D1%82%D0%BE%D0%B2%20%D0%90%D0%9D%D0%9E%20%D0%A1%D0%9C%D0%93/562.%20%D1%80%D0%B0%D0%B9%D0%BE%D0%BD%20%D0%9A%D1%83%D0%B7%D1%8C%D0%BC%D0%B8%D0%BD%D"&amp;"0%BA%D0%B8%2C%20%D0%96%D0%B8%D0%B3%D1%83%D0%BB%D0%B5%D0%B2%D1%81%D0%BA%D0%B0%D1%8F%20%D1%83%D0%BB.%2C12.6.1%20%D0%B7%D0%BE%D0%BD%D0%B0%205.1%20(%D0%96%D0%B8%D0%BB%D0%BE%D0%B9%20%D0%B4%D0%BE%D0%BC%20%D0%9A.5%20(%D0%BC%D0%BA%D1%80.115)%20")</f>
        <v>https://disk.yandex.ru/client/disk/%D0%9E%D1%81%D0%BC%D0%BE%D1%82%D1%80%D1%8B%20%D0%BE%D0%B1%D1%8A%D0%B5%D0%BA%D1%82%D0%BE%D0%B2%20%D0%90%D0%9D%D0%9E%20%D0%A1%D0%9C%D0%93/562.%20%D1%80%D0%B0%D0%B9%D0%BE%D0%BD%20%D0%9A%D1%83%D0%B7%D1%8C%D0%BC%D0%B8%D0%BD%D0%BA%D0%B8%2C%20%D0%96%D0%B8%D0%B3%D1%83%D0%BB%D0%B5%D0%B2%D1%81%D0%BA%D0%B0%D1%8F%20%D1%83%D0%BB.%2C12.6.1%20%D0%B7%D0%BE%D0%BD%D0%B0%205.1%20(%D0%96%D0%B8%D0%BB%D0%BE%D0%B9%20%D0%B4%D0%BE%D0%BC%20%D0%9A.5%20(%D0%BC%D0%BA%D1%80.115)%20</v>
      </c>
      <c r="J753" s="50">
        <f>IFERROR(__xludf.DUMMYFUNCTION("""COMPUTED_VALUE"""),93.36587499999999)</f>
        <v>93.365875</v>
      </c>
      <c r="K753" s="58">
        <f>IFERROR(__xludf.DUMMYFUNCTION("""COMPUTED_VALUE"""),45952.0)</f>
        <v>45952</v>
      </c>
      <c r="L753" s="6">
        <v>14.0</v>
      </c>
      <c r="M753" s="52">
        <v>45966.0</v>
      </c>
      <c r="N753" s="53" t="s">
        <v>652</v>
      </c>
      <c r="O753" s="19" t="s">
        <v>1129</v>
      </c>
      <c r="P753" s="6"/>
      <c r="Q753" s="6"/>
      <c r="R753" s="6"/>
    </row>
    <row r="754">
      <c r="A754" s="31" t="str">
        <f>IFERROR(__xludf.DUMMYFUNCTION("""COMPUTED_VALUE"""),"599")</f>
        <v>599</v>
      </c>
      <c r="B754" s="14" t="str">
        <f>IFERROR(__xludf.DUMMYFUNCTION("""COMPUTED_VALUE"""),"РЕН-25")</f>
        <v>РЕН-25</v>
      </c>
      <c r="C754" s="14" t="str">
        <f>IFERROR(__xludf.DUMMYFUNCTION("""COMPUTED_VALUE"""),"ОКС")</f>
        <v>ОКС</v>
      </c>
      <c r="D754" s="6"/>
      <c r="E754" s="14" t="str">
        <f>IFERROR(__xludf.DUMMYFUNCTION("""COMPUTED_VALUE"""),"Онежская ул., з/у 33 (вл. 31, зона 16.6) Онежская ул., з/у 33 (вл. 31, зона 16.6)")</f>
        <v>Онежская ул., з/у 33 (вл. 31, зона 16.6) Онежская ул., з/у 33 (вл. 31, зона 16.6)</v>
      </c>
      <c r="F754" s="25" t="str">
        <f>IFERROR(__xludf.DUMMYFUNCTION("""COMPUTED_VALUE"""),"55.854714")</f>
        <v>55.854714</v>
      </c>
      <c r="G754" s="6" t="str">
        <f>IFERROR(__xludf.DUMMYFUNCTION("""COMPUTED_VALUE"""),"37.513183")</f>
        <v>37.513183</v>
      </c>
      <c r="H754" s="18" t="str">
        <f>IFERROR(__xludf.DUMMYFUNCTION("""COMPUTED_VALUE"""),"https://docs.google.com/spreadsheets/d/1H1MjbG2y0oC0hhID4do1G0_gfyI1jag72lQd7nL3WDQ/edit?gid=397817205#gid=397817205")</f>
        <v>https://docs.google.com/spreadsheets/d/1H1MjbG2y0oC0hhID4do1G0_gfyI1jag72lQd7nL3WDQ/edit?gid=397817205#gid=397817205</v>
      </c>
      <c r="I754" s="19" t="str">
        <f>IFERROR(__xludf.DUMMYFUNCTION("""COMPUTED_VALUE"""),"https://disk.yandex.ru/client/disk/Осмотры%20объектов%20АНО%20СМГ/599.%20Онежская%2C%20зу%2033")</f>
        <v>https://disk.yandex.ru/client/disk/Осмотры%20объектов%20АНО%20СМГ/599.%20Онежская%2C%20зу%2033</v>
      </c>
      <c r="J754" s="50">
        <f>IFERROR(__xludf.DUMMYFUNCTION("""COMPUTED_VALUE"""),72.640515)</f>
        <v>72.640515</v>
      </c>
      <c r="K754" s="58">
        <f>IFERROR(__xludf.DUMMYFUNCTION("""COMPUTED_VALUE"""),45953.0)</f>
        <v>45953</v>
      </c>
      <c r="L754" s="6">
        <v>14.0</v>
      </c>
      <c r="M754" s="52">
        <v>45967.0</v>
      </c>
      <c r="N754" s="53" t="s">
        <v>668</v>
      </c>
      <c r="O754" s="19" t="s">
        <v>669</v>
      </c>
      <c r="P754" s="6"/>
      <c r="Q754" s="6"/>
      <c r="R754" s="6"/>
    </row>
    <row r="755">
      <c r="A755" s="31" t="str">
        <f>IFERROR(__xludf.DUMMYFUNCTION("""COMPUTED_VALUE"""),"710")</f>
        <v>710</v>
      </c>
      <c r="B755" s="14" t="str">
        <f>IFERROR(__xludf.DUMMYFUNCTION("""COMPUTED_VALUE"""),"РЕН-25")</f>
        <v>РЕН-25</v>
      </c>
      <c r="C755" s="14" t="str">
        <f>IFERROR(__xludf.DUMMYFUNCTION("""COMPUTED_VALUE"""),"ОКС")</f>
        <v>ОКС</v>
      </c>
      <c r="D755" s="6"/>
      <c r="E755" s="14" t="str">
        <f>IFERROR(__xludf.DUMMYFUNCTION("""COMPUTED_VALUE"""),"Сиреневый бульвар, з/у 4/9, зона 6,1 Сиреневый бульвар, з/у 4/9, зона 6,1")</f>
        <v>Сиреневый бульвар, з/у 4/9, зона 6,1 Сиреневый бульвар, з/у 4/9, зона 6,1</v>
      </c>
      <c r="F755" s="25" t="str">
        <f>IFERROR(__xludf.DUMMYFUNCTION("""COMPUTED_VALUE"""),"55.796229")</f>
        <v>55.796229</v>
      </c>
      <c r="G755" s="6" t="str">
        <f>IFERROR(__xludf.DUMMYFUNCTION("""COMPUTED_VALUE"""),"37.759937")</f>
        <v>37.759937</v>
      </c>
      <c r="H755" s="18" t="str">
        <f>IFERROR(__xludf.DUMMYFUNCTION("""COMPUTED_VALUE"""),"https://docs.google.com/spreadsheets/d/1H1MjbG2y0oC0hhID4do1G0_gfyI1jag72lQd7nL3WDQ/edit?gid=84528393#gid=84528393")</f>
        <v>https://docs.google.com/spreadsheets/d/1H1MjbG2y0oC0hhID4do1G0_gfyI1jag72lQd7nL3WDQ/edit?gid=84528393#gid=84528393</v>
      </c>
      <c r="I755" s="19" t="str">
        <f>IFERROR(__xludf.DUMMYFUNCTION("""COMPUTED_VALUE"""),"https://disk.yandex.ru/client/disk/Осмотры%20объектов%20АНО%20СМГ/710%20Сиреневый%20бульвар%2C%20зу%204%209%2C%20зона%206.1")</f>
        <v>https://disk.yandex.ru/client/disk/Осмотры%20объектов%20АНО%20СМГ/710%20Сиреневый%20бульвар%2C%20зу%204%209%2C%20зона%206.1</v>
      </c>
      <c r="J755" s="50">
        <f>IFERROR(__xludf.DUMMYFUNCTION("""COMPUTED_VALUE"""),73.159005)</f>
        <v>73.159005</v>
      </c>
      <c r="K755" s="58">
        <f>IFERROR(__xludf.DUMMYFUNCTION("""COMPUTED_VALUE"""),45973.0)</f>
        <v>45973</v>
      </c>
      <c r="L755" s="6">
        <v>14.0</v>
      </c>
      <c r="M755" s="52">
        <v>45987.0</v>
      </c>
      <c r="N755" s="53" t="s">
        <v>711</v>
      </c>
      <c r="O755" s="19" t="s">
        <v>1130</v>
      </c>
      <c r="P755" s="6"/>
      <c r="Q755" s="6"/>
      <c r="R755" s="6"/>
    </row>
    <row r="756">
      <c r="A756" s="31" t="str">
        <f>IFERROR(__xludf.DUMMYFUNCTION("""COMPUTED_VALUE"""),"532")</f>
        <v>532</v>
      </c>
      <c r="B756" s="14" t="str">
        <f>IFERROR(__xludf.DUMMYFUNCTION("""COMPUTED_VALUE"""),"РЕН-25")</f>
        <v>РЕН-25</v>
      </c>
      <c r="C756" s="14" t="str">
        <f>IFERROR(__xludf.DUMMYFUNCTION("""COMPUTED_VALUE"""),"ОКС")</f>
        <v>ОКС</v>
      </c>
      <c r="D756" s="6"/>
      <c r="E756" s="14" t="str">
        <f>IFERROR(__xludf.DUMMYFUNCTION("""COMPUTED_VALUE"""),"Михайлова ул., з/у 15 (Михайлова ул., вл. 15, корп. 1 и 2) Михайлова ул., з/у 15 (Михайлова ул., вл. 15, корп. 1 и 2)")</f>
        <v>Михайлова ул., з/у 15 (Михайлова ул., вл. 15, корп. 1 и 2) Михайлова ул., з/у 15 (Михайлова ул., вл. 15, корп. 1 и 2)</v>
      </c>
      <c r="F756" s="25" t="str">
        <f>IFERROR(__xludf.DUMMYFUNCTION("""COMPUTED_VALUE"""),"55.728195")</f>
        <v>55.728195</v>
      </c>
      <c r="G756" s="6" t="str">
        <f>IFERROR(__xludf.DUMMYFUNCTION("""COMPUTED_VALUE"""),"37.765938")</f>
        <v>37.765938</v>
      </c>
      <c r="H756" s="18" t="str">
        <f>IFERROR(__xludf.DUMMYFUNCTION("""COMPUTED_VALUE"""),"https://docs.google.com/spreadsheets/d/1H1MjbG2y0oC0hhID4do1G0_gfyI1jag72lQd7nL3WDQ/edit?gid=1217417878#gid=1217417878")</f>
        <v>https://docs.google.com/spreadsheets/d/1H1MjbG2y0oC0hhID4do1G0_gfyI1jag72lQd7nL3WDQ/edit?gid=1217417878#gid=1217417878</v>
      </c>
      <c r="I756" s="19" t="str">
        <f>IFERROR(__xludf.DUMMYFUNCTION("""COMPUTED_VALUE"""),"https://disk.yandex.ru/client/disk/Осмотры%20объектов%20АНО%20СМГ/532%20район%20Рязанский%2C%20Михайлова%20ул.%2C%20зу%2015")</f>
        <v>https://disk.yandex.ru/client/disk/Осмотры%20объектов%20АНО%20СМГ/532%20район%20Рязанский%2C%20Михайлова%20ул.%2C%20зу%2015</v>
      </c>
      <c r="J756" s="50">
        <f>IFERROR(__xludf.DUMMYFUNCTION("""COMPUTED_VALUE"""),82.348275)</f>
        <v>82.348275</v>
      </c>
      <c r="K756" s="58">
        <f>IFERROR(__xludf.DUMMYFUNCTION("""COMPUTED_VALUE"""),45973.0)</f>
        <v>45973</v>
      </c>
      <c r="L756" s="6">
        <v>14.0</v>
      </c>
      <c r="M756" s="52">
        <v>45987.0</v>
      </c>
      <c r="N756" s="53" t="s">
        <v>711</v>
      </c>
      <c r="O756" s="19" t="s">
        <v>669</v>
      </c>
      <c r="P756" s="6"/>
      <c r="Q756" s="6"/>
      <c r="R756" s="6"/>
    </row>
    <row r="757">
      <c r="A757" s="31" t="str">
        <f>IFERROR(__xludf.DUMMYFUNCTION("""COMPUTED_VALUE"""),"616")</f>
        <v>616</v>
      </c>
      <c r="B757" s="14" t="str">
        <f>IFERROR(__xludf.DUMMYFUNCTION("""COMPUTED_VALUE"""),"РЕН-25")</f>
        <v>РЕН-25</v>
      </c>
      <c r="C757" s="14" t="str">
        <f>IFERROR(__xludf.DUMMYFUNCTION("""COMPUTED_VALUE"""),"ОКС")</f>
        <v>ОКС</v>
      </c>
      <c r="D757" s="6"/>
      <c r="E757" s="14" t="str">
        <f>IFERROR(__xludf.DUMMYFUNCTION("""COMPUTED_VALUE"""),"Сиреневый б-р, з/у 4/9, зона 6,2 Сиреневый б-р, з/у 4/9, зона 6,2")</f>
        <v>Сиреневый б-р, з/у 4/9, зона 6,2 Сиреневый б-р, з/у 4/9, зона 6,2</v>
      </c>
      <c r="F757" s="25" t="str">
        <f>IFERROR(__xludf.DUMMYFUNCTION("""COMPUTED_VALUE"""),"55.796435")</f>
        <v>55.796435</v>
      </c>
      <c r="G757" s="6" t="str">
        <f>IFERROR(__xludf.DUMMYFUNCTION("""COMPUTED_VALUE"""),"37.761761")</f>
        <v>37.761761</v>
      </c>
      <c r="H757" s="18" t="str">
        <f>IFERROR(__xludf.DUMMYFUNCTION("""COMPUTED_VALUE"""),"https://docs.google.com/spreadsheets/d/1H1MjbG2y0oC0hhID4do1G0_gfyI1jag72lQd7nL3WDQ/edit?gid=632665949#gid=632665949")</f>
        <v>https://docs.google.com/spreadsheets/d/1H1MjbG2y0oC0hhID4do1G0_gfyI1jag72lQd7nL3WDQ/edit?gid=632665949#gid=632665949</v>
      </c>
      <c r="I757" s="19" t="str">
        <f>IFERROR(__xludf.DUMMYFUNCTION("""COMPUTED_VALUE"""),"https://disk.yandex.ru/client/disk/Осмотры%20объектов%20АНО%20СМГ/616.%20Измайлово%2C%20Сиреневый%20бульв%20ар%2C%20зу%204.9%2C%20зона%206.2")</f>
        <v>https://disk.yandex.ru/client/disk/Осмотры%20объектов%20АНО%20СМГ/616.%20Измайлово%2C%20Сиреневый%20бульв%20ар%2C%20зу%204.9%2C%20зона%206.2</v>
      </c>
      <c r="J757" s="50">
        <f>IFERROR(__xludf.DUMMYFUNCTION("""COMPUTED_VALUE"""),84.976475)</f>
        <v>84.976475</v>
      </c>
      <c r="K757" s="58">
        <f>IFERROR(__xludf.DUMMYFUNCTION("""COMPUTED_VALUE"""),45973.0)</f>
        <v>45973</v>
      </c>
      <c r="L757" s="6">
        <v>14.0</v>
      </c>
      <c r="M757" s="52">
        <v>45987.0</v>
      </c>
      <c r="N757" s="53" t="s">
        <v>711</v>
      </c>
      <c r="O757" s="19" t="s">
        <v>1130</v>
      </c>
      <c r="P757" s="6"/>
      <c r="Q757" s="6"/>
      <c r="R757" s="6"/>
    </row>
    <row r="758">
      <c r="A758" s="31" t="str">
        <f>IFERROR(__xludf.DUMMYFUNCTION("""COMPUTED_VALUE"""),"633")</f>
        <v>633</v>
      </c>
      <c r="B758" s="14" t="str">
        <f>IFERROR(__xludf.DUMMYFUNCTION("""COMPUTED_VALUE"""),"РЕН-25")</f>
        <v>РЕН-25</v>
      </c>
      <c r="C758" s="14" t="str">
        <f>IFERROR(__xludf.DUMMYFUNCTION("""COMPUTED_VALUE"""),"ОКС")</f>
        <v>ОКС</v>
      </c>
      <c r="D758" s="6"/>
      <c r="E758" s="14" t="str">
        <f>IFERROR(__xludf.DUMMYFUNCTION("""COMPUTED_VALUE"""),"  Жилой дом с приспособлением подземного гаража под укрытие - 1100 мест для обеспечения защиты населения в период чрезвычайных ситуаций (ЗСГО), с инженерными сетями и благоустройством территории (со сносом жилого дома по адресу:  ул. Демьяна Бедного, д. 2"&amp;"2, корп. 3), СЗАО, район Хорошево-Мневники, улица Демьяна Бедного, земельный участок 22/3 улица Демьяна Бедного, д. 22А")</f>
        <v>  Жилой дом с приспособлением подземного гаража под укрытие - 1100 мест для обеспечения защиты населения в период чрезвычайных ситуаций (ЗСГО), с инженерными сетями и благоустройством территории (со сносом жилого дома по адресу:  ул. Демьяна Бедного, д. 22, корп. 3), СЗАО, район Хорошево-Мневники, улица Демьяна Бедного, земельный участок 22/3 улица Демьяна Бедного, д. 22А</v>
      </c>
      <c r="F758" s="25" t="str">
        <f>IFERROR(__xludf.DUMMYFUNCTION("""COMPUTED_VALUE"""),"55.779795")</f>
        <v>55.779795</v>
      </c>
      <c r="G758" s="6" t="str">
        <f>IFERROR(__xludf.DUMMYFUNCTION("""COMPUTED_VALUE"""),"37.490684")</f>
        <v>37.490684</v>
      </c>
      <c r="H758" s="18" t="str">
        <f>IFERROR(__xludf.DUMMYFUNCTION("""COMPUTED_VALUE"""),"https://docs.google.com/spreadsheets/d/1H1MjbG2y0oC0hhID4do1G0_gfyI1jag72lQd7nL3WDQ/edit?gid=1409357007#gid=1409357007")</f>
        <v>https://docs.google.com/spreadsheets/d/1H1MjbG2y0oC0hhID4do1G0_gfyI1jag72lQd7nL3WDQ/edit?gid=1409357007#gid=1409357007</v>
      </c>
      <c r="I758" s="19" t="str">
        <f>IFERROR(__xludf.DUMMYFUNCTION("""COMPUTED_VALUE"""),"https://disk.yandex.ru/client/disk/Осмотры%20объектов%20АНО%20СМГ/633.%20Демьяна%20бедного%2022.3%20жилой%20дом")</f>
        <v>https://disk.yandex.ru/client/disk/Осмотры%20объектов%20АНО%20СМГ/633.%20Демьяна%20бедного%2022.3%20жилой%20дом</v>
      </c>
      <c r="J758" s="50">
        <f>IFERROR(__xludf.DUMMYFUNCTION("""COMPUTED_VALUE"""),88.49032)</f>
        <v>88.49032</v>
      </c>
      <c r="K758" s="58">
        <f>IFERROR(__xludf.DUMMYFUNCTION("""COMPUTED_VALUE"""),45952.0)</f>
        <v>45952</v>
      </c>
      <c r="L758" s="6">
        <v>14.0</v>
      </c>
      <c r="M758" s="52">
        <v>45966.0</v>
      </c>
      <c r="N758" s="53" t="s">
        <v>652</v>
      </c>
      <c r="O758" s="19" t="s">
        <v>1131</v>
      </c>
      <c r="P758" s="6"/>
      <c r="Q758" s="6"/>
      <c r="R758" s="6"/>
    </row>
    <row r="759">
      <c r="A759" s="31" t="str">
        <f>IFERROR(__xludf.DUMMYFUNCTION("""COMPUTED_VALUE"""),"575")</f>
        <v>575</v>
      </c>
      <c r="B759" s="14" t="str">
        <f>IFERROR(__xludf.DUMMYFUNCTION("""COMPUTED_VALUE"""),"РЕН-25")</f>
        <v>РЕН-25</v>
      </c>
      <c r="C759" s="14" t="str">
        <f>IFERROR(__xludf.DUMMYFUNCTION("""COMPUTED_VALUE"""),"ОКС")</f>
        <v>ОКС</v>
      </c>
      <c r="D759" s="6"/>
      <c r="E759" s="14" t="str">
        <f>IFERROR(__xludf.DUMMYFUNCTION("""COMPUTED_VALUE"""),"Спортивный пр., з/у 6А/6 (зоны 12.2 и 12.3) Спортивный пр., д.6А, стр. 1 (зоны 12.2 и 12.3)")</f>
        <v>Спортивный пр., з/у 6А/6 (зоны 12.2 и 12.3) Спортивный пр., д.6А, стр. 1 (зоны 12.2 и 12.3)</v>
      </c>
      <c r="F759" s="25" t="str">
        <f>IFERROR(__xludf.DUMMYFUNCTION("""COMPUTED_VALUE"""),"55.682163")</f>
        <v>55.682163</v>
      </c>
      <c r="G759" s="6" t="str">
        <f>IFERROR(__xludf.DUMMYFUNCTION("""COMPUTED_VALUE"""),"37.753146")</f>
        <v>37.753146</v>
      </c>
      <c r="H759" s="18" t="str">
        <f>IFERROR(__xludf.DUMMYFUNCTION("""COMPUTED_VALUE"""),"https://docs.google.com/spreadsheets/d/1H1MjbG2y0oC0hhID4do1G0_gfyI1jag72lQd7nL3WDQ/edit?gid=765483752#gid=765483752")</f>
        <v>https://docs.google.com/spreadsheets/d/1H1MjbG2y0oC0hhID4do1G0_gfyI1jag72lQd7nL3WDQ/edit?gid=765483752#gid=765483752</v>
      </c>
      <c r="I759" s="19" t="str">
        <f>IFERROR(__xludf.DUMMYFUNCTION("""COMPUTED_VALUE"""),"https://disk.yandex.ru/client/disk/Осмотры%20объектов%20АНО%20СМГ/575.%20Спортивный%20проезд%2C%20д.6А%2C%20стр.6")</f>
        <v>https://disk.yandex.ru/client/disk/Осмотры%20объектов%20АНО%20СМГ/575.%20Спортивный%20проезд%2C%20д.6А%2C%20стр.6</v>
      </c>
      <c r="J759" s="50">
        <f>IFERROR(__xludf.DUMMYFUNCTION("""COMPUTED_VALUE"""),88.77659499999999)</f>
        <v>88.776595</v>
      </c>
      <c r="K759" s="58">
        <f>IFERROR(__xludf.DUMMYFUNCTION("""COMPUTED_VALUE"""),45951.0)</f>
        <v>45951</v>
      </c>
      <c r="L759" s="6">
        <v>14.0</v>
      </c>
      <c r="M759" s="52">
        <v>45965.0</v>
      </c>
      <c r="N759" s="53" t="s">
        <v>652</v>
      </c>
      <c r="O759" s="19" t="s">
        <v>1132</v>
      </c>
      <c r="P759" s="6"/>
      <c r="Q759" s="6"/>
      <c r="R759" s="6"/>
    </row>
    <row r="760">
      <c r="A760" s="31" t="str">
        <f>IFERROR(__xludf.DUMMYFUNCTION("""COMPUTED_VALUE"""),"534")</f>
        <v>534</v>
      </c>
      <c r="B760" s="14" t="str">
        <f>IFERROR(__xludf.DUMMYFUNCTION("""COMPUTED_VALUE"""),"РЕН-25")</f>
        <v>РЕН-25</v>
      </c>
      <c r="C760" s="14" t="str">
        <f>IFERROR(__xludf.DUMMYFUNCTION("""COMPUTED_VALUE"""),"ОКС")</f>
        <v>ОКС</v>
      </c>
      <c r="D760" s="6"/>
      <c r="E760" s="14" t="str">
        <f>IFERROR(__xludf.DUMMYFUNCTION("""COMPUTED_VALUE"""),"Черского пр., з/у 21Б (зона 2.1) район Алтуфьевский, проезд Черского, з/у 21Б, участок 2.1 (со сносом здания дошкольного образования по адресу: проезд Черского, дом 21Б)")</f>
        <v>Черского пр., з/у 21Б (зона 2.1) район Алтуфьевский, проезд Черского, з/у 21Б, участок 2.1 (со сносом здания дошкольного образования по адресу: проезд Черского, дом 21Б)</v>
      </c>
      <c r="F760" s="25" t="str">
        <f>IFERROR(__xludf.DUMMYFUNCTION("""COMPUTED_VALUE"""),"55.875551")</f>
        <v>55.875551</v>
      </c>
      <c r="G760" s="6" t="str">
        <f>IFERROR(__xludf.DUMMYFUNCTION("""COMPUTED_VALUE"""),"37.575576")</f>
        <v>37.575576</v>
      </c>
      <c r="H760" s="18" t="str">
        <f>IFERROR(__xludf.DUMMYFUNCTION("""COMPUTED_VALUE"""),"https://docs.google.com/spreadsheets/d/1H1MjbG2y0oC0hhID4do1G0_gfyI1jag72lQd7nL3WDQ/edit?gid=656187579#gid=656187579")</f>
        <v>https://docs.google.com/spreadsheets/d/1H1MjbG2y0oC0hhID4do1G0_gfyI1jag72lQd7nL3WDQ/edit?gid=656187579#gid=656187579</v>
      </c>
      <c r="I760" s="19" t="str">
        <f>IFERROR(__xludf.DUMMYFUNCTION("""COMPUTED_VALUE"""),"https://disk.yandex.ru/client/disk/Осмотры%20объектов%20АНО%20СМГ/534.%20проезд%20Черского%2C%20вл.%2021Б")</f>
        <v>https://disk.yandex.ru/client/disk/Осмотры%20объектов%20АНО%20СМГ/534.%20проезд%20Черского%2C%20вл.%2021Б</v>
      </c>
      <c r="J760" s="50">
        <f>IFERROR(__xludf.DUMMYFUNCTION("""COMPUTED_VALUE"""),89.567075)</f>
        <v>89.567075</v>
      </c>
      <c r="K760" s="58">
        <f>IFERROR(__xludf.DUMMYFUNCTION("""COMPUTED_VALUE"""),45952.0)</f>
        <v>45952</v>
      </c>
      <c r="L760" s="6">
        <v>14.0</v>
      </c>
      <c r="M760" s="52">
        <v>45966.0</v>
      </c>
      <c r="N760" s="53" t="s">
        <v>652</v>
      </c>
      <c r="O760" s="19" t="s">
        <v>1133</v>
      </c>
      <c r="P760" s="6"/>
      <c r="Q760" s="6"/>
      <c r="R760" s="6"/>
    </row>
    <row r="761">
      <c r="A761" s="31" t="str">
        <f>IFERROR(__xludf.DUMMYFUNCTION("""COMPUTED_VALUE"""),"538")</f>
        <v>538</v>
      </c>
      <c r="B761" s="14" t="str">
        <f>IFERROR(__xludf.DUMMYFUNCTION("""COMPUTED_VALUE"""),"РЕН-25")</f>
        <v>РЕН-25</v>
      </c>
      <c r="C761" s="14" t="str">
        <f>IFERROR(__xludf.DUMMYFUNCTION("""COMPUTED_VALUE"""),"ОКС")</f>
        <v>ОКС</v>
      </c>
      <c r="D761" s="6"/>
      <c r="E761" s="14" t="str">
        <f>IFERROR(__xludf.DUMMYFUNCTION("""COMPUTED_VALUE"""),"Волгоградский пр-т, з/у161/2 (зона 15.4) Волгоградский пр-т, д. 163 (зона 15.4)")</f>
        <v>Волгоградский пр-т, з/у161/2 (зона 15.4) Волгоградский пр-т, д. 163 (зона 15.4)</v>
      </c>
      <c r="F761" s="25" t="str">
        <f>IFERROR(__xludf.DUMMYFUNCTION("""COMPUTED_VALUE"""),"55.704179")</f>
        <v>55.704179</v>
      </c>
      <c r="G761" s="6" t="str">
        <f>IFERROR(__xludf.DUMMYFUNCTION("""COMPUTED_VALUE"""),"37.787650")</f>
        <v>37.787650</v>
      </c>
      <c r="H761" s="18" t="str">
        <f>IFERROR(__xludf.DUMMYFUNCTION("""COMPUTED_VALUE"""),"https://docs.google.com/spreadsheets/d/1H1MjbG2y0oC0hhID4do1G0_gfyI1jag72lQd7nL3WDQ/edit?gid=1057256122#gid=1057256122")</f>
        <v>https://docs.google.com/spreadsheets/d/1H1MjbG2y0oC0hhID4do1G0_gfyI1jag72lQd7nL3WDQ/edit?gid=1057256122#gid=1057256122</v>
      </c>
      <c r="I761" s="19" t="str">
        <f>IFERROR(__xludf.DUMMYFUNCTION("""COMPUTED_VALUE"""),"https://disk.yandex.ru/client/disk/Осмотры%20объектов%20АНО%20СМГ/538.%20ЮВАО%2C%20район%20Кузьминки%2C%20Волгоградский%20проспект%2C%20зу%20161_2")</f>
        <v>https://disk.yandex.ru/client/disk/Осмотры%20объектов%20АНО%20СМГ/538.%20ЮВАО%2C%20район%20Кузьминки%2C%20Волгоградский%20проспект%2C%20зу%20161_2</v>
      </c>
      <c r="J761" s="50">
        <f>IFERROR(__xludf.DUMMYFUNCTION("""COMPUTED_VALUE"""),92.240205)</f>
        <v>92.240205</v>
      </c>
      <c r="K761" s="58">
        <f>IFERROR(__xludf.DUMMYFUNCTION("""COMPUTED_VALUE"""),45951.0)</f>
        <v>45951</v>
      </c>
      <c r="L761" s="6">
        <v>14.0</v>
      </c>
      <c r="M761" s="52">
        <v>45965.0</v>
      </c>
      <c r="N761" s="53" t="s">
        <v>652</v>
      </c>
      <c r="O761" s="19" t="s">
        <v>1134</v>
      </c>
      <c r="P761" s="6"/>
      <c r="Q761" s="6"/>
      <c r="R761" s="6"/>
    </row>
    <row r="762">
      <c r="A762" s="31" t="str">
        <f>IFERROR(__xludf.DUMMYFUNCTION("""COMPUTED_VALUE"""),"579")</f>
        <v>579</v>
      </c>
      <c r="B762" s="14" t="str">
        <f>IFERROR(__xludf.DUMMYFUNCTION("""COMPUTED_VALUE"""),"РЕН-25")</f>
        <v>РЕН-25</v>
      </c>
      <c r="C762" s="14" t="str">
        <f>IFERROR(__xludf.DUMMYFUNCTION("""COMPUTED_VALUE"""),"ОКС")</f>
        <v>ОКС</v>
      </c>
      <c r="D762" s="6"/>
      <c r="E762" s="14" t="str">
        <f>IFERROR(__xludf.DUMMYFUNCTION("""COMPUTED_VALUE"""),"ул. Говорова, влд. 14/16 район Можайский, Говорова ул., влд. 14/16")</f>
        <v>ул. Говорова, влд. 14/16 район Можайский, Говорова ул., влд. 14/16</v>
      </c>
      <c r="F762" s="25" t="str">
        <f>IFERROR(__xludf.DUMMYFUNCTION("""COMPUTED_VALUE"""),"55.720727")</f>
        <v>55.720727</v>
      </c>
      <c r="G762" s="6" t="str">
        <f>IFERROR(__xludf.DUMMYFUNCTION("""COMPUTED_VALUE"""),"37.396201")</f>
        <v>37.396201</v>
      </c>
      <c r="H762" s="18" t="str">
        <f>IFERROR(__xludf.DUMMYFUNCTION("""COMPUTED_VALUE"""),"https://docs.google.com/spreadsheets/d/1H1MjbG2y0oC0hhID4do1G0_gfyI1jag72lQd7nL3WDQ/edit?gid=255089364#gid=255089364")</f>
        <v>https://docs.google.com/spreadsheets/d/1H1MjbG2y0oC0hhID4do1G0_gfyI1jag72lQd7nL3WDQ/edit?gid=255089364#gid=255089364</v>
      </c>
      <c r="I762" s="19" t="str">
        <f>IFERROR(__xludf.DUMMYFUNCTION("""COMPUTED_VALUE"""),"https://disk.yandex.ru/client/disk/Осмотры%20объектов%20АНО%20СМГ/579.%20Жилой%20дом%20ул.%20Говорова%2014-16")</f>
        <v>https://disk.yandex.ru/client/disk/Осмотры%20объектов%20АНО%20СМГ/579.%20Жилой%20дом%20ул.%20Говорова%2014-16</v>
      </c>
      <c r="J762" s="50">
        <f>IFERROR(__xludf.DUMMYFUNCTION("""COMPUTED_VALUE"""),99.9685)</f>
        <v>99.9685</v>
      </c>
      <c r="K762" s="58">
        <f>IFERROR(__xludf.DUMMYFUNCTION("""COMPUTED_VALUE"""),45961.0)</f>
        <v>45961</v>
      </c>
      <c r="L762" s="6">
        <v>7.0</v>
      </c>
      <c r="M762" s="52">
        <v>45968.0</v>
      </c>
      <c r="N762" s="53" t="s">
        <v>652</v>
      </c>
      <c r="O762" s="19" t="s">
        <v>1135</v>
      </c>
      <c r="P762" s="6"/>
      <c r="Q762" s="6"/>
      <c r="R762" s="6"/>
    </row>
    <row r="763">
      <c r="A763" s="31" t="str">
        <f>IFERROR(__xludf.DUMMYFUNCTION("""COMPUTED_VALUE"""),"578")</f>
        <v>578</v>
      </c>
      <c r="B763" s="14" t="str">
        <f>IFERROR(__xludf.DUMMYFUNCTION("""COMPUTED_VALUE"""),"РЕН-25")</f>
        <v>РЕН-25</v>
      </c>
      <c r="C763" s="14" t="str">
        <f>IFERROR(__xludf.DUMMYFUNCTION("""COMPUTED_VALUE"""),"ОКС")</f>
        <v>ОКС</v>
      </c>
      <c r="D763" s="6"/>
      <c r="E763" s="14" t="str">
        <f>IFERROR(__xludf.DUMMYFUNCTION("""COMPUTED_VALUE"""),"ул. Радужная, зу 15 район Бабушкинский, ул. Радужная, влд. 15, к.3, стр. 1/1 и 1/2 (ул. Радужная, напротив вл. 15, корп. 2)")</f>
        <v>ул. Радужная, зу 15 район Бабушкинский, ул. Радужная, влд. 15, к.3, стр. 1/1 и 1/2 (ул. Радужная, напротив вл. 15, корп. 2)</v>
      </c>
      <c r="F763" s="25" t="str">
        <f>IFERROR(__xludf.DUMMYFUNCTION("""COMPUTED_VALUE"""),"55.858613")</f>
        <v>55.858613</v>
      </c>
      <c r="G763" s="6" t="str">
        <f>IFERROR(__xludf.DUMMYFUNCTION("""COMPUTED_VALUE"""),"37.664677")</f>
        <v>37.664677</v>
      </c>
      <c r="H763" s="18" t="str">
        <f>IFERROR(__xludf.DUMMYFUNCTION("""COMPUTED_VALUE"""),"https://docs.google.com/spreadsheets/d/1H1MjbG2y0oC0hhID4do1G0_gfyI1jag72lQd7nL3WDQ/edit?gid=36908310#gid=36908310")</f>
        <v>https://docs.google.com/spreadsheets/d/1H1MjbG2y0oC0hhID4do1G0_gfyI1jag72lQd7nL3WDQ/edit?gid=36908310#gid=36908310</v>
      </c>
      <c r="I763" s="19" t="str">
        <f>IFERROR(__xludf.DUMMYFUNCTION("""COMPUTED_VALUE"""),"https://disk.yandex.ru/client/disk/Осмотры%20объектов%20АНО%20СМГ/578.%20Радужная%20ул.%2C%20вл.%2015%2C%20к.%203%2C%20стр.%201%201%20и%201%202")</f>
        <v>https://disk.yandex.ru/client/disk/Осмотры%20объектов%20АНО%20СМГ/578.%20Радужная%20ул.%2C%20вл.%2015%2C%20к.%203%2C%20стр.%201%201%20и%201%202</v>
      </c>
      <c r="J763" s="50">
        <f>IFERROR(__xludf.DUMMYFUNCTION("""COMPUTED_VALUE"""),99.494025)</f>
        <v>99.494025</v>
      </c>
      <c r="K763" s="58">
        <f>IFERROR(__xludf.DUMMYFUNCTION("""COMPUTED_VALUE"""),45952.0)</f>
        <v>45952</v>
      </c>
      <c r="L763" s="6">
        <v>7.0</v>
      </c>
      <c r="M763" s="52">
        <v>45959.0</v>
      </c>
      <c r="N763" s="53" t="s">
        <v>652</v>
      </c>
      <c r="O763" s="19" t="s">
        <v>1136</v>
      </c>
      <c r="P763" s="6"/>
      <c r="Q763" s="6"/>
      <c r="R763" s="6"/>
    </row>
    <row r="764">
      <c r="A764" s="31" t="str">
        <f>IFERROR(__xludf.DUMMYFUNCTION("""COMPUTED_VALUE"""),"566")</f>
        <v>566</v>
      </c>
      <c r="B764" s="14" t="str">
        <f>IFERROR(__xludf.DUMMYFUNCTION("""COMPUTED_VALUE"""),"РЕН-25")</f>
        <v>РЕН-25</v>
      </c>
      <c r="C764" s="14" t="str">
        <f>IFERROR(__xludf.DUMMYFUNCTION("""COMPUTED_VALUE"""),"ОКС")</f>
        <v>ОКС</v>
      </c>
      <c r="D764" s="6"/>
      <c r="E764" s="14" t="str">
        <f>IFERROR(__xludf.DUMMYFUNCTION("""COMPUTED_VALUE"""),"Волгоградский пр-т, вл. 101, корп. 2 район Кузьминки, Волгоградский пр-т, вл. 101, корп. 2")</f>
        <v>Волгоградский пр-т, вл. 101, корп. 2 район Кузьминки, Волгоградский пр-т, вл. 101, корп. 2</v>
      </c>
      <c r="F764" s="25" t="str">
        <f>IFERROR(__xludf.DUMMYFUNCTION("""COMPUTED_VALUE"""),"55.708765")</f>
        <v>55.708765</v>
      </c>
      <c r="G764" s="6" t="str">
        <f>IFERROR(__xludf.DUMMYFUNCTION("""COMPUTED_VALUE"""),"37.754512")</f>
        <v>37.754512</v>
      </c>
      <c r="H764" s="18" t="str">
        <f>IFERROR(__xludf.DUMMYFUNCTION("""COMPUTED_VALUE"""),"https://docs.google.com/spreadsheets/d/1H1MjbG2y0oC0hhID4do1G0_gfyI1jag72lQd7nL3WDQ/edit?gid=947386880#gid=947386880")</f>
        <v>https://docs.google.com/spreadsheets/d/1H1MjbG2y0oC0hhID4do1G0_gfyI1jag72lQd7nL3WDQ/edit?gid=947386880#gid=947386880</v>
      </c>
      <c r="I764" s="19" t="str">
        <f>IFERROR(__xludf.DUMMYFUNCTION("""COMPUTED_VALUE"""),"https://disk.yandex.ru/client/disk/Осмотры%20объектов%20АНО%20СМГ/566.%20район%20Кузьминки%2C%20Волгоградский%20пр-т%2C%20вл.%20101%2C%20корп.%202")</f>
        <v>https://disk.yandex.ru/client/disk/Осмотры%20объектов%20АНО%20СМГ/566.%20район%20Кузьминки%2C%20Волгоградский%20пр-т%2C%20вл.%20101%2C%20корп.%202</v>
      </c>
      <c r="J764" s="50">
        <f>IFERROR(__xludf.DUMMYFUNCTION("""COMPUTED_VALUE"""),74.992875)</f>
        <v>74.992875</v>
      </c>
      <c r="K764" s="58">
        <f>IFERROR(__xludf.DUMMYFUNCTION("""COMPUTED_VALUE"""),45974.0)</f>
        <v>45974</v>
      </c>
      <c r="L764" s="6">
        <v>14.0</v>
      </c>
      <c r="M764" s="52">
        <v>45988.0</v>
      </c>
      <c r="N764" s="53" t="s">
        <v>711</v>
      </c>
      <c r="O764" s="19" t="s">
        <v>669</v>
      </c>
      <c r="P764" s="6"/>
      <c r="Q764" s="6"/>
      <c r="R764" s="6"/>
    </row>
    <row r="765">
      <c r="A765" s="31" t="str">
        <f>IFERROR(__xludf.DUMMYFUNCTION("""COMPUTED_VALUE"""),"447")</f>
        <v>447</v>
      </c>
      <c r="B765" s="14" t="str">
        <f>IFERROR(__xludf.DUMMYFUNCTION("""COMPUTED_VALUE"""),"РЕН-25")</f>
        <v>РЕН-25</v>
      </c>
      <c r="C765" s="14" t="str">
        <f>IFERROR(__xludf.DUMMYFUNCTION("""COMPUTED_VALUE"""),"ОКС")</f>
        <v>ОКС</v>
      </c>
      <c r="D765" s="6"/>
      <c r="E765" s="14" t="str">
        <f>IFERROR(__xludf.DUMMYFUNCTION("""COMPUTED_VALUE"""),"Камова ул., вл. 24 район Косино-Ухтомский, Камова ул., вл. 24")</f>
        <v>Камова ул., вл. 24 район Косино-Ухтомский, Камова ул., вл. 24</v>
      </c>
      <c r="F765" s="25" t="str">
        <f>IFERROR(__xludf.DUMMYFUNCTION("""COMPUTED_VALUE"""),"55.699665")</f>
        <v>55.699665</v>
      </c>
      <c r="G765" s="6" t="str">
        <f>IFERROR(__xludf.DUMMYFUNCTION("""COMPUTED_VALUE"""),"37.875188")</f>
        <v>37.875188</v>
      </c>
      <c r="H765" s="18" t="str">
        <f>IFERROR(__xludf.DUMMYFUNCTION("""COMPUTED_VALUE"""),"https://docs.google.com/spreadsheets/d/1H1MjbG2y0oC0hhID4do1G0_gfyI1jag72lQd7nL3WDQ/edit?gid=747557076#gid=747557076")</f>
        <v>https://docs.google.com/spreadsheets/d/1H1MjbG2y0oC0hhID4do1G0_gfyI1jag72lQd7nL3WDQ/edit?gid=747557076#gid=747557076</v>
      </c>
      <c r="I765" s="19" t="str">
        <f>IFERROR(__xludf.DUMMYFUNCTION("""COMPUTED_VALUE"""),"https://disk.yandex.ru/client/disk/Осмотры%20объектов%20АНО%20СМГ/447.%20район%20Косино-Ухтомский%2C%20ул.%20Камова%2C%20влд.%2024")</f>
        <v>https://disk.yandex.ru/client/disk/Осмотры%20объектов%20АНО%20СМГ/447.%20район%20Косино-Ухтомский%2C%20ул.%20Камова%2C%20влд.%2024</v>
      </c>
      <c r="J765" s="50">
        <f>IFERROR(__xludf.DUMMYFUNCTION("""COMPUTED_VALUE"""),84.33198)</f>
        <v>84.33198</v>
      </c>
      <c r="K765" s="58">
        <f>IFERROR(__xludf.DUMMYFUNCTION("""COMPUTED_VALUE"""),45973.0)</f>
        <v>45973</v>
      </c>
      <c r="L765" s="6">
        <v>14.0</v>
      </c>
      <c r="M765" s="52">
        <v>45987.0</v>
      </c>
      <c r="N765" s="53" t="s">
        <v>711</v>
      </c>
      <c r="O765" s="19" t="s">
        <v>669</v>
      </c>
      <c r="P765" s="6"/>
      <c r="Q765" s="6"/>
      <c r="R765" s="6"/>
    </row>
    <row r="766">
      <c r="A766" s="31" t="str">
        <f>IFERROR(__xludf.DUMMYFUNCTION("""COMPUTED_VALUE"""),"588")</f>
        <v>588</v>
      </c>
      <c r="B766" s="14" t="str">
        <f>IFERROR(__xludf.DUMMYFUNCTION("""COMPUTED_VALUE"""),"РЕН-25")</f>
        <v>РЕН-25</v>
      </c>
      <c r="C766" s="14" t="str">
        <f>IFERROR(__xludf.DUMMYFUNCTION("""COMPUTED_VALUE"""),"ОКС")</f>
        <v>ОКС</v>
      </c>
      <c r="D766" s="6"/>
      <c r="E766" s="14" t="str">
        <f>IFERROR(__xludf.DUMMYFUNCTION("""COMPUTED_VALUE"""),"Молодогвардейская ул., з/у 53 (вл. 51, вл. 53) район Кунцево, Молодогвардейская ул., з/у 53")</f>
        <v>Молодогвардейская ул., з/у 53 (вл. 51, вл. 53) район Кунцево, Молодогвардейская ул., з/у 53</v>
      </c>
      <c r="F766" s="25" t="str">
        <f>IFERROR(__xludf.DUMMYFUNCTION("""COMPUTED_VALUE"""),"55.733307")</f>
        <v>55.733307</v>
      </c>
      <c r="G766" s="6" t="str">
        <f>IFERROR(__xludf.DUMMYFUNCTION("""COMPUTED_VALUE"""),"37.406168")</f>
        <v>37.406168</v>
      </c>
      <c r="H766" s="18" t="str">
        <f>IFERROR(__xludf.DUMMYFUNCTION("""COMPUTED_VALUE"""),"https://docs.google.com/spreadsheets/d/1H1MjbG2y0oC0hhID4do1G0_gfyI1jag72lQd7nL3WDQ/edit?gid=788221100#gid=788221100")</f>
        <v>https://docs.google.com/spreadsheets/d/1H1MjbG2y0oC0hhID4do1G0_gfyI1jag72lQd7nL3WDQ/edit?gid=788221100#gid=788221100</v>
      </c>
      <c r="I766" s="19" t="str">
        <f>IFERROR(__xludf.DUMMYFUNCTION("""COMPUTED_VALUE"""),"https://disk.yandex.ru/client/disk/Осмотры%20объектов%20АНО%20СМГ/588.%20жилой%20дом%20ул.%20Молодогвардейская%2053")</f>
        <v>https://disk.yandex.ru/client/disk/Осмотры%20объектов%20АНО%20СМГ/588.%20жилой%20дом%20ул.%20Молодогвардейская%2053</v>
      </c>
      <c r="J766" s="50">
        <f>IFERROR(__xludf.DUMMYFUNCTION("""COMPUTED_VALUE"""),68.66192999999998)</f>
        <v>68.66193</v>
      </c>
      <c r="K766" s="58">
        <f>IFERROR(__xludf.DUMMYFUNCTION("""COMPUTED_VALUE"""),45973.0)</f>
        <v>45973</v>
      </c>
      <c r="L766" s="6">
        <v>14.0</v>
      </c>
      <c r="M766" s="52">
        <v>45987.0</v>
      </c>
      <c r="N766" s="53" t="s">
        <v>711</v>
      </c>
      <c r="O766" s="19" t="s">
        <v>669</v>
      </c>
      <c r="P766" s="6"/>
      <c r="Q766" s="6"/>
      <c r="R766" s="6"/>
    </row>
    <row r="767">
      <c r="A767" s="31" t="str">
        <f>IFERROR(__xludf.DUMMYFUNCTION("""COMPUTED_VALUE"""),"556")</f>
        <v>556</v>
      </c>
      <c r="B767" s="14" t="str">
        <f>IFERROR(__xludf.DUMMYFUNCTION("""COMPUTED_VALUE"""),"РЕН-25")</f>
        <v>РЕН-25</v>
      </c>
      <c r="C767" s="14" t="str">
        <f>IFERROR(__xludf.DUMMYFUNCTION("""COMPUTED_VALUE"""),"ОКС")</f>
        <v>ОКС</v>
      </c>
      <c r="D767" s="6"/>
      <c r="E767" s="14" t="str">
        <f>IFERROR(__xludf.DUMMYFUNCTION("""COMPUTED_VALUE"""),"Грайвороново, кв. 90А, корп. 12 район Текстильщики, кв-л Грайвороново 90А, з/у 1 (Грайвороново, квартал 90А)")</f>
        <v>Грайвороново, кв. 90А, корп. 12 район Текстильщики, кв-л Грайвороново 90А, з/у 1 (Грайвороново, квартал 90А)</v>
      </c>
      <c r="F767" s="25" t="str">
        <f>IFERROR(__xludf.DUMMYFUNCTION("""COMPUTED_VALUE"""),"55.721583")</f>
        <v>55.721583</v>
      </c>
      <c r="G767" s="6" t="str">
        <f>IFERROR(__xludf.DUMMYFUNCTION("""COMPUTED_VALUE"""),"37.738602")</f>
        <v>37.738602</v>
      </c>
      <c r="H767" s="18" t="str">
        <f>IFERROR(__xludf.DUMMYFUNCTION("""COMPUTED_VALUE"""),"https://docs.google.com/spreadsheets/d/1H1MjbG2y0oC0hhID4do1G0_gfyI1jag72lQd7nL3WDQ/edit?gid=1984564802#gid=1984564802")</f>
        <v>https://docs.google.com/spreadsheets/d/1H1MjbG2y0oC0hhID4do1G0_gfyI1jag72lQd7nL3WDQ/edit?gid=1984564802#gid=1984564802</v>
      </c>
      <c r="I767" s="19" t="str">
        <f>IFERROR(__xludf.DUMMYFUNCTION("""COMPUTED_VALUE"""),"https://disk.yandex.ru/client/disk/Осмотры%20объектов%20АНО%20СМГ/556.%20Грайвороново%20кв.%2090.%20корп.%2012")</f>
        <v>https://disk.yandex.ru/client/disk/Осмотры%20объектов%20АНО%20СМГ/556.%20Грайвороново%20кв.%2090.%20корп.%2012</v>
      </c>
      <c r="J767" s="50">
        <f>IFERROR(__xludf.DUMMYFUNCTION("""COMPUTED_VALUE"""),72.40365000000001)</f>
        <v>72.40365</v>
      </c>
      <c r="K767" s="58">
        <f>IFERROR(__xludf.DUMMYFUNCTION("""COMPUTED_VALUE"""),45973.0)</f>
        <v>45973</v>
      </c>
      <c r="L767" s="6">
        <v>14.0</v>
      </c>
      <c r="M767" s="52">
        <v>45987.0</v>
      </c>
      <c r="N767" s="53" t="s">
        <v>711</v>
      </c>
      <c r="O767" s="19" t="s">
        <v>669</v>
      </c>
      <c r="P767" s="6"/>
      <c r="Q767" s="6"/>
      <c r="R767" s="6"/>
    </row>
    <row r="768">
      <c r="A768" s="31" t="str">
        <f>IFERROR(__xludf.DUMMYFUNCTION("""COMPUTED_VALUE"""),"453")</f>
        <v>453</v>
      </c>
      <c r="B768" s="14" t="str">
        <f>IFERROR(__xludf.DUMMYFUNCTION("""COMPUTED_VALUE"""),"РЕН-25")</f>
        <v>РЕН-25</v>
      </c>
      <c r="C768" s="14" t="str">
        <f>IFERROR(__xludf.DUMMYFUNCTION("""COMPUTED_VALUE"""),"ОКС")</f>
        <v>ОКС</v>
      </c>
      <c r="D768" s="6"/>
      <c r="E768" s="14" t="str">
        <f>IFERROR(__xludf.DUMMYFUNCTION("""COMPUTED_VALUE"""),"2-й квартал Капотня, з/у 21 район Капотня, Капотня, 2-й кв., з/у 21")</f>
        <v>2-й квартал Капотня, з/у 21 район Капотня, Капотня, 2-й кв., з/у 21</v>
      </c>
      <c r="F768" s="25" t="str">
        <f>IFERROR(__xludf.DUMMYFUNCTION("""COMPUTED_VALUE"""),"55.638790")</f>
        <v>55.638790</v>
      </c>
      <c r="G768" s="6" t="str">
        <f>IFERROR(__xludf.DUMMYFUNCTION("""COMPUTED_VALUE"""),"37.801064")</f>
        <v>37.801064</v>
      </c>
      <c r="H768" s="18" t="str">
        <f>IFERROR(__xludf.DUMMYFUNCTION("""COMPUTED_VALUE"""),"https://docs.google.com/spreadsheets/d/1H1MjbG2y0oC0hhID4do1G0_gfyI1jag72lQd7nL3WDQ/edit?gid=1879792750#gid=1879792750")</f>
        <v>https://docs.google.com/spreadsheets/d/1H1MjbG2y0oC0hhID4do1G0_gfyI1jag72lQd7nL3WDQ/edit?gid=1879792750#gid=1879792750</v>
      </c>
      <c r="I768" s="19" t="str">
        <f>IFERROR(__xludf.DUMMYFUNCTION("""COMPUTED_VALUE"""),"https://disk.yandex.ru/client/disk/Осмотры%20объектов%20АНО%20СМГ/453.%20Капотня%20р-н%2C%20Капотня%2C%202-й%20кв.%2C%20зу%2021")</f>
        <v>https://disk.yandex.ru/client/disk/Осмотры%20объектов%20АНО%20СМГ/453.%20Капотня%20р-н%2C%20Капотня%2C%202-й%20кв.%2C%20зу%2021</v>
      </c>
      <c r="J768" s="50">
        <f>IFERROR(__xludf.DUMMYFUNCTION("""COMPUTED_VALUE"""),82.76032500000001)</f>
        <v>82.760325</v>
      </c>
      <c r="K768" s="58">
        <f>IFERROR(__xludf.DUMMYFUNCTION("""COMPUTED_VALUE"""),45973.0)</f>
        <v>45973</v>
      </c>
      <c r="L768" s="6">
        <v>14.0</v>
      </c>
      <c r="M768" s="52">
        <v>45987.0</v>
      </c>
      <c r="N768" s="53" t="s">
        <v>711</v>
      </c>
      <c r="O768" s="19" t="s">
        <v>669</v>
      </c>
      <c r="P768" s="6"/>
      <c r="Q768" s="6"/>
      <c r="R768" s="6"/>
    </row>
    <row r="769">
      <c r="A769" s="31" t="str">
        <f>IFERROR(__xludf.DUMMYFUNCTION("""COMPUTED_VALUE"""),"561")</f>
        <v>561</v>
      </c>
      <c r="B769" s="14" t="str">
        <f>IFERROR(__xludf.DUMMYFUNCTION("""COMPUTED_VALUE"""),"РЕН-25")</f>
        <v>РЕН-25</v>
      </c>
      <c r="C769" s="14" t="str">
        <f>IFERROR(__xludf.DUMMYFUNCTION("""COMPUTED_VALUE"""),"ОКС")</f>
        <v>ОКС</v>
      </c>
      <c r="D769" s="6"/>
      <c r="E769" s="14" t="str">
        <f>IFERROR(__xludf.DUMMYFUNCTION("""COMPUTED_VALUE"""),"ул. Пивченкова, з/у 1 район Фили-Давыдково, Пивченкова ул., з/у 1, Квартал 58, 59 зона 1.1 (со сносом жилых зданий по адресам: ул. Пивченкова, д.1, к.1 и ул. Пивченкова, д.1, к.2)")</f>
        <v>ул. Пивченкова, з/у 1 район Фили-Давыдково, Пивченкова ул., з/у 1, Квартал 58, 59 зона 1.1 (со сносом жилых зданий по адресам: ул. Пивченкова, д.1, к.1 и ул. Пивченкова, д.1, к.2)</v>
      </c>
      <c r="F769" s="25" t="str">
        <f>IFERROR(__xludf.DUMMYFUNCTION("""COMPUTED_VALUE"""),"55.732654")</f>
        <v>55.732654</v>
      </c>
      <c r="G769" s="6" t="str">
        <f>IFERROR(__xludf.DUMMYFUNCTION("""COMPUTED_VALUE"""),"37.477610")</f>
        <v>37.477610</v>
      </c>
      <c r="H769" s="18" t="str">
        <f>IFERROR(__xludf.DUMMYFUNCTION("""COMPUTED_VALUE"""),"https://docs.google.com/spreadsheets/d/1H1MjbG2y0oC0hhID4do1G0_gfyI1jag72lQd7nL3WDQ/edit?gid=1880476815#gid=1880476815")</f>
        <v>https://docs.google.com/spreadsheets/d/1H1MjbG2y0oC0hhID4do1G0_gfyI1jag72lQd7nL3WDQ/edit?gid=1880476815#gid=1880476815</v>
      </c>
      <c r="I769" s="19" t="str">
        <f>IFERROR(__xludf.DUMMYFUNCTION("""COMPUTED_VALUE"""),"https://disk.yandex.ru/client/disk/Осмотры%20объектов%20АНО%20СМГ/561.%20Пивченкова%20вл1%20Жилой%20дом")</f>
        <v>https://disk.yandex.ru/client/disk/Осмотры%20объектов%20АНО%20СМГ/561.%20Пивченкова%20вл1%20Жилой%20дом</v>
      </c>
      <c r="J769" s="50">
        <f>IFERROR(__xludf.DUMMYFUNCTION("""COMPUTED_VALUE"""),72.90541499999998)</f>
        <v>72.905415</v>
      </c>
      <c r="K769" s="58">
        <f>IFERROR(__xludf.DUMMYFUNCTION("""COMPUTED_VALUE"""),45967.0)</f>
        <v>45967</v>
      </c>
      <c r="L769" s="6">
        <v>14.0</v>
      </c>
      <c r="M769" s="52">
        <v>45981.0</v>
      </c>
      <c r="N769" s="53" t="s">
        <v>741</v>
      </c>
      <c r="O769" s="19" t="s">
        <v>669</v>
      </c>
      <c r="P769" s="6"/>
      <c r="Q769" s="6"/>
      <c r="R769" s="6"/>
    </row>
    <row r="770">
      <c r="A770" s="31" t="str">
        <f>IFERROR(__xludf.DUMMYFUNCTION("""COMPUTED_VALUE"""),"592")</f>
        <v>592</v>
      </c>
      <c r="B770" s="14" t="str">
        <f>IFERROR(__xludf.DUMMYFUNCTION("""COMPUTED_VALUE"""),"РЕН-25")</f>
        <v>РЕН-25</v>
      </c>
      <c r="C770" s="14" t="str">
        <f>IFERROR(__xludf.DUMMYFUNCTION("""COMPUTED_VALUE"""),"ОКС")</f>
        <v>ОКС</v>
      </c>
      <c r="D770" s="6"/>
      <c r="E770" s="14" t="str">
        <f>IFERROR(__xludf.DUMMYFUNCTION("""COMPUTED_VALUE"""),"ул. Багрицкого,з/у 28 Можайский район,ул. Багрицкого, з/у 28 (квартал 107-110, зона 3.1)")</f>
        <v>ул. Багрицкого,з/у 28 Можайский район,ул. Багрицкого, з/у 28 (квартал 107-110, зона 3.1)</v>
      </c>
      <c r="F770" s="25" t="str">
        <f>IFERROR(__xludf.DUMMYFUNCTION("""COMPUTED_VALUE"""),"55.716002")</f>
        <v>55.716002</v>
      </c>
      <c r="G770" s="6" t="str">
        <f>IFERROR(__xludf.DUMMYFUNCTION("""COMPUTED_VALUE"""),"37.437029")</f>
        <v>37.437029</v>
      </c>
      <c r="H770" s="18" t="str">
        <f>IFERROR(__xludf.DUMMYFUNCTION("""COMPUTED_VALUE"""),"https://docs.google.com/spreadsheets/d/1H1MjbG2y0oC0hhID4do1G0_gfyI1jag72lQd7nL3WDQ/edit?gid=2089213196#gid=2089213196")</f>
        <v>https://docs.google.com/spreadsheets/d/1H1MjbG2y0oC0hhID4do1G0_gfyI1jag72lQd7nL3WDQ/edit?gid=2089213196#gid=2089213196</v>
      </c>
      <c r="I770" s="19" t="str">
        <f>IFERROR(__xludf.DUMMYFUNCTION("""COMPUTED_VALUE"""),"https://disk.yandex.ru/client/disk/Осмотры%20объектов%20АНО%20СМГ/592.%20Жилой%20дом%20ул.%20Багрицкого%2028")</f>
        <v>https://disk.yandex.ru/client/disk/Осмотры%20объектов%20АНО%20СМГ/592.%20Жилой%20дом%20ул.%20Багрицкого%2028</v>
      </c>
      <c r="J770" s="50">
        <f>IFERROR(__xludf.DUMMYFUNCTION("""COMPUTED_VALUE"""),81.8601)</f>
        <v>81.8601</v>
      </c>
      <c r="K770" s="58">
        <f>IFERROR(__xludf.DUMMYFUNCTION("""COMPUTED_VALUE"""),45967.0)</f>
        <v>45967</v>
      </c>
      <c r="L770" s="6">
        <v>14.0</v>
      </c>
      <c r="M770" s="52">
        <v>45981.0</v>
      </c>
      <c r="N770" s="53" t="s">
        <v>741</v>
      </c>
      <c r="O770" s="19" t="s">
        <v>669</v>
      </c>
      <c r="P770" s="6"/>
      <c r="Q770" s="6"/>
      <c r="R770" s="6"/>
    </row>
    <row r="771">
      <c r="A771" s="31" t="str">
        <f>IFERROR(__xludf.DUMMYFUNCTION("""COMPUTED_VALUE"""),"536")</f>
        <v>536</v>
      </c>
      <c r="B771" s="14" t="str">
        <f>IFERROR(__xludf.DUMMYFUNCTION("""COMPUTED_VALUE"""),"РЕН-25")</f>
        <v>РЕН-25</v>
      </c>
      <c r="C771" s="14" t="str">
        <f>IFERROR(__xludf.DUMMYFUNCTION("""COMPUTED_VALUE"""),"ОКС")</f>
        <v>ОКС</v>
      </c>
      <c r="D771" s="6"/>
      <c r="E771" s="14" t="str">
        <f>IFERROR(__xludf.DUMMYFUNCTION("""COMPUTED_VALUE"""),"пр-д Нансена, з/у 8 (пр-д Нансена, вл.8) район Свиблово, проезд Нансена, з/у 8")</f>
        <v>пр-д Нансена, з/у 8 (пр-д Нансена, вл.8) район Свиблово, проезд Нансена, з/у 8</v>
      </c>
      <c r="F771" s="25" t="str">
        <f>IFERROR(__xludf.DUMMYFUNCTION("""COMPUTED_VALUE"""),"55.850828")</f>
        <v>55.850828</v>
      </c>
      <c r="G771" s="6" t="str">
        <f>IFERROR(__xludf.DUMMYFUNCTION("""COMPUTED_VALUE"""),"37.652804")</f>
        <v>37.652804</v>
      </c>
      <c r="H771" s="18" t="str">
        <f>IFERROR(__xludf.DUMMYFUNCTION("""COMPUTED_VALUE"""),"https://docs.google.com/spreadsheets/d/1H1MjbG2y0oC0hhID4do1G0_gfyI1jag72lQd7nL3WDQ/edit?gid=1956651299#gid=1956651299")</f>
        <v>https://docs.google.com/spreadsheets/d/1H1MjbG2y0oC0hhID4do1G0_gfyI1jag72lQd7nL3WDQ/edit?gid=1956651299#gid=1956651299</v>
      </c>
      <c r="I771" s="21" t="str">
        <f>IFERROR(__xludf.DUMMYFUNCTION("""COMPUTED_VALUE"""),"https://disk.yandex.ru/client/disk/%D0%9E%D1%81%D0%BC%D0%BE%D1%82%D1%80%D1%8B%20%D0%BE%D0%B1%D1%8A%D0%B5%D0%BA%D1%82%D0%BE%D0%B2%20%D0%90%D0%9D%D0%9E%20%D0%A1%D0%9C%D0%93/536.%20%D0%BF%D1%80%D0%BE%D0%B5%D0%B7%D0%B4%20%D0%9D%D0%B0%D0%BD%D1%81%D0%B5%D0%BD%D"&amp;"0%B0%2C%20%D0%B2%D0%BB%D0%B4.%208")</f>
        <v>https://disk.yandex.ru/client/disk/%D0%9E%D1%81%D0%BC%D0%BE%D1%82%D1%80%D1%8B%20%D0%BE%D0%B1%D1%8A%D0%B5%D0%BA%D1%82%D0%BE%D0%B2%20%D0%90%D0%9D%D0%9E%20%D0%A1%D0%9C%D0%93/536.%20%D0%BF%D1%80%D0%BE%D0%B5%D0%B7%D0%B4%20%D0%9D%D0%B0%D0%BD%D1%81%D0%B5%D0%BD%D0%B0%2C%20%D0%B2%D0%BB%D0%B4.%208</v>
      </c>
      <c r="J771" s="50">
        <f>IFERROR(__xludf.DUMMYFUNCTION("""COMPUTED_VALUE"""),84.57233999999998)</f>
        <v>84.57234</v>
      </c>
      <c r="K771" s="58">
        <f>IFERROR(__xludf.DUMMYFUNCTION("""COMPUTED_VALUE"""),45974.0)</f>
        <v>45974</v>
      </c>
      <c r="L771" s="6">
        <v>14.0</v>
      </c>
      <c r="M771" s="52">
        <v>45988.0</v>
      </c>
      <c r="N771" s="53" t="s">
        <v>711</v>
      </c>
      <c r="O771" s="19" t="s">
        <v>669</v>
      </c>
      <c r="P771" s="6"/>
      <c r="Q771" s="6"/>
      <c r="R771" s="6"/>
    </row>
    <row r="772">
      <c r="A772" s="31" t="str">
        <f>IFERROR(__xludf.DUMMYFUNCTION("""COMPUTED_VALUE"""),"568")</f>
        <v>568</v>
      </c>
      <c r="B772" s="14" t="str">
        <f>IFERROR(__xludf.DUMMYFUNCTION("""COMPUTED_VALUE"""),"РЕН-25")</f>
        <v>РЕН-25</v>
      </c>
      <c r="C772" s="14" t="str">
        <f>IFERROR(__xludf.DUMMYFUNCTION("""COMPUTED_VALUE"""),"ОКС")</f>
        <v>ОКС</v>
      </c>
      <c r="D772" s="6"/>
      <c r="E772" s="14" t="str">
        <f>IFERROR(__xludf.DUMMYFUNCTION("""COMPUTED_VALUE"""),"Карельский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f>
        <v>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v>
      </c>
      <c r="F772" s="25" t="str">
        <f>IFERROR(__xludf.DUMMYFUNCTION("""COMPUTED_VALUE"""),"55.894674")</f>
        <v>55.894674</v>
      </c>
      <c r="G772" s="6" t="str">
        <f>IFERROR(__xludf.DUMMYFUNCTION("""COMPUTED_VALUE"""),"37.537043")</f>
        <v>37.537043</v>
      </c>
      <c r="H772" s="18" t="str">
        <f>IFERROR(__xludf.DUMMYFUNCTION("""COMPUTED_VALUE"""),"https://docs.google.com/spreadsheets/d/1H1MjbG2y0oC0hhID4do1G0_gfyI1jag72lQd7nL3WDQ/edit?gid=33336285#gid=33336285")</f>
        <v>https://docs.google.com/spreadsheets/d/1H1MjbG2y0oC0hhID4do1G0_gfyI1jag72lQd7nL3WDQ/edit?gid=33336285#gid=33336285</v>
      </c>
      <c r="I772" s="21" t="str">
        <f>IFERROR(__xludf.DUMMYFUNCTION("""COMPUTED_VALUE"""),"https://disk.yandex.ru/client/disk/%D0%9E%D1%81%D0%BC%D0%BE%D1%82%D1%80%D1%8B%20%D0%BE%D0%B1%D1%8A%D0%B5%D0%BA%D1%82%D0%BE%D0%B2%20%D0%90%D0%9D%D0%9E%20%D0%A1%D0%9C%D0%93/568.%20%D0%9A%D0%B0%D1%80%D0%B5%D0%BB%D1%8C%D1%81%D0%BA%D0%B8%D0%B9%20%D0%B1%D1%83%D"&amp;"0%BB%D1%8C%D0%B2%D0%B0%D1%80%2C%20%D0%B7%D1%83%2014-16")</f>
        <v>https://disk.yandex.ru/client/disk/%D0%9E%D1%81%D0%BC%D0%BE%D1%82%D1%80%D1%8B%20%D0%BE%D0%B1%D1%8A%D0%B5%D0%BA%D1%82%D0%BE%D0%B2%20%D0%90%D0%9D%D0%9E%20%D0%A1%D0%9C%D0%93/568.%20%D0%9A%D0%B0%D1%80%D0%B5%D0%BB%D1%8C%D1%81%D0%BA%D0%B8%D0%B9%20%D0%B1%D1%83%D0%BB%D1%8C%D0%B2%D0%B0%D1%80%2C%20%D0%B7%D1%83%2014-16</v>
      </c>
      <c r="J772" s="50">
        <f>IFERROR(__xludf.DUMMYFUNCTION("""COMPUTED_VALUE"""),75.96489499999998)</f>
        <v>75.964895</v>
      </c>
      <c r="K772" s="58">
        <f>IFERROR(__xludf.DUMMYFUNCTION("""COMPUTED_VALUE"""),45974.0)</f>
        <v>45974</v>
      </c>
      <c r="L772" s="6">
        <v>14.0</v>
      </c>
      <c r="M772" s="52">
        <v>45988.0</v>
      </c>
      <c r="N772" s="53" t="s">
        <v>711</v>
      </c>
      <c r="O772" s="19" t="s">
        <v>669</v>
      </c>
      <c r="P772" s="6"/>
      <c r="Q772" s="6"/>
      <c r="R772" s="6"/>
    </row>
    <row r="773">
      <c r="A773" s="31" t="str">
        <f>IFERROR(__xludf.DUMMYFUNCTION("""COMPUTED_VALUE"""),"551")</f>
        <v>551</v>
      </c>
      <c r="B773" s="14" t="str">
        <f>IFERROR(__xludf.DUMMYFUNCTION("""COMPUTED_VALUE"""),"РЕН-25")</f>
        <v>РЕН-25</v>
      </c>
      <c r="C773" s="14" t="str">
        <f>IFERROR(__xludf.DUMMYFUNCTION("""COMPUTED_VALUE"""),"ОКС")</f>
        <v>ОКС</v>
      </c>
      <c r="D773" s="6"/>
      <c r="E773" s="14" t="str">
        <f>IFERROR(__xludf.DUMMYFUNCTION("""COMPUTED_VALUE"""),"ул. Лобненская, з/у 9А (Лобненская ул., вл. 9А) район Дмитровский, ул. Лобненская, з/у 9А, к. 23 микрорайон 15, 16, 17, 18 зона № 14.1")</f>
        <v>ул. Лобненская, з/у 9А (Лобненская ул., вл. 9А) район Дмитровский, ул. Лобненская, з/у 9А, к. 23 микрорайон 15, 16, 17, 18 зона № 14.1</v>
      </c>
      <c r="F773" s="25" t="str">
        <f>IFERROR(__xludf.DUMMYFUNCTION("""COMPUTED_VALUE"""),"55.887585")</f>
        <v>55.887585</v>
      </c>
      <c r="G773" s="6" t="str">
        <f>IFERROR(__xludf.DUMMYFUNCTION("""COMPUTED_VALUE"""),"37.538869")</f>
        <v>37.538869</v>
      </c>
      <c r="H773" s="18" t="str">
        <f>IFERROR(__xludf.DUMMYFUNCTION("""COMPUTED_VALUE"""),"https://docs.google.com/spreadsheets/d/1H1MjbG2y0oC0hhID4do1G0_gfyI1jag72lQd7nL3WDQ/edit?gid=1791563527#gid=1791563527")</f>
        <v>https://docs.google.com/spreadsheets/d/1H1MjbG2y0oC0hhID4do1G0_gfyI1jag72lQd7nL3WDQ/edit?gid=1791563527#gid=1791563527</v>
      </c>
      <c r="I773" s="19" t="str">
        <f>IFERROR(__xludf.DUMMYFUNCTION("""COMPUTED_VALUE"""),"https://disk.yandex.ru/client/disk/Осмотры%20объектов%20АНО%20СМГ/551.%20Дмитровский%2C%20Лобненская%20ул.%2C%20з.у%209А%2C%20К.23%20мкр.%2015%2C%2016%2C%2017%2C%2018%2C%20зона%20№%20%2014.1")</f>
        <v>https://disk.yandex.ru/client/disk/Осмотры%20объектов%20АНО%20СМГ/551.%20Дмитровский%2C%20Лобненская%20ул.%2C%20з.у%209А%2C%20К.23%20мкр.%2015%2C%2016%2C%2017%2C%2018%2C%20зона%20№%20%2014.1</v>
      </c>
      <c r="J773" s="50">
        <f>IFERROR(__xludf.DUMMYFUNCTION("""COMPUTED_VALUE"""),77.99967000000001)</f>
        <v>77.99967</v>
      </c>
      <c r="K773" s="58">
        <f>IFERROR(__xludf.DUMMYFUNCTION("""COMPUTED_VALUE"""),45968.0)</f>
        <v>45968</v>
      </c>
      <c r="L773" s="6">
        <v>14.0</v>
      </c>
      <c r="M773" s="52">
        <v>45982.0</v>
      </c>
      <c r="N773" s="53" t="s">
        <v>692</v>
      </c>
      <c r="O773" s="19" t="s">
        <v>669</v>
      </c>
      <c r="P773" s="6"/>
      <c r="Q773" s="6"/>
      <c r="R773" s="6"/>
    </row>
    <row r="774">
      <c r="A774" s="31" t="str">
        <f>IFERROR(__xludf.DUMMYFUNCTION("""COMPUTED_VALUE"""),"591")</f>
        <v>591</v>
      </c>
      <c r="B774" s="14" t="str">
        <f>IFERROR(__xludf.DUMMYFUNCTION("""COMPUTED_VALUE"""),"РЕН-25")</f>
        <v>РЕН-25</v>
      </c>
      <c r="C774" s="14" t="str">
        <f>IFERROR(__xludf.DUMMYFUNCTION("""COMPUTED_VALUE"""),"ОКС")</f>
        <v>ОКС</v>
      </c>
      <c r="D774" s="6"/>
      <c r="E774" s="14" t="str">
        <f>IFERROR(__xludf.DUMMYFUNCTION("""COMPUTED_VALUE"""),"ул.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14"&amp;"1, к. 1)")</f>
        <v>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141, к. 1)</v>
      </c>
      <c r="F774" s="25" t="str">
        <f>IFERROR(__xludf.DUMMYFUNCTION("""COMPUTED_VALUE"""),"55.893395")</f>
        <v>55.893395</v>
      </c>
      <c r="G774" s="6" t="str">
        <f>IFERROR(__xludf.DUMMYFUNCTION("""COMPUTED_VALUE"""),"37.540047")</f>
        <v>37.540047</v>
      </c>
      <c r="H774" s="18" t="str">
        <f>IFERROR(__xludf.DUMMYFUNCTION("""COMPUTED_VALUE"""),"https://docs.google.com/spreadsheets/d/1H1MjbG2y0oC0hhID4do1G0_gfyI1jag72lQd7nL3WDQ/edit?gid=683523839#gid=683523839")</f>
        <v>https://docs.google.com/spreadsheets/d/1H1MjbG2y0oC0hhID4do1G0_gfyI1jag72lQd7nL3WDQ/edit?gid=683523839#gid=683523839</v>
      </c>
      <c r="I774" s="21" t="str">
        <f>IFERROR(__xludf.DUMMYFUNCTION("""COMPUTED_VALUE"""),"https://disk.yandex.ru/client/disk/%D0%9E%D1%81%D0%BC%D0%BE%D1%82%D1%80%D1%8B%20%D0%BE%D0%B1%D1%8A%D0%B5%D0%BA%D1%82%D0%BE%D0%B2%20%D0%90%D0%9D%D0%9E%20%D0%A1%D0%9C%D0%93/591.%20%D0%94%D0%BE%D0%BB%D0%B3%D0%BE%D0%BF%D1%80%D1%83%D0%B4%D0%BD%D0%B0%D1%8F%20%D"&amp;"1%83%D0%BB.%2C%20%D0%B7%D1%83%203-5")</f>
        <v>https://disk.yandex.ru/client/disk/%D0%9E%D1%81%D0%BC%D0%BE%D1%82%D1%80%D1%8B%20%D0%BE%D0%B1%D1%8A%D0%B5%D0%BA%D1%82%D0%BE%D0%B2%20%D0%90%D0%9D%D0%9E%20%D0%A1%D0%9C%D0%93/591.%20%D0%94%D0%BE%D0%BB%D0%B3%D0%BE%D0%BF%D1%80%D1%83%D0%B4%D0%BD%D0%B0%D1%8F%20%D1%83%D0%BB.%2C%20%D0%B7%D1%83%203-5</v>
      </c>
      <c r="J774" s="50">
        <f>IFERROR(__xludf.DUMMYFUNCTION("""COMPUTED_VALUE"""),82.70590499999999)</f>
        <v>82.705905</v>
      </c>
      <c r="K774" s="58">
        <f>IFERROR(__xludf.DUMMYFUNCTION("""COMPUTED_VALUE"""),45974.0)</f>
        <v>45974</v>
      </c>
      <c r="L774" s="6">
        <v>14.0</v>
      </c>
      <c r="M774" s="52">
        <v>45988.0</v>
      </c>
      <c r="N774" s="53" t="s">
        <v>711</v>
      </c>
      <c r="O774" s="19" t="s">
        <v>669</v>
      </c>
      <c r="P774" s="6"/>
      <c r="Q774" s="6"/>
      <c r="R774" s="6"/>
    </row>
    <row r="775">
      <c r="A775" s="31" t="str">
        <f>IFERROR(__xludf.DUMMYFUNCTION("""COMPUTED_VALUE"""),"533")</f>
        <v>533</v>
      </c>
      <c r="B775" s="14" t="str">
        <f>IFERROR(__xludf.DUMMYFUNCTION("""COMPUTED_VALUE"""),"РЕН-25")</f>
        <v>РЕН-25</v>
      </c>
      <c r="C775" s="14" t="str">
        <f>IFERROR(__xludf.DUMMYFUNCTION("""COMPUTED_VALUE"""),"ОКС")</f>
        <v>ОКС</v>
      </c>
      <c r="D775" s="6"/>
      <c r="E775" s="14" t="str">
        <f>IFERROR(__xludf.DUMMYFUNCTION("""COMPUTED_VALUE"""),"Тайнинская ул., з/у 16/3 (Тайнинская ул., вл. 16, корп. 3) район Лосиноостровский, ул. Тайнинская, з/у 16/3")</f>
        <v>Тайнинская ул., з/у 16/3 (Тайнинская ул., вл. 16, корп. 3) район Лосиноостровский, ул. Тайнинская, з/у 16/3</v>
      </c>
      <c r="F775" s="25" t="str">
        <f>IFERROR(__xludf.DUMMYFUNCTION("""COMPUTED_VALUE"""),"55.879736")</f>
        <v>55.879736</v>
      </c>
      <c r="G775" s="6" t="str">
        <f>IFERROR(__xludf.DUMMYFUNCTION("""COMPUTED_VALUE"""),"37.686949")</f>
        <v>37.686949</v>
      </c>
      <c r="H775" s="18" t="str">
        <f>IFERROR(__xludf.DUMMYFUNCTION("""COMPUTED_VALUE"""),"https://docs.google.com/spreadsheets/d/1H1MjbG2y0oC0hhID4do1G0_gfyI1jag72lQd7nL3WDQ/edit?gid=17563487#gid=17563487")</f>
        <v>https://docs.google.com/spreadsheets/d/1H1MjbG2y0oC0hhID4do1G0_gfyI1jag72lQd7nL3WDQ/edit?gid=17563487#gid=17563487</v>
      </c>
      <c r="I775" s="19" t="str">
        <f>IFERROR(__xludf.DUMMYFUNCTION("""COMPUTED_VALUE"""),"https://disk.yandex.ru/client/disk/Осмотры%20объектов%20АНО%20СМГ/533.%20ул.%20Тайнинская%2C%20вл%20ЗУ%2016%203")</f>
        <v>https://disk.yandex.ru/client/disk/Осмотры%20объектов%20АНО%20СМГ/533.%20ул.%20Тайнинская%2C%20вл%20ЗУ%2016%203</v>
      </c>
      <c r="J775" s="50">
        <f>IFERROR(__xludf.DUMMYFUNCTION("""COMPUTED_VALUE"""),79.46833500000001)</f>
        <v>79.468335</v>
      </c>
      <c r="K775" s="58">
        <f>IFERROR(__xludf.DUMMYFUNCTION("""COMPUTED_VALUE"""),45972.0)</f>
        <v>45972</v>
      </c>
      <c r="L775" s="6">
        <v>14.0</v>
      </c>
      <c r="M775" s="52">
        <v>45986.0</v>
      </c>
      <c r="N775" s="53" t="s">
        <v>711</v>
      </c>
      <c r="O775" s="19" t="s">
        <v>669</v>
      </c>
      <c r="P775" s="6"/>
      <c r="Q775" s="6"/>
      <c r="R775" s="6"/>
    </row>
    <row r="776">
      <c r="A776" s="31" t="str">
        <f>IFERROR(__xludf.DUMMYFUNCTION("""COMPUTED_VALUE"""),"531")</f>
        <v>531</v>
      </c>
      <c r="B776" s="14" t="str">
        <f>IFERROR(__xludf.DUMMYFUNCTION("""COMPUTED_VALUE"""),"РЕН-25")</f>
        <v>РЕН-25</v>
      </c>
      <c r="C776" s="14" t="str">
        <f>IFERROR(__xludf.DUMMYFUNCTION("""COMPUTED_VALUE"""),"ОКС")</f>
        <v>ОКС</v>
      </c>
      <c r="D776" s="6"/>
      <c r="E776" s="14" t="str">
        <f>IFERROR(__xludf.DUMMYFUNCTION("""COMPUTED_VALUE"""),"ул. Новохохловская, з/у 15А/2 (ул. Новохохловская, з/у 15/2) район Нижегородский, ул. Новохохловская, з/у 15А2 (ул. Новохохловская, з/у 15/2))")</f>
        <v>ул. Новохохловская, з/у 15А/2 (ул. Новохохловская, з/у 15/2) район Нижегородский, ул. Новохохловская, з/у 15А2 (ул. Новохохловская, з/у 15/2))</v>
      </c>
      <c r="F776" s="25" t="str">
        <f>IFERROR(__xludf.DUMMYFUNCTION("""COMPUTED_VALUE"""),"55.728974")</f>
        <v>55.728974</v>
      </c>
      <c r="G776" s="6" t="str">
        <f>IFERROR(__xludf.DUMMYFUNCTION("""COMPUTED_VALUE"""),"37.713304")</f>
        <v>37.713304</v>
      </c>
      <c r="H776" s="18" t="str">
        <f>IFERROR(__xludf.DUMMYFUNCTION("""COMPUTED_VALUE"""),"https://docs.google.com/spreadsheets/d/1H1MjbG2y0oC0hhID4do1G0_gfyI1jag72lQd7nL3WDQ/edit?gid=888939104#gid=888939104")</f>
        <v>https://docs.google.com/spreadsheets/d/1H1MjbG2y0oC0hhID4do1G0_gfyI1jag72lQd7nL3WDQ/edit?gid=888939104#gid=888939104</v>
      </c>
      <c r="I776" s="19" t="str">
        <f>IFERROR(__xludf.DUMMYFUNCTION("""COMPUTED_VALUE"""),"https://disk.yandex.ru/client/disk/Осмотры%20объектов%20АНО%20СМГ/531.%20Новохохловская%20улица%2C%2015к2%20Реновация")</f>
        <v>https://disk.yandex.ru/client/disk/Осмотры%20объектов%20АНО%20СМГ/531.%20Новохохловская%20улица%2C%2015к2%20Реновация</v>
      </c>
      <c r="J776" s="50">
        <f>IFERROR(__xludf.DUMMYFUNCTION("""COMPUTED_VALUE"""),71.19255)</f>
        <v>71.19255</v>
      </c>
      <c r="K776" s="58">
        <f>IFERROR(__xludf.DUMMYFUNCTION("""COMPUTED_VALUE"""),45959.0)</f>
        <v>45959</v>
      </c>
      <c r="L776" s="6">
        <v>14.0</v>
      </c>
      <c r="M776" s="52">
        <v>45973.0</v>
      </c>
      <c r="N776" s="53" t="s">
        <v>668</v>
      </c>
      <c r="O776" s="19" t="s">
        <v>669</v>
      </c>
      <c r="P776" s="6"/>
      <c r="Q776" s="6"/>
      <c r="R776" s="6"/>
    </row>
    <row r="777">
      <c r="A777" s="31" t="str">
        <f>IFERROR(__xludf.DUMMYFUNCTION("""COMPUTED_VALUE"""),"703")</f>
        <v>703</v>
      </c>
      <c r="B777" s="14" t="str">
        <f>IFERROR(__xludf.DUMMYFUNCTION("""COMPUTED_VALUE"""),"РЕН-25")</f>
        <v>РЕН-25</v>
      </c>
      <c r="C777" s="14" t="str">
        <f>IFERROR(__xludf.DUMMYFUNCTION("""COMPUTED_VALUE"""),"ОКС")</f>
        <v>ОКС</v>
      </c>
      <c r="D777" s="6"/>
      <c r="E777" s="14" t="str">
        <f>IFERROR(__xludf.DUMMYFUNCTION("""COMPUTED_VALUE"""),"Открытое шос., д.14Д (Открытое шос., вл.14Д) район Богородское, Открытое шоссе, д. 14А")</f>
        <v>Открытое шос., д.14Д (Открытое шос., вл.14Д) район Богородское, Открытое шоссе, д. 14А</v>
      </c>
      <c r="F777" s="25" t="str">
        <f>IFERROR(__xludf.DUMMYFUNCTION("""COMPUTED_VALUE"""),"55.814463")</f>
        <v>55.814463</v>
      </c>
      <c r="G777" s="6" t="str">
        <f>IFERROR(__xludf.DUMMYFUNCTION("""COMPUTED_VALUE"""),"37.739363")</f>
        <v>37.739363</v>
      </c>
      <c r="H777" s="18" t="str">
        <f>IFERROR(__xludf.DUMMYFUNCTION("""COMPUTED_VALUE"""),"https://docs.google.com/spreadsheets/d/1H1MjbG2y0oC0hhID4do1G0_gfyI1jag72lQd7nL3WDQ/edit?gid=1430842581#gid=1430842581")</f>
        <v>https://docs.google.com/spreadsheets/d/1H1MjbG2y0oC0hhID4do1G0_gfyI1jag72lQd7nL3WDQ/edit?gid=1430842581#gid=1430842581</v>
      </c>
      <c r="I777" s="19" t="str">
        <f>IFERROR(__xludf.DUMMYFUNCTION("""COMPUTED_VALUE"""),"https://disk.yandex.ru/client/disk/Осмотры%20объектов%20АНО%20СМГ/703%20Открытое%20Шоссе%20вл%2014Д%20%20(рн-Богородское)")</f>
        <v>https://disk.yandex.ru/client/disk/Осмотры%20объектов%20АНО%20СМГ/703%20Открытое%20Шоссе%20вл%2014Д%20%20(рн-Богородское)</v>
      </c>
      <c r="J777" s="50">
        <f>IFERROR(__xludf.DUMMYFUNCTION("""COMPUTED_VALUE"""),99.71482999999999)</f>
        <v>99.71483</v>
      </c>
      <c r="K777" s="58">
        <f>IFERROR(__xludf.DUMMYFUNCTION("""COMPUTED_VALUE"""),45957.0)</f>
        <v>45957</v>
      </c>
      <c r="L777" s="6">
        <v>7.0</v>
      </c>
      <c r="M777" s="52">
        <v>45964.0</v>
      </c>
      <c r="N777" s="53" t="s">
        <v>652</v>
      </c>
      <c r="O777" s="61" t="s">
        <v>1137</v>
      </c>
      <c r="P777" s="6"/>
      <c r="Q777" s="6"/>
      <c r="R777" s="6"/>
    </row>
    <row r="778">
      <c r="A778" s="31" t="str">
        <f>IFERROR(__xludf.DUMMYFUNCTION("""COMPUTED_VALUE"""),"537")</f>
        <v>537</v>
      </c>
      <c r="B778" s="14" t="str">
        <f>IFERROR(__xludf.DUMMYFUNCTION("""COMPUTED_VALUE"""),"РЕН-25")</f>
        <v>РЕН-25</v>
      </c>
      <c r="C778" s="14" t="str">
        <f>IFERROR(__xludf.DUMMYFUNCTION("""COMPUTED_VALUE"""),"ОКС")</f>
        <v>ОКС</v>
      </c>
      <c r="D778" s="6"/>
      <c r="E778" s="14" t="str">
        <f>IFERROR(__xludf.DUMMYFUNCTION("""COMPUTED_VALUE"""),"Рязанский пр-т, з/у 49 район Рязанский, Рязанский проспект, з/у 49 (со сносом жилых домов по адресам: г. Москва, Рязанский проспект, дом 49, корпуса 1, 2, 3, 4)")</f>
        <v>Рязанский пр-т, з/у 49 район Рязанский, Рязанский проспект, з/у 49 (со сносом жилых домов по адресам: г. Москва, Рязанский проспект, дом 49, корпуса 1, 2, 3, 4)</v>
      </c>
      <c r="F778" s="25" t="str">
        <f>IFERROR(__xludf.DUMMYFUNCTION("""COMPUTED_VALUE"""),"55.725658")</f>
        <v>55.725658</v>
      </c>
      <c r="G778" s="6" t="str">
        <f>IFERROR(__xludf.DUMMYFUNCTION("""COMPUTED_VALUE"""),"37.764742")</f>
        <v>37.764742</v>
      </c>
      <c r="H778" s="18" t="str">
        <f>IFERROR(__xludf.DUMMYFUNCTION("""COMPUTED_VALUE"""),"https://docs.google.com/spreadsheets/d/1H1MjbG2y0oC0hhID4do1G0_gfyI1jag72lQd7nL3WDQ/edit?gid=1141531368#gid=1141531368")</f>
        <v>https://docs.google.com/spreadsheets/d/1H1MjbG2y0oC0hhID4do1G0_gfyI1jag72lQd7nL3WDQ/edit?gid=1141531368#gid=1141531368</v>
      </c>
      <c r="I778" s="19" t="str">
        <f>IFERROR(__xludf.DUMMYFUNCTION("""COMPUTED_VALUE"""),"https://disk.yandex.ru/client/disk/Осмотры%20объектов%20АНО%20СМГ/537%20ЮВАО%2C%20район%20Рязанский%2C%20Рязанский%20проспект%2C%20земельный%20участок%2049%2C%20(Рязанский%20пр-т%2C%20вл.49%2C%20корпуса%201%2C2%2C3%2C4)")</f>
        <v>https://disk.yandex.ru/client/disk/Осмотры%20объектов%20АНО%20СМГ/537%20ЮВАО%2C%20район%20Рязанский%2C%20Рязанский%20проспект%2C%20земельный%20участок%2049%2C%20(Рязанский%20пр-т%2C%20вл.49%2C%20корпуса%201%2C2%2C3%2C4)</v>
      </c>
      <c r="J778" s="50">
        <f>IFERROR(__xludf.DUMMYFUNCTION("""COMPUTED_VALUE"""),72.72009)</f>
        <v>72.72009</v>
      </c>
      <c r="K778" s="58">
        <f>IFERROR(__xludf.DUMMYFUNCTION("""COMPUTED_VALUE"""),45967.0)</f>
        <v>45967</v>
      </c>
      <c r="L778" s="6">
        <v>14.0</v>
      </c>
      <c r="M778" s="52">
        <v>45981.0</v>
      </c>
      <c r="N778" s="53" t="s">
        <v>741</v>
      </c>
      <c r="O778" s="19" t="s">
        <v>669</v>
      </c>
      <c r="P778" s="6"/>
      <c r="Q778" s="6"/>
      <c r="R778" s="6"/>
    </row>
    <row r="779">
      <c r="A779" s="31" t="str">
        <f>IFERROR(__xludf.DUMMYFUNCTION("""COMPUTED_VALUE"""),"628")</f>
        <v>628</v>
      </c>
      <c r="B779" s="14" t="str">
        <f>IFERROR(__xludf.DUMMYFUNCTION("""COMPUTED_VALUE"""),"РЕН-25")</f>
        <v>РЕН-25</v>
      </c>
      <c r="C779" s="14" t="str">
        <f>IFERROR(__xludf.DUMMYFUNCTION("""COMPUTED_VALUE"""),"ОКС")</f>
        <v>ОКС</v>
      </c>
      <c r="D779" s="6"/>
      <c r="E779" s="14" t="str">
        <f>IFERROR(__xludf.DUMMYFUNCTION("""COMPUTED_VALUE"""),"ул. Фридриха Энгельса, з/у 56/1; вл. 58, стр. 1-3, вл. 60, стр. 1, вл. 62, стр. 1, корп. 2 район Басманный, Фридриха Энгельса ул., з/у 56/1; влд. 56 стр. 1-7, 9; влд. 58, стр. 1-3; влд. 60, стр. 1; влд. 62, стр. 1")</f>
        <v>ул. Фридриха Энгельса, з/у 56/1; вл. 58, стр. 1-3, вл. 60, стр. 1, вл. 62, стр. 1, корп. 2 район Басманный, Фридриха Энгельса ул., з/у 56/1; влд. 56 стр. 1-7, 9; влд. 58, стр. 1-3; влд. 60, стр. 1; влд. 62, стр. 1</v>
      </c>
      <c r="F779" s="25" t="str">
        <f>IFERROR(__xludf.DUMMYFUNCTION("""COMPUTED_VALUE"""),"55.776981")</f>
        <v>55.776981</v>
      </c>
      <c r="G779" s="6" t="str">
        <f>IFERROR(__xludf.DUMMYFUNCTION("""COMPUTED_VALUE"""),"37.692421")</f>
        <v>37.692421</v>
      </c>
      <c r="H779" s="18" t="str">
        <f>IFERROR(__xludf.DUMMYFUNCTION("""COMPUTED_VALUE"""),"https://docs.google.com/spreadsheets/d/1H1MjbG2y0oC0hhID4do1G0_gfyI1jag72lQd7nL3WDQ/edit?gid=751430157#gid=751430157")</f>
        <v>https://docs.google.com/spreadsheets/d/1H1MjbG2y0oC0hhID4do1G0_gfyI1jag72lQd7nL3WDQ/edit?gid=751430157#gid=751430157</v>
      </c>
      <c r="I779" s="19" t="str">
        <f>IFERROR(__xludf.DUMMYFUNCTION("""COMPUTED_VALUE"""),"https://disk.yandex.ru/client/disk/Осмотры%20объектов%20АНО%20СМГ/628.%20Фридриха%20Энгельса%20ул.%2C%20вл.%2056%2C%20стр.%201-7")</f>
        <v>https://disk.yandex.ru/client/disk/Осмотры%20объектов%20АНО%20СМГ/628.%20Фридриха%20Энгельса%20ул.%2C%20вл.%2056%2C%20стр.%201-7</v>
      </c>
      <c r="J779" s="50">
        <f>IFERROR(__xludf.DUMMYFUNCTION("""COMPUTED_VALUE"""),95.875725)</f>
        <v>95.875725</v>
      </c>
      <c r="K779" s="58">
        <f>IFERROR(__xludf.DUMMYFUNCTION("""COMPUTED_VALUE"""),45960.0)</f>
        <v>45960</v>
      </c>
      <c r="L779" s="6">
        <v>7.0</v>
      </c>
      <c r="M779" s="52">
        <v>45967.0</v>
      </c>
      <c r="N779" s="53" t="s">
        <v>668</v>
      </c>
      <c r="O779" s="19" t="s">
        <v>669</v>
      </c>
      <c r="P779" s="6"/>
      <c r="Q779" s="6"/>
      <c r="R779" s="6"/>
    </row>
    <row r="780">
      <c r="A780" s="31" t="str">
        <f>IFERROR(__xludf.DUMMYFUNCTION("""COMPUTED_VALUE"""),"678")</f>
        <v>678</v>
      </c>
      <c r="B780" s="14" t="str">
        <f>IFERROR(__xludf.DUMMYFUNCTION("""COMPUTED_VALUE"""),"РЕН-25")</f>
        <v>РЕН-25</v>
      </c>
      <c r="C780" s="14" t="str">
        <f>IFERROR(__xludf.DUMMYFUNCTION("""COMPUTED_VALUE"""),"ОКС")</f>
        <v>ОКС</v>
      </c>
      <c r="D780" s="6"/>
      <c r="E780" s="14" t="str">
        <f>IFERROR(__xludf.DUMMYFUNCTION("""COMPUTED_VALUE"""),"Булатниковский пр-д, з/у 2В/3 (Булатниковский пр-д, вл.2В, корп.3) район Бирюлево Западное, Булатниковский пр-д, з/у 2В/3 (Булатниковский пр-д, вл.2В, корп.3).")</f>
        <v>Булатниковский пр-д, з/у 2В/3 (Булатниковский пр-д, вл.2В, корп.3) район Бирюлево Западное, Булатниковский пр-д, з/у 2В/3 (Булатниковский пр-д, вл.2В, корп.3).</v>
      </c>
      <c r="F780" s="25" t="str">
        <f>IFERROR(__xludf.DUMMYFUNCTION("""COMPUTED_VALUE"""),"55.595206")</f>
        <v>55.595206</v>
      </c>
      <c r="G780" s="6" t="str">
        <f>IFERROR(__xludf.DUMMYFUNCTION("""COMPUTED_VALUE"""),"37.649192")</f>
        <v>37.649192</v>
      </c>
      <c r="H780" s="18" t="str">
        <f>IFERROR(__xludf.DUMMYFUNCTION("""COMPUTED_VALUE"""),"https://docs.google.com/spreadsheets/d/1H1MjbG2y0oC0hhID4do1G0_gfyI1jag72lQd7nL3WDQ/edit?gid=1107137504#gid=1107137504")</f>
        <v>https://docs.google.com/spreadsheets/d/1H1MjbG2y0oC0hhID4do1G0_gfyI1jag72lQd7nL3WDQ/edit?gid=1107137504#gid=1107137504</v>
      </c>
      <c r="I780" s="19" t="str">
        <f>IFERROR(__xludf.DUMMYFUNCTION("""COMPUTED_VALUE"""),"https://disk.yandex.ru/client/disk/Осмотры%20объектов%20АНО%20СМГ/678.Булатниковский%20д.2В%20Корп.3")</f>
        <v>https://disk.yandex.ru/client/disk/Осмотры%20объектов%20АНО%20СМГ/678.Булатниковский%20д.2В%20Корп.3</v>
      </c>
      <c r="J780" s="50">
        <f>IFERROR(__xludf.DUMMYFUNCTION("""COMPUTED_VALUE"""),59.404725)</f>
        <v>59.404725</v>
      </c>
      <c r="K780" s="58">
        <f>IFERROR(__xludf.DUMMYFUNCTION("""COMPUTED_VALUE"""),45967.0)</f>
        <v>45967</v>
      </c>
      <c r="L780" s="6">
        <v>14.0</v>
      </c>
      <c r="M780" s="52">
        <v>45981.0</v>
      </c>
      <c r="N780" s="53" t="s">
        <v>741</v>
      </c>
      <c r="O780" s="19" t="s">
        <v>669</v>
      </c>
      <c r="P780" s="6"/>
      <c r="Q780" s="6"/>
      <c r="R780" s="6"/>
    </row>
    <row r="781">
      <c r="A781" s="31" t="str">
        <f>IFERROR(__xludf.DUMMYFUNCTION("""COMPUTED_VALUE"""),"614")</f>
        <v>614</v>
      </c>
      <c r="B781" s="14" t="str">
        <f>IFERROR(__xludf.DUMMYFUNCTION("""COMPUTED_VALUE"""),"РЕН-25")</f>
        <v>РЕН-25</v>
      </c>
      <c r="C781" s="14" t="str">
        <f>IFERROR(__xludf.DUMMYFUNCTION("""COMPUTED_VALUE"""),"ОКС")</f>
        <v>ОКС</v>
      </c>
      <c r="D781" s="6"/>
      <c r="E781" s="14" t="str">
        <f>IFERROR(__xludf.DUMMYFUNCTION("""COMPUTED_VALUE"""),"ул. Игральная, вл. 1 район Богородское, ул. Игральная, д. 1А (зона - 4.1) (участок 10) (ул. Игральная, д.1А)")</f>
        <v>ул. Игральная, вл. 1 район Богородское, ул. Игральная, д. 1А (зона - 4.1) (участок 10) (ул. Игральная, д.1А)</v>
      </c>
      <c r="F781" s="25" t="str">
        <f>IFERROR(__xludf.DUMMYFUNCTION("""COMPUTED_VALUE"""),"55.814608")</f>
        <v>55.814608</v>
      </c>
      <c r="G781" s="6" t="str">
        <f>IFERROR(__xludf.DUMMYFUNCTION("""COMPUTED_VALUE"""),"37.710737")</f>
        <v>37.710737</v>
      </c>
      <c r="H781" s="18" t="str">
        <f>IFERROR(__xludf.DUMMYFUNCTION("""COMPUTED_VALUE"""),"https://docs.google.com/spreadsheets/d/1H1MjbG2y0oC0hhID4do1G0_gfyI1jag72lQd7nL3WDQ/edit?gid=1248381323#gid=1248381323")</f>
        <v>https://docs.google.com/spreadsheets/d/1H1MjbG2y0oC0hhID4do1G0_gfyI1jag72lQd7nL3WDQ/edit?gid=1248381323#gid=1248381323</v>
      </c>
      <c r="I781" s="19" t="str">
        <f>IFERROR(__xludf.DUMMYFUNCTION("""COMPUTED_VALUE"""),"https://disk.yandex.ru/client/disk/Осмотры%20объектов%20АНО%20СМГ/614%20Игральная%20ул.%2C%20вл.%201")</f>
        <v>https://disk.yandex.ru/client/disk/Осмотры%20объектов%20АНО%20СМГ/614%20Игральная%20ул.%2C%20вл.%201</v>
      </c>
      <c r="J781" s="50">
        <f>IFERROR(__xludf.DUMMYFUNCTION("""COMPUTED_VALUE"""),99.732175)</f>
        <v>99.732175</v>
      </c>
      <c r="K781" s="58">
        <f>IFERROR(__xludf.DUMMYFUNCTION("""COMPUTED_VALUE"""),45952.0)</f>
        <v>45952</v>
      </c>
      <c r="L781" s="6">
        <v>7.0</v>
      </c>
      <c r="M781" s="52">
        <v>45959.0</v>
      </c>
      <c r="N781" s="53" t="s">
        <v>652</v>
      </c>
      <c r="O781" s="19" t="s">
        <v>1138</v>
      </c>
      <c r="P781" s="6"/>
      <c r="Q781" s="6"/>
      <c r="R781" s="6"/>
    </row>
    <row r="782">
      <c r="A782" s="31" t="str">
        <f>IFERROR(__xludf.DUMMYFUNCTION("""COMPUTED_VALUE"""),"617")</f>
        <v>617</v>
      </c>
      <c r="B782" s="14" t="str">
        <f>IFERROR(__xludf.DUMMYFUNCTION("""COMPUTED_VALUE"""),"РЕН-25")</f>
        <v>РЕН-25</v>
      </c>
      <c r="C782" s="14" t="str">
        <f>IFERROR(__xludf.DUMMYFUNCTION("""COMPUTED_VALUE"""),"ОКС")</f>
        <v>ОКС</v>
      </c>
      <c r="D782" s="6"/>
      <c r="E782" s="14" t="str">
        <f>IFERROR(__xludf.DUMMYFUNCTION("""COMPUTED_VALUE"""),"ул. Газопровод з/у 7 (Газопровод, влд. 7) район Южное Чертаново, Газопровод ул., з/у 7 (Газопровод ул., вл. 7)")</f>
        <v>ул. Газопровод з/у 7 (Газопровод, влд. 7) район Южное Чертаново, Газопровод ул., з/у 7 (Газопровод ул., вл. 7)</v>
      </c>
      <c r="F782" s="25" t="str">
        <f>IFERROR(__xludf.DUMMYFUNCTION("""COMPUTED_VALUE"""),"55.590353")</f>
        <v>55.590353</v>
      </c>
      <c r="G782" s="6" t="str">
        <f>IFERROR(__xludf.DUMMYFUNCTION("""COMPUTED_VALUE"""),"37.605625")</f>
        <v>37.605625</v>
      </c>
      <c r="H782" s="18" t="str">
        <f>IFERROR(__xludf.DUMMYFUNCTION("""COMPUTED_VALUE"""),"https://docs.google.com/spreadsheets/d/1H1MjbG2y0oC0hhID4do1G0_gfyI1jag72lQd7nL3WDQ/edit?gid=964974032#gid=964974032")</f>
        <v>https://docs.google.com/spreadsheets/d/1H1MjbG2y0oC0hhID4do1G0_gfyI1jag72lQd7nL3WDQ/edit?gid=964974032#gid=964974032</v>
      </c>
      <c r="I782" s="19" t="str">
        <f>IFERROR(__xludf.DUMMYFUNCTION("""COMPUTED_VALUE"""),"https://disk.yandex.ru/client/disk/Осмотры%20объектов%20АНО%20СМГ/617.%20Район%20Чертаново%20Южное%2C%20ул.%20Газопровод%2C%20вл.7")</f>
        <v>https://disk.yandex.ru/client/disk/Осмотры%20объектов%20АНО%20СМГ/617.%20Район%20Чертаново%20Южное%2C%20ул.%20Газопровод%2C%20вл.7</v>
      </c>
      <c r="J782" s="50">
        <f>IFERROR(__xludf.DUMMYFUNCTION("""COMPUTED_VALUE"""),75.61484999999999)</f>
        <v>75.61485</v>
      </c>
      <c r="K782" s="58">
        <f>IFERROR(__xludf.DUMMYFUNCTION("""COMPUTED_VALUE"""),45972.0)</f>
        <v>45972</v>
      </c>
      <c r="L782" s="6">
        <v>14.0</v>
      </c>
      <c r="M782" s="52">
        <v>45986.0</v>
      </c>
      <c r="N782" s="53" t="s">
        <v>711</v>
      </c>
      <c r="O782" s="19" t="s">
        <v>669</v>
      </c>
      <c r="P782" s="6"/>
      <c r="Q782" s="6"/>
      <c r="R782" s="6"/>
    </row>
    <row r="783">
      <c r="A783" s="31" t="str">
        <f>IFERROR(__xludf.DUMMYFUNCTION("""COMPUTED_VALUE"""),"581")</f>
        <v>581</v>
      </c>
      <c r="B783" s="14" t="str">
        <f>IFERROR(__xludf.DUMMYFUNCTION("""COMPUTED_VALUE"""),"РЕН-25")</f>
        <v>РЕН-25</v>
      </c>
      <c r="C783" s="14" t="str">
        <f>IFERROR(__xludf.DUMMYFUNCTION("""COMPUTED_VALUE"""),"ОКС")</f>
        <v>ОКС</v>
      </c>
      <c r="D783" s="6"/>
      <c r="E783" s="14" t="str">
        <f>IFERROR(__xludf.DUMMYFUNCTION("""COMPUTED_VALUE"""),"1-й Волоколамский пр-д, з/у 7/1 (1-й Волоколамский пр-д, вл. 7, корп. 1) район Щукино, 1-й Волоколамский пр-д, з/у 7/1 
 (1-й Волоколамский пр-д, влд. 7, корп. 1)")</f>
        <v>1-й Волоколамский пр-д, з/у 7/1 (1-й Волоколамский пр-д, вл. 7, корп. 1) район Щукино, 1-й Волоколамский пр-д, з/у 7/1 
 (1-й Волоколамский пр-д, влд. 7, корп. 1)</v>
      </c>
      <c r="F783" s="25" t="str">
        <f>IFERROR(__xludf.DUMMYFUNCTION("""COMPUTED_VALUE"""),"55.800599")</f>
        <v>55.800599</v>
      </c>
      <c r="G783" s="6" t="str">
        <f>IFERROR(__xludf.DUMMYFUNCTION("""COMPUTED_VALUE"""),"37.491611")</f>
        <v>37.491611</v>
      </c>
      <c r="H783" s="18" t="str">
        <f>IFERROR(__xludf.DUMMYFUNCTION("""COMPUTED_VALUE"""),"https://docs.google.com/spreadsheets/d/1H1MjbG2y0oC0hhID4do1G0_gfyI1jag72lQd7nL3WDQ/edit?gid=1426054658#gid=1426054658")</f>
        <v>https://docs.google.com/spreadsheets/d/1H1MjbG2y0oC0hhID4do1G0_gfyI1jag72lQd7nL3WDQ/edit?gid=1426054658#gid=1426054658</v>
      </c>
      <c r="I783" s="19" t="str">
        <f>IFERROR(__xludf.DUMMYFUNCTION("""COMPUTED_VALUE"""),"https://disk.yandex.ru/client/disk/Осмотры%20объектов%20АНО%20СМГ/581%201%20й%20Волоколамский%20проезд%20д%207%20к1")</f>
        <v>https://disk.yandex.ru/client/disk/Осмотры%20объектов%20АНО%20СМГ/581%201%20й%20Волоколамский%20проезд%20д%207%20к1</v>
      </c>
      <c r="J783" s="50">
        <f>IFERROR(__xludf.DUMMYFUNCTION("""COMPUTED_VALUE"""),63.706095000000005)</f>
        <v>63.706095</v>
      </c>
      <c r="K783" s="58">
        <f>IFERROR(__xludf.DUMMYFUNCTION("""COMPUTED_VALUE"""),45972.0)</f>
        <v>45972</v>
      </c>
      <c r="L783" s="6">
        <v>14.0</v>
      </c>
      <c r="M783" s="52">
        <v>45986.0</v>
      </c>
      <c r="N783" s="53" t="s">
        <v>711</v>
      </c>
      <c r="O783" s="19" t="s">
        <v>669</v>
      </c>
      <c r="P783" s="6"/>
      <c r="Q783" s="6"/>
      <c r="R783" s="6"/>
    </row>
    <row r="784">
      <c r="A784" s="31" t="str">
        <f>IFERROR(__xludf.DUMMYFUNCTION("""COMPUTED_VALUE"""),"546")</f>
        <v>546</v>
      </c>
      <c r="B784" s="14" t="str">
        <f>IFERROR(__xludf.DUMMYFUNCTION("""COMPUTED_VALUE"""),"РЕН-25")</f>
        <v>РЕН-25</v>
      </c>
      <c r="C784" s="14" t="str">
        <f>IFERROR(__xludf.DUMMYFUNCTION("""COMPUTED_VALUE"""),"ОКС")</f>
        <v>ОКС</v>
      </c>
      <c r="D784" s="6"/>
      <c r="E784" s="14" t="str">
        <f>IFERROR(__xludf.DUMMYFUNCTION("""COMPUTED_VALUE"""),"Артюхиной ул., вл. 24 район Текстильщики, Артюхиной ул., вл. 24")</f>
        <v>Артюхиной ул., вл. 24 район Текстильщики, Артюхиной ул., вл. 24</v>
      </c>
      <c r="F784" s="25" t="str">
        <f>IFERROR(__xludf.DUMMYFUNCTION("""COMPUTED_VALUE"""),"55.695961")</f>
        <v>55.695961</v>
      </c>
      <c r="G784" s="6" t="str">
        <f>IFERROR(__xludf.DUMMYFUNCTION("""COMPUTED_VALUE"""),"37.738629")</f>
        <v>37.738629</v>
      </c>
      <c r="H784" s="18" t="str">
        <f>IFERROR(__xludf.DUMMYFUNCTION("""COMPUTED_VALUE"""),"https://docs.google.com/spreadsheets/d/1H1MjbG2y0oC0hhID4do1G0_gfyI1jag72lQd7nL3WDQ/edit?gid=1086511131#gid=1086511131")</f>
        <v>https://docs.google.com/spreadsheets/d/1H1MjbG2y0oC0hhID4do1G0_gfyI1jag72lQd7nL3WDQ/edit?gid=1086511131#gid=1086511131</v>
      </c>
      <c r="I784" s="19" t="str">
        <f>IFERROR(__xludf.DUMMYFUNCTION("""COMPUTED_VALUE"""),"https://disk.yandex.ru/client/disk/Осмотры%20объектов%20АНО%20СМГ/546.%20Артюхиной%20ул.%2C%20вл.%2024%20реновация")</f>
        <v>https://disk.yandex.ru/client/disk/Осмотры%20объектов%20АНО%20СМГ/546.%20Артюхиной%20ул.%2C%20вл.%2024%20реновация</v>
      </c>
      <c r="J784" s="50">
        <f>IFERROR(__xludf.DUMMYFUNCTION("""COMPUTED_VALUE"""),20.429699999999997)</f>
        <v>20.4297</v>
      </c>
      <c r="K784" s="58">
        <f>IFERROR(__xludf.DUMMYFUNCTION("""COMPUTED_VALUE"""),45947.0)</f>
        <v>45947</v>
      </c>
      <c r="L784" s="6">
        <v>30.0</v>
      </c>
      <c r="M784" s="52">
        <v>45977.0</v>
      </c>
      <c r="N784" s="53" t="s">
        <v>701</v>
      </c>
      <c r="O784" s="19" t="s">
        <v>1139</v>
      </c>
      <c r="P784" s="6"/>
      <c r="Q784" s="6"/>
      <c r="R784" s="6"/>
    </row>
    <row r="785">
      <c r="A785" s="31" t="str">
        <f>IFERROR(__xludf.DUMMYFUNCTION("""COMPUTED_VALUE"""),"584")</f>
        <v>584</v>
      </c>
      <c r="B785" s="14" t="str">
        <f>IFERROR(__xludf.DUMMYFUNCTION("""COMPUTED_VALUE"""),"РЕН-25")</f>
        <v>РЕН-25</v>
      </c>
      <c r="C785" s="14" t="str">
        <f>IFERROR(__xludf.DUMMYFUNCTION("""COMPUTED_VALUE"""),"ОКС")</f>
        <v>ОКС</v>
      </c>
      <c r="D785" s="6"/>
      <c r="E785" s="14" t="str">
        <f>IFERROR(__xludf.DUMMYFUNCTION("""COMPUTED_VALUE"""),"Изумрудная зу 44/1 (мкр 2, зона 12.4) район Лосиноостровский, ул. Изумрудная, з/у 44/1, микрорайон 2, зона 12.4 (со сносом жилого здания по адресу: ул. Изумрудная, д. 44)")</f>
        <v>Изумрудная зу 44/1 (мкр 2, зона 12.4) район Лосиноостровский, ул. Изумрудная, з/у 44/1, микрорайон 2, зона 12.4 (со сносом жилого здания по адресу: ул. Изумрудная, д. 44)</v>
      </c>
      <c r="F785" s="25" t="str">
        <f>IFERROR(__xludf.DUMMYFUNCTION("""COMPUTED_VALUE"""),"55.877273")</f>
        <v>55.877273</v>
      </c>
      <c r="G785" s="6" t="str">
        <f>IFERROR(__xludf.DUMMYFUNCTION("""COMPUTED_VALUE"""),"37.692177")</f>
        <v>37.692177</v>
      </c>
      <c r="H785" s="18" t="str">
        <f>IFERROR(__xludf.DUMMYFUNCTION("""COMPUTED_VALUE"""),"https://docs.google.com/spreadsheets/d/1H1MjbG2y0oC0hhID4do1G0_gfyI1jag72lQd7nL3WDQ/edit?gid=1900542966#gid=1900542966")</f>
        <v>https://docs.google.com/spreadsheets/d/1H1MjbG2y0oC0hhID4do1G0_gfyI1jag72lQd7nL3WDQ/edit?gid=1900542966#gid=1900542966</v>
      </c>
      <c r="I785" s="19" t="str">
        <f>IFERROR(__xludf.DUMMYFUNCTION("""COMPUTED_VALUE"""),"https://disk.yandex.ru/client/disk/Осмотры%20объектов%20АНО%20СМГ/584.%20ул.%20Изумрудная%2044.1")</f>
        <v>https://disk.yandex.ru/client/disk/Осмотры%20объектов%20АНО%20СМГ/584.%20ул.%20Изумрудная%2044.1</v>
      </c>
      <c r="J785" s="50">
        <f>IFERROR(__xludf.DUMMYFUNCTION("""COMPUTED_VALUE"""),79.59270000000001)</f>
        <v>79.5927</v>
      </c>
      <c r="K785" s="58">
        <f>IFERROR(__xludf.DUMMYFUNCTION("""COMPUTED_VALUE"""),45953.0)</f>
        <v>45953</v>
      </c>
      <c r="L785" s="6">
        <v>14.0</v>
      </c>
      <c r="M785" s="52">
        <v>45967.0</v>
      </c>
      <c r="N785" s="53" t="s">
        <v>668</v>
      </c>
      <c r="O785" s="19" t="s">
        <v>669</v>
      </c>
      <c r="P785" s="6"/>
      <c r="Q785" s="6"/>
      <c r="R785" s="6"/>
    </row>
    <row r="786">
      <c r="A786" s="31" t="str">
        <f>IFERROR(__xludf.DUMMYFUNCTION("""COMPUTED_VALUE"""),"603")</f>
        <v>603</v>
      </c>
      <c r="B786" s="14" t="str">
        <f>IFERROR(__xludf.DUMMYFUNCTION("""COMPUTED_VALUE"""),"РЕН-25")</f>
        <v>РЕН-25</v>
      </c>
      <c r="C786" s="14" t="str">
        <f>IFERROR(__xludf.DUMMYFUNCTION("""COMPUTED_VALUE"""),"ОКС")</f>
        <v>ОКС</v>
      </c>
      <c r="D786" s="6"/>
      <c r="E786" s="14" t="str">
        <f>IFERROR(__xludf.DUMMYFUNCTION("""COMPUTED_VALUE"""),"Жилой дом с подземной автостоянкой, инженерными сетями и благоустройством территории (со сносом жилых зданий по адресам: ул. Бутлерова, д. 34, корп.1; ул. Бутлерова, д. 34, корп.2; ул. Бутлерова, д. 36, корп.1; ул. Бутлерова, д. 36, корп.2), район Коньков"&amp;"о, микрорайон 6 района Коньково, зона № 1.2 район Коньково, микрорайон 6 района Коньково, зона № 1.2 (4 корпуса)")</f>
        <v>Жилой дом с подземной автостоянкой, инженерными сетями и благоустройством территории (со сносом жилых зданий по адресам: ул. Бутлерова, д. 34, корп.1; ул. Бутлерова, д. 34, корп.2; ул. Бутлерова, д. 36, корп.1; ул. Бутлерова, д. 36, корп.2), район Коньково, микрорайон 6 района Коньково, зона № 1.2 район Коньково, микрорайон 6 района Коньково, зона № 1.2 (4 корпуса)</v>
      </c>
      <c r="F786" s="25" t="str">
        <f>IFERROR(__xludf.DUMMYFUNCTION("""COMPUTED_VALUE"""),"55.643709")</f>
        <v>55.643709</v>
      </c>
      <c r="G786" s="6" t="str">
        <f>IFERROR(__xludf.DUMMYFUNCTION("""COMPUTED_VALUE"""),"37.545808")</f>
        <v>37.545808</v>
      </c>
      <c r="H786" s="18" t="str">
        <f>IFERROR(__xludf.DUMMYFUNCTION("""COMPUTED_VALUE"""),"https://docs.google.com/spreadsheets/d/1H1MjbG2y0oC0hhID4do1G0_gfyI1jag72lQd7nL3WDQ/edit?gid=1000032786#gid=1000032786")</f>
        <v>https://docs.google.com/spreadsheets/d/1H1MjbG2y0oC0hhID4do1G0_gfyI1jag72lQd7nL3WDQ/edit?gid=1000032786#gid=1000032786</v>
      </c>
      <c r="I786" s="19" t="str">
        <f>IFERROR(__xludf.DUMMYFUNCTION("""COMPUTED_VALUE"""),"https://disk.yandex.ru/client/disk/Осмотры%20объектов%20АНО%20СМГ/603.%20район%20Коньково%2C%20ул.%20Бутлерово%20зу%2034_2%20мкр.%206%20зона%201.2")</f>
        <v>https://disk.yandex.ru/client/disk/Осмотры%20объектов%20АНО%20СМГ/603.%20район%20Коньково%2C%20ул.%20Бутлерово%20зу%2034_2%20мкр.%206%20зона%201.2</v>
      </c>
      <c r="J786" s="50">
        <f>IFERROR(__xludf.DUMMYFUNCTION("""COMPUTED_VALUE"""),81.793665)</f>
        <v>81.793665</v>
      </c>
      <c r="K786" s="58">
        <f>IFERROR(__xludf.DUMMYFUNCTION("""COMPUTED_VALUE"""),45973.0)</f>
        <v>45973</v>
      </c>
      <c r="L786" s="6">
        <v>14.0</v>
      </c>
      <c r="M786" s="52">
        <v>45987.0</v>
      </c>
      <c r="N786" s="53" t="s">
        <v>711</v>
      </c>
      <c r="O786" s="19" t="s">
        <v>1140</v>
      </c>
      <c r="P786" s="6"/>
      <c r="Q786" s="6"/>
      <c r="R786" s="6"/>
    </row>
    <row r="787">
      <c r="A787" s="31" t="str">
        <f>IFERROR(__xludf.DUMMYFUNCTION("""COMPUTED_VALUE"""),"721")</f>
        <v>721</v>
      </c>
      <c r="B787" s="14" t="str">
        <f>IFERROR(__xludf.DUMMYFUNCTION("""COMPUTED_VALUE"""),"РЕН-25")</f>
        <v>РЕН-25</v>
      </c>
      <c r="C787" s="14" t="str">
        <f>IFERROR(__xludf.DUMMYFUNCTION("""COMPUTED_VALUE"""),"ОКС")</f>
        <v>ОКС</v>
      </c>
      <c r="D787" s="6"/>
      <c r="E787" s="14" t="str">
        <f>IFERROR(__xludf.DUMMYFUNCTION("""COMPUTED_VALUE"""),"Чапаева ул., вл. 4, 6 район Щербинка, Чапаева ул., вл. 4, 6")</f>
        <v>Чапаева ул., вл. 4, 6 район Щербинка, Чапаева ул., вл. 4, 6</v>
      </c>
      <c r="F787" s="25" t="str">
        <f>IFERROR(__xludf.DUMMYFUNCTION("""COMPUTED_VALUE"""),"55.512428")</f>
        <v>55.512428</v>
      </c>
      <c r="G787" s="6" t="str">
        <f>IFERROR(__xludf.DUMMYFUNCTION("""COMPUTED_VALUE"""),"37.571232")</f>
        <v>37.571232</v>
      </c>
      <c r="H787" s="18" t="str">
        <f>IFERROR(__xludf.DUMMYFUNCTION("""COMPUTED_VALUE"""),"https://docs.google.com/spreadsheets/d/1H1MjbG2y0oC0hhID4do1G0_gfyI1jag72lQd7nL3WDQ/edit?gid=249071120#gid=249071120")</f>
        <v>https://docs.google.com/spreadsheets/d/1H1MjbG2y0oC0hhID4do1G0_gfyI1jag72lQd7nL3WDQ/edit?gid=249071120#gid=249071120</v>
      </c>
      <c r="I787" s="19" t="str">
        <f>IFERROR(__xludf.DUMMYFUNCTION("""COMPUTED_VALUE"""),"https://disk.yandex.ru/client/disk/Осмотры%20объектов%20АНО%20СМГ/721.Щербинка%20Чапаева%20д.4%2C%20д.6")</f>
        <v>https://disk.yandex.ru/client/disk/Осмотры%20объектов%20АНО%20СМГ/721.Щербинка%20Чапаева%20д.4%2C%20д.6</v>
      </c>
      <c r="J787" s="50">
        <f>IFERROR(__xludf.DUMMYFUNCTION("""COMPUTED_VALUE"""),46.4247)</f>
        <v>46.4247</v>
      </c>
      <c r="K787" s="58">
        <f>IFERROR(__xludf.DUMMYFUNCTION("""COMPUTED_VALUE"""),45968.0)</f>
        <v>45968</v>
      </c>
      <c r="L787" s="6">
        <v>30.0</v>
      </c>
      <c r="M787" s="52">
        <v>45998.0</v>
      </c>
      <c r="N787" s="53" t="s">
        <v>711</v>
      </c>
      <c r="O787" s="19" t="s">
        <v>669</v>
      </c>
      <c r="P787" s="6"/>
      <c r="Q787" s="6"/>
      <c r="R787" s="6"/>
    </row>
    <row r="788">
      <c r="A788" s="31" t="str">
        <f>IFERROR(__xludf.DUMMYFUNCTION("""COMPUTED_VALUE"""),"632")</f>
        <v>632</v>
      </c>
      <c r="B788" s="14" t="str">
        <f>IFERROR(__xludf.DUMMYFUNCTION("""COMPUTED_VALUE"""),"РЕН-25")</f>
        <v>РЕН-25</v>
      </c>
      <c r="C788" s="14" t="str">
        <f>IFERROR(__xludf.DUMMYFUNCTION("""COMPUTED_VALUE"""),"ОКС")</f>
        <v>ОКС</v>
      </c>
      <c r="D788" s="6"/>
      <c r="E788" s="14" t="str">
        <f>IFERROR(__xludf.DUMMYFUNCTION("""COMPUTED_VALUE"""),"Строительный проезд, земельный участок 9/13 (Строительный проезд, вл.9) Строительный проезд, земельный участок 9/13 (Строительный проезд, вл.9)")</f>
        <v>Строительный проезд, земельный участок 9/13 (Строительный проезд, вл.9) Строительный проезд, земельный участок 9/13 (Строительный проезд, вл.9)</v>
      </c>
      <c r="F788" s="25" t="str">
        <f>IFERROR(__xludf.DUMMYFUNCTION("""COMPUTED_VALUE"""),"55.833154")</f>
        <v>55.833154</v>
      </c>
      <c r="G788" s="6" t="str">
        <f>IFERROR(__xludf.DUMMYFUNCTION("""COMPUTED_VALUE"""),"37.423872")</f>
        <v>37.423872</v>
      </c>
      <c r="H788" s="18" t="str">
        <f>IFERROR(__xludf.DUMMYFUNCTION("""COMPUTED_VALUE"""),"https://docs.google.com/spreadsheets/d/1H1MjbG2y0oC0hhID4do1G0_gfyI1jag72lQd7nL3WDQ/edit?gid=1181793870#gid=1181793870")</f>
        <v>https://docs.google.com/spreadsheets/d/1H1MjbG2y0oC0hhID4do1G0_gfyI1jag72lQd7nL3WDQ/edit?gid=1181793870#gid=1181793870</v>
      </c>
      <c r="I788" s="19" t="str">
        <f>IFERROR(__xludf.DUMMYFUNCTION("""COMPUTED_VALUE"""),"https://disk.yandex.ru/client/disk/Осмотры%20объектов%20АНО%20СМГ/632%20Строительный%20проезд%209%5C13")</f>
        <v>https://disk.yandex.ru/client/disk/Осмотры%20объектов%20АНО%20СМГ/632%20Строительный%20проезд%209%5C13</v>
      </c>
      <c r="J788" s="50">
        <f>IFERROR(__xludf.DUMMYFUNCTION("""COMPUTED_VALUE"""),94.543875)</f>
        <v>94.543875</v>
      </c>
      <c r="K788" s="58">
        <f>IFERROR(__xludf.DUMMYFUNCTION("""COMPUTED_VALUE"""),45974.0)</f>
        <v>45974</v>
      </c>
      <c r="L788" s="6">
        <v>7.0</v>
      </c>
      <c r="M788" s="52">
        <v>45981.0</v>
      </c>
      <c r="N788" s="53" t="s">
        <v>711</v>
      </c>
      <c r="O788" s="19" t="s">
        <v>669</v>
      </c>
      <c r="P788" s="6"/>
      <c r="Q788" s="6"/>
      <c r="R788" s="6"/>
    </row>
    <row r="789">
      <c r="A789" s="31" t="str">
        <f>IFERROR(__xludf.DUMMYFUNCTION("""COMPUTED_VALUE"""),"610")</f>
        <v>610</v>
      </c>
      <c r="B789" s="14" t="str">
        <f>IFERROR(__xludf.DUMMYFUNCTION("""COMPUTED_VALUE"""),"РЕН-25")</f>
        <v>РЕН-25</v>
      </c>
      <c r="C789" s="14" t="str">
        <f>IFERROR(__xludf.DUMMYFUNCTION("""COMPUTED_VALUE"""),"ОКС")</f>
        <v>ОКС</v>
      </c>
      <c r="D789" s="6"/>
      <c r="E789" s="14" t="str">
        <f>IFERROR(__xludf.DUMMYFUNCTION("""COMPUTED_VALUE"""),"Академика Скрябина ул., з/у 40 (участки 13.1 и 13.2) Академика Скрябина ул., з/у 40 (участки 13.1 и 13.2)")</f>
        <v>Академика Скрябина ул., з/у 40 (участки 13.1 и 13.2) Академика Скрябина ул., з/у 40 (участки 13.1 и 13.2)</v>
      </c>
      <c r="F789" s="25" t="str">
        <f>IFERROR(__xludf.DUMMYFUNCTION("""COMPUTED_VALUE"""),"55.697934")</f>
        <v>55.697934</v>
      </c>
      <c r="G789" s="6" t="str">
        <f>IFERROR(__xludf.DUMMYFUNCTION("""COMPUTED_VALUE"""),"37.790701")</f>
        <v>37.790701</v>
      </c>
      <c r="H789" s="18" t="str">
        <f>IFERROR(__xludf.DUMMYFUNCTION("""COMPUTED_VALUE"""),"https://docs.google.com/spreadsheets/d/1H1MjbG2y0oC0hhID4do1G0_gfyI1jag72lQd7nL3WDQ/edit?gid=1609263203#gid=1609263203")</f>
        <v>https://docs.google.com/spreadsheets/d/1H1MjbG2y0oC0hhID4do1G0_gfyI1jag72lQd7nL3WDQ/edit?gid=1609263203#gid=1609263203</v>
      </c>
      <c r="I789" s="19" t="str">
        <f>IFERROR(__xludf.DUMMYFUNCTION("""COMPUTED_VALUE"""),"https://disk.yandex.ru/client/disk/Осмотры%20объектов%20АНО%20СМГ/610%20ЮВАО%2C%20Кузьминки%2C%20улица%20Академика%20Скрябина%2C%20зу%2040%2C%20мкр.%20117%2C%20117а%2C%20118%2C%20118а%2C%20119%2C%20зона%20№%2013.1")</f>
        <v>https://disk.yandex.ru/client/disk/Осмотры%20объектов%20АНО%20СМГ/610%20ЮВАО%2C%20Кузьминки%2C%20улица%20Академика%20Скрябина%2C%20зу%2040%2C%20мкр.%20117%2C%20117а%2C%20118%2C%20118а%2C%20119%2C%20зона%20№%2013.1</v>
      </c>
      <c r="J789" s="50">
        <f>IFERROR(__xludf.DUMMYFUNCTION("""COMPUTED_VALUE"""),74.59048499999999)</f>
        <v>74.590485</v>
      </c>
      <c r="K789" s="58">
        <f>IFERROR(__xludf.DUMMYFUNCTION("""COMPUTED_VALUE"""),45972.0)</f>
        <v>45972</v>
      </c>
      <c r="L789" s="6">
        <v>14.0</v>
      </c>
      <c r="M789" s="52">
        <v>45986.0</v>
      </c>
      <c r="N789" s="53" t="s">
        <v>711</v>
      </c>
      <c r="O789" s="19" t="s">
        <v>669</v>
      </c>
      <c r="P789" s="6"/>
      <c r="Q789" s="6"/>
      <c r="R789" s="6"/>
    </row>
    <row r="790">
      <c r="A790" s="31" t="str">
        <f>IFERROR(__xludf.DUMMYFUNCTION("""COMPUTED_VALUE"""),"604")</f>
        <v>604</v>
      </c>
      <c r="B790" s="14" t="str">
        <f>IFERROR(__xludf.DUMMYFUNCTION("""COMPUTED_VALUE"""),"РЕН-25")</f>
        <v>РЕН-25</v>
      </c>
      <c r="C790" s="14" t="str">
        <f>IFERROR(__xludf.DUMMYFUNCTION("""COMPUTED_VALUE"""),"ОКС")</f>
        <v>ОКС</v>
      </c>
      <c r="D790" s="6"/>
      <c r="E790" s="14" t="str">
        <f>IFERROR(__xludf.DUMMYFUNCTION("""COMPUTED_VALUE"""),"улица Совхозная, земельный участок 55/2 (участок 21.1) улица Совхозная, земельный участок 55/2 (участок 21.1)")</f>
        <v>улица Совхозная, земельный участок 55/2 (участок 21.1) улица Совхозная, земельный участок 55/2 (участок 21.1)</v>
      </c>
      <c r="F790" s="25" t="str">
        <f>IFERROR(__xludf.DUMMYFUNCTION("""COMPUTED_VALUE"""),"55.681186")</f>
        <v>55.681186</v>
      </c>
      <c r="G790" s="6" t="str">
        <f>IFERROR(__xludf.DUMMYFUNCTION("""COMPUTED_VALUE"""),"37.762729")</f>
        <v>37.762729</v>
      </c>
      <c r="H790" s="18" t="str">
        <f>IFERROR(__xludf.DUMMYFUNCTION("""COMPUTED_VALUE"""),"https://docs.google.com/spreadsheets/d/1H1MjbG2y0oC0hhID4do1G0_gfyI1jag72lQd7nL3WDQ/edit?gid=1407301391#gid=1407301391")</f>
        <v>https://docs.google.com/spreadsheets/d/1H1MjbG2y0oC0hhID4do1G0_gfyI1jag72lQd7nL3WDQ/edit?gid=1407301391#gid=1407301391</v>
      </c>
      <c r="I790" s="19" t="str">
        <f>IFERROR(__xludf.DUMMYFUNCTION("""COMPUTED_VALUE"""),"https://disk.yandex.ru/client/disk/Осмотры%20объектов%20АНО%20СМГ/604.%20Совхозная%20ул.%2C%20зу%2055-2%20(участок%2021.1)")</f>
        <v>https://disk.yandex.ru/client/disk/Осмотры%20объектов%20АНО%20СМГ/604.%20Совхозная%20ул.%2C%20зу%2055-2%20(участок%2021.1)</v>
      </c>
      <c r="J790" s="50">
        <f>IFERROR(__xludf.DUMMYFUNCTION("""COMPUTED_VALUE"""),65.8695)</f>
        <v>65.8695</v>
      </c>
      <c r="K790" s="58">
        <f>IFERROR(__xludf.DUMMYFUNCTION("""COMPUTED_VALUE"""),45973.0)</f>
        <v>45973</v>
      </c>
      <c r="L790" s="6">
        <v>14.0</v>
      </c>
      <c r="M790" s="52">
        <v>45987.0</v>
      </c>
      <c r="N790" s="53" t="s">
        <v>711</v>
      </c>
      <c r="O790" s="19" t="s">
        <v>669</v>
      </c>
      <c r="P790" s="6"/>
      <c r="Q790" s="6"/>
      <c r="R790" s="6"/>
    </row>
    <row r="791">
      <c r="A791" s="31" t="str">
        <f>IFERROR(__xludf.DUMMYFUNCTION("""COMPUTED_VALUE"""),"600")</f>
        <v>600</v>
      </c>
      <c r="B791" s="14" t="str">
        <f>IFERROR(__xludf.DUMMYFUNCTION("""COMPUTED_VALUE"""),"РЕН-25")</f>
        <v>РЕН-25</v>
      </c>
      <c r="C791" s="14" t="str">
        <f>IFERROR(__xludf.DUMMYFUNCTION("""COMPUTED_VALUE"""),"ОКС")</f>
        <v>ОКС</v>
      </c>
      <c r="D791" s="6"/>
      <c r="E791" s="14" t="str">
        <f>IFERROR(__xludf.DUMMYFUNCTION("""COMPUTED_VALUE"""),"улица Шумилова, земельный участок 26 улица Шумилова, земельный участок 26")</f>
        <v>улица Шумилова, земельный участок 26 улица Шумилова, земельный участок 26</v>
      </c>
      <c r="F791" s="25" t="str">
        <f>IFERROR(__xludf.DUMMYFUNCTION("""COMPUTED_VALUE"""),"55.706537")</f>
        <v>55.706537</v>
      </c>
      <c r="G791" s="6" t="str">
        <f>IFERROR(__xludf.DUMMYFUNCTION("""COMPUTED_VALUE"""),"37.779062")</f>
        <v>37.779062</v>
      </c>
      <c r="H791" s="18" t="str">
        <f>IFERROR(__xludf.DUMMYFUNCTION("""COMPUTED_VALUE"""),"https://docs.google.com/spreadsheets/d/1H1MjbG2y0oC0hhID4do1G0_gfyI1jag72lQd7nL3WDQ/edit?gid=1021209176#gid=1021209176")</f>
        <v>https://docs.google.com/spreadsheets/d/1H1MjbG2y0oC0hhID4do1G0_gfyI1jag72lQd7nL3WDQ/edit?gid=1021209176#gid=1021209176</v>
      </c>
      <c r="I791" s="19" t="str">
        <f>IFERROR(__xludf.DUMMYFUNCTION("""COMPUTED_VALUE"""),"https://disk.yandex.ru/client/disk/Осмотры%20объектов%20АНО%20СМГ/600%20ЮВАО%2C%20район%20Кузьминки%2C%20Шумилова%20ул.%2C%20зу%2026%20(мкр.%20115-116%20Шумилова%20ул.%2C%20д.%2026.6%3B%20Есенинский%20б-р.%2C%20д.%206%2C%20корп.%202%3B%20Шумилова%20ул.%2C"&amp;"%2024%20зона%202.11)")</f>
        <v>https://disk.yandex.ru/client/disk/Осмотры%20объектов%20АНО%20СМГ/600%20ЮВАО%2C%20район%20Кузьминки%2C%20Шумилова%20ул.%2C%20зу%2026%20(мкр.%20115-116%20Шумилова%20ул.%2C%20д.%2026.6%3B%20Есенинский%20б-р.%2C%20д.%206%2C%20корп.%202%3B%20Шумилова%20ул.%2C%2024%20зона%202.11)</v>
      </c>
      <c r="J791" s="50">
        <f>IFERROR(__xludf.DUMMYFUNCTION("""COMPUTED_VALUE"""),47.90470499999999)</f>
        <v>47.904705</v>
      </c>
      <c r="K791" s="58">
        <f>IFERROR(__xludf.DUMMYFUNCTION("""COMPUTED_VALUE"""),45972.0)</f>
        <v>45972</v>
      </c>
      <c r="L791" s="6">
        <v>30.0</v>
      </c>
      <c r="M791" s="52">
        <v>46002.0</v>
      </c>
      <c r="N791" s="53" t="s">
        <v>711</v>
      </c>
      <c r="O791" s="19" t="s">
        <v>669</v>
      </c>
      <c r="P791" s="6"/>
      <c r="Q791" s="6"/>
      <c r="R791" s="6"/>
    </row>
    <row r="792">
      <c r="A792" s="31" t="str">
        <f>IFERROR(__xludf.DUMMYFUNCTION("""COMPUTED_VALUE"""),"629")</f>
        <v>629</v>
      </c>
      <c r="B792" s="14" t="str">
        <f>IFERROR(__xludf.DUMMYFUNCTION("""COMPUTED_VALUE"""),"РЕН-25")</f>
        <v>РЕН-25</v>
      </c>
      <c r="C792" s="14" t="str">
        <f>IFERROR(__xludf.DUMMYFUNCTION("""COMPUTED_VALUE"""),"ОКС")</f>
        <v>ОКС</v>
      </c>
      <c r="D792" s="6"/>
      <c r="E792" s="14" t="str">
        <f>IFERROR(__xludf.DUMMYFUNCTION("""COMPUTED_VALUE"""),"улица Юных Ленинцев, земельный участок 44/3 (зоны 2.5 и 2.7) улица Юных Ленинцев, земельный участок 44/3 (зоны 2.5 и 2.7)")</f>
        <v>улица Юных Ленинцев, земельный участок 44/3 (зоны 2.5 и 2.7) улица Юных Ленинцев, земельный участок 44/3 (зоны 2.5 и 2.7)</v>
      </c>
      <c r="F792" s="25" t="str">
        <f>IFERROR(__xludf.DUMMYFUNCTION("""COMPUTED_VALUE"""),"55.699296")</f>
        <v>55.699296</v>
      </c>
      <c r="G792" s="6" t="str">
        <f>IFERROR(__xludf.DUMMYFUNCTION("""COMPUTED_VALUE"""),"37.759386")</f>
        <v>37.759386</v>
      </c>
      <c r="H792" s="18" t="str">
        <f>IFERROR(__xludf.DUMMYFUNCTION("""COMPUTED_VALUE"""),"https://docs.google.com/spreadsheets/d/1H1MjbG2y0oC0hhID4do1G0_gfyI1jag72lQd7nL3WDQ/edit?gid=139795987#gid=139795987")</f>
        <v>https://docs.google.com/spreadsheets/d/1H1MjbG2y0oC0hhID4do1G0_gfyI1jag72lQd7nL3WDQ/edit?gid=139795987#gid=139795987</v>
      </c>
      <c r="I792" s="19" t="str">
        <f>IFERROR(__xludf.DUMMYFUNCTION("""COMPUTED_VALUE"""),"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amp;"044%2C%20корп.3%2C%20ул.%20Юных%20Ленинцев%2C%20д.%2044%2C%20корп.2%20)")</f>
        <v>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2044%2C%20корп.3%2C%20ул.%20Юных%20Ленинцев%2C%20д.%2044%2C%20корп.2%20)</v>
      </c>
      <c r="J792" s="50">
        <f>IFERROR(__xludf.DUMMYFUNCTION("""COMPUTED_VALUE"""),78.26517)</f>
        <v>78.26517</v>
      </c>
      <c r="K792" s="58">
        <f>IFERROR(__xludf.DUMMYFUNCTION("""COMPUTED_VALUE"""),45973.0)</f>
        <v>45973</v>
      </c>
      <c r="L792" s="6">
        <v>14.0</v>
      </c>
      <c r="M792" s="52">
        <v>45987.0</v>
      </c>
      <c r="N792" s="53" t="s">
        <v>711</v>
      </c>
      <c r="O792" s="19" t="s">
        <v>669</v>
      </c>
      <c r="P792" s="6"/>
      <c r="Q792" s="6"/>
      <c r="R792" s="6"/>
    </row>
    <row r="793">
      <c r="A793" s="31" t="str">
        <f>IFERROR(__xludf.DUMMYFUNCTION("""COMPUTED_VALUE"""),"543")</f>
        <v>543</v>
      </c>
      <c r="B793" s="14" t="str">
        <f>IFERROR(__xludf.DUMMYFUNCTION("""COMPUTED_VALUE"""),"РЕН-25")</f>
        <v>РЕН-25</v>
      </c>
      <c r="C793" s="14" t="str">
        <f>IFERROR(__xludf.DUMMYFUNCTION("""COMPUTED_VALUE"""),"ОКС")</f>
        <v>ОКС</v>
      </c>
      <c r="D793" s="6"/>
      <c r="E793" s="14" t="str">
        <f>IFERROR(__xludf.DUMMYFUNCTION("""COMPUTED_VALUE"""),"11-я Парковая улица, земельный участок 53 (вл. 53) (зона 72.3 (к. 39)) 11-я Парковая улица, земельный участок 53 (вл. 53) (зона 72.3 (к. 39))")</f>
        <v>11-я Парковая улица, земельный участок 53 (вл. 53) (зона 72.3 (к. 39)) 11-я Парковая улица, земельный участок 53 (вл. 53) (зона 72.3 (к. 39))</v>
      </c>
      <c r="F793" s="25" t="str">
        <f>IFERROR(__xludf.DUMMYFUNCTION("""COMPUTED_VALUE"""),"55.808251")</f>
        <v>55.808251</v>
      </c>
      <c r="G793" s="6" t="str">
        <f>IFERROR(__xludf.DUMMYFUNCTION("""COMPUTED_VALUE"""),"37.804211")</f>
        <v>37.804211</v>
      </c>
      <c r="H793" s="18" t="str">
        <f>IFERROR(__xludf.DUMMYFUNCTION("""COMPUTED_VALUE"""),"https://docs.google.com/spreadsheets/d/1H1MjbG2y0oC0hhID4do1G0_gfyI1jag72lQd7nL3WDQ/edit?gid=432585965#gid=432585965")</f>
        <v>https://docs.google.com/spreadsheets/d/1H1MjbG2y0oC0hhID4do1G0_gfyI1jag72lQd7nL3WDQ/edit?gid=432585965#gid=432585965</v>
      </c>
      <c r="I793" s="19" t="str">
        <f>IFERROR(__xludf.DUMMYFUNCTION("""COMPUTED_VALUE"""),"https://disk.yandex.ru/client/disk/Осмотры%20объектов%20АНО%20СМГ/543.%2011я%20Парковая%20зу%2053%20%2C%20зона%20№72.3%20Фонд%20реновации")</f>
        <v>https://disk.yandex.ru/client/disk/Осмотры%20объектов%20АНО%20СМГ/543.%2011я%20Парковая%20зу%2053%20%2C%20зона%20№72.3%20Фонд%20реновации</v>
      </c>
      <c r="J793" s="50">
        <f>IFERROR(__xludf.DUMMYFUNCTION("""COMPUTED_VALUE"""),62.504025)</f>
        <v>62.504025</v>
      </c>
      <c r="K793" s="58">
        <f>IFERROR(__xludf.DUMMYFUNCTION("""COMPUTED_VALUE"""),45973.0)</f>
        <v>45973</v>
      </c>
      <c r="L793" s="6">
        <v>14.0</v>
      </c>
      <c r="M793" s="52">
        <v>45987.0</v>
      </c>
      <c r="N793" s="53" t="s">
        <v>711</v>
      </c>
      <c r="O793" s="19" t="s">
        <v>669</v>
      </c>
      <c r="P793" s="6"/>
      <c r="Q793" s="6"/>
      <c r="R793" s="6"/>
    </row>
    <row r="794">
      <c r="A794" s="31" t="str">
        <f>IFERROR(__xludf.DUMMYFUNCTION("""COMPUTED_VALUE"""),"613")</f>
        <v>613</v>
      </c>
      <c r="B794" s="14" t="str">
        <f>IFERROR(__xludf.DUMMYFUNCTION("""COMPUTED_VALUE"""),"РЕН-25")</f>
        <v>РЕН-25</v>
      </c>
      <c r="C794" s="14" t="str">
        <f>IFERROR(__xludf.DUMMYFUNCTION("""COMPUTED_VALUE"""),"ОКС")</f>
        <v>ОКС</v>
      </c>
      <c r="D794" s="6"/>
      <c r="E794" s="14" t="str">
        <f>IFERROR(__xludf.DUMMYFUNCTION("""COMPUTED_VALUE"""),"Жилой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З"&amp;"юзино, улица Малая Юшуньская, земельный участок 12/1 (участок 7.5) улица Малая Юшуньская, земельный участок 12/1 (участок 7.5)")</f>
        <v>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Зюзино, улица Малая Юшуньская, земельный участок 12/1 (участок 7.5) улица Малая Юшуньская, земельный участок 12/1 (участок 7.5)</v>
      </c>
      <c r="F794" s="25" t="str">
        <f>IFERROR(__xludf.DUMMYFUNCTION("""COMPUTED_VALUE"""),"55.651939")</f>
        <v>55.651939</v>
      </c>
      <c r="G794" s="6" t="str">
        <f>IFERROR(__xludf.DUMMYFUNCTION("""COMPUTED_VALUE"""),"37.588976")</f>
        <v>37.588976</v>
      </c>
      <c r="H794" s="18" t="str">
        <f>IFERROR(__xludf.DUMMYFUNCTION("""COMPUTED_VALUE"""),"https://docs.google.com/spreadsheets/d/1H1MjbG2y0oC0hhID4do1G0_gfyI1jag72lQd7nL3WDQ/edit?gid=1835376342#gid=1835376342")</f>
        <v>https://docs.google.com/spreadsheets/d/1H1MjbG2y0oC0hhID4do1G0_gfyI1jag72lQd7nL3WDQ/edit?gid=1835376342#gid=1835376342</v>
      </c>
      <c r="I794" s="19" t="str">
        <f>IFERROR(__xludf.DUMMYFUNCTION("""COMPUTED_VALUE"""),"https://disk.yandex.ru/client/disk/Осмотры%20объектов%20АНО%20СМГ/613.%20Район%20Зюзино%2C%20ул.%20Малая%20Юшуньская%2012_1%20(зона%207.5)")</f>
        <v>https://disk.yandex.ru/client/disk/Осмотры%20объектов%20АНО%20СМГ/613.%20Район%20Зюзино%2C%20ул.%20Малая%20Юшуньская%2012_1%20(зона%207.5)</v>
      </c>
      <c r="J794" s="50">
        <f>IFERROR(__xludf.DUMMYFUNCTION("""COMPUTED_VALUE"""),64.09649999999999)</f>
        <v>64.0965</v>
      </c>
      <c r="K794" s="58">
        <f>IFERROR(__xludf.DUMMYFUNCTION("""COMPUTED_VALUE"""),45968.0)</f>
        <v>45968</v>
      </c>
      <c r="L794" s="6">
        <v>14.0</v>
      </c>
      <c r="M794" s="52">
        <v>45982.0</v>
      </c>
      <c r="N794" s="53" t="s">
        <v>692</v>
      </c>
      <c r="O794" s="19" t="s">
        <v>669</v>
      </c>
      <c r="P794" s="6"/>
      <c r="Q794" s="6"/>
      <c r="R794" s="6"/>
    </row>
    <row r="795">
      <c r="A795" s="31" t="str">
        <f>IFERROR(__xludf.DUMMYFUNCTION("""COMPUTED_VALUE"""),"569")</f>
        <v>569</v>
      </c>
      <c r="B795" s="14" t="str">
        <f>IFERROR(__xludf.DUMMYFUNCTION("""COMPUTED_VALUE"""),"РЕН-25")</f>
        <v>РЕН-25</v>
      </c>
      <c r="C795" s="14" t="str">
        <f>IFERROR(__xludf.DUMMYFUNCTION("""COMPUTED_VALUE"""),"ОКС")</f>
        <v>ОКС</v>
      </c>
      <c r="D795" s="6"/>
      <c r="E795" s="14" t="str">
        <f>IFERROR(__xludf.DUMMYFUNCTION("""COMPUTED_VALUE"""),"15-я Парковая улица, земельный участок 46/1 (влд.46Б) (зона 5.3 (к.12)) 15-я Парковая улица, земельный участок 46/1 (влд.46Б) (зона 5.3 (к.12))")</f>
        <v>15-я Парковая улица, земельный участок 46/1 (влд.46Б) (зона 5.3 (к.12)) 15-я Парковая улица, земельный участок 46/1 (влд.46Б) (зона 5.3 (к.12))</v>
      </c>
      <c r="F795" s="25" t="str">
        <f>IFERROR(__xludf.DUMMYFUNCTION("""COMPUTED_VALUE"""),"55.809590")</f>
        <v>55.809590</v>
      </c>
      <c r="G795" s="6" t="str">
        <f>IFERROR(__xludf.DUMMYFUNCTION("""COMPUTED_VALUE"""),"37.825712")</f>
        <v>37.825712</v>
      </c>
      <c r="H795" s="18" t="str">
        <f>IFERROR(__xludf.DUMMYFUNCTION("""COMPUTED_VALUE"""),"https://docs.google.com/spreadsheets/d/1H1MjbG2y0oC0hhID4do1G0_gfyI1jag72lQd7nL3WDQ/edit?gid=1916178969#gid=1916178969")</f>
        <v>https://docs.google.com/spreadsheets/d/1H1MjbG2y0oC0hhID4do1G0_gfyI1jag72lQd7nL3WDQ/edit?gid=1916178969#gid=1916178969</v>
      </c>
      <c r="I795" s="19" t="str">
        <f>IFERROR(__xludf.DUMMYFUNCTION("""COMPUTED_VALUE"""),"https://disk.yandex.ru/client/disk/Осмотры%20объектов%20АНО%20СМГ/569.%20Северное%20Измайлово%2C%2015-я%20Парковая%20ул%2C%20вл.%2046")</f>
        <v>https://disk.yandex.ru/client/disk/Осмотры%20объектов%20АНО%20СМГ/569.%20Северное%20Измайлово%2C%2015-я%20Парковая%20ул%2C%20вл.%2046</v>
      </c>
      <c r="J795" s="50">
        <f>IFERROR(__xludf.DUMMYFUNCTION("""COMPUTED_VALUE"""),78.09985499999999)</f>
        <v>78.099855</v>
      </c>
      <c r="K795" s="58">
        <f>IFERROR(__xludf.DUMMYFUNCTION("""COMPUTED_VALUE"""),45972.0)</f>
        <v>45972</v>
      </c>
      <c r="L795" s="6">
        <v>14.0</v>
      </c>
      <c r="M795" s="52">
        <v>45986.0</v>
      </c>
      <c r="N795" s="53" t="s">
        <v>711</v>
      </c>
      <c r="O795" s="19" t="s">
        <v>669</v>
      </c>
      <c r="P795" s="6"/>
      <c r="Q795" s="6"/>
      <c r="R795" s="6"/>
    </row>
    <row r="796">
      <c r="A796" s="31" t="str">
        <f>IFERROR(__xludf.DUMMYFUNCTION("""COMPUTED_VALUE"""),"563")</f>
        <v>563</v>
      </c>
      <c r="B796" s="14" t="str">
        <f>IFERROR(__xludf.DUMMYFUNCTION("""COMPUTED_VALUE"""),"РЕН-25")</f>
        <v>РЕН-25</v>
      </c>
      <c r="C796" s="14" t="str">
        <f>IFERROR(__xludf.DUMMYFUNCTION("""COMPUTED_VALUE"""),"ОКС")</f>
        <v>ОКС</v>
      </c>
      <c r="D796" s="6"/>
      <c r="E796" s="14" t="str">
        <f>IFERROR(__xludf.DUMMYFUNCTION("""COMPUTED_VALUE"""),"улица Маршала Чуйкова, земельный участок 9/5/2 (зоны 4.1, 4.7) улица Маршала Чуйкова, земельный участок 9/5/2 (зоны 4.1, 4.7)")</f>
        <v>улица Маршала Чуйкова, земельный участок 9/5/2 (зоны 4.1, 4.7) улица Маршала Чуйкова, земельный участок 9/5/2 (зоны 4.1, 4.7)</v>
      </c>
      <c r="F796" s="25" t="str">
        <f>IFERROR(__xludf.DUMMYFUNCTION("""COMPUTED_VALUE"""),"55.696299")</f>
        <v>55.696299</v>
      </c>
      <c r="G796" s="6" t="str">
        <f>IFERROR(__xludf.DUMMYFUNCTION("""COMPUTED_VALUE"""),"37.761476")</f>
        <v>37.761476</v>
      </c>
      <c r="H796" s="18" t="str">
        <f>IFERROR(__xludf.DUMMYFUNCTION("""COMPUTED_VALUE"""),"https://docs.google.com/spreadsheets/d/1H1MjbG2y0oC0hhID4do1G0_gfyI1jag72lQd7nL3WDQ/edit?gid=640523369#gid=640523369")</f>
        <v>https://docs.google.com/spreadsheets/d/1H1MjbG2y0oC0hhID4do1G0_gfyI1jag72lQd7nL3WDQ/edit?gid=640523369#gid=640523369</v>
      </c>
      <c r="I796" s="19" t="str">
        <f>IFERROR(__xludf.DUMMYFUNCTION("""COMPUTED_VALUE"""),"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amp;"Чуйкова%2C%20д.%209%2C%20корп.5)%209.5.2")</f>
        <v>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Чуйкова%2C%20д.%209%2C%20корп.5)%209.5.2</v>
      </c>
      <c r="J796" s="50">
        <f>IFERROR(__xludf.DUMMYFUNCTION("""COMPUTED_VALUE"""),69.9741)</f>
        <v>69.9741</v>
      </c>
      <c r="K796" s="58">
        <f>IFERROR(__xludf.DUMMYFUNCTION("""COMPUTED_VALUE"""),45973.0)</f>
        <v>45973</v>
      </c>
      <c r="L796" s="6">
        <v>14.0</v>
      </c>
      <c r="M796" s="52">
        <v>45987.0</v>
      </c>
      <c r="N796" s="53" t="s">
        <v>711</v>
      </c>
      <c r="O796" s="19" t="s">
        <v>669</v>
      </c>
      <c r="P796" s="6"/>
      <c r="Q796" s="6"/>
      <c r="R796" s="6"/>
    </row>
    <row r="797">
      <c r="A797" s="31" t="str">
        <f>IFERROR(__xludf.DUMMYFUNCTION("""COMPUTED_VALUE"""),"684")</f>
        <v>684</v>
      </c>
      <c r="B797" s="14" t="str">
        <f>IFERROR(__xludf.DUMMYFUNCTION("""COMPUTED_VALUE"""),"РЕН-25")</f>
        <v>РЕН-25</v>
      </c>
      <c r="C797" s="14" t="str">
        <f>IFERROR(__xludf.DUMMYFUNCTION("""COMPUTED_VALUE"""),"ОКС")</f>
        <v>ОКС</v>
      </c>
      <c r="D797" s="6"/>
      <c r="E797" s="14" t="str">
        <f>IFERROR(__xludf.DUMMYFUNCTION("""COMPUTED_VALUE"""),"улица Юных Ленинцев, земельный участок 40/В (зоны 2.4 и 2.7) улица Юных Ленинцев, земельный участок 40/В (зоны 2.4 и 2.7)")</f>
        <v>улица Юных Ленинцев, земельный участок 40/В (зоны 2.4 и 2.7) улица Юных Ленинцев, земельный участок 40/В (зоны 2.4 и 2.7)</v>
      </c>
      <c r="F797" s="25" t="str">
        <f>IFERROR(__xludf.DUMMYFUNCTION("""COMPUTED_VALUE"""),"55.699429")</f>
        <v>55.699429</v>
      </c>
      <c r="G797" s="6" t="str">
        <f>IFERROR(__xludf.DUMMYFUNCTION("""COMPUTED_VALUE"""),"37.757826")</f>
        <v>37.757826</v>
      </c>
      <c r="H797" s="18" t="str">
        <f>IFERROR(__xludf.DUMMYFUNCTION("""COMPUTED_VALUE"""),"https://docs.google.com/spreadsheets/d/1H1MjbG2y0oC0hhID4do1G0_gfyI1jag72lQd7nL3WDQ/edit?gid=2107770933#gid=2107770933")</f>
        <v>https://docs.google.com/spreadsheets/d/1H1MjbG2y0oC0hhID4do1G0_gfyI1jag72lQd7nL3WDQ/edit?gid=2107770933#gid=2107770933</v>
      </c>
      <c r="I797" s="19" t="str">
        <f>IFERROR(__xludf.DUMMYFUNCTION("""COMPUTED_VALUE"""),"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amp;".%2040%2C%20корп.%202%2C%20ул.%20Юных%20Ленинцев%2C%20д.%2040%2C%20корп.%203)")</f>
        <v>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2040%2C%20корп.%202%2C%20ул.%20Юных%20Ленинцев%2C%20д.%2040%2C%20корп.%203)</v>
      </c>
      <c r="J797" s="50">
        <f>IFERROR(__xludf.DUMMYFUNCTION("""COMPUTED_VALUE"""),51.60052499999999)</f>
        <v>51.600525</v>
      </c>
      <c r="K797" s="58">
        <f>IFERROR(__xludf.DUMMYFUNCTION("""COMPUTED_VALUE"""),45973.0)</f>
        <v>45973</v>
      </c>
      <c r="L797" s="6">
        <v>14.0</v>
      </c>
      <c r="M797" s="52">
        <v>45987.0</v>
      </c>
      <c r="N797" s="53" t="s">
        <v>711</v>
      </c>
      <c r="O797" s="19" t="s">
        <v>669</v>
      </c>
      <c r="P797" s="6"/>
      <c r="Q797" s="6"/>
      <c r="R797" s="6"/>
    </row>
    <row r="798">
      <c r="A798" s="31" t="str">
        <f>IFERROR(__xludf.DUMMYFUNCTION("""COMPUTED_VALUE"""),"707")</f>
        <v>707</v>
      </c>
      <c r="B798" s="14" t="str">
        <f>IFERROR(__xludf.DUMMYFUNCTION("""COMPUTED_VALUE"""),"РЕН-25")</f>
        <v>РЕН-25</v>
      </c>
      <c r="C798" s="14" t="str">
        <f>IFERROR(__xludf.DUMMYFUNCTION("""COMPUTED_VALUE"""),"ОКС")</f>
        <v>ОКС</v>
      </c>
      <c r="D798" s="6"/>
      <c r="E798" s="14" t="str">
        <f>IFERROR(__xludf.DUMMYFUNCTION("""COMPUTED_VALUE"""),"Жилой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Институтск"&amp;"ая ул., рядом с д. 4)
 3-я Институтская улица, земельный участок 4/1")</f>
        <v>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Институтская ул., рядом с д. 4)
 3-я Институтская улица, земельный участок 4/1</v>
      </c>
      <c r="F798" s="25" t="str">
        <f>IFERROR(__xludf.DUMMYFUNCTION("""COMPUTED_VALUE"""),"55.720079")</f>
        <v>55.720079</v>
      </c>
      <c r="G798" s="6" t="str">
        <f>IFERROR(__xludf.DUMMYFUNCTION("""COMPUTED_VALUE"""),"37.783518")</f>
        <v>37.783518</v>
      </c>
      <c r="H798" s="18" t="str">
        <f>IFERROR(__xludf.DUMMYFUNCTION("""COMPUTED_VALUE"""),"https://docs.google.com/spreadsheets/d/1H1MjbG2y0oC0hhID4do1G0_gfyI1jag72lQd7nL3WDQ/edit?gid=864081677#gid=864081677")</f>
        <v>https://docs.google.com/spreadsheets/d/1H1MjbG2y0oC0hhID4do1G0_gfyI1jag72lQd7nL3WDQ/edit?gid=864081677#gid=864081677</v>
      </c>
      <c r="I798" s="19" t="str">
        <f>IFERROR(__xludf.DUMMYFUNCTION("""COMPUTED_VALUE"""),"https://disk.yandex.ru/client/disk/Осмотры%20объектов%20АНО%20СМГ/707%20Ул%203-я%20Институтская%20ЗУ%204.1")</f>
        <v>https://disk.yandex.ru/client/disk/Осмотры%20объектов%20АНО%20СМГ/707%20Ул%203-я%20Институтская%20ЗУ%204.1</v>
      </c>
      <c r="J798" s="50">
        <f>IFERROR(__xludf.DUMMYFUNCTION("""COMPUTED_VALUE"""),32.605245000000004)</f>
        <v>32.605245</v>
      </c>
      <c r="K798" s="58">
        <f>IFERROR(__xludf.DUMMYFUNCTION("""COMPUTED_VALUE"""),45971.0)</f>
        <v>45971</v>
      </c>
      <c r="L798" s="6">
        <v>30.0</v>
      </c>
      <c r="M798" s="52">
        <v>46001.0</v>
      </c>
      <c r="N798" s="53" t="s">
        <v>711</v>
      </c>
      <c r="O798" s="19" t="s">
        <v>669</v>
      </c>
      <c r="P798" s="6"/>
      <c r="Q798" s="6"/>
      <c r="R798" s="6"/>
    </row>
    <row r="799">
      <c r="A799" s="31" t="str">
        <f>IFERROR(__xludf.DUMMYFUNCTION("""COMPUTED_VALUE"""),"635")</f>
        <v>635</v>
      </c>
      <c r="B799" s="14" t="str">
        <f>IFERROR(__xludf.DUMMYFUNCTION("""COMPUTED_VALUE"""),"РЕН-25")</f>
        <v>РЕН-25</v>
      </c>
      <c r="C799" s="14" t="str">
        <f>IFERROR(__xludf.DUMMYFUNCTION("""COMPUTED_VALUE"""),"ОКС")</f>
        <v>ОКС</v>
      </c>
      <c r="D799" s="6"/>
      <c r="E799" s="14" t="str">
        <f>IFERROR(__xludf.DUMMYFUNCTION("""COMPUTED_VALUE"""),"Жилой дом с инженерными сетями и благоустройством территории (со сносом здания по адресу: Люблинская улица, вл. 121/1) по адресу: г. Москва, внутригородское муниципальное образование Люблино, улица Люблинская, земельный участок 121/1 (Люблинская улица, вл"&amp;". 121/1) улица Люблинская, земельный участок 121/1 (вл. 121/1)")</f>
        <v>Жилой дом с инженерными сетями и благоустройством территории (со сносом здания по адресу: Люблинская улица, вл. 121/1) по адресу: г. Москва, внутригородское муниципальное образование Люблино, улица Люблинская, земельный участок 121/1 (Люблинская улица, вл. 121/1) улица Люблинская, земельный участок 121/1 (вл. 121/1)</v>
      </c>
      <c r="F799" s="25" t="str">
        <f>IFERROR(__xludf.DUMMYFUNCTION("""COMPUTED_VALUE"""),"55.674942")</f>
        <v>55.674942</v>
      </c>
      <c r="G799" s="6" t="str">
        <f>IFERROR(__xludf.DUMMYFUNCTION("""COMPUTED_VALUE"""),"37.739845")</f>
        <v>37.739845</v>
      </c>
      <c r="H799" s="18" t="str">
        <f>IFERROR(__xludf.DUMMYFUNCTION("""COMPUTED_VALUE"""),"https://docs.google.com/spreadsheets/d/1H1MjbG2y0oC0hhID4do1G0_gfyI1jag72lQd7nL3WDQ/edit?gid=763040175#gid=763040175")</f>
        <v>https://docs.google.com/spreadsheets/d/1H1MjbG2y0oC0hhID4do1G0_gfyI1jag72lQd7nL3WDQ/edit?gid=763040175#gid=763040175</v>
      </c>
      <c r="I799" s="19" t="str">
        <f>IFERROR(__xludf.DUMMYFUNCTION("""COMPUTED_VALUE"""),"https://disk.yandex.ru/client/disk/Осмотры%20объектов%20АНО%20СМГ/635.%20Люблинская%20ул.%2C%20вл.%20121!1.%20Жилой%20дом")</f>
        <v>https://disk.yandex.ru/client/disk/Осмотры%20объектов%20АНО%20СМГ/635.%20Люблинская%20ул.%2C%20вл.%20121!1.%20Жилой%20дом</v>
      </c>
      <c r="J799" s="50">
        <f>IFERROR(__xludf.DUMMYFUNCTION("""COMPUTED_VALUE"""),42.334365)</f>
        <v>42.334365</v>
      </c>
      <c r="K799" s="58">
        <f>IFERROR(__xludf.DUMMYFUNCTION("""COMPUTED_VALUE"""),45972.0)</f>
        <v>45972</v>
      </c>
      <c r="L799" s="6">
        <v>30.0</v>
      </c>
      <c r="M799" s="52">
        <v>46002.0</v>
      </c>
      <c r="N799" s="53" t="s">
        <v>711</v>
      </c>
      <c r="O799" s="19" t="s">
        <v>669</v>
      </c>
      <c r="P799" s="6"/>
      <c r="Q799" s="6"/>
      <c r="R799" s="6"/>
    </row>
    <row r="800">
      <c r="A800" s="31" t="str">
        <f>IFERROR(__xludf.DUMMYFUNCTION("""COMPUTED_VALUE"""),"574")</f>
        <v>574</v>
      </c>
      <c r="B800" s="14" t="str">
        <f>IFERROR(__xludf.DUMMYFUNCTION("""COMPUTED_VALUE"""),"РЕН-25")</f>
        <v>РЕН-25</v>
      </c>
      <c r="C800" s="14" t="str">
        <f>IFERROR(__xludf.DUMMYFUNCTION("""COMPUTED_VALUE"""),"ОКС")</f>
        <v>ОКС</v>
      </c>
      <c r="D800" s="6"/>
      <c r="E800" s="14" t="str">
        <f>IFERROR(__xludf.DUMMYFUNCTION("""COMPUTED_VALUE"""),"Амурская ул., земельный участок 1/18 (зоны 3.4, 3.6, 3.7) Амурская ул., емельный участок 1/18 (зоны 3.4, 3.6, 3.7)")</f>
        <v>Амурская ул., земельный участок 1/18 (зоны 3.4, 3.6, 3.7) Амурская ул., емельный участок 1/18 (зоны 3.4, 3.6, 3.7)</v>
      </c>
      <c r="F800" s="25" t="str">
        <f>IFERROR(__xludf.DUMMYFUNCTION("""COMPUTED_VALUE"""),"55.807256")</f>
        <v>55.807256</v>
      </c>
      <c r="G800" s="6" t="str">
        <f>IFERROR(__xludf.DUMMYFUNCTION("""COMPUTED_VALUE"""),"37.751308")</f>
        <v>37.751308</v>
      </c>
      <c r="H800" s="18" t="str">
        <f>IFERROR(__xludf.DUMMYFUNCTION("""COMPUTED_VALUE"""),"https://docs.google.com/spreadsheets/d/1H1MjbG2y0oC0hhID4do1G0_gfyI1jag72lQd7nL3WDQ/edit?gid=1599124365#gid=1599124365")</f>
        <v>https://docs.google.com/spreadsheets/d/1H1MjbG2y0oC0hhID4do1G0_gfyI1jag72lQd7nL3WDQ/edit?gid=1599124365#gid=1599124365</v>
      </c>
      <c r="I800" s="19" t="str">
        <f>IFERROR(__xludf.DUMMYFUNCTION("""COMPUTED_VALUE"""),"https://disk.yandex.ru/client/disk/Осмотры%20объектов%20АНО%20СМГ/574.%20Район%20Гольяново%2C%20Амурская%20ул.%20вл.%201%20зона%20N3.4%20(зу%201_18)")</f>
        <v>https://disk.yandex.ru/client/disk/Осмотры%20объектов%20АНО%20СМГ/574.%20Район%20Гольяново%2C%20Амурская%20ул.%20вл.%201%20зона%20N3.4%20(зу%201_18)</v>
      </c>
      <c r="J800" s="50">
        <f>IFERROR(__xludf.DUMMYFUNCTION("""COMPUTED_VALUE"""),77.46195)</f>
        <v>77.46195</v>
      </c>
      <c r="K800" s="58">
        <f>IFERROR(__xludf.DUMMYFUNCTION("""COMPUTED_VALUE"""),45974.0)</f>
        <v>45974</v>
      </c>
      <c r="L800" s="6">
        <v>14.0</v>
      </c>
      <c r="M800" s="52">
        <v>45988.0</v>
      </c>
      <c r="N800" s="53" t="s">
        <v>711</v>
      </c>
      <c r="O800" s="19" t="s">
        <v>669</v>
      </c>
      <c r="P800" s="6"/>
      <c r="Q800" s="6"/>
      <c r="R800" s="6"/>
    </row>
    <row r="801">
      <c r="A801" s="31" t="str">
        <f>IFERROR(__xludf.DUMMYFUNCTION("""COMPUTED_VALUE"""),"696")</f>
        <v>696</v>
      </c>
      <c r="B801" s="14" t="str">
        <f>IFERROR(__xludf.DUMMYFUNCTION("""COMPUTED_VALUE"""),"РЕН-25")</f>
        <v>РЕН-25</v>
      </c>
      <c r="C801" s="14" t="str">
        <f>IFERROR(__xludf.DUMMYFUNCTION("""COMPUTED_VALUE"""),"ОКС")</f>
        <v>ОКС</v>
      </c>
      <c r="D801" s="6"/>
      <c r="E801" s="14" t="str">
        <f>IFERROR(__xludf.DUMMYFUNCTION("""COMPUTED_VALUE"""),"ул.Херсонская д. 10 корп. 1, д. 10 корп. 2, ул.Херсонская д. 10 корп. 1, д. 10 корп. 2,")</f>
        <v>ул.Херсонская д. 10 корп. 1, д. 10 корп. 2, ул.Херсонская д. 10 корп. 1, д. 10 корп. 2,</v>
      </c>
      <c r="F801" s="25" t="str">
        <f>IFERROR(__xludf.DUMMYFUNCTION("""COMPUTED_VALUE"""),"55.650950")</f>
        <v>55.650950</v>
      </c>
      <c r="G801" s="6" t="str">
        <f>IFERROR(__xludf.DUMMYFUNCTION("""COMPUTED_VALUE"""),"37.573158")</f>
        <v>37.573158</v>
      </c>
      <c r="H801" s="18" t="str">
        <f>IFERROR(__xludf.DUMMYFUNCTION("""COMPUTED_VALUE"""),"https://docs.google.com/spreadsheets/d/1H1MjbG2y0oC0hhID4do1G0_gfyI1jag72lQd7nL3WDQ/edit?gid=1268803659#gid=1268803659")</f>
        <v>https://docs.google.com/spreadsheets/d/1H1MjbG2y0oC0hhID4do1G0_gfyI1jag72lQd7nL3WDQ/edit?gid=1268803659#gid=1268803659</v>
      </c>
      <c r="I801" s="19" t="str">
        <f>IFERROR(__xludf.DUMMYFUNCTION("""COMPUTED_VALUE"""),"https://disk.yandex.ru/client/disk/Осмотры%20объектов%20АНО%20СМГ/696.%20район%20Зюзино%2C%20ул.%20Херсонская%2C%20зу%2010_1%2C%20кв.%2040%2C%20зона%201.7%20(со%20сносом%20ГБОУ%20школа%20№538%20(ДОУ)%20по%20адресу%3A%20ул.%20Херсонская%20д.%2010%20корп.%2"&amp;"01%2C%20д.10%20корп.%202)")</f>
        <v>https://disk.yandex.ru/client/disk/Осмотры%20объектов%20АНО%20СМГ/696.%20район%20Зюзино%2C%20ул.%20Херсонская%2C%20зу%2010_1%2C%20кв.%2040%2C%20зона%201.7%20(со%20сносом%20ГБОУ%20школа%20№538%20(ДОУ)%20по%20адресу%3A%20ул.%20Херсонская%20д.%2010%20корп.%201%2C%20д.10%20корп.%202)</v>
      </c>
      <c r="J801" s="50">
        <f>IFERROR(__xludf.DUMMYFUNCTION("""COMPUTED_VALUE"""),27.712349999999997)</f>
        <v>27.71235</v>
      </c>
      <c r="K801" s="58">
        <f>IFERROR(__xludf.DUMMYFUNCTION("""COMPUTED_VALUE"""),45952.0)</f>
        <v>45952</v>
      </c>
      <c r="L801" s="6">
        <v>30.0</v>
      </c>
      <c r="M801" s="52">
        <v>45982.0</v>
      </c>
      <c r="N801" s="53" t="s">
        <v>741</v>
      </c>
      <c r="O801" s="19" t="s">
        <v>669</v>
      </c>
      <c r="P801" s="6"/>
      <c r="Q801" s="6"/>
      <c r="R801" s="6"/>
    </row>
    <row r="802">
      <c r="A802" s="31" t="str">
        <f>IFERROR(__xludf.DUMMYFUNCTION("""COMPUTED_VALUE"""),"716")</f>
        <v>716</v>
      </c>
      <c r="B802" s="14" t="str">
        <f>IFERROR(__xludf.DUMMYFUNCTION("""COMPUTED_VALUE"""),"РЕН-25")</f>
        <v>РЕН-25</v>
      </c>
      <c r="C802" s="14" t="str">
        <f>IFERROR(__xludf.DUMMYFUNCTION("""COMPUTED_VALUE"""),"ОКС")</f>
        <v>ОКС</v>
      </c>
      <c r="D802" s="6"/>
      <c r="E802" s="14" t="str">
        <f>IFERROR(__xludf.DUMMYFUNCTION("""COMPUTED_VALUE"""),"Сходненская ул., вл. 42 Сходненская ул., вл. 42")</f>
        <v>Сходненская ул., вл. 42 Сходненская ул., вл. 42</v>
      </c>
      <c r="F802" s="25" t="str">
        <f>IFERROR(__xludf.DUMMYFUNCTION("""COMPUTED_VALUE"""),"55.844727")</f>
        <v>55.844727</v>
      </c>
      <c r="G802" s="6" t="str">
        <f>IFERROR(__xludf.DUMMYFUNCTION("""COMPUTED_VALUE"""),"37.439962")</f>
        <v>37.439962</v>
      </c>
      <c r="H802" s="18" t="str">
        <f>IFERROR(__xludf.DUMMYFUNCTION("""COMPUTED_VALUE"""),"https://docs.google.com/spreadsheets/d/1H1MjbG2y0oC0hhID4do1G0_gfyI1jag72lQd7nL3WDQ/edit?gid=1587877211#gid=1587877211")</f>
        <v>https://docs.google.com/spreadsheets/d/1H1MjbG2y0oC0hhID4do1G0_gfyI1jag72lQd7nL3WDQ/edit?gid=1587877211#gid=1587877211</v>
      </c>
      <c r="I802" s="19" t="str">
        <f>IFERROR(__xludf.DUMMYFUNCTION("""COMPUTED_VALUE"""),"https://disk.yandex.ru/client/disk/Осмотры%20объектов%20АНО%20СМГ/716%20Сходненская%20%20вл%2042")</f>
        <v>https://disk.yandex.ru/client/disk/Осмотры%20объектов%20АНО%20СМГ/716%20Сходненская%20%20вл%2042</v>
      </c>
      <c r="J802" s="50">
        <f>IFERROR(__xludf.DUMMYFUNCTION("""COMPUTED_VALUE"""),66.50927999999999)</f>
        <v>66.50928</v>
      </c>
      <c r="K802" s="58">
        <f>IFERROR(__xludf.DUMMYFUNCTION("""COMPUTED_VALUE"""),45974.0)</f>
        <v>45974</v>
      </c>
      <c r="L802" s="6">
        <v>14.0</v>
      </c>
      <c r="M802" s="52">
        <v>45988.0</v>
      </c>
      <c r="N802" s="53" t="s">
        <v>711</v>
      </c>
      <c r="O802" s="19" t="s">
        <v>669</v>
      </c>
      <c r="P802" s="6"/>
      <c r="Q802" s="6"/>
      <c r="R802" s="6"/>
    </row>
    <row r="803">
      <c r="A803" s="31" t="str">
        <f>IFERROR(__xludf.DUMMYFUNCTION("""COMPUTED_VALUE"""),"641")</f>
        <v>641</v>
      </c>
      <c r="B803" s="14" t="str">
        <f>IFERROR(__xludf.DUMMYFUNCTION("""COMPUTED_VALUE"""),"РЕН-25")</f>
        <v>РЕН-25</v>
      </c>
      <c r="C803" s="14" t="str">
        <f>IFERROR(__xludf.DUMMYFUNCTION("""COMPUTED_VALUE"""),"ОКС")</f>
        <v>ОКС</v>
      </c>
      <c r="D803" s="6"/>
      <c r="E803" s="14" t="str">
        <f>IFERROR(__xludf.DUMMYFUNCTION("""COMPUTED_VALUE"""),"Никитинская улица, земельный участок 21/1/3 (Никитинская ул., вл. 21, корп. 1, 3) Никитинская улица, земельный участок 21/1/3 (Никитинская ул., вл. 21, корп. 1, 3)")</f>
        <v>Никитинская улица, земельный участок 21/1/3 (Никитинская ул., вл. 21, корп. 1, 3) Никитинская улица, земельный участок 21/1/3 (Никитинская ул., вл. 21, корп. 1, 3)</v>
      </c>
      <c r="F803" s="25" t="str">
        <f>IFERROR(__xludf.DUMMYFUNCTION("""COMPUTED_VALUE"""),"55.801708")</f>
        <v>55.801708</v>
      </c>
      <c r="G803" s="6" t="str">
        <f>IFERROR(__xludf.DUMMYFUNCTION("""COMPUTED_VALUE"""),"37.773139")</f>
        <v>37.773139</v>
      </c>
      <c r="H803" s="18" t="str">
        <f>IFERROR(__xludf.DUMMYFUNCTION("""COMPUTED_VALUE"""),"https://docs.google.com/spreadsheets/d/1H1MjbG2y0oC0hhID4do1G0_gfyI1jag72lQd7nL3WDQ/edit?gid=833062955#gid=833062955")</f>
        <v>https://docs.google.com/spreadsheets/d/1H1MjbG2y0oC0hhID4do1G0_gfyI1jag72lQd7nL3WDQ/edit?gid=833062955#gid=833062955</v>
      </c>
      <c r="I803" s="19" t="str">
        <f>IFERROR(__xludf.DUMMYFUNCTION("""COMPUTED_VALUE"""),"https://disk.yandex.ru/client/disk/Осмотры%20объектов%20АНО%20СМГ/641.%20Никитинская%20ул.%2C%20зу%2021.1.3%20%20(рефинансирование)")</f>
        <v>https://disk.yandex.ru/client/disk/Осмотры%20объектов%20АНО%20СМГ/641.%20Никитинская%20ул.%2C%20зу%2021.1.3%20%20(рефинансирование)</v>
      </c>
      <c r="J803" s="50">
        <f>IFERROR(__xludf.DUMMYFUNCTION("""COMPUTED_VALUE"""),59.65602)</f>
        <v>59.65602</v>
      </c>
      <c r="K803" s="58">
        <f>IFERROR(__xludf.DUMMYFUNCTION("""COMPUTED_VALUE"""),45973.0)</f>
        <v>45973</v>
      </c>
      <c r="L803" s="6">
        <v>14.0</v>
      </c>
      <c r="M803" s="52">
        <v>45987.0</v>
      </c>
      <c r="N803" s="53" t="s">
        <v>711</v>
      </c>
      <c r="O803" s="19" t="s">
        <v>669</v>
      </c>
      <c r="P803" s="6"/>
      <c r="Q803" s="6"/>
      <c r="R803" s="6"/>
    </row>
    <row r="804">
      <c r="A804" s="31" t="str">
        <f>IFERROR(__xludf.DUMMYFUNCTION("""COMPUTED_VALUE"""),"648")</f>
        <v>648</v>
      </c>
      <c r="B804" s="14" t="str">
        <f>IFERROR(__xludf.DUMMYFUNCTION("""COMPUTED_VALUE"""),"РЕН-25")</f>
        <v>РЕН-25</v>
      </c>
      <c r="C804" s="14" t="str">
        <f>IFERROR(__xludf.DUMMYFUNCTION("""COMPUTED_VALUE"""),"ОКС")</f>
        <v>ОКС</v>
      </c>
      <c r="D804" s="6"/>
      <c r="E804" s="14" t="str">
        <f>IFERROR(__xludf.DUMMYFUNCTION("""COMPUTED_VALUE"""),"3-я Прядильная улица, земельный участок 14 3-я Прядильная улица, земельный участок 14")</f>
        <v>3-я Прядильная улица, земельный участок 14 3-я Прядильная улица, земельный участок 14</v>
      </c>
      <c r="F804" s="25" t="str">
        <f>IFERROR(__xludf.DUMMYFUNCTION("""COMPUTED_VALUE"""),"55.797404")</f>
        <v>55.797404</v>
      </c>
      <c r="G804" s="6" t="str">
        <f>IFERROR(__xludf.DUMMYFUNCTION("""COMPUTED_VALUE"""),"37.776162")</f>
        <v>37.776162</v>
      </c>
      <c r="H804" s="18" t="str">
        <f>IFERROR(__xludf.DUMMYFUNCTION("""COMPUTED_VALUE"""),"https://docs.google.com/spreadsheets/d/1H1MjbG2y0oC0hhID4do1G0_gfyI1jag72lQd7nL3WDQ/edit?gid=760560062#gid=760560062")</f>
        <v>https://docs.google.com/spreadsheets/d/1H1MjbG2y0oC0hhID4do1G0_gfyI1jag72lQd7nL3WDQ/edit?gid=760560062#gid=760560062</v>
      </c>
      <c r="I804" s="19" t="str">
        <f>IFERROR(__xludf.DUMMYFUNCTION("""COMPUTED_VALUE"""),"https://disk.yandex.ru/client/disk/Осмотры%20объектов%20АНО%20СМГ/648%203-я%20Прядильная%20ул.%2C%20зу%2014")</f>
        <v>https://disk.yandex.ru/client/disk/Осмотры%20объектов%20АНО%20СМГ/648%203-я%20Прядильная%20ул.%2C%20зу%2014</v>
      </c>
      <c r="J804" s="50">
        <f>IFERROR(__xludf.DUMMYFUNCTION("""COMPUTED_VALUE"""),2.2420799999999996)</f>
        <v>2.24208</v>
      </c>
      <c r="K804" s="58">
        <f>IFERROR(__xludf.DUMMYFUNCTION("""COMPUTED_VALUE"""),45952.0)</f>
        <v>45952</v>
      </c>
      <c r="L804" s="6">
        <v>30.0</v>
      </c>
      <c r="M804" s="52">
        <v>45982.0</v>
      </c>
      <c r="N804" s="53" t="s">
        <v>741</v>
      </c>
      <c r="O804" s="19" t="s">
        <v>669</v>
      </c>
      <c r="P804" s="6"/>
      <c r="Q804" s="6"/>
      <c r="R804" s="6"/>
    </row>
    <row r="805">
      <c r="A805" s="31" t="str">
        <f>IFERROR(__xludf.DUMMYFUNCTION("""COMPUTED_VALUE"""),"607")</f>
        <v>607</v>
      </c>
      <c r="B805" s="14" t="str">
        <f>IFERROR(__xludf.DUMMYFUNCTION("""COMPUTED_VALUE"""),"РЕН-25")</f>
        <v>РЕН-25</v>
      </c>
      <c r="C805" s="14" t="str">
        <f>IFERROR(__xludf.DUMMYFUNCTION("""COMPUTED_VALUE"""),"ОКС")</f>
        <v>ОКС</v>
      </c>
      <c r="D805" s="6"/>
      <c r="E805" s="14" t="str">
        <f>IFERROR(__xludf.DUMMYFUNCTION("""COMPUTED_VALUE"""),"Херсонская ул. 8 (зона 6.5) Херсонская ул. 8 (зона 6.5)")</f>
        <v>Херсонская ул. 8 (зона 6.5) Херсонская ул. 8 (зона 6.5)</v>
      </c>
      <c r="F805" s="25" t="str">
        <f>IFERROR(__xludf.DUMMYFUNCTION("""COMPUTED_VALUE"""),"55.650516")</f>
        <v>55.650516</v>
      </c>
      <c r="G805" s="6" t="str">
        <f>IFERROR(__xludf.DUMMYFUNCTION("""COMPUTED_VALUE"""),"37.575543")</f>
        <v>37.575543</v>
      </c>
      <c r="H805" s="18" t="str">
        <f>IFERROR(__xludf.DUMMYFUNCTION("""COMPUTED_VALUE"""),"https://docs.google.com/spreadsheets/d/1H1MjbG2y0oC0hhID4do1G0_gfyI1jag72lQd7nL3WDQ/edit?gid=471133046#gid=471133046")</f>
        <v>https://docs.google.com/spreadsheets/d/1H1MjbG2y0oC0hhID4do1G0_gfyI1jag72lQd7nL3WDQ/edit?gid=471133046#gid=471133046</v>
      </c>
      <c r="I805" s="21" t="str">
        <f>IFERROR(__xludf.DUMMYFUNCTION("""COMPUTED_VALUE"""),"https://disk.yandex.ru/client/disk/%D0%9E%D1%81%D0%BC%D0%BE%D1%82%D1%80%D1%8B%20%D0%BE%D0%B1%D1%8A%D0%B5%D0%BA%D1%82%D0%BE%D0%B2%20%D0%90%D0%9D%D0%9E%20%D0%A1%D0%9C%D0%93/607.%20%D1%80%D0%B0%D0%B9%D0%BE%D0%BD%20%D0%97%D1%8E%D0%B7%D0%B8%D0%BD%D0%BE%20%D1%8"&amp;"3%D0%BB.%D0%A5%D0%B5%D1%80%D1%81%D0%BE%D0%BD%D1%81%D0%BA%D0%B0%D1%8F%20%D0%B7%D1%83%208%20%D0%BA%D0%B2%2040%20%D0%B7%D0%BE%D0%BD%D0%B0%206.5_%D1%83%D0%BB.%D0%A5%D0%B5%D1%80%D1%81%D0%BE%D0%BD%D1%81%D0%BA%D0%B0%D1%8F%20%D0%B48")</f>
        <v>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v>
      </c>
      <c r="J805" s="50">
        <f>IFERROR(__xludf.DUMMYFUNCTION("""COMPUTED_VALUE"""),71.284815)</f>
        <v>71.284815</v>
      </c>
      <c r="K805" s="58">
        <f>IFERROR(__xludf.DUMMYFUNCTION("""COMPUTED_VALUE"""),45973.0)</f>
        <v>45973</v>
      </c>
      <c r="L805" s="6">
        <v>14.0</v>
      </c>
      <c r="M805" s="52">
        <v>45987.0</v>
      </c>
      <c r="N805" s="53" t="s">
        <v>711</v>
      </c>
      <c r="O805" s="19" t="s">
        <v>1141</v>
      </c>
      <c r="P805" s="6"/>
      <c r="Q805" s="6"/>
      <c r="R805" s="6"/>
    </row>
    <row r="806">
      <c r="A806" s="31" t="str">
        <f>IFERROR(__xludf.DUMMYFUNCTION("""COMPUTED_VALUE"""),"759")</f>
        <v>759</v>
      </c>
      <c r="B806" s="14" t="str">
        <f>IFERROR(__xludf.DUMMYFUNCTION("""COMPUTED_VALUE"""),"РЕН-25")</f>
        <v>РЕН-25</v>
      </c>
      <c r="C806" s="14" t="str">
        <f>IFERROR(__xludf.DUMMYFUNCTION("""COMPUTED_VALUE"""),"ОКС")</f>
        <v>ОКС</v>
      </c>
      <c r="D806" s="6"/>
      <c r="E806" s="14" t="str">
        <f>IFERROR(__xludf.DUMMYFUNCTION("""COMPUTED_VALUE"""),"ул. Оренбургская, вл. 30 район Косино-Ухтомский, ул. Оренбургская, вл. 30")</f>
        <v>ул. Оренбургская, вл. 30 район Косино-Ухтомский, ул. Оренбургская, вл. 30</v>
      </c>
      <c r="F806" s="25" t="str">
        <f>IFERROR(__xludf.DUMMYFUNCTION("""COMPUTED_VALUE"""),"55.711431")</f>
        <v>55.711431</v>
      </c>
      <c r="G806" s="6" t="str">
        <f>IFERROR(__xludf.DUMMYFUNCTION("""COMPUTED_VALUE"""),"37.866175")</f>
        <v>37.866175</v>
      </c>
      <c r="H806" s="18" t="str">
        <f>IFERROR(__xludf.DUMMYFUNCTION("""COMPUTED_VALUE"""),"https://docs.google.com/spreadsheets/d/1H1MjbG2y0oC0hhID4do1G0_gfyI1jag72lQd7nL3WDQ/edit?gid=1180712542#gid=1180712542")</f>
        <v>https://docs.google.com/spreadsheets/d/1H1MjbG2y0oC0hhID4do1G0_gfyI1jag72lQd7nL3WDQ/edit?gid=1180712542#gid=1180712542</v>
      </c>
      <c r="I806" s="19" t="str">
        <f>IFERROR(__xludf.DUMMYFUNCTION("""COMPUTED_VALUE"""),"https://disk.yandex.ru/client/disk/Осмотры%20объектов%20АНО%20СМГ/759%20ВАО%2C%20ул.%20Оренбургская%2C%20вл.%2030")</f>
        <v>https://disk.yandex.ru/client/disk/Осмотры%20объектов%20АНО%20СМГ/759%20ВАО%2C%20ул.%20Оренбургская%2C%20вл.%2030</v>
      </c>
      <c r="J806" s="50">
        <f>IFERROR(__xludf.DUMMYFUNCTION("""COMPUTED_VALUE"""),62.884305)</f>
        <v>62.884305</v>
      </c>
      <c r="K806" s="58">
        <f>IFERROR(__xludf.DUMMYFUNCTION("""COMPUTED_VALUE"""),45973.0)</f>
        <v>45973</v>
      </c>
      <c r="L806" s="6">
        <v>14.0</v>
      </c>
      <c r="M806" s="52">
        <v>45987.0</v>
      </c>
      <c r="N806" s="53" t="s">
        <v>711</v>
      </c>
      <c r="O806" s="19" t="s">
        <v>669</v>
      </c>
      <c r="P806" s="6"/>
      <c r="Q806" s="6"/>
      <c r="R806" s="6"/>
    </row>
    <row r="807">
      <c r="A807" s="31" t="str">
        <f>IFERROR(__xludf.DUMMYFUNCTION("""COMPUTED_VALUE"""),"670")</f>
        <v>670</v>
      </c>
      <c r="B807" s="14" t="str">
        <f>IFERROR(__xludf.DUMMYFUNCTION("""COMPUTED_VALUE"""),"РЕН-25")</f>
        <v>РЕН-25</v>
      </c>
      <c r="C807" s="14" t="str">
        <f>IFERROR(__xludf.DUMMYFUNCTION("""COMPUTED_VALUE"""),"ОКС")</f>
        <v>ОКС</v>
      </c>
      <c r="D807" s="6"/>
      <c r="E807" s="14" t="str">
        <f>IFERROR(__xludf.DUMMYFUNCTION("""COMPUTED_VALUE"""),"ул. Мироновская, земельный участок 32 (Мироновская ул., вл. 32) Соколиная гора, улица Мироновская, земельный участок 32 (Мироновская ул., вл. 32)")</f>
        <v>ул. Мироновская, земельный участок 32 (Мироновская ул., вл. 32) Соколиная гора, улица Мироновская, земельный участок 32 (Мироновская ул., вл. 32)</v>
      </c>
      <c r="F807" s="25" t="str">
        <f>IFERROR(__xludf.DUMMYFUNCTION("""COMPUTED_VALUE"""),"55.788936")</f>
        <v>55.788936</v>
      </c>
      <c r="G807" s="6" t="str">
        <f>IFERROR(__xludf.DUMMYFUNCTION("""COMPUTED_VALUE"""),"37.734289")</f>
        <v>37.734289</v>
      </c>
      <c r="H807" s="18" t="str">
        <f>IFERROR(__xludf.DUMMYFUNCTION("""COMPUTED_VALUE"""),"https://docs.google.com/spreadsheets/d/1H1MjbG2y0oC0hhID4do1G0_gfyI1jag72lQd7nL3WDQ/edit?gid=1252296860#gid=1252296860")</f>
        <v>https://docs.google.com/spreadsheets/d/1H1MjbG2y0oC0hhID4do1G0_gfyI1jag72lQd7nL3WDQ/edit?gid=1252296860#gid=1252296860</v>
      </c>
      <c r="I807" s="19" t="str">
        <f>IFERROR(__xludf.DUMMYFUNCTION("""COMPUTED_VALUE"""),"https://disk.yandex.ru/client/disk/Осмотры%20объектов%20АНО%20СМГ/670.%20Ул%20Мироновская%20зу%2032")</f>
        <v>https://disk.yandex.ru/client/disk/Осмотры%20объектов%20АНО%20СМГ/670.%20Ул%20Мироновская%20зу%2032</v>
      </c>
      <c r="J807" s="50">
        <f>IFERROR(__xludf.DUMMYFUNCTION("""COMPUTED_VALUE"""),64.038645)</f>
        <v>64.038645</v>
      </c>
      <c r="K807" s="58">
        <f>IFERROR(__xludf.DUMMYFUNCTION("""COMPUTED_VALUE"""),45974.0)</f>
        <v>45974</v>
      </c>
      <c r="L807" s="6">
        <v>14.0</v>
      </c>
      <c r="M807" s="52">
        <v>45988.0</v>
      </c>
      <c r="N807" s="53" t="s">
        <v>711</v>
      </c>
      <c r="O807" s="19" t="s">
        <v>669</v>
      </c>
      <c r="P807" s="6"/>
      <c r="Q807" s="6"/>
      <c r="R807" s="6"/>
    </row>
    <row r="808">
      <c r="A808" s="31" t="str">
        <f>IFERROR(__xludf.DUMMYFUNCTION("""COMPUTED_VALUE"""),"689")</f>
        <v>689</v>
      </c>
      <c r="B808" s="14" t="str">
        <f>IFERROR(__xludf.DUMMYFUNCTION("""COMPUTED_VALUE"""),"РЕН-25")</f>
        <v>РЕН-25</v>
      </c>
      <c r="C808" s="14" t="str">
        <f>IFERROR(__xludf.DUMMYFUNCTION("""COMPUTED_VALUE"""),"ОКС")</f>
        <v>ОКС</v>
      </c>
      <c r="D808" s="6"/>
      <c r="E808" s="14" t="str">
        <f>IFERROR(__xludf.DUMMYFUNCTION("""COMPUTED_VALUE"""),"Авангардная ул., з/у 12 (зона 4.1) район Головинский, Авангардная улица, земельный участок 12 (Зона 4.1)")</f>
        <v>Авангардная ул., з/у 12 (зона 4.1) район Головинский, Авангардная улица, земельный участок 12 (Зона 4.1)</v>
      </c>
      <c r="F808" s="25" t="str">
        <f>IFERROR(__xludf.DUMMYFUNCTION("""COMPUTED_VALUE"""),"55.846769")</f>
        <v>55.846769</v>
      </c>
      <c r="G808" s="6" t="str">
        <f>IFERROR(__xludf.DUMMYFUNCTION("""COMPUTED_VALUE"""),"37.490618")</f>
        <v>37.490618</v>
      </c>
      <c r="H808" s="18" t="str">
        <f>IFERROR(__xludf.DUMMYFUNCTION("""COMPUTED_VALUE"""),"https://docs.google.com/spreadsheets/d/1H1MjbG2y0oC0hhID4do1G0_gfyI1jag72lQd7nL3WDQ/edit?gid=998835814#gid=998835814")</f>
        <v>https://docs.google.com/spreadsheets/d/1H1MjbG2y0oC0hhID4do1G0_gfyI1jag72lQd7nL3WDQ/edit?gid=998835814#gid=998835814</v>
      </c>
      <c r="I808" s="19" t="str">
        <f>IFERROR(__xludf.DUMMYFUNCTION("""COMPUTED_VALUE"""),"https://disk.yandex.ru/client/disk/Осмотры%20объектов%20АНО%20СМГ/689.%20ул.%20Авангардная%20вл.%2012")</f>
        <v>https://disk.yandex.ru/client/disk/Осмотры%20объектов%20АНО%20СМГ/689.%20ул.%20Авангардная%20вл.%2012</v>
      </c>
      <c r="J808" s="50">
        <f>IFERROR(__xludf.DUMMYFUNCTION("""COMPUTED_VALUE"""),0.48)</f>
        <v>0.48</v>
      </c>
      <c r="K808" s="58">
        <f>IFERROR(__xludf.DUMMYFUNCTION("""COMPUTED_VALUE"""),45968.0)</f>
        <v>45968</v>
      </c>
      <c r="L808" s="6">
        <v>30.0</v>
      </c>
      <c r="M808" s="52">
        <v>45998.0</v>
      </c>
      <c r="N808" s="53" t="s">
        <v>711</v>
      </c>
      <c r="O808" s="19" t="s">
        <v>669</v>
      </c>
      <c r="P808" s="6"/>
      <c r="Q808" s="6"/>
      <c r="R808" s="6"/>
    </row>
    <row r="809">
      <c r="A809" s="31" t="str">
        <f>IFERROR(__xludf.DUMMYFUNCTION("""COMPUTED_VALUE"""),"681")</f>
        <v>681</v>
      </c>
      <c r="B809" s="14" t="str">
        <f>IFERROR(__xludf.DUMMYFUNCTION("""COMPUTED_VALUE"""),"РЕН-25")</f>
        <v>РЕН-25</v>
      </c>
      <c r="C809" s="14" t="str">
        <f>IFERROR(__xludf.DUMMYFUNCTION("""COMPUTED_VALUE"""),"ОКС")</f>
        <v>ОКС</v>
      </c>
      <c r="D809" s="6"/>
      <c r="E809" s="14" t="str">
        <f>IFERROR(__xludf.DUMMYFUNCTION("""COMPUTED_VALUE"""),"Жилой дом с подземной автостоянкой, с инженерными сетями и благоустройством территории (со сносом нежилого здания по адресу: Дмитровское шоссе д. 93, к.3) по адресу:район Бескудниково, Коровинское шоссе, земельный участок 93/3 (Зоны 14.2, 14.4) район Беск"&amp;"удниково, Коровинское шоссе, земельный участок 93/3 (Зоны 14.2, 14.4)")</f>
        <v>Жилой дом с подземной автостоянкой, с инженерными сетями и благоустройством территории (со сносом нежилого здания по адресу: Дмитровское шоссе д. 93, к.3) по адресу:район Бескудниково, Коровинское шоссе, земельный участок 93/3 (Зоны 14.2, 14.4) район Бескудниково, Коровинское шоссе, земельный участок 93/3 (Зоны 14.2, 14.4)</v>
      </c>
      <c r="F809" s="25" t="str">
        <f>IFERROR(__xludf.DUMMYFUNCTION("""COMPUTED_VALUE"""),"55.869848")</f>
        <v>55.869848</v>
      </c>
      <c r="G809" s="6" t="str">
        <f>IFERROR(__xludf.DUMMYFUNCTION("""COMPUTED_VALUE"""),"37.541119")</f>
        <v>37.541119</v>
      </c>
      <c r="H809" s="18" t="str">
        <f>IFERROR(__xludf.DUMMYFUNCTION("""COMPUTED_VALUE"""),"https://docs.google.com/spreadsheets/d/1H1MjbG2y0oC0hhID4do1G0_gfyI1jag72lQd7nL3WDQ/edit?gid=418314272#gid=418314272")</f>
        <v>https://docs.google.com/spreadsheets/d/1H1MjbG2y0oC0hhID4do1G0_gfyI1jag72lQd7nL3WDQ/edit?gid=418314272#gid=418314272</v>
      </c>
      <c r="I809" s="19" t="str">
        <f>IFERROR(__xludf.DUMMYFUNCTION("""COMPUTED_VALUE"""),"https://disk.yandex.ru/client/disk/Осмотры%20объектов%20АНО%20СМГ/681.%20Коровинское%20шоссе%2093%20%5C3")</f>
        <v>https://disk.yandex.ru/client/disk/Осмотры%20объектов%20АНО%20СМГ/681.%20Коровинское%20шоссе%2093%20%5C3</v>
      </c>
      <c r="J809" s="50">
        <f>IFERROR(__xludf.DUMMYFUNCTION("""COMPUTED_VALUE"""),26.2152)</f>
        <v>26.2152</v>
      </c>
      <c r="K809" s="58">
        <f>IFERROR(__xludf.DUMMYFUNCTION("""COMPUTED_VALUE"""),45967.0)</f>
        <v>45967</v>
      </c>
      <c r="L809" s="6">
        <v>30.0</v>
      </c>
      <c r="M809" s="52">
        <v>45997.0</v>
      </c>
      <c r="N809" s="53" t="s">
        <v>711</v>
      </c>
      <c r="O809" s="19" t="s">
        <v>669</v>
      </c>
      <c r="P809" s="6"/>
      <c r="Q809" s="6"/>
      <c r="R809" s="6"/>
    </row>
    <row r="810">
      <c r="A810" s="31" t="str">
        <f>IFERROR(__xludf.DUMMYFUNCTION("""COMPUTED_VALUE"""),"658")</f>
        <v>658</v>
      </c>
      <c r="B810" s="14" t="str">
        <f>IFERROR(__xludf.DUMMYFUNCTION("""COMPUTED_VALUE"""),"РЕН-25")</f>
        <v>РЕН-25</v>
      </c>
      <c r="C810" s="14" t="str">
        <f>IFERROR(__xludf.DUMMYFUNCTION("""COMPUTED_VALUE"""),"ОКС")</f>
        <v>ОКС</v>
      </c>
      <c r="D810" s="6"/>
      <c r="E810" s="14" t="str">
        <f>IFERROR(__xludf.DUMMYFUNCTION("""COMPUTED_VALUE"""),"ул. Полярная, з/у 4 (вл. 4) район Южное Медведково, Полярная ул., вл. 4")</f>
        <v>ул. Полярная, з/у 4 (вл. 4) район Южное Медведково, Полярная ул., вл. 4</v>
      </c>
      <c r="F810" s="25" t="str">
        <f>IFERROR(__xludf.DUMMYFUNCTION("""COMPUTED_VALUE"""),"55.872678")</f>
        <v>55.872678</v>
      </c>
      <c r="G810" s="6" t="str">
        <f>IFERROR(__xludf.DUMMYFUNCTION("""COMPUTED_VALUE"""),"37.638506")</f>
        <v>37.638506</v>
      </c>
      <c r="H810" s="18" t="str">
        <f>IFERROR(__xludf.DUMMYFUNCTION("""COMPUTED_VALUE"""),"https://docs.google.com/spreadsheets/d/1H1MjbG2y0oC0hhID4do1G0_gfyI1jag72lQd7nL3WDQ/edit?gid=617262299#gid=617262299")</f>
        <v>https://docs.google.com/spreadsheets/d/1H1MjbG2y0oC0hhID4do1G0_gfyI1jag72lQd7nL3WDQ/edit?gid=617262299#gid=617262299</v>
      </c>
      <c r="I810" s="19" t="str">
        <f>IFERROR(__xludf.DUMMYFUNCTION("""COMPUTED_VALUE"""),"https://disk.yandex.ru/client/disk/Осмотры%20объектов%20АНО%20СМГ/658.%20Полярная%20ул.%2C%20зу%204")</f>
        <v>https://disk.yandex.ru/client/disk/Осмотры%20объектов%20АНО%20СМГ/658.%20Полярная%20ул.%2C%20зу%204</v>
      </c>
      <c r="J810" s="50">
        <f>IFERROR(__xludf.DUMMYFUNCTION("""COMPUTED_VALUE"""),89.1828)</f>
        <v>89.1828</v>
      </c>
      <c r="K810" s="58">
        <f>IFERROR(__xludf.DUMMYFUNCTION("""COMPUTED_VALUE"""),45973.0)</f>
        <v>45973</v>
      </c>
      <c r="L810" s="6">
        <v>14.0</v>
      </c>
      <c r="M810" s="52">
        <v>45987.0</v>
      </c>
      <c r="N810" s="53" t="s">
        <v>711</v>
      </c>
      <c r="O810" s="19" t="s">
        <v>669</v>
      </c>
      <c r="P810" s="6"/>
      <c r="Q810" s="6"/>
      <c r="R810" s="6"/>
    </row>
    <row r="811">
      <c r="A811" s="31" t="str">
        <f>IFERROR(__xludf.DUMMYFUNCTION("""COMPUTED_VALUE"""),"794")</f>
        <v>794</v>
      </c>
      <c r="B811" s="14" t="str">
        <f>IFERROR(__xludf.DUMMYFUNCTION("""COMPUTED_VALUE"""),"РЕН-25")</f>
        <v>РЕН-25</v>
      </c>
      <c r="C811" s="14" t="str">
        <f>IFERROR(__xludf.DUMMYFUNCTION("""COMPUTED_VALUE"""),"ОКС")</f>
        <v>ОКС</v>
      </c>
      <c r="D811" s="6"/>
      <c r="E811" s="14" t="str">
        <f>IFERROR(__xludf.DUMMYFUNCTION("""COMPUTED_VALUE"""),"улица Полярная, з/у 17/1 (ул. Полярная, вл. 17, корп. 1) район Южное Медведково, ул. Полярная, вл. 17, корп. 1")</f>
        <v>улица Полярная, з/у 17/1 (ул. Полярная, вл. 17, корп. 1) район Южное Медведково, ул. Полярная, вл. 17, корп. 1</v>
      </c>
      <c r="F811" s="25" t="str">
        <f>IFERROR(__xludf.DUMMYFUNCTION("""COMPUTED_VALUE"""),"55.876455")</f>
        <v>55.876455</v>
      </c>
      <c r="G811" s="6" t="str">
        <f>IFERROR(__xludf.DUMMYFUNCTION("""COMPUTED_VALUE"""),"37.635792")</f>
        <v>37.635792</v>
      </c>
      <c r="H811" s="18" t="str">
        <f>IFERROR(__xludf.DUMMYFUNCTION("""COMPUTED_VALUE"""),"https://docs.google.com/spreadsheets/d/1H1MjbG2y0oC0hhID4do1G0_gfyI1jag72lQd7nL3WDQ/edit?gid=540934155#gid=540934155")</f>
        <v>https://docs.google.com/spreadsheets/d/1H1MjbG2y0oC0hhID4do1G0_gfyI1jag72lQd7nL3WDQ/edit?gid=540934155#gid=540934155</v>
      </c>
      <c r="I811" s="19" t="str">
        <f>IFERROR(__xludf.DUMMYFUNCTION("""COMPUTED_VALUE"""),"https://disk.yandex.ru/client/disk/Осмотры%20объектов%20АНО%20СМГ/794.%20Полярная%20ул.%2C%20зу%20вл.%2017%2C%20корп.%201")</f>
        <v>https://disk.yandex.ru/client/disk/Осмотры%20объектов%20АНО%20СМГ/794.%20Полярная%20ул.%2C%20зу%20вл.%2017%2C%20корп.%201</v>
      </c>
      <c r="J811" s="50">
        <f>IFERROR(__xludf.DUMMYFUNCTION("""COMPUTED_VALUE"""),49.272375)</f>
        <v>49.272375</v>
      </c>
      <c r="K811" s="58">
        <f>IFERROR(__xludf.DUMMYFUNCTION("""COMPUTED_VALUE"""),45973.0)</f>
        <v>45973</v>
      </c>
      <c r="L811" s="6">
        <v>30.0</v>
      </c>
      <c r="M811" s="52">
        <v>46003.0</v>
      </c>
      <c r="N811" s="53" t="s">
        <v>711</v>
      </c>
      <c r="O811" s="19" t="s">
        <v>669</v>
      </c>
      <c r="P811" s="6"/>
      <c r="Q811" s="6"/>
      <c r="R811" s="6"/>
    </row>
    <row r="812">
      <c r="A812" s="31" t="str">
        <f>IFERROR(__xludf.DUMMYFUNCTION("""COMPUTED_VALUE"""),"594")</f>
        <v>594</v>
      </c>
      <c r="B812" s="14" t="str">
        <f>IFERROR(__xludf.DUMMYFUNCTION("""COMPUTED_VALUE"""),"РЕН-25")</f>
        <v>РЕН-25</v>
      </c>
      <c r="C812" s="14" t="str">
        <f>IFERROR(__xludf.DUMMYFUNCTION("""COMPUTED_VALUE"""),"ОКС")</f>
        <v>ОКС</v>
      </c>
      <c r="D812" s="6"/>
      <c r="E812" s="14" t="str">
        <f>IFERROR(__xludf.DUMMYFUNCTION("""COMPUTED_VALUE"""),"улица Оренбургская, земельный участок 26 Район Косино-Ухтомский, ул. Оренбургская, вл. 26")</f>
        <v>улица Оренбургская, земельный участок 26 Район Косино-Ухтомский, ул. Оренбургская, вл. 26</v>
      </c>
      <c r="F812" s="25" t="str">
        <f>IFERROR(__xludf.DUMMYFUNCTION("""COMPUTED_VALUE"""),"55.710601")</f>
        <v>55.710601</v>
      </c>
      <c r="G812" s="6" t="str">
        <f>IFERROR(__xludf.DUMMYFUNCTION("""COMPUTED_VALUE"""),"37.865433")</f>
        <v>37.865433</v>
      </c>
      <c r="H812" s="18" t="str">
        <f>IFERROR(__xludf.DUMMYFUNCTION("""COMPUTED_VALUE"""),"https://docs.google.com/spreadsheets/d/1H1MjbG2y0oC0hhID4do1G0_gfyI1jag72lQd7nL3WDQ/edit?gid=984031511#gid=984031511")</f>
        <v>https://docs.google.com/spreadsheets/d/1H1MjbG2y0oC0hhID4do1G0_gfyI1jag72lQd7nL3WDQ/edit?gid=984031511#gid=984031511</v>
      </c>
      <c r="I812" s="19" t="str">
        <f>IFERROR(__xludf.DUMMYFUNCTION("""COMPUTED_VALUE"""),"https://disk.yandex.ru/client/disk/Осмотры%20объектов%20АНО%20СМГ/594%20район%20Косино-Ухтомский%2C%20Оренбургская%20ул.%2C%20вл.26")</f>
        <v>https://disk.yandex.ru/client/disk/Осмотры%20объектов%20АНО%20СМГ/594%20район%20Косино-Ухтомский%2C%20Оренбургская%20ул.%2C%20вл.26</v>
      </c>
      <c r="J812" s="50">
        <f>IFERROR(__xludf.DUMMYFUNCTION("""COMPUTED_VALUE"""),7.457999999999998)</f>
        <v>7.458</v>
      </c>
      <c r="K812" s="58">
        <f>IFERROR(__xludf.DUMMYFUNCTION("""COMPUTED_VALUE"""),45968.0)</f>
        <v>45968</v>
      </c>
      <c r="L812" s="6">
        <v>30.0</v>
      </c>
      <c r="M812" s="52">
        <v>45998.0</v>
      </c>
      <c r="N812" s="53" t="s">
        <v>711</v>
      </c>
      <c r="O812" s="19" t="s">
        <v>669</v>
      </c>
      <c r="P812" s="6"/>
      <c r="Q812" s="6"/>
      <c r="R812" s="6"/>
    </row>
    <row r="813">
      <c r="A813" s="31" t="str">
        <f>IFERROR(__xludf.DUMMYFUNCTION("""COMPUTED_VALUE"""),"585")</f>
        <v>585</v>
      </c>
      <c r="B813" s="14" t="str">
        <f>IFERROR(__xludf.DUMMYFUNCTION("""COMPUTED_VALUE"""),"РЕН-25")</f>
        <v>РЕН-25</v>
      </c>
      <c r="C813" s="14" t="str">
        <f>IFERROR(__xludf.DUMMYFUNCTION("""COMPUTED_VALUE"""),"ОКС")</f>
        <v>ОКС</v>
      </c>
      <c r="D813" s="6"/>
      <c r="E813" s="14" t="str">
        <f>IFERROR(__xludf.DUMMYFUNCTION("""COMPUTED_VALUE"""),"Петра Романова ул., вл. 10 район Южнопортовый, Петра Романова ул., вл. 10")</f>
        <v>Петра Романова ул., вл. 10 район Южнопортовый, Петра Романова ул., вл. 10</v>
      </c>
      <c r="F813" s="25" t="str">
        <f>IFERROR(__xludf.DUMMYFUNCTION("""COMPUTED_VALUE"""),"55.706644")</f>
        <v>55.706644</v>
      </c>
      <c r="G813" s="6" t="str">
        <f>IFERROR(__xludf.DUMMYFUNCTION("""COMPUTED_VALUE"""),"37.682224")</f>
        <v>37.682224</v>
      </c>
      <c r="H813" s="18" t="str">
        <f>IFERROR(__xludf.DUMMYFUNCTION("""COMPUTED_VALUE"""),"https://docs.google.com/spreadsheets/d/1H1MjbG2y0oC0hhID4do1G0_gfyI1jag72lQd7nL3WDQ/edit?gid=363267103#gid=363267103")</f>
        <v>https://docs.google.com/spreadsheets/d/1H1MjbG2y0oC0hhID4do1G0_gfyI1jag72lQd7nL3WDQ/edit?gid=363267103#gid=363267103</v>
      </c>
      <c r="I813" s="19" t="str">
        <f>IFERROR(__xludf.DUMMYFUNCTION("""COMPUTED_VALUE"""),"https://disk.yandex.ru/client/disk/Осмотры%20объектов%20АНО%20СМГ/585.%20Ул.%20Петра%20Романова%2C%20вл.%2010.%20Жилой%20дом.%20Реновация")</f>
        <v>https://disk.yandex.ru/client/disk/Осмотры%20объектов%20АНО%20СМГ/585.%20Ул.%20Петра%20Романова%2C%20вл.%2010.%20Жилой%20дом.%20Реновация</v>
      </c>
      <c r="J813" s="50">
        <f>IFERROR(__xludf.DUMMYFUNCTION("""COMPUTED_VALUE"""),48.19345499999999)</f>
        <v>48.193455</v>
      </c>
      <c r="K813" s="58">
        <f>IFERROR(__xludf.DUMMYFUNCTION("""COMPUTED_VALUE"""),45972.0)</f>
        <v>45972</v>
      </c>
      <c r="L813" s="6">
        <v>30.0</v>
      </c>
      <c r="M813" s="52">
        <v>46002.0</v>
      </c>
      <c r="N813" s="53" t="s">
        <v>711</v>
      </c>
      <c r="O813" s="19" t="s">
        <v>669</v>
      </c>
      <c r="P813" s="6"/>
      <c r="Q813" s="6"/>
      <c r="R813" s="6"/>
    </row>
    <row r="814">
      <c r="A814" s="31" t="str">
        <f>IFERROR(__xludf.DUMMYFUNCTION("""COMPUTED_VALUE"""),"651")</f>
        <v>651</v>
      </c>
      <c r="B814" s="14" t="str">
        <f>IFERROR(__xludf.DUMMYFUNCTION("""COMPUTED_VALUE"""),"РЕН-25")</f>
        <v>РЕН-25</v>
      </c>
      <c r="C814" s="14" t="str">
        <f>IFERROR(__xludf.DUMMYFUNCTION("""COMPUTED_VALUE"""),"ОКС")</f>
        <v>ОКС</v>
      </c>
      <c r="D814" s="6"/>
      <c r="E814" s="14" t="str">
        <f>IFERROR(__xludf.DUMMYFUNCTION("""COMPUTED_VALUE"""),"Лосевская ул., з/у 3А (Лосевская ул., вблизи д. 3) район Ярославский, ул. Лосевская, земельный участок 3А (Лосевская улица, вблизи д. 3)")</f>
        <v>Лосевская ул., з/у 3А (Лосевская ул., вблизи д. 3) район Ярославский, ул. Лосевская, земельный участок 3А (Лосевская улица, вблизи д. 3)</v>
      </c>
      <c r="F814" s="25" t="str">
        <f>IFERROR(__xludf.DUMMYFUNCTION("""COMPUTED_VALUE"""),"55.874863")</f>
        <v>55.874863</v>
      </c>
      <c r="G814" s="6" t="str">
        <f>IFERROR(__xludf.DUMMYFUNCTION("""COMPUTED_VALUE"""),"37.711992")</f>
        <v>37.711992</v>
      </c>
      <c r="H814" s="18" t="str">
        <f>IFERROR(__xludf.DUMMYFUNCTION("""COMPUTED_VALUE"""),"https://docs.google.com/spreadsheets/d/1H1MjbG2y0oC0hhID4do1G0_gfyI1jag72lQd7nL3WDQ/edit?gid=537197080#gid=537197080")</f>
        <v>https://docs.google.com/spreadsheets/d/1H1MjbG2y0oC0hhID4do1G0_gfyI1jag72lQd7nL3WDQ/edit?gid=537197080#gid=537197080</v>
      </c>
      <c r="I814" s="19" t="str">
        <f>IFERROR(__xludf.DUMMYFUNCTION("""COMPUTED_VALUE"""),"https://disk.yandex.ru/client/disk/Осмотры%20объектов%20АНО%20СМГ/651Рн%20Ярославский%20ул%20%20Лосевская%20ЗУ%203А")</f>
        <v>https://disk.yandex.ru/client/disk/Осмотры%20объектов%20АНО%20СМГ/651Рн%20Ярославский%20ул%20%20Лосевская%20ЗУ%203А</v>
      </c>
      <c r="J814" s="50">
        <f>IFERROR(__xludf.DUMMYFUNCTION("""COMPUTED_VALUE"""),70.14165000000001)</f>
        <v>70.14165</v>
      </c>
      <c r="K814" s="58">
        <f>IFERROR(__xludf.DUMMYFUNCTION("""COMPUTED_VALUE"""),45961.0)</f>
        <v>45961</v>
      </c>
      <c r="L814" s="6">
        <v>14.0</v>
      </c>
      <c r="M814" s="52">
        <v>45975.0</v>
      </c>
      <c r="N814" s="53" t="s">
        <v>701</v>
      </c>
      <c r="O814" s="19" t="s">
        <v>669</v>
      </c>
      <c r="P814" s="6"/>
      <c r="Q814" s="6"/>
      <c r="R814" s="6"/>
    </row>
    <row r="815">
      <c r="A815" s="31" t="str">
        <f>IFERROR(__xludf.DUMMYFUNCTION("""COMPUTED_VALUE"""),"570")</f>
        <v>570</v>
      </c>
      <c r="B815" s="14" t="str">
        <f>IFERROR(__xludf.DUMMYFUNCTION("""COMPUTED_VALUE"""),"РЕН-25")</f>
        <v>РЕН-25</v>
      </c>
      <c r="C815" s="14" t="str">
        <f>IFERROR(__xludf.DUMMYFUNCTION("""COMPUTED_VALUE"""),"ОКС")</f>
        <v>ОКС</v>
      </c>
      <c r="D815" s="6"/>
      <c r="E815" s="14" t="str">
        <f>IFERROR(__xludf.DUMMYFUNCTION("""COMPUTED_VALUE"""),"   Кавказский бул-р, з/у 27 (участок 4.4) район Царицыно, Кавказский бульвар, з/у 27 (участок 4.4)")</f>
        <v>   Кавказский бул-р, з/у 27 (участок 4.4) район Царицыно, Кавказский бульвар, з/у 27 (участок 4.4)</v>
      </c>
      <c r="F815" s="25" t="str">
        <f>IFERROR(__xludf.DUMMYFUNCTION("""COMPUTED_VALUE"""),"55.629672")</f>
        <v>55.629672</v>
      </c>
      <c r="G815" s="6" t="str">
        <f>IFERROR(__xludf.DUMMYFUNCTION("""COMPUTED_VALUE"""),"37.665654")</f>
        <v>37.665654</v>
      </c>
      <c r="H815" s="18" t="str">
        <f>IFERROR(__xludf.DUMMYFUNCTION("""COMPUTED_VALUE"""),"https://docs.google.com/spreadsheets/d/1H1MjbG2y0oC0hhID4do1G0_gfyI1jag72lQd7nL3WDQ/edit?gid=232049031#gid=232049031")</f>
        <v>https://docs.google.com/spreadsheets/d/1H1MjbG2y0oC0hhID4do1G0_gfyI1jag72lQd7nL3WDQ/edit?gid=232049031#gid=232049031</v>
      </c>
      <c r="I815" s="19" t="str">
        <f>IFERROR(__xludf.DUMMYFUNCTION("""COMPUTED_VALUE"""),"https://disk.yandex.ru/client/disk/Осмотры%20объектов%20АНО%20СМГ/570.%20Кавказский%20бульвар%2027%2C%20зона%204.4")</f>
        <v>https://disk.yandex.ru/client/disk/Осмотры%20объектов%20АНО%20СМГ/570.%20Кавказский%20бульвар%2027%2C%20зона%204.4</v>
      </c>
      <c r="J815" s="50">
        <f>IFERROR(__xludf.DUMMYFUNCTION("""COMPUTED_VALUE"""),68.401575)</f>
        <v>68.401575</v>
      </c>
      <c r="K815" s="58">
        <f>IFERROR(__xludf.DUMMYFUNCTION("""COMPUTED_VALUE"""),45967.0)</f>
        <v>45967</v>
      </c>
      <c r="L815" s="6">
        <v>14.0</v>
      </c>
      <c r="M815" s="52">
        <v>45981.0</v>
      </c>
      <c r="N815" s="53" t="s">
        <v>741</v>
      </c>
      <c r="O815" s="19" t="s">
        <v>1106</v>
      </c>
      <c r="P815" s="6"/>
      <c r="Q815" s="6"/>
      <c r="R815" s="6"/>
    </row>
    <row r="816">
      <c r="A816" s="31" t="str">
        <f>IFERROR(__xludf.DUMMYFUNCTION("""COMPUTED_VALUE"""),"590")</f>
        <v>590</v>
      </c>
      <c r="B816" s="14" t="str">
        <f>IFERROR(__xludf.DUMMYFUNCTION("""COMPUTED_VALUE"""),"РЕН-25")</f>
        <v>РЕН-25</v>
      </c>
      <c r="C816" s="14" t="str">
        <f>IFERROR(__xludf.DUMMYFUNCTION("""COMPUTED_VALUE"""),"ОКС")</f>
        <v>ОКС</v>
      </c>
      <c r="D816" s="6"/>
      <c r="E816" s="14" t="str">
        <f>IFERROR(__xludf.DUMMYFUNCTION("""COMPUTED_VALUE"""),"Гаражная ул., вл. 3 район Соколиная Гора, ул. Гаражная, вл. 3")</f>
        <v>Гаражная ул., вл. 3 район Соколиная Гора, ул. Гаражная, вл. 3</v>
      </c>
      <c r="F816" s="25" t="str">
        <f>IFERROR(__xludf.DUMMYFUNCTION("""COMPUTED_VALUE"""),"55.759827")</f>
        <v>55.759827</v>
      </c>
      <c r="G816" s="6" t="str">
        <f>IFERROR(__xludf.DUMMYFUNCTION("""COMPUTED_VALUE"""),"37.742502")</f>
        <v>37.742502</v>
      </c>
      <c r="H816" s="18" t="str">
        <f>IFERROR(__xludf.DUMMYFUNCTION("""COMPUTED_VALUE"""),"https://docs.google.com/spreadsheets/d/1H1MjbG2y0oC0hhID4do1G0_gfyI1jag72lQd7nL3WDQ/edit?gid=945188652#gid=945188652")</f>
        <v>https://docs.google.com/spreadsheets/d/1H1MjbG2y0oC0hhID4do1G0_gfyI1jag72lQd7nL3WDQ/edit?gid=945188652#gid=945188652</v>
      </c>
      <c r="I816" s="19" t="str">
        <f>IFERROR(__xludf.DUMMYFUNCTION("""COMPUTED_VALUE"""),"https://disk.yandex.ru/client/disk/Осмотры%20объектов%20АНО%20СМГ/590.%20Соколиная%20Гора%2C%20Гаражная%20ул%2C%20вл3")</f>
        <v>https://disk.yandex.ru/client/disk/Осмотры%20объектов%20АНО%20СМГ/590.%20Соколиная%20Гора%2C%20Гаражная%20ул%2C%20вл3</v>
      </c>
      <c r="J816" s="50">
        <f>IFERROR(__xludf.DUMMYFUNCTION("""COMPUTED_VALUE"""),66.74427)</f>
        <v>66.74427</v>
      </c>
      <c r="K816" s="58">
        <f>IFERROR(__xludf.DUMMYFUNCTION("""COMPUTED_VALUE"""),45972.0)</f>
        <v>45972</v>
      </c>
      <c r="L816" s="6">
        <v>14.0</v>
      </c>
      <c r="M816" s="52">
        <v>45986.0</v>
      </c>
      <c r="N816" s="53" t="s">
        <v>711</v>
      </c>
      <c r="O816" s="19" t="s">
        <v>1142</v>
      </c>
      <c r="P816" s="6"/>
      <c r="Q816" s="6"/>
      <c r="R816" s="6"/>
    </row>
    <row r="817">
      <c r="A817" s="31" t="str">
        <f>IFERROR(__xludf.DUMMYFUNCTION("""COMPUTED_VALUE"""),"725")</f>
        <v>725</v>
      </c>
      <c r="B817" s="14" t="str">
        <f>IFERROR(__xludf.DUMMYFUNCTION("""COMPUTED_VALUE"""),"РЕН-25")</f>
        <v>РЕН-25</v>
      </c>
      <c r="C817" s="14" t="str">
        <f>IFERROR(__xludf.DUMMYFUNCTION("""COMPUTED_VALUE"""),"ОКС")</f>
        <v>ОКС</v>
      </c>
      <c r="D817" s="6"/>
      <c r="E817" s="14" t="str">
        <f>IFERROR(__xludf.DUMMYFUNCTION("""COMPUTED_VALUE"""),"г. Зеленоград, Панфиловский просп., з/у 927 (Зеленоград, вл.927) район Старое Крюково, Панфиловский проспект, зу 927)")</f>
        <v>г. Зеленоград, Панфиловский просп., з/у 927 (Зеленоград, вл.927) район Старое Крюково, Панфиловский проспект, зу 927)</v>
      </c>
      <c r="F817" s="25" t="str">
        <f>IFERROR(__xludf.DUMMYFUNCTION("""COMPUTED_VALUE"""),"55.983509")</f>
        <v>55.983509</v>
      </c>
      <c r="G817" s="6" t="str">
        <f>IFERROR(__xludf.DUMMYFUNCTION("""COMPUTED_VALUE"""),"37.182949")</f>
        <v>37.182949</v>
      </c>
      <c r="H817" s="18" t="str">
        <f>IFERROR(__xludf.DUMMYFUNCTION("""COMPUTED_VALUE"""),"https://docs.google.com/spreadsheets/d/1H1MjbG2y0oC0hhID4do1G0_gfyI1jag72lQd7nL3WDQ/edit?gid=1715541541#gid=1715541541")</f>
        <v>https://docs.google.com/spreadsheets/d/1H1MjbG2y0oC0hhID4do1G0_gfyI1jag72lQd7nL3WDQ/edit?gid=1715541541#gid=1715541541</v>
      </c>
      <c r="I817" s="19" t="str">
        <f>IFERROR(__xludf.DUMMYFUNCTION("""COMPUTED_VALUE"""),"https://disk.yandex.ru/client/disk/Осмотры%20объектов%20АНО%20СМГ/725%20%20Панфиловский%20проспект%2C%20зу%20927")</f>
        <v>https://disk.yandex.ru/client/disk/Осмотры%20объектов%20АНО%20СМГ/725%20%20Панфиловский%20проспект%2C%20зу%20927</v>
      </c>
      <c r="J817" s="50">
        <f>IFERROR(__xludf.DUMMYFUNCTION("""COMPUTED_VALUE"""),48.80105999999999)</f>
        <v>48.80106</v>
      </c>
      <c r="K817" s="58">
        <f>IFERROR(__xludf.DUMMYFUNCTION("""COMPUTED_VALUE"""),45972.0)</f>
        <v>45972</v>
      </c>
      <c r="L817" s="6">
        <v>30.0</v>
      </c>
      <c r="M817" s="52">
        <v>46002.0</v>
      </c>
      <c r="N817" s="53" t="s">
        <v>711</v>
      </c>
      <c r="O817" s="19" t="s">
        <v>1106</v>
      </c>
      <c r="P817" s="6"/>
      <c r="Q817" s="6"/>
      <c r="R817" s="6"/>
    </row>
    <row r="818">
      <c r="A818" s="31" t="str">
        <f>IFERROR(__xludf.DUMMYFUNCTION("""COMPUTED_VALUE"""),"963")</f>
        <v>963</v>
      </c>
      <c r="B818" s="14" t="str">
        <f>IFERROR(__xludf.DUMMYFUNCTION("""COMPUTED_VALUE"""),"РЕН-25")</f>
        <v>РЕН-25</v>
      </c>
      <c r="C818" s="14" t="str">
        <f>IFERROR(__xludf.DUMMYFUNCTION("""COMPUTED_VALUE"""),"ОКС")</f>
        <v>ОКС</v>
      </c>
      <c r="D818" s="6"/>
      <c r="E818" s="14" t="str">
        <f>IFERROR(__xludf.DUMMYFUNCTION("""COMPUTED_VALUE"""),"ул. Михалковская, вл. 48, корп. 5, секции 3, 4 район Головинский, ул. Михалковская, вл. 48, корп. 5, секция 3, 4")</f>
        <v>ул. Михалковская, вл. 48, корп. 5, секции 3, 4 район Головинский, ул. Михалковская, вл. 48, корп. 5, секция 3, 4</v>
      </c>
      <c r="F818" s="25" t="str">
        <f>IFERROR(__xludf.DUMMYFUNCTION("""COMPUTED_VALUE"""),"55.839462")</f>
        <v>55.839462</v>
      </c>
      <c r="G818" s="6" t="str">
        <f>IFERROR(__xludf.DUMMYFUNCTION("""COMPUTED_VALUE"""),"37.515006")</f>
        <v>37.515006</v>
      </c>
      <c r="H818" s="18" t="str">
        <f>IFERROR(__xludf.DUMMYFUNCTION("""COMPUTED_VALUE"""),"https://docs.google.com/spreadsheets/d/1H1MjbG2y0oC0hhID4do1G0_gfyI1jag72lQd7nL3WDQ/edit?gid=444310098#gid=444310098")</f>
        <v>https://docs.google.com/spreadsheets/d/1H1MjbG2y0oC0hhID4do1G0_gfyI1jag72lQd7nL3WDQ/edit?gid=444310098#gid=444310098</v>
      </c>
      <c r="I818" s="19" t="str">
        <f>IFERROR(__xludf.DUMMYFUNCTION("""COMPUTED_VALUE"""),"https://disk.yandex.ru/client/disk/Осмотры%20объектов%20АНО%20СМГ/963.%20Михалковская%20ул.%2C%20вл.%2048%2C%20Корп.%205%2C%20секция%203%2C%204")</f>
        <v>https://disk.yandex.ru/client/disk/Осмотры%20объектов%20АНО%20СМГ/963.%20Михалковская%20ул.%2C%20вл.%2048%2C%20Корп.%205%2C%20секция%203%2C%204</v>
      </c>
      <c r="J818" s="50">
        <f>IFERROR(__xludf.DUMMYFUNCTION("""COMPUTED_VALUE"""),80.10817499999999)</f>
        <v>80.108175</v>
      </c>
      <c r="K818" s="58">
        <f>IFERROR(__xludf.DUMMYFUNCTION("""COMPUTED_VALUE"""),45968.0)</f>
        <v>45968</v>
      </c>
      <c r="L818" s="6">
        <v>14.0</v>
      </c>
      <c r="M818" s="52">
        <v>45982.0</v>
      </c>
      <c r="N818" s="53" t="s">
        <v>692</v>
      </c>
      <c r="O818" s="19" t="s">
        <v>669</v>
      </c>
      <c r="P818" s="6"/>
      <c r="Q818" s="6"/>
      <c r="R818" s="6"/>
    </row>
    <row r="819">
      <c r="A819" s="31" t="str">
        <f>IFERROR(__xludf.DUMMYFUNCTION("""COMPUTED_VALUE"""),"631")</f>
        <v>631</v>
      </c>
      <c r="B819" s="14" t="str">
        <f>IFERROR(__xludf.DUMMYFUNCTION("""COMPUTED_VALUE"""),"РЕН-25")</f>
        <v>РЕН-25</v>
      </c>
      <c r="C819" s="14" t="str">
        <f>IFERROR(__xludf.DUMMYFUNCTION("""COMPUTED_VALUE"""),"ОКС")</f>
        <v>ОКС</v>
      </c>
      <c r="D819" s="6"/>
      <c r="E819" s="14" t="str">
        <f>IFERROR(__xludf.DUMMYFUNCTION("""COMPUTED_VALUE"""),"Ярославская ул., з/у 2/1 район Алексеевский, Ярославская ул., з/у 2/1")</f>
        <v>Ярославская ул., з/у 2/1 район Алексеевский, Ярославская ул., з/у 2/1</v>
      </c>
      <c r="F819" s="25" t="str">
        <f>IFERROR(__xludf.DUMMYFUNCTION("""COMPUTED_VALUE"""),"55.813806")</f>
        <v>55.813806</v>
      </c>
      <c r="G819" s="6" t="str">
        <f>IFERROR(__xludf.DUMMYFUNCTION("""COMPUTED_VALUE"""),"37.647062")</f>
        <v>37.647062</v>
      </c>
      <c r="H819" s="18" t="str">
        <f>IFERROR(__xludf.DUMMYFUNCTION("""COMPUTED_VALUE"""),"https://docs.google.com/spreadsheets/d/1H1MjbG2y0oC0hhID4do1G0_gfyI1jag72lQd7nL3WDQ/edit?gid=1988948543#gid=1988948543")</f>
        <v>https://docs.google.com/spreadsheets/d/1H1MjbG2y0oC0hhID4do1G0_gfyI1jag72lQd7nL3WDQ/edit?gid=1988948543#gid=1988948543</v>
      </c>
      <c r="I819" s="19" t="str">
        <f>IFERROR(__xludf.DUMMYFUNCTION("""COMPUTED_VALUE"""),"https://disk.yandex.ru/client/disk/Осмотры%20объектов%20АНО%20СМГ/631.%20Ярославская%20ул.%2C%20зу%202-1")</f>
        <v>https://disk.yandex.ru/client/disk/Осмотры%20объектов%20АНО%20СМГ/631.%20Ярославская%20ул.%2C%20зу%202-1</v>
      </c>
      <c r="J819" s="50">
        <f>IFERROR(__xludf.DUMMYFUNCTION("""COMPUTED_VALUE"""),80.36232)</f>
        <v>80.36232</v>
      </c>
      <c r="K819" s="58">
        <f>IFERROR(__xludf.DUMMYFUNCTION("""COMPUTED_VALUE"""),45973.0)</f>
        <v>45973</v>
      </c>
      <c r="L819" s="6">
        <v>14.0</v>
      </c>
      <c r="M819" s="52">
        <v>45987.0</v>
      </c>
      <c r="N819" s="53" t="s">
        <v>711</v>
      </c>
      <c r="O819" s="19" t="s">
        <v>669</v>
      </c>
      <c r="P819" s="6"/>
      <c r="Q819" s="6"/>
      <c r="R819" s="6"/>
    </row>
    <row r="820">
      <c r="A820" s="31" t="str">
        <f>IFERROR(__xludf.DUMMYFUNCTION("""COMPUTED_VALUE"""),"542")</f>
        <v>542</v>
      </c>
      <c r="B820" s="14" t="str">
        <f>IFERROR(__xludf.DUMMYFUNCTION("""COMPUTED_VALUE"""),"РЕН-25")</f>
        <v>РЕН-25</v>
      </c>
      <c r="C820" s="14" t="str">
        <f>IFERROR(__xludf.DUMMYFUNCTION("""COMPUTED_VALUE"""),"ОКС")</f>
        <v>ОКС</v>
      </c>
      <c r="D820" s="6"/>
      <c r="E820" s="14" t="str">
        <f>IFERROR(__xludf.DUMMYFUNCTION("""COMPUTED_VALUE"""),"11-я Парковая улица, земельный участок 55/1 (вл. 55) (зона 72.2 (к. 38)) район Северное Измайлово, 11-я Парковая ул., земельный участок 55/1 (11-я Парковая ул., вл. 55) (зона 72.2 (к.38))")</f>
        <v>11-я Парковая улица, земельный участок 55/1 (вл. 55) (зона 72.2 (к. 38)) район Северное Измайлово, 11-я Парковая ул., земельный участок 55/1 (11-я Парковая ул., вл. 55) (зона 72.2 (к.38))</v>
      </c>
      <c r="F820" s="25" t="str">
        <f>IFERROR(__xludf.DUMMYFUNCTION("""COMPUTED_VALUE"""),"55.808673")</f>
        <v>55.808673</v>
      </c>
      <c r="G820" s="6" t="str">
        <f>IFERROR(__xludf.DUMMYFUNCTION("""COMPUTED_VALUE"""),"37.802970")</f>
        <v>37.802970</v>
      </c>
      <c r="H820" s="18" t="str">
        <f>IFERROR(__xludf.DUMMYFUNCTION("""COMPUTED_VALUE"""),"https://docs.google.com/spreadsheets/d/1H1MjbG2y0oC0hhID4do1G0_gfyI1jag72lQd7nL3WDQ/edit?gid=1320846516#gid=1320846516")</f>
        <v>https://docs.google.com/spreadsheets/d/1H1MjbG2y0oC0hhID4do1G0_gfyI1jag72lQd7nL3WDQ/edit?gid=1320846516#gid=1320846516</v>
      </c>
      <c r="I820" s="19" t="str">
        <f>IFERROR(__xludf.DUMMYFUNCTION("""COMPUTED_VALUE"""),"https://disk.yandex.ru/client/disk/Осмотры%20объектов%20АНО%20СМГ/542.%20Северное%20Измайлово%2C%2011-я%20Парковая%20ул.%2055")</f>
        <v>https://disk.yandex.ru/client/disk/Осмотры%20объектов%20АНО%20СМГ/542.%20Северное%20Измайлово%2C%2011-я%20Парковая%20ул.%2055</v>
      </c>
      <c r="J820" s="50">
        <f>IFERROR(__xludf.DUMMYFUNCTION("""COMPUTED_VALUE"""),65.12567999999999)</f>
        <v>65.12568</v>
      </c>
      <c r="K820" s="58">
        <f>IFERROR(__xludf.DUMMYFUNCTION("""COMPUTED_VALUE"""),45973.0)</f>
        <v>45973</v>
      </c>
      <c r="L820" s="6">
        <v>14.0</v>
      </c>
      <c r="M820" s="52">
        <v>45987.0</v>
      </c>
      <c r="N820" s="53" t="s">
        <v>711</v>
      </c>
      <c r="O820" s="19" t="s">
        <v>669</v>
      </c>
      <c r="P820" s="6"/>
      <c r="Q820" s="6"/>
      <c r="R820" s="6"/>
    </row>
    <row r="821">
      <c r="A821" s="31" t="str">
        <f>IFERROR(__xludf.DUMMYFUNCTION("""COMPUTED_VALUE"""),"713")</f>
        <v>713</v>
      </c>
      <c r="B821" s="14" t="str">
        <f>IFERROR(__xludf.DUMMYFUNCTION("""COMPUTED_VALUE"""),"РЕН-26")</f>
        <v>РЕН-26</v>
      </c>
      <c r="C821" s="14" t="str">
        <f>IFERROR(__xludf.DUMMYFUNCTION("""COMPUTED_VALUE"""),"ОКС")</f>
        <v>ОКС</v>
      </c>
      <c r="D821" s="6"/>
      <c r="E821" s="14" t="str">
        <f>IFERROR(__xludf.DUMMYFUNCTION("""COMPUTED_VALUE"""),"Веерная улица, земельный участок 28А район Очаково-Матвеевское, ул. Веерная, вл. 28А")</f>
        <v>Веерная улица, земельный участок 28А район Очаково-Матвеевское, ул. Веерная, вл. 28А</v>
      </c>
      <c r="F821" s="25" t="str">
        <f>IFERROR(__xludf.DUMMYFUNCTION("""COMPUTED_VALUE"""),"55.710226")</f>
        <v>55.710226</v>
      </c>
      <c r="G821" s="6" t="str">
        <f>IFERROR(__xludf.DUMMYFUNCTION("""COMPUTED_VALUE"""),"37.480970")</f>
        <v>37.480970</v>
      </c>
      <c r="H821" s="18" t="str">
        <f>IFERROR(__xludf.DUMMYFUNCTION("""COMPUTED_VALUE"""),"https://docs.google.com/spreadsheets/d/1rbCD10ySi4YZEkJW2_Slmn9z7AI1WEsGsZaIJmnnT18/edit?gid=1754531219#gid=1754531219")</f>
        <v>https://docs.google.com/spreadsheets/d/1rbCD10ySi4YZEkJW2_Slmn9z7AI1WEsGsZaIJmnnT18/edit?gid=1754531219#gid=1754531219</v>
      </c>
      <c r="I821" s="19" t="str">
        <f>IFERROR(__xludf.DUMMYFUNCTION("""COMPUTED_VALUE"""),"https://disk.yandex.ru/client/disk/Осмотры%20объектов%20АНО%20СМГ/713.%20Жилой%20дом%20ул.%20Веерная%2028а")</f>
        <v>https://disk.yandex.ru/client/disk/Осмотры%20объектов%20АНО%20СМГ/713.%20Жилой%20дом%20ул.%20Веерная%2028а</v>
      </c>
      <c r="J821" s="50">
        <f>IFERROR(__xludf.DUMMYFUNCTION("""COMPUTED_VALUE"""),30.530399999999997)</f>
        <v>30.5304</v>
      </c>
      <c r="K821" s="58">
        <f>IFERROR(__xludf.DUMMYFUNCTION("""COMPUTED_VALUE"""),45960.0)</f>
        <v>45960</v>
      </c>
      <c r="L821" s="6">
        <v>30.0</v>
      </c>
      <c r="M821" s="52">
        <v>45990.0</v>
      </c>
      <c r="N821" s="53" t="s">
        <v>692</v>
      </c>
      <c r="O821" s="19" t="s">
        <v>669</v>
      </c>
      <c r="P821" s="6"/>
      <c r="Q821" s="6"/>
      <c r="R821" s="6"/>
    </row>
    <row r="822">
      <c r="A822" s="31" t="str">
        <f>IFERROR(__xludf.DUMMYFUNCTION("""COMPUTED_VALUE"""),"513")</f>
        <v>513</v>
      </c>
      <c r="B822" s="14" t="str">
        <f>IFERROR(__xludf.DUMMYFUNCTION("""COMPUTED_VALUE"""),"РЕН-26")</f>
        <v>РЕН-26</v>
      </c>
      <c r="C822" s="14" t="str">
        <f>IFERROR(__xludf.DUMMYFUNCTION("""COMPUTED_VALUE"""),"ОКС")</f>
        <v>ОКС</v>
      </c>
      <c r="D822" s="6"/>
      <c r="E822" s="14" t="str">
        <f>IFERROR(__xludf.DUMMYFUNCTION("""COMPUTED_VALUE"""),"Жилой дом с инженерными сетями и благоустройством территории, ВАО, район Метрогородок, ш. Открытое, влд. 28/3 (Открытое шоссе, вл. 28, корп. 3) ш. Открытое, влд. 28/3")</f>
        <v>Жилой дом с инженерными сетями и благоустройством территории, ВАО, район Метрогородок, ш. Открытое, влд. 28/3 (Открытое шоссе, вл. 28, корп. 3) ш. Открытое, влд. 28/3</v>
      </c>
      <c r="F822" s="25" t="str">
        <f>IFERROR(__xludf.DUMMYFUNCTION("""COMPUTED_VALUE"""),"55.827838")</f>
        <v>55.827838</v>
      </c>
      <c r="G822" s="6" t="str">
        <f>IFERROR(__xludf.DUMMYFUNCTION("""COMPUTED_VALUE"""),"37.768921")</f>
        <v>37.768921</v>
      </c>
      <c r="H822" s="18" t="str">
        <f>IFERROR(__xludf.DUMMYFUNCTION("""COMPUTED_VALUE"""),"https://docs.google.com/spreadsheets/d/1rbCD10ySi4YZEkJW2_Slmn9z7AI1WEsGsZaIJmnnT18/edit?gid=478234873#gid=478234873")</f>
        <v>https://docs.google.com/spreadsheets/d/1rbCD10ySi4YZEkJW2_Slmn9z7AI1WEsGsZaIJmnnT18/edit?gid=478234873#gid=478234873</v>
      </c>
      <c r="I822" s="19" t="str">
        <f>IFERROR(__xludf.DUMMYFUNCTION("""COMPUTED_VALUE"""),"https://disk.yandex.ru/client/disk/Осмотры%20объектов%20АНО%20СМГ/513.%20Метрогородок%2C%20Открытое%20шоссе%20вл.28%20корп%203")</f>
        <v>https://disk.yandex.ru/client/disk/Осмотры%20объектов%20АНО%20СМГ/513.%20Метрогородок%2C%20Открытое%20шоссе%20вл.28%20корп%203</v>
      </c>
      <c r="J822" s="50">
        <f>IFERROR(__xludf.DUMMYFUNCTION("""COMPUTED_VALUE"""),72.36836999999998)</f>
        <v>72.36837</v>
      </c>
      <c r="K822" s="58">
        <f>IFERROR(__xludf.DUMMYFUNCTION("""COMPUTED_VALUE"""),45973.0)</f>
        <v>45973</v>
      </c>
      <c r="L822" s="6">
        <v>14.0</v>
      </c>
      <c r="M822" s="52">
        <v>45987.0</v>
      </c>
      <c r="N822" s="53" t="s">
        <v>711</v>
      </c>
      <c r="O822" s="19" t="s">
        <v>1143</v>
      </c>
      <c r="P822" s="6"/>
      <c r="Q822" s="6"/>
      <c r="R822" s="6"/>
    </row>
    <row r="823">
      <c r="A823" s="31" t="str">
        <f>IFERROR(__xludf.DUMMYFUNCTION("""COMPUTED_VALUE"""),"552")</f>
        <v>552</v>
      </c>
      <c r="B823" s="14" t="str">
        <f>IFERROR(__xludf.DUMMYFUNCTION("""COMPUTED_VALUE"""),"РЕН-26")</f>
        <v>РЕН-26</v>
      </c>
      <c r="C823" s="14" t="str">
        <f>IFERROR(__xludf.DUMMYFUNCTION("""COMPUTED_VALUE"""),"ОКС")</f>
        <v>ОКС</v>
      </c>
      <c r="D823" s="6"/>
      <c r="E823" s="14" t="str">
        <f>IFERROR(__xludf.DUMMYFUNCTION("""COMPUTED_VALUE"""),"Жилой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f>
        <v>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v>
      </c>
      <c r="F823" s="25" t="str">
        <f>IFERROR(__xludf.DUMMYFUNCTION("""COMPUTED_VALUE"""),"55.824779")</f>
        <v>55.824779</v>
      </c>
      <c r="G823" s="6" t="str">
        <f>IFERROR(__xludf.DUMMYFUNCTION("""COMPUTED_VALUE"""),"37.762614")</f>
        <v>37.762614</v>
      </c>
      <c r="H823" s="18" t="str">
        <f>IFERROR(__xludf.DUMMYFUNCTION("""COMPUTED_VALUE"""),"https://docs.google.com/spreadsheets/d/1rbCD10ySi4YZEkJW2_Slmn9z7AI1WEsGsZaIJmnnT18/edit?gid=235307605#gid=235307605")</f>
        <v>https://docs.google.com/spreadsheets/d/1rbCD10ySi4YZEkJW2_Slmn9z7AI1WEsGsZaIJmnnT18/edit?gid=235307605#gid=235307605</v>
      </c>
      <c r="I823" s="19" t="str">
        <f>IFERROR(__xludf.DUMMYFUNCTION("""COMPUTED_VALUE"""),"https://disk.yandex.ru/client/disk/Осмотры%20объектов%20АНО%20СМГ/552.%20ВАО%2C%20Метрогородок%2C%20Открытое%20шоссе%2C%20зу%2026_3")</f>
        <v>https://disk.yandex.ru/client/disk/Осмотры%20объектов%20АНО%20СМГ/552.%20ВАО%2C%20Метрогородок%2C%20Открытое%20шоссе%2C%20зу%2026_3</v>
      </c>
      <c r="J823" s="50">
        <f>IFERROR(__xludf.DUMMYFUNCTION("""COMPUTED_VALUE"""),63.392325)</f>
        <v>63.392325</v>
      </c>
      <c r="K823" s="58">
        <f>IFERROR(__xludf.DUMMYFUNCTION("""COMPUTED_VALUE"""),45973.0)</f>
        <v>45973</v>
      </c>
      <c r="L823" s="6">
        <v>14.0</v>
      </c>
      <c r="M823" s="52">
        <v>45987.0</v>
      </c>
      <c r="N823" s="53" t="s">
        <v>711</v>
      </c>
      <c r="O823" s="19" t="s">
        <v>669</v>
      </c>
      <c r="P823" s="6"/>
      <c r="Q823" s="6"/>
      <c r="R823" s="6"/>
    </row>
    <row r="824">
      <c r="A824" s="31" t="str">
        <f>IFERROR(__xludf.DUMMYFUNCTION("""COMPUTED_VALUE"""),"700")</f>
        <v>700</v>
      </c>
      <c r="B824" s="14" t="str">
        <f>IFERROR(__xludf.DUMMYFUNCTION("""COMPUTED_VALUE"""),"РЕН-26")</f>
        <v>РЕН-26</v>
      </c>
      <c r="C824" s="14" t="str">
        <f>IFERROR(__xludf.DUMMYFUNCTION("""COMPUTED_VALUE"""),"ОКС")</f>
        <v>ОКС</v>
      </c>
      <c r="D824" s="6"/>
      <c r="E824" s="14" t="str">
        <f>IFERROR(__xludf.DUMMYFUNCTION("""COMPUTED_VALUE"""),"Жилой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f>
        <v>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v>
      </c>
      <c r="F824" s="25" t="str">
        <f>IFERROR(__xludf.DUMMYFUNCTION("""COMPUTED_VALUE"""),"55.684985")</f>
        <v>55.684985</v>
      </c>
      <c r="G824" s="6" t="str">
        <f>IFERROR(__xludf.DUMMYFUNCTION("""COMPUTED_VALUE"""),"37.624634")</f>
        <v>37.624634</v>
      </c>
      <c r="H824" s="18" t="str">
        <f>IFERROR(__xludf.DUMMYFUNCTION("""COMPUTED_VALUE"""),"https://docs.google.com/spreadsheets/d/1rbCD10ySi4YZEkJW2_Slmn9z7AI1WEsGsZaIJmnnT18/edit?gid=732973558#gid=732973558")</f>
        <v>https://docs.google.com/spreadsheets/d/1rbCD10ySi4YZEkJW2_Slmn9z7AI1WEsGsZaIJmnnT18/edit?gid=732973558#gid=732973558</v>
      </c>
      <c r="I824" s="19" t="str">
        <f>IFERROR(__xludf.DUMMYFUNCTION("""COMPUTED_VALUE"""),"https://disk.yandex.ru/client/disk/Осмотры%20объектов%20АНО%20СМГ/700.%20Нагатинская%20ул.%20вл.%201.%20Жилой%09дом")</f>
        <v>https://disk.yandex.ru/client/disk/Осмотры%20объектов%20АНО%20СМГ/700.%20Нагатинская%20ул.%20вл.%201.%20Жилой%09дом</v>
      </c>
      <c r="J824" s="50">
        <f>IFERROR(__xludf.DUMMYFUNCTION("""COMPUTED_VALUE"""),25.334999999999997)</f>
        <v>25.335</v>
      </c>
      <c r="K824" s="58">
        <f>IFERROR(__xludf.DUMMYFUNCTION("""COMPUTED_VALUE"""),45953.0)</f>
        <v>45953</v>
      </c>
      <c r="L824" s="6">
        <v>30.0</v>
      </c>
      <c r="M824" s="52">
        <v>45983.0</v>
      </c>
      <c r="N824" s="53" t="s">
        <v>741</v>
      </c>
      <c r="O824" s="19" t="s">
        <v>1144</v>
      </c>
      <c r="P824" s="6"/>
      <c r="Q824" s="6"/>
      <c r="R824" s="6"/>
    </row>
    <row r="825">
      <c r="A825" s="31" t="str">
        <f>IFERROR(__xludf.DUMMYFUNCTION("""COMPUTED_VALUE"""),"844")</f>
        <v>844</v>
      </c>
      <c r="B825" s="14" t="str">
        <f>IFERROR(__xludf.DUMMYFUNCTION("""COMPUTED_VALUE"""),"РЕН-26")</f>
        <v>РЕН-26</v>
      </c>
      <c r="C825" s="14" t="str">
        <f>IFERROR(__xludf.DUMMYFUNCTION("""COMPUTED_VALUE"""),"ОКС")</f>
        <v>ОКС</v>
      </c>
      <c r="D825" s="6"/>
      <c r="E825" s="14" t="str">
        <f>IFERROR(__xludf.DUMMYFUNCTION("""COMPUTED_VALUE"""),"улица Перекопская, земельный участок 4 внутригородское муниципальное образование Зюзино, улица Перекопская, земельный участок 4")</f>
        <v>улица Перекопская, земельный участок 4 внутригородское муниципальное образование Зюзино, улица Перекопская, земельный участок 4</v>
      </c>
      <c r="F825" s="25" t="str">
        <f>IFERROR(__xludf.DUMMYFUNCTION("""COMPUTED_VALUE"""),"55.659190")</f>
        <v>55.659190</v>
      </c>
      <c r="G825" s="6" t="str">
        <f>IFERROR(__xludf.DUMMYFUNCTION("""COMPUTED_VALUE"""),"37.585503")</f>
        <v>37.585503</v>
      </c>
      <c r="H825" s="18" t="str">
        <f>IFERROR(__xludf.DUMMYFUNCTION("""COMPUTED_VALUE"""),"https://docs.google.com/spreadsheets/d/1rbCD10ySi4YZEkJW2_Slmn9z7AI1WEsGsZaIJmnnT18/edit?gid=932084254#gid=932084254")</f>
        <v>https://docs.google.com/spreadsheets/d/1rbCD10ySi4YZEkJW2_Slmn9z7AI1WEsGsZaIJmnnT18/edit?gid=932084254#gid=932084254</v>
      </c>
      <c r="I825" s="19" t="str">
        <f>IFERROR(__xludf.DUMMYFUNCTION("""COMPUTED_VALUE"""),"https://disk.yandex.ru/client/disk/Осмотры%20объектов%20АНО%20СМГ/844.%20Перекопская%20улица%2C%20зу%204")</f>
        <v>https://disk.yandex.ru/client/disk/Осмотры%20объектов%20АНО%20СМГ/844.%20Перекопская%20улица%2C%20зу%204</v>
      </c>
      <c r="J825" s="50">
        <f>IFERROR(__xludf.DUMMYFUNCTION("""COMPUTED_VALUE"""),2.85)</f>
        <v>2.85</v>
      </c>
      <c r="K825" s="58">
        <f>IFERROR(__xludf.DUMMYFUNCTION("""COMPUTED_VALUE"""),45974.0)</f>
        <v>45974</v>
      </c>
      <c r="L825" s="6">
        <v>30.0</v>
      </c>
      <c r="M825" s="52">
        <v>46004.0</v>
      </c>
      <c r="N825" s="53" t="s">
        <v>711</v>
      </c>
      <c r="O825" s="19" t="s">
        <v>669</v>
      </c>
      <c r="P825" s="6"/>
      <c r="Q825" s="6"/>
      <c r="R825" s="6"/>
    </row>
    <row r="826">
      <c r="A826" s="31" t="str">
        <f>IFERROR(__xludf.DUMMYFUNCTION("""COMPUTED_VALUE"""),"738")</f>
        <v>738</v>
      </c>
      <c r="B826" s="14" t="str">
        <f>IFERROR(__xludf.DUMMYFUNCTION("""COMPUTED_VALUE"""),"РЕН-26")</f>
        <v>РЕН-26</v>
      </c>
      <c r="C826" s="14" t="str">
        <f>IFERROR(__xludf.DUMMYFUNCTION("""COMPUTED_VALUE"""),"ОКС")</f>
        <v>ОКС</v>
      </c>
      <c r="D826" s="6"/>
      <c r="E826" s="14" t="str">
        <f>IFERROR(__xludf.DUMMYFUNCTION("""COMPUTED_VALUE"""),"ул. Шепелюгинская, вл. 14 район Лефортово, ул. Шепелюгинская, вл. 14")</f>
        <v>ул. Шепелюгинская, вл. 14 район Лефортово, ул. Шепелюгинская, вл. 14</v>
      </c>
      <c r="F826" s="25" t="str">
        <f>IFERROR(__xludf.DUMMYFUNCTION("""COMPUTED_VALUE"""),"55.745914")</f>
        <v>55.745914</v>
      </c>
      <c r="G826" s="6" t="str">
        <f>IFERROR(__xludf.DUMMYFUNCTION("""COMPUTED_VALUE"""),"37.702358")</f>
        <v>37.702358</v>
      </c>
      <c r="H826" s="18" t="str">
        <f>IFERROR(__xludf.DUMMYFUNCTION("""COMPUTED_VALUE"""),"https://docs.google.com/spreadsheets/d/1rbCD10ySi4YZEkJW2_Slmn9z7AI1WEsGsZaIJmnnT18/edit?gid=2128103220#gid=2128103220")</f>
        <v>https://docs.google.com/spreadsheets/d/1rbCD10ySi4YZEkJW2_Slmn9z7AI1WEsGsZaIJmnnT18/edit?gid=2128103220#gid=2128103220</v>
      </c>
      <c r="I826" s="21" t="str">
        <f>IFERROR(__xludf.DUMMYFUNCTION("""COMPUTED_VALUE"""),"https://disk.yandex.ru/client/disk/%D0%9E%D1%81%D0%BC%D0%BE%D1%82%D1%80%D1%8B%20%D0%BE%D0%B1%D1%8A%D0%B5%D0%BA%D1%82%D0%BE%D0%B2%20%D0%90%D0%9D%D0%9E%20%D0%A1%D0%9C%D0%93/738.%20%D0%A8%D0%B5%D0%BF%D0%B5%D0%BB%D1%8E%D0%B3%D0%B8%D0%BD%D1%81%D0%BA%D0%B0%D1%8"&amp;"F%20%D0%B2%D0%BB%2014%20")</f>
        <v>https://disk.yandex.ru/client/disk/%D0%9E%D1%81%D0%BC%D0%BE%D1%82%D1%80%D1%8B%20%D0%BE%D0%B1%D1%8A%D0%B5%D0%BA%D1%82%D0%BE%D0%B2%20%D0%90%D0%9D%D0%9E%20%D0%A1%D0%9C%D0%93/738.%20%D0%A8%D0%B5%D0%BF%D0%B5%D0%BB%D1%8E%D0%B3%D0%B8%D0%BD%D1%81%D0%BA%D0%B0%D1%8F%20%D0%B2%D0%BB%2014%20</v>
      </c>
      <c r="J826" s="50">
        <f>IFERROR(__xludf.DUMMYFUNCTION("""COMPUTED_VALUE"""),27.212909999999997)</f>
        <v>27.21291</v>
      </c>
      <c r="K826" s="58">
        <f>IFERROR(__xludf.DUMMYFUNCTION("""COMPUTED_VALUE"""),45960.0)</f>
        <v>45960</v>
      </c>
      <c r="L826" s="6">
        <v>30.0</v>
      </c>
      <c r="M826" s="52">
        <v>45990.0</v>
      </c>
      <c r="N826" s="53" t="s">
        <v>692</v>
      </c>
      <c r="O826" s="19" t="s">
        <v>669</v>
      </c>
      <c r="P826" s="6"/>
      <c r="Q826" s="6"/>
      <c r="R826" s="6"/>
    </row>
    <row r="827">
      <c r="A827" s="31" t="str">
        <f>IFERROR(__xludf.DUMMYFUNCTION("""COMPUTED_VALUE"""),"740")</f>
        <v>740</v>
      </c>
      <c r="B827" s="14" t="str">
        <f>IFERROR(__xludf.DUMMYFUNCTION("""COMPUTED_VALUE"""),"РЕН-26")</f>
        <v>РЕН-26</v>
      </c>
      <c r="C827" s="14" t="str">
        <f>IFERROR(__xludf.DUMMYFUNCTION("""COMPUTED_VALUE"""),"ОКС")</f>
        <v>ОКС</v>
      </c>
      <c r="D827" s="6"/>
      <c r="E827" s="14" t="str">
        <f>IFERROR(__xludf.DUMMYFUNCTION("""COMPUTED_VALUE"""),"Шепелюгинский пер., вл. 7 (Приобретение объектов недвижимости) район Лефортово, Шепелюгинский пер., вл. 7")</f>
        <v>Шепелюгинский пер., вл. 7 (Приобретение объектов недвижимости) район Лефортово, Шепелюгинский пер., вл. 7</v>
      </c>
      <c r="F827" s="25" t="str">
        <f>IFERROR(__xludf.DUMMYFUNCTION("""COMPUTED_VALUE"""),"55.746929")</f>
        <v>55.746929</v>
      </c>
      <c r="G827" s="6" t="str">
        <f>IFERROR(__xludf.DUMMYFUNCTION("""COMPUTED_VALUE"""),"37.701113")</f>
        <v>37.701113</v>
      </c>
      <c r="H827" s="18" t="str">
        <f>IFERROR(__xludf.DUMMYFUNCTION("""COMPUTED_VALUE"""),"https://docs.google.com/spreadsheets/d/1rbCD10ySi4YZEkJW2_Slmn9z7AI1WEsGsZaIJmnnT18/edit?gid=1195206502#gid=1195206502")</f>
        <v>https://docs.google.com/spreadsheets/d/1rbCD10ySi4YZEkJW2_Slmn9z7AI1WEsGsZaIJmnnT18/edit?gid=1195206502#gid=1195206502</v>
      </c>
      <c r="I827" s="19" t="str">
        <f>IFERROR(__xludf.DUMMYFUNCTION("""COMPUTED_VALUE"""),"https://disk.yandex.ru/client/disk/Осмотры%20объектов%20АНО%20СМГ/740.%20Шепелюгинский%20пер%20вл%207")</f>
        <v>https://disk.yandex.ru/client/disk/Осмотры%20объектов%20АНО%20СМГ/740.%20Шепелюгинский%20пер%20вл%207</v>
      </c>
      <c r="J827" s="50">
        <f>IFERROR(__xludf.DUMMYFUNCTION("""COMPUTED_VALUE"""),4.669499999999999)</f>
        <v>4.6695</v>
      </c>
      <c r="K827" s="58">
        <f>IFERROR(__xludf.DUMMYFUNCTION("""COMPUTED_VALUE"""),45962.0)</f>
        <v>45962</v>
      </c>
      <c r="L827" s="6">
        <v>30.0</v>
      </c>
      <c r="M827" s="52">
        <v>45992.0</v>
      </c>
      <c r="N827" s="53" t="s">
        <v>692</v>
      </c>
      <c r="O827" s="19" t="s">
        <v>669</v>
      </c>
      <c r="P827" s="6"/>
      <c r="Q827" s="6"/>
      <c r="R827" s="6"/>
    </row>
    <row r="828">
      <c r="A828" s="31" t="str">
        <f>IFERROR(__xludf.DUMMYFUNCTION("""COMPUTED_VALUE"""),"661")</f>
        <v>661</v>
      </c>
      <c r="B828" s="14" t="str">
        <f>IFERROR(__xludf.DUMMYFUNCTION("""COMPUTED_VALUE"""),"РЕН-26")</f>
        <v>РЕН-26</v>
      </c>
      <c r="C828" s="14" t="str">
        <f>IFERROR(__xludf.DUMMYFUNCTION("""COMPUTED_VALUE"""),"ОКС")</f>
        <v>ОКС</v>
      </c>
      <c r="D828" s="6"/>
      <c r="E828" s="14" t="str">
        <f>IFERROR(__xludf.DUMMYFUNCTION("""COMPUTED_VALUE"""),"б-р Яна Райниса, вл.2, к 2,3 район Северное Тушино, мкр. 4, б-р Яна Райниса, вл.2, к 2,3.")</f>
        <v>б-р Яна Райниса, вл.2, к 2,3 район Северное Тушино, мкр. 4, б-р Яна Райниса, вл.2, к 2,3.</v>
      </c>
      <c r="F828" s="25" t="str">
        <f>IFERROR(__xludf.DUMMYFUNCTION("""COMPUTED_VALUE"""),"55.852135")</f>
        <v>55.852135</v>
      </c>
      <c r="G828" s="6" t="str">
        <f>IFERROR(__xludf.DUMMYFUNCTION("""COMPUTED_VALUE"""),"37.431852")</f>
        <v>37.431852</v>
      </c>
      <c r="H828" s="18" t="str">
        <f>IFERROR(__xludf.DUMMYFUNCTION("""COMPUTED_VALUE"""),"https://docs.google.com/spreadsheets/d/1rbCD10ySi4YZEkJW2_Slmn9z7AI1WEsGsZaIJmnnT18/edit?gid=988598667#gid=988598667")</f>
        <v>https://docs.google.com/spreadsheets/d/1rbCD10ySi4YZEkJW2_Slmn9z7AI1WEsGsZaIJmnnT18/edit?gid=988598667#gid=988598667</v>
      </c>
      <c r="I828" s="19" t="str">
        <f>IFERROR(__xludf.DUMMYFUNCTION("""COMPUTED_VALUE"""),"https://disk.yandex.ru/client/disk/Осмотры%20объектов%20АНО%20СМГ/661.%20Яна%20Райниса%20б-р%2C%20влд.%202%2C%20к.%202%2C%203")</f>
        <v>https://disk.yandex.ru/client/disk/Осмотры%20объектов%20АНО%20СМГ/661.%20Яна%20Райниса%20б-р%2C%20влд.%202%2C%20к.%202%2C%203</v>
      </c>
      <c r="J828" s="50">
        <f>IFERROR(__xludf.DUMMYFUNCTION("""COMPUTED_VALUE"""),25.151899999999994)</f>
        <v>25.1519</v>
      </c>
      <c r="K828" s="58">
        <f>IFERROR(__xludf.DUMMYFUNCTION("""COMPUTED_VALUE"""),45961.0)</f>
        <v>45961</v>
      </c>
      <c r="L828" s="6">
        <v>30.0</v>
      </c>
      <c r="M828" s="52">
        <v>45991.0</v>
      </c>
      <c r="N828" s="53" t="s">
        <v>692</v>
      </c>
      <c r="O828" s="19" t="s">
        <v>669</v>
      </c>
      <c r="P828" s="6"/>
      <c r="Q828" s="6"/>
      <c r="R828" s="6"/>
    </row>
    <row r="829">
      <c r="A829" s="31" t="str">
        <f>IFERROR(__xludf.DUMMYFUNCTION("""COMPUTED_VALUE"""),"636")</f>
        <v>636</v>
      </c>
      <c r="B829" s="14" t="str">
        <f>IFERROR(__xludf.DUMMYFUNCTION("""COMPUTED_VALUE"""),"РЕН-26")</f>
        <v>РЕН-26</v>
      </c>
      <c r="C829" s="14" t="str">
        <f>IFERROR(__xludf.DUMMYFUNCTION("""COMPUTED_VALUE"""),"ОКС")</f>
        <v>ОКС</v>
      </c>
      <c r="D829" s="6"/>
      <c r="E829" s="14" t="str">
        <f>IFERROR(__xludf.DUMMYFUNCTION("""COMPUTED_VALUE"""),"улица Смольная,земельный участок 23 внутригородское муниципальное образование Головинское, улица Смольная,земельный участок 23 (ул. Смольная, 23)")</f>
        <v>улица Смольная,земельный участок 23 внутригородское муниципальное образование Головинское, улица Смольная,земельный участок 23 (ул. Смольная, 23)</v>
      </c>
      <c r="F829" s="25" t="str">
        <f>IFERROR(__xludf.DUMMYFUNCTION("""COMPUTED_VALUE"""),"55.849033")</f>
        <v>55.849033</v>
      </c>
      <c r="G829" s="6" t="str">
        <f>IFERROR(__xludf.DUMMYFUNCTION("""COMPUTED_VALUE"""),"37.494706")</f>
        <v>37.494706</v>
      </c>
      <c r="H829" s="18" t="str">
        <f>IFERROR(__xludf.DUMMYFUNCTION("""COMPUTED_VALUE"""),"https://docs.google.com/spreadsheets/d/1rbCD10ySi4YZEkJW2_Slmn9z7AI1WEsGsZaIJmnnT18/edit?gid=1665166606#gid=1665166606")</f>
        <v>https://docs.google.com/spreadsheets/d/1rbCD10ySi4YZEkJW2_Slmn9z7AI1WEsGsZaIJmnnT18/edit?gid=1665166606#gid=1665166606</v>
      </c>
      <c r="I829" s="19" t="str">
        <f>IFERROR(__xludf.DUMMYFUNCTION("""COMPUTED_VALUE"""),"https://disk.yandex.ru/client/disk/Осмотры%20объектов%20АНО%20СМГ/636.%20Смольная%20зу%2023")</f>
        <v>https://disk.yandex.ru/client/disk/Осмотры%20объектов%20АНО%20СМГ/636.%20Смольная%20зу%2023</v>
      </c>
      <c r="J829" s="50">
        <f>IFERROR(__xludf.DUMMYFUNCTION("""COMPUTED_VALUE"""),4.71)</f>
        <v>4.71</v>
      </c>
      <c r="K829" s="58">
        <f>IFERROR(__xludf.DUMMYFUNCTION("""COMPUTED_VALUE"""),45961.0)</f>
        <v>45961</v>
      </c>
      <c r="L829" s="6">
        <v>30.0</v>
      </c>
      <c r="M829" s="52">
        <v>45991.0</v>
      </c>
      <c r="N829" s="53" t="s">
        <v>692</v>
      </c>
      <c r="O829" s="19" t="s">
        <v>1145</v>
      </c>
      <c r="P829" s="6"/>
      <c r="Q829" s="6"/>
      <c r="R829" s="6"/>
    </row>
    <row r="830">
      <c r="A830" s="31" t="str">
        <f>IFERROR(__xludf.DUMMYFUNCTION("""COMPUTED_VALUE"""),"638")</f>
        <v>638</v>
      </c>
      <c r="B830" s="14" t="str">
        <f>IFERROR(__xludf.DUMMYFUNCTION("""COMPUTED_VALUE"""),"РЕН-26")</f>
        <v>РЕН-26</v>
      </c>
      <c r="C830" s="14" t="str">
        <f>IFERROR(__xludf.DUMMYFUNCTION("""COMPUTED_VALUE"""),"ОКС")</f>
        <v>ОКС</v>
      </c>
      <c r="D830" s="6"/>
      <c r="E830" s="14" t="str">
        <f>IFERROR(__xludf.DUMMYFUNCTION("""COMPUTED_VALUE"""),"Авиационная улица, земельный участок 61/1 (вл. 61, корп. 1) район Щукино, Авиационная улица, земельный участок 61/1 (Авиационная ул., вл. 61, корп. 1)")</f>
        <v>Авиационная улица, земельный участок 61/1 (вл. 61, корп. 1) район Щукино, Авиационная улица, земельный участок 61/1 (Авиационная ул., вл. 61, корп. 1)</v>
      </c>
      <c r="F830" s="25" t="str">
        <f>IFERROR(__xludf.DUMMYFUNCTION("""COMPUTED_VALUE"""),"55.808441")</f>
        <v>55.808441</v>
      </c>
      <c r="G830" s="6" t="str">
        <f>IFERROR(__xludf.DUMMYFUNCTION("""COMPUTED_VALUE"""),"37.457208")</f>
        <v>37.457208</v>
      </c>
      <c r="H830" s="18" t="str">
        <f>IFERROR(__xludf.DUMMYFUNCTION("""COMPUTED_VALUE"""),"https://docs.google.com/spreadsheets/d/1rbCD10ySi4YZEkJW2_Slmn9z7AI1WEsGsZaIJmnnT18/edit?gid=563761401#gid=563761401")</f>
        <v>https://docs.google.com/spreadsheets/d/1rbCD10ySi4YZEkJW2_Slmn9z7AI1WEsGsZaIJmnnT18/edit?gid=563761401#gid=563761401</v>
      </c>
      <c r="I830" s="19" t="str">
        <f>IFERROR(__xludf.DUMMYFUNCTION("""COMPUTED_VALUE"""),"https://disk.yandex.ru/client/disk/Осмотры%20объектов%20АНО%20СМГ/638.%20Жилой%20дом%20Авиационная%2061к1")</f>
        <v>https://disk.yandex.ru/client/disk/Осмотры%20объектов%20АНО%20СМГ/638.%20Жилой%20дом%20Авиационная%2061к1</v>
      </c>
      <c r="J830" s="50">
        <f>IFERROR(__xludf.DUMMYFUNCTION("""COMPUTED_VALUE"""),10.079099999999999)</f>
        <v>10.0791</v>
      </c>
      <c r="K830" s="58">
        <f>IFERROR(__xludf.DUMMYFUNCTION("""COMPUTED_VALUE"""),45972.0)</f>
        <v>45972</v>
      </c>
      <c r="L830" s="6">
        <v>30.0</v>
      </c>
      <c r="M830" s="52">
        <v>46002.0</v>
      </c>
      <c r="N830" s="53" t="s">
        <v>711</v>
      </c>
      <c r="O830" s="19" t="s">
        <v>669</v>
      </c>
      <c r="P830" s="6"/>
      <c r="Q830" s="6"/>
      <c r="R830" s="6"/>
    </row>
    <row r="831">
      <c r="A831" s="31" t="str">
        <f>IFERROR(__xludf.DUMMYFUNCTION("""COMPUTED_VALUE"""),"589")</f>
        <v>589</v>
      </c>
      <c r="B831" s="14" t="str">
        <f>IFERROR(__xludf.DUMMYFUNCTION("""COMPUTED_VALUE"""),"РЕН-26")</f>
        <v>РЕН-26</v>
      </c>
      <c r="C831" s="14" t="str">
        <f>IFERROR(__xludf.DUMMYFUNCTION("""COMPUTED_VALUE"""),"ОКС")</f>
        <v>ОКС</v>
      </c>
      <c r="D831" s="6"/>
      <c r="E831" s="14" t="str">
        <f>IFERROR(__xludf.DUMMYFUNCTION("""COMPUTED_VALUE"""),"Всеволода Вишневского ул., земельный участок 11 район Тимирязевский, Всеволода Вишневского ул., вл. 11")</f>
        <v>Всеволода Вишневского ул., земельный участок 11 район Тимирязевский, Всеволода Вишневского ул., вл. 11</v>
      </c>
      <c r="F831" s="25" t="str">
        <f>IFERROR(__xludf.DUMMYFUNCTION("""COMPUTED_VALUE"""),"55.811372")</f>
        <v>55.811372</v>
      </c>
      <c r="G831" s="6" t="str">
        <f>IFERROR(__xludf.DUMMYFUNCTION("""COMPUTED_VALUE"""),"37.569402")</f>
        <v>37.569402</v>
      </c>
      <c r="H831" s="18" t="str">
        <f>IFERROR(__xludf.DUMMYFUNCTION("""COMPUTED_VALUE"""),"https://docs.google.com/spreadsheets/d/1rbCD10ySi4YZEkJW2_Slmn9z7AI1WEsGsZaIJmnnT18/edit?gid=2092914415#gid=2092914415")</f>
        <v>https://docs.google.com/spreadsheets/d/1rbCD10ySi4YZEkJW2_Slmn9z7AI1WEsGsZaIJmnnT18/edit?gid=2092914415#gid=2092914415</v>
      </c>
      <c r="I831" s="19" t="str">
        <f>IFERROR(__xludf.DUMMYFUNCTION("""COMPUTED_VALUE"""),"https://disk.yandex.ru/client/disk/Осмотры%20объектов%20АНО%20СМГ/589.%20Всеволода%20Вишневского%20ул.%2C%20вл.%2011")</f>
        <v>https://disk.yandex.ru/client/disk/Осмотры%20объектов%20АНО%20СМГ/589.%20Всеволода%20Вишневского%20ул.%2C%20вл.%2011</v>
      </c>
      <c r="J831" s="50">
        <f>IFERROR(__xludf.DUMMYFUNCTION("""COMPUTED_VALUE"""),35.266935)</f>
        <v>35.266935</v>
      </c>
      <c r="K831" s="58">
        <f>IFERROR(__xludf.DUMMYFUNCTION("""COMPUTED_VALUE"""),45973.0)</f>
        <v>45973</v>
      </c>
      <c r="L831" s="6">
        <v>30.0</v>
      </c>
      <c r="M831" s="52">
        <v>46003.0</v>
      </c>
      <c r="N831" s="53" t="s">
        <v>711</v>
      </c>
      <c r="O831" s="19" t="s">
        <v>669</v>
      </c>
      <c r="P831" s="6"/>
      <c r="Q831" s="6"/>
      <c r="R831" s="6"/>
    </row>
    <row r="832">
      <c r="A832" s="31" t="str">
        <f>IFERROR(__xludf.DUMMYFUNCTION("""COMPUTED_VALUE"""),"624")</f>
        <v>624</v>
      </c>
      <c r="B832" s="14" t="str">
        <f>IFERROR(__xludf.DUMMYFUNCTION("""COMPUTED_VALUE"""),"РЕН-26")</f>
        <v>РЕН-26</v>
      </c>
      <c r="C832" s="14" t="str">
        <f>IFERROR(__xludf.DUMMYFUNCTION("""COMPUTED_VALUE"""),"ОКС")</f>
        <v>ОКС</v>
      </c>
      <c r="D832" s="6"/>
      <c r="E832" s="14" t="str">
        <f>IFERROR(__xludf.DUMMYFUNCTION("""COMPUTED_VALUE"""),"улица Тайнинская, земельный участок 3 (вл. 3) район Лосиноостровский, Тайнинская ул., вл. 3")</f>
        <v>улица Тайнинская, земельный участок 3 (вл. 3) район Лосиноостровский, Тайнинская ул., вл. 3</v>
      </c>
      <c r="F832" s="25" t="str">
        <f>IFERROR(__xludf.DUMMYFUNCTION("""COMPUTED_VALUE"""),"55.878112")</f>
        <v>55.878112</v>
      </c>
      <c r="G832" s="6" t="str">
        <f>IFERROR(__xludf.DUMMYFUNCTION("""COMPUTED_VALUE"""),"37.681312")</f>
        <v>37.681312</v>
      </c>
      <c r="H832" s="18" t="str">
        <f>IFERROR(__xludf.DUMMYFUNCTION("""COMPUTED_VALUE"""),"https://docs.google.com/spreadsheets/d/1rbCD10ySi4YZEkJW2_Slmn9z7AI1WEsGsZaIJmnnT18/edit?gid=1331480544#gid=1331480544")</f>
        <v>https://docs.google.com/spreadsheets/d/1rbCD10ySi4YZEkJW2_Slmn9z7AI1WEsGsZaIJmnnT18/edit?gid=1331480544#gid=1331480544</v>
      </c>
      <c r="I832" s="19" t="str">
        <f>IFERROR(__xludf.DUMMYFUNCTION("""COMPUTED_VALUE"""),"https://disk.yandex.ru/client/disk/Осмотры%20объектов%20АНО%20СМГ/624.%20Тайнинская%20ул.%2C%20зу%203")</f>
        <v>https://disk.yandex.ru/client/disk/Осмотры%20объектов%20АНО%20СМГ/624.%20Тайнинская%20ул.%2C%20зу%203</v>
      </c>
      <c r="J832" s="50">
        <f>IFERROR(__xludf.DUMMYFUNCTION("""COMPUTED_VALUE"""),4.919999999999999)</f>
        <v>4.92</v>
      </c>
      <c r="K832" s="58">
        <f>IFERROR(__xludf.DUMMYFUNCTION("""COMPUTED_VALUE"""),45962.0)</f>
        <v>45962</v>
      </c>
      <c r="L832" s="6">
        <v>30.0</v>
      </c>
      <c r="M832" s="52">
        <v>45992.0</v>
      </c>
      <c r="N832" s="53" t="s">
        <v>692</v>
      </c>
      <c r="O832" s="19" t="s">
        <v>669</v>
      </c>
      <c r="P832" s="6"/>
      <c r="Q832" s="6"/>
      <c r="R832" s="6"/>
    </row>
    <row r="833">
      <c r="A833" s="31" t="str">
        <f>IFERROR(__xludf.DUMMYFUNCTION("""COMPUTED_VALUE"""),"686")</f>
        <v>686</v>
      </c>
      <c r="B833" s="14" t="str">
        <f>IFERROR(__xludf.DUMMYFUNCTION("""COMPUTED_VALUE"""),"РЕН-26")</f>
        <v>РЕН-26</v>
      </c>
      <c r="C833" s="14" t="str">
        <f>IFERROR(__xludf.DUMMYFUNCTION("""COMPUTED_VALUE"""),"ОКС")</f>
        <v>ОКС</v>
      </c>
      <c r="D833" s="6"/>
      <c r="E833" s="14" t="str">
        <f>IFERROR(__xludf.DUMMYFUNCTION("""COMPUTED_VALUE"""),"Плющева ул., вл. 12А район Перово, Плющева ул., вл. 12А")</f>
        <v>Плющева ул., вл. 12А район Перово, Плющева ул., вл. 12А</v>
      </c>
      <c r="F833" s="25" t="str">
        <f>IFERROR(__xludf.DUMMYFUNCTION("""COMPUTED_VALUE"""),"55.743921")</f>
        <v>55.743921</v>
      </c>
      <c r="G833" s="6" t="str">
        <f>IFERROR(__xludf.DUMMYFUNCTION("""COMPUTED_VALUE"""),"37.758839")</f>
        <v>37.758839</v>
      </c>
      <c r="H833" s="18" t="str">
        <f>IFERROR(__xludf.DUMMYFUNCTION("""COMPUTED_VALUE"""),"https://docs.google.com/spreadsheets/d/1rbCD10ySi4YZEkJW2_Slmn9z7AI1WEsGsZaIJmnnT18/edit?gid=1102875556#gid=1102875556")</f>
        <v>https://docs.google.com/spreadsheets/d/1rbCD10ySi4YZEkJW2_Slmn9z7AI1WEsGsZaIJmnnT18/edit?gid=1102875556#gid=1102875556</v>
      </c>
      <c r="I833" s="19" t="str">
        <f>IFERROR(__xludf.DUMMYFUNCTION("""COMPUTED_VALUE"""),"https://disk.yandex.ru/client/disk/Осмотры%20объектов%20АНО%20СМГ/686.%20р-н%20Перово%2C%20Ул.Плющева%20вл.%2012А")</f>
        <v>https://disk.yandex.ru/client/disk/Осмотры%20объектов%20АНО%20СМГ/686.%20р-н%20Перово%2C%20Ул.Плющева%20вл.%2012А</v>
      </c>
      <c r="J833" s="50">
        <f>IFERROR(__xludf.DUMMYFUNCTION("""COMPUTED_VALUE"""),0.0)</f>
        <v>0</v>
      </c>
      <c r="K833" s="58">
        <f>IFERROR(__xludf.DUMMYFUNCTION("""COMPUTED_VALUE"""),45968.0)</f>
        <v>45968</v>
      </c>
      <c r="L833" s="6">
        <v>30.0</v>
      </c>
      <c r="M833" s="52">
        <v>45998.0</v>
      </c>
      <c r="N833" s="53" t="s">
        <v>711</v>
      </c>
      <c r="O833" s="19" t="s">
        <v>669</v>
      </c>
      <c r="P833" s="6"/>
      <c r="Q833" s="6"/>
      <c r="R833" s="6"/>
    </row>
    <row r="834">
      <c r="A834" s="31" t="str">
        <f>IFERROR(__xludf.DUMMYFUNCTION("""COMPUTED_VALUE"""),"804")</f>
        <v>804</v>
      </c>
      <c r="B834" s="14" t="str">
        <f>IFERROR(__xludf.DUMMYFUNCTION("""COMPUTED_VALUE"""),"РЕН-26")</f>
        <v>РЕН-26</v>
      </c>
      <c r="C834" s="14" t="str">
        <f>IFERROR(__xludf.DUMMYFUNCTION("""COMPUTED_VALUE"""),"ОКС")</f>
        <v>ОКС</v>
      </c>
      <c r="D834" s="6"/>
      <c r="E834" s="14" t="str">
        <f>IFERROR(__xludf.DUMMYFUNCTION("""COMPUTED_VALUE"""),"ул. Маршала Бирюзова, вл. 1, корпус 1 район Щукино, ул. Маршала Бирюзова, вл. 1, корпус 1")</f>
        <v>ул. Маршала Бирюзова, вл. 1, корпус 1 район Щукино, ул. Маршала Бирюзова, вл. 1, корпус 1</v>
      </c>
      <c r="F834" s="25" t="str">
        <f>IFERROR(__xludf.DUMMYFUNCTION("""COMPUTED_VALUE"""),"55.789318")</f>
        <v>55.789318</v>
      </c>
      <c r="G834" s="6" t="str">
        <f>IFERROR(__xludf.DUMMYFUNCTION("""COMPUTED_VALUE"""),"37.497921")</f>
        <v>37.497921</v>
      </c>
      <c r="H834" s="18" t="str">
        <f>IFERROR(__xludf.DUMMYFUNCTION("""COMPUTED_VALUE"""),"https://docs.google.com/spreadsheets/d/1rbCD10ySi4YZEkJW2_Slmn9z7AI1WEsGsZaIJmnnT18/edit?gid=1997450648#gid=1997450648")</f>
        <v>https://docs.google.com/spreadsheets/d/1rbCD10ySi4YZEkJW2_Slmn9z7AI1WEsGsZaIJmnnT18/edit?gid=1997450648#gid=1997450648</v>
      </c>
      <c r="I834" s="19" t="str">
        <f>IFERROR(__xludf.DUMMYFUNCTION("""COMPUTED_VALUE"""),"https://disk.yandex.ru/client/disk/Осмотры%20объектов%20АНО%20СМГ/804.%20Жилой%20дом%20ул%20Маршала%20Бирюзова%201к1")</f>
        <v>https://disk.yandex.ru/client/disk/Осмотры%20объектов%20АНО%20СМГ/804.%20Жилой%20дом%20ул%20Маршала%20Бирюзова%201к1</v>
      </c>
      <c r="J834" s="50">
        <f>IFERROR(__xludf.DUMMYFUNCTION("""COMPUTED_VALUE"""),31.610159999999997)</f>
        <v>31.61016</v>
      </c>
      <c r="K834" s="58">
        <f>IFERROR(__xludf.DUMMYFUNCTION("""COMPUTED_VALUE"""),45972.0)</f>
        <v>45972</v>
      </c>
      <c r="L834" s="6">
        <v>30.0</v>
      </c>
      <c r="M834" s="52">
        <v>46002.0</v>
      </c>
      <c r="N834" s="53" t="s">
        <v>711</v>
      </c>
      <c r="O834" s="19" t="s">
        <v>669</v>
      </c>
      <c r="P834" s="6"/>
      <c r="Q834" s="6"/>
      <c r="R834" s="6"/>
    </row>
    <row r="835">
      <c r="A835" s="31" t="str">
        <f>IFERROR(__xludf.DUMMYFUNCTION("""COMPUTED_VALUE"""),"802")</f>
        <v>802</v>
      </c>
      <c r="B835" s="14" t="str">
        <f>IFERROR(__xludf.DUMMYFUNCTION("""COMPUTED_VALUE"""),"РЕН-26")</f>
        <v>РЕН-26</v>
      </c>
      <c r="C835" s="14" t="str">
        <f>IFERROR(__xludf.DUMMYFUNCTION("""COMPUTED_VALUE"""),"ОКС")</f>
        <v>ОКС</v>
      </c>
      <c r="D835" s="6"/>
      <c r="E835" s="14" t="str">
        <f>IFERROR(__xludf.DUMMYFUNCTION("""COMPUTED_VALUE"""),"Кржижановского ул., вл. 31 район Котловка Кржижановского ул., вл. 31 микрорайонов 67,68, кварталов 103,104,105,106 за границами ППТ")</f>
        <v>Кржижановского ул., вл. 31 район Котловка Кржижановского ул., вл. 31 микрорайонов 67,68, кварталов 103,104,105,106 за границами ППТ</v>
      </c>
      <c r="F835" s="25" t="str">
        <f>IFERROR(__xludf.DUMMYFUNCTION("""COMPUTED_VALUE"""),"55.673297")</f>
        <v>55.673297</v>
      </c>
      <c r="G835" s="6" t="str">
        <f>IFERROR(__xludf.DUMMYFUNCTION("""COMPUTED_VALUE"""),"37.581276")</f>
        <v>37.581276</v>
      </c>
      <c r="H835" s="18" t="str">
        <f>IFERROR(__xludf.DUMMYFUNCTION("""COMPUTED_VALUE"""),"https://docs.google.com/spreadsheets/d/1rbCD10ySi4YZEkJW2_Slmn9z7AI1WEsGsZaIJmnnT18/edit?gid=79728110#gid=79728110")</f>
        <v>https://docs.google.com/spreadsheets/d/1rbCD10ySi4YZEkJW2_Slmn9z7AI1WEsGsZaIJmnnT18/edit?gid=79728110#gid=79728110</v>
      </c>
      <c r="I835" s="19" t="str">
        <f>IFERROR(__xludf.DUMMYFUNCTION("""COMPUTED_VALUE"""),"https://disk.yandex.ru/client/disk/Осмотры%20объектов%20АНО%20СМГ/802.%20Котловка%2C%20ул.%20Кржижановского%20вл.%2031")</f>
        <v>https://disk.yandex.ru/client/disk/Осмотры%20объектов%20АНО%20СМГ/802.%20Котловка%2C%20ул.%20Кржижановского%20вл.%2031</v>
      </c>
      <c r="J835" s="50">
        <f>IFERROR(__xludf.DUMMYFUNCTION("""COMPUTED_VALUE"""),8.1)</f>
        <v>8.1</v>
      </c>
      <c r="K835" s="58">
        <f>IFERROR(__xludf.DUMMYFUNCTION("""COMPUTED_VALUE"""),45953.0)</f>
        <v>45953</v>
      </c>
      <c r="L835" s="6">
        <v>30.0</v>
      </c>
      <c r="M835" s="52">
        <v>45983.0</v>
      </c>
      <c r="N835" s="53" t="s">
        <v>741</v>
      </c>
      <c r="O835" s="19" t="s">
        <v>1146</v>
      </c>
      <c r="P835" s="6"/>
      <c r="Q835" s="6"/>
      <c r="R835" s="6"/>
    </row>
    <row r="836">
      <c r="A836" s="31" t="str">
        <f>IFERROR(__xludf.DUMMYFUNCTION("""COMPUTED_VALUE"""),"805")</f>
        <v>805</v>
      </c>
      <c r="B836" s="14" t="str">
        <f>IFERROR(__xludf.DUMMYFUNCTION("""COMPUTED_VALUE"""),"РЕН-26")</f>
        <v>РЕН-26</v>
      </c>
      <c r="C836" s="14" t="str">
        <f>IFERROR(__xludf.DUMMYFUNCTION("""COMPUTED_VALUE"""),"ОКС")</f>
        <v>ОКС</v>
      </c>
      <c r="D836" s="6"/>
      <c r="E836" s="14" t="str">
        <f>IFERROR(__xludf.DUMMYFUNCTION("""COMPUTED_VALUE"""),"Нижегородская ул., з/у 92А (зона №2.4) кв. 80, район Нижегородский (зона № 2.4) (ул. Нижегородская, д. 94, к.2)")</f>
        <v>Нижегородская ул., з/у 92А (зона №2.4) кв. 80, район Нижегородский (зона № 2.4) (ул. Нижегородская, д. 94, к.2)</v>
      </c>
      <c r="F836" s="25" t="str">
        <f>IFERROR(__xludf.DUMMYFUNCTION("""COMPUTED_VALUE"""),"55.729701")</f>
        <v>55.729701</v>
      </c>
      <c r="G836" s="6" t="str">
        <f>IFERROR(__xludf.DUMMYFUNCTION("""COMPUTED_VALUE"""),"37.721204")</f>
        <v>37.721204</v>
      </c>
      <c r="H836" s="18" t="str">
        <f>IFERROR(__xludf.DUMMYFUNCTION("""COMPUTED_VALUE"""),"https://docs.google.com/spreadsheets/d/1rbCD10ySi4YZEkJW2_Slmn9z7AI1WEsGsZaIJmnnT18/edit?gid=1527817991#gid=1527817991")</f>
        <v>https://docs.google.com/spreadsheets/d/1rbCD10ySi4YZEkJW2_Slmn9z7AI1WEsGsZaIJmnnT18/edit?gid=1527817991#gid=1527817991</v>
      </c>
      <c r="I836" s="19" t="str">
        <f>IFERROR(__xludf.DUMMYFUNCTION("""COMPUTED_VALUE"""),"https://disk.yandex.ru/client/disk/Осмотры%20объектов%20АНО%20СМГ/805.%20Нижегородская%20ул.%2C%20з-у%2092А%2C%20зона%202.4")</f>
        <v>https://disk.yandex.ru/client/disk/Осмотры%20объектов%20АНО%20СМГ/805.%20Нижегородская%20ул.%2C%20з-у%2092А%2C%20зона%202.4</v>
      </c>
      <c r="J836" s="50">
        <f>IFERROR(__xludf.DUMMYFUNCTION("""COMPUTED_VALUE"""),1.65)</f>
        <v>1.65</v>
      </c>
      <c r="K836" s="58">
        <f>IFERROR(__xludf.DUMMYFUNCTION("""COMPUTED_VALUE"""),45975.0)</f>
        <v>45975</v>
      </c>
      <c r="L836" s="6">
        <v>30.0</v>
      </c>
      <c r="M836" s="52">
        <v>46005.0</v>
      </c>
      <c r="N836" s="53" t="s">
        <v>711</v>
      </c>
      <c r="O836" s="19" t="s">
        <v>669</v>
      </c>
      <c r="P836" s="6"/>
      <c r="Q836" s="6"/>
      <c r="R836" s="6"/>
    </row>
    <row r="837">
      <c r="A837" s="31" t="str">
        <f>IFERROR(__xludf.DUMMYFUNCTION("""COMPUTED_VALUE"""),"597")</f>
        <v>597</v>
      </c>
      <c r="B837" s="14" t="str">
        <f>IFERROR(__xludf.DUMMYFUNCTION("""COMPUTED_VALUE"""),"РЕН-26")</f>
        <v>РЕН-26</v>
      </c>
      <c r="C837" s="14" t="str">
        <f>IFERROR(__xludf.DUMMYFUNCTION("""COMPUTED_VALUE"""),"ОКС")</f>
        <v>ОКС</v>
      </c>
      <c r="D837" s="6"/>
      <c r="E837" s="14" t="str">
        <f>IFERROR(__xludf.DUMMYFUNCTION("""COMPUTED_VALUE"""),"ул. Гарибальди, з/у 22 (зона 2.1) улица Гарибальди, земельный участок 22 (участок 2.1)")</f>
        <v>ул. Гарибальди, з/у 22 (зона 2.1) улица Гарибальди, земельный участок 22 (участок 2.1)</v>
      </c>
      <c r="F837" s="25" t="str">
        <f>IFERROR(__xludf.DUMMYFUNCTION("""COMPUTED_VALUE"""),"55.671743")</f>
        <v>55.671743</v>
      </c>
      <c r="G837" s="6" t="str">
        <f>IFERROR(__xludf.DUMMYFUNCTION("""COMPUTED_VALUE"""),"37.546630")</f>
        <v>37.546630</v>
      </c>
      <c r="H837" s="18" t="str">
        <f>IFERROR(__xludf.DUMMYFUNCTION("""COMPUTED_VALUE"""),"https://docs.google.com/spreadsheets/d/1rbCD10ySi4YZEkJW2_Slmn9z7AI1WEsGsZaIJmnnT18/edit?gid=1504466944#gid=1504466944")</f>
        <v>https://docs.google.com/spreadsheets/d/1rbCD10ySi4YZEkJW2_Slmn9z7AI1WEsGsZaIJmnnT18/edit?gid=1504466944#gid=1504466944</v>
      </c>
      <c r="I837" s="19" t="str">
        <f>IFERROR(__xludf.DUMMYFUNCTION("""COMPUTED_VALUE"""),"https://disk.yandex.ru/client/disk/Осмотры%20объектов%20АНО%20СМГ/597.%20Гарибальди%20з!у%2022%20(участок%202.1)")</f>
        <v>https://disk.yandex.ru/client/disk/Осмотры%20объектов%20АНО%20СМГ/597.%20Гарибальди%20з!у%2022%20(участок%202.1)</v>
      </c>
      <c r="J837" s="50">
        <f>IFERROR(__xludf.DUMMYFUNCTION("""COMPUTED_VALUE"""),26.304885)</f>
        <v>26.304885</v>
      </c>
      <c r="K837" s="58">
        <f>IFERROR(__xludf.DUMMYFUNCTION("""COMPUTED_VALUE"""),45972.0)</f>
        <v>45972</v>
      </c>
      <c r="L837" s="6">
        <v>30.0</v>
      </c>
      <c r="M837" s="52">
        <v>46002.0</v>
      </c>
      <c r="N837" s="53" t="s">
        <v>711</v>
      </c>
      <c r="O837" s="19" t="s">
        <v>669</v>
      </c>
      <c r="P837" s="6"/>
      <c r="Q837" s="6"/>
      <c r="R837" s="6"/>
    </row>
    <row r="838">
      <c r="A838" s="31" t="str">
        <f>IFERROR(__xludf.DUMMYFUNCTION("""COMPUTED_VALUE"""),"609")</f>
        <v>609</v>
      </c>
      <c r="B838" s="14" t="str">
        <f>IFERROR(__xludf.DUMMYFUNCTION("""COMPUTED_VALUE"""),"РЕН-26")</f>
        <v>РЕН-26</v>
      </c>
      <c r="C838" s="14" t="str">
        <f>IFERROR(__xludf.DUMMYFUNCTION("""COMPUTED_VALUE"""),"ОКС")</f>
        <v>ОКС</v>
      </c>
      <c r="D838" s="6"/>
      <c r="E838" s="14" t="str">
        <f>IFERROR(__xludf.DUMMYFUNCTION("""COMPUTED_VALUE"""),"ул. Лобачевского, влд. 62 район Проспект Вернадского, Лобачевского ул., вл. 62")</f>
        <v>ул. Лобачевского, влд. 62 район Проспект Вернадского, Лобачевского ул., вл. 62</v>
      </c>
      <c r="F838" s="25" t="str">
        <f>IFERROR(__xludf.DUMMYFUNCTION("""COMPUTED_VALUE"""),"55.675595")</f>
        <v>55.675595</v>
      </c>
      <c r="G838" s="6" t="str">
        <f>IFERROR(__xludf.DUMMYFUNCTION("""COMPUTED_VALUE"""),"37.492644")</f>
        <v>37.492644</v>
      </c>
      <c r="H838" s="18" t="str">
        <f>IFERROR(__xludf.DUMMYFUNCTION("""COMPUTED_VALUE"""),"https://docs.google.com/spreadsheets/d/1rbCD10ySi4YZEkJW2_Slmn9z7AI1WEsGsZaIJmnnT18/edit?gid=387655725#gid=387655725")</f>
        <v>https://docs.google.com/spreadsheets/d/1rbCD10ySi4YZEkJW2_Slmn9z7AI1WEsGsZaIJmnnT18/edit?gid=387655725#gid=387655725</v>
      </c>
      <c r="I838" s="19" t="str">
        <f>IFERROR(__xludf.DUMMYFUNCTION("""COMPUTED_VALUE"""),"https://disk.yandex.ru/client/disk/Осмотры%20объектов%20АНО%20СМГ/609.%20ЗАО%20проспект%20Вернадского%2C%20Лобачевского%20улица.%2C%20вл.62")</f>
        <v>https://disk.yandex.ru/client/disk/Осмотры%20объектов%20АНО%20СМГ/609.%20ЗАО%20проспект%20Вернадского%2C%20Лобачевского%20улица.%2C%20вл.62</v>
      </c>
      <c r="J838" s="50">
        <f>IFERROR(__xludf.DUMMYFUNCTION("""COMPUTED_VALUE"""),22.72227)</f>
        <v>22.72227</v>
      </c>
      <c r="K838" s="58">
        <f>IFERROR(__xludf.DUMMYFUNCTION("""COMPUTED_VALUE"""),45968.0)</f>
        <v>45968</v>
      </c>
      <c r="L838" s="6">
        <v>30.0</v>
      </c>
      <c r="M838" s="52">
        <v>45998.0</v>
      </c>
      <c r="N838" s="53" t="s">
        <v>711</v>
      </c>
      <c r="O838" s="19" t="s">
        <v>669</v>
      </c>
      <c r="P838" s="6"/>
      <c r="Q838" s="6"/>
      <c r="R838" s="6"/>
    </row>
    <row r="839">
      <c r="A839" s="31" t="str">
        <f>IFERROR(__xludf.DUMMYFUNCTION("""COMPUTED_VALUE"""),"644")</f>
        <v>644</v>
      </c>
      <c r="B839" s="14" t="str">
        <f>IFERROR(__xludf.DUMMYFUNCTION("""COMPUTED_VALUE"""),"РЕН-26")</f>
        <v>РЕН-26</v>
      </c>
      <c r="C839" s="14" t="str">
        <f>IFERROR(__xludf.DUMMYFUNCTION("""COMPUTED_VALUE"""),"ОКС")</f>
        <v>ОКС</v>
      </c>
      <c r="D839" s="6"/>
      <c r="E839" s="14" t="str">
        <f>IFERROR(__xludf.DUMMYFUNCTION("""COMPUTED_VALUE"""),"9 Мая ул., вл. 24 район Восточный, 9 Мая ул., вл. 24")</f>
        <v>9 Мая ул., вл. 24 район Восточный, 9 Мая ул., вл. 24</v>
      </c>
      <c r="F839" s="25" t="str">
        <f>IFERROR(__xludf.DUMMYFUNCTION("""COMPUTED_VALUE"""),"55.818169")</f>
        <v>55.818169</v>
      </c>
      <c r="G839" s="6" t="str">
        <f>IFERROR(__xludf.DUMMYFUNCTION("""COMPUTED_VALUE"""),"37.872541")</f>
        <v>37.872541</v>
      </c>
      <c r="H839" s="18" t="str">
        <f>IFERROR(__xludf.DUMMYFUNCTION("""COMPUTED_VALUE"""),"https://docs.google.com/spreadsheets/d/1rbCD10ySi4YZEkJW2_Slmn9z7AI1WEsGsZaIJmnnT18/edit?gid=692135392#gid=692135392")</f>
        <v>https://docs.google.com/spreadsheets/d/1rbCD10ySi4YZEkJW2_Slmn9z7AI1WEsGsZaIJmnnT18/edit?gid=692135392#gid=692135392</v>
      </c>
      <c r="I839" s="21" t="str">
        <f>IFERROR(__xludf.DUMMYFUNCTION("""COMPUTED_VALUE"""),"https://disk.yandex.ru/client/disk/%D0%9E%D1%81%D0%BC%D0%BE%D1%82%D1%80%D1%8B%20%D0%BE%D0%B1%D1%8A%D0%B5%D0%BA%D1%82%D0%BE%D0%B2%20%D0%90%D0%9D%D0%9E%20%D0%A1%D0%9C%D0%93/644%20%D0%A3%D0%BB.%209%20%D0%9C%D0%B0%D1%8F%20%D0%B2%D0%BB%2024%20%D1%80-%D0%BD%20%"&amp;"D0%92%D0%BE%D1%81%D1%82%D0%BE%D1%87%D0%BD%D1%8B%D0%B9%2C%20%D1%81%D0%BE%20%D1%81%D0%BD%D0%BE%D1%81%D0%BE%D0%BC%20%D0%96.%D0%A1.%20%20")</f>
        <v>https://disk.yandex.ru/client/disk/%D0%9E%D1%81%D0%BC%D0%BE%D1%82%D1%80%D1%8B%20%D0%BE%D0%B1%D1%8A%D0%B5%D0%BA%D1%82%D0%BE%D0%B2%20%D0%90%D0%9D%D0%9E%20%D0%A1%D0%9C%D0%93/644%20%D0%A3%D0%BB.%209%20%D0%9C%D0%B0%D1%8F%20%D0%B2%D0%BB%2024%20%D1%80-%D0%BD%20%D0%92%D0%BE%D1%81%D1%82%D0%BE%D1%87%D0%BD%D1%8B%D0%B9%2C%20%D1%81%D0%BE%20%D1%81%D0%BD%D0%BE%D1%81%D0%BE%D0%BC%20%D0%96.%D0%A1.%20%20</v>
      </c>
      <c r="J839" s="50">
        <f>IFERROR(__xludf.DUMMYFUNCTION("""COMPUTED_VALUE"""),2.85)</f>
        <v>2.85</v>
      </c>
      <c r="K839" s="58">
        <f>IFERROR(__xludf.DUMMYFUNCTION("""COMPUTED_VALUE"""),45960.0)</f>
        <v>45960</v>
      </c>
      <c r="L839" s="6">
        <v>30.0</v>
      </c>
      <c r="M839" s="52">
        <v>45990.0</v>
      </c>
      <c r="N839" s="53" t="s">
        <v>692</v>
      </c>
      <c r="O839" s="19" t="s">
        <v>1147</v>
      </c>
      <c r="P839" s="6"/>
      <c r="Q839" s="6"/>
      <c r="R839" s="6"/>
    </row>
    <row r="840">
      <c r="A840" s="31" t="str">
        <f>IFERROR(__xludf.DUMMYFUNCTION("""COMPUTED_VALUE"""),"605")</f>
        <v>605</v>
      </c>
      <c r="B840" s="14" t="str">
        <f>IFERROR(__xludf.DUMMYFUNCTION("""COMPUTED_VALUE"""),"РЕН-26")</f>
        <v>РЕН-26</v>
      </c>
      <c r="C840" s="14" t="str">
        <f>IFERROR(__xludf.DUMMYFUNCTION("""COMPUTED_VALUE"""),"ОКС")</f>
        <v>ОКС</v>
      </c>
      <c r="D840" s="6"/>
      <c r="E840" s="14" t="str">
        <f>IFERROR(__xludf.DUMMYFUNCTION("""COMPUTED_VALUE"""),"1-й Саратовский пр-д, з/у 5 (1-й Саратовский пр-д, вл.5) район Текстильщики, 1-й Саратовский пр-д, вл.5")</f>
        <v>1-й Саратовский пр-д, з/у 5 (1-й Саратовский пр-д, вл.5) район Текстильщики, 1-й Саратовский пр-д, вл.5</v>
      </c>
      <c r="F840" s="25" t="str">
        <f>IFERROR(__xludf.DUMMYFUNCTION("""COMPUTED_VALUE"""),"55.711841")</f>
        <v>55.711841</v>
      </c>
      <c r="G840" s="6" t="str">
        <f>IFERROR(__xludf.DUMMYFUNCTION("""COMPUTED_VALUE"""),"37.737222")</f>
        <v>37.737222</v>
      </c>
      <c r="H840" s="18" t="str">
        <f>IFERROR(__xludf.DUMMYFUNCTION("""COMPUTED_VALUE"""),"https://docs.google.com/spreadsheets/d/1rbCD10ySi4YZEkJW2_Slmn9z7AI1WEsGsZaIJmnnT18/edit?gid=847490134#gid=847490134")</f>
        <v>https://docs.google.com/spreadsheets/d/1rbCD10ySi4YZEkJW2_Slmn9z7AI1WEsGsZaIJmnnT18/edit?gid=847490134#gid=847490134</v>
      </c>
      <c r="I840" s="19" t="str">
        <f>IFERROR(__xludf.DUMMYFUNCTION("""COMPUTED_VALUE"""),"https://disk.yandex.ru/client/disk/Осмотры%20объектов%20АНО%20СМГ/605.%201-й%20Саратовский%20проезд%2C%205%20Реновация")</f>
        <v>https://disk.yandex.ru/client/disk/Осмотры%20объектов%20АНО%20СМГ/605.%201-й%20Саратовский%20проезд%2C%205%20Реновация</v>
      </c>
      <c r="J840" s="50">
        <f>IFERROR(__xludf.DUMMYFUNCTION("""COMPUTED_VALUE"""),5.97)</f>
        <v>5.97</v>
      </c>
      <c r="K840" s="58">
        <f>IFERROR(__xludf.DUMMYFUNCTION("""COMPUTED_VALUE"""),45975.0)</f>
        <v>45975</v>
      </c>
      <c r="L840" s="6">
        <v>30.0</v>
      </c>
      <c r="M840" s="52">
        <v>46005.0</v>
      </c>
      <c r="N840" s="53" t="s">
        <v>711</v>
      </c>
      <c r="O840" s="19" t="s">
        <v>669</v>
      </c>
      <c r="P840" s="6"/>
      <c r="Q840" s="6"/>
      <c r="R840" s="6"/>
    </row>
    <row r="841">
      <c r="A841" s="31" t="str">
        <f>IFERROR(__xludf.DUMMYFUNCTION("""COMPUTED_VALUE"""),"728")</f>
        <v>728</v>
      </c>
      <c r="B841" s="14" t="str">
        <f>IFERROR(__xludf.DUMMYFUNCTION("""COMPUTED_VALUE"""),"РЕН-26")</f>
        <v>РЕН-26</v>
      </c>
      <c r="C841" s="14" t="str">
        <f>IFERROR(__xludf.DUMMYFUNCTION("""COMPUTED_VALUE"""),"ОКС")</f>
        <v>ОКС</v>
      </c>
      <c r="D841" s="6"/>
      <c r="E841" s="14" t="str">
        <f>IFERROR(__xludf.DUMMYFUNCTION("""COMPUTED_VALUE"""),"ул. 2-я Синичкина, з/у 9 (ул. 2-я Синичкина, вл. 9) район Лефортово, улица 2-я Синичкина, земельный участок 9 (ул. 2-я Синичкина, вл. 9)")</f>
        <v>ул. 2-я Синичкина, з/у 9 (ул. 2-я Синичкина, вл. 9) район Лефортово, улица 2-я Синичкина, земельный участок 9 (ул. 2-я Синичкина, вл. 9)</v>
      </c>
      <c r="F841" s="25" t="str">
        <f>IFERROR(__xludf.DUMMYFUNCTION("""COMPUTED_VALUE"""),"55.763275")</f>
        <v>55.763275</v>
      </c>
      <c r="G841" s="6" t="str">
        <f>IFERROR(__xludf.DUMMYFUNCTION("""COMPUTED_VALUE"""),"37.712926")</f>
        <v>37.712926</v>
      </c>
      <c r="H841" s="18" t="str">
        <f>IFERROR(__xludf.DUMMYFUNCTION("""COMPUTED_VALUE"""),"https://docs.google.com/spreadsheets/d/1rbCD10ySi4YZEkJW2_Slmn9z7AI1WEsGsZaIJmnnT18/edit?gid=943458292#gid=943458292")</f>
        <v>https://docs.google.com/spreadsheets/d/1rbCD10ySi4YZEkJW2_Slmn9z7AI1WEsGsZaIJmnnT18/edit?gid=943458292#gid=943458292</v>
      </c>
      <c r="I841" s="21" t="str">
        <f>IFERROR(__xludf.DUMMYFUNCTION("""COMPUTED_VALUE"""),"https://disk.yandex.ru/client/disk/%D0%9E%D1%81%D0%BC%D0%BE%D1%82%D1%80%D1%8B%20%D0%BE%D0%B1%D1%8A%D0%B5%D0%BA%D1%82%D0%BE%D0%B2%20%D0%90%D0%9D%D0%9E%20%D0%A1%D0%9C%D0%93/728.%20%D1%80%D0%B0%D0%B9%D0%BE%D0%BD%20%D0%9B%D0%B5%D1%84%D0%BE%D1%80%D1%82%D0%BE%D"&amp;"0%B2%D0%BE%2C%202-%D1%8F%20%D0%A1%D0%B8%D0%BD%D0%B8%D1%87%D0%BA%D0%B8%D0%BD%D0%B0%2C%20%D0%B7.%D1%83%209%20(%D1%81%D0%BE%20%D1%81%D0%BD%D0%BE%D1%81%D0%BE%D0%BC%20%D0%B6%D0%B8%D0%BB%D0%BE%D0%B3%D0%BE%20%D0%B4%D0%BE%D0%BC%D0%B0%20%D0%BF%D0%BE%20%D0%B0%D0%B4"&amp;"%D1%80%D0%B5%D1%81%D1%83%3A%202-%D1%8F%20%D1%83%D0%BB%D0%B8%D1%86%D0%B0%20%D0%A1%D0%B8%D0%BD%D0%B8%D1%87%D0%BA%D0%B8%D0%BD%D0%B0%2C%20%D0%B4%D0%BE%D0%BC%209)")</f>
        <v>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v>
      </c>
      <c r="J841" s="50">
        <f>IFERROR(__xludf.DUMMYFUNCTION("""COMPUTED_VALUE"""),2.1708)</f>
        <v>2.1708</v>
      </c>
      <c r="K841" s="58">
        <f>IFERROR(__xludf.DUMMYFUNCTION("""COMPUTED_VALUE"""),45960.0)</f>
        <v>45960</v>
      </c>
      <c r="L841" s="6">
        <v>30.0</v>
      </c>
      <c r="M841" s="52">
        <v>45990.0</v>
      </c>
      <c r="N841" s="53" t="s">
        <v>692</v>
      </c>
      <c r="O841" s="19" t="s">
        <v>669</v>
      </c>
      <c r="P841" s="6"/>
      <c r="Q841" s="6"/>
      <c r="R841" s="6"/>
    </row>
    <row r="842">
      <c r="A842" s="31" t="str">
        <f>IFERROR(__xludf.DUMMYFUNCTION("""COMPUTED_VALUE"""),"645")</f>
        <v>645</v>
      </c>
      <c r="B842" s="14" t="str">
        <f>IFERROR(__xludf.DUMMYFUNCTION("""COMPUTED_VALUE"""),"РЕН-26")</f>
        <v>РЕН-26</v>
      </c>
      <c r="C842" s="14" t="str">
        <f>IFERROR(__xludf.DUMMYFUNCTION("""COMPUTED_VALUE"""),"ОКС")</f>
        <v>ОКС</v>
      </c>
      <c r="D842" s="6"/>
      <c r="E842" s="14" t="str">
        <f>IFERROR(__xludf.DUMMYFUNCTION("""COMPUTED_VALUE"""),"Щербаковская ул., влд. 5А район Соколиная гора, Щербаковская улица, влд. 5А")</f>
        <v>Щербаковская ул., влд. 5А район Соколиная гора, Щербаковская улица, влд. 5А</v>
      </c>
      <c r="F842" s="25" t="str">
        <f>IFERROR(__xludf.DUMMYFUNCTION("""COMPUTED_VALUE"""),"55.783473")</f>
        <v>55.783473</v>
      </c>
      <c r="G842" s="6" t="str">
        <f>IFERROR(__xludf.DUMMYFUNCTION("""COMPUTED_VALUE"""),"37.725236")</f>
        <v>37.725236</v>
      </c>
      <c r="H842" s="18" t="str">
        <f>IFERROR(__xludf.DUMMYFUNCTION("""COMPUTED_VALUE"""),"https://docs.google.com/spreadsheets/d/1rbCD10ySi4YZEkJW2_Slmn9z7AI1WEsGsZaIJmnnT18/edit?gid=1166394533#gid=1166394533")</f>
        <v>https://docs.google.com/spreadsheets/d/1rbCD10ySi4YZEkJW2_Slmn9z7AI1WEsGsZaIJmnnT18/edit?gid=1166394533#gid=1166394533</v>
      </c>
      <c r="I842" s="21" t="str">
        <f>IFERROR(__xludf.DUMMYFUNCTION("""COMPUTED_VALUE"""),"https://disk.yandex.ru/client/disk/%D0%9E%D1%81%D0%BC%D0%BE%D1%82%D1%80%D1%8B%20%D0%BE%D0%B1%D1%8A%D0%B5%D0%BA%D1%82%D0%BE%D0%B2%20%D0%90%D0%9D%D0%9E%20%D0%A1%D0%9C%D0%93/645.%20%D0%A9%D0%B5%D1%80%D0%B1%D0%B0%D0%BA%D0%BE%D0%B2%D1%81%D0%BA%D0%B0%D1%8F%20%D"&amp;"0%B7%D1%83%205%D0%90%20")</f>
        <v>https://disk.yandex.ru/client/disk/%D0%9E%D1%81%D0%BC%D0%BE%D1%82%D1%80%D1%8B%20%D0%BE%D0%B1%D1%8A%D0%B5%D0%BA%D1%82%D0%BE%D0%B2%20%D0%90%D0%9D%D0%9E%20%D0%A1%D0%9C%D0%93/645.%20%D0%A9%D0%B5%D1%80%D0%B1%D0%B0%D0%BA%D0%BE%D0%B2%D1%81%D0%BA%D0%B0%D1%8F%20%D0%B7%D1%83%205%D0%90%20</v>
      </c>
      <c r="J842" s="50">
        <f>IFERROR(__xludf.DUMMYFUNCTION("""COMPUTED_VALUE"""),14.57082)</f>
        <v>14.57082</v>
      </c>
      <c r="K842" s="58">
        <f>IFERROR(__xludf.DUMMYFUNCTION("""COMPUTED_VALUE"""),45960.0)</f>
        <v>45960</v>
      </c>
      <c r="L842" s="6">
        <v>30.0</v>
      </c>
      <c r="M842" s="52">
        <v>45990.0</v>
      </c>
      <c r="N842" s="53" t="s">
        <v>692</v>
      </c>
      <c r="O842" s="19" t="s">
        <v>669</v>
      </c>
      <c r="P842" s="6"/>
      <c r="Q842" s="6"/>
      <c r="R842" s="6"/>
    </row>
    <row r="843">
      <c r="A843" s="31" t="str">
        <f>IFERROR(__xludf.DUMMYFUNCTION("""COMPUTED_VALUE"""),"672")</f>
        <v>672</v>
      </c>
      <c r="B843" s="14" t="str">
        <f>IFERROR(__xludf.DUMMYFUNCTION("""COMPUTED_VALUE"""),"РЕН-26")</f>
        <v>РЕН-26</v>
      </c>
      <c r="C843" s="14" t="str">
        <f>IFERROR(__xludf.DUMMYFUNCTION("""COMPUTED_VALUE"""),"ОКС")</f>
        <v>ОКС</v>
      </c>
      <c r="D843" s="6"/>
      <c r="E843" s="14" t="str">
        <f>IFERROR(__xludf.DUMMYFUNCTION("""COMPUTED_VALUE"""),"2-я Дубровская ул., з/у 1 район Таганский, 2-я Дубровская улица, земельный участок 1")</f>
        <v>2-я Дубровская ул., з/у 1 район Таганский, 2-я Дубровская улица, земельный участок 1</v>
      </c>
      <c r="F843" s="25" t="str">
        <f>IFERROR(__xludf.DUMMYFUNCTION("""COMPUTED_VALUE"""),"55.729530")</f>
        <v>55.729530</v>
      </c>
      <c r="G843" s="6" t="str">
        <f>IFERROR(__xludf.DUMMYFUNCTION("""COMPUTED_VALUE"""),"37.670697")</f>
        <v>37.670697</v>
      </c>
      <c r="H843" s="18" t="str">
        <f>IFERROR(__xludf.DUMMYFUNCTION("""COMPUTED_VALUE"""),"https://docs.google.com/spreadsheets/d/1rbCD10ySi4YZEkJW2_Slmn9z7AI1WEsGsZaIJmnnT18/edit?gid=1407262521#gid=1407262521")</f>
        <v>https://docs.google.com/spreadsheets/d/1rbCD10ySi4YZEkJW2_Slmn9z7AI1WEsGsZaIJmnnT18/edit?gid=1407262521#gid=1407262521</v>
      </c>
      <c r="I843" s="21" t="str">
        <f>IFERROR(__xludf.DUMMYFUNCTION("""COMPUTED_VALUE"""),"https://disk.yandex.ru/client/disk/%D0%9E%D1%81%D0%BC%D0%BE%D1%82%D1%80%D1%8B%20%D0%BE%D0%B1%D1%8A%D0%B5%D0%BA%D1%82%D0%BE%D0%B2%20%D0%90%D0%9D%D0%9E%20%D0%A1%D0%9C%D0%93/672.%202-%D1%8F%20%D0%94%D1%83%D0%B1%D1%80%D0%BE%D0%B2%D1%81%D0%BA%D0%B0%D1%8F%20%D0"&amp;"%B4.1")</f>
        <v>https://disk.yandex.ru/client/disk/%D0%9E%D1%81%D0%BC%D0%BE%D1%82%D1%80%D1%8B%20%D0%BE%D0%B1%D1%8A%D0%B5%D0%BA%D1%82%D0%BE%D0%B2%20%D0%90%D0%9D%D0%9E%20%D0%A1%D0%9C%D0%93/672.%202-%D1%8F%20%D0%94%D1%83%D0%B1%D1%80%D0%BE%D0%B2%D1%81%D0%BA%D0%B0%D1%8F%20%D0%B4.1</v>
      </c>
      <c r="J843" s="50">
        <f>IFERROR(__xludf.DUMMYFUNCTION("""COMPUTED_VALUE"""),8.309999999999999)</f>
        <v>8.31</v>
      </c>
      <c r="K843" s="58">
        <f>IFERROR(__xludf.DUMMYFUNCTION("""COMPUTED_VALUE"""),45971.0)</f>
        <v>45971</v>
      </c>
      <c r="L843" s="6">
        <v>30.0</v>
      </c>
      <c r="M843" s="52">
        <v>46001.0</v>
      </c>
      <c r="N843" s="53" t="s">
        <v>711</v>
      </c>
      <c r="O843" s="19" t="s">
        <v>1148</v>
      </c>
      <c r="P843" s="6"/>
      <c r="Q843" s="6"/>
      <c r="R843" s="6"/>
    </row>
    <row r="844">
      <c r="A844" s="31" t="str">
        <f>IFERROR(__xludf.DUMMYFUNCTION("""COMPUTED_VALUE"""),"650")</f>
        <v>650</v>
      </c>
      <c r="B844" s="14" t="str">
        <f>IFERROR(__xludf.DUMMYFUNCTION("""COMPUTED_VALUE"""),"РЕН-26")</f>
        <v>РЕН-26</v>
      </c>
      <c r="C844" s="14" t="str">
        <f>IFERROR(__xludf.DUMMYFUNCTION("""COMPUTED_VALUE"""),"ОКС")</f>
        <v>ОКС</v>
      </c>
      <c r="D844" s="6"/>
      <c r="E844" s="14" t="str">
        <f>IFERROR(__xludf.DUMMYFUNCTION("""COMPUTED_VALUE"""),"Большая Черёмушкинская, з/у 26  ЮЗАО, район Академический, Большая Черемушкинская улица, земельный участок 26 
(рефинансирование)")</f>
        <v>Большая Черёмушкинская, з/у 26  ЮЗАО, район Академический, Большая Черемушкинская улица, земельный участок 26 
(рефинансирование)</v>
      </c>
      <c r="F844" s="25" t="str">
        <f>IFERROR(__xludf.DUMMYFUNCTION("""COMPUTED_VALUE"""),"55.680673")</f>
        <v>55.680673</v>
      </c>
      <c r="G844" s="6" t="str">
        <f>IFERROR(__xludf.DUMMYFUNCTION("""COMPUTED_VALUE"""),"37.584110")</f>
        <v>37.584110</v>
      </c>
      <c r="H844" s="18" t="str">
        <f>IFERROR(__xludf.DUMMYFUNCTION("""COMPUTED_VALUE"""),"https://docs.google.com/spreadsheets/d/1rbCD10ySi4YZEkJW2_Slmn9z7AI1WEsGsZaIJmnnT18/edit?gid=1401788865#gid=1401788865")</f>
        <v>https://docs.google.com/spreadsheets/d/1rbCD10ySi4YZEkJW2_Slmn9z7AI1WEsGsZaIJmnnT18/edit?gid=1401788865#gid=1401788865</v>
      </c>
      <c r="I844" s="21" t="str">
        <f>IFERROR(__xludf.DUMMYFUNCTION("""COMPUTED_VALUE"""),"https://disk.yandex.ru/client/disk/%D0%9E%D1%81%D0%BC%D0%BE%D1%82%D1%80%D1%8B%20%D0%BE%D0%B1%D1%8A%D0%B5%D0%BA%D1%82%D0%BE%D0%B2%20%D0%90%D0%9D%D0%9E%20%D0%A1%D0%9C%D0%93/650.%20%D0%91%D0%BE%D0%BB%D1%8C%D1%88%D0%B0%D1%8F%20%D0%A7%D0%B5%D1%80%D1%91%D0%BC%D"&amp;"1%83%D1%88%D0%BA%D0%B8%D0%BD%D1%81%D0%BA%D0%B0%D1%8F%20%D0%B7!%D1%83%2026%20(%D1%80%D0%B5%D1%84%D0%B8%D0%BD%D0%B0%D0%BD%D1%81%D0%B8%D1%80%D0%BE%D0%B2%D0%B0%D0%BD%D0%B8%D0%B5)")</f>
        <v>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v>
      </c>
      <c r="J844" s="50">
        <f>IFERROR(__xludf.DUMMYFUNCTION("""COMPUTED_VALUE"""),0.75)</f>
        <v>0.75</v>
      </c>
      <c r="K844" s="58">
        <f>IFERROR(__xludf.DUMMYFUNCTION("""COMPUTED_VALUE"""),45966.0)</f>
        <v>45966</v>
      </c>
      <c r="L844" s="6">
        <v>30.0</v>
      </c>
      <c r="M844" s="52">
        <v>45996.0</v>
      </c>
      <c r="N844" s="53" t="s">
        <v>711</v>
      </c>
      <c r="O844" s="19" t="s">
        <v>1149</v>
      </c>
      <c r="P844" s="6"/>
      <c r="Q844" s="6"/>
      <c r="R844" s="6"/>
    </row>
    <row r="845">
      <c r="A845" s="31" t="str">
        <f>IFERROR(__xludf.DUMMYFUNCTION("""COMPUTED_VALUE"""),"564")</f>
        <v>564</v>
      </c>
      <c r="B845" s="14" t="str">
        <f>IFERROR(__xludf.DUMMYFUNCTION("""COMPUTED_VALUE"""),"РЕН-26")</f>
        <v>РЕН-26</v>
      </c>
      <c r="C845" s="14" t="str">
        <f>IFERROR(__xludf.DUMMYFUNCTION("""COMPUTED_VALUE"""),"ОКС")</f>
        <v>ОКС</v>
      </c>
      <c r="D845" s="6"/>
      <c r="E845" s="14" t="str">
        <f>IFERROR(__xludf.DUMMYFUNCTION("""COMPUTED_VALUE"""),"ул. Лётчика Бабушкина, з/у 29/5 (Летчика Бабушкина ул., вл. 29, корп. 5), зона № 3.1 СВАО, Бабушкинский, улица Лётчика Бабушкина, земельный участок 29/5, мкр.10,13, зона №  3.1 (Летчика Бабушкина ул., вл. 29, корп. 5) 									")</f>
        <v>ул. Лётчика Бабушкина, з/у 29/5 (Летчика Бабушкина ул., вл. 29, корп. 5), зона № 3.1 СВАО, Бабушкинский, улица Лётчика Бабушкина, земельный участок 29/5, мкр.10,13, зона №  3.1 (Летчика Бабушкина ул., вл. 29, корп. 5) 									</v>
      </c>
      <c r="F845" s="25" t="str">
        <f>IFERROR(__xludf.DUMMYFUNCTION("""COMPUTED_VALUE"""),"55.870315")</f>
        <v>55.870315</v>
      </c>
      <c r="G845" s="6" t="str">
        <f>IFERROR(__xludf.DUMMYFUNCTION("""COMPUTED_VALUE"""),"37.673746")</f>
        <v>37.673746</v>
      </c>
      <c r="H845" s="18" t="str">
        <f>IFERROR(__xludf.DUMMYFUNCTION("""COMPUTED_VALUE"""),"https://docs.google.com/spreadsheets/d/1rbCD10ySi4YZEkJW2_Slmn9z7AI1WEsGsZaIJmnnT18/edit?gid=1455966079#gid=1455966079")</f>
        <v>https://docs.google.com/spreadsheets/d/1rbCD10ySi4YZEkJW2_Slmn9z7AI1WEsGsZaIJmnnT18/edit?gid=1455966079#gid=1455966079</v>
      </c>
      <c r="I845" s="19" t="str">
        <f>IFERROR(__xludf.DUMMYFUNCTION("""COMPUTED_VALUE"""),"https://disk.yandex.ru/client/disk/Осмотры%20объектов%20АНО%20СМГ/564.%20ул.%20Лётчика%20Бабушкина%2C%20з.у.%2029.5")</f>
        <v>https://disk.yandex.ru/client/disk/Осмотры%20объектов%20АНО%20СМГ/564.%20ул.%20Лётчика%20Бабушкина%2C%20з.у.%2029.5</v>
      </c>
      <c r="J845" s="50">
        <f>IFERROR(__xludf.DUMMYFUNCTION("""COMPUTED_VALUE"""),55.97624999999999)</f>
        <v>55.97625</v>
      </c>
      <c r="K845" s="58">
        <f>IFERROR(__xludf.DUMMYFUNCTION("""COMPUTED_VALUE"""),45972.0)</f>
        <v>45972</v>
      </c>
      <c r="L845" s="6">
        <v>14.0</v>
      </c>
      <c r="M845" s="52">
        <v>45986.0</v>
      </c>
      <c r="N845" s="53" t="s">
        <v>711</v>
      </c>
      <c r="O845" s="19" t="s">
        <v>669</v>
      </c>
      <c r="P845" s="6"/>
      <c r="Q845" s="6"/>
      <c r="R845" s="6"/>
    </row>
    <row r="846">
      <c r="A846" s="31" t="str">
        <f>IFERROR(__xludf.DUMMYFUNCTION("""COMPUTED_VALUE"""),"550")</f>
        <v>550</v>
      </c>
      <c r="B846" s="14" t="str">
        <f>IFERROR(__xludf.DUMMYFUNCTION("""COMPUTED_VALUE"""),"РЕН-26")</f>
        <v>РЕН-26</v>
      </c>
      <c r="C846" s="14" t="str">
        <f>IFERROR(__xludf.DUMMYFUNCTION("""COMPUTED_VALUE"""),"ОКС")</f>
        <v>ОКС</v>
      </c>
      <c r="D846" s="6"/>
      <c r="E846" s="14" t="str">
        <f>IFERROR(__xludf.DUMMYFUNCTION("""COMPUTED_VALUE"""),"гор.Щербинка, 40 лет Октября ул., з/у 12 ТиНАО, г.о. Щербинка,  ул. 40 лет Октября, з/у 12 (Симферопольская ул., д. 2, ул. 40 лет Октября, д. 12, д. 16/1)")</f>
        <v>гор.Щербинка, 40 лет Октября ул., з/у 12 ТиНАО, г.о. Щербинка,  ул. 40 лет Октября, з/у 12 (Симферопольская ул., д. 2, ул. 40 лет Октября, д. 12, д. 16/1)</v>
      </c>
      <c r="F846" s="25" t="str">
        <f>IFERROR(__xludf.DUMMYFUNCTION("""COMPUTED_VALUE"""),"55.510648")</f>
        <v>55.510648</v>
      </c>
      <c r="G846" s="6" t="str">
        <f>IFERROR(__xludf.DUMMYFUNCTION("""COMPUTED_VALUE"""),"37.572771")</f>
        <v>37.572771</v>
      </c>
      <c r="H846" s="18" t="str">
        <f>IFERROR(__xludf.DUMMYFUNCTION("""COMPUTED_VALUE"""),"https://docs.google.com/spreadsheets/d/1rbCD10ySi4YZEkJW2_Slmn9z7AI1WEsGsZaIJmnnT18/edit?gid=811633138#gid=811633138")</f>
        <v>https://docs.google.com/spreadsheets/d/1rbCD10ySi4YZEkJW2_Slmn9z7AI1WEsGsZaIJmnnT18/edit?gid=811633138#gid=811633138</v>
      </c>
      <c r="I846" s="19" t="str">
        <f>IFERROR(__xludf.DUMMYFUNCTION("""COMPUTED_VALUE"""),"https://disk.yandex.ru/client/disk/Осмотры%20объектов%20АНО%20СМГ/550.%20г.о.%20Щербинка%2C%20ул.%2040%20лет%20Октября%2C%20з.у%2012%20Симферопольская%20ул.%2C%20д.%202%2C%20ул.%2040%20лет%20Октября%2C%20д.%2012%2C%20д.%2016.1)")</f>
        <v>https://disk.yandex.ru/client/disk/Осмотры%20объектов%20АНО%20СМГ/550.%20г.о.%20Щербинка%2C%20ул.%2040%20лет%20Октября%2C%20з.у%2012%20Симферопольская%20ул.%2C%20д.%202%2C%20ул.%2040%20лет%20Октября%2C%20д.%2012%2C%20д.%2016.1)</v>
      </c>
      <c r="J846" s="50">
        <f>IFERROR(__xludf.DUMMYFUNCTION("""COMPUTED_VALUE"""),22.826399999999996)</f>
        <v>22.8264</v>
      </c>
      <c r="K846" s="58">
        <f>IFERROR(__xludf.DUMMYFUNCTION("""COMPUTED_VALUE"""),45968.0)</f>
        <v>45968</v>
      </c>
      <c r="L846" s="6">
        <v>30.0</v>
      </c>
      <c r="M846" s="52">
        <v>45998.0</v>
      </c>
      <c r="N846" s="53" t="s">
        <v>711</v>
      </c>
      <c r="O846" s="19" t="s">
        <v>1150</v>
      </c>
      <c r="P846" s="6"/>
      <c r="Q846" s="6"/>
      <c r="R846" s="6"/>
    </row>
    <row r="847">
      <c r="A847" s="31" t="str">
        <f>IFERROR(__xludf.DUMMYFUNCTION("""COMPUTED_VALUE"""),"655")</f>
        <v>655</v>
      </c>
      <c r="B847" s="14" t="str">
        <f>IFERROR(__xludf.DUMMYFUNCTION("""COMPUTED_VALUE"""),"РЕН-26")</f>
        <v>РЕН-26</v>
      </c>
      <c r="C847" s="14" t="str">
        <f>IFERROR(__xludf.DUMMYFUNCTION("""COMPUTED_VALUE"""),"ОКС")</f>
        <v>ОКС</v>
      </c>
      <c r="D847" s="6"/>
      <c r="E847" s="14" t="str">
        <f>IFERROR(__xludf.DUMMYFUNCTION("""COMPUTED_VALUE"""),"ул. Корнейчука, вл.47А СВАО, район Бибирево, ул. Корнейчука, вл. 47А (со сносом здания по адресу: ул. Корнейчука, д. 47А)")</f>
        <v>ул. Корнейчука, вл.47А СВАО, район Бибирево, ул. Корнейчука, вл. 47А (со сносом здания по адресу: ул. Корнейчука, д. 47А)</v>
      </c>
      <c r="F847" s="25" t="str">
        <f>IFERROR(__xludf.DUMMYFUNCTION("""COMPUTED_VALUE"""),"55.893110")</f>
        <v>55.893110</v>
      </c>
      <c r="G847" s="6" t="str">
        <f>IFERROR(__xludf.DUMMYFUNCTION("""COMPUTED_VALUE"""),"37.630685")</f>
        <v>37.630685</v>
      </c>
      <c r="H847" s="18" t="str">
        <f>IFERROR(__xludf.DUMMYFUNCTION("""COMPUTED_VALUE"""),"https://docs.google.com/spreadsheets/d/1rbCD10ySi4YZEkJW2_Slmn9z7AI1WEsGsZaIJmnnT18/edit?gid=1300345470#gid=1300345470")</f>
        <v>https://docs.google.com/spreadsheets/d/1rbCD10ySi4YZEkJW2_Slmn9z7AI1WEsGsZaIJmnnT18/edit?gid=1300345470#gid=1300345470</v>
      </c>
      <c r="I847" s="19" t="str">
        <f>IFERROR(__xludf.DUMMYFUNCTION("""COMPUTED_VALUE"""),"https://disk.yandex.ru/client/disk/Осмотры%20объектов%20АНО%20СМГ/655.%20ул.%20Корнейчука%2C%20вл.%2047%20А")</f>
        <v>https://disk.yandex.ru/client/disk/Осмотры%20объектов%20АНО%20СМГ/655.%20ул.%20Корнейчука%2C%20вл.%2047%20А</v>
      </c>
      <c r="J847" s="50">
        <f>IFERROR(__xludf.DUMMYFUNCTION("""COMPUTED_VALUE"""),34.077884999999995)</f>
        <v>34.077885</v>
      </c>
      <c r="K847" s="58">
        <f>IFERROR(__xludf.DUMMYFUNCTION("""COMPUTED_VALUE"""),45961.0)</f>
        <v>45961</v>
      </c>
      <c r="L847" s="6">
        <v>30.0</v>
      </c>
      <c r="M847" s="52">
        <v>45991.0</v>
      </c>
      <c r="N847" s="53" t="s">
        <v>692</v>
      </c>
      <c r="O847" s="19" t="s">
        <v>669</v>
      </c>
      <c r="P847" s="6"/>
      <c r="Q847" s="6"/>
      <c r="R847" s="6"/>
    </row>
    <row r="848">
      <c r="A848" s="31" t="str">
        <f>IFERROR(__xludf.DUMMYFUNCTION("""COMPUTED_VALUE"""),"712")</f>
        <v>712</v>
      </c>
      <c r="B848" s="14" t="str">
        <f>IFERROR(__xludf.DUMMYFUNCTION("""COMPUTED_VALUE"""),"РЕН-26")</f>
        <v>РЕН-26</v>
      </c>
      <c r="C848" s="14" t="str">
        <f>IFERROR(__xludf.DUMMYFUNCTION("""COMPUTED_VALUE"""),"ОКС")</f>
        <v>ОКС</v>
      </c>
      <c r="D848" s="6"/>
      <c r="E848" s="14" t="str">
        <f>IFERROR(__xludf.DUMMYFUNCTION("""COMPUTED_VALUE"""),"ул.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f>
        <v>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v>
      </c>
      <c r="F848" s="25" t="str">
        <f>IFERROR(__xludf.DUMMYFUNCTION("""COMPUTED_VALUE"""),"55.674464")</f>
        <v>55.674464</v>
      </c>
      <c r="G848" s="6" t="str">
        <f>IFERROR(__xludf.DUMMYFUNCTION("""COMPUTED_VALUE"""),"37.446148")</f>
        <v>37.446148</v>
      </c>
      <c r="H848" s="18" t="str">
        <f>IFERROR(__xludf.DUMMYFUNCTION("""COMPUTED_VALUE"""),"https://docs.google.com/spreadsheets/d/1rbCD10ySi4YZEkJW2_Slmn9z7AI1WEsGsZaIJmnnT18/edit?gid=1525507838#gid=1525507838")</f>
        <v>https://docs.google.com/spreadsheets/d/1rbCD10ySi4YZEkJW2_Slmn9z7AI1WEsGsZaIJmnnT18/edit?gid=1525507838#gid=1525507838</v>
      </c>
      <c r="I848" s="19" t="str">
        <f>IFERROR(__xludf.DUMMYFUNCTION("""COMPUTED_VALUE"""),"https://disk.yandex.ru/client/disk/Осмотры%20объектов%20АНО%20СМГ/712.%20Большая%20Очаковская%2C%20влд.%2045А%2C%20квартал%202%2C4%20зона%2015.1")</f>
        <v>https://disk.yandex.ru/client/disk/Осмотры%20объектов%20АНО%20СМГ/712.%20Большая%20Очаковская%2C%20влд.%2045А%2C%20квартал%202%2C4%20зона%2015.1</v>
      </c>
      <c r="J848" s="50">
        <f>IFERROR(__xludf.DUMMYFUNCTION("""COMPUTED_VALUE"""),17.1978)</f>
        <v>17.1978</v>
      </c>
      <c r="K848" s="58">
        <f>IFERROR(__xludf.DUMMYFUNCTION("""COMPUTED_VALUE"""),45968.0)</f>
        <v>45968</v>
      </c>
      <c r="L848" s="6">
        <v>30.0</v>
      </c>
      <c r="M848" s="52">
        <v>45998.0</v>
      </c>
      <c r="N848" s="53" t="s">
        <v>711</v>
      </c>
      <c r="O848" s="19" t="s">
        <v>669</v>
      </c>
      <c r="P848" s="6"/>
      <c r="Q848" s="6"/>
      <c r="R848" s="6"/>
    </row>
    <row r="849">
      <c r="A849" s="31" t="str">
        <f>IFERROR(__xludf.DUMMYFUNCTION("""COMPUTED_VALUE"""),"698")</f>
        <v>698</v>
      </c>
      <c r="B849" s="14" t="str">
        <f>IFERROR(__xludf.DUMMYFUNCTION("""COMPUTED_VALUE"""),"РЕН-26")</f>
        <v>РЕН-26</v>
      </c>
      <c r="C849" s="14" t="str">
        <f>IFERROR(__xludf.DUMMYFUNCTION("""COMPUTED_VALUE"""),"ОКС")</f>
        <v>ОКС</v>
      </c>
      <c r="D849" s="6"/>
      <c r="E849" s="14" t="str">
        <f>IFERROR(__xludf.DUMMYFUNCTION("""COMPUTED_VALUE"""),"Шишкин Лес, зона 6.2 ТАО, пос. Михайлово-Ярцевское, п. Шишкин Лес, з/у 5 зона №  6.2")</f>
        <v>Шишкин Лес, зона 6.2 ТАО, пос. Михайлово-Ярцевское, п. Шишкин Лес, з/у 5 зона №  6.2</v>
      </c>
      <c r="F849" s="25" t="str">
        <f>IFERROR(__xludf.DUMMYFUNCTION("""COMPUTED_VALUE"""),"55.413660")</f>
        <v>55.413660</v>
      </c>
      <c r="G849" s="6" t="str">
        <f>IFERROR(__xludf.DUMMYFUNCTION("""COMPUTED_VALUE"""),"37.192563")</f>
        <v>37.192563</v>
      </c>
      <c r="H849" s="18" t="str">
        <f>IFERROR(__xludf.DUMMYFUNCTION("""COMPUTED_VALUE"""),"https://docs.google.com/spreadsheets/d/1rbCD10ySi4YZEkJW2_Slmn9z7AI1WEsGsZaIJmnnT18/edit?gid=1721879742#gid=1721879742")</f>
        <v>https://docs.google.com/spreadsheets/d/1rbCD10ySi4YZEkJW2_Slmn9z7AI1WEsGsZaIJmnnT18/edit?gid=1721879742#gid=1721879742</v>
      </c>
      <c r="I849" s="19" t="str">
        <f>IFERROR(__xludf.DUMMYFUNCTION("""COMPUTED_VALUE"""),"https://disk.yandex.ru/client/disk/Осмотры%20объектов%20АНО%20СМГ/698.%20пос.%20Михайлово-Ярцевское%2C%20п.%20Шишкин%20Лес%2C%20зу%205%20зона%20№%206.2")</f>
        <v>https://disk.yandex.ru/client/disk/Осмотры%20объектов%20АНО%20СМГ/698.%20пос.%20Михайлово-Ярцевское%2C%20п.%20Шишкин%20Лес%2C%20зу%205%20зона%20№%206.2</v>
      </c>
      <c r="J849" s="50">
        <f>IFERROR(__xludf.DUMMYFUNCTION("""COMPUTED_VALUE"""),5.609999999999999)</f>
        <v>5.61</v>
      </c>
      <c r="K849" s="58">
        <f>IFERROR(__xludf.DUMMYFUNCTION("""COMPUTED_VALUE"""),45968.0)</f>
        <v>45968</v>
      </c>
      <c r="L849" s="6">
        <v>30.0</v>
      </c>
      <c r="M849" s="52">
        <v>45998.0</v>
      </c>
      <c r="N849" s="53" t="s">
        <v>711</v>
      </c>
      <c r="O849" s="19" t="s">
        <v>669</v>
      </c>
      <c r="P849" s="6"/>
      <c r="Q849" s="6"/>
      <c r="R849" s="6"/>
    </row>
    <row r="850">
      <c r="A850" s="31" t="str">
        <f>IFERROR(__xludf.DUMMYFUNCTION("""COMPUTED_VALUE"""),"582")</f>
        <v>582</v>
      </c>
      <c r="B850" s="14" t="str">
        <f>IFERROR(__xludf.DUMMYFUNCTION("""COMPUTED_VALUE"""),"РЕН-26")</f>
        <v>РЕН-26</v>
      </c>
      <c r="C850" s="14" t="str">
        <f>IFERROR(__xludf.DUMMYFUNCTION("""COMPUTED_VALUE"""),"ОКС")</f>
        <v>ОКС</v>
      </c>
      <c r="D850" s="6"/>
      <c r="E850" s="14" t="str">
        <f>IFERROR(__xludf.DUMMYFUNCTION("""COMPUTED_VALUE"""),"ул. Профсоюзная, з/у 60 (участок 3.2) ЮЗАО, района Обручевский, Профсоюзная улица, зу 60 квартал 26-27, зона № 3.2 (со сносом жилых зданий по адресам: Профсоюзная улица, дом 60, корпус 1; Профсоюзная улица, дом 60, корпус 2) (рефинансирование)")</f>
        <v>ул. Профсоюзная, з/у 60 (участок 3.2) ЮЗАО, района Обручевский, Профсоюзная улица, зу 60 квартал 26-27, зона № 3.2 (со сносом жилых зданий по адресам: Профсоюзная улица, дом 60, корпус 1; Профсоюзная улица, дом 60, корпус 2) (рефинансирование)</v>
      </c>
      <c r="F850" s="25" t="str">
        <f>IFERROR(__xludf.DUMMYFUNCTION("""COMPUTED_VALUE"""),"55.668230")</f>
        <v>55.668230</v>
      </c>
      <c r="G850" s="6" t="str">
        <f>IFERROR(__xludf.DUMMYFUNCTION("""COMPUTED_VALUE"""),"37.551306")</f>
        <v>37.551306</v>
      </c>
      <c r="H850" s="18" t="str">
        <f>IFERROR(__xludf.DUMMYFUNCTION("""COMPUTED_VALUE"""),"https://docs.google.com/spreadsheets/d/1rbCD10ySi4YZEkJW2_Slmn9z7AI1WEsGsZaIJmnnT18/edit?gid=1735599010#gid=1735599010")</f>
        <v>https://docs.google.com/spreadsheets/d/1rbCD10ySi4YZEkJW2_Slmn9z7AI1WEsGsZaIJmnnT18/edit?gid=1735599010#gid=1735599010</v>
      </c>
      <c r="I850" s="19" t="str">
        <f>IFERROR(__xludf.DUMMYFUNCTION("""COMPUTED_VALUE"""),"https://disk.yandex.ru/client/disk/Осмотры%20объектов%20АНО%20СМГ/582.%20Профсоюзная%20з!у%2060%20(участок%203.2)")</f>
        <v>https://disk.yandex.ru/client/disk/Осмотры%20объектов%20АНО%20СМГ/582.%20Профсоюзная%20з!у%2060%20(участок%203.2)</v>
      </c>
      <c r="J850" s="50">
        <f>IFERROR(__xludf.DUMMYFUNCTION("""COMPUTED_VALUE"""),31.918649999999992)</f>
        <v>31.91865</v>
      </c>
      <c r="K850" s="58">
        <f>IFERROR(__xludf.DUMMYFUNCTION("""COMPUTED_VALUE"""),45972.0)</f>
        <v>45972</v>
      </c>
      <c r="L850" s="6">
        <v>30.0</v>
      </c>
      <c r="M850" s="52">
        <v>46002.0</v>
      </c>
      <c r="N850" s="53" t="s">
        <v>711</v>
      </c>
      <c r="O850" s="19" t="s">
        <v>669</v>
      </c>
      <c r="P850" s="6"/>
      <c r="Q850" s="6"/>
      <c r="R850" s="6"/>
    </row>
    <row r="851">
      <c r="A851" s="31" t="str">
        <f>IFERROR(__xludf.DUMMYFUNCTION("""COMPUTED_VALUE"""),"653")</f>
        <v>653</v>
      </c>
      <c r="B851" s="14" t="str">
        <f>IFERROR(__xludf.DUMMYFUNCTION("""COMPUTED_VALUE"""),"РЕН-26")</f>
        <v>РЕН-26</v>
      </c>
      <c r="C851" s="14" t="str">
        <f>IFERROR(__xludf.DUMMYFUNCTION("""COMPUTED_VALUE"""),"ОКС")</f>
        <v>ОКС</v>
      </c>
      <c r="D851" s="6"/>
      <c r="E851" s="14" t="str">
        <f>IFERROR(__xludf.DUMMYFUNCTION("""COMPUTED_VALUE"""),"ул.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ул"&amp;". Госпитальный Вал, д.5, стр.20 и жилого дома по адресу: ул. Госпитальный Вал, д.5, к.10)")</f>
        <v>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 Госпитальный Вал, д.5, стр.20 и жилого дома по адресу: ул. Госпитальный Вал, д.5, к.10)</v>
      </c>
      <c r="F851" s="25" t="str">
        <f>IFERROR(__xludf.DUMMYFUNCTION("""COMPUTED_VALUE"""),"55.772856")</f>
        <v>55.772856</v>
      </c>
      <c r="G851" s="6" t="str">
        <f>IFERROR(__xludf.DUMMYFUNCTION("""COMPUTED_VALUE"""),"37.708026")</f>
        <v>37.708026</v>
      </c>
      <c r="H851" s="18" t="str">
        <f>IFERROR(__xludf.DUMMYFUNCTION("""COMPUTED_VALUE"""),"https://docs.google.com/spreadsheets/d/1rbCD10ySi4YZEkJW2_Slmn9z7AI1WEsGsZaIJmnnT18/edit?gid=1637195585#gid=1637195585")</f>
        <v>https://docs.google.com/spreadsheets/d/1rbCD10ySi4YZEkJW2_Slmn9z7AI1WEsGsZaIJmnnT18/edit?gid=1637195585#gid=1637195585</v>
      </c>
      <c r="I851" s="19" t="str">
        <f>IFERROR(__xludf.DUMMYFUNCTION("""COMPUTED_VALUE"""),"https://disk.yandex.ru/client/disk/Осмотры%20объектов%20АНО%20СМГ/653.%20Госпитальный%20Вал%20ул.%2C%20вл.%205%2C%20Корп.20")</f>
        <v>https://disk.yandex.ru/client/disk/Осмотры%20объектов%20АНО%20СМГ/653.%20Госпитальный%20Вал%20ул.%2C%20вл.%205%2C%20Корп.20</v>
      </c>
      <c r="J851" s="50">
        <f>IFERROR(__xludf.DUMMYFUNCTION("""COMPUTED_VALUE"""),8.827979999999998)</f>
        <v>8.82798</v>
      </c>
      <c r="K851" s="58">
        <f>IFERROR(__xludf.DUMMYFUNCTION("""COMPUTED_VALUE"""),45960.0)</f>
        <v>45960</v>
      </c>
      <c r="L851" s="6">
        <v>30.0</v>
      </c>
      <c r="M851" s="52">
        <v>45990.0</v>
      </c>
      <c r="N851" s="53" t="s">
        <v>692</v>
      </c>
      <c r="O851" s="19" t="s">
        <v>669</v>
      </c>
      <c r="P851" s="6"/>
      <c r="Q851" s="6"/>
      <c r="R851" s="6"/>
    </row>
    <row r="852">
      <c r="A852" s="31" t="str">
        <f>IFERROR(__xludf.DUMMYFUNCTION("""COMPUTED_VALUE"""),"694")</f>
        <v>694</v>
      </c>
      <c r="B852" s="14" t="str">
        <f>IFERROR(__xludf.DUMMYFUNCTION("""COMPUTED_VALUE"""),"РЕН-26")</f>
        <v>РЕН-26</v>
      </c>
      <c r="C852" s="14" t="str">
        <f>IFERROR(__xludf.DUMMYFUNCTION("""COMPUTED_VALUE"""),"ОКС")</f>
        <v>ОКС</v>
      </c>
      <c r="D852" s="6"/>
      <c r="E852" s="14" t="str">
        <f>IFERROR(__xludf.DUMMYFUNCTION("""COMPUTED_VALUE"""),"ул. Госпитальный Вал, вл.3 ЦАО, район Басманный, ул. Госпитальный Вал, вл.3 (со сносом жилых домов по адресам: 
ул. Госпитальный Вал, д.3 и д.3, корп.1)")</f>
        <v>ул. Госпитальный Вал, вл.3 ЦАО, район Басманный, ул. Госпитальный Вал, вл.3 (со сносом жилых домов по адресам: 
ул. Госпитальный Вал, д.3 и д.3, корп.1)</v>
      </c>
      <c r="F852" s="25" t="str">
        <f>IFERROR(__xludf.DUMMYFUNCTION("""COMPUTED_VALUE"""),"55.772318")</f>
        <v>55.772318</v>
      </c>
      <c r="G852" s="6" t="str">
        <f>IFERROR(__xludf.DUMMYFUNCTION("""COMPUTED_VALUE"""),"37.706787")</f>
        <v>37.706787</v>
      </c>
      <c r="H852" s="18" t="str">
        <f>IFERROR(__xludf.DUMMYFUNCTION("""COMPUTED_VALUE"""),"https://docs.google.com/spreadsheets/d/1rbCD10ySi4YZEkJW2_Slmn9z7AI1WEsGsZaIJmnnT18/edit?gid=1429286292#gid=1429286292")</f>
        <v>https://docs.google.com/spreadsheets/d/1rbCD10ySi4YZEkJW2_Slmn9z7AI1WEsGsZaIJmnnT18/edit?gid=1429286292#gid=1429286292</v>
      </c>
      <c r="I852" s="19" t="str">
        <f>IFERROR(__xludf.DUMMYFUNCTION("""COMPUTED_VALUE"""),"https://disk.yandex.ru/client/disk/Осмотры%20объектов%20АНО%20СМГ/694.%20Госпитальный%20Вал%20ул.%2C%20вл.%203")</f>
        <v>https://disk.yandex.ru/client/disk/Осмотры%20объектов%20АНО%20СМГ/694.%20Госпитальный%20Вал%20ул.%2C%20вл.%203</v>
      </c>
      <c r="J852" s="50">
        <f>IFERROR(__xludf.DUMMYFUNCTION("""COMPUTED_VALUE"""),8.10798)</f>
        <v>8.10798</v>
      </c>
      <c r="K852" s="58">
        <f>IFERROR(__xludf.DUMMYFUNCTION("""COMPUTED_VALUE"""),45960.0)</f>
        <v>45960</v>
      </c>
      <c r="L852" s="6">
        <v>30.0</v>
      </c>
      <c r="M852" s="52">
        <v>45990.0</v>
      </c>
      <c r="N852" s="53" t="s">
        <v>692</v>
      </c>
      <c r="O852" s="19" t="s">
        <v>669</v>
      </c>
      <c r="P852" s="6"/>
      <c r="Q852" s="6"/>
      <c r="R852" s="6"/>
    </row>
    <row r="853">
      <c r="A853" s="31" t="str">
        <f>IFERROR(__xludf.DUMMYFUNCTION("""COMPUTED_VALUE"""),"966")</f>
        <v>966</v>
      </c>
      <c r="B853" s="14" t="str">
        <f>IFERROR(__xludf.DUMMYFUNCTION("""COMPUTED_VALUE"""),"РЕН-26")</f>
        <v>РЕН-26</v>
      </c>
      <c r="C853" s="14" t="str">
        <f>IFERROR(__xludf.DUMMYFUNCTION("""COMPUTED_VALUE"""),"ОКС")</f>
        <v>ОКС</v>
      </c>
      <c r="D853" s="6"/>
      <c r="E853" s="14" t="str">
        <f>IFERROR(__xludf.DUMMYFUNCTION("""COMPUTED_VALUE"""),"Сельскохозяйственная ул., вл. 18, корп. 6 г. Москва, внутригородское муниципальное образование Ростокино, Сельскохозяйственная ул., вл. 18, корп. 6, Северо-Восточный административный округ")</f>
        <v>Сельскохозяйственная ул., вл. 18, корп. 6 г. Москва, внутригородское муниципальное образование Ростокино, Сельскохозяйственная ул., вл. 18, корп. 6, Северо-Восточный административный округ</v>
      </c>
      <c r="F853" s="25" t="str">
        <f>IFERROR(__xludf.DUMMYFUNCTION("""COMPUTED_VALUE"""),"55.837724")</f>
        <v>55.837724</v>
      </c>
      <c r="G853" s="6" t="str">
        <f>IFERROR(__xludf.DUMMYFUNCTION("""COMPUTED_VALUE"""),"37.644822")</f>
        <v>37.644822</v>
      </c>
      <c r="H853" s="18" t="str">
        <f>IFERROR(__xludf.DUMMYFUNCTION("""COMPUTED_VALUE"""),"https://docs.google.com/spreadsheets/d/1rbCD10ySi4YZEkJW2_Slmn9z7AI1WEsGsZaIJmnnT18/edit?gid=1239547160#gid=1239547160")</f>
        <v>https://docs.google.com/spreadsheets/d/1rbCD10ySi4YZEkJW2_Slmn9z7AI1WEsGsZaIJmnnT18/edit?gid=1239547160#gid=1239547160</v>
      </c>
      <c r="I853" s="19" t="str">
        <f>IFERROR(__xludf.DUMMYFUNCTION("""COMPUTED_VALUE"""),"https://disk.yandex.ru/client/disk/Осмотры%20объектов%20АНО%20СМГ/966.%20Сельскохозяйственная%20ул.%2C%20вл.%2018%2C%20корп.%206")</f>
        <v>https://disk.yandex.ru/client/disk/Осмотры%20объектов%20АНО%20СМГ/966.%20Сельскохозяйственная%20ул.%2C%20вл.%2018%2C%20корп.%206</v>
      </c>
      <c r="J853" s="50">
        <f>IFERROR(__xludf.DUMMYFUNCTION("""COMPUTED_VALUE"""),0.0)</f>
        <v>0</v>
      </c>
      <c r="K853" s="58">
        <f>IFERROR(__xludf.DUMMYFUNCTION("""COMPUTED_VALUE"""),45960.0)</f>
        <v>45960</v>
      </c>
      <c r="L853" s="6">
        <v>30.0</v>
      </c>
      <c r="M853" s="52">
        <v>45990.0</v>
      </c>
      <c r="N853" s="53" t="s">
        <v>692</v>
      </c>
      <c r="O853" s="19" t="s">
        <v>1151</v>
      </c>
      <c r="P853" s="6"/>
      <c r="Q853" s="6"/>
      <c r="R853" s="6"/>
    </row>
    <row r="854">
      <c r="A854" s="31" t="str">
        <f>IFERROR(__xludf.DUMMYFUNCTION("""COMPUTED_VALUE"""),"666")</f>
        <v>666</v>
      </c>
      <c r="B854" s="14" t="str">
        <f>IFERROR(__xludf.DUMMYFUNCTION("""COMPUTED_VALUE"""),"РЕН-26")</f>
        <v>РЕН-26</v>
      </c>
      <c r="C854" s="14" t="str">
        <f>IFERROR(__xludf.DUMMYFUNCTION("""COMPUTED_VALUE"""),"ОКС")</f>
        <v>ОКС</v>
      </c>
      <c r="D854" s="6"/>
      <c r="E854" s="14" t="str">
        <f>IFERROR(__xludf.DUMMYFUNCTION("""COMPUTED_VALUE"""),"ул. Константинова, з/у 2 (ул. Константинова, вл. 2) СВАО, район Алексеевский, ул. Константинова, влд. 2 		")</f>
        <v>ул. Константинова, з/у 2 (ул. Константинова, вл. 2) СВАО, район Алексеевский, ул. Константинова, влд. 2 		</v>
      </c>
      <c r="F854" s="25" t="str">
        <f>IFERROR(__xludf.DUMMYFUNCTION("""COMPUTED_VALUE"""),"55.813415")</f>
        <v>55.813415</v>
      </c>
      <c r="G854" s="6" t="str">
        <f>IFERROR(__xludf.DUMMYFUNCTION("""COMPUTED_VALUE"""),"37.652562")</f>
        <v>37.652562</v>
      </c>
      <c r="H854" s="18" t="str">
        <f>IFERROR(__xludf.DUMMYFUNCTION("""COMPUTED_VALUE"""),"https://docs.google.com/spreadsheets/d/1rbCD10ySi4YZEkJW2_Slmn9z7AI1WEsGsZaIJmnnT18/edit?gid=989644917#gid=989644917")</f>
        <v>https://docs.google.com/spreadsheets/d/1rbCD10ySi4YZEkJW2_Slmn9z7AI1WEsGsZaIJmnnT18/edit?gid=989644917#gid=989644917</v>
      </c>
      <c r="I854" s="19" t="str">
        <f>IFERROR(__xludf.DUMMYFUNCTION("""COMPUTED_VALUE"""),"https://disk.yandex.ru/client/disk/Осмотры%20объектов%20АНО%20СМГ/666.%20Константинова%20ул.%2C%20вл.%202")</f>
        <v>https://disk.yandex.ru/client/disk/Осмотры%20объектов%20АНО%20СМГ/666.%20Константинова%20ул.%2C%20вл.%202</v>
      </c>
      <c r="J854" s="50">
        <f>IFERROR(__xludf.DUMMYFUNCTION("""COMPUTED_VALUE"""),14.148)</f>
        <v>14.148</v>
      </c>
      <c r="K854" s="58">
        <f>IFERROR(__xludf.DUMMYFUNCTION("""COMPUTED_VALUE"""),45960.0)</f>
        <v>45960</v>
      </c>
      <c r="L854" s="6">
        <v>30.0</v>
      </c>
      <c r="M854" s="52">
        <v>45990.0</v>
      </c>
      <c r="N854" s="53" t="s">
        <v>692</v>
      </c>
      <c r="O854" s="19" t="s">
        <v>669</v>
      </c>
      <c r="P854" s="6"/>
      <c r="Q854" s="6"/>
      <c r="R854" s="6"/>
    </row>
    <row r="855">
      <c r="A855" s="31" t="str">
        <f>IFERROR(__xludf.DUMMYFUNCTION("""COMPUTED_VALUE"""),"577")</f>
        <v>577</v>
      </c>
      <c r="B855" s="14" t="str">
        <f>IFERROR(__xludf.DUMMYFUNCTION("""COMPUTED_VALUE"""),"РЕН-26")</f>
        <v>РЕН-26</v>
      </c>
      <c r="C855" s="14" t="str">
        <f>IFERROR(__xludf.DUMMYFUNCTION("""COMPUTED_VALUE"""),"ОКС")</f>
        <v>ОКС</v>
      </c>
      <c r="D855" s="6"/>
      <c r="E855" s="14" t="str">
        <f>IFERROR(__xludf.DUMMYFUNCTION("""COMPUTED_VALUE"""),"3-й Нижнелихоборский пр-д, вл. 5, стр. 1 (3-й Нижнелихоборский пр-д, вл. 5) САО, район Тимирязевский, 3-й Нижнелихоборский проезд, вл. 5, стр. 1 (3-й Нижнелихоборский проезд, вл. 5)")</f>
        <v>3-й Нижнелихоборский пр-д, вл. 5, стр. 1 (3-й Нижнелихоборский пр-д, вл. 5) САО, район Тимирязевский, 3-й Нижнелихоборский проезд, вл. 5, стр. 1 (3-й Нижнелихоборский проезд, вл. 5)</v>
      </c>
      <c r="F855" s="25" t="str">
        <f>IFERROR(__xludf.DUMMYFUNCTION("""COMPUTED_VALUE"""),"55.846346")</f>
        <v>55.846346</v>
      </c>
      <c r="G855" s="6" t="str">
        <f>IFERROR(__xludf.DUMMYFUNCTION("""COMPUTED_VALUE"""),"37.566002")</f>
        <v>37.566002</v>
      </c>
      <c r="H855" s="18" t="str">
        <f>IFERROR(__xludf.DUMMYFUNCTION("""COMPUTED_VALUE"""),"https://docs.google.com/spreadsheets/d/1rbCD10ySi4YZEkJW2_Slmn9z7AI1WEsGsZaIJmnnT18/edit?gid=2096121583#gid=2096121583")</f>
        <v>https://docs.google.com/spreadsheets/d/1rbCD10ySi4YZEkJW2_Slmn9z7AI1WEsGsZaIJmnnT18/edit?gid=2096121583#gid=2096121583</v>
      </c>
      <c r="I855" s="19" t="str">
        <f>IFERROR(__xludf.DUMMYFUNCTION("""COMPUTED_VALUE"""),"https://disk.yandex.ru/client/disk/Осмотры%20объектов%20АНО%20СМГ/577.%203-й%20Нижнелихоборский%20проезд%2C%20вл.%205")</f>
        <v>https://disk.yandex.ru/client/disk/Осмотры%20объектов%20АНО%20СМГ/577.%203-й%20Нижнелихоборский%20проезд%2C%20вл.%205</v>
      </c>
      <c r="J855" s="50">
        <f>IFERROR(__xludf.DUMMYFUNCTION("""COMPUTED_VALUE"""),7.469999999999999)</f>
        <v>7.47</v>
      </c>
      <c r="K855" s="58">
        <f>IFERROR(__xludf.DUMMYFUNCTION("""COMPUTED_VALUE"""),45971.0)</f>
        <v>45971</v>
      </c>
      <c r="L855" s="6">
        <v>30.0</v>
      </c>
      <c r="M855" s="52">
        <v>46001.0</v>
      </c>
      <c r="N855" s="53" t="s">
        <v>711</v>
      </c>
      <c r="O855" s="19" t="s">
        <v>669</v>
      </c>
      <c r="P855" s="6"/>
      <c r="Q855" s="6"/>
      <c r="R855" s="6"/>
    </row>
    <row r="856">
      <c r="A856" s="31" t="str">
        <f>IFERROR(__xludf.DUMMYFUNCTION("""COMPUTED_VALUE"""),"961")</f>
        <v>961</v>
      </c>
      <c r="B856" s="14" t="str">
        <f>IFERROR(__xludf.DUMMYFUNCTION("""COMPUTED_VALUE"""),"РЕН-26")</f>
        <v>РЕН-26</v>
      </c>
      <c r="C856" s="14" t="str">
        <f>IFERROR(__xludf.DUMMYFUNCTION("""COMPUTED_VALUE"""),"ОКС")</f>
        <v>ОКС</v>
      </c>
      <c r="D856" s="6"/>
      <c r="E856" s="14" t="str">
        <f>IFERROR(__xludf.DUMMYFUNCTION("""COMPUTED_VALUE"""),"пр-д Береговой, з/у 9/1 (Береговой пр-д, вл.9, корп.1) район Филевский парк, Береговой пр-д, вл. 9, корп. 1")</f>
        <v>пр-д Береговой, з/у 9/1 (Береговой пр-д, вл.9, корп.1) район Филевский парк, Береговой пр-д, вл. 9, корп. 1</v>
      </c>
      <c r="F856" s="25" t="str">
        <f>IFERROR(__xludf.DUMMYFUNCTION("""COMPUTED_VALUE"""),"55.754325")</f>
        <v>55.754325</v>
      </c>
      <c r="G856" s="6" t="str">
        <f>IFERROR(__xludf.DUMMYFUNCTION("""COMPUTED_VALUE"""),"37.504466")</f>
        <v>37.504466</v>
      </c>
      <c r="H856" s="18" t="str">
        <f>IFERROR(__xludf.DUMMYFUNCTION("""COMPUTED_VALUE"""),"https://docs.google.com/spreadsheets/d/1rbCD10ySi4YZEkJW2_Slmn9z7AI1WEsGsZaIJmnnT18/edit?gid=3034090#gid=3034090")</f>
        <v>https://docs.google.com/spreadsheets/d/1rbCD10ySi4YZEkJW2_Slmn9z7AI1WEsGsZaIJmnnT18/edit?gid=3034090#gid=3034090</v>
      </c>
      <c r="I856" s="19" t="str">
        <f>IFERROR(__xludf.DUMMYFUNCTION("""COMPUTED_VALUE"""),"https://disk.yandex.ru/client/disk/Осмотры%20объектов%20АНО%20СМГ/961.%20Жилой%20дом%20Береговой%20проезд%209к1")</f>
        <v>https://disk.yandex.ru/client/disk/Осмотры%20объектов%20АНО%20СМГ/961.%20Жилой%20дом%20Береговой%20проезд%209к1</v>
      </c>
      <c r="J856" s="50">
        <f>IFERROR(__xludf.DUMMYFUNCTION("""COMPUTED_VALUE"""),4.08)</f>
        <v>4.08</v>
      </c>
      <c r="K856" s="58">
        <f>IFERROR(__xludf.DUMMYFUNCTION("""COMPUTED_VALUE"""),45960.0)</f>
        <v>45960</v>
      </c>
      <c r="L856" s="6">
        <v>30.0</v>
      </c>
      <c r="M856" s="52">
        <v>45990.0</v>
      </c>
      <c r="N856" s="53" t="s">
        <v>692</v>
      </c>
      <c r="O856" s="19" t="s">
        <v>669</v>
      </c>
      <c r="P856" s="6"/>
      <c r="Q856" s="6"/>
      <c r="R856" s="6"/>
    </row>
    <row r="857">
      <c r="A857" s="31" t="str">
        <f>IFERROR(__xludf.DUMMYFUNCTION("""COMPUTED_VALUE"""),"673")</f>
        <v>673</v>
      </c>
      <c r="B857" s="14" t="str">
        <f>IFERROR(__xludf.DUMMYFUNCTION("""COMPUTED_VALUE"""),"РЕН-26")</f>
        <v>РЕН-26</v>
      </c>
      <c r="C857" s="14" t="str">
        <f>IFERROR(__xludf.DUMMYFUNCTION("""COMPUTED_VALUE"""),"ОКС")</f>
        <v>ОКС</v>
      </c>
      <c r="D857" s="6"/>
      <c r="E857" s="14" t="str">
        <f>IFERROR(__xludf.DUMMYFUNCTION("""COMPUTED_VALUE"""),"Велозаводская ул., з/у 2 ЮАО, район Даниловский, Велозаводская ул., вл.2")</f>
        <v>Велозаводская ул., з/у 2 ЮАО, район Даниловский, Велозаводская ул., вл.2</v>
      </c>
      <c r="F857" s="25" t="str">
        <f>IFERROR(__xludf.DUMMYFUNCTION("""COMPUTED_VALUE"""),"55.715704")</f>
        <v>55.715704</v>
      </c>
      <c r="G857" s="6" t="str">
        <f>IFERROR(__xludf.DUMMYFUNCTION("""COMPUTED_VALUE"""),"37.663933")</f>
        <v>37.663933</v>
      </c>
      <c r="H857" s="18" t="str">
        <f>IFERROR(__xludf.DUMMYFUNCTION("""COMPUTED_VALUE"""),"https://docs.google.com/spreadsheets/d/1rbCD10ySi4YZEkJW2_Slmn9z7AI1WEsGsZaIJmnnT18/edit?gid=1509964288#gid=1509964288")</f>
        <v>https://docs.google.com/spreadsheets/d/1rbCD10ySi4YZEkJW2_Slmn9z7AI1WEsGsZaIJmnnT18/edit?gid=1509964288#gid=1509964288</v>
      </c>
      <c r="I857" s="19" t="str">
        <f>IFERROR(__xludf.DUMMYFUNCTION("""COMPUTED_VALUE"""),"https://disk.yandex.ru/client/disk/Осмотры%20объектов%20АНО%20СМГ/673.%20Велозаводская%20ул.%2C%20з.у%202")</f>
        <v>https://disk.yandex.ru/client/disk/Осмотры%20объектов%20АНО%20СМГ/673.%20Велозаводская%20ул.%2C%20з.у%202</v>
      </c>
      <c r="J857" s="50">
        <f>IFERROR(__xludf.DUMMYFUNCTION("""COMPUTED_VALUE"""),11.549999999999999)</f>
        <v>11.55</v>
      </c>
      <c r="K857" s="58">
        <f>IFERROR(__xludf.DUMMYFUNCTION("""COMPUTED_VALUE"""),45960.0)</f>
        <v>45960</v>
      </c>
      <c r="L857" s="6">
        <v>30.0</v>
      </c>
      <c r="M857" s="52">
        <v>45990.0</v>
      </c>
      <c r="N857" s="53" t="s">
        <v>692</v>
      </c>
      <c r="O857" s="19" t="s">
        <v>669</v>
      </c>
      <c r="P857" s="6"/>
      <c r="Q857" s="6"/>
      <c r="R857" s="6"/>
    </row>
    <row r="858">
      <c r="A858" s="31" t="str">
        <f>IFERROR(__xludf.DUMMYFUNCTION("""COMPUTED_VALUE"""),"970")</f>
        <v>970</v>
      </c>
      <c r="B858" s="14" t="str">
        <f>IFERROR(__xludf.DUMMYFUNCTION("""COMPUTED_VALUE"""),"РЕН-26")</f>
        <v>РЕН-26</v>
      </c>
      <c r="C858" s="14" t="str">
        <f>IFERROR(__xludf.DUMMYFUNCTION("""COMPUTED_VALUE"""),"ОКС")</f>
        <v>ОКС</v>
      </c>
      <c r="D858" s="6"/>
      <c r="E858" s="14" t="str">
        <f>IFERROR(__xludf.DUMMYFUNCTION("""COMPUTED_VALUE"""),"5-я Кожуховская ул., з/у 33 (ул. 5-я Кожуховская, вл. 33) ЮВАО, район Южнопортовый, ул. 5-я Кожуховская, земельный участок 33 (ул. 5-я Кожуховская, вл. 33)")</f>
        <v>5-я Кожуховская ул., з/у 33 (ул. 5-я Кожуховская, вл. 33) ЮВАО, район Южнопортовый, ул. 5-я Кожуховская, земельный участок 33 (ул. 5-я Кожуховская, вл. 33)</v>
      </c>
      <c r="F858" s="25" t="str">
        <f>IFERROR(__xludf.DUMMYFUNCTION("""COMPUTED_VALUE"""),"55.706255")</f>
        <v>55.706255</v>
      </c>
      <c r="G858" s="6" t="str">
        <f>IFERROR(__xludf.DUMMYFUNCTION("""COMPUTED_VALUE"""),"37.680867")</f>
        <v>37.680867</v>
      </c>
      <c r="H858" s="18" t="str">
        <f>IFERROR(__xludf.DUMMYFUNCTION("""COMPUTED_VALUE"""),"https://docs.google.com/spreadsheets/d/1rbCD10ySi4YZEkJW2_Slmn9z7AI1WEsGsZaIJmnnT18/edit?gid=673551977#gid=673551977")</f>
        <v>https://docs.google.com/spreadsheets/d/1rbCD10ySi4YZEkJW2_Slmn9z7AI1WEsGsZaIJmnnT18/edit?gid=673551977#gid=673551977</v>
      </c>
      <c r="I858" s="19" t="str">
        <f>IFERROR(__xludf.DUMMYFUNCTION("""COMPUTED_VALUE"""),"https://disk.yandex.ru/client/disk/Осмотры%20объектов%20АНО%20СМГ/970.%205-я%20Кожуховская%20ул.%2C%20з.у%2033")</f>
        <v>https://disk.yandex.ru/client/disk/Осмотры%20объектов%20АНО%20СМГ/970.%205-я%20Кожуховская%20ул.%2C%20з.у%2033</v>
      </c>
      <c r="J858" s="50">
        <f>IFERROR(__xludf.DUMMYFUNCTION("""COMPUTED_VALUE"""),3.5393999999999997)</f>
        <v>3.5394</v>
      </c>
      <c r="K858" s="58">
        <f>IFERROR(__xludf.DUMMYFUNCTION("""COMPUTED_VALUE"""),45972.0)</f>
        <v>45972</v>
      </c>
      <c r="L858" s="6">
        <v>30.0</v>
      </c>
      <c r="M858" s="52">
        <v>46002.0</v>
      </c>
      <c r="N858" s="53" t="s">
        <v>711</v>
      </c>
      <c r="O858" s="19" t="s">
        <v>1152</v>
      </c>
      <c r="P858" s="6"/>
      <c r="Q858" s="6"/>
      <c r="R858" s="6"/>
    </row>
    <row r="859">
      <c r="A859" s="31" t="str">
        <f>IFERROR(__xludf.DUMMYFUNCTION("""COMPUTED_VALUE"""),"639")</f>
        <v>639</v>
      </c>
      <c r="B859" s="14" t="str">
        <f>IFERROR(__xludf.DUMMYFUNCTION("""COMPUTED_VALUE"""),"РЕН-26")</f>
        <v>РЕН-26</v>
      </c>
      <c r="C859" s="14" t="str">
        <f>IFERROR(__xludf.DUMMYFUNCTION("""COMPUTED_VALUE"""),"ОКС")</f>
        <v>ОКС</v>
      </c>
      <c r="D859" s="6"/>
      <c r="E859" s="14" t="str">
        <f>IFERROR(__xludf.DUMMYFUNCTION("""COMPUTED_VALUE"""),"Краснодарская ул., вл.8 ЮВАО, район Люблино, ул. Краснодарская, з/у 8 (Краснодарская ул., вл. 8)")</f>
        <v>Краснодарская ул., вл.8 ЮВАО, район Люблино, ул. Краснодарская, з/у 8 (Краснодарская ул., вл. 8)</v>
      </c>
      <c r="F859" s="25" t="str">
        <f>IFERROR(__xludf.DUMMYFUNCTION("""COMPUTED_VALUE"""),"55.676412")</f>
        <v>55.676412</v>
      </c>
      <c r="G859" s="6" t="str">
        <f>IFERROR(__xludf.DUMMYFUNCTION("""COMPUTED_VALUE"""),"37.742216")</f>
        <v>37.742216</v>
      </c>
      <c r="H859" s="18" t="str">
        <f>IFERROR(__xludf.DUMMYFUNCTION("""COMPUTED_VALUE"""),"https://docs.google.com/spreadsheets/d/1rbCD10ySi4YZEkJW2_Slmn9z7AI1WEsGsZaIJmnnT18/edit?gid=573547240#gid=573547240")</f>
        <v>https://docs.google.com/spreadsheets/d/1rbCD10ySi4YZEkJW2_Slmn9z7AI1WEsGsZaIJmnnT18/edit?gid=573547240#gid=573547240</v>
      </c>
      <c r="I859" s="19" t="str">
        <f>IFERROR(__xludf.DUMMYFUNCTION("""COMPUTED_VALUE"""),"https://disk.yandex.ru/client/disk/Осмотры%20объектов%20АНО%20СМГ/639.%20Краснодарская%20ул.%2C%20влд.%208.%20Жилой%20дом")</f>
        <v>https://disk.yandex.ru/client/disk/Осмотры%20объектов%20АНО%20СМГ/639.%20Краснодарская%20ул.%2C%20влд.%208.%20Жилой%20дом</v>
      </c>
      <c r="J859" s="50">
        <f>IFERROR(__xludf.DUMMYFUNCTION("""COMPUTED_VALUE"""),1.68)</f>
        <v>1.68</v>
      </c>
      <c r="K859" s="58">
        <f>IFERROR(__xludf.DUMMYFUNCTION("""COMPUTED_VALUE"""),45952.0)</f>
        <v>45952</v>
      </c>
      <c r="L859" s="6">
        <v>30.0</v>
      </c>
      <c r="M859" s="52">
        <v>45982.0</v>
      </c>
      <c r="N859" s="53" t="s">
        <v>741</v>
      </c>
      <c r="O859" s="19" t="s">
        <v>669</v>
      </c>
      <c r="P859" s="6"/>
      <c r="Q859" s="6"/>
      <c r="R859" s="6"/>
    </row>
    <row r="860">
      <c r="A860" s="31" t="str">
        <f>IFERROR(__xludf.DUMMYFUNCTION("""COMPUTED_VALUE"""),"819")</f>
        <v>819</v>
      </c>
      <c r="B860" s="14" t="str">
        <f>IFERROR(__xludf.DUMMYFUNCTION("""COMPUTED_VALUE"""),"РЕН-26")</f>
        <v>РЕН-26</v>
      </c>
      <c r="C860" s="14" t="str">
        <f>IFERROR(__xludf.DUMMYFUNCTION("""COMPUTED_VALUE"""),"ОКС")</f>
        <v>ОКС</v>
      </c>
      <c r="D860" s="6"/>
      <c r="E860" s="14" t="str">
        <f>IFERROR(__xludf.DUMMYFUNCTION("""COMPUTED_VALUE"""),"микрорайон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корп."&amp;" 3)")</f>
        <v>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 3)</v>
      </c>
      <c r="F860" s="25" t="str">
        <f>IFERROR(__xludf.DUMMYFUNCTION("""COMPUTED_VALUE"""),"55.642963")</f>
        <v>55.642963</v>
      </c>
      <c r="G860" s="6" t="str">
        <f>IFERROR(__xludf.DUMMYFUNCTION("""COMPUTED_VALUE"""),"37.542380")</f>
        <v>37.542380</v>
      </c>
      <c r="H860" s="18" t="str">
        <f>IFERROR(__xludf.DUMMYFUNCTION("""COMPUTED_VALUE"""),"https://docs.google.com/spreadsheets/d/1rbCD10ySi4YZEkJW2_Slmn9z7AI1WEsGsZaIJmnnT18/edit?gid=1872184030#gid=1872184030")</f>
        <v>https://docs.google.com/spreadsheets/d/1rbCD10ySi4YZEkJW2_Slmn9z7AI1WEsGsZaIJmnnT18/edit?gid=1872184030#gid=1872184030</v>
      </c>
      <c r="I860" s="19" t="str">
        <f>IFERROR(__xludf.DUMMYFUNCTION("""COMPUTED_VALUE"""),"https://disk.yandex.ru/client/disk/Осмотры%20объектов%20АНО%20СМГ/819.%20района%20Коньково%20ул.%20Введенского%2C%209%20микрорайон%206%2C%20зона%20№%201.3")</f>
        <v>https://disk.yandex.ru/client/disk/Осмотры%20объектов%20АНО%20СМГ/819.%20района%20Коньково%20ул.%20Введенского%2C%209%20микрорайон%206%2C%20зона%20№%201.3</v>
      </c>
      <c r="J860" s="50">
        <f>IFERROR(__xludf.DUMMYFUNCTION("""COMPUTED_VALUE"""),39.510885)</f>
        <v>39.510885</v>
      </c>
      <c r="K860" s="58">
        <f>IFERROR(__xludf.DUMMYFUNCTION("""COMPUTED_VALUE"""),45946.0)</f>
        <v>45946</v>
      </c>
      <c r="L860" s="6">
        <v>30.0</v>
      </c>
      <c r="M860" s="52">
        <v>45976.0</v>
      </c>
      <c r="N860" s="53" t="s">
        <v>701</v>
      </c>
      <c r="O860" s="19" t="s">
        <v>669</v>
      </c>
      <c r="P860" s="6"/>
      <c r="Q860" s="6"/>
      <c r="R860" s="6"/>
    </row>
    <row r="861">
      <c r="A861" s="31" t="str">
        <f>IFERROR(__xludf.DUMMYFUNCTION("""COMPUTED_VALUE"""),"559")</f>
        <v>559</v>
      </c>
      <c r="B861" s="14" t="str">
        <f>IFERROR(__xludf.DUMMYFUNCTION("""COMPUTED_VALUE"""),"РЕН-26")</f>
        <v>РЕН-26</v>
      </c>
      <c r="C861" s="14" t="str">
        <f>IFERROR(__xludf.DUMMYFUNCTION("""COMPUTED_VALUE"""),"ОКС")</f>
        <v>ОКС</v>
      </c>
      <c r="D861" s="6"/>
      <c r="E861" s="14" t="str">
        <f>IFERROR(__xludf.DUMMYFUNCTION("""COMPUTED_VALUE"""),"Жилой дом, р-н Нагатинский затон, ул. Судостроительная, влд. 5 (3), к. 1 ЮАО, район Нагатинский Затон, Судостроительная ул., д. 5")</f>
        <v>Жилой дом, р-н Нагатинский затон, ул. Судостроительная, влд. 5 (3), к. 1 ЮАО, район Нагатинский Затон, Судостроительная ул., д. 5</v>
      </c>
      <c r="F861" s="25" t="str">
        <f>IFERROR(__xludf.DUMMYFUNCTION("""COMPUTED_VALUE"""),"55.679859")</f>
        <v>55.679859</v>
      </c>
      <c r="G861" s="6" t="str">
        <f>IFERROR(__xludf.DUMMYFUNCTION("""COMPUTED_VALUE"""),"37.668751")</f>
        <v>37.668751</v>
      </c>
      <c r="H861" s="18" t="str">
        <f>IFERROR(__xludf.DUMMYFUNCTION("""COMPUTED_VALUE"""),"https://docs.google.com/spreadsheets/d/1rbCD10ySi4YZEkJW2_Slmn9z7AI1WEsGsZaIJmnnT18/edit?gid=1103814472#gid=1103814472")</f>
        <v>https://docs.google.com/spreadsheets/d/1rbCD10ySi4YZEkJW2_Slmn9z7AI1WEsGsZaIJmnnT18/edit?gid=1103814472#gid=1103814472</v>
      </c>
      <c r="I861" s="19" t="str">
        <f>IFERROR(__xludf.DUMMYFUNCTION("""COMPUTED_VALUE"""),"https://disk.yandex.ru/client/disk/Осмотры%20объектов%20АНО%20СМГ/559.%20Судостроительная%20ул.%2C%20вл.%205.%20Жилой%20дом.%20Реновация")</f>
        <v>https://disk.yandex.ru/client/disk/Осмотры%20объектов%20АНО%20СМГ/559.%20Судостроительная%20ул.%2C%20вл.%205.%20Жилой%20дом.%20Реновация</v>
      </c>
      <c r="J861" s="50">
        <f>IFERROR(__xludf.DUMMYFUNCTION("""COMPUTED_VALUE"""),51.02605499999999)</f>
        <v>51.026055</v>
      </c>
      <c r="K861" s="58">
        <f>IFERROR(__xludf.DUMMYFUNCTION("""COMPUTED_VALUE"""),45974.0)</f>
        <v>45974</v>
      </c>
      <c r="L861" s="6">
        <v>14.0</v>
      </c>
      <c r="M861" s="52">
        <v>45988.0</v>
      </c>
      <c r="N861" s="53" t="s">
        <v>711</v>
      </c>
      <c r="O861" s="19" t="s">
        <v>669</v>
      </c>
      <c r="P861" s="6"/>
      <c r="Q861" s="6"/>
      <c r="R861" s="6"/>
    </row>
    <row r="862">
      <c r="A862" s="31" t="str">
        <f>IFERROR(__xludf.DUMMYFUNCTION("""COMPUTED_VALUE"""),"787")</f>
        <v>787</v>
      </c>
      <c r="B862" s="14" t="str">
        <f>IFERROR(__xludf.DUMMYFUNCTION("""COMPUTED_VALUE"""),"РЕН-26")</f>
        <v>РЕН-26</v>
      </c>
      <c r="C862" s="14" t="str">
        <f>IFERROR(__xludf.DUMMYFUNCTION("""COMPUTED_VALUE"""),"ОКС")</f>
        <v>ОКС</v>
      </c>
      <c r="D862" s="6"/>
      <c r="E862" s="14" t="str">
        <f>IFERROR(__xludf.DUMMYFUNCTION("""COMPUTED_VALUE"""),"Дмитровское шоссе, земельный участок 32/1 (Зоны 3.1, 3.2) САО        Дмитровское шоссе, земельный участок 32/1 (Зоны 3.1, 3.2)")</f>
        <v>Дмитровское шоссе, земельный участок 32/1 (Зоны 3.1, 3.2) САО        Дмитровское шоссе, земельный участок 32/1 (Зоны 3.1, 3.2)</v>
      </c>
      <c r="F862" s="25" t="str">
        <f>IFERROR(__xludf.DUMMYFUNCTION("""COMPUTED_VALUE"""),"55.839047")</f>
        <v>55.839047</v>
      </c>
      <c r="G862" s="6" t="str">
        <f>IFERROR(__xludf.DUMMYFUNCTION("""COMPUTED_VALUE"""),"37.573833")</f>
        <v>37.573833</v>
      </c>
      <c r="H862" s="18" t="str">
        <f>IFERROR(__xludf.DUMMYFUNCTION("""COMPUTED_VALUE"""),"https://docs.google.com/spreadsheets/d/1rbCD10ySi4YZEkJW2_Slmn9z7AI1WEsGsZaIJmnnT18/edit?gid=1402918255#gid=1402918255")</f>
        <v>https://docs.google.com/spreadsheets/d/1rbCD10ySi4YZEkJW2_Slmn9z7AI1WEsGsZaIJmnnT18/edit?gid=1402918255#gid=1402918255</v>
      </c>
      <c r="I862" s="19" t="str">
        <f>IFERROR(__xludf.DUMMYFUNCTION("""COMPUTED_VALUE"""),"https://disk.yandex.ru/client/disk/Осмотры%20объектов%20АНО%20СМГ/787.%20Дмитровское%20шоссе%2032%20стр1")</f>
        <v>https://disk.yandex.ru/client/disk/Осмотры%20объектов%20АНО%20СМГ/787.%20Дмитровское%20шоссе%2032%20стр1</v>
      </c>
      <c r="J862" s="50">
        <f>IFERROR(__xludf.DUMMYFUNCTION("""COMPUTED_VALUE"""),0.2397)</f>
        <v>0.2397</v>
      </c>
      <c r="K862" s="58">
        <f>IFERROR(__xludf.DUMMYFUNCTION("""COMPUTED_VALUE"""),45973.0)</f>
        <v>45973</v>
      </c>
      <c r="L862" s="6">
        <v>30.0</v>
      </c>
      <c r="M862" s="52">
        <v>46003.0</v>
      </c>
      <c r="N862" s="53" t="s">
        <v>711</v>
      </c>
      <c r="O862" s="19" t="s">
        <v>669</v>
      </c>
      <c r="P862" s="6"/>
      <c r="Q862" s="6"/>
      <c r="R862" s="6"/>
    </row>
    <row r="863">
      <c r="A863" s="31" t="str">
        <f>IFERROR(__xludf.DUMMYFUNCTION("""COMPUTED_VALUE"""),"596")</f>
        <v>596</v>
      </c>
      <c r="B863" s="14" t="str">
        <f>IFERROR(__xludf.DUMMYFUNCTION("""COMPUTED_VALUE"""),"РЕН-26")</f>
        <v>РЕН-26</v>
      </c>
      <c r="C863" s="14" t="str">
        <f>IFERROR(__xludf.DUMMYFUNCTION("""COMPUTED_VALUE"""),"ОКС")</f>
        <v>ОКС</v>
      </c>
      <c r="D863" s="6"/>
      <c r="E863" s="14" t="str">
        <f>IFERROR(__xludf.DUMMYFUNCTION("""COMPUTED_VALUE"""),"ул.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д.4"&amp;"5, к.2, ул. Олеко Дундича, д.47, ул. Кастанаевская, д.40, к.1, ул. Кастанаевская, д.40, к.2)")</f>
        <v>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д.45, к.2, ул. Олеко Дундича, д.47, ул. Кастанаевская, д.40, к.1, ул. Кастанаевская, д.40, к.2)</v>
      </c>
      <c r="F863" s="25" t="str">
        <f>IFERROR(__xludf.DUMMYFUNCTION("""COMPUTED_VALUE"""),"55.736265")</f>
        <v>55.736265</v>
      </c>
      <c r="G863" s="6" t="str">
        <f>IFERROR(__xludf.DUMMYFUNCTION("""COMPUTED_VALUE"""),"37.477252")</f>
        <v>37.477252</v>
      </c>
      <c r="H863" s="18" t="str">
        <f>IFERROR(__xludf.DUMMYFUNCTION("""COMPUTED_VALUE"""),"https://docs.google.com/spreadsheets/d/1rbCD10ySi4YZEkJW2_Slmn9z7AI1WEsGsZaIJmnnT18/edit?gid=1114468550#gid=1114468550")</f>
        <v>https://docs.google.com/spreadsheets/d/1rbCD10ySi4YZEkJW2_Slmn9z7AI1WEsGsZaIJmnnT18/edit?gid=1114468550#gid=1114468550</v>
      </c>
      <c r="I863" s="19" t="str">
        <f>IFERROR(__xludf.DUMMYFUNCTION("""COMPUTED_VALUE"""),"https://disk.yandex.ru/client/disk/Осмотры%20объектов%20АНО%20СМГ/596.Жилой%20дом%20ул.%20Пивченкова%20вл14")</f>
        <v>https://disk.yandex.ru/client/disk/Осмотры%20объектов%20АНО%20СМГ/596.Жилой%20дом%20ул.%20Пивченкова%20вл14</v>
      </c>
      <c r="J863" s="50">
        <f>IFERROR(__xludf.DUMMYFUNCTION("""COMPUTED_VALUE"""),32.092635)</f>
        <v>32.092635</v>
      </c>
      <c r="K863" s="58">
        <f>IFERROR(__xludf.DUMMYFUNCTION("""COMPUTED_VALUE"""),45961.0)</f>
        <v>45961</v>
      </c>
      <c r="L863" s="6">
        <v>30.0</v>
      </c>
      <c r="M863" s="52">
        <v>45991.0</v>
      </c>
      <c r="N863" s="53" t="s">
        <v>692</v>
      </c>
      <c r="O863" s="19" t="s">
        <v>669</v>
      </c>
      <c r="P863" s="6"/>
      <c r="Q863" s="6"/>
      <c r="R863" s="6"/>
    </row>
    <row r="864">
      <c r="A864" s="31" t="str">
        <f>IFERROR(__xludf.DUMMYFUNCTION("""COMPUTED_VALUE"""),"691")</f>
        <v>691</v>
      </c>
      <c r="B864" s="14" t="str">
        <f>IFERROR(__xludf.DUMMYFUNCTION("""COMPUTED_VALUE"""),"РЕН-26")</f>
        <v>РЕН-26</v>
      </c>
      <c r="C864" s="14" t="str">
        <f>IFERROR(__xludf.DUMMYFUNCTION("""COMPUTED_VALUE"""),"ОКС")</f>
        <v>ОКС</v>
      </c>
      <c r="D864" s="6"/>
      <c r="E864" s="14" t="str">
        <f>IFERROR(__xludf.DUMMYFUNCTION("""COMPUTED_VALUE"""),"ул. Речников, з/у 22/2 (участок 13.1) ЮАО, район Нагатинский затон, ул. Речников з/у 22/2,  микрорайоны 4, 5, 7, зона 13.1  (со сносом многоквартирных жилых домов по адресам: ул.Речников, д.26, к.1; д.24, к.1; д.22, к.2)")</f>
        <v>ул. Речников, з/у 22/2 (участок 13.1) ЮАО, район Нагатинский затон, ул. Речников з/у 22/2,  микрорайоны 4, 5, 7, зона 13.1  (со сносом многоквартирных жилых домов по адресам: ул.Речников, д.26, к.1; д.24, к.1; д.22, к.2)</v>
      </c>
      <c r="F864" s="25" t="str">
        <f>IFERROR(__xludf.DUMMYFUNCTION("""COMPUTED_VALUE"""),"55.681606")</f>
        <v>55.681606</v>
      </c>
      <c r="G864" s="6" t="str">
        <f>IFERROR(__xludf.DUMMYFUNCTION("""COMPUTED_VALUE"""),"37.689815")</f>
        <v>37.689815</v>
      </c>
      <c r="H864" s="18" t="str">
        <f>IFERROR(__xludf.DUMMYFUNCTION("""COMPUTED_VALUE"""),"https://docs.google.com/spreadsheets/d/1rbCD10ySi4YZEkJW2_Slmn9z7AI1WEsGsZaIJmnnT18/edit?gid=198115662#gid=198115662")</f>
        <v>https://docs.google.com/spreadsheets/d/1rbCD10ySi4YZEkJW2_Slmn9z7AI1WEsGsZaIJmnnT18/edit?gid=198115662#gid=198115662</v>
      </c>
      <c r="I864" s="19" t="str">
        <f>IFERROR(__xludf.DUMMYFUNCTION("""COMPUTED_VALUE"""),"https://disk.yandex.ru/client/disk/Осмотры%20объектов%20АНО%20СМГ/691.%20Речников%2024%20к.1%2C%2026%20к.1%2C%2022%20к.2")</f>
        <v>https://disk.yandex.ru/client/disk/Осмотры%20объектов%20АНО%20СМГ/691.%20Речников%2024%20к.1%2C%2026%20к.1%2C%2022%20к.2</v>
      </c>
      <c r="J864" s="50">
        <f>IFERROR(__xludf.DUMMYFUNCTION("""COMPUTED_VALUE"""),4.35684)</f>
        <v>4.35684</v>
      </c>
      <c r="K864" s="58">
        <f>IFERROR(__xludf.DUMMYFUNCTION("""COMPUTED_VALUE"""),45972.0)</f>
        <v>45972</v>
      </c>
      <c r="L864" s="6">
        <v>30.0</v>
      </c>
      <c r="M864" s="52">
        <v>46002.0</v>
      </c>
      <c r="N864" s="53" t="s">
        <v>711</v>
      </c>
      <c r="O864" s="19" t="s">
        <v>1153</v>
      </c>
      <c r="P864" s="6"/>
      <c r="Q864" s="6"/>
      <c r="R864" s="6"/>
    </row>
    <row r="865">
      <c r="A865" s="31" t="str">
        <f>IFERROR(__xludf.DUMMYFUNCTION("""COMPUTED_VALUE"""),"912")</f>
        <v>912</v>
      </c>
      <c r="B865" s="14" t="str">
        <f>IFERROR(__xludf.DUMMYFUNCTION("""COMPUTED_VALUE"""),"РЕН-26")</f>
        <v>РЕН-26</v>
      </c>
      <c r="C865" s="14" t="str">
        <f>IFERROR(__xludf.DUMMYFUNCTION("""COMPUTED_VALUE"""),"ОКС")</f>
        <v>ОКС</v>
      </c>
      <c r="D865" s="6"/>
      <c r="E865" s="14" t="str">
        <f>IFERROR(__xludf.DUMMYFUNCTION("""COMPUTED_VALUE"""),"Часовая ул., вл. 4 район Аэропорт, Часовая ул., вл. 4")</f>
        <v>Часовая ул., вл. 4 район Аэропорт, Часовая ул., вл. 4</v>
      </c>
      <c r="F865" s="25" t="str">
        <f>IFERROR(__xludf.DUMMYFUNCTION("""COMPUTED_VALUE"""),"55.807072")</f>
        <v>55.807072</v>
      </c>
      <c r="G865" s="6" t="str">
        <f>IFERROR(__xludf.DUMMYFUNCTION("""COMPUTED_VALUE"""),"37.536382")</f>
        <v>37.536382</v>
      </c>
      <c r="H865" s="18" t="str">
        <f>IFERROR(__xludf.DUMMYFUNCTION("""COMPUTED_VALUE"""),"https://docs.google.com/spreadsheets/d/1rbCD10ySi4YZEkJW2_Slmn9z7AI1WEsGsZaIJmnnT18/edit?gid=1305190320#gid=1305190320")</f>
        <v>https://docs.google.com/spreadsheets/d/1rbCD10ySi4YZEkJW2_Slmn9z7AI1WEsGsZaIJmnnT18/edit?gid=1305190320#gid=1305190320</v>
      </c>
      <c r="I865" s="19" t="str">
        <f>IFERROR(__xludf.DUMMYFUNCTION("""COMPUTED_VALUE"""),"https://disk.yandex.ru/client/disk/Осмотры%20объектов%20АНО%20СМГ/912.%20ул.%20Часовая%20вл.4")</f>
        <v>https://disk.yandex.ru/client/disk/Осмотры%20объектов%20АНО%20СМГ/912.%20ул.%20Часовая%20вл.4</v>
      </c>
      <c r="J865" s="50">
        <f>IFERROR(__xludf.DUMMYFUNCTION("""COMPUTED_VALUE"""),0.3)</f>
        <v>0.3</v>
      </c>
      <c r="K865" s="58">
        <f>IFERROR(__xludf.DUMMYFUNCTION("""COMPUTED_VALUE"""),45960.0)</f>
        <v>45960</v>
      </c>
      <c r="L865" s="6">
        <v>30.0</v>
      </c>
      <c r="M865" s="52">
        <v>45990.0</v>
      </c>
      <c r="N865" s="53" t="s">
        <v>692</v>
      </c>
      <c r="O865" s="19" t="s">
        <v>1154</v>
      </c>
      <c r="P865" s="6"/>
      <c r="Q865" s="6"/>
      <c r="R865" s="6"/>
    </row>
    <row r="866">
      <c r="A866" s="31" t="str">
        <f>IFERROR(__xludf.DUMMYFUNCTION("""COMPUTED_VALUE"""),"910")</f>
        <v>910</v>
      </c>
      <c r="B866" s="14" t="str">
        <f>IFERROR(__xludf.DUMMYFUNCTION("""COMPUTED_VALUE"""),"РЕН-26")</f>
        <v>РЕН-26</v>
      </c>
      <c r="C866" s="14" t="str">
        <f>IFERROR(__xludf.DUMMYFUNCTION("""COMPUTED_VALUE"""),"ОКС")</f>
        <v>ОКС</v>
      </c>
      <c r="D866" s="6"/>
      <c r="E866" s="14" t="str">
        <f>IFERROR(__xludf.DUMMYFUNCTION("""COMPUTED_VALUE"""),"КРТ ""Вучетича ул., влд.1"" г. Москва, внутригородское муниципальное образование Тимирязевское, ул. Вучетича, вл.1 (Северный административный округ)")</f>
        <v>КРТ "Вучетича ул., влд.1" г. Москва, внутригородское муниципальное образование Тимирязевское, ул. Вучетича, вл.1 (Северный административный округ)</v>
      </c>
      <c r="F866" s="25" t="str">
        <f>IFERROR(__xludf.DUMMYFUNCTION("""COMPUTED_VALUE"""),"55.805741")</f>
        <v>55.805741</v>
      </c>
      <c r="G866" s="6" t="str">
        <f>IFERROR(__xludf.DUMMYFUNCTION("""COMPUTED_VALUE"""),"37.560547")</f>
        <v>37.560547</v>
      </c>
      <c r="H866" s="18" t="str">
        <f>IFERROR(__xludf.DUMMYFUNCTION("""COMPUTED_VALUE"""),"https://docs.google.com/spreadsheets/d/1rbCD10ySi4YZEkJW2_Slmn9z7AI1WEsGsZaIJmnnT18/edit?gid=479418730#gid=479418730")</f>
        <v>https://docs.google.com/spreadsheets/d/1rbCD10ySi4YZEkJW2_Slmn9z7AI1WEsGsZaIJmnnT18/edit?gid=479418730#gid=479418730</v>
      </c>
      <c r="I866" s="19" t="str">
        <f>IFERROR(__xludf.DUMMYFUNCTION("""COMPUTED_VALUE"""),"https://disk.yandex.ru/client/disk/Осмотры%20объектов%20АНО%20СМГ/910.%20ул.%20Вучетича%20Влад.1")</f>
        <v>https://disk.yandex.ru/client/disk/Осмотры%20объектов%20АНО%20СМГ/910.%20ул.%20Вучетича%20Влад.1</v>
      </c>
      <c r="J866" s="50">
        <f>IFERROR(__xludf.DUMMYFUNCTION("""COMPUTED_VALUE"""),0.0)</f>
        <v>0</v>
      </c>
      <c r="K866" s="58">
        <f>IFERROR(__xludf.DUMMYFUNCTION("""COMPUTED_VALUE"""),45960.0)</f>
        <v>45960</v>
      </c>
      <c r="L866" s="6">
        <v>30.0</v>
      </c>
      <c r="M866" s="52">
        <v>45990.0</v>
      </c>
      <c r="N866" s="53" t="s">
        <v>692</v>
      </c>
      <c r="O866" s="19" t="s">
        <v>1155</v>
      </c>
      <c r="P866" s="6"/>
      <c r="Q866" s="6"/>
      <c r="R866" s="6"/>
    </row>
    <row r="867">
      <c r="A867" s="31" t="str">
        <f>IFERROR(__xludf.DUMMYFUNCTION("""COMPUTED_VALUE"""),"962")</f>
        <v>962</v>
      </c>
      <c r="B867" s="14" t="str">
        <f>IFERROR(__xludf.DUMMYFUNCTION("""COMPUTED_VALUE"""),"РЕН-26")</f>
        <v>РЕН-26</v>
      </c>
      <c r="C867" s="14" t="str">
        <f>IFERROR(__xludf.DUMMYFUNCTION("""COMPUTED_VALUE"""),"ОКС")</f>
        <v>ОКС</v>
      </c>
      <c r="D867" s="6"/>
      <c r="E867" s="14" t="str">
        <f>IFERROR(__xludf.DUMMYFUNCTION("""COMPUTED_VALUE"""),"ул. Годовикова, з/у 7 (Годовикова ул., вл.7) район Останкинский, Годовикова ул., вл. 7")</f>
        <v>ул. Годовикова, з/у 7 (Годовикова ул., вл.7) район Останкинский, Годовикова ул., вл. 7</v>
      </c>
      <c r="F867" s="25" t="str">
        <f>IFERROR(__xludf.DUMMYFUNCTION("""COMPUTED_VALUE"""),"55.805922")</f>
        <v>55.805922</v>
      </c>
      <c r="G867" s="6" t="str">
        <f>IFERROR(__xludf.DUMMYFUNCTION("""COMPUTED_VALUE"""),"37.630109")</f>
        <v>37.630109</v>
      </c>
      <c r="H867" s="18" t="str">
        <f>IFERROR(__xludf.DUMMYFUNCTION("""COMPUTED_VALUE"""),"https://docs.google.com/spreadsheets/d/1rbCD10ySi4YZEkJW2_Slmn9z7AI1WEsGsZaIJmnnT18/edit?gid=1538306210#gid=1538306210")</f>
        <v>https://docs.google.com/spreadsheets/d/1rbCD10ySi4YZEkJW2_Slmn9z7AI1WEsGsZaIJmnnT18/edit?gid=1538306210#gid=1538306210</v>
      </c>
      <c r="I867" s="19" t="str">
        <f>IFERROR(__xludf.DUMMYFUNCTION("""COMPUTED_VALUE"""),"https://disk.yandex.ru/client/disk/Осмотры%20объектов%20АНО%20СМГ/962.%20ул.%20Годовикова%2C%20з.у.%207")</f>
        <v>https://disk.yandex.ru/client/disk/Осмотры%20объектов%20АНО%20СМГ/962.%20ул.%20Годовикова%2C%20з.у.%207</v>
      </c>
      <c r="J867" s="50">
        <f>IFERROR(__xludf.DUMMYFUNCTION("""COMPUTED_VALUE"""),1.47)</f>
        <v>1.47</v>
      </c>
      <c r="K867" s="58">
        <f>IFERROR(__xludf.DUMMYFUNCTION("""COMPUTED_VALUE"""),45973.0)</f>
        <v>45973</v>
      </c>
      <c r="L867" s="6">
        <v>30.0</v>
      </c>
      <c r="M867" s="52">
        <v>46003.0</v>
      </c>
      <c r="N867" s="53" t="s">
        <v>711</v>
      </c>
      <c r="O867" s="19" t="s">
        <v>669</v>
      </c>
      <c r="P867" s="6"/>
      <c r="Q867" s="6"/>
      <c r="R867" s="6"/>
    </row>
    <row r="868">
      <c r="A868" s="31" t="str">
        <f>IFERROR(__xludf.DUMMYFUNCTION("""COMPUTED_VALUE"""),"625")</f>
        <v>625</v>
      </c>
      <c r="B868" s="14" t="str">
        <f>IFERROR(__xludf.DUMMYFUNCTION("""COMPUTED_VALUE"""),"РЕН-26")</f>
        <v>РЕН-26</v>
      </c>
      <c r="C868" s="14" t="str">
        <f>IFERROR(__xludf.DUMMYFUNCTION("""COMPUTED_VALUE"""),"ОКС")</f>
        <v>ОКС</v>
      </c>
      <c r="D868" s="6"/>
      <c r="E868" s="14" t="str">
        <f>IFERROR(__xludf.DUMMYFUNCTION("""COMPUTED_VALUE"""),"улица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f>
        <v>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v>
      </c>
      <c r="F868" s="25" t="str">
        <f>IFERROR(__xludf.DUMMYFUNCTION("""COMPUTED_VALUE"""),"55.705355")</f>
        <v>55.705355</v>
      </c>
      <c r="G868" s="6" t="str">
        <f>IFERROR(__xludf.DUMMYFUNCTION("""COMPUTED_VALUE"""),"37.813629")</f>
        <v>37.813629</v>
      </c>
      <c r="H868" s="18" t="str">
        <f>IFERROR(__xludf.DUMMYFUNCTION("""COMPUTED_VALUE"""),"https://docs.google.com/spreadsheets/d/1rbCD10ySi4YZEkJW2_Slmn9z7AI1WEsGsZaIJmnnT18/edit?gid=830671407#gid=830671407")</f>
        <v>https://docs.google.com/spreadsheets/d/1rbCD10ySi4YZEkJW2_Slmn9z7AI1WEsGsZaIJmnnT18/edit?gid=830671407#gid=830671407</v>
      </c>
      <c r="I868" s="19" t="str">
        <f>IFERROR(__xludf.DUMMYFUNCTION("""COMPUTED_VALUE"""),"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amp;"м%2014%2C%20корпус%205)")</f>
        <v>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м%2014%2C%20корпус%205)</v>
      </c>
      <c r="J868" s="50">
        <f>IFERROR(__xludf.DUMMYFUNCTION("""COMPUTED_VALUE"""),26.49114)</f>
        <v>26.49114</v>
      </c>
      <c r="K868" s="58">
        <f>IFERROR(__xludf.DUMMYFUNCTION("""COMPUTED_VALUE"""),45968.0)</f>
        <v>45968</v>
      </c>
      <c r="L868" s="6">
        <v>30.0</v>
      </c>
      <c r="M868" s="52">
        <v>45998.0</v>
      </c>
      <c r="N868" s="53" t="s">
        <v>711</v>
      </c>
      <c r="O868" s="19" t="s">
        <v>669</v>
      </c>
      <c r="P868" s="6"/>
      <c r="Q868" s="6"/>
      <c r="R868" s="6"/>
    </row>
    <row r="869">
      <c r="A869" s="31" t="str">
        <f>IFERROR(__xludf.DUMMYFUNCTION("""COMPUTED_VALUE"""),"1199")</f>
        <v>1199</v>
      </c>
      <c r="B869" s="14" t="str">
        <f>IFERROR(__xludf.DUMMYFUNCTION("""COMPUTED_VALUE"""),"РЕН-26")</f>
        <v>РЕН-26</v>
      </c>
      <c r="C869" s="14" t="str">
        <f>IFERROR(__xludf.DUMMYFUNCTION("""COMPUTED_VALUE"""),"ОКС")</f>
        <v>ОКС</v>
      </c>
      <c r="D869" s="6"/>
      <c r="E869"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4"&amp;" (зона 1.1)")</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 (зона 1.1)</v>
      </c>
      <c r="F869" s="25" t="str">
        <f>IFERROR(__xludf.DUMMYFUNCTION("""COMPUTED_VALUE"""),"55.663395")</f>
        <v>55.663395</v>
      </c>
      <c r="G869" s="6" t="str">
        <f>IFERROR(__xludf.DUMMYFUNCTION("""COMPUTED_VALUE"""),"37.597567")</f>
        <v>37.597567</v>
      </c>
      <c r="H869" s="18" t="str">
        <f>IFERROR(__xludf.DUMMYFUNCTION("""COMPUTED_VALUE"""),"https://docs.google.com/spreadsheets/d/1rbCD10ySi4YZEkJW2_Slmn9z7AI1WEsGsZaIJmnnT18/edit?gid=772910058#gid=772910058")</f>
        <v>https://docs.google.com/spreadsheets/d/1rbCD10ySi4YZEkJW2_Slmn9z7AI1WEsGsZaIJmnnT18/edit?gid=772910058#gid=772910058</v>
      </c>
      <c r="I869" s="19" t="str">
        <f>IFERROR(__xludf.DUMMYFUNCTION("""COMPUTED_VALUE"""),"https://disk.yandex.ru/client/disk/Осмотры%20объектов%20АНО%20СМГ/1199.%20Одесская%204")</f>
        <v>https://disk.yandex.ru/client/disk/Осмотры%20объектов%20АНО%20СМГ/1199.%20Одесская%204</v>
      </c>
      <c r="J869" s="50">
        <f>IFERROR(__xludf.DUMMYFUNCTION("""COMPUTED_VALUE"""),22.88076)</f>
        <v>22.88076</v>
      </c>
      <c r="K869" s="58">
        <f>IFERROR(__xludf.DUMMYFUNCTION("""COMPUTED_VALUE"""),45974.0)</f>
        <v>45974</v>
      </c>
      <c r="L869" s="6">
        <v>30.0</v>
      </c>
      <c r="M869" s="52">
        <v>46004.0</v>
      </c>
      <c r="N869" s="53" t="s">
        <v>711</v>
      </c>
      <c r="O869" s="19" t="s">
        <v>1156</v>
      </c>
      <c r="P869" s="6"/>
      <c r="Q869" s="6"/>
      <c r="R869" s="6"/>
    </row>
    <row r="870">
      <c r="A870" s="31" t="str">
        <f>IFERROR(__xludf.DUMMYFUNCTION("""COMPUTED_VALUE"""),"695")</f>
        <v>695</v>
      </c>
      <c r="B870" s="14" t="str">
        <f>IFERROR(__xludf.DUMMYFUNCTION("""COMPUTED_VALUE"""),"РЕН-26")</f>
        <v>РЕН-26</v>
      </c>
      <c r="C870" s="14" t="str">
        <f>IFERROR(__xludf.DUMMYFUNCTION("""COMPUTED_VALUE"""),"ОКС")</f>
        <v>ОКС</v>
      </c>
      <c r="D870" s="6"/>
      <c r="E870" s="14" t="str">
        <f>IFERROR(__xludf.DUMMYFUNCTION("""COMPUTED_VALUE"""),"улица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f>
        <v>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v>
      </c>
      <c r="F870" s="25" t="str">
        <f>IFERROR(__xludf.DUMMYFUNCTION("""COMPUTED_VALUE"""),"55.651945")</f>
        <v>55.651945</v>
      </c>
      <c r="G870" s="6" t="str">
        <f>IFERROR(__xludf.DUMMYFUNCTION("""COMPUTED_VALUE"""),"37.569259")</f>
        <v>37.569259</v>
      </c>
      <c r="H870" s="18" t="str">
        <f>IFERROR(__xludf.DUMMYFUNCTION("""COMPUTED_VALUE"""),"https://docs.google.com/spreadsheets/d/1rbCD10ySi4YZEkJW2_Slmn9z7AI1WEsGsZaIJmnnT18/edit?gid=1787224258#gid=1787224258")</f>
        <v>https://docs.google.com/spreadsheets/d/1rbCD10ySi4YZEkJW2_Slmn9z7AI1WEsGsZaIJmnnT18/edit?gid=1787224258#gid=1787224258</v>
      </c>
      <c r="I870" s="19" t="str">
        <f>IFERROR(__xludf.DUMMYFUNCTION("""COMPUTED_VALUE"""),"https://disk.yandex.ru/client/disk/Осмотры%20объектов%20АНО%20СМГ/695.%20ЮЗАО%2C%20Херсонская%20зу%2016%20кв.%2040%2C%20зона%201.3")</f>
        <v>https://disk.yandex.ru/client/disk/Осмотры%20объектов%20АНО%20СМГ/695.%20ЮЗАО%2C%20Херсонская%20зу%2016%20кв.%2040%2C%20зона%201.3</v>
      </c>
      <c r="J870" s="50">
        <f>IFERROR(__xludf.DUMMYFUNCTION("""COMPUTED_VALUE"""),21.5883)</f>
        <v>21.5883</v>
      </c>
      <c r="K870" s="58">
        <f>IFERROR(__xludf.DUMMYFUNCTION("""COMPUTED_VALUE"""),45962.0)</f>
        <v>45962</v>
      </c>
      <c r="L870" s="6">
        <v>30.0</v>
      </c>
      <c r="M870" s="52">
        <v>45992.0</v>
      </c>
      <c r="N870" s="53" t="s">
        <v>692</v>
      </c>
      <c r="O870" s="19" t="s">
        <v>1157</v>
      </c>
      <c r="P870" s="6"/>
      <c r="Q870" s="6"/>
      <c r="R870" s="6"/>
    </row>
    <row r="871">
      <c r="A871" s="31" t="str">
        <f>IFERROR(__xludf.DUMMYFUNCTION("""COMPUTED_VALUE"""),"659")</f>
        <v>659</v>
      </c>
      <c r="B871" s="14" t="str">
        <f>IFERROR(__xludf.DUMMYFUNCTION("""COMPUTED_VALUE"""),"РЕН-26")</f>
        <v>РЕН-26</v>
      </c>
      <c r="C871" s="14" t="str">
        <f>IFERROR(__xludf.DUMMYFUNCTION("""COMPUTED_VALUE"""),"ОКС")</f>
        <v>ОКС</v>
      </c>
      <c r="D871" s="6"/>
      <c r="E871" s="14" t="str">
        <f>IFERROR(__xludf.DUMMYFUNCTION("""COMPUTED_VALUE"""),"улица Херсонская,земельный участок 14 (участок 1.4) ЮЗАО, район Зюзино, кв. 40, ул. Херсонская, зу 14 (зона 1.4)")</f>
        <v>улица Херсонская,земельный участок 14 (участок 1.4) ЮЗАО, район Зюзино, кв. 40, ул. Херсонская, зу 14 (зона 1.4)</v>
      </c>
      <c r="F871" s="25" t="str">
        <f>IFERROR(__xludf.DUMMYFUNCTION("""COMPUTED_VALUE"""),"55.651717")</f>
        <v>55.651717</v>
      </c>
      <c r="G871" s="6" t="str">
        <f>IFERROR(__xludf.DUMMYFUNCTION("""COMPUTED_VALUE"""),"37.570189")</f>
        <v>37.570189</v>
      </c>
      <c r="H871" s="18" t="str">
        <f>IFERROR(__xludf.DUMMYFUNCTION("""COMPUTED_VALUE"""),"https://docs.google.com/spreadsheets/d/1rbCD10ySi4YZEkJW2_Slmn9z7AI1WEsGsZaIJmnnT18/edit?gid=2069894648#gid=2069894648")</f>
        <v>https://docs.google.com/spreadsheets/d/1rbCD10ySi4YZEkJW2_Slmn9z7AI1WEsGsZaIJmnnT18/edit?gid=2069894648#gid=2069894648</v>
      </c>
      <c r="I871" s="19" t="str">
        <f>IFERROR(__xludf.DUMMYFUNCTION("""COMPUTED_VALUE"""),"https://disk.yandex.ru/client/disk/Осмотры%20объектов%20АНО%20СМГ/659.%20ЮЗАО%2C%20Зюзино%20кв%2040%2C%20Херсонская%20зу%2014%20(зона%201.4)")</f>
        <v>https://disk.yandex.ru/client/disk/Осмотры%20объектов%20АНО%20СМГ/659.%20ЮЗАО%2C%20Зюзино%20кв%2040%2C%20Херсонская%20зу%2014%20(зона%201.4)</v>
      </c>
      <c r="J871" s="50">
        <f>IFERROR(__xludf.DUMMYFUNCTION("""COMPUTED_VALUE"""),12.419699999999999)</f>
        <v>12.4197</v>
      </c>
      <c r="K871" s="58">
        <f>IFERROR(__xludf.DUMMYFUNCTION("""COMPUTED_VALUE"""),45962.0)</f>
        <v>45962</v>
      </c>
      <c r="L871" s="6">
        <v>30.0</v>
      </c>
      <c r="M871" s="52">
        <v>45992.0</v>
      </c>
      <c r="N871" s="53" t="s">
        <v>692</v>
      </c>
      <c r="O871" s="19" t="s">
        <v>1158</v>
      </c>
      <c r="P871" s="6"/>
      <c r="Q871" s="6"/>
      <c r="R871" s="6"/>
    </row>
    <row r="872">
      <c r="A872" s="31" t="str">
        <f>IFERROR(__xludf.DUMMYFUNCTION("""COMPUTED_VALUE"""),"714")</f>
        <v>714</v>
      </c>
      <c r="B872" s="14" t="str">
        <f>IFERROR(__xludf.DUMMYFUNCTION("""COMPUTED_VALUE"""),"РЕН-26")</f>
        <v>РЕН-26</v>
      </c>
      <c r="C872" s="14" t="str">
        <f>IFERROR(__xludf.DUMMYFUNCTION("""COMPUTED_VALUE"""),"ОКС")</f>
        <v>ОКС</v>
      </c>
      <c r="D872" s="6"/>
      <c r="E872" s="14" t="str">
        <f>IFERROR(__xludf.DUMMYFUNCTION("""COMPUTED_VALUE"""),"улица Зарайская, земельный участок 46/1 (вл. 46, к. 1 и 2, Шатурская ул., вл. 39) ЮВАО, район Рязанский, Зарайская ул., вл. 46/1, Шатурская ул. вл.39 ")</f>
        <v>улица Зарайская, земельный участок 46/1 (вл. 46, к. 1 и 2, Шатурская ул., вл. 39) ЮВАО, район Рязанский, Зарайская ул., вл. 46/1, Шатурская ул. вл.39 </v>
      </c>
      <c r="F872" s="25" t="str">
        <f>IFERROR(__xludf.DUMMYFUNCTION("""COMPUTED_VALUE"""),"55.728211")</f>
        <v>55.728211</v>
      </c>
      <c r="G872" s="6" t="str">
        <f>IFERROR(__xludf.DUMMYFUNCTION("""COMPUTED_VALUE"""),"37.772367")</f>
        <v>37.772367</v>
      </c>
      <c r="H872" s="18" t="str">
        <f>IFERROR(__xludf.DUMMYFUNCTION("""COMPUTED_VALUE"""),"https://docs.google.com/spreadsheets/d/1rbCD10ySi4YZEkJW2_Slmn9z7AI1WEsGsZaIJmnnT18/edit?gid=1644784685#gid=1644784685")</f>
        <v>https://docs.google.com/spreadsheets/d/1rbCD10ySi4YZEkJW2_Slmn9z7AI1WEsGsZaIJmnnT18/edit?gid=1644784685#gid=1644784685</v>
      </c>
      <c r="I872" s="21" t="str">
        <f>IFERROR(__xludf.DUMMYFUNCTION("""COMPUTED_VALUE"""),"https://disk.yandex.ru/client/disk/%D0%9E%D1%81%D0%BC%D0%BE%D1%82%D1%80%D1%8B%20%D0%BE%D0%B1%D1%8A%D0%B5%D0%BA%D1%82%D0%BE%D0%B2%20%D0%90%D0%9D%D0%9E%20%D0%A1%D0%9C%D0%93/714%20%D0%97%D0%B0%D1%80%D0%B0%D0%B9%D1%81%D0%BA%D0%B0%D1%8F%20%D0%B2%D0%BB%2046.1%2"&amp;"0%2C%20%D0%A8%D0%B0%D1%82%D1%83%D1%80%D1%81%D0%BA%D0%B0%D1%8F%20%D1%83%D0%BB%20%D0%B2%D0%BB.%2039%20")</f>
        <v>https://disk.yandex.ru/client/disk/%D0%9E%D1%81%D0%BC%D0%BE%D1%82%D1%80%D1%8B%20%D0%BE%D0%B1%D1%8A%D0%B5%D0%BA%D1%82%D0%BE%D0%B2%20%D0%90%D0%9D%D0%9E%20%D0%A1%D0%9C%D0%93/714%20%D0%97%D0%B0%D1%80%D0%B0%D0%B9%D1%81%D0%BA%D0%B0%D1%8F%20%D0%B2%D0%BB%2046.1%20%2C%20%D0%A8%D0%B0%D1%82%D1%83%D1%80%D1%81%D0%BA%D0%B0%D1%8F%20%D1%83%D0%BB%20%D0%B2%D0%BB.%2039%20</v>
      </c>
      <c r="J872" s="50">
        <f>IFERROR(__xludf.DUMMYFUNCTION("""COMPUTED_VALUE"""),18.172124999999998)</f>
        <v>18.172125</v>
      </c>
      <c r="K872" s="58">
        <f>IFERROR(__xludf.DUMMYFUNCTION("""COMPUTED_VALUE"""),45952.0)</f>
        <v>45952</v>
      </c>
      <c r="L872" s="6">
        <v>30.0</v>
      </c>
      <c r="M872" s="52">
        <v>45982.0</v>
      </c>
      <c r="N872" s="53" t="s">
        <v>741</v>
      </c>
      <c r="O872" s="19" t="s">
        <v>669</v>
      </c>
      <c r="P872" s="6"/>
      <c r="Q872" s="6"/>
      <c r="R872" s="6"/>
    </row>
    <row r="873">
      <c r="A873" s="31" t="str">
        <f>IFERROR(__xludf.DUMMYFUNCTION("""COMPUTED_VALUE"""),"571")</f>
        <v>571</v>
      </c>
      <c r="B873" s="14" t="str">
        <f>IFERROR(__xludf.DUMMYFUNCTION("""COMPUTED_VALUE"""),"РЕН-26")</f>
        <v>РЕН-26</v>
      </c>
      <c r="C873" s="14" t="str">
        <f>IFERROR(__xludf.DUMMYFUNCTION("""COMPUTED_VALUE"""),"ОКС")</f>
        <v>ОКС</v>
      </c>
      <c r="D873" s="6"/>
      <c r="E873" s="14" t="str">
        <f>IFERROR(__xludf.DUMMYFUNCTION("""COMPUTED_VALUE"""),"улица Плеханова, земельный участок 24А (вл. 24А) ВАО, район Перово, ул. Плеханова зу 24А")</f>
        <v>улица Плеханова, земельный участок 24А (вл. 24А) ВАО, район Перово, ул. Плеханова зу 24А</v>
      </c>
      <c r="F873" s="25" t="str">
        <f>IFERROR(__xludf.DUMMYFUNCTION("""COMPUTED_VALUE"""),"55.741388")</f>
        <v>55.741388</v>
      </c>
      <c r="G873" s="6" t="str">
        <f>IFERROR(__xludf.DUMMYFUNCTION("""COMPUTED_VALUE"""),"37.764829")</f>
        <v>37.764829</v>
      </c>
      <c r="H873" s="18" t="str">
        <f>IFERROR(__xludf.DUMMYFUNCTION("""COMPUTED_VALUE"""),"https://docs.google.com/spreadsheets/d/1rbCD10ySi4YZEkJW2_Slmn9z7AI1WEsGsZaIJmnnT18/edit?gid=1455430518#gid=1455430518")</f>
        <v>https://docs.google.com/spreadsheets/d/1rbCD10ySi4YZEkJW2_Slmn9z7AI1WEsGsZaIJmnnT18/edit?gid=1455430518#gid=1455430518</v>
      </c>
      <c r="I873" s="19" t="str">
        <f>IFERROR(__xludf.DUMMYFUNCTION("""COMPUTED_VALUE"""),"https://disk.yandex.ru/client/disk/Осмотры%20объектов%20АНО%20СМГ/571.%20Перово%2C%20ул.%20Плехановская%2C%2024%20А")</f>
        <v>https://disk.yandex.ru/client/disk/Осмотры%20объектов%20АНО%20СМГ/571.%20Перово%2C%20ул.%20Плехановская%2C%2024%20А</v>
      </c>
      <c r="J873" s="50">
        <f>IFERROR(__xludf.DUMMYFUNCTION("""COMPUTED_VALUE"""),12.915)</f>
        <v>12.915</v>
      </c>
      <c r="K873" s="58">
        <f>IFERROR(__xludf.DUMMYFUNCTION("""COMPUTED_VALUE"""),45968.0)</f>
        <v>45968</v>
      </c>
      <c r="L873" s="6">
        <v>30.0</v>
      </c>
      <c r="M873" s="52">
        <v>45998.0</v>
      </c>
      <c r="N873" s="53" t="s">
        <v>711</v>
      </c>
      <c r="O873" s="19" t="s">
        <v>669</v>
      </c>
      <c r="P873" s="6"/>
      <c r="Q873" s="6"/>
      <c r="R873" s="6"/>
    </row>
    <row r="874">
      <c r="A874" s="31" t="str">
        <f>IFERROR(__xludf.DUMMYFUNCTION("""COMPUTED_VALUE"""),"682")</f>
        <v>682</v>
      </c>
      <c r="B874" s="14" t="str">
        <f>IFERROR(__xludf.DUMMYFUNCTION("""COMPUTED_VALUE"""),"РЕН-26")</f>
        <v>РЕН-26</v>
      </c>
      <c r="C874" s="14" t="str">
        <f>IFERROR(__xludf.DUMMYFUNCTION("""COMPUTED_VALUE"""),"ОКС")</f>
        <v>ОКС</v>
      </c>
      <c r="D874" s="6"/>
      <c r="E874" s="14" t="str">
        <f>IFERROR(__xludf.DUMMYFUNCTION("""COMPUTED_VALUE"""),"15-я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П"&amp;"арковая ул, д.42, к.8, стр.1)")</f>
        <v>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Парковая ул, д.42, к.8, стр.1)</v>
      </c>
      <c r="F874" s="25" t="str">
        <f>IFERROR(__xludf.DUMMYFUNCTION("""COMPUTED_VALUE"""),"55.806119")</f>
        <v>55.806119</v>
      </c>
      <c r="G874" s="6" t="str">
        <f>IFERROR(__xludf.DUMMYFUNCTION("""COMPUTED_VALUE"""),"37.824476")</f>
        <v>37.824476</v>
      </c>
      <c r="H874" s="18" t="str">
        <f>IFERROR(__xludf.DUMMYFUNCTION("""COMPUTED_VALUE"""),"https://docs.google.com/spreadsheets/d/1rbCD10ySi4YZEkJW2_Slmn9z7AI1WEsGsZaIJmnnT18/edit?gid=617058408#gid=617058408")</f>
        <v>https://docs.google.com/spreadsheets/d/1rbCD10ySi4YZEkJW2_Slmn9z7AI1WEsGsZaIJmnnT18/edit?gid=617058408#gid=617058408</v>
      </c>
      <c r="I874" s="21" t="str">
        <f>IFERROR(__xludf.DUMMYFUNCTION("""COMPUTED_VALUE"""),"https://disk.yandex.ru/client/disk/%D0%9E%D1%81%D0%BC%D0%BE%D1%82%D1%80%D1%8B%20%D0%BE%D0%B1%D1%8A%D0%B5%D0%BA%D1%82%D0%BE%D0%B2%20%D0%90%D0%9D%D0%9E%20%D0%A1%D0%9C%D0%93/682%20%D0%92%D0%90%D0%9E%2C%20%D0%A1%D0%B5%D0%B2%D0%B5%D1%80%D0%BD%D0%BE%D0%B5%20%D0"&amp;"%98%D0%B7%D0%BC%D0%B0%D0%B9%D0%BB%D0%BE%D0%B2%D0%BE%2C%20%2015-%D1%8F%20%D0%9F%D0%B0%D1%80%D0%BA%D0%BE%D0%B2%D0%B0%D1%8F%20%D0%B7%D1%83%2042%2C%20%D0%BC%D0%BA%D1%80.%2080%2C%20%20%D0%B7%D0%BE%D0%BD%D0%B0%20%E2%84%9610.4%20%D0%BA%D0%BE%D1%80%D0%BF%D1%83%D1"&amp;"%81%207%20%2C%20%D0%BA%D0%BE%D1%80%D0%BF%D1%83%D1%81%208%20%2C%20%D0%BA%D0%BE%D1%80%D0%BF%D1%83%D1%81%208%20%D1%81%D1%82%D1%80%201%20")</f>
        <v>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v>
      </c>
      <c r="J874" s="50">
        <f>IFERROR(__xludf.DUMMYFUNCTION("""COMPUTED_VALUE"""),5.6799)</f>
        <v>5.6799</v>
      </c>
      <c r="K874" s="58">
        <f>IFERROR(__xludf.DUMMYFUNCTION("""COMPUTED_VALUE"""),45947.0)</f>
        <v>45947</v>
      </c>
      <c r="L874" s="6">
        <v>30.0</v>
      </c>
      <c r="M874" s="52">
        <v>45977.0</v>
      </c>
      <c r="N874" s="53" t="s">
        <v>701</v>
      </c>
      <c r="O874" s="19" t="s">
        <v>669</v>
      </c>
      <c r="P874" s="6"/>
      <c r="Q874" s="6"/>
      <c r="R874" s="6"/>
    </row>
    <row r="875">
      <c r="A875" s="31" t="str">
        <f>IFERROR(__xludf.DUMMYFUNCTION("""COMPUTED_VALUE"""),"612")</f>
        <v>612</v>
      </c>
      <c r="B875" s="14" t="str">
        <f>IFERROR(__xludf.DUMMYFUNCTION("""COMPUTED_VALUE"""),"РЕН-26")</f>
        <v>РЕН-26</v>
      </c>
      <c r="C875" s="14" t="str">
        <f>IFERROR(__xludf.DUMMYFUNCTION("""COMPUTED_VALUE"""),"ОКС")</f>
        <v>ОКС</v>
      </c>
      <c r="D875" s="6"/>
      <c r="E875" s="14" t="str">
        <f>IFERROR(__xludf.DUMMYFUNCTION("""COMPUTED_VALUE"""),"Сиреневый бульвар, земельный участок 4/4 зона 5.1 район Измайлово, Сиреневый бульвар, вл. 4, участок 4 зона 5.1")</f>
        <v>Сиреневый бульвар, земельный участок 4/4 зона 5.1 район Измайлово, Сиреневый бульвар, вл. 4, участок 4 зона 5.1</v>
      </c>
      <c r="F875" s="25" t="str">
        <f>IFERROR(__xludf.DUMMYFUNCTION("""COMPUTED_VALUE"""),"55.796007")</f>
        <v>55.796007</v>
      </c>
      <c r="G875" s="6" t="str">
        <f>IFERROR(__xludf.DUMMYFUNCTION("""COMPUTED_VALUE"""),"37.758178")</f>
        <v>37.758178</v>
      </c>
      <c r="H875" s="18" t="str">
        <f>IFERROR(__xludf.DUMMYFUNCTION("""COMPUTED_VALUE"""),"https://docs.google.com/spreadsheets/d/1rbCD10ySi4YZEkJW2_Slmn9z7AI1WEsGsZaIJmnnT18/edit?gid=1553204611#gid=1553204611")</f>
        <v>https://docs.google.com/spreadsheets/d/1rbCD10ySi4YZEkJW2_Slmn9z7AI1WEsGsZaIJmnnT18/edit?gid=1553204611#gid=1553204611</v>
      </c>
      <c r="I875" s="19" t="str">
        <f>IFERROR(__xludf.DUMMYFUNCTION("""COMPUTED_VALUE"""),"https://disk.yandex.ru/client/disk/Осмотры%20объектов%20АНО%20СМГ/612.%20Измайлово%2C%20Сиреневый%20бульвар%2C%20зу%204.4%2C%20зона%205.1")</f>
        <v>https://disk.yandex.ru/client/disk/Осмотры%20объектов%20АНО%20СМГ/612.%20Измайлово%2C%20Сиреневый%20бульвар%2C%20зу%204.4%2C%20зона%205.1</v>
      </c>
      <c r="J875" s="50">
        <f>IFERROR(__xludf.DUMMYFUNCTION("""COMPUTED_VALUE"""),0.44999999999999996)</f>
        <v>0.45</v>
      </c>
      <c r="K875" s="58">
        <f>IFERROR(__xludf.DUMMYFUNCTION("""COMPUTED_VALUE"""),45973.0)</f>
        <v>45973</v>
      </c>
      <c r="L875" s="6">
        <v>30.0</v>
      </c>
      <c r="M875" s="52">
        <v>46003.0</v>
      </c>
      <c r="N875" s="53" t="s">
        <v>711</v>
      </c>
      <c r="O875" s="19" t="s">
        <v>669</v>
      </c>
      <c r="P875" s="6"/>
      <c r="Q875" s="6"/>
      <c r="R875" s="6"/>
    </row>
    <row r="876">
      <c r="A876" s="31" t="str">
        <f>IFERROR(__xludf.DUMMYFUNCTION("""COMPUTED_VALUE"""),"827")</f>
        <v>827</v>
      </c>
      <c r="B876" s="14" t="str">
        <f>IFERROR(__xludf.DUMMYFUNCTION("""COMPUTED_VALUE"""),"РЕН-26")</f>
        <v>РЕН-26</v>
      </c>
      <c r="C876" s="14" t="str">
        <f>IFERROR(__xludf.DUMMYFUNCTION("""COMPUTED_VALUE"""),"ОКС")</f>
        <v>ОКС</v>
      </c>
      <c r="D876" s="6"/>
      <c r="E876" s="14" t="str">
        <f>IFERROR(__xludf.DUMMYFUNCTION("""COMPUTED_VALUE"""),"улица Ташкентская, земельный участок 14/3 (зона 3.2 и 3.4) улица Ташкентская, земельный участок 14/3 (зона 3.2 и 3.4)")</f>
        <v>улица Ташкентская, земельный участок 14/3 (зона 3.2 и 3.4) улица Ташкентская, земельный участок 14/3 (зона 3.2 и 3.4)</v>
      </c>
      <c r="F876" s="25" t="str">
        <f>IFERROR(__xludf.DUMMYFUNCTION("""COMPUTED_VALUE"""),"55.704688")</f>
        <v>55.704688</v>
      </c>
      <c r="G876" s="6" t="str">
        <f>IFERROR(__xludf.DUMMYFUNCTION("""COMPUTED_VALUE"""),"37.813485")</f>
        <v>37.813485</v>
      </c>
      <c r="H876" s="18" t="str">
        <f>IFERROR(__xludf.DUMMYFUNCTION("""COMPUTED_VALUE"""),"https://docs.google.com/spreadsheets/d/1rbCD10ySi4YZEkJW2_Slmn9z7AI1WEsGsZaIJmnnT18/edit?gid=252316906#gid=252316906")</f>
        <v>https://docs.google.com/spreadsheets/d/1rbCD10ySi4YZEkJW2_Slmn9z7AI1WEsGsZaIJmnnT18/edit?gid=252316906#gid=252316906</v>
      </c>
      <c r="I876" s="19" t="str">
        <f>IFERROR(__xludf.DUMMYFUNCTION("""COMPUTED_VALUE"""),"https://disk.yandex.ru/client/disk/Осмотры%20объектов%20АНО%20СМГ/827.%20район%20Выхино-Жулебино%2C%20ул.%20Ташкентская%20ЗУ%2014.3%2C%20зона%20№%203.2%2C%203.4")</f>
        <v>https://disk.yandex.ru/client/disk/Осмотры%20объектов%20АНО%20СМГ/827.%20район%20Выхино-Жулебино%2C%20ул.%20Ташкентская%20ЗУ%2014.3%2C%20зона%20№%203.2%2C%203.4</v>
      </c>
      <c r="J876" s="50">
        <f>IFERROR(__xludf.DUMMYFUNCTION("""COMPUTED_VALUE"""),19.0071)</f>
        <v>19.0071</v>
      </c>
      <c r="K876" s="58">
        <f>IFERROR(__xludf.DUMMYFUNCTION("""COMPUTED_VALUE"""),45968.0)</f>
        <v>45968</v>
      </c>
      <c r="L876" s="6">
        <v>30.0</v>
      </c>
      <c r="M876" s="52">
        <v>45998.0</v>
      </c>
      <c r="N876" s="53" t="s">
        <v>711</v>
      </c>
      <c r="O876" s="19" t="s">
        <v>669</v>
      </c>
      <c r="P876" s="6"/>
      <c r="Q876" s="6"/>
      <c r="R876" s="6"/>
    </row>
    <row r="877">
      <c r="A877" s="31" t="str">
        <f>IFERROR(__xludf.DUMMYFUNCTION("""COMPUTED_VALUE"""),"598")</f>
        <v>598</v>
      </c>
      <c r="B877" s="14" t="str">
        <f>IFERROR(__xludf.DUMMYFUNCTION("""COMPUTED_VALUE"""),"РЕН-26")</f>
        <v>РЕН-26</v>
      </c>
      <c r="C877" s="14" t="str">
        <f>IFERROR(__xludf.DUMMYFUNCTION("""COMPUTED_VALUE"""),"ОКС")</f>
        <v>ОКС</v>
      </c>
      <c r="D877" s="6"/>
      <c r="E877" s="14" t="str">
        <f>IFERROR(__xludf.DUMMYFUNCTION("""COMPUTED_VALUE"""),"ул. Амурская, земельный участок 1/11 (зоны 3.1, 3.2) район Гольяново, Амурская ул., вл. 1, зона № 3.1, 3.2 (улица Амурская, з/у 1/11)")</f>
        <v>ул. Амурская, земельный участок 1/11 (зоны 3.1, 3.2) район Гольяново, Амурская ул., вл. 1, зона № 3.1, 3.2 (улица Амурская, з/у 1/11)</v>
      </c>
      <c r="F877" s="25" t="str">
        <f>IFERROR(__xludf.DUMMYFUNCTION("""COMPUTED_VALUE"""),"55.808457")</f>
        <v>55.808457</v>
      </c>
      <c r="G877" s="6" t="str">
        <f>IFERROR(__xludf.DUMMYFUNCTION("""COMPUTED_VALUE"""),"37.753995")</f>
        <v>37.753995</v>
      </c>
      <c r="H877" s="18" t="str">
        <f>IFERROR(__xludf.DUMMYFUNCTION("""COMPUTED_VALUE"""),"https://docs.google.com/spreadsheets/d/1rbCD10ySi4YZEkJW2_Slmn9z7AI1WEsGsZaIJmnnT18/edit?gid=798053940#gid=798053940")</f>
        <v>https://docs.google.com/spreadsheets/d/1rbCD10ySi4YZEkJW2_Slmn9z7AI1WEsGsZaIJmnnT18/edit?gid=798053940#gid=798053940</v>
      </c>
      <c r="I877" s="19" t="str">
        <f>IFERROR(__xludf.DUMMYFUNCTION("""COMPUTED_VALUE"""),"https://disk.yandex.ru/client/disk/Осмотры%20объектов%20АНО%20СМГ/598.%20ВАО%2C%20Амурская%20ул%20вл.1%20зона%20N%203.1%2C3.2%20(з_у%201_11)")</f>
        <v>https://disk.yandex.ru/client/disk/Осмотры%20объектов%20АНО%20СМГ/598.%20ВАО%2C%20Амурская%20ул%20вл.1%20зона%20N%203.1%2C3.2%20(з_у%201_11)</v>
      </c>
      <c r="J877" s="50">
        <f>IFERROR(__xludf.DUMMYFUNCTION("""COMPUTED_VALUE"""),40.013925)</f>
        <v>40.013925</v>
      </c>
      <c r="K877" s="58">
        <f>IFERROR(__xludf.DUMMYFUNCTION("""COMPUTED_VALUE"""),45962.0)</f>
        <v>45962</v>
      </c>
      <c r="L877" s="6">
        <v>30.0</v>
      </c>
      <c r="M877" s="52">
        <v>45992.0</v>
      </c>
      <c r="N877" s="53" t="s">
        <v>692</v>
      </c>
      <c r="O877" s="19" t="s">
        <v>669</v>
      </c>
      <c r="P877" s="6"/>
      <c r="Q877" s="6"/>
      <c r="R877" s="6"/>
    </row>
    <row r="878">
      <c r="A878" s="31" t="str">
        <f>IFERROR(__xludf.DUMMYFUNCTION("""COMPUTED_VALUE"""),"829")</f>
        <v>829</v>
      </c>
      <c r="B878" s="14" t="str">
        <f>IFERROR(__xludf.DUMMYFUNCTION("""COMPUTED_VALUE"""),"РЕН-26")</f>
        <v>РЕН-26</v>
      </c>
      <c r="C878" s="14" t="str">
        <f>IFERROR(__xludf.DUMMYFUNCTION("""COMPUTED_VALUE"""),"ОКС")</f>
        <v>ОКС</v>
      </c>
      <c r="D878" s="6"/>
      <c r="E878" s="14" t="str">
        <f>IFERROR(__xludf.DUMMYFUNCTION("""COMPUTED_VALUE"""),"улица Юных Ленинцев, земельный участок 103 (участок 12.4) улица Юных Ленинцев, земельный участок 103 (участок 12.4)")</f>
        <v>улица Юных Ленинцев, земельный участок 103 (участок 12.4) улица Юных Ленинцев, земельный участок 103 (участок 12.4)</v>
      </c>
      <c r="F878" s="25" t="str">
        <f>IFERROR(__xludf.DUMMYFUNCTION("""COMPUTED_VALUE"""),"55.699947")</f>
        <v>55.699947</v>
      </c>
      <c r="G878" s="6" t="str">
        <f>IFERROR(__xludf.DUMMYFUNCTION("""COMPUTED_VALUE"""),"37.781703")</f>
        <v>37.781703</v>
      </c>
      <c r="H878" s="18" t="str">
        <f>IFERROR(__xludf.DUMMYFUNCTION("""COMPUTED_VALUE"""),"https://docs.google.com/spreadsheets/d/1rbCD10ySi4YZEkJW2_Slmn9z7AI1WEsGsZaIJmnnT18/edit?gid=256251800#gid=256251800")</f>
        <v>https://docs.google.com/spreadsheets/d/1rbCD10ySi4YZEkJW2_Slmn9z7AI1WEsGsZaIJmnnT18/edit?gid=256251800#gid=256251800</v>
      </c>
      <c r="I878" s="19" t="str">
        <f>IFERROR(__xludf.DUMMYFUNCTION("""COMPUTED_VALUE"""),"https://disk.yandex.ru/client/disk/Осмотры%20объектов%20АНО%20СМГ/829.%20Ул.%20Юных%20Ленинцев%2C%20з-у%20103%20(уч.%2012.4).%20Жилой%20дом")</f>
        <v>https://disk.yandex.ru/client/disk/Осмотры%20объектов%20АНО%20СМГ/829.%20Ул.%20Юных%20Ленинцев%2C%20з-у%20103%20(уч.%2012.4).%20Жилой%20дом</v>
      </c>
      <c r="J878" s="50">
        <f>IFERROR(__xludf.DUMMYFUNCTION("""COMPUTED_VALUE"""),33.12825)</f>
        <v>33.12825</v>
      </c>
      <c r="K878" s="58">
        <f>IFERROR(__xludf.DUMMYFUNCTION("""COMPUTED_VALUE"""),45975.0)</f>
        <v>45975</v>
      </c>
      <c r="L878" s="6">
        <v>30.0</v>
      </c>
      <c r="M878" s="52">
        <v>46005.0</v>
      </c>
      <c r="N878" s="53" t="s">
        <v>711</v>
      </c>
      <c r="O878" s="19" t="s">
        <v>669</v>
      </c>
      <c r="P878" s="6"/>
      <c r="Q878" s="6"/>
      <c r="R878" s="6"/>
    </row>
    <row r="879">
      <c r="A879" s="31" t="str">
        <f>IFERROR(__xludf.DUMMYFUNCTION("""COMPUTED_VALUE"""),"830")</f>
        <v>830</v>
      </c>
      <c r="B879" s="14" t="str">
        <f>IFERROR(__xludf.DUMMYFUNCTION("""COMPUTED_VALUE"""),"РЕН-26")</f>
        <v>РЕН-26</v>
      </c>
      <c r="C879" s="14" t="str">
        <f>IFERROR(__xludf.DUMMYFUNCTION("""COMPUTED_VALUE"""),"ОКС")</f>
        <v>ОКС</v>
      </c>
      <c r="D879" s="6"/>
      <c r="E879" s="14" t="str">
        <f>IFERROR(__xludf.DUMMYFUNCTION("""COMPUTED_VALUE"""),"улица Юных Ленинцев, земельный участок 111 (участок 12.8) улица Юных Ленинцев, земельный участок 111 (участок 12.8)")</f>
        <v>улица Юных Ленинцев, земельный участок 111 (участок 12.8) улица Юных Ленинцев, земельный участок 111 (участок 12.8)</v>
      </c>
      <c r="F879" s="25" t="str">
        <f>IFERROR(__xludf.DUMMYFUNCTION("""COMPUTED_VALUE"""),"55.699444")</f>
        <v>55.699444</v>
      </c>
      <c r="G879" s="6" t="str">
        <f>IFERROR(__xludf.DUMMYFUNCTION("""COMPUTED_VALUE"""),"37.785650")</f>
        <v>37.785650</v>
      </c>
      <c r="H879" s="18" t="str">
        <f>IFERROR(__xludf.DUMMYFUNCTION("""COMPUTED_VALUE"""),"https://docs.google.com/spreadsheets/d/1rbCD10ySi4YZEkJW2_Slmn9z7AI1WEsGsZaIJmnnT18/edit?gid=580229704#gid=580229704")</f>
        <v>https://docs.google.com/spreadsheets/d/1rbCD10ySi4YZEkJW2_Slmn9z7AI1WEsGsZaIJmnnT18/edit?gid=580229704#gid=580229704</v>
      </c>
      <c r="I879" s="19" t="str">
        <f>IFERROR(__xludf.DUMMYFUNCTION("""COMPUTED_VALUE"""),"https://disk.yandex.ru/client/disk/Осмотры%20объектов%20АНО%20СМГ/830.%20улица%20Юных%20Ленинцев%2C%20зу%20111")</f>
        <v>https://disk.yandex.ru/client/disk/Осмотры%20объектов%20АНО%20СМГ/830.%20улица%20Юных%20Ленинцев%2C%20зу%20111</v>
      </c>
      <c r="J879" s="50">
        <f>IFERROR(__xludf.DUMMYFUNCTION("""COMPUTED_VALUE"""),36.43993499999999)</f>
        <v>36.439935</v>
      </c>
      <c r="K879" s="58">
        <f>IFERROR(__xludf.DUMMYFUNCTION("""COMPUTED_VALUE"""),45974.0)</f>
        <v>45974</v>
      </c>
      <c r="L879" s="6">
        <v>30.0</v>
      </c>
      <c r="M879" s="52">
        <v>46004.0</v>
      </c>
      <c r="N879" s="53" t="s">
        <v>711</v>
      </c>
      <c r="O879" s="19" t="s">
        <v>669</v>
      </c>
      <c r="P879" s="6"/>
      <c r="Q879" s="6"/>
      <c r="R879" s="6"/>
    </row>
    <row r="880">
      <c r="A880" s="31" t="str">
        <f>IFERROR(__xludf.DUMMYFUNCTION("""COMPUTED_VALUE"""),"831")</f>
        <v>831</v>
      </c>
      <c r="B880" s="14" t="str">
        <f>IFERROR(__xludf.DUMMYFUNCTION("""COMPUTED_VALUE"""),"РЕН-26")</f>
        <v>РЕН-26</v>
      </c>
      <c r="C880" s="14" t="str">
        <f>IFERROR(__xludf.DUMMYFUNCTION("""COMPUTED_VALUE"""),"ОКС")</f>
        <v>ОКС</v>
      </c>
      <c r="D880" s="6"/>
      <c r="E880" s="14" t="str">
        <f>IFERROR(__xludf.DUMMYFUNCTION("""COMPUTED_VALUE"""),"улица Юных Ленинцев, земельный участок 113 (зоны 12.9, 12.12) ЮВАО	улица Юных Ленинцев, земельный участок 113 (зоны 12.9, 12.12)")</f>
        <v>улица Юных Ленинцев, земельный участок 113 (зоны 12.9, 12.12) ЮВАО	улица Юных Ленинцев, земельный участок 113 (зоны 12.9, 12.12)</v>
      </c>
      <c r="F880" s="25" t="str">
        <f>IFERROR(__xludf.DUMMYFUNCTION("""COMPUTED_VALUE"""),"55.699232")</f>
        <v>55.699232</v>
      </c>
      <c r="G880" s="6" t="str">
        <f>IFERROR(__xludf.DUMMYFUNCTION("""COMPUTED_VALUE"""),"37.786713")</f>
        <v>37.786713</v>
      </c>
      <c r="H880" s="18" t="str">
        <f>IFERROR(__xludf.DUMMYFUNCTION("""COMPUTED_VALUE"""),"https://docs.google.com/spreadsheets/d/1rbCD10ySi4YZEkJW2_Slmn9z7AI1WEsGsZaIJmnnT18/edit?gid=372457040#gid=372457040")</f>
        <v>https://docs.google.com/spreadsheets/d/1rbCD10ySi4YZEkJW2_Slmn9z7AI1WEsGsZaIJmnnT18/edit?gid=372457040#gid=372457040</v>
      </c>
      <c r="I880" s="19" t="str">
        <f>IFERROR(__xludf.DUMMYFUNCTION("""COMPUTED_VALUE"""),"https://disk.yandex.ru/client/disk/Осмотры%20объектов%20АНО%20СМГ/831.%20улица%20Юных%20Ленинцев%2C%20зу%20113")</f>
        <v>https://disk.yandex.ru/client/disk/Осмотры%20объектов%20АНО%20СМГ/831.%20улица%20Юных%20Ленинцев%2C%20зу%20113</v>
      </c>
      <c r="J880" s="50">
        <f>IFERROR(__xludf.DUMMYFUNCTION("""COMPUTED_VALUE"""),41.096775)</f>
        <v>41.096775</v>
      </c>
      <c r="K880" s="58">
        <f>IFERROR(__xludf.DUMMYFUNCTION("""COMPUTED_VALUE"""),45974.0)</f>
        <v>45974</v>
      </c>
      <c r="L880" s="6">
        <v>30.0</v>
      </c>
      <c r="M880" s="52">
        <v>46004.0</v>
      </c>
      <c r="N880" s="53" t="s">
        <v>711</v>
      </c>
      <c r="O880" s="19" t="s">
        <v>669</v>
      </c>
      <c r="P880" s="6"/>
      <c r="Q880" s="6"/>
      <c r="R880" s="6"/>
    </row>
    <row r="881">
      <c r="A881" s="31" t="str">
        <f>IFERROR(__xludf.DUMMYFUNCTION("""COMPUTED_VALUE"""),"832")</f>
        <v>832</v>
      </c>
      <c r="B881" s="14" t="str">
        <f>IFERROR(__xludf.DUMMYFUNCTION("""COMPUTED_VALUE"""),"РЕН-26")</f>
        <v>РЕН-26</v>
      </c>
      <c r="C881" s="14" t="str">
        <f>IFERROR(__xludf.DUMMYFUNCTION("""COMPUTED_VALUE"""),"ОКС")</f>
        <v>ОКС</v>
      </c>
      <c r="D881" s="6"/>
      <c r="E881" s="14" t="str">
        <f>IFERROR(__xludf.DUMMYFUNCTION("""COMPUTED_VALUE"""),"шоссе Волоколамское, земельный участок 106 СЗАО	 шоссе Волоколамское, земельный участок 106")</f>
        <v>шоссе Волоколамское, земельный участок 106 СЗАО	 шоссе Волоколамское, земельный участок 106</v>
      </c>
      <c r="F881" s="25" t="str">
        <f>IFERROR(__xludf.DUMMYFUNCTION("""COMPUTED_VALUE"""),"55.826736")</f>
        <v>55.826736</v>
      </c>
      <c r="G881" s="6" t="str">
        <f>IFERROR(__xludf.DUMMYFUNCTION("""COMPUTED_VALUE"""),"37.428314")</f>
        <v>37.428314</v>
      </c>
      <c r="H881" s="18" t="str">
        <f>IFERROR(__xludf.DUMMYFUNCTION("""COMPUTED_VALUE"""),"https://docs.google.com/spreadsheets/d/1rbCD10ySi4YZEkJW2_Slmn9z7AI1WEsGsZaIJmnnT18/edit?gid=1402094174#gid=1402094174")</f>
        <v>https://docs.google.com/spreadsheets/d/1rbCD10ySi4YZEkJW2_Slmn9z7AI1WEsGsZaIJmnnT18/edit?gid=1402094174#gid=1402094174</v>
      </c>
      <c r="I881" s="19" t="str">
        <f>IFERROR(__xludf.DUMMYFUNCTION("""COMPUTED_VALUE"""),"https://disk.yandex.ru/client/disk/Осмотры%20объектов%20АНО%20СМГ/832.%20Волоколамское%20шоссе%2C%20зу%20106")</f>
        <v>https://disk.yandex.ru/client/disk/Осмотры%20объектов%20АНО%20СМГ/832.%20Волоколамское%20шоссе%2C%20зу%20106</v>
      </c>
      <c r="J881" s="50">
        <f>IFERROR(__xludf.DUMMYFUNCTION("""COMPUTED_VALUE"""),3.4499999999999997)</f>
        <v>3.45</v>
      </c>
      <c r="K881" s="58">
        <f>IFERROR(__xludf.DUMMYFUNCTION("""COMPUTED_VALUE"""),45961.0)</f>
        <v>45961</v>
      </c>
      <c r="L881" s="6">
        <v>30.0</v>
      </c>
      <c r="M881" s="52">
        <v>45991.0</v>
      </c>
      <c r="N881" s="53" t="s">
        <v>692</v>
      </c>
      <c r="O881" s="19" t="s">
        <v>669</v>
      </c>
      <c r="P881" s="6"/>
      <c r="Q881" s="6"/>
      <c r="R881" s="6"/>
    </row>
    <row r="882">
      <c r="A882" s="31" t="str">
        <f>IFERROR(__xludf.DUMMYFUNCTION("""COMPUTED_VALUE"""),"693")</f>
        <v>693</v>
      </c>
      <c r="B882" s="14" t="str">
        <f>IFERROR(__xludf.DUMMYFUNCTION("""COMPUTED_VALUE"""),"РЕН-26")</f>
        <v>РЕН-26</v>
      </c>
      <c r="C882" s="14" t="str">
        <f>IFERROR(__xludf.DUMMYFUNCTION("""COMPUTED_VALUE"""),"ОКС")</f>
        <v>ОКС</v>
      </c>
      <c r="D882" s="6"/>
      <c r="E882" s="14" t="str">
        <f>IFERROR(__xludf.DUMMYFUNCTION("""COMPUTED_VALUE"""),"7-я Парковая улица, земельный участок 19 ВАО, район Измайлово, 7-я Парковая ул., зу 19")</f>
        <v>7-я Парковая улица, земельный участок 19 ВАО, район Измайлово, 7-я Парковая ул., зу 19</v>
      </c>
      <c r="F882" s="25" t="str">
        <f>IFERROR(__xludf.DUMMYFUNCTION("""COMPUTED_VALUE"""),"55.800022")</f>
        <v>55.800022</v>
      </c>
      <c r="G882" s="6" t="str">
        <f>IFERROR(__xludf.DUMMYFUNCTION("""COMPUTED_VALUE"""),"37.792436")</f>
        <v>37.792436</v>
      </c>
      <c r="H882" s="18" t="str">
        <f>IFERROR(__xludf.DUMMYFUNCTION("""COMPUTED_VALUE"""),"https://docs.google.com/spreadsheets/d/1rbCD10ySi4YZEkJW2_Slmn9z7AI1WEsGsZaIJmnnT18/edit?gid=511980375#gid=511980375")</f>
        <v>https://docs.google.com/spreadsheets/d/1rbCD10ySi4YZEkJW2_Slmn9z7AI1WEsGsZaIJmnnT18/edit?gid=511980375#gid=511980375</v>
      </c>
      <c r="I882" s="19" t="str">
        <f>IFERROR(__xludf.DUMMYFUNCTION("""COMPUTED_VALUE"""),"https://disk.yandex.ru/client/disk/Осмотры%20объектов%20АНО%20СМГ/693%207-я%20Парковая%20зу%2019")</f>
        <v>https://disk.yandex.ru/client/disk/Осмотры%20объектов%20АНО%20СМГ/693%207-я%20Парковая%20зу%2019</v>
      </c>
      <c r="J882" s="50">
        <f>IFERROR(__xludf.DUMMYFUNCTION("""COMPUTED_VALUE"""),4.803719999999999)</f>
        <v>4.80372</v>
      </c>
      <c r="K882" s="58">
        <f>IFERROR(__xludf.DUMMYFUNCTION("""COMPUTED_VALUE"""),45973.0)</f>
        <v>45973</v>
      </c>
      <c r="L882" s="6">
        <v>30.0</v>
      </c>
      <c r="M882" s="52">
        <v>46003.0</v>
      </c>
      <c r="N882" s="53" t="s">
        <v>711</v>
      </c>
      <c r="O882" s="19" t="s">
        <v>1159</v>
      </c>
      <c r="P882" s="6"/>
      <c r="Q882" s="6"/>
      <c r="R882" s="6"/>
    </row>
    <row r="883">
      <c r="A883" s="31" t="str">
        <f>IFERROR(__xludf.DUMMYFUNCTION("""COMPUTED_VALUE"""),"697")</f>
        <v>697</v>
      </c>
      <c r="B883" s="14" t="str">
        <f>IFERROR(__xludf.DUMMYFUNCTION("""COMPUTED_VALUE"""),"РЕН-26")</f>
        <v>РЕН-26</v>
      </c>
      <c r="C883" s="14" t="str">
        <f>IFERROR(__xludf.DUMMYFUNCTION("""COMPUTED_VALUE"""),"ОКС")</f>
        <v>ОКС</v>
      </c>
      <c r="D883" s="6"/>
      <c r="E883" s="14" t="str">
        <f>IFERROR(__xludf.DUMMYFUNCTION("""COMPUTED_VALUE"""),"Керченская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f>
        <v>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v>
      </c>
      <c r="F883" s="25" t="str">
        <f>IFERROR(__xludf.DUMMYFUNCTION("""COMPUTED_VALUE"""),"55.648386")</f>
        <v>55.648386</v>
      </c>
      <c r="G883" s="6" t="str">
        <f>IFERROR(__xludf.DUMMYFUNCTION("""COMPUTED_VALUE"""),"37.576613")</f>
        <v>37.576613</v>
      </c>
      <c r="H883" s="18" t="str">
        <f>IFERROR(__xludf.DUMMYFUNCTION("""COMPUTED_VALUE"""),"https://docs.google.com/spreadsheets/d/1rbCD10ySi4YZEkJW2_Slmn9z7AI1WEsGsZaIJmnnT18/edit?gid=1656095741#gid=1656095741")</f>
        <v>https://docs.google.com/spreadsheets/d/1rbCD10ySi4YZEkJW2_Slmn9z7AI1WEsGsZaIJmnnT18/edit?gid=1656095741#gid=1656095741</v>
      </c>
      <c r="I883" s="19" t="str">
        <f>IFERROR(__xludf.DUMMYFUNCTION("""COMPUTED_VALUE"""),"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amp;"%20д.%2030)")</f>
        <v>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20д.%2030)</v>
      </c>
      <c r="J883" s="50">
        <f>IFERROR(__xludf.DUMMYFUNCTION("""COMPUTED_VALUE"""),6.588900000000001)</f>
        <v>6.5889</v>
      </c>
      <c r="K883" s="58">
        <f>IFERROR(__xludf.DUMMYFUNCTION("""COMPUTED_VALUE"""),45974.0)</f>
        <v>45974</v>
      </c>
      <c r="L883" s="6">
        <v>30.0</v>
      </c>
      <c r="M883" s="52">
        <v>46004.0</v>
      </c>
      <c r="N883" s="53" t="s">
        <v>711</v>
      </c>
      <c r="O883" s="19" t="s">
        <v>1160</v>
      </c>
      <c r="P883" s="6"/>
      <c r="Q883" s="6"/>
      <c r="R883" s="6"/>
    </row>
    <row r="884">
      <c r="A884" s="31" t="str">
        <f>IFERROR(__xludf.DUMMYFUNCTION("""COMPUTED_VALUE"""),"705")</f>
        <v>705</v>
      </c>
      <c r="B884" s="14" t="str">
        <f>IFERROR(__xludf.DUMMYFUNCTION("""COMPUTED_VALUE"""),"РЕН-26")</f>
        <v>РЕН-26</v>
      </c>
      <c r="C884" s="14" t="str">
        <f>IFERROR(__xludf.DUMMYFUNCTION("""COMPUTED_VALUE"""),"ОКС")</f>
        <v>ОКС</v>
      </c>
      <c r="D884" s="6"/>
      <c r="E884" s="14" t="str">
        <f>IFERROR(__xludf.DUMMYFUNCTION("""COMPUTED_VALUE"""),"проспект Нахимовский, земельный участок 17/2 ЮЗАО, район Зюзино, кв. 14, зона 1.2 (со сносом жилых зданий по адресам: Нахимовский пр- кт, д.15, корп.2, Нахимовский пр-кт, д.17, корп.2)")</f>
        <v>проспект Нахимовский, земельный участок 17/2 ЮЗАО, район Зюзино, кв. 14, зона 1.2 (со сносом жилых зданий по адресам: Нахимовский пр- кт, д.15, корп.2, Нахимовский пр-кт, д.17, корп.2)</v>
      </c>
      <c r="F884" s="25" t="str">
        <f>IFERROR(__xludf.DUMMYFUNCTION("""COMPUTED_VALUE"""),"55.663358")</f>
        <v>55.663358</v>
      </c>
      <c r="G884" s="6" t="str">
        <f>IFERROR(__xludf.DUMMYFUNCTION("""COMPUTED_VALUE"""),"37.601466")</f>
        <v>37.601466</v>
      </c>
      <c r="H884" s="18" t="str">
        <f>IFERROR(__xludf.DUMMYFUNCTION("""COMPUTED_VALUE"""),"https://docs.google.com/spreadsheets/d/1rbCD10ySi4YZEkJW2_Slmn9z7AI1WEsGsZaIJmnnT18/edit?gid=1394380200#gid=1394380200")</f>
        <v>https://docs.google.com/spreadsheets/d/1rbCD10ySi4YZEkJW2_Slmn9z7AI1WEsGsZaIJmnnT18/edit?gid=1394380200#gid=1394380200</v>
      </c>
      <c r="I884" s="19" t="str">
        <f>IFERROR(__xludf.DUMMYFUNCTION("""COMPUTED_VALUE"""),"https://disk.yandex.ru/client/disk/Осмотры%20объектов%20АНО%20СМГ/705.%20район%20Зюзино%2C%20кв.%2014%2C%20зона%201.2%20(со%20сносом%20жилых%20зданий%20по%20адресам%3A%20Нахимовский%20пр-%20кт%2C%20д.15%2C%20корп.2%2C%20Нахимовский%20пркт%2C%20д.17%2C%20к"&amp;"орп.2)")</f>
        <v>https://disk.yandex.ru/client/disk/Осмотры%20объектов%20АНО%20СМГ/705.%20район%20Зюзино%2C%20кв.%2014%2C%20зона%201.2%20(со%20сносом%20жилых%20зданий%20по%20адресам%3A%20Нахимовский%20пр-%20кт%2C%20д.15%2C%20корп.2%2C%20Нахимовский%20пркт%2C%20д.17%2C%20корп.2)</v>
      </c>
      <c r="J884" s="50">
        <f>IFERROR(__xludf.DUMMYFUNCTION("""COMPUTED_VALUE"""),0.09000000000000001)</f>
        <v>0.09</v>
      </c>
      <c r="K884" s="58">
        <f>IFERROR(__xludf.DUMMYFUNCTION("""COMPUTED_VALUE"""),45946.0)</f>
        <v>45946</v>
      </c>
      <c r="L884" s="6">
        <v>30.0</v>
      </c>
      <c r="M884" s="52">
        <v>45976.0</v>
      </c>
      <c r="N884" s="53" t="s">
        <v>701</v>
      </c>
      <c r="O884" s="19" t="s">
        <v>1161</v>
      </c>
      <c r="P884" s="6"/>
      <c r="Q884" s="6"/>
      <c r="R884" s="6"/>
    </row>
    <row r="885">
      <c r="A885" s="31" t="str">
        <f>IFERROR(__xludf.DUMMYFUNCTION("""COMPUTED_VALUE"""),"706")</f>
        <v>706</v>
      </c>
      <c r="B885" s="14" t="str">
        <f>IFERROR(__xludf.DUMMYFUNCTION("""COMPUTED_VALUE"""),"РЕН-26")</f>
        <v>РЕН-26</v>
      </c>
      <c r="C885" s="14" t="str">
        <f>IFERROR(__xludf.DUMMYFUNCTION("""COMPUTED_VALUE"""),"ОКС")</f>
        <v>ОКС</v>
      </c>
      <c r="D885" s="6"/>
      <c r="E885" s="14" t="str">
        <f>IFERROR(__xludf.DUMMYFUNCTION("""COMPUTED_VALUE"""),"улица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вл."&amp;" 6, корп. 1, стр. 1)")</f>
        <v>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 6, корп. 1, стр. 1)</v>
      </c>
      <c r="F885" s="25" t="str">
        <f>IFERROR(__xludf.DUMMYFUNCTION("""COMPUTED_VALUE"""),"55.663206")</f>
        <v>55.663206</v>
      </c>
      <c r="G885" s="6" t="str">
        <f>IFERROR(__xludf.DUMMYFUNCTION("""COMPUTED_VALUE"""),"37.599810")</f>
        <v>37.599810</v>
      </c>
      <c r="H885" s="18" t="str">
        <f>IFERROR(__xludf.DUMMYFUNCTION("""COMPUTED_VALUE"""),"https://docs.google.com/spreadsheets/d/1rbCD10ySi4YZEkJW2_Slmn9z7AI1WEsGsZaIJmnnT18/edit?gid=1203948268#gid=1203948268")</f>
        <v>https://docs.google.com/spreadsheets/d/1rbCD10ySi4YZEkJW2_Slmn9z7AI1WEsGsZaIJmnnT18/edit?gid=1203948268#gid=1203948268</v>
      </c>
      <c r="I885" s="19" t="str">
        <f>IFERROR(__xludf.DUMMYFUNCTION("""COMPUTED_VALUE"""),"https://disk.yandex.ru/client/disk/Осмотры%20объектов%20АНО%20СМГ/706.%20район%20Зюзино%2C%20кв.%2014%2C%20зона%201.3")</f>
        <v>https://disk.yandex.ru/client/disk/Осмотры%20объектов%20АНО%20СМГ/706.%20район%20Зюзино%2C%20кв.%2014%2C%20зона%201.3</v>
      </c>
      <c r="J885" s="50">
        <f>IFERROR(__xludf.DUMMYFUNCTION("""COMPUTED_VALUE"""),3.3299999999999996)</f>
        <v>3.33</v>
      </c>
      <c r="K885" s="58">
        <f>IFERROR(__xludf.DUMMYFUNCTION("""COMPUTED_VALUE"""),45974.0)</f>
        <v>45974</v>
      </c>
      <c r="L885" s="6">
        <v>30.0</v>
      </c>
      <c r="M885" s="52">
        <v>46004.0</v>
      </c>
      <c r="N885" s="53" t="s">
        <v>711</v>
      </c>
      <c r="O885" s="19" t="s">
        <v>1162</v>
      </c>
      <c r="P885" s="6"/>
      <c r="Q885" s="6"/>
      <c r="R885" s="6"/>
    </row>
    <row r="886">
      <c r="A886" s="31" t="str">
        <f>IFERROR(__xludf.DUMMYFUNCTION("""COMPUTED_VALUE"""),"692")</f>
        <v>692</v>
      </c>
      <c r="B886" s="14" t="str">
        <f>IFERROR(__xludf.DUMMYFUNCTION("""COMPUTED_VALUE"""),"РЕН-26")</f>
        <v>РЕН-26</v>
      </c>
      <c r="C886" s="14" t="str">
        <f>IFERROR(__xludf.DUMMYFUNCTION("""COMPUTED_VALUE"""),"ОКС")</f>
        <v>ОКС</v>
      </c>
      <c r="D886" s="6"/>
      <c r="E886" s="14" t="str">
        <f>IFERROR(__xludf.DUMMYFUNCTION("""COMPUTED_VALUE"""),"1-я Прядильная улица, земельный участок 3 ВАО, район Измайлово, 1-я Прядильная ул., зу 3")</f>
        <v>1-я Прядильная улица, земельный участок 3 ВАО, район Измайлово, 1-я Прядильная ул., зу 3</v>
      </c>
      <c r="F886" s="25" t="str">
        <f>IFERROR(__xludf.DUMMYFUNCTION("""COMPUTED_VALUE"""),"55.794436")</f>
        <v>55.794436</v>
      </c>
      <c r="G886" s="6" t="str">
        <f>IFERROR(__xludf.DUMMYFUNCTION("""COMPUTED_VALUE"""),"37.777068")</f>
        <v>37.777068</v>
      </c>
      <c r="H886" s="18" t="str">
        <f>IFERROR(__xludf.DUMMYFUNCTION("""COMPUTED_VALUE"""),"https://docs.google.com/spreadsheets/d/1rbCD10ySi4YZEkJW2_Slmn9z7AI1WEsGsZaIJmnnT18/edit?gid=532286662#gid=532286662")</f>
        <v>https://docs.google.com/spreadsheets/d/1rbCD10ySi4YZEkJW2_Slmn9z7AI1WEsGsZaIJmnnT18/edit?gid=532286662#gid=532286662</v>
      </c>
      <c r="I886" s="19" t="str">
        <f>IFERROR(__xludf.DUMMYFUNCTION("""COMPUTED_VALUE"""),"https://disk.yandex.ru/client/disk/Осмотры%20объектов%20АНО%20СМГ/692%201-я%20Прядильная%20ул.%2C%20зу%203")</f>
        <v>https://disk.yandex.ru/client/disk/Осмотры%20объектов%20АНО%20СМГ/692%201-я%20Прядильная%20ул.%2C%20зу%203</v>
      </c>
      <c r="J886" s="50">
        <f>IFERROR(__xludf.DUMMYFUNCTION("""COMPUTED_VALUE"""),0.0)</f>
        <v>0</v>
      </c>
      <c r="K886" s="58">
        <f>IFERROR(__xludf.DUMMYFUNCTION("""COMPUTED_VALUE"""),45953.0)</f>
        <v>45953</v>
      </c>
      <c r="L886" s="6">
        <v>30.0</v>
      </c>
      <c r="M886" s="52">
        <v>45983.0</v>
      </c>
      <c r="N886" s="53" t="s">
        <v>741</v>
      </c>
      <c r="O886" s="19" t="s">
        <v>1163</v>
      </c>
      <c r="P886" s="6"/>
      <c r="Q886" s="6"/>
      <c r="R886" s="6"/>
    </row>
    <row r="887">
      <c r="A887" s="31" t="str">
        <f>IFERROR(__xludf.DUMMYFUNCTION("""COMPUTED_VALUE"""),"683")</f>
        <v>683</v>
      </c>
      <c r="B887" s="14" t="str">
        <f>IFERROR(__xludf.DUMMYFUNCTION("""COMPUTED_VALUE"""),"РЕН-26")</f>
        <v>РЕН-26</v>
      </c>
      <c r="C887" s="14" t="str">
        <f>IFERROR(__xludf.DUMMYFUNCTION("""COMPUTED_VALUE"""),"ОКС")</f>
        <v>ОКС</v>
      </c>
      <c r="D887" s="6"/>
      <c r="E887" s="14" t="str">
        <f>IFERROR(__xludf.DUMMYFUNCTION("""COMPUTED_VALUE"""),"3-я Прядильная улица, земельный участок 10 ВАО, район Измайлово, 3-я Прядильная ул., зу 10  (рефинансирование)")</f>
        <v>3-я Прядильная улица, земельный участок 10 ВАО, район Измайлово, 3-я Прядильная ул., зу 10  (рефинансирование)</v>
      </c>
      <c r="F887" s="25" t="str">
        <f>IFERROR(__xludf.DUMMYFUNCTION("""COMPUTED_VALUE"""),"55.797856")</f>
        <v>55.797856</v>
      </c>
      <c r="G887" s="6" t="str">
        <f>IFERROR(__xludf.DUMMYFUNCTION("""COMPUTED_VALUE"""),"37.773705")</f>
        <v>37.773705</v>
      </c>
      <c r="H887" s="18" t="str">
        <f>IFERROR(__xludf.DUMMYFUNCTION("""COMPUTED_VALUE"""),"https://docs.google.com/spreadsheets/d/1rbCD10ySi4YZEkJW2_Slmn9z7AI1WEsGsZaIJmnnT18/edit?gid=152190080#gid=152190080")</f>
        <v>https://docs.google.com/spreadsheets/d/1rbCD10ySi4YZEkJW2_Slmn9z7AI1WEsGsZaIJmnnT18/edit?gid=152190080#gid=152190080</v>
      </c>
      <c r="I887" s="19" t="str">
        <f>IFERROR(__xludf.DUMMYFUNCTION("""COMPUTED_VALUE"""),"https://disk.yandex.ru/client/disk/Осмотры%20объектов%20АНО%20СМГ/683%203-я%20Прядильная%20ул.%2C%20зу%2010")</f>
        <v>https://disk.yandex.ru/client/disk/Осмотры%20объектов%20АНО%20СМГ/683%203-я%20Прядильная%20ул.%2C%20зу%2010</v>
      </c>
      <c r="J887" s="50">
        <f>IFERROR(__xludf.DUMMYFUNCTION("""COMPUTED_VALUE"""),0.0399)</f>
        <v>0.0399</v>
      </c>
      <c r="K887" s="58">
        <f>IFERROR(__xludf.DUMMYFUNCTION("""COMPUTED_VALUE"""),45973.0)</f>
        <v>45973</v>
      </c>
      <c r="L887" s="6">
        <v>30.0</v>
      </c>
      <c r="M887" s="52">
        <v>46003.0</v>
      </c>
      <c r="N887" s="53" t="s">
        <v>711</v>
      </c>
      <c r="O887" s="19" t="s">
        <v>1164</v>
      </c>
      <c r="P887" s="6"/>
      <c r="Q887" s="6"/>
      <c r="R887" s="6"/>
    </row>
    <row r="888">
      <c r="A888" s="31" t="str">
        <f>IFERROR(__xludf.DUMMYFUNCTION("""COMPUTED_VALUE"""),"838")</f>
        <v>838</v>
      </c>
      <c r="B888" s="14" t="str">
        <f>IFERROR(__xludf.DUMMYFUNCTION("""COMPUTED_VALUE"""),"РЕН-26")</f>
        <v>РЕН-26</v>
      </c>
      <c r="C888" s="14" t="str">
        <f>IFERROR(__xludf.DUMMYFUNCTION("""COMPUTED_VALUE"""),"ОКС")</f>
        <v>ОКС</v>
      </c>
      <c r="D888" s="6"/>
      <c r="E888" s="14" t="str">
        <f>IFERROR(__xludf.DUMMYFUNCTION("""COMPUTED_VALUE"""),"Волгоградский проспект, земельный участок 140/2 ЮВАО        Волгоградский проспект, земельный участок 140/2")</f>
        <v>Волгоградский проспект, земельный участок 140/2 ЮВАО        Волгоградский проспект, земельный участок 140/2</v>
      </c>
      <c r="F888" s="25" t="str">
        <f>IFERROR(__xludf.DUMMYFUNCTION("""COMPUTED_VALUE"""),"55.701120")</f>
        <v>55.701120</v>
      </c>
      <c r="G888" s="6" t="str">
        <f>IFERROR(__xludf.DUMMYFUNCTION("""COMPUTED_VALUE"""),"37.786941")</f>
        <v>37.786941</v>
      </c>
      <c r="H888" s="18" t="str">
        <f>IFERROR(__xludf.DUMMYFUNCTION("""COMPUTED_VALUE"""),"https://docs.google.com/spreadsheets/d/1rbCD10ySi4YZEkJW2_Slmn9z7AI1WEsGsZaIJmnnT18/edit?gid=415706414#gid=415706414")</f>
        <v>https://docs.google.com/spreadsheets/d/1rbCD10ySi4YZEkJW2_Slmn9z7AI1WEsGsZaIJmnnT18/edit?gid=415706414#gid=415706414</v>
      </c>
      <c r="I888" s="19" t="str">
        <f>IFERROR(__xludf.DUMMYFUNCTION("""COMPUTED_VALUE"""),"https://disk.yandex.ru/client/disk/Осмотры%20объектов%20АНО%20СМГ/838.%20Волгоградский%20пр-т%2C%20з-у%20140-2.%20Жилой%20дом")</f>
        <v>https://disk.yandex.ru/client/disk/Осмотры%20объектов%20АНО%20СМГ/838.%20Волгоградский%20пр-т%2C%20з-у%20140-2.%20Жилой%20дом</v>
      </c>
      <c r="J888" s="50">
        <f>IFERROR(__xludf.DUMMYFUNCTION("""COMPUTED_VALUE"""),15.87)</f>
        <v>15.87</v>
      </c>
      <c r="K888" s="58">
        <f>IFERROR(__xludf.DUMMYFUNCTION("""COMPUTED_VALUE"""),45974.0)</f>
        <v>45974</v>
      </c>
      <c r="L888" s="6">
        <v>30.0</v>
      </c>
      <c r="M888" s="52">
        <v>46004.0</v>
      </c>
      <c r="N888" s="53" t="s">
        <v>711</v>
      </c>
      <c r="O888" s="19" t="s">
        <v>669</v>
      </c>
      <c r="P888" s="6"/>
      <c r="Q888" s="6"/>
      <c r="R888" s="6"/>
    </row>
    <row r="889">
      <c r="A889" s="31" t="str">
        <f>IFERROR(__xludf.DUMMYFUNCTION("""COMPUTED_VALUE"""),"845")</f>
        <v>845</v>
      </c>
      <c r="B889" s="14" t="str">
        <f>IFERROR(__xludf.DUMMYFUNCTION("""COMPUTED_VALUE"""),"РЕН-26")</f>
        <v>РЕН-26</v>
      </c>
      <c r="C889" s="14" t="str">
        <f>IFERROR(__xludf.DUMMYFUNCTION("""COMPUTED_VALUE"""),"ОКС")</f>
        <v>ОКС</v>
      </c>
      <c r="D889" s="6"/>
      <c r="E889" s="14" t="str">
        <f>IFERROR(__xludf.DUMMYFUNCTION("""COMPUTED_VALUE"""),"Кусковская ул., вл. 21 район Новогиреево, Кусковская ул., вл. 21")</f>
        <v>Кусковская ул., вл. 21 район Новогиреево, Кусковская ул., вл. 21</v>
      </c>
      <c r="F889" s="25" t="str">
        <f>IFERROR(__xludf.DUMMYFUNCTION("""COMPUTED_VALUE"""),"55.739422")</f>
        <v>55.739422</v>
      </c>
      <c r="G889" s="6" t="str">
        <f>IFERROR(__xludf.DUMMYFUNCTION("""COMPUTED_VALUE"""),"37.778923")</f>
        <v>37.778923</v>
      </c>
      <c r="H889" s="18" t="str">
        <f>IFERROR(__xludf.DUMMYFUNCTION("""COMPUTED_VALUE"""),"https://docs.google.com/spreadsheets/d/1rbCD10ySi4YZEkJW2_Slmn9z7AI1WEsGsZaIJmnnT18/edit?gid=1340012708#gid=1340012708")</f>
        <v>https://docs.google.com/spreadsheets/d/1rbCD10ySi4YZEkJW2_Slmn9z7AI1WEsGsZaIJmnnT18/edit?gid=1340012708#gid=1340012708</v>
      </c>
      <c r="I889" s="19" t="str">
        <f>IFERROR(__xludf.DUMMYFUNCTION("""COMPUTED_VALUE"""),"https://disk.yandex.ru/client/disk/Осмотры%20объектов%20АНО%20СМГ/845%20ВАО%20ул.%20Кусковская%20вл.%2021")</f>
        <v>https://disk.yandex.ru/client/disk/Осмотры%20объектов%20АНО%20СМГ/845%20ВАО%20ул.%20Кусковская%20вл.%2021</v>
      </c>
      <c r="J889" s="50">
        <f>IFERROR(__xludf.DUMMYFUNCTION("""COMPUTED_VALUE"""),0.0)</f>
        <v>0</v>
      </c>
      <c r="K889" s="58">
        <f>IFERROR(__xludf.DUMMYFUNCTION("""COMPUTED_VALUE"""),45973.0)</f>
        <v>45973</v>
      </c>
      <c r="L889" s="6">
        <v>30.0</v>
      </c>
      <c r="M889" s="52">
        <v>46003.0</v>
      </c>
      <c r="N889" s="53" t="s">
        <v>711</v>
      </c>
      <c r="O889" s="19" t="s">
        <v>1165</v>
      </c>
      <c r="P889" s="6"/>
      <c r="Q889" s="6"/>
      <c r="R889" s="6"/>
    </row>
    <row r="890">
      <c r="A890" s="31" t="str">
        <f>IFERROR(__xludf.DUMMYFUNCTION("""COMPUTED_VALUE"""),"846")</f>
        <v>846</v>
      </c>
      <c r="B890" s="14" t="str">
        <f>IFERROR(__xludf.DUMMYFUNCTION("""COMPUTED_VALUE"""),"РЕН-26")</f>
        <v>РЕН-26</v>
      </c>
      <c r="C890" s="14" t="str">
        <f>IFERROR(__xludf.DUMMYFUNCTION("""COMPUTED_VALUE"""),"ОКС")</f>
        <v>ОКС</v>
      </c>
      <c r="D890" s="6"/>
      <c r="E890" s="14" t="str">
        <f>IFERROR(__xludf.DUMMYFUNCTION("""COMPUTED_VALUE"""),"Кусковская ул., вл. 23 район Новогиреево, Кусковская ул., вл. 23")</f>
        <v>Кусковская ул., вл. 23 район Новогиреево, Кусковская ул., вл. 23</v>
      </c>
      <c r="F890" s="25" t="str">
        <f>IFERROR(__xludf.DUMMYFUNCTION("""COMPUTED_VALUE"""),"55.739990")</f>
        <v>55.739990</v>
      </c>
      <c r="G890" s="6" t="str">
        <f>IFERROR(__xludf.DUMMYFUNCTION("""COMPUTED_VALUE"""),"37.780264")</f>
        <v>37.780264</v>
      </c>
      <c r="H890" s="18" t="str">
        <f>IFERROR(__xludf.DUMMYFUNCTION("""COMPUTED_VALUE"""),"https://docs.google.com/spreadsheets/d/1rbCD10ySi4YZEkJW2_Slmn9z7AI1WEsGsZaIJmnnT18/edit?gid=771281495#gid=771281495")</f>
        <v>https://docs.google.com/spreadsheets/d/1rbCD10ySi4YZEkJW2_Slmn9z7AI1WEsGsZaIJmnnT18/edit?gid=771281495#gid=771281495</v>
      </c>
      <c r="I890" s="19" t="str">
        <f>IFERROR(__xludf.DUMMYFUNCTION("""COMPUTED_VALUE"""),"https://disk.yandex.ru/client/disk/Осмотры%20объектов%20АНО%20СМГ/846%20ВАО%09%20Кусковская%20ул.%2C%20вл.%2023")</f>
        <v>https://disk.yandex.ru/client/disk/Осмотры%20объектов%20АНО%20СМГ/846%20ВАО%09%20Кусковская%20ул.%2C%20вл.%2023</v>
      </c>
      <c r="J890" s="50">
        <f>IFERROR(__xludf.DUMMYFUNCTION("""COMPUTED_VALUE"""),0.0)</f>
        <v>0</v>
      </c>
      <c r="K890" s="58">
        <f>IFERROR(__xludf.DUMMYFUNCTION("""COMPUTED_VALUE"""),45973.0)</f>
        <v>45973</v>
      </c>
      <c r="L890" s="6">
        <v>30.0</v>
      </c>
      <c r="M890" s="52">
        <v>46003.0</v>
      </c>
      <c r="N890" s="53" t="s">
        <v>711</v>
      </c>
      <c r="O890" s="19" t="s">
        <v>1165</v>
      </c>
      <c r="P890" s="6"/>
      <c r="Q890" s="6"/>
      <c r="R890" s="6"/>
    </row>
    <row r="891">
      <c r="A891" s="31" t="str">
        <f>IFERROR(__xludf.DUMMYFUNCTION("""COMPUTED_VALUE"""),"847")</f>
        <v>847</v>
      </c>
      <c r="B891" s="14" t="str">
        <f>IFERROR(__xludf.DUMMYFUNCTION("""COMPUTED_VALUE"""),"РЕН-26")</f>
        <v>РЕН-26</v>
      </c>
      <c r="C891" s="14" t="str">
        <f>IFERROR(__xludf.DUMMYFUNCTION("""COMPUTED_VALUE"""),"ОКС")</f>
        <v>ОКС</v>
      </c>
      <c r="D891" s="6"/>
      <c r="E891" s="14" t="str">
        <f>IFERROR(__xludf.DUMMYFUNCTION("""COMPUTED_VALUE"""),"3-я Прядильная ул., вл. 1 3-я Прядильная ул., вл. 1")</f>
        <v>3-я Прядильная ул., вл. 1 3-я Прядильная ул., вл. 1</v>
      </c>
      <c r="F891" s="25" t="str">
        <f>IFERROR(__xludf.DUMMYFUNCTION("""COMPUTED_VALUE"""),"55.798743")</f>
        <v>55.798743</v>
      </c>
      <c r="G891" s="6" t="str">
        <f>IFERROR(__xludf.DUMMYFUNCTION("""COMPUTED_VALUE"""),"37.770187")</f>
        <v>37.770187</v>
      </c>
      <c r="H891" s="18" t="str">
        <f>IFERROR(__xludf.DUMMYFUNCTION("""COMPUTED_VALUE"""),"https://docs.google.com/spreadsheets/d/1rbCD10ySi4YZEkJW2_Slmn9z7AI1WEsGsZaIJmnnT18/edit?gid=187611865#gid=187611865")</f>
        <v>https://docs.google.com/spreadsheets/d/1rbCD10ySi4YZEkJW2_Slmn9z7AI1WEsGsZaIJmnnT18/edit?gid=187611865#gid=187611865</v>
      </c>
      <c r="I891" s="21" t="str">
        <f>IFERROR(__xludf.DUMMYFUNCTION("""COMPUTED_VALUE"""),"https://disk.yandex.ru/client/disk/%D0%9E%D1%81%D0%BC%D0%BE%D1%82%D1%80%D1%8B%20%D0%BE%D0%B1%D1%8A%D0%B5%D0%BA%D1%82%D0%BE%D0%B2%20%D0%90%D0%9D%D0%9E%20%D0%A1%D0%9C%D0%93/847.%203-%D1%8F%20%D0%9F%D1%80%D1%8F%D0%B4%D0%B8%D0%BB%D1%8C%D0%BD%D0%B0%D1%8F%20%D1"&amp;"%83%D0%BB.%2C%20%D0%B7%D1%83%201")</f>
        <v>https://disk.yandex.ru/client/disk/%D0%9E%D1%81%D0%BC%D0%BE%D1%82%D1%80%D1%8B%20%D0%BE%D0%B1%D1%8A%D0%B5%D0%BA%D1%82%D0%BE%D0%B2%20%D0%90%D0%9D%D0%9E%20%D0%A1%D0%9C%D0%93/847.%203-%D1%8F%20%D0%9F%D1%80%D1%8F%D0%B4%D0%B8%D0%BB%D1%8C%D0%BD%D0%B0%D1%8F%20%D1%83%D0%BB.%2C%20%D0%B7%D1%83%201</v>
      </c>
      <c r="J891" s="50">
        <f>IFERROR(__xludf.DUMMYFUNCTION("""COMPUTED_VALUE"""),0.0)</f>
        <v>0</v>
      </c>
      <c r="K891" s="58">
        <f>IFERROR(__xludf.DUMMYFUNCTION("""COMPUTED_VALUE"""),45968.0)</f>
        <v>45968</v>
      </c>
      <c r="L891" s="6">
        <v>30.0</v>
      </c>
      <c r="M891" s="52">
        <v>45998.0</v>
      </c>
      <c r="N891" s="53" t="s">
        <v>711</v>
      </c>
      <c r="O891" s="19" t="s">
        <v>1166</v>
      </c>
      <c r="P891" s="6"/>
      <c r="Q891" s="6"/>
      <c r="R891" s="6"/>
    </row>
    <row r="892">
      <c r="A892" s="31" t="str">
        <f>IFERROR(__xludf.DUMMYFUNCTION("""COMPUTED_VALUE"""),"849")</f>
        <v>849</v>
      </c>
      <c r="B892" s="14" t="str">
        <f>IFERROR(__xludf.DUMMYFUNCTION("""COMPUTED_VALUE"""),"РЕН-26")</f>
        <v>РЕН-26</v>
      </c>
      <c r="C892" s="14" t="str">
        <f>IFERROR(__xludf.DUMMYFUNCTION("""COMPUTED_VALUE"""),"ОКС")</f>
        <v>ОКС</v>
      </c>
      <c r="D892" s="6"/>
      <c r="E892" s="14" t="str">
        <f>IFERROR(__xludf.DUMMYFUNCTION("""COMPUTED_VALUE"""),"Волгоградский проспект, земельный участок 138/14/4 ЮВАО	Волгоградский проспект, земельный участок 138/14/4")</f>
        <v>Волгоградский проспект, земельный участок 138/14/4 ЮВАО	Волгоградский проспект, земельный участок 138/14/4</v>
      </c>
      <c r="F892" s="25" t="str">
        <f>IFERROR(__xludf.DUMMYFUNCTION("""COMPUTED_VALUE"""),"55.701894")</f>
        <v>55.701894</v>
      </c>
      <c r="G892" s="6" t="str">
        <f>IFERROR(__xludf.DUMMYFUNCTION("""COMPUTED_VALUE"""),"37.786266")</f>
        <v>37.786266</v>
      </c>
      <c r="H892" s="18" t="str">
        <f>IFERROR(__xludf.DUMMYFUNCTION("""COMPUTED_VALUE"""),"https://docs.google.com/spreadsheets/d/1rbCD10ySi4YZEkJW2_Slmn9z7AI1WEsGsZaIJmnnT18/edit?gid=113121864#gid=113121864")</f>
        <v>https://docs.google.com/spreadsheets/d/1rbCD10ySi4YZEkJW2_Slmn9z7AI1WEsGsZaIJmnnT18/edit?gid=113121864#gid=113121864</v>
      </c>
      <c r="I892" s="19" t="str">
        <f>IFERROR(__xludf.DUMMYFUNCTION("""COMPUTED_VALUE"""),"https://disk.yandex.ru/client/disk/Осмотры%20объектов%20АНО%20СМГ/849.%20Волгоградский%20пр-т%2C%20з-у%20138-14-4.%20Жилой%20дом")</f>
        <v>https://disk.yandex.ru/client/disk/Осмотры%20объектов%20АНО%20СМГ/849.%20Волгоградский%20пр-т%2C%20з-у%20138-14-4.%20Жилой%20дом</v>
      </c>
      <c r="J892" s="50">
        <f>IFERROR(__xludf.DUMMYFUNCTION("""COMPUTED_VALUE"""),10.529999999999998)</f>
        <v>10.53</v>
      </c>
      <c r="K892" s="58">
        <f>IFERROR(__xludf.DUMMYFUNCTION("""COMPUTED_VALUE"""),45974.0)</f>
        <v>45974</v>
      </c>
      <c r="L892" s="6">
        <v>30.0</v>
      </c>
      <c r="M892" s="52">
        <v>46004.0</v>
      </c>
      <c r="N892" s="53" t="s">
        <v>711</v>
      </c>
      <c r="O892" s="19" t="s">
        <v>669</v>
      </c>
      <c r="P892" s="6"/>
      <c r="Q892" s="6"/>
      <c r="R892" s="6"/>
    </row>
    <row r="893">
      <c r="A893" s="31" t="str">
        <f>IFERROR(__xludf.DUMMYFUNCTION("""COMPUTED_VALUE"""),"853")</f>
        <v>853</v>
      </c>
      <c r="B893" s="14" t="str">
        <f>IFERROR(__xludf.DUMMYFUNCTION("""COMPUTED_VALUE"""),"РЕН-26")</f>
        <v>РЕН-26</v>
      </c>
      <c r="C893" s="14" t="str">
        <f>IFERROR(__xludf.DUMMYFUNCTION("""COMPUTED_VALUE"""),"ОКС")</f>
        <v>ОКС</v>
      </c>
      <c r="D893" s="6"/>
      <c r="E893" s="14" t="str">
        <f>IFERROR(__xludf.DUMMYFUNCTION("""COMPUTED_VALUE"""),"кв.40, зона 1.5 (Зюзино) район Зюзино, кв. 40 (зона 1.5) каховка зу 21/3")</f>
        <v>кв.40, зона 1.5 (Зюзино) район Зюзино, кв. 40 (зона 1.5) каховка зу 21/3</v>
      </c>
      <c r="F893" s="25" t="str">
        <f>IFERROR(__xludf.DUMMYFUNCTION("""COMPUTED_VALUE"""),"55.651927")</f>
        <v>55.651927</v>
      </c>
      <c r="G893" s="6" t="str">
        <f>IFERROR(__xludf.DUMMYFUNCTION("""COMPUTED_VALUE"""),"37.571869")</f>
        <v>37.571869</v>
      </c>
      <c r="H893" s="18" t="str">
        <f>IFERROR(__xludf.DUMMYFUNCTION("""COMPUTED_VALUE"""),"https://docs.google.com/spreadsheets/d/1rbCD10ySi4YZEkJW2_Slmn9z7AI1WEsGsZaIJmnnT18/edit?gid=864849570#gid=864849570")</f>
        <v>https://docs.google.com/spreadsheets/d/1rbCD10ySi4YZEkJW2_Slmn9z7AI1WEsGsZaIJmnnT18/edit?gid=864849570#gid=864849570</v>
      </c>
      <c r="I893" s="19" t="str">
        <f>IFERROR(__xludf.DUMMYFUNCTION("""COMPUTED_VALUE"""),"https://disk.yandex.ru/client/disk/Осмотры%20объектов%20АНО%20СМГ/853.%20Объезд.%20Зюзино%20кв%2040%20(зона%201.5)")</f>
        <v>https://disk.yandex.ru/client/disk/Осмотры%20объектов%20АНО%20СМГ/853.%20Объезд.%20Зюзино%20кв%2040%20(зона%201.5)</v>
      </c>
      <c r="J893" s="50">
        <f>IFERROR(__xludf.DUMMYFUNCTION("""COMPUTED_VALUE"""),0.0)</f>
        <v>0</v>
      </c>
      <c r="K893" s="58">
        <f>IFERROR(__xludf.DUMMYFUNCTION("""COMPUTED_VALUE"""),45962.0)</f>
        <v>45962</v>
      </c>
      <c r="L893" s="6">
        <v>30.0</v>
      </c>
      <c r="M893" s="52">
        <v>45992.0</v>
      </c>
      <c r="N893" s="53" t="s">
        <v>692</v>
      </c>
      <c r="O893" s="19" t="s">
        <v>1167</v>
      </c>
      <c r="P893" s="6"/>
      <c r="Q893" s="6"/>
      <c r="R893" s="6"/>
    </row>
    <row r="894">
      <c r="A894" s="31" t="str">
        <f>IFERROR(__xludf.DUMMYFUNCTION("""COMPUTED_VALUE"""),"727")</f>
        <v>727</v>
      </c>
      <c r="B894" s="14" t="str">
        <f>IFERROR(__xludf.DUMMYFUNCTION("""COMPUTED_VALUE"""),"РЕН-26")</f>
        <v>РЕН-26</v>
      </c>
      <c r="C894" s="14" t="str">
        <f>IFERROR(__xludf.DUMMYFUNCTION("""COMPUTED_VALUE"""),"ОКС")</f>
        <v>ОКС</v>
      </c>
      <c r="D894" s="6"/>
      <c r="E894" s="14" t="str">
        <f>IFERROR(__xludf.DUMMYFUNCTION("""COMPUTED_VALUE"""),"3-я Парковая улица, земельный участок 39 (3-я Парковая улица, вл. 39) ВАО, район Измайлово, 3-я Парковая ул., вл.39")</f>
        <v>3-я Парковая улица, земельный участок 39 (3-я Парковая улица, вл. 39) ВАО, район Измайлово, 3-я Парковая ул., вл.39</v>
      </c>
      <c r="F894" s="25" t="str">
        <f>IFERROR(__xludf.DUMMYFUNCTION("""COMPUTED_VALUE"""),"55.798756")</f>
        <v>55.798756</v>
      </c>
      <c r="G894" s="6" t="str">
        <f>IFERROR(__xludf.DUMMYFUNCTION("""COMPUTED_VALUE"""),"37.780507")</f>
        <v>37.780507</v>
      </c>
      <c r="H894" s="18" t="str">
        <f>IFERROR(__xludf.DUMMYFUNCTION("""COMPUTED_VALUE"""),"https://docs.google.com/spreadsheets/d/1rbCD10ySi4YZEkJW2_Slmn9z7AI1WEsGsZaIJmnnT18/edit?gid=1493713747#gid=1493713747")</f>
        <v>https://docs.google.com/spreadsheets/d/1rbCD10ySi4YZEkJW2_Slmn9z7AI1WEsGsZaIJmnnT18/edit?gid=1493713747#gid=1493713747</v>
      </c>
      <c r="I894" s="19" t="str">
        <f>IFERROR(__xludf.DUMMYFUNCTION("""COMPUTED_VALUE"""),"https://disk.yandex.ru/client/disk/Осмотры%20объектов%20АНО%20СМГ/727%203-я%20Парковая%20ул.%2C%20вл.%2039")</f>
        <v>https://disk.yandex.ru/client/disk/Осмотры%20объектов%20АНО%20СМГ/727%203-я%20Парковая%20ул.%2C%20вл.%2039</v>
      </c>
      <c r="J894" s="50">
        <f>IFERROR(__xludf.DUMMYFUNCTION("""COMPUTED_VALUE"""),0.0)</f>
        <v>0</v>
      </c>
      <c r="K894" s="58">
        <f>IFERROR(__xludf.DUMMYFUNCTION("""COMPUTED_VALUE"""),45973.0)</f>
        <v>45973</v>
      </c>
      <c r="L894" s="6">
        <v>30.0</v>
      </c>
      <c r="M894" s="52">
        <v>46003.0</v>
      </c>
      <c r="N894" s="53" t="s">
        <v>711</v>
      </c>
      <c r="O894" s="19" t="s">
        <v>1168</v>
      </c>
      <c r="P894" s="6"/>
      <c r="Q894" s="6"/>
      <c r="R894" s="6"/>
    </row>
    <row r="895">
      <c r="A895" s="31" t="str">
        <f>IFERROR(__xludf.DUMMYFUNCTION("""COMPUTED_VALUE"""),"855")</f>
        <v>855</v>
      </c>
      <c r="B895" s="14" t="str">
        <f>IFERROR(__xludf.DUMMYFUNCTION("""COMPUTED_VALUE"""),"РЕН-26")</f>
        <v>РЕН-26</v>
      </c>
      <c r="C895" s="14" t="str">
        <f>IFERROR(__xludf.DUMMYFUNCTION("""COMPUTED_VALUE"""),"ОКС")</f>
        <v>ОКС</v>
      </c>
      <c r="D895" s="6"/>
      <c r="E895" s="14" t="str">
        <f>IFERROR(__xludf.DUMMYFUNCTION("""COMPUTED_VALUE"""),"Балаклавский пр-т, вл. 34А (Приобретение объектов недвижимости) Балаклавский пр-т, вл. 34А (Приобретение объектов недвижимости)")</f>
        <v>Балаклавский пр-т, вл. 34А (Приобретение объектов недвижимости) Балаклавский пр-т, вл. 34А (Приобретение объектов недвижимости)</v>
      </c>
      <c r="F895" s="25" t="str">
        <f>IFERROR(__xludf.DUMMYFUNCTION("""COMPUTED_VALUE"""),"55.646402")</f>
        <v>55.646402</v>
      </c>
      <c r="G895" s="6" t="str">
        <f>IFERROR(__xludf.DUMMYFUNCTION("""COMPUTED_VALUE"""),"37.583135")</f>
        <v>37.583135</v>
      </c>
      <c r="H895" s="18" t="str">
        <f>IFERROR(__xludf.DUMMYFUNCTION("""COMPUTED_VALUE"""),"https://docs.google.com/spreadsheets/d/1rbCD10ySi4YZEkJW2_Slmn9z7AI1WEsGsZaIJmnnT18/edit?gid=590422305#gid=590422305")</f>
        <v>https://docs.google.com/spreadsheets/d/1rbCD10ySi4YZEkJW2_Slmn9z7AI1WEsGsZaIJmnnT18/edit?gid=590422305#gid=590422305</v>
      </c>
      <c r="I895" s="19" t="str">
        <f>IFERROR(__xludf.DUMMYFUNCTION("""COMPUTED_VALUE"""),"https://disk.yandex.ru/client/disk/Осмотры%20объектов%20АНО%20СМГ/855.%20Балаклавский%20проспект%2034А")</f>
        <v>https://disk.yandex.ru/client/disk/Осмотры%20объектов%20АНО%20СМГ/855.%20Балаклавский%20проспект%2034А</v>
      </c>
      <c r="J895" s="50">
        <f>IFERROR(__xludf.DUMMYFUNCTION("""COMPUTED_VALUE"""),0.0)</f>
        <v>0</v>
      </c>
      <c r="K895" s="58">
        <f>IFERROR(__xludf.DUMMYFUNCTION("""COMPUTED_VALUE"""),45962.0)</f>
        <v>45962</v>
      </c>
      <c r="L895" s="6">
        <v>30.0</v>
      </c>
      <c r="M895" s="52">
        <v>45992.0</v>
      </c>
      <c r="N895" s="53" t="s">
        <v>692</v>
      </c>
      <c r="O895" s="19" t="s">
        <v>1169</v>
      </c>
      <c r="P895" s="6"/>
      <c r="Q895" s="6"/>
      <c r="R895" s="6"/>
    </row>
    <row r="896">
      <c r="A896" s="31" t="str">
        <f>IFERROR(__xludf.DUMMYFUNCTION("""COMPUTED_VALUE"""),"667")</f>
        <v>667</v>
      </c>
      <c r="B896" s="14" t="str">
        <f>IFERROR(__xludf.DUMMYFUNCTION("""COMPUTED_VALUE"""),"РЕН-26")</f>
        <v>РЕН-26</v>
      </c>
      <c r="C896" s="14" t="str">
        <f>IFERROR(__xludf.DUMMYFUNCTION("""COMPUTED_VALUE"""),"ОКС")</f>
        <v>ОКС</v>
      </c>
      <c r="D896" s="6"/>
      <c r="E896" s="14" t="str">
        <f>IFERROR(__xludf.DUMMYFUNCTION("""COMPUTED_VALUE"""),"16-я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"&amp;"корпуса 1, 2)")</f>
        <v>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корпуса 1, 2)</v>
      </c>
      <c r="F896" s="25" t="str">
        <f>IFERROR(__xludf.DUMMYFUNCTION("""COMPUTED_VALUE"""),"55.802208")</f>
        <v>55.802208</v>
      </c>
      <c r="G896" s="6" t="str">
        <f>IFERROR(__xludf.DUMMYFUNCTION("""COMPUTED_VALUE"""),"37.828432")</f>
        <v>37.828432</v>
      </c>
      <c r="H896" s="18" t="str">
        <f>IFERROR(__xludf.DUMMYFUNCTION("""COMPUTED_VALUE"""),"https://docs.google.com/spreadsheets/d/1rbCD10ySi4YZEkJW2_Slmn9z7AI1WEsGsZaIJmnnT18/edit?gid=1285905712#gid=1285905712")</f>
        <v>https://docs.google.com/spreadsheets/d/1rbCD10ySi4YZEkJW2_Slmn9z7AI1WEsGsZaIJmnnT18/edit?gid=1285905712#gid=1285905712</v>
      </c>
      <c r="I896" s="21" t="str">
        <f>IFERROR(__xludf.DUMMYFUNCTION("""COMPUTED_VALUE"""),"https://disk.yandex.ru/client/disk/%D0%9E%D1%81%D0%BC%D0%BE%D1%82%D1%80%D1%8B%20%D0%BE%D0%B1%D1%8A%D0%B5%D0%BA%D1%82%D0%BE%D0%B2%20%D0%90%D0%9D%D0%9E%20%D0%A1%D0%9C%D0%93/667%2016-%D1%8F%20%D0%9F%D0%B0%D1%80%D0%BA%D0%BE%D0%B2%D0%B0%D1%8F%20%D0%B7%D1%83%20"&amp;"29%20%D0%90%20%D0%BA1%2C2%20")</f>
        <v>https://disk.yandex.ru/client/disk/%D0%9E%D1%81%D0%BC%D0%BE%D1%82%D1%80%D1%8B%20%D0%BE%D0%B1%D1%8A%D0%B5%D0%BA%D1%82%D0%BE%D0%B2%20%D0%90%D0%9D%D0%9E%20%D0%A1%D0%9C%D0%93/667%2016-%D1%8F%20%D0%9F%D0%B0%D1%80%D0%BA%D0%BE%D0%B2%D0%B0%D1%8F%20%D0%B7%D1%83%2029%20%D0%90%20%D0%BA1%2C2%20</v>
      </c>
      <c r="J896" s="50">
        <f>IFERROR(__xludf.DUMMYFUNCTION("""COMPUTED_VALUE"""),0.0)</f>
        <v>0</v>
      </c>
      <c r="K896" s="58">
        <f>IFERROR(__xludf.DUMMYFUNCTION("""COMPUTED_VALUE"""),45973.0)</f>
        <v>45973</v>
      </c>
      <c r="L896" s="6">
        <v>30.0</v>
      </c>
      <c r="M896" s="52">
        <v>46003.0</v>
      </c>
      <c r="N896" s="53" t="s">
        <v>711</v>
      </c>
      <c r="O896" s="19" t="s">
        <v>1170</v>
      </c>
      <c r="P896" s="6"/>
      <c r="Q896" s="6"/>
      <c r="R896" s="6"/>
    </row>
    <row r="897">
      <c r="A897" s="31" t="str">
        <f>IFERROR(__xludf.DUMMYFUNCTION("""COMPUTED_VALUE"""),"859")</f>
        <v>859</v>
      </c>
      <c r="B897" s="14" t="str">
        <f>IFERROR(__xludf.DUMMYFUNCTION("""COMPUTED_VALUE"""),"РЕН-26")</f>
        <v>РЕН-26</v>
      </c>
      <c r="C897" s="14" t="str">
        <f>IFERROR(__xludf.DUMMYFUNCTION("""COMPUTED_VALUE"""),"ОКС")</f>
        <v>ОКС</v>
      </c>
      <c r="D897" s="6"/>
      <c r="E897" s="14" t="str">
        <f>IFERROR(__xludf.DUMMYFUNCTION("""COMPUTED_VALUE"""),"Сиреневый бульвар, земельный участок 29 Северное Измайлово, Сиреневый бульвар, земельный участок 29")</f>
        <v>Сиреневый бульвар, земельный участок 29 Северное Измайлово, Сиреневый бульвар, земельный участок 29</v>
      </c>
      <c r="F897" s="25" t="str">
        <f>IFERROR(__xludf.DUMMYFUNCTION("""COMPUTED_VALUE"""),"55.803459")</f>
        <v>55.803459</v>
      </c>
      <c r="G897" s="6" t="str">
        <f>IFERROR(__xludf.DUMMYFUNCTION("""COMPUTED_VALUE"""),"37.797244")</f>
        <v>37.797244</v>
      </c>
      <c r="H897" s="18" t="str">
        <f>IFERROR(__xludf.DUMMYFUNCTION("""COMPUTED_VALUE"""),"https://docs.google.com/spreadsheets/d/1rbCD10ySi4YZEkJW2_Slmn9z7AI1WEsGsZaIJmnnT18/edit?gid=575728674#gid=575728674")</f>
        <v>https://docs.google.com/spreadsheets/d/1rbCD10ySi4YZEkJW2_Slmn9z7AI1WEsGsZaIJmnnT18/edit?gid=575728674#gid=575728674</v>
      </c>
      <c r="I897" s="21" t="str">
        <f>IFERROR(__xludf.DUMMYFUNCTION("""COMPUTED_VALUE"""),"https://disk.yandex.ru/client/disk/%D0%9E%D1%81%D0%BC%D0%BE%D1%82%D1%80%D1%8B%20%D0%BE%D0%B1%D1%8A%D0%B5%D0%BA%D1%82%D0%BE%D0%B2%20%D0%90%D0%9D%D0%9E%20%D0%A1%D0%9C%D0%93/859%20%D0%A1%D0%B8%D1%80%D0%B5%D0%BD%D0%B5%D0%B2%D1%8B%D0%B9%20%D0%B1%D1%83%D0%BB%D1"&amp;"%8C%D0%B2%D0%B0%D1%80%2029%20%D0%BA1%20")</f>
        <v>https://disk.yandex.ru/client/disk/%D0%9E%D1%81%D0%BC%D0%BE%D1%82%D1%80%D1%8B%20%D0%BE%D0%B1%D1%8A%D0%B5%D0%BA%D1%82%D0%BE%D0%B2%20%D0%90%D0%9D%D0%9E%20%D0%A1%D0%9C%D0%93/859%20%D0%A1%D0%B8%D1%80%D0%B5%D0%BD%D0%B5%D0%B2%D1%8B%D0%B9%20%D0%B1%D1%83%D0%BB%D1%8C%D0%B2%D0%B0%D1%80%2029%20%D0%BA1%20</v>
      </c>
      <c r="J897" s="50">
        <f>IFERROR(__xludf.DUMMYFUNCTION("""COMPUTED_VALUE"""),0.00798)</f>
        <v>0.00798</v>
      </c>
      <c r="K897" s="58">
        <f>IFERROR(__xludf.DUMMYFUNCTION("""COMPUTED_VALUE"""),45947.0)</f>
        <v>45947</v>
      </c>
      <c r="L897" s="6">
        <v>30.0</v>
      </c>
      <c r="M897" s="52">
        <v>45977.0</v>
      </c>
      <c r="N897" s="53" t="s">
        <v>701</v>
      </c>
      <c r="O897" s="19" t="s">
        <v>669</v>
      </c>
      <c r="P897" s="6"/>
      <c r="Q897" s="6"/>
      <c r="R897" s="6"/>
    </row>
    <row r="898">
      <c r="A898" s="31" t="str">
        <f>IFERROR(__xludf.DUMMYFUNCTION("""COMPUTED_VALUE"""),"860")</f>
        <v>860</v>
      </c>
      <c r="B898" s="14" t="str">
        <f>IFERROR(__xludf.DUMMYFUNCTION("""COMPUTED_VALUE"""),"РЕН-26")</f>
        <v>РЕН-26</v>
      </c>
      <c r="C898" s="14" t="str">
        <f>IFERROR(__xludf.DUMMYFUNCTION("""COMPUTED_VALUE"""),"ОКС")</f>
        <v>ОКС</v>
      </c>
      <c r="D898" s="6"/>
      <c r="E898" s="14" t="str">
        <f>IFERROR(__xludf.DUMMYFUNCTION("""COMPUTED_VALUE"""),"проспект 40 лет Октября, земельный участок 18/13 (участки 7.1 и 7.2) ЮВАО, район Люблино, проспект 40 лет Октября, з/у 18/13 (участки 7.1 и 7.2)")</f>
        <v>проспект 40 лет Октября, земельный участок 18/13 (участки 7.1 и 7.2) ЮВАО, район Люблино, проспект 40 лет Октября, з/у 18/13 (участки 7.1 и 7.2)</v>
      </c>
      <c r="F898" s="25" t="str">
        <f>IFERROR(__xludf.DUMMYFUNCTION("""COMPUTED_VALUE"""),"55.677859")</f>
        <v>55.677859</v>
      </c>
      <c r="G898" s="6" t="str">
        <f>IFERROR(__xludf.DUMMYFUNCTION("""COMPUTED_VALUE"""),"37.744810")</f>
        <v>37.744810</v>
      </c>
      <c r="H898" s="18" t="str">
        <f>IFERROR(__xludf.DUMMYFUNCTION("""COMPUTED_VALUE"""),"https://docs.google.com/spreadsheets/d/1rbCD10ySi4YZEkJW2_Slmn9z7AI1WEsGsZaIJmnnT18/edit?gid=282401999#gid=282401999")</f>
        <v>https://docs.google.com/spreadsheets/d/1rbCD10ySi4YZEkJW2_Slmn9z7AI1WEsGsZaIJmnnT18/edit?gid=282401999#gid=282401999</v>
      </c>
      <c r="I898" s="19" t="str">
        <f>IFERROR(__xludf.DUMMYFUNCTION("""COMPUTED_VALUE"""),"https://disk.yandex.ru/client/disk/Осмотры%20объектов%20АНО%20СМГ/860.%20Пр-т%2040%20лет%20Октября%2C%20з!у%2018!13%20(уч.%207.1%20и%207.2)")</f>
        <v>https://disk.yandex.ru/client/disk/Осмотры%20объектов%20АНО%20СМГ/860.%20Пр-т%2040%20лет%20Октября%2C%20з!у%2018!13%20(уч.%207.1%20и%207.2)</v>
      </c>
      <c r="J898" s="50">
        <f>IFERROR(__xludf.DUMMYFUNCTION("""COMPUTED_VALUE"""),7.604999999999999)</f>
        <v>7.605</v>
      </c>
      <c r="K898" s="58">
        <f>IFERROR(__xludf.DUMMYFUNCTION("""COMPUTED_VALUE"""),45954.0)</f>
        <v>45954</v>
      </c>
      <c r="L898" s="6">
        <v>30.0</v>
      </c>
      <c r="M898" s="52">
        <v>45984.0</v>
      </c>
      <c r="N898" s="53" t="s">
        <v>741</v>
      </c>
      <c r="O898" s="19" t="s">
        <v>669</v>
      </c>
      <c r="P898" s="6"/>
      <c r="Q898" s="6"/>
      <c r="R898" s="6"/>
    </row>
    <row r="899">
      <c r="A899" s="31" t="str">
        <f>IFERROR(__xludf.DUMMYFUNCTION("""COMPUTED_VALUE"""),"861")</f>
        <v>861</v>
      </c>
      <c r="B899" s="14" t="str">
        <f>IFERROR(__xludf.DUMMYFUNCTION("""COMPUTED_VALUE"""),"РЕН-26")</f>
        <v>РЕН-26</v>
      </c>
      <c r="C899" s="14" t="str">
        <f>IFERROR(__xludf.DUMMYFUNCTION("""COMPUTED_VALUE"""),"ОКС")</f>
        <v>ОКС</v>
      </c>
      <c r="D899" s="6"/>
      <c r="E899" s="14" t="str">
        <f>IFERROR(__xludf.DUMMYFUNCTION("""COMPUTED_VALUE"""),"кв.40, зона 1.6 (Зюзино) район Зюзино, кв.40, зона 1.6 Каховка зу 21/4")</f>
        <v>кв.40, зона 1.6 (Зюзино) район Зюзино, кв.40, зона 1.6 Каховка зу 21/4</v>
      </c>
      <c r="F899" s="25" t="str">
        <f>IFERROR(__xludf.DUMMYFUNCTION("""COMPUTED_VALUE"""),"55.651477")</f>
        <v>55.651477</v>
      </c>
      <c r="G899" s="6" t="str">
        <f>IFERROR(__xludf.DUMMYFUNCTION("""COMPUTED_VALUE"""),"37.571163")</f>
        <v>37.571163</v>
      </c>
      <c r="H899" s="18" t="str">
        <f>IFERROR(__xludf.DUMMYFUNCTION("""COMPUTED_VALUE"""),"https://docs.google.com/spreadsheets/d/1rbCD10ySi4YZEkJW2_Slmn9z7AI1WEsGsZaIJmnnT18/edit?gid=641183458#gid=641183458")</f>
        <v>https://docs.google.com/spreadsheets/d/1rbCD10ySi4YZEkJW2_Slmn9z7AI1WEsGsZaIJmnnT18/edit?gid=641183458#gid=641183458</v>
      </c>
      <c r="I899" s="19" t="str">
        <f>IFERROR(__xludf.DUMMYFUNCTION("""COMPUTED_VALUE"""),"https://disk.yandex.ru/client/disk/Осмотры%20объектов%20АНО%20СМГ/861.%20Объезд.%20район%20Зюзино%2C%20кв.%2040%20(зона%201.6)")</f>
        <v>https://disk.yandex.ru/client/disk/Осмотры%20объектов%20АНО%20СМГ/861.%20Объезд.%20район%20Зюзино%2C%20кв.%2040%20(зона%201.6)</v>
      </c>
      <c r="J899" s="50">
        <f>IFERROR(__xludf.DUMMYFUNCTION("""COMPUTED_VALUE"""),0.0)</f>
        <v>0</v>
      </c>
      <c r="K899" s="58">
        <f>IFERROR(__xludf.DUMMYFUNCTION("""COMPUTED_VALUE"""),45962.0)</f>
        <v>45962</v>
      </c>
      <c r="L899" s="6">
        <v>30.0</v>
      </c>
      <c r="M899" s="52">
        <v>45992.0</v>
      </c>
      <c r="N899" s="53" t="s">
        <v>692</v>
      </c>
      <c r="O899" s="19" t="s">
        <v>1171</v>
      </c>
      <c r="P899" s="6"/>
      <c r="Q899" s="6"/>
      <c r="R899" s="6"/>
    </row>
    <row r="900">
      <c r="A900" s="31" t="str">
        <f>IFERROR(__xludf.DUMMYFUNCTION("""COMPUTED_VALUE"""),"958")</f>
        <v>958</v>
      </c>
      <c r="B900" s="14" t="str">
        <f>IFERROR(__xludf.DUMMYFUNCTION("""COMPUTED_VALUE"""),"РЕН-26")</f>
        <v>РЕН-26</v>
      </c>
      <c r="C900" s="14" t="str">
        <f>IFERROR(__xludf.DUMMYFUNCTION("""COMPUTED_VALUE"""),"ОКС")</f>
        <v>ОКС</v>
      </c>
      <c r="D900" s="6"/>
      <c r="E900" s="14" t="str">
        <f>IFERROR(__xludf.DUMMYFUNCTION("""COMPUTED_VALUE"""),"9-го Мая ул., вл. 18-24 район Восточный, 9-го Мая ул., вл. 18-24")</f>
        <v>9-го Мая ул., вл. 18-24 район Восточный, 9-го Мая ул., вл. 18-24</v>
      </c>
      <c r="F900" s="25" t="str">
        <f>IFERROR(__xludf.DUMMYFUNCTION("""COMPUTED_VALUE"""),"55.818960")</f>
        <v>55.818960</v>
      </c>
      <c r="G900" s="6" t="str">
        <f>IFERROR(__xludf.DUMMYFUNCTION("""COMPUTED_VALUE"""),"37.871653")</f>
        <v>37.871653</v>
      </c>
      <c r="H900" s="18" t="str">
        <f>IFERROR(__xludf.DUMMYFUNCTION("""COMPUTED_VALUE"""),"https://docs.google.com/spreadsheets/d/1rbCD10ySi4YZEkJW2_Slmn9z7AI1WEsGsZaIJmnnT18/edit?gid=598456710#gid=598456710")</f>
        <v>https://docs.google.com/spreadsheets/d/1rbCD10ySi4YZEkJW2_Slmn9z7AI1WEsGsZaIJmnnT18/edit?gid=598456710#gid=598456710</v>
      </c>
      <c r="I900" s="21" t="str">
        <f>IFERROR(__xludf.DUMMYFUNCTION("""COMPUTED_VALUE"""),"https://disk.yandex.ru/client/disk/%D0%9E%D1%81%D0%BC%D0%BE%D1%82%D1%80%D1%8B%20%D0%BE%D0%B1%D1%8A%D0%B5%D0%BA%D1%82%D0%BE%D0%B2%20%D0%90%D0%9D%D0%9E%20%D0%A1%D0%9C%D0%93/958.%20%D1%80%D0%B0%D0%B9%D0%BE%D0%BD%20%D0%92%D0%BE%D1%81%D1%82%D0%BE%D1%87%D0%BD%D"&amp;"1%8B%D0%B9%2C%209-%D0%B3%D0%BE%20%D0%BC%D0%B0%D1%8F%2C%20%D0%B2%D0%BB%2018-24")</f>
        <v>https://disk.yandex.ru/client/disk/%D0%9E%D1%81%D0%BC%D0%BE%D1%82%D1%80%D1%8B%20%D0%BE%D0%B1%D1%8A%D0%B5%D0%BA%D1%82%D0%BE%D0%B2%20%D0%90%D0%9D%D0%9E%20%D0%A1%D0%9C%D0%93/958.%20%D1%80%D0%B0%D0%B9%D0%BE%D0%BD%20%D0%92%D0%BE%D1%81%D1%82%D0%BE%D1%87%D0%BD%D1%8B%D0%B9%2C%209-%D0%B3%D0%BE%20%D0%BC%D0%B0%D1%8F%2C%20%D0%B2%D0%BB%2018-24</v>
      </c>
      <c r="J900" s="50">
        <f>IFERROR(__xludf.DUMMYFUNCTION("""COMPUTED_VALUE"""),0.0)</f>
        <v>0</v>
      </c>
      <c r="K900" s="58">
        <f>IFERROR(__xludf.DUMMYFUNCTION("""COMPUTED_VALUE"""),45947.0)</f>
        <v>45947</v>
      </c>
      <c r="L900" s="6">
        <v>30.0</v>
      </c>
      <c r="M900" s="52">
        <v>45977.0</v>
      </c>
      <c r="N900" s="53" t="s">
        <v>701</v>
      </c>
      <c r="O900" s="19" t="s">
        <v>893</v>
      </c>
      <c r="P900" s="6"/>
      <c r="Q900" s="6"/>
      <c r="R900" s="6"/>
    </row>
    <row r="901">
      <c r="A901" s="31" t="str">
        <f>IFERROR(__xludf.DUMMYFUNCTION("""COMPUTED_VALUE"""),"871")</f>
        <v>871</v>
      </c>
      <c r="B901" s="14" t="str">
        <f>IFERROR(__xludf.DUMMYFUNCTION("""COMPUTED_VALUE"""),"РЕН-26")</f>
        <v>РЕН-26</v>
      </c>
      <c r="C901" s="14" t="str">
        <f>IFERROR(__xludf.DUMMYFUNCTION("""COMPUTED_VALUE"""),"ОКС")</f>
        <v>ОКС</v>
      </c>
      <c r="D901" s="6"/>
      <c r="E901" s="14" t="str">
        <f>IFERROR(__xludf.DUMMYFUNCTION("""COMPUTED_VALUE"""),"улица Кусковская, земельный участок 35 (Кусковская ул., вл. 35) район Новогиреево, улица Кусковская, земельный участок 35  (Кусковская ул., вл. 35)")</f>
        <v>улица Кусковская, земельный участок 35 (Кусковская ул., вл. 35) район Новогиреево, улица Кусковская, земельный участок 35  (Кусковская ул., вл. 35)</v>
      </c>
      <c r="F901" s="25" t="str">
        <f>IFERROR(__xludf.DUMMYFUNCTION("""COMPUTED_VALUE"""),"55.743535")</f>
        <v>55.743535</v>
      </c>
      <c r="G901" s="6" t="str">
        <f>IFERROR(__xludf.DUMMYFUNCTION("""COMPUTED_VALUE"""),"37.786830")</f>
        <v>37.786830</v>
      </c>
      <c r="H901" s="18" t="str">
        <f>IFERROR(__xludf.DUMMYFUNCTION("""COMPUTED_VALUE"""),"https://docs.google.com/spreadsheets/d/1rbCD10ySi4YZEkJW2_Slmn9z7AI1WEsGsZaIJmnnT18/edit?gid=2017311436#gid=2017311436")</f>
        <v>https://docs.google.com/spreadsheets/d/1rbCD10ySi4YZEkJW2_Slmn9z7AI1WEsGsZaIJmnnT18/edit?gid=2017311436#gid=2017311436</v>
      </c>
      <c r="I901" s="21" t="str">
        <f>IFERROR(__xludf.DUMMYFUNCTION("""COMPUTED_VALUE"""),"https://disk.yandex.ru/client/disk/%D0%9E%D1%81%D0%BC%D0%BE%D1%82%D1%80%D1%8B%20%D0%BE%D0%B1%D1%8A%D0%B5%D0%BA%D1%82%D0%BE%D0%B2%20%D0%90%D0%9D%D0%9E%20%D0%A1%D0%9C%D0%93/871%20%D0%A3%D0%BB.%20%D0%9A%D1%83%D1%81%D0%BA%D0%BE%D0%B2%D1%81%D0%BA%D0%B0%D1%8F%2"&amp;"0%D0%B2%D0%BB%2035%20")</f>
        <v>https://disk.yandex.ru/client/disk/%D0%9E%D1%81%D0%BC%D0%BE%D1%82%D1%80%D1%8B%20%D0%BE%D0%B1%D1%8A%D0%B5%D0%BA%D1%82%D0%BE%D0%B2%20%D0%90%D0%9D%D0%9E%20%D0%A1%D0%9C%D0%93/871%20%D0%A3%D0%BB.%20%D0%9A%D1%83%D1%81%D0%BA%D0%BE%D0%B2%D1%81%D0%BA%D0%B0%D1%8F%20%D0%B2%D0%BB%2035%20</v>
      </c>
      <c r="J901" s="50">
        <f>IFERROR(__xludf.DUMMYFUNCTION("""COMPUTED_VALUE"""),0.0)</f>
        <v>0</v>
      </c>
      <c r="K901" s="58">
        <f>IFERROR(__xludf.DUMMYFUNCTION("""COMPUTED_VALUE"""),45962.0)</f>
        <v>45962</v>
      </c>
      <c r="L901" s="6">
        <v>30.0</v>
      </c>
      <c r="M901" s="52">
        <v>45992.0</v>
      </c>
      <c r="N901" s="53" t="s">
        <v>692</v>
      </c>
      <c r="O901" s="19" t="s">
        <v>1172</v>
      </c>
      <c r="P901" s="6"/>
      <c r="Q901" s="6"/>
      <c r="R901" s="6"/>
    </row>
    <row r="902">
      <c r="A902" s="31" t="str">
        <f>IFERROR(__xludf.DUMMYFUNCTION("""COMPUTED_VALUE"""),"874")</f>
        <v>874</v>
      </c>
      <c r="B902" s="14" t="str">
        <f>IFERROR(__xludf.DUMMYFUNCTION("""COMPUTED_VALUE"""),"РЕН-26")</f>
        <v>РЕН-26</v>
      </c>
      <c r="C902" s="14" t="str">
        <f>IFERROR(__xludf.DUMMYFUNCTION("""COMPUTED_VALUE"""),"ОКС")</f>
        <v>ОКС</v>
      </c>
      <c r="D902" s="6"/>
      <c r="E902" s="14" t="str">
        <f>IFERROR(__xludf.DUMMYFUNCTION("""COMPUTED_VALUE"""),"5-я Парковая улица, земельный участок 39/3 (5-я Парковая ул., вл. 39, корп. 3 район Измайлово, 5-я Парковая ул., вл. 39, корп. 3")</f>
        <v>5-я Парковая улица, земельный участок 39/3 (5-я Парковая ул., вл. 39, корп. 3 район Измайлово, 5-я Парковая ул., вл. 39, корп. 3</v>
      </c>
      <c r="F902" s="25" t="str">
        <f>IFERROR(__xludf.DUMMYFUNCTION("""COMPUTED_VALUE"""),"55.800869")</f>
        <v>55.800869</v>
      </c>
      <c r="G902" s="6" t="str">
        <f>IFERROR(__xludf.DUMMYFUNCTION("""COMPUTED_VALUE"""),"37.786025")</f>
        <v>37.786025</v>
      </c>
      <c r="H902" s="18" t="str">
        <f>IFERROR(__xludf.DUMMYFUNCTION("""COMPUTED_VALUE"""),"https://docs.google.com/spreadsheets/d/1rbCD10ySi4YZEkJW2_Slmn9z7AI1WEsGsZaIJmnnT18/edit?gid=1439077148#gid=1439077148")</f>
        <v>https://docs.google.com/spreadsheets/d/1rbCD10ySi4YZEkJW2_Slmn9z7AI1WEsGsZaIJmnnT18/edit?gid=1439077148#gid=1439077148</v>
      </c>
      <c r="I902" s="21" t="str">
        <f>IFERROR(__xludf.DUMMYFUNCTION("""COMPUTED_VALUE"""),"https://disk.yandex.ru/client/disk/%D0%9E%D1%81%D0%BC%D0%BE%D1%82%D1%80%D1%8B%20%D0%BE%D0%B1%D1%8A%D0%B5%D0%BA%D1%82%D0%BE%D0%B2%20%D0%90%D0%9D%D0%9E%20%D0%A1%D0%9C%D0%93/874%20%D1%83%D0%BB%205-%D1%8F%20%D0%BF%D0%B0%D1%80%D0%BA%D0%BE%D0%B2%D0%B0%D1%8F%203"&amp;"9.3%20")</f>
        <v>https://disk.yandex.ru/client/disk/%D0%9E%D1%81%D0%BC%D0%BE%D1%82%D1%80%D1%8B%20%D0%BE%D0%B1%D1%8A%D0%B5%D0%BA%D1%82%D0%BE%D0%B2%20%D0%90%D0%9D%D0%9E%20%D0%A1%D0%9C%D0%93/874%20%D1%83%D0%BB%205-%D1%8F%20%D0%BF%D0%B0%D1%80%D0%BA%D0%BE%D0%B2%D0%B0%D1%8F%2039.3%20</v>
      </c>
      <c r="J902" s="50">
        <f>IFERROR(__xludf.DUMMYFUNCTION("""COMPUTED_VALUE"""),0.0)</f>
        <v>0</v>
      </c>
      <c r="K902" s="58">
        <f>IFERROR(__xludf.DUMMYFUNCTION("""COMPUTED_VALUE"""),45973.0)</f>
        <v>45973</v>
      </c>
      <c r="L902" s="6">
        <v>30.0</v>
      </c>
      <c r="M902" s="52">
        <v>46003.0</v>
      </c>
      <c r="N902" s="53" t="s">
        <v>711</v>
      </c>
      <c r="O902" s="19" t="s">
        <v>893</v>
      </c>
      <c r="P902" s="6"/>
      <c r="Q902" s="6"/>
      <c r="R902" s="6"/>
    </row>
    <row r="903">
      <c r="A903" s="31" t="str">
        <f>IFERROR(__xludf.DUMMYFUNCTION("""COMPUTED_VALUE"""),"875")</f>
        <v>875</v>
      </c>
      <c r="B903" s="14" t="str">
        <f>IFERROR(__xludf.DUMMYFUNCTION("""COMPUTED_VALUE"""),"РЕН-26")</f>
        <v>РЕН-26</v>
      </c>
      <c r="C903" s="14" t="str">
        <f>IFERROR(__xludf.DUMMYFUNCTION("""COMPUTED_VALUE"""),"ОКС")</f>
        <v>ОКС</v>
      </c>
      <c r="D903" s="6"/>
      <c r="E903" s="14" t="str">
        <f>IFERROR(__xludf.DUMMYFUNCTION("""COMPUTED_VALUE"""),"9-я Парковая улица, земельный участок 50/2 (9-я Парковая ул., вл. 50, корп. 2) ВАО        9-я Парковая улица, з/у 50/2 (9-я Парковая ул., вл. 50, корп. 2)")</f>
        <v>9-я Парковая улица, земельный участок 50/2 (9-я Парковая ул., вл. 50, корп. 2) ВАО        9-я Парковая улица, з/у 50/2 (9-я Парковая ул., вл. 50, корп. 2)</v>
      </c>
      <c r="F903" s="25" t="str">
        <f>IFERROR(__xludf.DUMMYFUNCTION("""COMPUTED_VALUE"""),"55.800494")</f>
        <v>55.800494</v>
      </c>
      <c r="G903" s="6" t="str">
        <f>IFERROR(__xludf.DUMMYFUNCTION("""COMPUTED_VALUE"""),"37.800640")</f>
        <v>37.800640</v>
      </c>
      <c r="H903" s="18" t="str">
        <f>IFERROR(__xludf.DUMMYFUNCTION("""COMPUTED_VALUE"""),"https://docs.google.com/spreadsheets/d/1rbCD10ySi4YZEkJW2_Slmn9z7AI1WEsGsZaIJmnnT18/edit?gid=1846163124#gid=1846163124")</f>
        <v>https://docs.google.com/spreadsheets/d/1rbCD10ySi4YZEkJW2_Slmn9z7AI1WEsGsZaIJmnnT18/edit?gid=1846163124#gid=1846163124</v>
      </c>
      <c r="I903" s="19" t="str">
        <f>IFERROR(__xludf.DUMMYFUNCTION("""COMPUTED_VALUE"""),"https://disk.yandex.ru/client/disk/Осмотры%20объектов%20АНО%20СМГ/875%209-я%20Парковая%20ул.%2C%20вл.%2050%2C%20корп.%202")</f>
        <v>https://disk.yandex.ru/client/disk/Осмотры%20объектов%20АНО%20СМГ/875%209-я%20Парковая%20ул.%2C%20вл.%2050%2C%20корп.%202</v>
      </c>
      <c r="J903" s="50">
        <f>IFERROR(__xludf.DUMMYFUNCTION("""COMPUTED_VALUE"""),0.4788)</f>
        <v>0.4788</v>
      </c>
      <c r="K903" s="58">
        <f>IFERROR(__xludf.DUMMYFUNCTION("""COMPUTED_VALUE"""),45973.0)</f>
        <v>45973</v>
      </c>
      <c r="L903" s="6">
        <v>30.0</v>
      </c>
      <c r="M903" s="52">
        <v>46003.0</v>
      </c>
      <c r="N903" s="53" t="s">
        <v>711</v>
      </c>
      <c r="O903" s="19" t="s">
        <v>893</v>
      </c>
      <c r="P903" s="6"/>
      <c r="Q903" s="6"/>
      <c r="R903" s="6"/>
    </row>
    <row r="904">
      <c r="A904" s="31" t="str">
        <f>IFERROR(__xludf.DUMMYFUNCTION("""COMPUTED_VALUE"""),"876")</f>
        <v>876</v>
      </c>
      <c r="B904" s="14" t="str">
        <f>IFERROR(__xludf.DUMMYFUNCTION("""COMPUTED_VALUE"""),"РЕН-26")</f>
        <v>РЕН-26</v>
      </c>
      <c r="C904" s="14" t="str">
        <f>IFERROR(__xludf.DUMMYFUNCTION("""COMPUTED_VALUE"""),"ОКС")</f>
        <v>ОКС</v>
      </c>
      <c r="D904" s="6"/>
      <c r="E904" s="14" t="str">
        <f>IFERROR(__xludf.DUMMYFUNCTION("""COMPUTED_VALUE"""),"9-я Парковая улица, земельный участок 52/1 (9-я Парковая ул., вл. 52, корп. 1) ВАО        9-я Парковая улица, з/у 52/1 (9-я Парковая ул., вл. 52, корп. 1)")</f>
        <v>9-я Парковая улица, земельный участок 52/1 (9-я Парковая ул., вл. 52, корп. 1) ВАО        9-я Парковая улица, з/у 52/1 (9-я Парковая ул., вл. 52, корп. 1)</v>
      </c>
      <c r="F904" s="25" t="str">
        <f>IFERROR(__xludf.DUMMYFUNCTION("""COMPUTED_VALUE"""),"55.801268")</f>
        <v>55.801268</v>
      </c>
      <c r="G904" s="6" t="str">
        <f>IFERROR(__xludf.DUMMYFUNCTION("""COMPUTED_VALUE"""),"37.799688")</f>
        <v>37.799688</v>
      </c>
      <c r="H904" s="18" t="str">
        <f>IFERROR(__xludf.DUMMYFUNCTION("""COMPUTED_VALUE"""),"https://docs.google.com/spreadsheets/d/1rbCD10ySi4YZEkJW2_Slmn9z7AI1WEsGsZaIJmnnT18/edit?gid=1451563730#gid=1451563730")</f>
        <v>https://docs.google.com/spreadsheets/d/1rbCD10ySi4YZEkJW2_Slmn9z7AI1WEsGsZaIJmnnT18/edit?gid=1451563730#gid=1451563730</v>
      </c>
      <c r="I904" s="19" t="str">
        <f>IFERROR(__xludf.DUMMYFUNCTION("""COMPUTED_VALUE"""),"https://disk.yandex.ru/client/disk/Осмотры%20объектов%20АНО%20СМГ/876%209-я%20Парковая%20ул.%2C%20вл.%2052%2C%20корп.%201")</f>
        <v>https://disk.yandex.ru/client/disk/Осмотры%20объектов%20АНО%20СМГ/876%209-я%20Парковая%20ул.%2C%20вл.%2052%2C%20корп.%201</v>
      </c>
      <c r="J904" s="50">
        <f>IFERROR(__xludf.DUMMYFUNCTION("""COMPUTED_VALUE"""),0.0)</f>
        <v>0</v>
      </c>
      <c r="K904" s="58">
        <f>IFERROR(__xludf.DUMMYFUNCTION("""COMPUTED_VALUE"""),45973.0)</f>
        <v>45973</v>
      </c>
      <c r="L904" s="6">
        <v>30.0</v>
      </c>
      <c r="M904" s="52">
        <v>46003.0</v>
      </c>
      <c r="N904" s="53" t="s">
        <v>711</v>
      </c>
      <c r="O904" s="19" t="s">
        <v>893</v>
      </c>
      <c r="P904" s="6"/>
      <c r="Q904" s="6"/>
      <c r="R904" s="6"/>
    </row>
    <row r="905">
      <c r="A905" s="31" t="str">
        <f>IFERROR(__xludf.DUMMYFUNCTION("""COMPUTED_VALUE"""),"878")</f>
        <v>878</v>
      </c>
      <c r="B905" s="14" t="str">
        <f>IFERROR(__xludf.DUMMYFUNCTION("""COMPUTED_VALUE"""),"РЕН-26")</f>
        <v>РЕН-26</v>
      </c>
      <c r="C905" s="14" t="str">
        <f>IFERROR(__xludf.DUMMYFUNCTION("""COMPUTED_VALUE"""),"ОКС")</f>
        <v>ОКС</v>
      </c>
      <c r="D905" s="6"/>
      <c r="E905" s="14" t="str">
        <f>IFERROR(__xludf.DUMMYFUNCTION("""COMPUTED_VALUE"""),"улица Азовская, земельный участок 39 ЮЗАО        улица Азовская, земельный участок 39")</f>
        <v>улица Азовская, земельный участок 39 ЮЗАО        улица Азовская, земельный участок 39</v>
      </c>
      <c r="F905" s="25" t="str">
        <f>IFERROR(__xludf.DUMMYFUNCTION("""COMPUTED_VALUE"""),"55.644814")</f>
        <v>55.644814</v>
      </c>
      <c r="G905" s="6" t="str">
        <f>IFERROR(__xludf.DUMMYFUNCTION("""COMPUTED_VALUE"""),"37.595841")</f>
        <v>37.595841</v>
      </c>
      <c r="H905" s="18" t="str">
        <f>IFERROR(__xludf.DUMMYFUNCTION("""COMPUTED_VALUE"""),"https://docs.google.com/spreadsheets/d/1rbCD10ySi4YZEkJW2_Slmn9z7AI1WEsGsZaIJmnnT18/edit?gid=672785947#gid=672785947")</f>
        <v>https://docs.google.com/spreadsheets/d/1rbCD10ySi4YZEkJW2_Slmn9z7AI1WEsGsZaIJmnnT18/edit?gid=672785947#gid=672785947</v>
      </c>
      <c r="I905" s="19" t="str">
        <f>IFERROR(__xludf.DUMMYFUNCTION("""COMPUTED_VALUE"""),"https://disk.yandex.ru/client/disk/Осмотры%20объектов%20АНО%20СМГ/878.%20Азовская%20улица%2C%20зу%2039")</f>
        <v>https://disk.yandex.ru/client/disk/Осмотры%20объектов%20АНО%20СМГ/878.%20Азовская%20улица%2C%20зу%2039</v>
      </c>
      <c r="J905" s="50">
        <f>IFERROR(__xludf.DUMMYFUNCTION("""COMPUTED_VALUE"""),0.0)</f>
        <v>0</v>
      </c>
      <c r="K905" s="58">
        <f>IFERROR(__xludf.DUMMYFUNCTION("""COMPUTED_VALUE"""),45973.0)</f>
        <v>45973</v>
      </c>
      <c r="L905" s="6">
        <v>30.0</v>
      </c>
      <c r="M905" s="52">
        <v>46003.0</v>
      </c>
      <c r="N905" s="53" t="s">
        <v>711</v>
      </c>
      <c r="O905" s="19" t="s">
        <v>1173</v>
      </c>
      <c r="P905" s="6"/>
      <c r="Q905" s="6"/>
      <c r="R905" s="6"/>
    </row>
    <row r="906">
      <c r="A906" s="31" t="str">
        <f>IFERROR(__xludf.DUMMYFUNCTION("""COMPUTED_VALUE"""),"717")</f>
        <v>717</v>
      </c>
      <c r="B906" s="14" t="str">
        <f>IFERROR(__xludf.DUMMYFUNCTION("""COMPUTED_VALUE"""),"РЕН-26")</f>
        <v>РЕН-26</v>
      </c>
      <c r="C906" s="14" t="str">
        <f>IFERROR(__xludf.DUMMYFUNCTION("""COMPUTED_VALUE"""),"ОКС")</f>
        <v>ОКС</v>
      </c>
      <c r="D906" s="6"/>
      <c r="E906" s="14" t="str">
        <f>IFERROR(__xludf.DUMMYFUNCTION("""COMPUTED_VALUE"""),"Даниловская набережная, земельный участок 8 (вл. 8) ЮАО, район Даниловский, Даниловская набережная, земельный участок 8 (Даниловская наб., вл. 8) 	")</f>
        <v>Даниловская набережная, земельный участок 8 (вл. 8) ЮАО, район Даниловский, Даниловская набережная, земельный участок 8 (Даниловская наб., вл. 8) 	</v>
      </c>
      <c r="F906" s="25" t="str">
        <f>IFERROR(__xludf.DUMMYFUNCTION("""COMPUTED_VALUE"""),"55.709430")</f>
        <v>55.709430</v>
      </c>
      <c r="G906" s="6" t="str">
        <f>IFERROR(__xludf.DUMMYFUNCTION("""COMPUTED_VALUE"""),"37.636083")</f>
        <v>37.636083</v>
      </c>
      <c r="H906" s="18" t="str">
        <f>IFERROR(__xludf.DUMMYFUNCTION("""COMPUTED_VALUE"""),"https://docs.google.com/spreadsheets/d/1rbCD10ySi4YZEkJW2_Slmn9z7AI1WEsGsZaIJmnnT18/edit?gid=756416994#gid=756416994")</f>
        <v>https://docs.google.com/spreadsheets/d/1rbCD10ySi4YZEkJW2_Slmn9z7AI1WEsGsZaIJmnnT18/edit?gid=756416994#gid=756416994</v>
      </c>
      <c r="I906" s="19" t="str">
        <f>IFERROR(__xludf.DUMMYFUNCTION("""COMPUTED_VALUE"""),"https://disk.yandex.ru/client/disk/Осмотры%20объектов%20АНО%20СМГ/717.%20Даниловская%20набережная%2C%20вл.%208")</f>
        <v>https://disk.yandex.ru/client/disk/Осмотры%20объектов%20АНО%20СМГ/717.%20Даниловская%20набережная%2C%20вл.%208</v>
      </c>
      <c r="J906" s="50">
        <f>IFERROR(__xludf.DUMMYFUNCTION("""COMPUTED_VALUE"""),3.2099999999999995)</f>
        <v>3.21</v>
      </c>
      <c r="K906" s="58">
        <f>IFERROR(__xludf.DUMMYFUNCTION("""COMPUTED_VALUE"""),45946.0)</f>
        <v>45946</v>
      </c>
      <c r="L906" s="6">
        <v>30.0</v>
      </c>
      <c r="M906" s="52">
        <v>45976.0</v>
      </c>
      <c r="N906" s="53" t="s">
        <v>701</v>
      </c>
      <c r="O906" s="19" t="s">
        <v>669</v>
      </c>
      <c r="P906" s="6"/>
      <c r="Q906" s="6"/>
      <c r="R906" s="6"/>
    </row>
    <row r="907">
      <c r="A907" s="31" t="str">
        <f>IFERROR(__xludf.DUMMYFUNCTION("""COMPUTED_VALUE"""),"1156")</f>
        <v>1156</v>
      </c>
      <c r="B907" s="14" t="str">
        <f>IFERROR(__xludf.DUMMYFUNCTION("""COMPUTED_VALUE"""),"РЕН-26")</f>
        <v>РЕН-26</v>
      </c>
      <c r="C907" s="14" t="str">
        <f>IFERROR(__xludf.DUMMYFUNCTION("""COMPUTED_VALUE"""),"ОКС")</f>
        <v>ОКС</v>
      </c>
      <c r="D907" s="6"/>
      <c r="E907" s="14" t="str">
        <f>IFERROR(__xludf.DUMMYFUNCTION("""COMPUTED_VALUE"""),"улица Леснорядская, земельный участок 7 ЦАО, район Красносельский, Леснорядская ул., вл. 7, 2-я Леснорядская ул., д. 10-12, стр. 1")</f>
        <v>улица Леснорядская, земельный участок 7 ЦАО, район Красносельский, Леснорядская ул., вл. 7, 2-я Леснорядская ул., д. 10-12, стр. 1</v>
      </c>
      <c r="F907" s="25" t="str">
        <f>IFERROR(__xludf.DUMMYFUNCTION("""COMPUTED_VALUE"""),"55.782122")</f>
        <v>55.782122</v>
      </c>
      <c r="G907" s="6" t="str">
        <f>IFERROR(__xludf.DUMMYFUNCTION("""COMPUTED_VALUE"""),"37.676403")</f>
        <v>37.676403</v>
      </c>
      <c r="H907" s="18" t="str">
        <f>IFERROR(__xludf.DUMMYFUNCTION("""COMPUTED_VALUE"""),"https://docs.google.com/spreadsheets/d/1rbCD10ySi4YZEkJW2_Slmn9z7AI1WEsGsZaIJmnnT18/edit?gid=2030780082#gid=2030780082")</f>
        <v>https://docs.google.com/spreadsheets/d/1rbCD10ySi4YZEkJW2_Slmn9z7AI1WEsGsZaIJmnnT18/edit?gid=2030780082#gid=2030780082</v>
      </c>
      <c r="I907" s="19" t="str">
        <f>IFERROR(__xludf.DUMMYFUNCTION("""COMPUTED_VALUE"""),"https://disk.yandex.ru/client/disk/Осмотры%20объектов%20АНО%20СМГ/1156.%20Леснорядская%20улица%20земельный%20участок%207")</f>
        <v>https://disk.yandex.ru/client/disk/Осмотры%20объектов%20АНО%20СМГ/1156.%20Леснорядская%20улица%20земельный%20участок%207</v>
      </c>
      <c r="J907" s="50">
        <f>IFERROR(__xludf.DUMMYFUNCTION("""COMPUTED_VALUE"""),29.814374999999995)</f>
        <v>29.814375</v>
      </c>
      <c r="K907" s="58">
        <f>IFERROR(__xludf.DUMMYFUNCTION("""COMPUTED_VALUE"""),45961.0)</f>
        <v>45961</v>
      </c>
      <c r="L907" s="6">
        <v>30.0</v>
      </c>
      <c r="M907" s="52">
        <v>45991.0</v>
      </c>
      <c r="N907" s="53" t="s">
        <v>692</v>
      </c>
      <c r="O907" s="19" t="s">
        <v>669</v>
      </c>
      <c r="P907" s="6"/>
      <c r="Q907" s="6"/>
      <c r="R907" s="6"/>
    </row>
    <row r="908">
      <c r="A908" s="31" t="str">
        <f>IFERROR(__xludf.DUMMYFUNCTION("""COMPUTED_VALUE"""),"742")</f>
        <v>742</v>
      </c>
      <c r="B908" s="14" t="str">
        <f>IFERROR(__xludf.DUMMYFUNCTION("""COMPUTED_VALUE"""),"РЕН-26")</f>
        <v>РЕН-26</v>
      </c>
      <c r="C908" s="14" t="str">
        <f>IFERROR(__xludf.DUMMYFUNCTION("""COMPUTED_VALUE"""),"ОКС")</f>
        <v>ОКС</v>
      </c>
      <c r="D908" s="6"/>
      <c r="E908" s="14" t="str">
        <f>IFERROR(__xludf.DUMMYFUNCTION("""COMPUTED_VALUE"""),"7-я Кожуховская улица, земельный участок 8 (7-я Кожуховская ул. вл. 8) 7-я Кожуховская улица, земельный участок 8 (7-я Кожуховская ул. вл. 8)")</f>
        <v>7-я Кожуховская улица, земельный участок 8 (7-я Кожуховская ул. вл. 8) 7-я Кожуховская улица, земельный участок 8 (7-я Кожуховская ул. вл. 8)</v>
      </c>
      <c r="F908" s="25" t="str">
        <f>IFERROR(__xludf.DUMMYFUNCTION("""COMPUTED_VALUE"""),"55.708858")</f>
        <v>55.708858</v>
      </c>
      <c r="G908" s="6" t="str">
        <f>IFERROR(__xludf.DUMMYFUNCTION("""COMPUTED_VALUE"""),"37.671896")</f>
        <v>37.671896</v>
      </c>
      <c r="H908" s="18" t="str">
        <f>IFERROR(__xludf.DUMMYFUNCTION("""COMPUTED_VALUE"""),"https://docs.google.com/spreadsheets/d/1rbCD10ySi4YZEkJW2_Slmn9z7AI1WEsGsZaIJmnnT18/edit?gid=1207675584#gid=1207675584")</f>
        <v>https://docs.google.com/spreadsheets/d/1rbCD10ySi4YZEkJW2_Slmn9z7AI1WEsGsZaIJmnnT18/edit?gid=1207675584#gid=1207675584</v>
      </c>
      <c r="I908" s="19" t="str">
        <f>IFERROR(__xludf.DUMMYFUNCTION("""COMPUTED_VALUE"""),"https://disk.yandex.ru/client/disk/Осмотры%20объектов%20АНО%20СМГ/742.%207-я%20Кожуховская%20ул.%2C%20вл.%208%2C%20уч.%208")</f>
        <v>https://disk.yandex.ru/client/disk/Осмотры%20объектов%20АНО%20СМГ/742.%207-я%20Кожуховская%20ул.%2C%20вл.%208%2C%20уч.%208</v>
      </c>
      <c r="J908" s="50">
        <f>IFERROR(__xludf.DUMMYFUNCTION("""COMPUTED_VALUE"""),0.03)</f>
        <v>0.03</v>
      </c>
      <c r="K908" s="58">
        <f>IFERROR(__xludf.DUMMYFUNCTION("""COMPUTED_VALUE"""),45953.0)</f>
        <v>45953</v>
      </c>
      <c r="L908" s="6">
        <v>30.0</v>
      </c>
      <c r="M908" s="52">
        <v>45983.0</v>
      </c>
      <c r="N908" s="53" t="s">
        <v>741</v>
      </c>
      <c r="O908" s="19" t="s">
        <v>1174</v>
      </c>
      <c r="P908" s="6"/>
      <c r="Q908" s="6"/>
      <c r="R908" s="6"/>
    </row>
    <row r="909">
      <c r="A909" s="31" t="str">
        <f>IFERROR(__xludf.DUMMYFUNCTION("""COMPUTED_VALUE"""),"743")</f>
        <v>743</v>
      </c>
      <c r="B909" s="14" t="str">
        <f>IFERROR(__xludf.DUMMYFUNCTION("""COMPUTED_VALUE"""),"РЕН-26")</f>
        <v>РЕН-26</v>
      </c>
      <c r="C909" s="14" t="str">
        <f>IFERROR(__xludf.DUMMYFUNCTION("""COMPUTED_VALUE"""),"ОКС")</f>
        <v>ОКС</v>
      </c>
      <c r="D909" s="6"/>
      <c r="E909" s="14" t="str">
        <f>IFERROR(__xludf.DUMMYFUNCTION("""COMPUTED_VALUE"""),"Касимовская ул., вл. 33 Москва, Касимовская ул, 33")</f>
        <v>Касимовская ул., вл. 33 Москва, Касимовская ул, 33</v>
      </c>
      <c r="F909" s="25" t="str">
        <f>IFERROR(__xludf.DUMMYFUNCTION("""COMPUTED_VALUE"""),"55.592836")</f>
        <v>55.592836</v>
      </c>
      <c r="G909" s="6" t="str">
        <f>IFERROR(__xludf.DUMMYFUNCTION("""COMPUTED_VALUE"""),"37.658536")</f>
        <v>37.658536</v>
      </c>
      <c r="H909" s="18" t="str">
        <f>IFERROR(__xludf.DUMMYFUNCTION("""COMPUTED_VALUE"""),"https://docs.google.com/spreadsheets/d/1rbCD10ySi4YZEkJW2_Slmn9z7AI1WEsGsZaIJmnnT18/edit?gid=383847574#gid=383847574")</f>
        <v>https://docs.google.com/spreadsheets/d/1rbCD10ySi4YZEkJW2_Slmn9z7AI1WEsGsZaIJmnnT18/edit?gid=383847574#gid=383847574</v>
      </c>
      <c r="I909" s="19" t="str">
        <f>IFERROR(__xludf.DUMMYFUNCTION("""COMPUTED_VALUE"""),"https://disk.yandex.ru/client/disk/Осмотры%20объектов%20АНО%20СМГ/743.%20Касимовская%2033")</f>
        <v>https://disk.yandex.ru/client/disk/Осмотры%20объектов%20АНО%20СМГ/743.%20Касимовская%2033</v>
      </c>
      <c r="J909" s="50">
        <f>IFERROR(__xludf.DUMMYFUNCTION("""COMPUTED_VALUE"""),0.0)</f>
        <v>0</v>
      </c>
      <c r="K909" s="58">
        <f>IFERROR(__xludf.DUMMYFUNCTION("""COMPUTED_VALUE"""),45953.0)</f>
        <v>45953</v>
      </c>
      <c r="L909" s="6">
        <v>30.0</v>
      </c>
      <c r="M909" s="52">
        <v>45983.0</v>
      </c>
      <c r="N909" s="53" t="s">
        <v>741</v>
      </c>
      <c r="O909" s="19" t="s">
        <v>1175</v>
      </c>
      <c r="P909" s="6"/>
      <c r="Q909" s="6"/>
      <c r="R909" s="6"/>
    </row>
    <row r="910">
      <c r="A910" s="31" t="str">
        <f>IFERROR(__xludf.DUMMYFUNCTION("""COMPUTED_VALUE"""),"744")</f>
        <v>744</v>
      </c>
      <c r="B910" s="14" t="str">
        <f>IFERROR(__xludf.DUMMYFUNCTION("""COMPUTED_VALUE"""),"РЕН-26")</f>
        <v>РЕН-26</v>
      </c>
      <c r="C910" s="14" t="str">
        <f>IFERROR(__xludf.DUMMYFUNCTION("""COMPUTED_VALUE"""),"ОКС")</f>
        <v>ОКС</v>
      </c>
      <c r="D910" s="6"/>
      <c r="E910" s="14" t="str">
        <f>IFERROR(__xludf.DUMMYFUNCTION("""COMPUTED_VALUE"""),"Касимовская ул., вл. 35 Москва, Касимовская ул, 35")</f>
        <v>Касимовская ул., вл. 35 Москва, Касимовская ул, 35</v>
      </c>
      <c r="F910" s="25" t="str">
        <f>IFERROR(__xludf.DUMMYFUNCTION("""COMPUTED_VALUE"""),"55.592359")</f>
        <v>55.592359</v>
      </c>
      <c r="G910" s="6" t="str">
        <f>IFERROR(__xludf.DUMMYFUNCTION("""COMPUTED_VALUE"""),"37.658772")</f>
        <v>37.658772</v>
      </c>
      <c r="H910" s="18" t="str">
        <f>IFERROR(__xludf.DUMMYFUNCTION("""COMPUTED_VALUE"""),"https://docs.google.com/spreadsheets/d/1rbCD10ySi4YZEkJW2_Slmn9z7AI1WEsGsZaIJmnnT18/edit?gid=1949661648#gid=1949661648")</f>
        <v>https://docs.google.com/spreadsheets/d/1rbCD10ySi4YZEkJW2_Slmn9z7AI1WEsGsZaIJmnnT18/edit?gid=1949661648#gid=1949661648</v>
      </c>
      <c r="I910" s="19" t="str">
        <f>IFERROR(__xludf.DUMMYFUNCTION("""COMPUTED_VALUE"""),"https://disk.yandex.ru/client/disk/Осмотры%20объектов%20АНО%20СМГ/744.%20Касимовская%2035")</f>
        <v>https://disk.yandex.ru/client/disk/Осмотры%20объектов%20АНО%20СМГ/744.%20Касимовская%2035</v>
      </c>
      <c r="J910" s="50">
        <f>IFERROR(__xludf.DUMMYFUNCTION("""COMPUTED_VALUE"""),0.0)</f>
        <v>0</v>
      </c>
      <c r="K910" s="58">
        <f>IFERROR(__xludf.DUMMYFUNCTION("""COMPUTED_VALUE"""),45953.0)</f>
        <v>45953</v>
      </c>
      <c r="L910" s="6">
        <v>30.0</v>
      </c>
      <c r="M910" s="52">
        <v>45983.0</v>
      </c>
      <c r="N910" s="53" t="s">
        <v>741</v>
      </c>
      <c r="O910" s="19" t="s">
        <v>1175</v>
      </c>
      <c r="P910" s="6"/>
      <c r="Q910" s="6"/>
      <c r="R910" s="6"/>
    </row>
    <row r="911">
      <c r="A911" s="31" t="str">
        <f>IFERROR(__xludf.DUMMYFUNCTION("""COMPUTED_VALUE"""),"747")</f>
        <v>747</v>
      </c>
      <c r="B911" s="14" t="str">
        <f>IFERROR(__xludf.DUMMYFUNCTION("""COMPUTED_VALUE"""),"РЕН-26")</f>
        <v>РЕН-26</v>
      </c>
      <c r="C911" s="14" t="str">
        <f>IFERROR(__xludf.DUMMYFUNCTION("""COMPUTED_VALUE"""),"ОКС")</f>
        <v>ОКС</v>
      </c>
      <c r="D911" s="6"/>
      <c r="E911" s="14" t="str">
        <f>IFERROR(__xludf.DUMMYFUNCTION("""COMPUTED_VALUE"""),"Касимовская ул., вл. 31, корп. 2 (Приобретение объектов недвижимости) Москва, Касимовская ул, 31")</f>
        <v>Касимовская ул., вл. 31, корп. 2 (Приобретение объектов недвижимости) Москва, Касимовская ул, 31</v>
      </c>
      <c r="F911" s="25" t="str">
        <f>IFERROR(__xludf.DUMMYFUNCTION("""COMPUTED_VALUE"""),"55.593660")</f>
        <v>55.593660</v>
      </c>
      <c r="G911" s="6" t="str">
        <f>IFERROR(__xludf.DUMMYFUNCTION("""COMPUTED_VALUE"""),"37.658122")</f>
        <v>37.658122</v>
      </c>
      <c r="H911" s="18" t="str">
        <f>IFERROR(__xludf.DUMMYFUNCTION("""COMPUTED_VALUE"""),"https://docs.google.com/spreadsheets/d/1rbCD10ySi4YZEkJW2_Slmn9z7AI1WEsGsZaIJmnnT18/edit?gid=829836669#gid=829836669")</f>
        <v>https://docs.google.com/spreadsheets/d/1rbCD10ySi4YZEkJW2_Slmn9z7AI1WEsGsZaIJmnnT18/edit?gid=829836669#gid=829836669</v>
      </c>
      <c r="I911" s="19" t="str">
        <f>IFERROR(__xludf.DUMMYFUNCTION("""COMPUTED_VALUE"""),"https://disk.yandex.ru/client/disk/Осмотры%20объектов%20АНО%20СМГ/747.%20Касимовская%2031к2")</f>
        <v>https://disk.yandex.ru/client/disk/Осмотры%20объектов%20АНО%20СМГ/747.%20Касимовская%2031к2</v>
      </c>
      <c r="J911" s="50">
        <f>IFERROR(__xludf.DUMMYFUNCTION("""COMPUTED_VALUE"""),0.0)</f>
        <v>0</v>
      </c>
      <c r="K911" s="58">
        <f>IFERROR(__xludf.DUMMYFUNCTION("""COMPUTED_VALUE"""),45953.0)</f>
        <v>45953</v>
      </c>
      <c r="L911" s="6">
        <v>30.0</v>
      </c>
      <c r="M911" s="52">
        <v>45983.0</v>
      </c>
      <c r="N911" s="53" t="s">
        <v>741</v>
      </c>
      <c r="O911" s="19" t="s">
        <v>1175</v>
      </c>
      <c r="P911" s="6"/>
      <c r="Q911" s="6"/>
      <c r="R911" s="6"/>
    </row>
    <row r="912">
      <c r="A912" s="31" t="str">
        <f>IFERROR(__xludf.DUMMYFUNCTION("""COMPUTED_VALUE"""),"760")</f>
        <v>760</v>
      </c>
      <c r="B912" s="14" t="str">
        <f>IFERROR(__xludf.DUMMYFUNCTION("""COMPUTED_VALUE"""),"РЕН-26")</f>
        <v>РЕН-26</v>
      </c>
      <c r="C912" s="14" t="str">
        <f>IFERROR(__xludf.DUMMYFUNCTION("""COMPUTED_VALUE"""),"ОКС")</f>
        <v>ОКС</v>
      </c>
      <c r="D912" s="6"/>
      <c r="E912" s="14" t="str">
        <f>IFERROR(__xludf.DUMMYFUNCTION("""COMPUTED_VALUE"""),"Свободный пр-т, вл. 12 район Новогиреево, Свободный пр-т, вл. 12")</f>
        <v>Свободный пр-т, вл. 12 район Новогиреево, Свободный пр-т, вл. 12</v>
      </c>
      <c r="F912" s="25" t="str">
        <f>IFERROR(__xludf.DUMMYFUNCTION("""COMPUTED_VALUE"""),"55.755177")</f>
        <v>55.755177</v>
      </c>
      <c r="G912" s="6" t="str">
        <f>IFERROR(__xludf.DUMMYFUNCTION("""COMPUTED_VALUE"""),"37.817813")</f>
        <v>37.817813</v>
      </c>
      <c r="H912" s="18" t="str">
        <f>IFERROR(__xludf.DUMMYFUNCTION("""COMPUTED_VALUE"""),"https://docs.google.com/spreadsheets/d/1rbCD10ySi4YZEkJW2_Slmn9z7AI1WEsGsZaIJmnnT18/edit?gid=39049871#gid=39049871")</f>
        <v>https://docs.google.com/spreadsheets/d/1rbCD10ySi4YZEkJW2_Slmn9z7AI1WEsGsZaIJmnnT18/edit?gid=39049871#gid=39049871</v>
      </c>
      <c r="I912" s="19" t="str">
        <f>IFERROR(__xludf.DUMMYFUNCTION("""COMPUTED_VALUE"""),"https://disk.yandex.ru/client/disk/Осмотры%20объектов%20АНО%20СМГ/760.%20Свободный%20проспект%20вл%2012")</f>
        <v>https://disk.yandex.ru/client/disk/Осмотры%20объектов%20АНО%20СМГ/760.%20Свободный%20проспект%20вл%2012</v>
      </c>
      <c r="J912" s="50">
        <f>IFERROR(__xludf.DUMMYFUNCTION("""COMPUTED_VALUE"""),24.796860000000002)</f>
        <v>24.79686</v>
      </c>
      <c r="K912" s="58">
        <f>IFERROR(__xludf.DUMMYFUNCTION("""COMPUTED_VALUE"""),45974.0)</f>
        <v>45974</v>
      </c>
      <c r="L912" s="6">
        <v>30.0</v>
      </c>
      <c r="M912" s="52">
        <v>46004.0</v>
      </c>
      <c r="N912" s="53" t="s">
        <v>711</v>
      </c>
      <c r="O912" s="19" t="s">
        <v>1176</v>
      </c>
      <c r="P912" s="6"/>
      <c r="Q912" s="6"/>
      <c r="R912" s="6"/>
    </row>
    <row r="913">
      <c r="A913" s="31" t="str">
        <f>IFERROR(__xludf.DUMMYFUNCTION("""COMPUTED_VALUE"""),"622")</f>
        <v>622</v>
      </c>
      <c r="B913" s="14" t="str">
        <f>IFERROR(__xludf.DUMMYFUNCTION("""COMPUTED_VALUE"""),"РЕН-26")</f>
        <v>РЕН-26</v>
      </c>
      <c r="C913" s="14" t="str">
        <f>IFERROR(__xludf.DUMMYFUNCTION("""COMPUTED_VALUE"""),"ОКС")</f>
        <v>ОКС</v>
      </c>
      <c r="D913" s="6"/>
      <c r="E913" s="14" t="str">
        <f>IFERROR(__xludf.DUMMYFUNCTION("""COMPUTED_VALUE"""),"Новохорошёвский пр-д, влд. 6/1 (вл. 6) СЗАО	Новохорошёвский пр-д, влд. 6/1 (вл. 6)")</f>
        <v>Новохорошёвский пр-д, влд. 6/1 (вл. 6) СЗАО	Новохорошёвский пр-д, влд. 6/1 (вл. 6)</v>
      </c>
      <c r="F913" s="25" t="str">
        <f>IFERROR(__xludf.DUMMYFUNCTION("""COMPUTED_VALUE"""),"55.778451")</f>
        <v>55.778451</v>
      </c>
      <c r="G913" s="6" t="str">
        <f>IFERROR(__xludf.DUMMYFUNCTION("""COMPUTED_VALUE"""),"37.498935")</f>
        <v>37.498935</v>
      </c>
      <c r="H913" s="18" t="str">
        <f>IFERROR(__xludf.DUMMYFUNCTION("""COMPUTED_VALUE"""),"https://docs.google.com/spreadsheets/d/1rbCD10ySi4YZEkJW2_Slmn9z7AI1WEsGsZaIJmnnT18/edit?gid=808253211#gid=808253211")</f>
        <v>https://docs.google.com/spreadsheets/d/1rbCD10ySi4YZEkJW2_Slmn9z7AI1WEsGsZaIJmnnT18/edit?gid=808253211#gid=808253211</v>
      </c>
      <c r="I913" s="19" t="str">
        <f>IFERROR(__xludf.DUMMYFUNCTION("""COMPUTED_VALUE"""),"https://disk.yandex.ru/client/disk/Осмотры%20объектов%20АНО%20СМГ/622.%20Новохорошевский%20пр-д.%2C%20вл.%206.1")</f>
        <v>https://disk.yandex.ru/client/disk/Осмотры%20объектов%20АНО%20СМГ/622.%20Новохорошевский%20пр-д.%2C%20вл.%206.1</v>
      </c>
      <c r="J913" s="50">
        <f>IFERROR(__xludf.DUMMYFUNCTION("""COMPUTED_VALUE"""),7.89)</f>
        <v>7.89</v>
      </c>
      <c r="K913" s="58">
        <f>IFERROR(__xludf.DUMMYFUNCTION("""COMPUTED_VALUE"""),45959.0)</f>
        <v>45959</v>
      </c>
      <c r="L913" s="6">
        <v>30.0</v>
      </c>
      <c r="M913" s="52">
        <v>45989.0</v>
      </c>
      <c r="N913" s="53" t="s">
        <v>692</v>
      </c>
      <c r="O913" s="19" t="s">
        <v>669</v>
      </c>
      <c r="P913" s="6"/>
      <c r="Q913" s="6"/>
      <c r="R913" s="6"/>
    </row>
    <row r="914">
      <c r="A914" s="31" t="str">
        <f>IFERROR(__xludf.DUMMYFUNCTION("""COMPUTED_VALUE"""),"634")</f>
        <v>634</v>
      </c>
      <c r="B914" s="14" t="str">
        <f>IFERROR(__xludf.DUMMYFUNCTION("""COMPUTED_VALUE"""),"РЕН-26")</f>
        <v>РЕН-26</v>
      </c>
      <c r="C914" s="14" t="str">
        <f>IFERROR(__xludf.DUMMYFUNCTION("""COMPUTED_VALUE"""),"ОКС")</f>
        <v>ОКС</v>
      </c>
      <c r="D914" s="6"/>
      <c r="E914" s="14" t="str">
        <f>IFERROR(__xludf.DUMMYFUNCTION("""COMPUTED_VALUE"""),"Новохорошёвский пр-д, влд. 24/3/1 (вл. 24, к. 3) СЗАО, район Хорошево-Мневники, Новохорошевский проезд, вл. 24/3/1")</f>
        <v>Новохорошёвский пр-д, влд. 24/3/1 (вл. 24, к. 3) СЗАО, район Хорошево-Мневники, Новохорошевский проезд, вл. 24/3/1</v>
      </c>
      <c r="F914" s="25" t="str">
        <f>IFERROR(__xludf.DUMMYFUNCTION("""COMPUTED_VALUE"""),"55.779797")</f>
        <v>55.779797</v>
      </c>
      <c r="G914" s="6" t="str">
        <f>IFERROR(__xludf.DUMMYFUNCTION("""COMPUTED_VALUE"""),"37.492350")</f>
        <v>37.492350</v>
      </c>
      <c r="H914" s="18" t="str">
        <f>IFERROR(__xludf.DUMMYFUNCTION("""COMPUTED_VALUE"""),"https://docs.google.com/spreadsheets/d/1rbCD10ySi4YZEkJW2_Slmn9z7AI1WEsGsZaIJmnnT18/edit?gid=326389439#gid=326389439")</f>
        <v>https://docs.google.com/spreadsheets/d/1rbCD10ySi4YZEkJW2_Slmn9z7AI1WEsGsZaIJmnnT18/edit?gid=326389439#gid=326389439</v>
      </c>
      <c r="I914" s="19" t="str">
        <f>IFERROR(__xludf.DUMMYFUNCTION("""COMPUTED_VALUE"""),"https://disk.yandex.ru/client/disk/Осмотры%20объектов%20АНО%20СМГ/634.%20Новохорошевский%20пр-д.%2C%20вл.%2024.3.1")</f>
        <v>https://disk.yandex.ru/client/disk/Осмотры%20объектов%20АНО%20СМГ/634.%20Новохорошевский%20пр-д.%2C%20вл.%2024.3.1</v>
      </c>
      <c r="J914" s="50">
        <f>IFERROR(__xludf.DUMMYFUNCTION("""COMPUTED_VALUE"""),8.1)</f>
        <v>8.1</v>
      </c>
      <c r="K914" s="58">
        <f>IFERROR(__xludf.DUMMYFUNCTION("""COMPUTED_VALUE"""),45962.0)</f>
        <v>45962</v>
      </c>
      <c r="L914" s="6">
        <v>30.0</v>
      </c>
      <c r="M914" s="52">
        <v>45992.0</v>
      </c>
      <c r="N914" s="53" t="s">
        <v>692</v>
      </c>
      <c r="O914" s="19" t="s">
        <v>669</v>
      </c>
      <c r="P914" s="6"/>
      <c r="Q914" s="6"/>
      <c r="R914" s="6"/>
    </row>
    <row r="915">
      <c r="A915" s="31" t="str">
        <f>IFERROR(__xludf.DUMMYFUNCTION("""COMPUTED_VALUE"""),"621")</f>
        <v>621</v>
      </c>
      <c r="B915" s="14" t="str">
        <f>IFERROR(__xludf.DUMMYFUNCTION("""COMPUTED_VALUE"""),"РЕН-26")</f>
        <v>РЕН-26</v>
      </c>
      <c r="C915" s="14" t="str">
        <f>IFERROR(__xludf.DUMMYFUNCTION("""COMPUTED_VALUE"""),"ОКС")</f>
        <v>ОКС</v>
      </c>
      <c r="D915" s="6"/>
      <c r="E915" s="14" t="str">
        <f>IFERROR(__xludf.DUMMYFUNCTION("""COMPUTED_VALUE"""),"Жилой дом с инженерными сетями и благоустройством территории, САО, район Коптево, Генерала Рычагова ул., вл. 14 САО, район Коптево, Генерала Рычагова ул., вл. 14")</f>
        <v>Жилой дом с инженерными сетями и благоустройством территории, САО, район Коптево, Генерала Рычагова ул., вл. 14 САО, район Коптево, Генерала Рычагова ул., вл. 14</v>
      </c>
      <c r="F915" s="25" t="str">
        <f>IFERROR(__xludf.DUMMYFUNCTION("""COMPUTED_VALUE"""),"55.840465")</f>
        <v>55.840465</v>
      </c>
      <c r="G915" s="6" t="str">
        <f>IFERROR(__xludf.DUMMYFUNCTION("""COMPUTED_VALUE"""),"37.536380")</f>
        <v>37.536380</v>
      </c>
      <c r="H915" s="18" t="str">
        <f>IFERROR(__xludf.DUMMYFUNCTION("""COMPUTED_VALUE"""),"https://docs.google.com/spreadsheets/d/1rbCD10ySi4YZEkJW2_Slmn9z7AI1WEsGsZaIJmnnT18/edit?gid=1726616701#gid=1726616701")</f>
        <v>https://docs.google.com/spreadsheets/d/1rbCD10ySi4YZEkJW2_Slmn9z7AI1WEsGsZaIJmnnT18/edit?gid=1726616701#gid=1726616701</v>
      </c>
      <c r="I915" s="19" t="str">
        <f>IFERROR(__xludf.DUMMYFUNCTION("""COMPUTED_VALUE"""),"https://disk.yandex.ru/client/disk/Осмотры%20объектов%20АНО%20СМГ/621.%20Район%20Коптево%2C%20Генерала%20Рычагова%20ул.%2C%20вл.14")</f>
        <v>https://disk.yandex.ru/client/disk/Осмотры%20объектов%20АНО%20СМГ/621.%20Район%20Коптево%2C%20Генерала%20Рычагова%20ул.%2C%20вл.14</v>
      </c>
      <c r="J915" s="50">
        <f>IFERROR(__xludf.DUMMYFUNCTION("""COMPUTED_VALUE"""),3.3695999999999997)</f>
        <v>3.3696</v>
      </c>
      <c r="K915" s="58">
        <f>IFERROR(__xludf.DUMMYFUNCTION("""COMPUTED_VALUE"""),45960.0)</f>
        <v>45960</v>
      </c>
      <c r="L915" s="6">
        <v>30.0</v>
      </c>
      <c r="M915" s="52">
        <v>45990.0</v>
      </c>
      <c r="N915" s="53" t="s">
        <v>692</v>
      </c>
      <c r="O915" s="19" t="s">
        <v>1177</v>
      </c>
      <c r="P915" s="6"/>
      <c r="Q915" s="6"/>
      <c r="R915" s="6"/>
    </row>
    <row r="916">
      <c r="A916" s="31" t="str">
        <f>IFERROR(__xludf.DUMMYFUNCTION("""COMPUTED_VALUE"""),"774")</f>
        <v>774</v>
      </c>
      <c r="B916" s="14" t="str">
        <f>IFERROR(__xludf.DUMMYFUNCTION("""COMPUTED_VALUE"""),"РЕН-26")</f>
        <v>РЕН-26</v>
      </c>
      <c r="C916" s="14" t="str">
        <f>IFERROR(__xludf.DUMMYFUNCTION("""COMPUTED_VALUE"""),"ОКС")</f>
        <v>ОКС</v>
      </c>
      <c r="D916" s="6"/>
      <c r="E916" s="14" t="str">
        <f>IFERROR(__xludf.DUMMYFUNCTION("""COMPUTED_VALUE"""),"Бакинская ул., вл. 31 г. Москва, ЮАО, район Царицыно, Бакинская ул., вл. 31")</f>
        <v>Бакинская ул., вл. 31 г. Москва, ЮАО, район Царицыно, Бакинская ул., вл. 31</v>
      </c>
      <c r="F916" s="25" t="str">
        <f>IFERROR(__xludf.DUMMYFUNCTION("""COMPUTED_VALUE"""),"55.617219")</f>
        <v>55.617219</v>
      </c>
      <c r="G916" s="6" t="str">
        <f>IFERROR(__xludf.DUMMYFUNCTION("""COMPUTED_VALUE"""),"37.661780")</f>
        <v>37.661780</v>
      </c>
      <c r="H916" s="18" t="str">
        <f>IFERROR(__xludf.DUMMYFUNCTION("""COMPUTED_VALUE"""),"https://docs.google.com/spreadsheets/d/1rbCD10ySi4YZEkJW2_Slmn9z7AI1WEsGsZaIJmnnT18/edit?gid=3373357#gid=3373357")</f>
        <v>https://docs.google.com/spreadsheets/d/1rbCD10ySi4YZEkJW2_Slmn9z7AI1WEsGsZaIJmnnT18/edit?gid=3373357#gid=3373357</v>
      </c>
      <c r="I916" s="19" t="str">
        <f>IFERROR(__xludf.DUMMYFUNCTION("""COMPUTED_VALUE"""),"https://disk.yandex.ru/client/disk/Осмотры%20объектов%20АНО%20СМГ/774.%20Бакинская%2031")</f>
        <v>https://disk.yandex.ru/client/disk/Осмотры%20объектов%20АНО%20СМГ/774.%20Бакинская%2031</v>
      </c>
      <c r="J916" s="50">
        <f>IFERROR(__xludf.DUMMYFUNCTION("""COMPUTED_VALUE"""),1.5)</f>
        <v>1.5</v>
      </c>
      <c r="K916" s="58">
        <f>IFERROR(__xludf.DUMMYFUNCTION("""COMPUTED_VALUE"""),45953.0)</f>
        <v>45953</v>
      </c>
      <c r="L916" s="6">
        <v>30.0</v>
      </c>
      <c r="M916" s="52">
        <v>45983.0</v>
      </c>
      <c r="N916" s="53" t="s">
        <v>741</v>
      </c>
      <c r="O916" s="19" t="s">
        <v>669</v>
      </c>
      <c r="P916" s="6"/>
      <c r="Q916" s="6"/>
      <c r="R916" s="6"/>
    </row>
    <row r="917">
      <c r="A917" s="31" t="str">
        <f>IFERROR(__xludf.DUMMYFUNCTION("""COMPUTED_VALUE"""),"619")</f>
        <v>619</v>
      </c>
      <c r="B917" s="14" t="str">
        <f>IFERROR(__xludf.DUMMYFUNCTION("""COMPUTED_VALUE"""),"РЕН-26")</f>
        <v>РЕН-26</v>
      </c>
      <c r="C917" s="14" t="str">
        <f>IFERROR(__xludf.DUMMYFUNCTION("""COMPUTED_VALUE"""),"ОКС")</f>
        <v>ОКС</v>
      </c>
      <c r="D917" s="6"/>
      <c r="E917" s="14" t="str">
        <f>IFERROR(__xludf.DUMMYFUNCTION("""COMPUTED_VALUE"""),"Кутузовский проспект, земельный участок 78 ЗАО, район Фили-Давыдково, Кутузовский пр-т, зу 78")</f>
        <v>Кутузовский проспект, земельный участок 78 ЗАО, район Фили-Давыдково, Кутузовский пр-т, зу 78</v>
      </c>
      <c r="F917" s="25" t="str">
        <f>IFERROR(__xludf.DUMMYFUNCTION("""COMPUTED_VALUE"""),"55.725985")</f>
        <v>55.725985</v>
      </c>
      <c r="G917" s="6" t="str">
        <f>IFERROR(__xludf.DUMMYFUNCTION("""COMPUTED_VALUE"""),"37.456835")</f>
        <v>37.456835</v>
      </c>
      <c r="H917" s="18" t="str">
        <f>IFERROR(__xludf.DUMMYFUNCTION("""COMPUTED_VALUE"""),"https://docs.google.com/spreadsheets/d/1rbCD10ySi4YZEkJW2_Slmn9z7AI1WEsGsZaIJmnnT18/edit?gid=226411409#gid=226411409")</f>
        <v>https://docs.google.com/spreadsheets/d/1rbCD10ySi4YZEkJW2_Slmn9z7AI1WEsGsZaIJmnnT18/edit?gid=226411409#gid=226411409</v>
      </c>
      <c r="I917" s="19" t="str">
        <f>IFERROR(__xludf.DUMMYFUNCTION("""COMPUTED_VALUE"""),"https://disk.yandex.ru/client/disk/Осмотры%20объектов%20АНО%20СМГ/619.%20Жилой%20дом%20Кутузовский%20вл78")</f>
        <v>https://disk.yandex.ru/client/disk/Осмотры%20объектов%20АНО%20СМГ/619.%20Жилой%20дом%20Кутузовский%20вл78</v>
      </c>
      <c r="J917" s="50">
        <f>IFERROR(__xludf.DUMMYFUNCTION("""COMPUTED_VALUE"""),10.65)</f>
        <v>10.65</v>
      </c>
      <c r="K917" s="58">
        <f>IFERROR(__xludf.DUMMYFUNCTION("""COMPUTED_VALUE"""),45973.0)</f>
        <v>45973</v>
      </c>
      <c r="L917" s="6">
        <v>30.0</v>
      </c>
      <c r="M917" s="52">
        <v>46003.0</v>
      </c>
      <c r="N917" s="53" t="s">
        <v>711</v>
      </c>
      <c r="O917" s="19" t="s">
        <v>1178</v>
      </c>
      <c r="P917" s="6"/>
      <c r="Q917" s="6"/>
      <c r="R917" s="6"/>
    </row>
    <row r="918">
      <c r="A918" s="31" t="str">
        <f>IFERROR(__xludf.DUMMYFUNCTION("""COMPUTED_VALUE"""),"730")</f>
        <v>730</v>
      </c>
      <c r="B918" s="14" t="str">
        <f>IFERROR(__xludf.DUMMYFUNCTION("""COMPUTED_VALUE"""),"РЕН-26")</f>
        <v>РЕН-26</v>
      </c>
      <c r="C918" s="14" t="str">
        <f>IFERROR(__xludf.DUMMYFUNCTION("""COMPUTED_VALUE"""),"ОКС")</f>
        <v>ОКС</v>
      </c>
      <c r="D918" s="6"/>
      <c r="E918" s="14" t="str">
        <f>IFERROR(__xludf.DUMMYFUNCTION("""COMPUTED_VALUE"""),"Дмитровское шоссе, д.36 корп.2 САО, район Тимирязевский, Дмитровское шоссе,
земельный участок 36/2 (Зоны 2.1, 2.2, 2.3) (со сносом жилого здания по адресу: Дмитровское шоссе, д.36 корп.2)")</f>
        <v>Дмитровское шоссе, д.36 корп.2 САО, район Тимирязевский, Дмитровское шоссе,
земельный участок 36/2 (Зоны 2.1, 2.2, 2.3) (со сносом жилого здания по адресу: Дмитровское шоссе, д.36 корп.2)</v>
      </c>
      <c r="F918" s="25" t="str">
        <f>IFERROR(__xludf.DUMMYFUNCTION("""COMPUTED_VALUE"""),"55.840684")</f>
        <v>55.840684</v>
      </c>
      <c r="G918" s="6" t="str">
        <f>IFERROR(__xludf.DUMMYFUNCTION("""COMPUTED_VALUE"""),"37.573356")</f>
        <v>37.573356</v>
      </c>
      <c r="H918" s="18" t="str">
        <f>IFERROR(__xludf.DUMMYFUNCTION("""COMPUTED_VALUE"""),"https://docs.google.com/spreadsheets/d/1rbCD10ySi4YZEkJW2_Slmn9z7AI1WEsGsZaIJmnnT18/edit?gid=1127937852#gid=1127937852")</f>
        <v>https://docs.google.com/spreadsheets/d/1rbCD10ySi4YZEkJW2_Slmn9z7AI1WEsGsZaIJmnnT18/edit?gid=1127937852#gid=1127937852</v>
      </c>
      <c r="I918" s="19" t="str">
        <f>IFERROR(__xludf.DUMMYFUNCTION("""COMPUTED_VALUE"""),"https://disk.yandex.ru/client/disk/Осмотры%20объектов%20АНО%20СМГ/730.%20Дмитровское%20шоссе%20зу%2036!2%20(зоны%202.1%2C%202.2%2C%202.3)")</f>
        <v>https://disk.yandex.ru/client/disk/Осмотры%20объектов%20АНО%20СМГ/730.%20Дмитровское%20шоссе%20зу%2036!2%20(зоны%202.1%2C%202.2%2C%202.3)</v>
      </c>
      <c r="J918" s="50">
        <f>IFERROR(__xludf.DUMMYFUNCTION("""COMPUTED_VALUE"""),0.0)</f>
        <v>0</v>
      </c>
      <c r="K918" s="58">
        <f>IFERROR(__xludf.DUMMYFUNCTION("""COMPUTED_VALUE"""),45961.0)</f>
        <v>45961</v>
      </c>
      <c r="L918" s="6">
        <v>30.0</v>
      </c>
      <c r="M918" s="52">
        <v>45991.0</v>
      </c>
      <c r="N918" s="53" t="s">
        <v>692</v>
      </c>
      <c r="O918" s="19" t="s">
        <v>669</v>
      </c>
      <c r="P918" s="6"/>
      <c r="Q918" s="6"/>
      <c r="R918" s="6"/>
    </row>
    <row r="919">
      <c r="A919" s="31" t="str">
        <f>IFERROR(__xludf.DUMMYFUNCTION("""COMPUTED_VALUE"""),"788")</f>
        <v>788</v>
      </c>
      <c r="B919" s="14" t="str">
        <f>IFERROR(__xludf.DUMMYFUNCTION("""COMPUTED_VALUE"""),"РЕН-26")</f>
        <v>РЕН-26</v>
      </c>
      <c r="C919" s="14" t="str">
        <f>IFERROR(__xludf.DUMMYFUNCTION("""COMPUTED_VALUE"""),"ОКС")</f>
        <v>ОКС</v>
      </c>
      <c r="D919" s="6"/>
      <c r="E919" s="14" t="str">
        <f>IFERROR(__xludf.DUMMYFUNCTION("""COMPUTED_VALUE"""),"улица Авиамоторная, земельный участок 5 (ул. Авиамоторная, вл. 5) улица Авиамоторная, земельный участок 5 (ул. Авиамоторная, вл. 5)")</f>
        <v>улица Авиамоторная, земельный участок 5 (ул. Авиамоторная, вл. 5) улица Авиамоторная, земельный участок 5 (ул. Авиамоторная, вл. 5)</v>
      </c>
      <c r="F919" s="25" t="str">
        <f>IFERROR(__xludf.DUMMYFUNCTION("""COMPUTED_VALUE"""),"55.762551")</f>
        <v>55.762551</v>
      </c>
      <c r="G919" s="6" t="str">
        <f>IFERROR(__xludf.DUMMYFUNCTION("""COMPUTED_VALUE"""),"37.709784")</f>
        <v>37.709784</v>
      </c>
      <c r="H919" s="18" t="str">
        <f>IFERROR(__xludf.DUMMYFUNCTION("""COMPUTED_VALUE"""),"https://docs.google.com/spreadsheets/d/1rbCD10ySi4YZEkJW2_Slmn9z7AI1WEsGsZaIJmnnT18/edit?gid=602775546#gid=602775546")</f>
        <v>https://docs.google.com/spreadsheets/d/1rbCD10ySi4YZEkJW2_Slmn9z7AI1WEsGsZaIJmnnT18/edit?gid=602775546#gid=602775546</v>
      </c>
      <c r="I919" s="21" t="str">
        <f>IFERROR(__xludf.DUMMYFUNCTION("""COMPUTED_VALUE"""),"https://disk.yandex.ru/client/disk/%D0%9E%D1%81%D0%BC%D0%BE%D1%82%D1%80%D1%8B%20%D0%BE%D0%B1%D1%8A%D0%B5%D0%BA%D1%82%D0%BE%D0%B2%20%D0%90%D0%9D%D0%9E%20%D0%A1%D0%9C%D0%93/788.%20%D1%83%D0%BB%20%D0%90%D0%B2%D0%B8%D0%B0%D0%BC%D0%BE%D1%82%D0%BE%D1%80%D0%BD%D"&amp;"0%B0%D1%8F%20%D0%B2%D0%BB%205%20")</f>
        <v>https://disk.yandex.ru/client/disk/%D0%9E%D1%81%D0%BC%D0%BE%D1%82%D1%80%D1%8B%20%D0%BE%D0%B1%D1%8A%D0%B5%D0%BA%D1%82%D0%BE%D0%B2%20%D0%90%D0%9D%D0%9E%20%D0%A1%D0%9C%D0%93/788.%20%D1%83%D0%BB%20%D0%90%D0%B2%D0%B8%D0%B0%D0%BC%D0%BE%D1%82%D0%BE%D1%80%D0%BD%D0%B0%D1%8F%20%D0%B2%D0%BB%205%20</v>
      </c>
      <c r="J919" s="50">
        <f>IFERROR(__xludf.DUMMYFUNCTION("""COMPUTED_VALUE"""),0.0)</f>
        <v>0</v>
      </c>
      <c r="K919" s="58">
        <f>IFERROR(__xludf.DUMMYFUNCTION("""COMPUTED_VALUE"""),45961.0)</f>
        <v>45961</v>
      </c>
      <c r="L919" s="6">
        <v>30.0</v>
      </c>
      <c r="M919" s="52">
        <v>45991.0</v>
      </c>
      <c r="N919" s="53" t="s">
        <v>692</v>
      </c>
      <c r="O919" s="19" t="s">
        <v>1179</v>
      </c>
      <c r="P919" s="6"/>
      <c r="Q919" s="6"/>
      <c r="R919" s="6"/>
    </row>
    <row r="920">
      <c r="A920" s="31" t="str">
        <f>IFERROR(__xludf.DUMMYFUNCTION("""COMPUTED_VALUE"""),"789")</f>
        <v>789</v>
      </c>
      <c r="B920" s="14" t="str">
        <f>IFERROR(__xludf.DUMMYFUNCTION("""COMPUTED_VALUE"""),"РЕН-26")</f>
        <v>РЕН-26</v>
      </c>
      <c r="C920" s="14" t="str">
        <f>IFERROR(__xludf.DUMMYFUNCTION("""COMPUTED_VALUE"""),"ОКС")</f>
        <v>ОКС</v>
      </c>
      <c r="D920" s="6"/>
      <c r="E920" s="14" t="str">
        <f>IFERROR(__xludf.DUMMYFUNCTION("""COMPUTED_VALUE"""),"ул. Никитинская, вл. 15 (Приобретение объектов недвижимости) ВАО	ул. Никитинская, вл. 15 (Приобретение объектов недвижимости)")</f>
        <v>ул. Никитинская, вл. 15 (Приобретение объектов недвижимости) ВАО	ул. Никитинская, вл. 15 (Приобретение объектов недвижимости)</v>
      </c>
      <c r="F920" s="25" t="str">
        <f>IFERROR(__xludf.DUMMYFUNCTION("""COMPUTED_VALUE"""),"55.799413")</f>
        <v>55.799413</v>
      </c>
      <c r="G920" s="6" t="str">
        <f>IFERROR(__xludf.DUMMYFUNCTION("""COMPUTED_VALUE"""),"37.774249")</f>
        <v>37.774249</v>
      </c>
      <c r="H920" s="18" t="str">
        <f>IFERROR(__xludf.DUMMYFUNCTION("""COMPUTED_VALUE"""),"https://docs.google.com/spreadsheets/d/1rbCD10ySi4YZEkJW2_Slmn9z7AI1WEsGsZaIJmnnT18/edit?gid=1734112233#gid=1734112233")</f>
        <v>https://docs.google.com/spreadsheets/d/1rbCD10ySi4YZEkJW2_Slmn9z7AI1WEsGsZaIJmnnT18/edit?gid=1734112233#gid=1734112233</v>
      </c>
      <c r="I920" s="21" t="str">
        <f>IFERROR(__xludf.DUMMYFUNCTION("""COMPUTED_VALUE"""),"https://disk.yandex.ru/client/disk/%D0%9E%D1%81%D0%BC%D0%BE%D1%82%D1%80%D1%8B%20%D0%BE%D0%B1%D1%8A%D0%B5%D0%BA%D1%82%D0%BE%D0%B2%20%D0%90%D0%9D%D0%9E%20%D0%A1%D0%9C%D0%93/789.%20%D1%83%D0%BB%20%D0%9D%D0%B8%D0%BA%D0%B8%D1%82%D0%B8%D0%BD%D1%81%D0%BA%D0%B0%D"&amp;"1%8F%20%D0%B2%D0%BB%2015%20")</f>
        <v>https://disk.yandex.ru/client/disk/%D0%9E%D1%81%D0%BC%D0%BE%D1%82%D1%80%D1%8B%20%D0%BE%D0%B1%D1%8A%D0%B5%D0%BA%D1%82%D0%BE%D0%B2%20%D0%90%D0%9D%D0%9E%20%D0%A1%D0%9C%D0%93/789.%20%D1%83%D0%BB%20%D0%9D%D0%B8%D0%BA%D0%B8%D1%82%D0%B8%D0%BD%D1%81%D0%BA%D0%B0%D1%8F%20%D0%B2%D0%BB%2015%20</v>
      </c>
      <c r="J920" s="50">
        <f>IFERROR(__xludf.DUMMYFUNCTION("""COMPUTED_VALUE"""),0.0)</f>
        <v>0</v>
      </c>
      <c r="K920" s="58">
        <f>IFERROR(__xludf.DUMMYFUNCTION("""COMPUTED_VALUE"""),45968.0)</f>
        <v>45968</v>
      </c>
      <c r="L920" s="6">
        <v>30.0</v>
      </c>
      <c r="M920" s="52">
        <v>45998.0</v>
      </c>
      <c r="N920" s="53" t="s">
        <v>711</v>
      </c>
      <c r="O920" s="19" t="s">
        <v>893</v>
      </c>
      <c r="P920" s="6"/>
      <c r="Q920" s="6"/>
      <c r="R920" s="6"/>
    </row>
    <row r="921">
      <c r="A921" s="31" t="str">
        <f>IFERROR(__xludf.DUMMYFUNCTION("""COMPUTED_VALUE"""),"790")</f>
        <v>790</v>
      </c>
      <c r="B921" s="14" t="str">
        <f>IFERROR(__xludf.DUMMYFUNCTION("""COMPUTED_VALUE"""),"РЕН-26")</f>
        <v>РЕН-26</v>
      </c>
      <c r="C921" s="14" t="str">
        <f>IFERROR(__xludf.DUMMYFUNCTION("""COMPUTED_VALUE"""),"ОКС")</f>
        <v>ОКС</v>
      </c>
      <c r="D921" s="6"/>
      <c r="E921" s="14" t="str">
        <f>IFERROR(__xludf.DUMMYFUNCTION("""COMPUTED_VALUE"""),"Линейный проезд, земельный участок 1 внутригородское муниципальное образование Тимирязевское, Линейный проезд, земельный участок 1")</f>
        <v>Линейный проезд, земельный участок 1 внутригородское муниципальное образование Тимирязевское, Линейный проезд, земельный участок 1</v>
      </c>
      <c r="F921" s="25" t="str">
        <f>IFERROR(__xludf.DUMMYFUNCTION("""COMPUTED_VALUE"""),"55.841620")</f>
        <v>55.841620</v>
      </c>
      <c r="G921" s="6" t="str">
        <f>IFERROR(__xludf.DUMMYFUNCTION("""COMPUTED_VALUE"""),"37.567366")</f>
        <v>37.567366</v>
      </c>
      <c r="H921" s="18" t="str">
        <f>IFERROR(__xludf.DUMMYFUNCTION("""COMPUTED_VALUE"""),"https://docs.google.com/spreadsheets/d/1rbCD10ySi4YZEkJW2_Slmn9z7AI1WEsGsZaIJmnnT18/edit?gid=1949585083#gid=1949585083")</f>
        <v>https://docs.google.com/spreadsheets/d/1rbCD10ySi4YZEkJW2_Slmn9z7AI1WEsGsZaIJmnnT18/edit?gid=1949585083#gid=1949585083</v>
      </c>
      <c r="I921" s="19" t="str">
        <f>IFERROR(__xludf.DUMMYFUNCTION("""COMPUTED_VALUE"""),"https://disk.yandex.ru/client/disk/Осмотры%20объектов%20АНО%20СМГ/790.%20Линейный%20пооезд%20уч%201")</f>
        <v>https://disk.yandex.ru/client/disk/Осмотры%20объектов%20АНО%20СМГ/790.%20Линейный%20пооезд%20уч%201</v>
      </c>
      <c r="J921" s="50">
        <f>IFERROR(__xludf.DUMMYFUNCTION("""COMPUTED_VALUE"""),0.0)</f>
        <v>0</v>
      </c>
      <c r="K921" s="58">
        <f>IFERROR(__xludf.DUMMYFUNCTION("""COMPUTED_VALUE"""),45961.0)</f>
        <v>45961</v>
      </c>
      <c r="L921" s="6">
        <v>30.0</v>
      </c>
      <c r="M921" s="52">
        <v>45991.0</v>
      </c>
      <c r="N921" s="53" t="s">
        <v>692</v>
      </c>
      <c r="O921" s="19" t="s">
        <v>1180</v>
      </c>
      <c r="P921" s="6"/>
      <c r="Q921" s="6"/>
      <c r="R921" s="6"/>
    </row>
    <row r="922">
      <c r="A922" s="31" t="str">
        <f>IFERROR(__xludf.DUMMYFUNCTION("""COMPUTED_VALUE"""),"798")</f>
        <v>798</v>
      </c>
      <c r="B922" s="14" t="str">
        <f>IFERROR(__xludf.DUMMYFUNCTION("""COMPUTED_VALUE"""),"РЕН-26")</f>
        <v>РЕН-26</v>
      </c>
      <c r="C922" s="14" t="str">
        <f>IFERROR(__xludf.DUMMYFUNCTION("""COMPUTED_VALUE"""),"ОКС")</f>
        <v>ОКС</v>
      </c>
      <c r="D922" s="6"/>
      <c r="E922" s="14" t="str">
        <f>IFERROR(__xludf.DUMMYFUNCTION("""COMPUTED_VALUE"""),"улица Бронницкая, земельный участок 10 (Бронницкая ул., вл. 10) район Нижегородское, Бронницкая ул., вл. 10")</f>
        <v>улица Бронницкая, земельный участок 10 (Бронницкая ул., вл. 10) район Нижегородское, Бронницкая ул., вл. 10</v>
      </c>
      <c r="F922" s="25" t="str">
        <f>IFERROR(__xludf.DUMMYFUNCTION("""COMPUTED_VALUE"""),"55.731105")</f>
        <v>55.731105</v>
      </c>
      <c r="G922" s="6" t="str">
        <f>IFERROR(__xludf.DUMMYFUNCTION("""COMPUTED_VALUE"""),"37.758208")</f>
        <v>37.758208</v>
      </c>
      <c r="H922" s="18" t="str">
        <f>IFERROR(__xludf.DUMMYFUNCTION("""COMPUTED_VALUE"""),"https://docs.google.com/spreadsheets/d/1rbCD10ySi4YZEkJW2_Slmn9z7AI1WEsGsZaIJmnnT18/edit?gid=1530580258#gid=1530580258")</f>
        <v>https://docs.google.com/spreadsheets/d/1rbCD10ySi4YZEkJW2_Slmn9z7AI1WEsGsZaIJmnnT18/edit?gid=1530580258#gid=1530580258</v>
      </c>
      <c r="I922" s="19" t="str">
        <f>IFERROR(__xludf.DUMMYFUNCTION("""COMPUTED_VALUE"""),"https://disk.yandex.ru/client/disk/Осмотры%20объектов%20АНО%20СМГ/798.%20ул.%20Бронницкая%20зем.уч.%2010(гостиница)")</f>
        <v>https://disk.yandex.ru/client/disk/Осмотры%20объектов%20АНО%20СМГ/798.%20ул.%20Бронницкая%20зем.уч.%2010(гостиница)</v>
      </c>
      <c r="J922" s="50">
        <f>IFERROR(__xludf.DUMMYFUNCTION("""COMPUTED_VALUE"""),0.0)</f>
        <v>0</v>
      </c>
      <c r="K922" s="58">
        <f>IFERROR(__xludf.DUMMYFUNCTION("""COMPUTED_VALUE"""),45973.0)</f>
        <v>45973</v>
      </c>
      <c r="L922" s="6">
        <v>30.0</v>
      </c>
      <c r="M922" s="52">
        <v>46003.0</v>
      </c>
      <c r="N922" s="53" t="s">
        <v>711</v>
      </c>
      <c r="O922" s="19" t="s">
        <v>893</v>
      </c>
      <c r="P922" s="6"/>
      <c r="Q922" s="6"/>
      <c r="R922" s="6"/>
    </row>
    <row r="923">
      <c r="A923" s="31" t="str">
        <f>IFERROR(__xludf.DUMMYFUNCTION("""COMPUTED_VALUE"""),"799")</f>
        <v>799</v>
      </c>
      <c r="B923" s="14" t="str">
        <f>IFERROR(__xludf.DUMMYFUNCTION("""COMPUTED_VALUE"""),"РЕН-26")</f>
        <v>РЕН-26</v>
      </c>
      <c r="C923" s="14" t="str">
        <f>IFERROR(__xludf.DUMMYFUNCTION("""COMPUTED_VALUE"""),"ОКС")</f>
        <v>ОКС</v>
      </c>
      <c r="D923" s="6"/>
      <c r="E923" s="14" t="str">
        <f>IFERROR(__xludf.DUMMYFUNCTION("""COMPUTED_VALUE"""),"Бескудниковский бул-р з/у 46, зона 3.3 САО	Бескудниковский бул-р з/у 46, зона 3.3")</f>
        <v>Бескудниковский бул-р з/у 46, зона 3.3 САО	Бескудниковский бул-р з/у 46, зона 3.3</v>
      </c>
      <c r="F923" s="25" t="str">
        <f>IFERROR(__xludf.DUMMYFUNCTION("""COMPUTED_VALUE"""),"55.873819")</f>
        <v>55.873819</v>
      </c>
      <c r="G923" s="6" t="str">
        <f>IFERROR(__xludf.DUMMYFUNCTION("""COMPUTED_VALUE"""),"37.543839")</f>
        <v>37.543839</v>
      </c>
      <c r="H923" s="18" t="str">
        <f>IFERROR(__xludf.DUMMYFUNCTION("""COMPUTED_VALUE"""),"https://docs.google.com/spreadsheets/d/1rbCD10ySi4YZEkJW2_Slmn9z7AI1WEsGsZaIJmnnT18/edit?gid=2130356176#gid=2130356176")</f>
        <v>https://docs.google.com/spreadsheets/d/1rbCD10ySi4YZEkJW2_Slmn9z7AI1WEsGsZaIJmnnT18/edit?gid=2130356176#gid=2130356176</v>
      </c>
      <c r="I923" s="19" t="str">
        <f>IFERROR(__xludf.DUMMYFUNCTION("""COMPUTED_VALUE"""),"https://disk.yandex.ru/client/disk/Осмотры%20объектов%20АНО%20СМГ/799.%20Бескудниковский%20бульвар%2046")</f>
        <v>https://disk.yandex.ru/client/disk/Осмотры%20объектов%20АНО%20СМГ/799.%20Бескудниковский%20бульвар%2046</v>
      </c>
      <c r="J923" s="50">
        <f>IFERROR(__xludf.DUMMYFUNCTION("""COMPUTED_VALUE"""),0.21000000000000002)</f>
        <v>0.21</v>
      </c>
      <c r="K923" s="58">
        <f>IFERROR(__xludf.DUMMYFUNCTION("""COMPUTED_VALUE"""),45962.0)</f>
        <v>45962</v>
      </c>
      <c r="L923" s="6">
        <v>30.0</v>
      </c>
      <c r="M923" s="52">
        <v>45992.0</v>
      </c>
      <c r="N923" s="53" t="s">
        <v>692</v>
      </c>
      <c r="O923" s="19" t="s">
        <v>1181</v>
      </c>
      <c r="P923" s="6"/>
      <c r="Q923" s="6"/>
      <c r="R923" s="6"/>
    </row>
    <row r="924">
      <c r="A924" s="31" t="str">
        <f>IFERROR(__xludf.DUMMYFUNCTION("""COMPUTED_VALUE"""),"647")</f>
        <v>647</v>
      </c>
      <c r="B924" s="14" t="str">
        <f>IFERROR(__xludf.DUMMYFUNCTION("""COMPUTED_VALUE"""),"РЕН-26")</f>
        <v>РЕН-26</v>
      </c>
      <c r="C924" s="14" t="str">
        <f>IFERROR(__xludf.DUMMYFUNCTION("""COMPUTED_VALUE"""),"ОКС")</f>
        <v>ОКС</v>
      </c>
      <c r="D924" s="6"/>
      <c r="E924" s="14" t="str">
        <f>IFERROR(__xludf.DUMMYFUNCTION("""COMPUTED_VALUE"""),"ул. Давыдковская, вл.16 ЗАО, район Фили-Давыдково, Давыдковская ул., вл. 16 (рефинансирование)")</f>
        <v>ул. Давыдковская, вл.16 ЗАО, район Фили-Давыдково, Давыдковская ул., вл. 16 (рефинансирование)</v>
      </c>
      <c r="F924" s="25" t="str">
        <f>IFERROR(__xludf.DUMMYFUNCTION("""COMPUTED_VALUE"""),"55.719924")</f>
        <v>55.719924</v>
      </c>
      <c r="G924" s="6" t="str">
        <f>IFERROR(__xludf.DUMMYFUNCTION("""COMPUTED_VALUE"""),"37.466579")</f>
        <v>37.466579</v>
      </c>
      <c r="H924" s="18" t="str">
        <f>IFERROR(__xludf.DUMMYFUNCTION("""COMPUTED_VALUE"""),"https://docs.google.com/spreadsheets/d/1rbCD10ySi4YZEkJW2_Slmn9z7AI1WEsGsZaIJmnnT18/edit?gid=676192549#gid=676192549")</f>
        <v>https://docs.google.com/spreadsheets/d/1rbCD10ySi4YZEkJW2_Slmn9z7AI1WEsGsZaIJmnnT18/edit?gid=676192549#gid=676192549</v>
      </c>
      <c r="I924" s="19" t="str">
        <f>IFERROR(__xludf.DUMMYFUNCTION("""COMPUTED_VALUE"""),"https://disk.yandex.ru/client/disk/Осмотры%20объектов%20АНО%20СМГ/647.%20Жилой%20дом%20ул.%20Давыдковская%20вл16")</f>
        <v>https://disk.yandex.ru/client/disk/Осмотры%20объектов%20АНО%20СМГ/647.%20Жилой%20дом%20ул.%20Давыдковская%20вл16</v>
      </c>
      <c r="J924" s="50">
        <f>IFERROR(__xludf.DUMMYFUNCTION("""COMPUTED_VALUE"""),3.87)</f>
        <v>3.87</v>
      </c>
      <c r="K924" s="58">
        <f>IFERROR(__xludf.DUMMYFUNCTION("""COMPUTED_VALUE"""),45944.0)</f>
        <v>45944</v>
      </c>
      <c r="L924" s="6">
        <v>30.0</v>
      </c>
      <c r="M924" s="52">
        <v>45974.0</v>
      </c>
      <c r="N924" s="53" t="s">
        <v>668</v>
      </c>
      <c r="O924" s="19" t="s">
        <v>669</v>
      </c>
      <c r="P924" s="6"/>
      <c r="Q924" s="6"/>
      <c r="R924" s="6"/>
    </row>
    <row r="925">
      <c r="A925" s="31" t="str">
        <f>IFERROR(__xludf.DUMMYFUNCTION("""COMPUTED_VALUE"""),"630")</f>
        <v>630</v>
      </c>
      <c r="B925" s="14" t="str">
        <f>IFERROR(__xludf.DUMMYFUNCTION("""COMPUTED_VALUE"""),"РЕН-26")</f>
        <v>РЕН-26</v>
      </c>
      <c r="C925" s="14" t="str">
        <f>IFERROR(__xludf.DUMMYFUNCTION("""COMPUTED_VALUE"""),"ОКС")</f>
        <v>ОКС</v>
      </c>
      <c r="D925" s="6"/>
      <c r="E925" s="14" t="str">
        <f>IFERROR(__xludf.DUMMYFUNCTION("""COMPUTED_VALUE"""),"улица Новохохловская, земельный участок 5А (Зона 2.1, 2.5) ЮВАО , Нижегородский район кв. 78, 79, 80, Новохохловская ул., з.у. 5 А (зона 2.1, 2.5)
(рефинансирование)")</f>
        <v>улица Новохохловская, земельный участок 5А (Зона 2.1, 2.5) ЮВАО , Нижегородский район кв. 78, 79, 80, Новохохловская ул., з.у. 5 А (зона 2.1, 2.5)
(рефинансирование)</v>
      </c>
      <c r="F925" s="25" t="str">
        <f>IFERROR(__xludf.DUMMYFUNCTION("""COMPUTED_VALUE"""),"55.731038")</f>
        <v>55.731038</v>
      </c>
      <c r="G925" s="6" t="str">
        <f>IFERROR(__xludf.DUMMYFUNCTION("""COMPUTED_VALUE"""),"37.712932")</f>
        <v>37.712932</v>
      </c>
      <c r="H925" s="18" t="str">
        <f>IFERROR(__xludf.DUMMYFUNCTION("""COMPUTED_VALUE"""),"https://docs.google.com/spreadsheets/d/1rbCD10ySi4YZEkJW2_Slmn9z7AI1WEsGsZaIJmnnT18/edit?gid=1937947971#gid=1937947971")</f>
        <v>https://docs.google.com/spreadsheets/d/1rbCD10ySi4YZEkJW2_Slmn9z7AI1WEsGsZaIJmnnT18/edit?gid=1937947971#gid=1937947971</v>
      </c>
      <c r="I925" s="19" t="str">
        <f>IFERROR(__xludf.DUMMYFUNCTION("""COMPUTED_VALUE"""),"https://disk.yandex.ru/client/disk/Осмотры%20объектов%20АНО%20СМГ/630.%20ул.%20Новохохловская%20з.%20у.%205А%20(рефинансирование)")</f>
        <v>https://disk.yandex.ru/client/disk/Осмотры%20объектов%20АНО%20СМГ/630.%20ул.%20Новохохловская%20з.%20у.%205А%20(рефинансирование)</v>
      </c>
      <c r="J925" s="50">
        <f>IFERROR(__xludf.DUMMYFUNCTION("""COMPUTED_VALUE"""),0.0)</f>
        <v>0</v>
      </c>
      <c r="K925" s="58">
        <f>IFERROR(__xludf.DUMMYFUNCTION("""COMPUTED_VALUE"""),45952.0)</f>
        <v>45952</v>
      </c>
      <c r="L925" s="6">
        <v>30.0</v>
      </c>
      <c r="M925" s="52">
        <v>45982.0</v>
      </c>
      <c r="N925" s="53" t="s">
        <v>741</v>
      </c>
      <c r="O925" s="19" t="s">
        <v>669</v>
      </c>
      <c r="P925" s="6"/>
      <c r="Q925" s="6"/>
      <c r="R925" s="6"/>
    </row>
    <row r="926">
      <c r="A926" s="31" t="str">
        <f>IFERROR(__xludf.DUMMYFUNCTION("""COMPUTED_VALUE"""),"573")</f>
        <v>573</v>
      </c>
      <c r="B926" s="14" t="str">
        <f>IFERROR(__xludf.DUMMYFUNCTION("""COMPUTED_VALUE"""),"РЕН-26")</f>
        <v>РЕН-26</v>
      </c>
      <c r="C926" s="14" t="str">
        <f>IFERROR(__xludf.DUMMYFUNCTION("""COMPUTED_VALUE"""),"ОКС")</f>
        <v>ОКС</v>
      </c>
      <c r="D926" s="6"/>
      <c r="E926" s="14" t="str">
        <f>IFERROR(__xludf.DUMMYFUNCTION("""COMPUTED_VALUE"""),"Б.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f>
        <v>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v>
      </c>
      <c r="F926" s="25" t="str">
        <f>IFERROR(__xludf.DUMMYFUNCTION("""COMPUTED_VALUE"""),"55.677745")</f>
        <v>55.677745</v>
      </c>
      <c r="G926" s="6" t="str">
        <f>IFERROR(__xludf.DUMMYFUNCTION("""COMPUTED_VALUE"""),"37.592998")</f>
        <v>37.592998</v>
      </c>
      <c r="H926" s="18" t="str">
        <f>IFERROR(__xludf.DUMMYFUNCTION("""COMPUTED_VALUE"""),"https://docs.google.com/spreadsheets/d/1rbCD10ySi4YZEkJW2_Slmn9z7AI1WEsGsZaIJmnnT18/edit?gid=2138822298#gid=2138822298")</f>
        <v>https://docs.google.com/spreadsheets/d/1rbCD10ySi4YZEkJW2_Slmn9z7AI1WEsGsZaIJmnnT18/edit?gid=2138822298#gid=2138822298</v>
      </c>
      <c r="I926" s="19" t="str">
        <f>IFERROR(__xludf.DUMMYFUNCTION("""COMPUTED_VALUE"""),"https://disk.yandex.ru/client/disk/Осмотры%20объектов%20АНО%20СМГ/573.%20Б.Черемушкинская%2025Б%20Жилой%20дом")</f>
        <v>https://disk.yandex.ru/client/disk/Осмотры%20объектов%20АНО%20СМГ/573.%20Б.Черемушкинская%2025Б%20Жилой%20дом</v>
      </c>
      <c r="J926" s="50">
        <f>IFERROR(__xludf.DUMMYFUNCTION("""COMPUTED_VALUE"""),27.9)</f>
        <v>27.9</v>
      </c>
      <c r="K926" s="58">
        <f>IFERROR(__xludf.DUMMYFUNCTION("""COMPUTED_VALUE"""),45953.0)</f>
        <v>45953</v>
      </c>
      <c r="L926" s="6">
        <v>30.0</v>
      </c>
      <c r="M926" s="52">
        <v>45983.0</v>
      </c>
      <c r="N926" s="53" t="s">
        <v>741</v>
      </c>
      <c r="O926" s="19" t="s">
        <v>669</v>
      </c>
      <c r="P926" s="6"/>
      <c r="Q926" s="6"/>
      <c r="R926" s="6"/>
    </row>
    <row r="927">
      <c r="A927" s="31" t="str">
        <f>IFERROR(__xludf.DUMMYFUNCTION("""COMPUTED_VALUE"""),"618")</f>
        <v>618</v>
      </c>
      <c r="B927" s="14" t="str">
        <f>IFERROR(__xludf.DUMMYFUNCTION("""COMPUTED_VALUE"""),"РЕН-26")</f>
        <v>РЕН-26</v>
      </c>
      <c r="C927" s="14" t="str">
        <f>IFERROR(__xludf.DUMMYFUNCTION("""COMPUTED_VALUE"""),"ОКС")</f>
        <v>ОКС</v>
      </c>
      <c r="D927" s="6"/>
      <c r="E927" s="14" t="str">
        <f>IFERROR(__xludf.DUMMYFUNCTION("""COMPUTED_VALUE"""),"ул. Подвойского, з/у 12/15 (зона 1.1) ЦАО, район Пресненский,кв. 804, 798 зона 1.1 Подвойского ул., вл. 12/15")</f>
        <v>ул. Подвойского, з/у 12/15 (зона 1.1) ЦАО, район Пресненский,кв. 804, 798 зона 1.1 Подвойского ул., вл. 12/15</v>
      </c>
      <c r="F927" s="25" t="str">
        <f>IFERROR(__xludf.DUMMYFUNCTION("""COMPUTED_VALUE"""),"55.761833")</f>
        <v>55.761833</v>
      </c>
      <c r="G927" s="6" t="str">
        <f>IFERROR(__xludf.DUMMYFUNCTION("""COMPUTED_VALUE"""),"37.537364")</f>
        <v>37.537364</v>
      </c>
      <c r="H927" s="18" t="str">
        <f>IFERROR(__xludf.DUMMYFUNCTION("""COMPUTED_VALUE"""),"https://docs.google.com/spreadsheets/d/1rbCD10ySi4YZEkJW2_Slmn9z7AI1WEsGsZaIJmnnT18/edit?gid=188482008#gid=188482008")</f>
        <v>https://docs.google.com/spreadsheets/d/1rbCD10ySi4YZEkJW2_Slmn9z7AI1WEsGsZaIJmnnT18/edit?gid=188482008#gid=188482008</v>
      </c>
      <c r="I927" s="19" t="str">
        <f>IFERROR(__xludf.DUMMYFUNCTION("""COMPUTED_VALUE"""),"https://disk.yandex.ru/client/disk/Осмотры%20объектов%20АНО%20СМГ/618.%20Подвойского%20вл%2012%5C15")</f>
        <v>https://disk.yandex.ru/client/disk/Осмотры%20объектов%20АНО%20СМГ/618.%20Подвойского%20вл%2012%5C15</v>
      </c>
      <c r="J927" s="50">
        <f>IFERROR(__xludf.DUMMYFUNCTION("""COMPUTED_VALUE"""),31.75746)</f>
        <v>31.75746</v>
      </c>
      <c r="K927" s="58">
        <f>IFERROR(__xludf.DUMMYFUNCTION("""COMPUTED_VALUE"""),45962.0)</f>
        <v>45962</v>
      </c>
      <c r="L927" s="6">
        <v>30.0</v>
      </c>
      <c r="M927" s="52">
        <v>45992.0</v>
      </c>
      <c r="N927" s="53" t="s">
        <v>692</v>
      </c>
      <c r="O927" s="19" t="s">
        <v>669</v>
      </c>
      <c r="P927" s="6"/>
      <c r="Q927" s="6"/>
      <c r="R927" s="6"/>
    </row>
    <row r="928">
      <c r="A928" s="31" t="str">
        <f>IFERROR(__xludf.DUMMYFUNCTION("""COMPUTED_VALUE"""),"668")</f>
        <v>668</v>
      </c>
      <c r="B928" s="14" t="str">
        <f>IFERROR(__xludf.DUMMYFUNCTION("""COMPUTED_VALUE"""),"РЕН-26")</f>
        <v>РЕН-26</v>
      </c>
      <c r="C928" s="14" t="str">
        <f>IFERROR(__xludf.DUMMYFUNCTION("""COMPUTED_VALUE"""),"ОКС")</f>
        <v>ОКС</v>
      </c>
      <c r="D928" s="6"/>
      <c r="E928" s="14" t="str">
        <f>IFERROR(__xludf.DUMMYFUNCTION("""COMPUTED_VALUE"""),"2-я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f>
        <v>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v>
      </c>
      <c r="F928" s="25" t="str">
        <f>IFERROR(__xludf.DUMMYFUNCTION("""COMPUTED_VALUE"""),"55.752857")</f>
        <v>55.752857</v>
      </c>
      <c r="G928" s="6" t="str">
        <f>IFERROR(__xludf.DUMMYFUNCTION("""COMPUTED_VALUE"""),"37.782952")</f>
        <v>37.782952</v>
      </c>
      <c r="H928" s="18" t="str">
        <f>IFERROR(__xludf.DUMMYFUNCTION("""COMPUTED_VALUE"""),"https://docs.google.com/spreadsheets/d/1rbCD10ySi4YZEkJW2_Slmn9z7AI1WEsGsZaIJmnnT18/edit?gid=1984267459#gid=1984267459")</f>
        <v>https://docs.google.com/spreadsheets/d/1rbCD10ySi4YZEkJW2_Slmn9z7AI1WEsGsZaIJmnnT18/edit?gid=1984267459#gid=1984267459</v>
      </c>
      <c r="I928" s="19" t="str">
        <f>IFERROR(__xludf.DUMMYFUNCTION("""COMPUTED_VALUE"""),"https://disk.yandex.ru/client/disk/Осмотры%20объектов%20АНО%20СМГ/668%20ВАО%2C%20район%20Перово%2C%202-я%20Владимирская%20ул.%2C%20з.у%2028.30%20подзона%202%20мкр.%2011-12%2C%2021-22%2C%2023-24%2C%2029%2C%2068%2C%20зона%20№%203.2")</f>
        <v>https://disk.yandex.ru/client/disk/Осмотры%20объектов%20АНО%20СМГ/668%20ВАО%2C%20район%20Перово%2C%202-я%20Владимирская%20ул.%2C%20з.у%2028.30%20подзона%202%20мкр.%2011-12%2C%2021-22%2C%2023-24%2C%2029%2C%2068%2C%20зона%20№%203.2</v>
      </c>
      <c r="J928" s="50">
        <f>IFERROR(__xludf.DUMMYFUNCTION("""COMPUTED_VALUE"""),31.80465)</f>
        <v>31.80465</v>
      </c>
      <c r="K928" s="58">
        <f>IFERROR(__xludf.DUMMYFUNCTION("""COMPUTED_VALUE"""),45974.0)</f>
        <v>45974</v>
      </c>
      <c r="L928" s="6">
        <v>30.0</v>
      </c>
      <c r="M928" s="52">
        <v>46004.0</v>
      </c>
      <c r="N928" s="53" t="s">
        <v>711</v>
      </c>
      <c r="O928" s="19" t="s">
        <v>669</v>
      </c>
      <c r="P928" s="6"/>
      <c r="Q928" s="6"/>
      <c r="R928" s="6"/>
    </row>
    <row r="929">
      <c r="A929" s="31" t="str">
        <f>IFERROR(__xludf.DUMMYFUNCTION("""COMPUTED_VALUE"""),"674")</f>
        <v>674</v>
      </c>
      <c r="B929" s="14" t="str">
        <f>IFERROR(__xludf.DUMMYFUNCTION("""COMPUTED_VALUE"""),"РЕН-26")</f>
        <v>РЕН-26</v>
      </c>
      <c r="C929" s="14" t="str">
        <f>IFERROR(__xludf.DUMMYFUNCTION("""COMPUTED_VALUE"""),"ОКС")</f>
        <v>ОКС</v>
      </c>
      <c r="D929" s="6"/>
      <c r="E929" s="14" t="str">
        <f>IFERROR(__xludf.DUMMYFUNCTION("""COMPUTED_VALUE"""),"2-я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f>
        <v>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v>
      </c>
      <c r="F929" s="25" t="str">
        <f>IFERROR(__xludf.DUMMYFUNCTION("""COMPUTED_VALUE"""),"55.753812")</f>
        <v>55.753812</v>
      </c>
      <c r="G929" s="6" t="str">
        <f>IFERROR(__xludf.DUMMYFUNCTION("""COMPUTED_VALUE"""),"37.782387")</f>
        <v>37.782387</v>
      </c>
      <c r="H929" s="18" t="str">
        <f>IFERROR(__xludf.DUMMYFUNCTION("""COMPUTED_VALUE"""),"https://docs.google.com/spreadsheets/d/1rbCD10ySi4YZEkJW2_Slmn9z7AI1WEsGsZaIJmnnT18/edit?gid=1480745629#gid=1480745629")</f>
        <v>https://docs.google.com/spreadsheets/d/1rbCD10ySi4YZEkJW2_Slmn9z7AI1WEsGsZaIJmnnT18/edit?gid=1480745629#gid=1480745629</v>
      </c>
      <c r="I929" s="19" t="str">
        <f>IFERROR(__xludf.DUMMYFUNCTION("""COMPUTED_VALUE"""),"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amp;"0здания%20по%20адресу%3A%202-я%20Владимирская%20ул.%2C%20д.28%2C%20к.1)")</f>
        <v>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20здания%20по%20адресу%3A%202-я%20Владимирская%20ул.%2C%20д.28%2C%20к.1)</v>
      </c>
      <c r="J929" s="50">
        <f>IFERROR(__xludf.DUMMYFUNCTION("""COMPUTED_VALUE"""),3.63)</f>
        <v>3.63</v>
      </c>
      <c r="K929" s="58">
        <f>IFERROR(__xludf.DUMMYFUNCTION("""COMPUTED_VALUE"""),45974.0)</f>
        <v>45974</v>
      </c>
      <c r="L929" s="6">
        <v>30.0</v>
      </c>
      <c r="M929" s="52">
        <v>46004.0</v>
      </c>
      <c r="N929" s="53" t="s">
        <v>711</v>
      </c>
      <c r="O929" s="19" t="s">
        <v>1182</v>
      </c>
      <c r="P929" s="6"/>
      <c r="Q929" s="6"/>
      <c r="R929" s="6"/>
    </row>
    <row r="930">
      <c r="A930" s="31" t="str">
        <f>IFERROR(__xludf.DUMMYFUNCTION("""COMPUTED_VALUE"""),"637")</f>
        <v>637</v>
      </c>
      <c r="B930" s="14" t="str">
        <f>IFERROR(__xludf.DUMMYFUNCTION("""COMPUTED_VALUE"""),"РЕН-26")</f>
        <v>РЕН-26</v>
      </c>
      <c r="C930" s="14" t="str">
        <f>IFERROR(__xludf.DUMMYFUNCTION("""COMPUTED_VALUE"""),"ОКС")</f>
        <v>ОКС</v>
      </c>
      <c r="D930" s="6"/>
      <c r="E930" s="14" t="str">
        <f>IFERROR(__xludf.DUMMYFUNCTION("""COMPUTED_VALUE"""),"Хорошево-Мневники,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f>
        <v>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v>
      </c>
      <c r="F930" s="25" t="str">
        <f>IFERROR(__xludf.DUMMYFUNCTION("""COMPUTED_VALUE"""),"55.782351")</f>
        <v>55.782351</v>
      </c>
      <c r="G930" s="6" t="str">
        <f>IFERROR(__xludf.DUMMYFUNCTION("""COMPUTED_VALUE"""),"37.448956")</f>
        <v>37.448956</v>
      </c>
      <c r="H930" s="18" t="str">
        <f>IFERROR(__xludf.DUMMYFUNCTION("""COMPUTED_VALUE"""),"https://docs.google.com/spreadsheets/d/1rbCD10ySi4YZEkJW2_Slmn9z7AI1WEsGsZaIJmnnT18/edit?gid=370993780#gid=370993780")</f>
        <v>https://docs.google.com/spreadsheets/d/1rbCD10ySi4YZEkJW2_Slmn9z7AI1WEsGsZaIJmnnT18/edit?gid=370993780#gid=370993780</v>
      </c>
      <c r="I930" s="19" t="str">
        <f>IFERROR(__xludf.DUMMYFUNCTION("""COMPUTED_VALUE"""),"https://disk.yandex.ru/client/disk/Осмотры%20объектов%20АНО%20СМГ/637.%20Хорошево-Мневники%2CНовикова%20Прибоя%2C%20зу%206.2")</f>
        <v>https://disk.yandex.ru/client/disk/Осмотры%20объектов%20АНО%20СМГ/637.%20Хорошево-Мневники%2CНовикова%20Прибоя%2C%20зу%206.2</v>
      </c>
      <c r="J930" s="50">
        <f>IFERROR(__xludf.DUMMYFUNCTION("""COMPUTED_VALUE"""),5.894399999999999)</f>
        <v>5.8944</v>
      </c>
      <c r="K930" s="58">
        <f>IFERROR(__xludf.DUMMYFUNCTION("""COMPUTED_VALUE"""),45954.0)</f>
        <v>45954</v>
      </c>
      <c r="L930" s="6">
        <v>30.0</v>
      </c>
      <c r="M930" s="52">
        <v>45984.0</v>
      </c>
      <c r="N930" s="53" t="s">
        <v>741</v>
      </c>
      <c r="O930" s="19" t="s">
        <v>669</v>
      </c>
      <c r="P930" s="6"/>
      <c r="Q930" s="6"/>
      <c r="R930" s="6"/>
    </row>
    <row r="931">
      <c r="A931" s="31" t="str">
        <f>IFERROR(__xludf.DUMMYFUNCTION("""COMPUTED_VALUE"""),"940")</f>
        <v>940</v>
      </c>
      <c r="B931" s="14" t="str">
        <f>IFERROR(__xludf.DUMMYFUNCTION("""COMPUTED_VALUE"""),"РЕН-26")</f>
        <v>РЕН-26</v>
      </c>
      <c r="C931" s="14" t="str">
        <f>IFERROR(__xludf.DUMMYFUNCTION("""COMPUTED_VALUE"""),"ОКС")</f>
        <v>ОКС</v>
      </c>
      <c r="D931" s="6"/>
      <c r="E931" s="14" t="str">
        <f>IFERROR(__xludf.DUMMYFUNCTION("""COMPUTED_VALUE"""),"ул. Плющева, з/у 9А ул. Плющева, з/у 9А")</f>
        <v>ул. Плющева, з/у 9А ул. Плющева, з/у 9А</v>
      </c>
      <c r="F931" s="25" t="str">
        <f>IFERROR(__xludf.DUMMYFUNCTION("""COMPUTED_VALUE"""),"55.743878")</f>
        <v>55.743878</v>
      </c>
      <c r="G931" s="6" t="str">
        <f>IFERROR(__xludf.DUMMYFUNCTION("""COMPUTED_VALUE"""),"37.762332")</f>
        <v>37.762332</v>
      </c>
      <c r="H931" s="18" t="str">
        <f>IFERROR(__xludf.DUMMYFUNCTION("""COMPUTED_VALUE"""),"https://docs.google.com/spreadsheets/d/1rbCD10ySi4YZEkJW2_Slmn9z7AI1WEsGsZaIJmnnT18/edit?gid=1071202217#gid=1071202217")</f>
        <v>https://docs.google.com/spreadsheets/d/1rbCD10ySi4YZEkJW2_Slmn9z7AI1WEsGsZaIJmnnT18/edit?gid=1071202217#gid=1071202217</v>
      </c>
      <c r="I931" s="19" t="str">
        <f>IFERROR(__xludf.DUMMYFUNCTION("""COMPUTED_VALUE"""),"https://disk.yandex.ru/client/disk/Осмотры%20объектов%20АНО%20СМГ/940%20р-н%20Перово%2C%20ул.%20Плющева%2C%209%20А")</f>
        <v>https://disk.yandex.ru/client/disk/Осмотры%20объектов%20АНО%20СМГ/940%20р-н%20Перово%2C%20ул.%20Плющева%2C%209%20А</v>
      </c>
      <c r="J931" s="50">
        <f>IFERROR(__xludf.DUMMYFUNCTION("""COMPUTED_VALUE"""),0.27)</f>
        <v>0.27</v>
      </c>
      <c r="K931" s="58">
        <f>IFERROR(__xludf.DUMMYFUNCTION("""COMPUTED_VALUE"""),45968.0)</f>
        <v>45968</v>
      </c>
      <c r="L931" s="6">
        <v>30.0</v>
      </c>
      <c r="M931" s="52">
        <v>45998.0</v>
      </c>
      <c r="N931" s="53" t="s">
        <v>711</v>
      </c>
      <c r="O931" s="19" t="s">
        <v>1183</v>
      </c>
      <c r="P931" s="6"/>
      <c r="Q931" s="6"/>
      <c r="R931" s="6"/>
    </row>
    <row r="932">
      <c r="A932" s="31" t="str">
        <f>IFERROR(__xludf.DUMMYFUNCTION("""COMPUTED_VALUE"""),"620")</f>
        <v>620</v>
      </c>
      <c r="B932" s="14" t="str">
        <f>IFERROR(__xludf.DUMMYFUNCTION("""COMPUTED_VALUE"""),"РЕН-26")</f>
        <v>РЕН-26</v>
      </c>
      <c r="C932" s="14" t="str">
        <f>IFERROR(__xludf.DUMMYFUNCTION("""COMPUTED_VALUE"""),"ОКС")</f>
        <v>ОКС</v>
      </c>
      <c r="D932" s="6"/>
      <c r="E932" s="14" t="str">
        <f>IFERROR(__xludf.DUMMYFUNCTION("""COMPUTED_VALUE"""),"ул.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f>
        <v>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v>
      </c>
      <c r="F932" s="25" t="str">
        <f>IFERROR(__xludf.DUMMYFUNCTION("""COMPUTED_VALUE"""),"55.893782")</f>
        <v>55.893782</v>
      </c>
      <c r="G932" s="6" t="str">
        <f>IFERROR(__xludf.DUMMYFUNCTION("""COMPUTED_VALUE"""),"37.540875")</f>
        <v>37.540875</v>
      </c>
      <c r="H932" s="18" t="str">
        <f>IFERROR(__xludf.DUMMYFUNCTION("""COMPUTED_VALUE"""),"https://docs.google.com/spreadsheets/d/1rbCD10ySi4YZEkJW2_Slmn9z7AI1WEsGsZaIJmnnT18/edit?gid=953902791#gid=953902791")</f>
        <v>https://docs.google.com/spreadsheets/d/1rbCD10ySi4YZEkJW2_Slmn9z7AI1WEsGsZaIJmnnT18/edit?gid=953902791#gid=953902791</v>
      </c>
      <c r="I932" s="19" t="str">
        <f>IFERROR(__xludf.DUMMYFUNCTION("""COMPUTED_VALUE"""),"https://disk.yandex.ru/client/disk/Осмотры%20объектов%20АНО%20СМГ/620.%20%20ул.%20Долгопрудная%20з.у.%206")</f>
        <v>https://disk.yandex.ru/client/disk/Осмотры%20объектов%20АНО%20СМГ/620.%20%20ул.%20Долгопрудная%20з.у.%206</v>
      </c>
      <c r="J932" s="50">
        <f>IFERROR(__xludf.DUMMYFUNCTION("""COMPUTED_VALUE"""),28.71)</f>
        <v>28.71</v>
      </c>
      <c r="K932" s="58">
        <f>IFERROR(__xludf.DUMMYFUNCTION("""COMPUTED_VALUE"""),45968.0)</f>
        <v>45968</v>
      </c>
      <c r="L932" s="6">
        <v>30.0</v>
      </c>
      <c r="M932" s="52">
        <v>45998.0</v>
      </c>
      <c r="N932" s="53" t="s">
        <v>711</v>
      </c>
      <c r="O932" s="19" t="s">
        <v>669</v>
      </c>
      <c r="P932" s="6"/>
      <c r="Q932" s="6"/>
      <c r="R932" s="6"/>
    </row>
    <row r="933">
      <c r="A933" s="31" t="str">
        <f>IFERROR(__xludf.DUMMYFUNCTION("""COMPUTED_VALUE"""),"933")</f>
        <v>933</v>
      </c>
      <c r="B933" s="14" t="str">
        <f>IFERROR(__xludf.DUMMYFUNCTION("""COMPUTED_VALUE"""),"РЕН-26")</f>
        <v>РЕН-26</v>
      </c>
      <c r="C933" s="14" t="str">
        <f>IFERROR(__xludf.DUMMYFUNCTION("""COMPUTED_VALUE"""),"ОКС")</f>
        <v>ОКС</v>
      </c>
      <c r="D933" s="6"/>
      <c r="E933" s="14" t="str">
        <f>IFERROR(__xludf.DUMMYFUNCTION("""COMPUTED_VALUE"""),"Жилой дом с подземным гаражом, инженерными сетями и благоустройством территории (со сносом жилых зданий по адресу: Клязьминская ул., д.26; Карельский бульвар, д.3, к.3) по адресу: района Дмитровский Клязьминская ул., К.16 (зона 8.1) района Дмитровский Кля"&amp;"зьминская ул., К.16 (зона 8.1) ЗУ 26")</f>
        <v>Жилой дом с подземным гаражом, инженерными сетями и благоустройством территории (со сносом жилых зданий по адресу: Клязьминская ул., д.26; Карельский бульвар, д.3, к.3) по адресу: района Дмитровский Клязьминская ул., К.16 (зона 8.1) района Дмитровский Клязьминская ул., К.16 (зона 8.1) ЗУ 26</v>
      </c>
      <c r="F933" s="25" t="str">
        <f>IFERROR(__xludf.DUMMYFUNCTION("""COMPUTED_VALUE"""),"55.892945")</f>
        <v>55.892945</v>
      </c>
      <c r="G933" s="6" t="str">
        <f>IFERROR(__xludf.DUMMYFUNCTION("""COMPUTED_VALUE"""),"37.530867")</f>
        <v>37.530867</v>
      </c>
      <c r="H933" s="18" t="str">
        <f>IFERROR(__xludf.DUMMYFUNCTION("""COMPUTED_VALUE"""),"https://docs.google.com/spreadsheets/d/1rbCD10ySi4YZEkJW2_Slmn9z7AI1WEsGsZaIJmnnT18/edit?gid=263399188#gid=263399188")</f>
        <v>https://docs.google.com/spreadsheets/d/1rbCD10ySi4YZEkJW2_Slmn9z7AI1WEsGsZaIJmnnT18/edit?gid=263399188#gid=263399188</v>
      </c>
      <c r="I933" s="19" t="str">
        <f>IFERROR(__xludf.DUMMYFUNCTION("""COMPUTED_VALUE"""),"https://disk.yandex.ru/client/disk/Осмотры%20объектов%20АНО%20СМГ/933.%20Клязьминская%20ул.%2C%20К.16%20(зона%208.1)")</f>
        <v>https://disk.yandex.ru/client/disk/Осмотры%20объектов%20АНО%20СМГ/933.%20Клязьминская%20ул.%2C%20К.16%20(зона%208.1)</v>
      </c>
      <c r="J933" s="50">
        <f>IFERROR(__xludf.DUMMYFUNCTION("""COMPUTED_VALUE"""),0.0)</f>
        <v>0</v>
      </c>
      <c r="K933" s="58">
        <f>IFERROR(__xludf.DUMMYFUNCTION("""COMPUTED_VALUE"""),45961.0)</f>
        <v>45961</v>
      </c>
      <c r="L933" s="6">
        <v>30.0</v>
      </c>
      <c r="M933" s="52">
        <v>45991.0</v>
      </c>
      <c r="N933" s="53" t="s">
        <v>692</v>
      </c>
      <c r="O933" s="19" t="s">
        <v>669</v>
      </c>
      <c r="P933" s="6"/>
      <c r="Q933" s="6"/>
      <c r="R933" s="6"/>
    </row>
    <row r="934">
      <c r="A934" s="31" t="str">
        <f>IFERROR(__xludf.DUMMYFUNCTION("""COMPUTED_VALUE"""),"932")</f>
        <v>932</v>
      </c>
      <c r="B934" s="14" t="str">
        <f>IFERROR(__xludf.DUMMYFUNCTION("""COMPUTED_VALUE"""),"РЕН-26")</f>
        <v>РЕН-26</v>
      </c>
      <c r="C934" s="14" t="str">
        <f>IFERROR(__xludf.DUMMYFUNCTION("""COMPUTED_VALUE"""),"ОКС")</f>
        <v>ОКС</v>
      </c>
      <c r="D934" s="6"/>
      <c r="E934" s="14" t="str">
        <f>IFERROR(__xludf.DUMMYFUNCTION("""COMPUTED_VALUE"""),"Жилой дом с инженерными сетями и благоустройством территории (со сносом жилого здания, по адресу: пр. Буденного, д.49) по адресу: вн. тер. г. Соколиная гора, проспект Буденного, земельный участок 49 (зона №13.1) просп. Буденного, з/у 49")</f>
        <v>Жилой дом с инженерными сетями и благоустройством территории (со сносом жилого здания, по адресу: пр. Буденного, д.49) по адресу: вн. тер. г. Соколиная гора, проспект Буденного, земельный участок 49 (зона №13.1) просп. Буденного, з/у 49</v>
      </c>
      <c r="F934" s="25" t="str">
        <f>IFERROR(__xludf.DUMMYFUNCTION("""COMPUTED_VALUE"""),"55.761171")</f>
        <v>55.761171</v>
      </c>
      <c r="G934" s="6" t="str">
        <f>IFERROR(__xludf.DUMMYFUNCTION("""COMPUTED_VALUE"""),"37.736978")</f>
        <v>37.736978</v>
      </c>
      <c r="H934" s="18" t="str">
        <f>IFERROR(__xludf.DUMMYFUNCTION("""COMPUTED_VALUE"""),"https://docs.google.com/spreadsheets/d/1rbCD10ySi4YZEkJW2_Slmn9z7AI1WEsGsZaIJmnnT18/edit?gid=889119319#gid=889119319")</f>
        <v>https://docs.google.com/spreadsheets/d/1rbCD10ySi4YZEkJW2_Slmn9z7AI1WEsGsZaIJmnnT18/edit?gid=889119319#gid=889119319</v>
      </c>
      <c r="I934" s="19" t="str">
        <f>IFERROR(__xludf.DUMMYFUNCTION("""COMPUTED_VALUE"""),"https://disk.yandex.ru/client/disk/Осмотры%20объектов%20АНО%20СМГ/932.%20просп.%20Буденного%2C%20з.у%2049")</f>
        <v>https://disk.yandex.ru/client/disk/Осмотры%20объектов%20АНО%20СМГ/932.%20просп.%20Буденного%2C%20з.у%2049</v>
      </c>
      <c r="J934" s="50">
        <f>IFERROR(__xludf.DUMMYFUNCTION("""COMPUTED_VALUE"""),0.010639999999999998)</f>
        <v>0.01064</v>
      </c>
      <c r="K934" s="58">
        <f>IFERROR(__xludf.DUMMYFUNCTION("""COMPUTED_VALUE"""),45962.0)</f>
        <v>45962</v>
      </c>
      <c r="L934" s="6">
        <v>30.0</v>
      </c>
      <c r="M934" s="52">
        <v>45992.0</v>
      </c>
      <c r="N934" s="53" t="s">
        <v>692</v>
      </c>
      <c r="O934" s="19" t="s">
        <v>893</v>
      </c>
      <c r="P934" s="6"/>
      <c r="Q934" s="6"/>
      <c r="R934" s="6"/>
    </row>
    <row r="935">
      <c r="A935" s="31" t="str">
        <f>IFERROR(__xludf.DUMMYFUNCTION("""COMPUTED_VALUE"""),"930")</f>
        <v>930</v>
      </c>
      <c r="B935" s="14" t="str">
        <f>IFERROR(__xludf.DUMMYFUNCTION("""COMPUTED_VALUE"""),"РЕН-26")</f>
        <v>РЕН-26</v>
      </c>
      <c r="C935" s="14" t="str">
        <f>IFERROR(__xludf.DUMMYFUNCTION("""COMPUTED_VALUE"""),"ОКС")</f>
        <v>ОКС</v>
      </c>
      <c r="D935" s="6"/>
      <c r="E935"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внутригоро"&amp;"дское муниципальное образование Лосиноостровское, Изумрудная улица, земельный участок 12А Лосиноостровское, Изумрудная улица, земельный участок 12А")</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внутригородское муниципальное образование Лосиноостровское, Изумрудная улица, земельный участок 12А Лосиноостровское, Изумрудная улица, земельный участок 12А</v>
      </c>
      <c r="F935" s="25" t="str">
        <f>IFERROR(__xludf.DUMMYFUNCTION("""COMPUTED_VALUE"""),"55.869268")</f>
        <v>55.869268</v>
      </c>
      <c r="G935" s="6" t="str">
        <f>IFERROR(__xludf.DUMMYFUNCTION("""COMPUTED_VALUE"""),"37.680814")</f>
        <v>37.680814</v>
      </c>
      <c r="H935" s="18" t="str">
        <f>IFERROR(__xludf.DUMMYFUNCTION("""COMPUTED_VALUE"""),"https://docs.google.com/spreadsheets/d/1rbCD10ySi4YZEkJW2_Slmn9z7AI1WEsGsZaIJmnnT18/edit?gid=1131436691#gid=1131436691")</f>
        <v>https://docs.google.com/spreadsheets/d/1rbCD10ySi4YZEkJW2_Slmn9z7AI1WEsGsZaIJmnnT18/edit?gid=1131436691#gid=1131436691</v>
      </c>
      <c r="I935" s="19" t="str">
        <f>IFERROR(__xludf.DUMMYFUNCTION("""COMPUTED_VALUE"""),"https://disk.yandex.ru/client/disk/Осмотры%20объектов%20АНО%20СМГ/930%20Изумрудная%20ул.%2C%20зу%2012А")</f>
        <v>https://disk.yandex.ru/client/disk/Осмотры%20объектов%20АНО%20СМГ/930%20Изумрудная%20ул.%2C%20зу%2012А</v>
      </c>
      <c r="J935" s="50">
        <f>IFERROR(__xludf.DUMMYFUNCTION("""COMPUTED_VALUE"""),3.9)</f>
        <v>3.9</v>
      </c>
      <c r="K935" s="58">
        <f>IFERROR(__xludf.DUMMYFUNCTION("""COMPUTED_VALUE"""),45962.0)</f>
        <v>45962</v>
      </c>
      <c r="L935" s="6">
        <v>30.0</v>
      </c>
      <c r="M935" s="52">
        <v>45992.0</v>
      </c>
      <c r="N935" s="53" t="s">
        <v>692</v>
      </c>
      <c r="O935" s="19" t="s">
        <v>1184</v>
      </c>
      <c r="P935" s="6"/>
      <c r="Q935" s="6"/>
      <c r="R935" s="6"/>
    </row>
    <row r="936">
      <c r="A936" s="31" t="str">
        <f>IFERROR(__xludf.DUMMYFUNCTION("""COMPUTED_VALUE"""),"929")</f>
        <v>929</v>
      </c>
      <c r="B936" s="14" t="str">
        <f>IFERROR(__xludf.DUMMYFUNCTION("""COMPUTED_VALUE"""),"РЕН-26")</f>
        <v>РЕН-26</v>
      </c>
      <c r="C936" s="14" t="str">
        <f>IFERROR(__xludf.DUMMYFUNCTION("""COMPUTED_VALUE"""),"ОКС")</f>
        <v>ОКС</v>
      </c>
      <c r="D936" s="6"/>
      <c r="E936"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28, к.2) по адресу: район Лосиноостровс"&amp;"кий, Изумрудная ул., земельный участок 28А (Зона 3.3) Изумрудная ул., з/у 28А (Зона 3.3)")</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28, к.2) по адресу: район Лосиноостровский, Изумрудная ул., земельный участок 28А (Зона 3.3) Изумрудная ул., з/у 28А (Зона 3.3)</v>
      </c>
      <c r="F936" s="25" t="str">
        <f>IFERROR(__xludf.DUMMYFUNCTION("""COMPUTED_VALUE"""),"55.873298")</f>
        <v>55.873298</v>
      </c>
      <c r="G936" s="6" t="str">
        <f>IFERROR(__xludf.DUMMYFUNCTION("""COMPUTED_VALUE"""),"37.686594")</f>
        <v>37.686594</v>
      </c>
      <c r="H936" s="18" t="str">
        <f>IFERROR(__xludf.DUMMYFUNCTION("""COMPUTED_VALUE"""),"https://docs.google.com/spreadsheets/d/1rbCD10ySi4YZEkJW2_Slmn9z7AI1WEsGsZaIJmnnT18/edit?gid=581565940#gid=581565940")</f>
        <v>https://docs.google.com/spreadsheets/d/1rbCD10ySi4YZEkJW2_Slmn9z7AI1WEsGsZaIJmnnT18/edit?gid=581565940#gid=581565940</v>
      </c>
      <c r="I936" s="19" t="str">
        <f>IFERROR(__xludf.DUMMYFUNCTION("""COMPUTED_VALUE"""),"https://disk.yandex.ru/client/disk/Осмотры%20объектов%20АНО%20СМГ/929%20Изумрудная%2C%20зу%2028А")</f>
        <v>https://disk.yandex.ru/client/disk/Осмотры%20объектов%20АНО%20СМГ/929%20Изумрудная%2C%20зу%2028А</v>
      </c>
      <c r="J936" s="50">
        <f>IFERROR(__xludf.DUMMYFUNCTION("""COMPUTED_VALUE"""),0.66)</f>
        <v>0.66</v>
      </c>
      <c r="K936" s="58">
        <f>IFERROR(__xludf.DUMMYFUNCTION("""COMPUTED_VALUE"""),45962.0)</f>
        <v>45962</v>
      </c>
      <c r="L936" s="6">
        <v>30.0</v>
      </c>
      <c r="M936" s="52">
        <v>45992.0</v>
      </c>
      <c r="N936" s="53" t="s">
        <v>692</v>
      </c>
      <c r="O936" s="19" t="s">
        <v>1185</v>
      </c>
      <c r="P936" s="6"/>
      <c r="Q936" s="6"/>
      <c r="R936" s="6"/>
    </row>
    <row r="937">
      <c r="A937" s="31" t="str">
        <f>IFERROR(__xludf.DUMMYFUNCTION("""COMPUTED_VALUE"""),"923")</f>
        <v>923</v>
      </c>
      <c r="B937" s="14" t="str">
        <f>IFERROR(__xludf.DUMMYFUNCTION("""COMPUTED_VALUE"""),"РЕН-26")</f>
        <v>РЕН-26</v>
      </c>
      <c r="C937" s="14" t="str">
        <f>IFERROR(__xludf.DUMMYFUNCTION("""COMPUTED_VALUE"""),"ОКС")</f>
        <v>ОКС</v>
      </c>
      <c r="D937" s="6"/>
      <c r="E937" s="14" t="str">
        <f>IFERROR(__xludf.DUMMYFUNCTION("""COMPUTED_VALUE"""),"Жилой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f>
        <v>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v>
      </c>
      <c r="F937" s="25" t="str">
        <f>IFERROR(__xludf.DUMMYFUNCTION("""COMPUTED_VALUE"""),"55.635583")</f>
        <v>55.635583</v>
      </c>
      <c r="G937" s="6" t="str">
        <f>IFERROR(__xludf.DUMMYFUNCTION("""COMPUTED_VALUE"""),"37.649688")</f>
        <v>37.649688</v>
      </c>
      <c r="H937" s="18" t="str">
        <f>IFERROR(__xludf.DUMMYFUNCTION("""COMPUTED_VALUE"""),"https://docs.google.com/spreadsheets/d/1rbCD10ySi4YZEkJW2_Slmn9z7AI1WEsGsZaIJmnnT18/edit?gid=657849366#gid=657849366")</f>
        <v>https://docs.google.com/spreadsheets/d/1rbCD10ySi4YZEkJW2_Slmn9z7AI1WEsGsZaIJmnnT18/edit?gid=657849366#gid=657849366</v>
      </c>
      <c r="I937" s="19" t="str">
        <f>IFERROR(__xludf.DUMMYFUNCTION("""COMPUTED_VALUE"""),"https://disk.yandex.ru/client/disk/Осмотры%20объектов%20АНО%20СМГ/923.%20Бехтерева%20ул.%2C%20з-у%203-5.%20Жилой%20дом")</f>
        <v>https://disk.yandex.ru/client/disk/Осмотры%20объектов%20АНО%20СМГ/923.%20Бехтерева%20ул.%2C%20з-у%203-5.%20Жилой%20дом</v>
      </c>
      <c r="J937" s="50">
        <f>IFERROR(__xludf.DUMMYFUNCTION("""COMPUTED_VALUE"""),3.3)</f>
        <v>3.3</v>
      </c>
      <c r="K937" s="58">
        <f>IFERROR(__xludf.DUMMYFUNCTION("""COMPUTED_VALUE"""),45953.0)</f>
        <v>45953</v>
      </c>
      <c r="L937" s="6">
        <v>30.0</v>
      </c>
      <c r="M937" s="52">
        <v>45983.0</v>
      </c>
      <c r="N937" s="53" t="s">
        <v>741</v>
      </c>
      <c r="O937" s="19" t="s">
        <v>669</v>
      </c>
      <c r="P937" s="6"/>
      <c r="Q937" s="6"/>
      <c r="R937" s="6"/>
    </row>
    <row r="938">
      <c r="A938" s="31" t="str">
        <f>IFERROR(__xludf.DUMMYFUNCTION("""COMPUTED_VALUE"""),"919")</f>
        <v>919</v>
      </c>
      <c r="B938" s="14" t="str">
        <f>IFERROR(__xludf.DUMMYFUNCTION("""COMPUTED_VALUE"""),"РЕН-26")</f>
        <v>РЕН-26</v>
      </c>
      <c r="C938" s="14" t="str">
        <f>IFERROR(__xludf.DUMMYFUNCTION("""COMPUTED_VALUE"""),"ОКС")</f>
        <v>ОКС</v>
      </c>
      <c r="D938" s="6"/>
      <c r="E93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27"&amp;",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зем"&amp;"ельный участок 27 (участок 3.1)")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земельный участок 27 (участок 3.1)</v>
      </c>
      <c r="F938" s="25" t="str">
        <f>IFERROR(__xludf.DUMMYFUNCTION("""COMPUTED_VALUE"""),"55.660140")</f>
        <v>55.660140</v>
      </c>
      <c r="G938" s="6" t="str">
        <f>IFERROR(__xludf.DUMMYFUNCTION("""COMPUTED_VALUE"""),"37.564538")</f>
        <v>37.564538</v>
      </c>
      <c r="H938" s="18" t="str">
        <f>IFERROR(__xludf.DUMMYFUNCTION("""COMPUTED_VALUE"""),"https://docs.google.com/spreadsheets/d/1rbCD10ySi4YZEkJW2_Slmn9z7AI1WEsGsZaIJmnnT18/edit?gid=733134081#gid=733134081")</f>
        <v>https://docs.google.com/spreadsheets/d/1rbCD10ySi4YZEkJW2_Slmn9z7AI1WEsGsZaIJmnnT18/edit?gid=733134081#gid=733134081</v>
      </c>
      <c r="I938" s="19" t="str">
        <f>IFERROR(__xludf.DUMMYFUNCTION("""COMPUTED_VALUE"""),"https://disk.yandex.ru/client/disk/Осмотры%20объектов%20АНО%20СМГ/919.%20Перекопская%20зу%2027(участок%203.1)")</f>
        <v>https://disk.yandex.ru/client/disk/Осмотры%20объектов%20АНО%20СМГ/919.%20Перекопская%20зу%2027(участок%203.1)</v>
      </c>
      <c r="J938" s="50">
        <f>IFERROR(__xludf.DUMMYFUNCTION("""COMPUTED_VALUE"""),1.3800000000000001)</f>
        <v>1.38</v>
      </c>
      <c r="K938" s="58">
        <f>IFERROR(__xludf.DUMMYFUNCTION("""COMPUTED_VALUE"""),45974.0)</f>
        <v>45974</v>
      </c>
      <c r="L938" s="6">
        <v>30.0</v>
      </c>
      <c r="M938" s="52">
        <v>46004.0</v>
      </c>
      <c r="N938" s="53" t="s">
        <v>711</v>
      </c>
      <c r="O938" s="19" t="s">
        <v>1186</v>
      </c>
      <c r="P938" s="6"/>
      <c r="Q938" s="6"/>
      <c r="R938" s="6"/>
    </row>
    <row r="939">
      <c r="A939" s="31" t="str">
        <f>IFERROR(__xludf.DUMMYFUNCTION("""COMPUTED_VALUE"""),"699")</f>
        <v>699</v>
      </c>
      <c r="B939" s="14" t="str">
        <f>IFERROR(__xludf.DUMMYFUNCTION("""COMPUTED_VALUE"""),"РЕН-26")</f>
        <v>РЕН-26</v>
      </c>
      <c r="C939" s="14" t="str">
        <f>IFERROR(__xludf.DUMMYFUNCTION("""COMPUTED_VALUE"""),"ОКС")</f>
        <v>ОКС</v>
      </c>
      <c r="D939" s="6"/>
      <c r="E939" s="14" t="str">
        <f>IFERROR(__xludf.DUMMYFUNCTION("""COMPUTED_VALUE"""),"Жилой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Варшавское"&amp;" шоссе, земельный участок 90/1 (участок 5.1)")</f>
        <v>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 шоссе, земельный участок 90/1 (участок 5.1)</v>
      </c>
      <c r="F939" s="25" t="str">
        <f>IFERROR(__xludf.DUMMYFUNCTION("""COMPUTED_VALUE"""),"55.648059")</f>
        <v>55.648059</v>
      </c>
      <c r="G939" s="6" t="str">
        <f>IFERROR(__xludf.DUMMYFUNCTION("""COMPUTED_VALUE"""),"37.618870")</f>
        <v>37.618870</v>
      </c>
      <c r="H939" s="18" t="str">
        <f>IFERROR(__xludf.DUMMYFUNCTION("""COMPUTED_VALUE"""),"https://docs.google.com/spreadsheets/d/1rbCD10ySi4YZEkJW2_Slmn9z7AI1WEsGsZaIJmnnT18/edit?gid=1868311876#gid=1868311876")</f>
        <v>https://docs.google.com/spreadsheets/d/1rbCD10ySi4YZEkJW2_Slmn9z7AI1WEsGsZaIJmnnT18/edit?gid=1868311876#gid=1868311876</v>
      </c>
      <c r="I939" s="21" t="str">
        <f>IFERROR(__xludf.DUMMYFUNCTION("""COMPUTED_VALUE"""),"https://disk.yandex.ru/client/disk/%D0%9E%D1%81%D0%BC%D0%BE%D1%82%D1%80%D1%8B%20%D0%BE%D0%B1%D1%8A%D0%B5%D0%BA%D1%82%D0%BE%D0%B2%20%D0%90%D0%9D%D0%9E%20%D0%A1%D0%9C%D0%93/699.%20%D0%92%D0%B0%D1%80%D1%88%D0%B0%D0%B2%D1%81%D0%BA%D0%BE%D0%B5%20%D1%88.%20%D0%"&amp;"B7.%D1%83.%2090.1%20(%D1%83%D1%87%D0%B0%D1%81%D1%82%D0%BE%D0%BA%205.1)")</f>
        <v>https://disk.yandex.ru/client/disk/%D0%9E%D1%81%D0%BC%D0%BE%D1%82%D1%80%D1%8B%20%D0%BE%D0%B1%D1%8A%D0%B5%D0%BA%D1%82%D0%BE%D0%B2%20%D0%90%D0%9D%D0%9E%20%D0%A1%D0%9C%D0%93/699.%20%D0%92%D0%B0%D1%80%D1%88%D0%B0%D0%B2%D1%81%D0%BA%D0%BE%D0%B5%20%D1%88.%20%D0%B7.%D1%83.%2090.1%20(%D1%83%D1%87%D0%B0%D1%81%D1%82%D0%BE%D0%BA%205.1)</v>
      </c>
      <c r="J939" s="50">
        <f>IFERROR(__xludf.DUMMYFUNCTION("""COMPUTED_VALUE"""),4.591799999999999)</f>
        <v>4.5918</v>
      </c>
      <c r="K939" s="58">
        <f>IFERROR(__xludf.DUMMYFUNCTION("""COMPUTED_VALUE"""),45945.0)</f>
        <v>45945</v>
      </c>
      <c r="L939" s="6">
        <v>30.0</v>
      </c>
      <c r="M939" s="52">
        <v>45975.0</v>
      </c>
      <c r="N939" s="53" t="s">
        <v>701</v>
      </c>
      <c r="O939" s="19" t="s">
        <v>669</v>
      </c>
      <c r="P939" s="6"/>
      <c r="Q939" s="6"/>
      <c r="R939" s="6"/>
    </row>
    <row r="940">
      <c r="A940" s="31" t="str">
        <f>IFERROR(__xludf.DUMMYFUNCTION("""COMPUTED_VALUE"""),"906")</f>
        <v>906</v>
      </c>
      <c r="B940" s="14" t="str">
        <f>IFERROR(__xludf.DUMMYFUNCTION("""COMPUTED_VALUE"""),"РЕН-26")</f>
        <v>РЕН-26</v>
      </c>
      <c r="C940" s="14" t="str">
        <f>IFERROR(__xludf.DUMMYFUNCTION("""COMPUTED_VALUE"""),"ОКС")</f>
        <v>ОКС</v>
      </c>
      <c r="D940" s="6"/>
      <c r="E94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ул."&amp;", д.7 к.5; д.7 к.6) по адресу: Нагорный район, ул. Артековская, земельный участок 7/6 (зона 2.4) ул. Артековская, з/у 7/6 (зона 2.4)")</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 д.7 к.5; д.7 к.6) по адресу: Нагорный район, ул. Артековская, земельный участок 7/6 (зона 2.4) ул. Артековская, з/у 7/6 (зона 2.4)</v>
      </c>
      <c r="F940" s="25" t="str">
        <f>IFERROR(__xludf.DUMMYFUNCTION("""COMPUTED_VALUE"""),"55.649428")</f>
        <v>55.649428</v>
      </c>
      <c r="G940" s="6" t="str">
        <f>IFERROR(__xludf.DUMMYFUNCTION("""COMPUTED_VALUE"""),"37.618333")</f>
        <v>37.618333</v>
      </c>
      <c r="H940" s="18" t="str">
        <f>IFERROR(__xludf.DUMMYFUNCTION("""COMPUTED_VALUE"""),"https://docs.google.com/spreadsheets/d/1rbCD10ySi4YZEkJW2_Slmn9z7AI1WEsGsZaIJmnnT18/edit?gid=1509093390#gid=1509093390")</f>
        <v>https://docs.google.com/spreadsheets/d/1rbCD10ySi4YZEkJW2_Slmn9z7AI1WEsGsZaIJmnnT18/edit?gid=1509093390#gid=1509093390</v>
      </c>
      <c r="I940" s="19" t="str">
        <f>IFERROR(__xludf.DUMMYFUNCTION("""COMPUTED_VALUE"""),"https://disk.yandex.ru/client/disk/Осмотры%20объектов%20АНО%20СМГ/906.%20ул.%20Артековская%2C%20з.у.%2076%20(зона2.4)")</f>
        <v>https://disk.yandex.ru/client/disk/Осмотры%20объектов%20АНО%20СМГ/906.%20ул.%20Артековская%2C%20з.у.%2076%20(зона2.4)</v>
      </c>
      <c r="J940" s="50">
        <f>IFERROR(__xludf.DUMMYFUNCTION("""COMPUTED_VALUE"""),3.4499999999999997)</f>
        <v>3.45</v>
      </c>
      <c r="K940" s="58">
        <f>IFERROR(__xludf.DUMMYFUNCTION("""COMPUTED_VALUE"""),45968.0)</f>
        <v>45968</v>
      </c>
      <c r="L940" s="6">
        <v>30.0</v>
      </c>
      <c r="M940" s="52">
        <v>45998.0</v>
      </c>
      <c r="N940" s="53" t="s">
        <v>711</v>
      </c>
      <c r="O940" s="19" t="s">
        <v>669</v>
      </c>
      <c r="P940" s="6"/>
      <c r="Q940" s="6"/>
      <c r="R940" s="6"/>
    </row>
    <row r="941">
      <c r="A941" s="31" t="str">
        <f>IFERROR(__xludf.DUMMYFUNCTION("""COMPUTED_VALUE"""),"903")</f>
        <v>903</v>
      </c>
      <c r="B941" s="14" t="str">
        <f>IFERROR(__xludf.DUMMYFUNCTION("""COMPUTED_VALUE"""),"РЕН-26")</f>
        <v>РЕН-26</v>
      </c>
      <c r="C941" s="14" t="str">
        <f>IFERROR(__xludf.DUMMYFUNCTION("""COMPUTED_VALUE"""),"ОКС")</f>
        <v>ОКС</v>
      </c>
      <c r="D941" s="6"/>
      <c r="E941" s="14" t="str">
        <f>IFERROR(__xludf.DUMMYFUNCTION("""COMPUTED_VALUE"""),"Жилой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Краснодарс"&amp;"кая,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Краснодарск"&amp;"ая ул., з/у 18 (Краснодарская ул., вл. 18)")</f>
        <v>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Краснодарская ул., з/у 18 (Краснодарская ул., вл. 18)</v>
      </c>
      <c r="F941" s="25" t="str">
        <f>IFERROR(__xludf.DUMMYFUNCTION("""COMPUTED_VALUE"""),"55.676382")</f>
        <v>55.676382</v>
      </c>
      <c r="G941" s="6" t="str">
        <f>IFERROR(__xludf.DUMMYFUNCTION("""COMPUTED_VALUE"""),"37.748418")</f>
        <v>37.748418</v>
      </c>
      <c r="H941" s="18" t="str">
        <f>IFERROR(__xludf.DUMMYFUNCTION("""COMPUTED_VALUE"""),"https://docs.google.com/spreadsheets/d/1rbCD10ySi4YZEkJW2_Slmn9z7AI1WEsGsZaIJmnnT18/edit?gid=2115012790#gid=2115012790")</f>
        <v>https://docs.google.com/spreadsheets/d/1rbCD10ySi4YZEkJW2_Slmn9z7AI1WEsGsZaIJmnnT18/edit?gid=2115012790#gid=2115012790</v>
      </c>
      <c r="I941" s="19" t="str">
        <f>IFERROR(__xludf.DUMMYFUNCTION("""COMPUTED_VALUE"""),"https://disk.yandex.ru/client/disk/Осмотры%20объектов%20АНО%20СМГ/903%20ул.%20Краснодарская%20ул.%2C%20зу%2018%20(Краснодарская%20ул.%2C%20вл.%2018)")</f>
        <v>https://disk.yandex.ru/client/disk/Осмотры%20объектов%20АНО%20СМГ/903%20ул.%20Краснодарская%20ул.%2C%20зу%2018%20(Краснодарская%20ул.%2C%20вл.%2018)</v>
      </c>
      <c r="J941" s="50">
        <f>IFERROR(__xludf.DUMMYFUNCTION("""COMPUTED_VALUE"""),62.477549999999994)</f>
        <v>62.47755</v>
      </c>
      <c r="K941" s="58">
        <f>IFERROR(__xludf.DUMMYFUNCTION("""COMPUTED_VALUE"""),45974.0)</f>
        <v>45974</v>
      </c>
      <c r="L941" s="6">
        <v>14.0</v>
      </c>
      <c r="M941" s="52">
        <v>45988.0</v>
      </c>
      <c r="N941" s="53" t="s">
        <v>711</v>
      </c>
      <c r="O941" s="19" t="s">
        <v>669</v>
      </c>
      <c r="P941" s="6"/>
      <c r="Q941" s="6"/>
      <c r="R941" s="6"/>
    </row>
    <row r="942">
      <c r="A942" s="31" t="str">
        <f>IFERROR(__xludf.DUMMYFUNCTION("""COMPUTED_VALUE"""),"611")</f>
        <v>611</v>
      </c>
      <c r="B942" s="14" t="str">
        <f>IFERROR(__xludf.DUMMYFUNCTION("""COMPUTED_VALUE"""),"РЕН-26")</f>
        <v>РЕН-26</v>
      </c>
      <c r="C942" s="14" t="str">
        <f>IFERROR(__xludf.DUMMYFUNCTION("""COMPUTED_VALUE"""),"ОКС")</f>
        <v>ОКС</v>
      </c>
      <c r="D942" s="6"/>
      <c r="E942" s="14" t="str">
        <f>IFERROR(__xludf.DUMMYFUNCTION("""COMPUTED_VALUE"""),"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f>
        <v>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v>
      </c>
      <c r="F942" s="25" t="str">
        <f>IFERROR(__xludf.DUMMYFUNCTION("""COMPUTED_VALUE"""),"55.892306")</f>
        <v>55.892306</v>
      </c>
      <c r="G942" s="6" t="str">
        <f>IFERROR(__xludf.DUMMYFUNCTION("""COMPUTED_VALUE"""),"37.530438")</f>
        <v>37.530438</v>
      </c>
      <c r="H942" s="18" t="str">
        <f>IFERROR(__xludf.DUMMYFUNCTION("""COMPUTED_VALUE"""),"https://docs.google.com/spreadsheets/d/1rbCD10ySi4YZEkJW2_Slmn9z7AI1WEsGsZaIJmnnT18/edit?gid=44169429#gid=44169429")</f>
        <v>https://docs.google.com/spreadsheets/d/1rbCD10ySi4YZEkJW2_Slmn9z7AI1WEsGsZaIJmnnT18/edit?gid=44169429#gid=44169429</v>
      </c>
      <c r="I942" s="19" t="str">
        <f>IFERROR(__xludf.DUMMYFUNCTION("""COMPUTED_VALUE"""),"https://disk.yandex.ru/client/disk/Осмотры%20объектов%20АНО%20СМГ/611.%20Карельский%20бульвар%2C%20вл.%201.24")</f>
        <v>https://disk.yandex.ru/client/disk/Осмотры%20объектов%20АНО%20СМГ/611.%20Карельский%20бульвар%2C%20вл.%201.24</v>
      </c>
      <c r="J942" s="50">
        <f>IFERROR(__xludf.DUMMYFUNCTION("""COMPUTED_VALUE"""),5.55)</f>
        <v>5.55</v>
      </c>
      <c r="K942" s="58">
        <f>IFERROR(__xludf.DUMMYFUNCTION("""COMPUTED_VALUE"""),45961.0)</f>
        <v>45961</v>
      </c>
      <c r="L942" s="6">
        <v>30.0</v>
      </c>
      <c r="M942" s="52">
        <v>45991.0</v>
      </c>
      <c r="N942" s="53" t="s">
        <v>692</v>
      </c>
      <c r="O942" s="19" t="s">
        <v>1187</v>
      </c>
      <c r="P942" s="6"/>
      <c r="Q942" s="6"/>
      <c r="R942" s="6"/>
    </row>
    <row r="943">
      <c r="A943" s="31" t="str">
        <f>IFERROR(__xludf.DUMMYFUNCTION("""COMPUTED_VALUE"""),"899")</f>
        <v>899</v>
      </c>
      <c r="B943" s="14" t="str">
        <f>IFERROR(__xludf.DUMMYFUNCTION("""COMPUTED_VALUE"""),"РЕН-26")</f>
        <v>РЕН-26</v>
      </c>
      <c r="C943" s="14" t="str">
        <f>IFERROR(__xludf.DUMMYFUNCTION("""COMPUTED_VALUE"""),"ОКС")</f>
        <v>ОКС</v>
      </c>
      <c r="D943" s="6"/>
      <c r="E943" s="14" t="str">
        <f>IFERROR(__xludf.DUMMYFUNCTION("""COMPUTED_VALUE"""),"Жилой дом с подземной автостоянкой, с инженерными сетями и благоустройством территории (со сносом жилых домов по адресам: ул. Нижегородская, д.18, д.20, д.24, д.26) по адресу: г. Москва, внутригородское муниципальное образование Таганское, улица Нижегород"&amp;"ская, земельный участок 18 вн. мун. обр. Таганское, улица Нижегородская, земельный участок 18")</f>
        <v>Жилой дом с подземной автостоянкой, с инженерными сетями и благоустройством территории (со сносом жилых домов по адресам: ул. Нижегородская, д.18, д.20, д.24, д.26) по адресу: г. Москва, внутригородское муниципальное образование Таганское, улица Нижегородская, земельный участок 18 вн. мун. обр. Таганское, улица Нижегородская, земельный участок 18</v>
      </c>
      <c r="F943" s="25" t="str">
        <f>IFERROR(__xludf.DUMMYFUNCTION("""COMPUTED_VALUE"""),"55.737291")</f>
        <v>55.737291</v>
      </c>
      <c r="G943" s="6" t="str">
        <f>IFERROR(__xludf.DUMMYFUNCTION("""COMPUTED_VALUE"""),"37.684320")</f>
        <v>37.684320</v>
      </c>
      <c r="H943" s="18" t="str">
        <f>IFERROR(__xludf.DUMMYFUNCTION("""COMPUTED_VALUE"""),"https://docs.google.com/spreadsheets/d/1rbCD10ySi4YZEkJW2_Slmn9z7AI1WEsGsZaIJmnnT18/edit?gid=303416269#gid=303416269")</f>
        <v>https://docs.google.com/spreadsheets/d/1rbCD10ySi4YZEkJW2_Slmn9z7AI1WEsGsZaIJmnnT18/edit?gid=303416269#gid=303416269</v>
      </c>
      <c r="I943" s="19" t="str">
        <f>IFERROR(__xludf.DUMMYFUNCTION("""COMPUTED_VALUE"""),"https://disk.yandex.ru/client/disk/Осмотры%20объектов%20АНО%20СМГ/899.%20Нижегородская%20д.18")</f>
        <v>https://disk.yandex.ru/client/disk/Осмотры%20объектов%20АНО%20СМГ/899.%20Нижегородская%20д.18</v>
      </c>
      <c r="J943" s="50">
        <f>IFERROR(__xludf.DUMMYFUNCTION("""COMPUTED_VALUE"""),0.0)</f>
        <v>0</v>
      </c>
      <c r="K943" s="58">
        <f>IFERROR(__xludf.DUMMYFUNCTION("""COMPUTED_VALUE"""),45952.0)</f>
        <v>45952</v>
      </c>
      <c r="L943" s="6">
        <v>30.0</v>
      </c>
      <c r="M943" s="52">
        <v>45982.0</v>
      </c>
      <c r="N943" s="53" t="s">
        <v>741</v>
      </c>
      <c r="O943" s="19" t="s">
        <v>1188</v>
      </c>
      <c r="P943" s="6"/>
      <c r="Q943" s="6"/>
      <c r="R943" s="6"/>
    </row>
    <row r="944">
      <c r="A944" s="31" t="str">
        <f>IFERROR(__xludf.DUMMYFUNCTION("""COMPUTED_VALUE"""),"719")</f>
        <v>719</v>
      </c>
      <c r="B944" s="14" t="str">
        <f>IFERROR(__xludf.DUMMYFUNCTION("""COMPUTED_VALUE"""),"РЕН-26")</f>
        <v>РЕН-26</v>
      </c>
      <c r="C944" s="14" t="str">
        <f>IFERROR(__xludf.DUMMYFUNCTION("""COMPUTED_VALUE"""),"ОКС")</f>
        <v>ОКС</v>
      </c>
      <c r="D944" s="6"/>
      <c r="E944" s="14" t="str">
        <f>IFERROR(__xludf.DUMMYFUNCTION("""COMPUTED_VALUE"""),"ул.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f>
        <v>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v>
      </c>
      <c r="F944" s="25" t="str">
        <f>IFERROR(__xludf.DUMMYFUNCTION("""COMPUTED_VALUE"""),"55.670546")</f>
        <v>55.670546</v>
      </c>
      <c r="G944" s="6" t="str">
        <f>IFERROR(__xludf.DUMMYFUNCTION("""COMPUTED_VALUE"""),"37.556150")</f>
        <v>37.556150</v>
      </c>
      <c r="H944" s="18" t="str">
        <f>IFERROR(__xludf.DUMMYFUNCTION("""COMPUTED_VALUE"""),"https://docs.google.com/spreadsheets/d/1rbCD10ySi4YZEkJW2_Slmn9z7AI1WEsGsZaIJmnnT18/edit?gid=1797830857#gid=1797830857")</f>
        <v>https://docs.google.com/spreadsheets/d/1rbCD10ySi4YZEkJW2_Slmn9z7AI1WEsGsZaIJmnnT18/edit?gid=1797830857#gid=1797830857</v>
      </c>
      <c r="I944" s="19" t="str">
        <f>IFERROR(__xludf.DUMMYFUNCTION("""COMPUTED_VALUE"""),"https://disk.yandex.ru/client/disk/Осмотры%20объектов%20АНО%20СМГ/719.%20ул.%20Грибальди%20вл25%2C%20Профсоюзная%20д39%20(Гарибальди%20д25%20к1%2C%20д25%20стр2)")</f>
        <v>https://disk.yandex.ru/client/disk/Осмотры%20объектов%20АНО%20СМГ/719.%20ул.%20Грибальди%20вл25%2C%20Профсоюзная%20д39%20(Гарибальди%20д25%20к1%2C%20д25%20стр2)</v>
      </c>
      <c r="J944" s="50">
        <f>IFERROR(__xludf.DUMMYFUNCTION("""COMPUTED_VALUE"""),6.72)</f>
        <v>6.72</v>
      </c>
      <c r="K944" s="58">
        <f>IFERROR(__xludf.DUMMYFUNCTION("""COMPUTED_VALUE"""),45960.0)</f>
        <v>45960</v>
      </c>
      <c r="L944" s="6">
        <v>30.0</v>
      </c>
      <c r="M944" s="52">
        <v>45990.0</v>
      </c>
      <c r="N944" s="53" t="s">
        <v>692</v>
      </c>
      <c r="O944" s="19" t="s">
        <v>1189</v>
      </c>
      <c r="P944" s="6"/>
      <c r="Q944" s="6"/>
      <c r="R944" s="6"/>
    </row>
    <row r="945">
      <c r="A945" s="31" t="str">
        <f>IFERROR(__xludf.DUMMYFUNCTION("""COMPUTED_VALUE"""),"680")</f>
        <v>680</v>
      </c>
      <c r="B945" s="14" t="str">
        <f>IFERROR(__xludf.DUMMYFUNCTION("""COMPUTED_VALUE"""),"РЕН-26")</f>
        <v>РЕН-26</v>
      </c>
      <c r="C945" s="14" t="str">
        <f>IFERROR(__xludf.DUMMYFUNCTION("""COMPUTED_VALUE"""),"ОКС")</f>
        <v>ОКС</v>
      </c>
      <c r="D945" s="6"/>
      <c r="E945" s="14" t="str">
        <f>IFERROR(__xludf.DUMMYFUNCTION("""COMPUTED_VALUE"""),"ул. Гарибальди, з/у 31/1/1 ЮЗАО, Черемушки,  ул. Гарибальди, зу 31/1/1, кв. 20-21, 22-23, зона № 6.8 (со сносом жилых и нежилых зданий по адресам: ул. Гарибальди д.31 стр.1; Гарибальди ул., д.31 к.2)")</f>
        <v>ул. Гарибальди, з/у 31/1/1 ЮЗАО, Черемушки,  ул. Гарибальди, зу 31/1/1, кв. 20-21, 22-23, зона № 6.8 (со сносом жилых и нежилых зданий по адресам: ул. Гарибальди д.31 стр.1; Гарибальди ул., д.31 к.2)</v>
      </c>
      <c r="F945" s="25" t="str">
        <f>IFERROR(__xludf.DUMMYFUNCTION("""COMPUTED_VALUE"""),"55.668855")</f>
        <v>55.668855</v>
      </c>
      <c r="G945" s="6" t="str">
        <f>IFERROR(__xludf.DUMMYFUNCTION("""COMPUTED_VALUE"""),"37.562356")</f>
        <v>37.562356</v>
      </c>
      <c r="H945" s="18" t="str">
        <f>IFERROR(__xludf.DUMMYFUNCTION("""COMPUTED_VALUE"""),"https://docs.google.com/spreadsheets/d/1rbCD10ySi4YZEkJW2_Slmn9z7AI1WEsGsZaIJmnnT18/edit?gid=989193180#gid=989193180")</f>
        <v>https://docs.google.com/spreadsheets/d/1rbCD10ySi4YZEkJW2_Slmn9z7AI1WEsGsZaIJmnnT18/edit?gid=989193180#gid=989193180</v>
      </c>
      <c r="I945" s="19" t="str">
        <f>IFERROR(__xludf.DUMMYFUNCTION("""COMPUTED_VALUE"""),"https://disk.yandex.ru/client/disk/Осмотры%20объектов%20АНО%20СМГ/680.%20Гарибальди%20зу%2031%2C1%2C1%20кв%2020-21%2C%2022-23%20зона%20N6.8%20Гарибальди%2031%20с1%2C%20д31%20к2")</f>
        <v>https://disk.yandex.ru/client/disk/Осмотры%20объектов%20АНО%20СМГ/680.%20Гарибальди%20зу%2031%2C1%2C1%20кв%2020-21%2C%2022-23%20зона%20N6.8%20Гарибальди%2031%20с1%2C%20д31%20к2</v>
      </c>
      <c r="J945" s="50">
        <f>IFERROR(__xludf.DUMMYFUNCTION("""COMPUTED_VALUE"""),58.197894999999995)</f>
        <v>58.197895</v>
      </c>
      <c r="K945" s="58">
        <f>IFERROR(__xludf.DUMMYFUNCTION("""COMPUTED_VALUE"""),45971.0)</f>
        <v>45971</v>
      </c>
      <c r="L945" s="6">
        <v>14.0</v>
      </c>
      <c r="M945" s="52">
        <v>45985.0</v>
      </c>
      <c r="N945" s="53" t="s">
        <v>711</v>
      </c>
      <c r="O945" s="19" t="s">
        <v>1190</v>
      </c>
      <c r="P945" s="6"/>
      <c r="Q945" s="6"/>
      <c r="R945" s="6"/>
    </row>
    <row r="946">
      <c r="A946" s="31" t="str">
        <f>IFERROR(__xludf.DUMMYFUNCTION("""COMPUTED_VALUE"""),"687")</f>
        <v>687</v>
      </c>
      <c r="B946" s="14" t="str">
        <f>IFERROR(__xludf.DUMMYFUNCTION("""COMPUTED_VALUE"""),"РЕН-26")</f>
        <v>РЕН-26</v>
      </c>
      <c r="C946" s="14" t="str">
        <f>IFERROR(__xludf.DUMMYFUNCTION("""COMPUTED_VALUE"""),"ОКС")</f>
        <v>ОКС</v>
      </c>
      <c r="D946" s="6"/>
      <c r="E946" s="14" t="str">
        <f>IFERROR(__xludf.DUMMYFUNCTION("""COMPUTED_VALUE"""),"Жилой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f>
        <v>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v>
      </c>
      <c r="F946" s="25" t="str">
        <f>IFERROR(__xludf.DUMMYFUNCTION("""COMPUTED_VALUE"""),"55.716559")</f>
        <v>55.716559</v>
      </c>
      <c r="G946" s="6" t="str">
        <f>IFERROR(__xludf.DUMMYFUNCTION("""COMPUTED_VALUE"""),"37.662180")</f>
        <v>37.662180</v>
      </c>
      <c r="H946" s="18" t="str">
        <f>IFERROR(__xludf.DUMMYFUNCTION("""COMPUTED_VALUE"""),"https://docs.google.com/spreadsheets/d/1rbCD10ySi4YZEkJW2_Slmn9z7AI1WEsGsZaIJmnnT18/edit?gid=1343620006#gid=1343620006")</f>
        <v>https://docs.google.com/spreadsheets/d/1rbCD10ySi4YZEkJW2_Slmn9z7AI1WEsGsZaIJmnnT18/edit?gid=1343620006#gid=1343620006</v>
      </c>
      <c r="I946" s="19" t="str">
        <f>IFERROR(__xludf.DUMMYFUNCTION("""COMPUTED_VALUE"""),"https://disk.yandex.ru/client/disk/Осмотры%20объектов%20АНО%20СМГ/687.%20Даниловский%2C%20Восточная%20ул%201")</f>
        <v>https://disk.yandex.ru/client/disk/Осмотры%20объектов%20АНО%20СМГ/687.%20Даниловский%2C%20Восточная%20ул%201</v>
      </c>
      <c r="J946" s="50">
        <f>IFERROR(__xludf.DUMMYFUNCTION("""COMPUTED_VALUE"""),10.62)</f>
        <v>10.62</v>
      </c>
      <c r="K946" s="58">
        <f>IFERROR(__xludf.DUMMYFUNCTION("""COMPUTED_VALUE"""),45954.0)</f>
        <v>45954</v>
      </c>
      <c r="L946" s="6">
        <v>30.0</v>
      </c>
      <c r="M946" s="52">
        <v>45984.0</v>
      </c>
      <c r="N946" s="53" t="s">
        <v>741</v>
      </c>
      <c r="O946" s="19" t="s">
        <v>669</v>
      </c>
      <c r="P946" s="6"/>
      <c r="Q946" s="6"/>
      <c r="R946" s="6"/>
    </row>
    <row r="947">
      <c r="A947" s="31" t="str">
        <f>IFERROR(__xludf.DUMMYFUNCTION("""COMPUTED_VALUE"""),"731")</f>
        <v>731</v>
      </c>
      <c r="B947" s="14" t="str">
        <f>IFERROR(__xludf.DUMMYFUNCTION("""COMPUTED_VALUE"""),"РЕН-26")</f>
        <v>РЕН-26</v>
      </c>
      <c r="C947" s="14" t="str">
        <f>IFERROR(__xludf.DUMMYFUNCTION("""COMPUTED_VALUE"""),"ОКС")</f>
        <v>ОКС</v>
      </c>
      <c r="D947" s="6"/>
      <c r="E947" s="14" t="str">
        <f>IFERROR(__xludf.DUMMYFUNCTION("""COMPUTED_VALUE"""),"ул.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f>
        <v>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v>
      </c>
      <c r="F947" s="25" t="str">
        <f>IFERROR(__xludf.DUMMYFUNCTION("""COMPUTED_VALUE"""),"55.828250")</f>
        <v>55.828250</v>
      </c>
      <c r="G947" s="6" t="str">
        <f>IFERROR(__xludf.DUMMYFUNCTION("""COMPUTED_VALUE"""),"37.450018")</f>
        <v>37.450018</v>
      </c>
      <c r="H947" s="18" t="str">
        <f>IFERROR(__xludf.DUMMYFUNCTION("""COMPUTED_VALUE"""),"https://docs.google.com/spreadsheets/d/1rbCD10ySi4YZEkJW2_Slmn9z7AI1WEsGsZaIJmnnT18/edit?gid=24415394#gid=24415394")</f>
        <v>https://docs.google.com/spreadsheets/d/1rbCD10ySi4YZEkJW2_Slmn9z7AI1WEsGsZaIJmnnT18/edit?gid=24415394#gid=24415394</v>
      </c>
      <c r="I947" s="19" t="str">
        <f>IFERROR(__xludf.DUMMYFUNCTION("""COMPUTED_VALUE"""),"https://disk.yandex.ru/client/disk/Осмотры%20объектов%20АНО%20СМГ/731.%20ул.%20Циолковского%2C%20вл.%203")</f>
        <v>https://disk.yandex.ru/client/disk/Осмотры%20объектов%20АНО%20СМГ/731.%20ул.%20Циолковского%2C%20вл.%203</v>
      </c>
      <c r="J947" s="50">
        <f>IFERROR(__xludf.DUMMYFUNCTION("""COMPUTED_VALUE"""),1.3499999999999999)</f>
        <v>1.35</v>
      </c>
      <c r="K947" s="58">
        <f>IFERROR(__xludf.DUMMYFUNCTION("""COMPUTED_VALUE"""),45954.0)</f>
        <v>45954</v>
      </c>
      <c r="L947" s="6">
        <v>30.0</v>
      </c>
      <c r="M947" s="52">
        <v>45984.0</v>
      </c>
      <c r="N947" s="53" t="s">
        <v>741</v>
      </c>
      <c r="O947" s="19" t="s">
        <v>1191</v>
      </c>
      <c r="P947" s="6"/>
      <c r="Q947" s="6"/>
      <c r="R947" s="6"/>
    </row>
    <row r="948">
      <c r="A948" s="31" t="str">
        <f>IFERROR(__xludf.DUMMYFUNCTION("""COMPUTED_VALUE"""),"688")</f>
        <v>688</v>
      </c>
      <c r="B948" s="14" t="str">
        <f>IFERROR(__xludf.DUMMYFUNCTION("""COMPUTED_VALUE"""),"РЕН-26")</f>
        <v>РЕН-26</v>
      </c>
      <c r="C948" s="14" t="str">
        <f>IFERROR(__xludf.DUMMYFUNCTION("""COMPUTED_VALUE"""),"ОКС")</f>
        <v>ОКС</v>
      </c>
      <c r="D948" s="6"/>
      <c r="E948" s="14" t="str">
        <f>IFERROR(__xludf.DUMMYFUNCTION("""COMPUTED_VALUE"""),"Рязанский просп., з/у 6А (Рязанский пр-т, вл. 6А) ЮВАО, район Рязанский, Рязанский проспект, земельный участок 6А (Рязанский пр-т, вл.6А)")</f>
        <v>Рязанский просп., з/у 6А (Рязанский пр-т, вл. 6А) ЮВАО, район Рязанский, Рязанский проспект, земельный участок 6А (Рязанский пр-т, вл.6А)</v>
      </c>
      <c r="F948" s="25" t="str">
        <f>IFERROR(__xludf.DUMMYFUNCTION("""COMPUTED_VALUE"""),"55.723657")</f>
        <v>55.723657</v>
      </c>
      <c r="G948" s="6" t="str">
        <f>IFERROR(__xludf.DUMMYFUNCTION("""COMPUTED_VALUE"""),"37.742319")</f>
        <v>37.742319</v>
      </c>
      <c r="H948" s="18" t="str">
        <f>IFERROR(__xludf.DUMMYFUNCTION("""COMPUTED_VALUE"""),"https://docs.google.com/spreadsheets/d/1rbCD10ySi4YZEkJW2_Slmn9z7AI1WEsGsZaIJmnnT18/edit?gid=1617286788#gid=1617286788")</f>
        <v>https://docs.google.com/spreadsheets/d/1rbCD10ySi4YZEkJW2_Slmn9z7AI1WEsGsZaIJmnnT18/edit?gid=1617286788#gid=1617286788</v>
      </c>
      <c r="I948" s="19" t="str">
        <f>IFERROR(__xludf.DUMMYFUNCTION("""COMPUTED_VALUE"""),"https://disk.yandex.ru/client/disk/Осмотры%20объектов%20АНО%20СМГ/688.%20ЮВАО%2C%20район%20Рязанский%2C%20Рязанский%20проспект%2C%20земельный%20участок%206А%20(Рязанский%20пр-т%2C%20вл.6А)")</f>
        <v>https://disk.yandex.ru/client/disk/Осмотры%20объектов%20АНО%20СМГ/688.%20ЮВАО%2C%20район%20Рязанский%2C%20Рязанский%20проспект%2C%20земельный%20участок%206А%20(Рязанский%20пр-т%2C%20вл.6А)</v>
      </c>
      <c r="J948" s="50">
        <f>IFERROR(__xludf.DUMMYFUNCTION("""COMPUTED_VALUE"""),29.24544)</f>
        <v>29.24544</v>
      </c>
      <c r="K948" s="58">
        <f>IFERROR(__xludf.DUMMYFUNCTION("""COMPUTED_VALUE"""),45975.0)</f>
        <v>45975</v>
      </c>
      <c r="L948" s="6">
        <v>30.0</v>
      </c>
      <c r="M948" s="52">
        <v>46005.0</v>
      </c>
      <c r="N948" s="53" t="s">
        <v>711</v>
      </c>
      <c r="O948" s="19" t="s">
        <v>669</v>
      </c>
      <c r="P948" s="6"/>
      <c r="Q948" s="6"/>
      <c r="R948" s="6"/>
    </row>
    <row r="949">
      <c r="A949" s="31" t="str">
        <f>IFERROR(__xludf.DUMMYFUNCTION("""COMPUTED_VALUE"""),"992")</f>
        <v>992</v>
      </c>
      <c r="B949" s="14" t="str">
        <f>IFERROR(__xludf.DUMMYFUNCTION("""COMPUTED_VALUE"""),"РЕН-26")</f>
        <v>РЕН-26</v>
      </c>
      <c r="C949" s="14" t="str">
        <f>IFERROR(__xludf.DUMMYFUNCTION("""COMPUTED_VALUE"""),"ОКС")</f>
        <v>ОКС</v>
      </c>
      <c r="D949" s="6"/>
      <c r="E949" s="14" t="str">
        <f>IFERROR(__xludf.DUMMYFUNCTION("""COMPUTED_VALUE"""),"ул. Лётчика Бабушкина, з/у 35А (Зоны 4.3, 4.5) ул. Лётчика Бабушкина, з/у 35А (Зоны 4.3, 4.5)")</f>
        <v>ул. Лётчика Бабушкина, з/у 35А (Зоны 4.3, 4.5) ул. Лётчика Бабушкина, з/у 35А (Зоны 4.3, 4.5)</v>
      </c>
      <c r="F949" s="25" t="str">
        <f>IFERROR(__xludf.DUMMYFUNCTION("""COMPUTED_VALUE"""),"55.872506")</f>
        <v>55.872506</v>
      </c>
      <c r="G949" s="6" t="str">
        <f>IFERROR(__xludf.DUMMYFUNCTION("""COMPUTED_VALUE"""),"37.675542")</f>
        <v>37.675542</v>
      </c>
      <c r="H949" s="18" t="str">
        <f>IFERROR(__xludf.DUMMYFUNCTION("""COMPUTED_VALUE"""),"https://docs.google.com/spreadsheets/d/1rbCD10ySi4YZEkJW2_Slmn9z7AI1WEsGsZaIJmnnT18/edit?gid=1885071932#gid=1885071932")</f>
        <v>https://docs.google.com/spreadsheets/d/1rbCD10ySi4YZEkJW2_Slmn9z7AI1WEsGsZaIJmnnT18/edit?gid=1885071932#gid=1885071932</v>
      </c>
      <c r="I949" s="19" t="str">
        <f>IFERROR(__xludf.DUMMYFUNCTION("""COMPUTED_VALUE"""),"https://disk.yandex.ru/client/disk/Осмотры%20объектов%20АНО%20СМГ/992.%20Лётчика%20Бабушкина%2C%20зу%2035А%20(Зоны%204.3%2C%204.5)")</f>
        <v>https://disk.yandex.ru/client/disk/Осмотры%20объектов%20АНО%20СМГ/992.%20Лётчика%20Бабушкина%2C%20зу%2035А%20(Зоны%204.3%2C%204.5)</v>
      </c>
      <c r="J949" s="50">
        <f>IFERROR(__xludf.DUMMYFUNCTION("""COMPUTED_VALUE"""),0.0)</f>
        <v>0</v>
      </c>
      <c r="K949" s="58">
        <f>IFERROR(__xludf.DUMMYFUNCTION("""COMPUTED_VALUE"""),45961.0)</f>
        <v>45961</v>
      </c>
      <c r="L949" s="6">
        <v>30.0</v>
      </c>
      <c r="M949" s="52">
        <v>45991.0</v>
      </c>
      <c r="N949" s="53" t="s">
        <v>692</v>
      </c>
      <c r="O949" s="19" t="s">
        <v>669</v>
      </c>
      <c r="P949" s="6"/>
      <c r="Q949" s="6"/>
      <c r="R949" s="6"/>
    </row>
    <row r="950">
      <c r="A950" s="31" t="str">
        <f>IFERROR(__xludf.DUMMYFUNCTION("""COMPUTED_VALUE"""),"675")</f>
        <v>675</v>
      </c>
      <c r="B950" s="14" t="str">
        <f>IFERROR(__xludf.DUMMYFUNCTION("""COMPUTED_VALUE"""),"РЕН-26")</f>
        <v>РЕН-26</v>
      </c>
      <c r="C950" s="14" t="str">
        <f>IFERROR(__xludf.DUMMYFUNCTION("""COMPUTED_VALUE"""),"ОКС")</f>
        <v>ОКС</v>
      </c>
      <c r="D950" s="6"/>
      <c r="E950" s="14" t="str">
        <f>IFERROR(__xludf.DUMMYFUNCTION("""COMPUTED_VALUE"""),"ул. Байкальская, з/у 28/3 (ул. Байкалькая, влд.28) ВАО, район Гольяново, ул. Байкальская, з/у. 28/3, мкр. 3, 4, 5, зона 8.1 (со сносом зданий по адресу: ул. Байкальская, д. 28, к. 3)")</f>
        <v>ул. Байкальская, з/у 28/3 (ул. Байкалькая, влд.28) ВАО, район Гольяново, ул. Байкальская, з/у. 28/3, мкр. 3, 4, 5, зона 8.1 (со сносом зданий по адресу: ул. Байкальская, д. 28, к. 3)</v>
      </c>
      <c r="F950" s="25" t="str">
        <f>IFERROR(__xludf.DUMMYFUNCTION("""COMPUTED_VALUE"""),"55.814913")</f>
        <v>55.814913</v>
      </c>
      <c r="G950" s="6" t="str">
        <f>IFERROR(__xludf.DUMMYFUNCTION("""COMPUTED_VALUE"""),"37.802368")</f>
        <v>37.802368</v>
      </c>
      <c r="H950" s="18" t="str">
        <f>IFERROR(__xludf.DUMMYFUNCTION("""COMPUTED_VALUE"""),"https://docs.google.com/spreadsheets/d/1rbCD10ySi4YZEkJW2_Slmn9z7AI1WEsGsZaIJmnnT18/edit?gid=1349297378#gid=1349297378")</f>
        <v>https://docs.google.com/spreadsheets/d/1rbCD10ySi4YZEkJW2_Slmn9z7AI1WEsGsZaIJmnnT18/edit?gid=1349297378#gid=1349297378</v>
      </c>
      <c r="I950" s="19" t="str">
        <f>IFERROR(__xludf.DUMMYFUNCTION("""COMPUTED_VALUE"""),"https://disk.yandex.ru/client/disk/Осмотры%20объектов%20АНО%20СМГ/675%20Гольяново%2C%20ул%20Байкальская%20зу%2028.3%20мкрн%203%2C4%2C5%20зона%208.1%20со%20сносом%20здания")</f>
        <v>https://disk.yandex.ru/client/disk/Осмотры%20объектов%20АНО%20СМГ/675%20Гольяново%2C%20ул%20Байкальская%20зу%2028.3%20мкрн%203%2C4%2C5%20зона%208.1%20со%20сносом%20здания</v>
      </c>
      <c r="J950" s="50">
        <f>IFERROR(__xludf.DUMMYFUNCTION("""COMPUTED_VALUE"""),19.26684)</f>
        <v>19.26684</v>
      </c>
      <c r="K950" s="58">
        <f>IFERROR(__xludf.DUMMYFUNCTION("""COMPUTED_VALUE"""),45960.0)</f>
        <v>45960</v>
      </c>
      <c r="L950" s="6">
        <v>30.0</v>
      </c>
      <c r="M950" s="52">
        <v>45990.0</v>
      </c>
      <c r="N950" s="53" t="s">
        <v>692</v>
      </c>
      <c r="O950" s="19" t="s">
        <v>669</v>
      </c>
      <c r="P950" s="6"/>
      <c r="Q950" s="6"/>
      <c r="R950" s="6"/>
    </row>
    <row r="951">
      <c r="A951" s="31" t="str">
        <f>IFERROR(__xludf.DUMMYFUNCTION("""COMPUTED_VALUE"""),"664")</f>
        <v>664</v>
      </c>
      <c r="B951" s="14" t="str">
        <f>IFERROR(__xludf.DUMMYFUNCTION("""COMPUTED_VALUE"""),"РЕН-26")</f>
        <v>РЕН-26</v>
      </c>
      <c r="C951" s="14" t="str">
        <f>IFERROR(__xludf.DUMMYFUNCTION("""COMPUTED_VALUE"""),"ОКС")</f>
        <v>ОКС</v>
      </c>
      <c r="D951" s="6"/>
      <c r="E951" s="14" t="str">
        <f>IFERROR(__xludf.DUMMYFUNCTION("""COMPUTED_VALUE"""),"поселок Щапово, земельный участок 60 (пос. Щапово, вблизи д 57 и 59) ТАО, поселение Щапово, пос. Щапово, з/у 60 (пос. Щапово, вблизи д. 57 и 59)")</f>
        <v>поселок Щапово, земельный участок 60 (пос. Щапово, вблизи д 57 и 59) ТАО, поселение Щапово, пос. Щапово, з/у 60 (пос. Щапово, вблизи д. 57 и 59)</v>
      </c>
      <c r="F951" s="25" t="str">
        <f>IFERROR(__xludf.DUMMYFUNCTION("""COMPUTED_VALUE"""),"55.420283")</f>
        <v>55.420283</v>
      </c>
      <c r="G951" s="6" t="str">
        <f>IFERROR(__xludf.DUMMYFUNCTION("""COMPUTED_VALUE"""),"37.413182")</f>
        <v>37.413182</v>
      </c>
      <c r="H951" s="18" t="str">
        <f>IFERROR(__xludf.DUMMYFUNCTION("""COMPUTED_VALUE"""),"https://docs.google.com/spreadsheets/d/1rbCD10ySi4YZEkJW2_Slmn9z7AI1WEsGsZaIJmnnT18/edit?gid=521259843#gid=521259843")</f>
        <v>https://docs.google.com/spreadsheets/d/1rbCD10ySi4YZEkJW2_Slmn9z7AI1WEsGsZaIJmnnT18/edit?gid=521259843#gid=521259843</v>
      </c>
      <c r="I951" s="19" t="str">
        <f>IFERROR(__xludf.DUMMYFUNCTION("""COMPUTED_VALUE"""),"https://disk.yandex.ru/client/disk/Осмотры%20объектов%20АНО%20СМГ/664.%20Щапово%20пос.%2C%20з!у%2060%20(вблизи%20д.%2057%20и%20д.%2059)")</f>
        <v>https://disk.yandex.ru/client/disk/Осмотры%20объектов%20АНО%20СМГ/664.%20Щапово%20пос.%2C%20з!у%2060%20(вблизи%20д.%2057%20и%20д.%2059)</v>
      </c>
      <c r="J951" s="50">
        <f>IFERROR(__xludf.DUMMYFUNCTION("""COMPUTED_VALUE"""),0.8999999999999999)</f>
        <v>0.9</v>
      </c>
      <c r="K951" s="58">
        <f>IFERROR(__xludf.DUMMYFUNCTION("""COMPUTED_VALUE"""),45961.0)</f>
        <v>45961</v>
      </c>
      <c r="L951" s="6">
        <v>30.0</v>
      </c>
      <c r="M951" s="52">
        <v>45991.0</v>
      </c>
      <c r="N951" s="53" t="s">
        <v>692</v>
      </c>
      <c r="O951" s="19" t="s">
        <v>669</v>
      </c>
      <c r="P951" s="6"/>
      <c r="Q951" s="6"/>
      <c r="R951" s="6"/>
    </row>
    <row r="952">
      <c r="A952" s="31" t="str">
        <f>IFERROR(__xludf.DUMMYFUNCTION("""COMPUTED_VALUE"""),"806")</f>
        <v>806</v>
      </c>
      <c r="B952" s="14" t="str">
        <f>IFERROR(__xludf.DUMMYFUNCTION("""COMPUTED_VALUE"""),"РЕН-26")</f>
        <v>РЕН-26</v>
      </c>
      <c r="C952" s="14" t="str">
        <f>IFERROR(__xludf.DUMMYFUNCTION("""COMPUTED_VALUE"""),"ОКС")</f>
        <v>ОКС</v>
      </c>
      <c r="D952" s="6"/>
      <c r="E952" s="14" t="str">
        <f>IFERROR(__xludf.DUMMYFUNCTION("""COMPUTED_VALUE"""),"Нижегородская ул., з/у 92А (зона №2.3) ЮВАО	Нижегородская ул., з/у 92А (зона № 2.3)")</f>
        <v>Нижегородская ул., з/у 92А (зона №2.3) ЮВАО	Нижегородская ул., з/у 92А (зона № 2.3)</v>
      </c>
      <c r="F952" s="25" t="str">
        <f>IFERROR(__xludf.DUMMYFUNCTION("""COMPUTED_VALUE"""),"55.730676")</f>
        <v>55.730676</v>
      </c>
      <c r="G952" s="6" t="str">
        <f>IFERROR(__xludf.DUMMYFUNCTION("""COMPUTED_VALUE"""),"37.721182")</f>
        <v>37.721182</v>
      </c>
      <c r="H952" s="18" t="str">
        <f>IFERROR(__xludf.DUMMYFUNCTION("""COMPUTED_VALUE"""),"https://docs.google.com/spreadsheets/d/1rbCD10ySi4YZEkJW2_Slmn9z7AI1WEsGsZaIJmnnT18/edit?gid=1611612481#gid=1611612481")</f>
        <v>https://docs.google.com/spreadsheets/d/1rbCD10ySi4YZEkJW2_Slmn9z7AI1WEsGsZaIJmnnT18/edit?gid=1611612481#gid=1611612481</v>
      </c>
      <c r="I952" s="19" t="str">
        <f>IFERROR(__xludf.DUMMYFUNCTION("""COMPUTED_VALUE"""),"https://disk.yandex.ru/client/disk/Осмотры%20объектов%20АНО%20СМГ/806.%20Нижегородская%20ул.%2C%20з-у%2092А%2C%20зона%202.3")</f>
        <v>https://disk.yandex.ru/client/disk/Осмотры%20объектов%20АНО%20СМГ/806.%20Нижегородская%20ул.%2C%20з-у%2092А%2C%20зона%202.3</v>
      </c>
      <c r="J952" s="50">
        <f>IFERROR(__xludf.DUMMYFUNCTION("""COMPUTED_VALUE"""),0.0)</f>
        <v>0</v>
      </c>
      <c r="K952" s="58">
        <f>IFERROR(__xludf.DUMMYFUNCTION("""COMPUTED_VALUE"""),45973.0)</f>
        <v>45973</v>
      </c>
      <c r="L952" s="6">
        <v>30.0</v>
      </c>
      <c r="M952" s="52">
        <v>46003.0</v>
      </c>
      <c r="N952" s="53" t="s">
        <v>711</v>
      </c>
      <c r="O952" s="19" t="s">
        <v>669</v>
      </c>
      <c r="P952" s="6"/>
      <c r="Q952" s="6"/>
      <c r="R952" s="6"/>
    </row>
    <row r="953">
      <c r="A953" s="31" t="str">
        <f>IFERROR(__xludf.DUMMYFUNCTION("""COMPUTED_VALUE"""),"729")</f>
        <v>729</v>
      </c>
      <c r="B953" s="14" t="str">
        <f>IFERROR(__xludf.DUMMYFUNCTION("""COMPUTED_VALUE"""),"РЕН-26")</f>
        <v>РЕН-26</v>
      </c>
      <c r="C953" s="14" t="str">
        <f>IFERROR(__xludf.DUMMYFUNCTION("""COMPUTED_VALUE"""),"ОКС")</f>
        <v>ОКС</v>
      </c>
      <c r="D953" s="6"/>
      <c r="E953" s="14" t="str">
        <f>IFERROR(__xludf.DUMMYFUNCTION("""COMPUTED_VALUE"""),"ул.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Ря"&amp;"занский проспект д. 91, корп. 4)")</f>
        <v>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Рязанский проспект д. 91, корп. 4)</v>
      </c>
      <c r="F953" s="25" t="str">
        <f>IFERROR(__xludf.DUMMYFUNCTION("""COMPUTED_VALUE"""),"55.716129")</f>
        <v>55.716129</v>
      </c>
      <c r="G953" s="6" t="str">
        <f>IFERROR(__xludf.DUMMYFUNCTION("""COMPUTED_VALUE"""),"37.807696")</f>
        <v>37.807696</v>
      </c>
      <c r="H953" s="18" t="str">
        <f>IFERROR(__xludf.DUMMYFUNCTION("""COMPUTED_VALUE"""),"https://docs.google.com/spreadsheets/d/1rbCD10ySi4YZEkJW2_Slmn9z7AI1WEsGsZaIJmnnT18/edit?gid=1910790925#gid=1910790925")</f>
        <v>https://docs.google.com/spreadsheets/d/1rbCD10ySi4YZEkJW2_Slmn9z7AI1WEsGsZaIJmnnT18/edit?gid=1910790925#gid=1910790925</v>
      </c>
      <c r="I953" s="19" t="str">
        <f>IFERROR(__xludf.DUMMYFUNCTION("""COMPUTED_VALUE"""),"https://disk.yandex.ru/client/disk/Осмотры%20объектов%20АНО%20СМГ/729%20ЮВАО%2C%20мкр.%20128%20Б-В%2C%20район%20Выхино-Жулебино%20зона%201.1%2C%201.2%2C%201.3%20Хлобыстова%20ул.%2C%20зу%2016.2.1")</f>
        <v>https://disk.yandex.ru/client/disk/Осмотры%20объектов%20АНО%20СМГ/729%20ЮВАО%2C%20мкр.%20128%20Б-В%2C%20район%20Выхино-Жулебино%20зона%201.1%2C%201.2%2C%201.3%20Хлобыстова%20ул.%2C%20зу%2016.2.1</v>
      </c>
      <c r="J953" s="50">
        <f>IFERROR(__xludf.DUMMYFUNCTION("""COMPUTED_VALUE"""),14.837625)</f>
        <v>14.837625</v>
      </c>
      <c r="K953" s="58">
        <f>IFERROR(__xludf.DUMMYFUNCTION("""COMPUTED_VALUE"""),45967.0)</f>
        <v>45967</v>
      </c>
      <c r="L953" s="6">
        <v>30.0</v>
      </c>
      <c r="M953" s="52">
        <v>45997.0</v>
      </c>
      <c r="N953" s="53" t="s">
        <v>711</v>
      </c>
      <c r="O953" s="19" t="s">
        <v>669</v>
      </c>
      <c r="P953" s="6"/>
      <c r="Q953" s="6"/>
      <c r="R953" s="6"/>
    </row>
    <row r="954">
      <c r="A954" s="31" t="str">
        <f>IFERROR(__xludf.DUMMYFUNCTION("""COMPUTED_VALUE"""),"690")</f>
        <v>690</v>
      </c>
      <c r="B954" s="14" t="str">
        <f>IFERROR(__xludf.DUMMYFUNCTION("""COMPUTED_VALUE"""),"РЕН-26")</f>
        <v>РЕН-26</v>
      </c>
      <c r="C954" s="14" t="str">
        <f>IFERROR(__xludf.DUMMYFUNCTION("""COMPUTED_VALUE"""),"ОКС")</f>
        <v>ОКС</v>
      </c>
      <c r="D954" s="6"/>
      <c r="E954" s="14" t="str">
        <f>IFERROR(__xludf.DUMMYFUNCTION("""COMPUTED_VALUE"""),"Ломоносовский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f>
        <v>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v>
      </c>
      <c r="F954" s="25" t="str">
        <f>IFERROR(__xludf.DUMMYFUNCTION("""COMPUTED_VALUE"""),"55.680083")</f>
        <v>55.680083</v>
      </c>
      <c r="G954" s="6" t="str">
        <f>IFERROR(__xludf.DUMMYFUNCTION("""COMPUTED_VALUE"""),"37.544428")</f>
        <v>37.544428</v>
      </c>
      <c r="H954" s="18" t="str">
        <f>IFERROR(__xludf.DUMMYFUNCTION("""COMPUTED_VALUE"""),"https://docs.google.com/spreadsheets/d/1rbCD10ySi4YZEkJW2_Slmn9z7AI1WEsGsZaIJmnnT18/edit?gid=1573037531#gid=1573037531")</f>
        <v>https://docs.google.com/spreadsheets/d/1rbCD10ySi4YZEkJW2_Slmn9z7AI1WEsGsZaIJmnnT18/edit?gid=1573037531#gid=1573037531</v>
      </c>
      <c r="I954" s="19" t="str">
        <f>IFERROR(__xludf.DUMMYFUNCTION("""COMPUTED_VALUE"""),"https://disk.yandex.ru/client/disk/Осмотры%20объектов%20АНО%20СМГ/690.%20район%20Ломоносовский%2C%20ул.%20Вавилова%20ул.%2C%2076%2C%20микрорайон%2015%2C%20зона%201.2%2C")</f>
        <v>https://disk.yandex.ru/client/disk/Осмотры%20объектов%20АНО%20СМГ/690.%20район%20Ломоносовский%2C%20ул.%20Вавилова%20ул.%2C%2076%2C%20микрорайон%2015%2C%20зона%201.2%2C</v>
      </c>
      <c r="J954" s="50">
        <f>IFERROR(__xludf.DUMMYFUNCTION("""COMPUTED_VALUE"""),1.26)</f>
        <v>1.26</v>
      </c>
      <c r="K954" s="58">
        <f>IFERROR(__xludf.DUMMYFUNCTION("""COMPUTED_VALUE"""),45960.0)</f>
        <v>45960</v>
      </c>
      <c r="L954" s="6">
        <v>30.0</v>
      </c>
      <c r="M954" s="52">
        <v>45990.0</v>
      </c>
      <c r="N954" s="53" t="s">
        <v>692</v>
      </c>
      <c r="O954" s="19" t="s">
        <v>1192</v>
      </c>
      <c r="P954" s="6"/>
      <c r="Q954" s="6"/>
      <c r="R954" s="6"/>
    </row>
    <row r="955">
      <c r="A955" s="31" t="str">
        <f>IFERROR(__xludf.DUMMYFUNCTION("""COMPUTED_VALUE"""),"977")</f>
        <v>977</v>
      </c>
      <c r="B955" s="14" t="str">
        <f>IFERROR(__xludf.DUMMYFUNCTION("""COMPUTED_VALUE"""),"РЕН-26")</f>
        <v>РЕН-26</v>
      </c>
      <c r="C955" s="14" t="str">
        <f>IFERROR(__xludf.DUMMYFUNCTION("""COMPUTED_VALUE"""),"ОКС")</f>
        <v>ОКС</v>
      </c>
      <c r="D955" s="6"/>
      <c r="E955" s="14" t="str">
        <f>IFERROR(__xludf.DUMMYFUNCTION("""COMPUTED_VALUE"""),"Дежнева пр-д, вл. 24 Дежнева пр-д, вл. 24")</f>
        <v>Дежнева пр-д, вл. 24 Дежнева пр-д, вл. 24</v>
      </c>
      <c r="F955" s="25" t="str">
        <f>IFERROR(__xludf.DUMMYFUNCTION("""COMPUTED_VALUE"""),"55.871173")</f>
        <v>55.871173</v>
      </c>
      <c r="G955" s="6" t="str">
        <f>IFERROR(__xludf.DUMMYFUNCTION("""COMPUTED_VALUE"""),"37.635449")</f>
        <v>37.635449</v>
      </c>
      <c r="H955" s="18" t="str">
        <f>IFERROR(__xludf.DUMMYFUNCTION("""COMPUTED_VALUE"""),"https://docs.google.com/spreadsheets/d/1rbCD10ySi4YZEkJW2_Slmn9z7AI1WEsGsZaIJmnnT18/edit?gid=1863257249#gid=1863257249")</f>
        <v>https://docs.google.com/spreadsheets/d/1rbCD10ySi4YZEkJW2_Slmn9z7AI1WEsGsZaIJmnnT18/edit?gid=1863257249#gid=1863257249</v>
      </c>
      <c r="I955" s="19" t="str">
        <f>IFERROR(__xludf.DUMMYFUNCTION("""COMPUTED_VALUE"""),"https://disk.yandex.ru/client/disk/Осмотры%20объектов%20АНО%20СМГ/977.%20Дежнева%20пр-д%2C%20вл.%2024")</f>
        <v>https://disk.yandex.ru/client/disk/Осмотры%20объектов%20АНО%20СМГ/977.%20Дежнева%20пр-д%2C%20вл.%2024</v>
      </c>
      <c r="J955" s="50">
        <f>IFERROR(__xludf.DUMMYFUNCTION("""COMPUTED_VALUE"""),0.0)</f>
        <v>0</v>
      </c>
      <c r="K955" s="58">
        <f>IFERROR(__xludf.DUMMYFUNCTION("""COMPUTED_VALUE"""),45961.0)</f>
        <v>45961</v>
      </c>
      <c r="L955" s="6">
        <v>30.0</v>
      </c>
      <c r="M955" s="52">
        <v>45991.0</v>
      </c>
      <c r="N955" s="53" t="s">
        <v>692</v>
      </c>
      <c r="O955" s="19" t="s">
        <v>1193</v>
      </c>
      <c r="P955" s="6"/>
      <c r="Q955" s="6"/>
      <c r="R955" s="6"/>
    </row>
    <row r="956">
      <c r="A956" s="31" t="str">
        <f>IFERROR(__xludf.DUMMYFUNCTION("""COMPUTED_VALUE"""),"978")</f>
        <v>978</v>
      </c>
      <c r="B956" s="14" t="str">
        <f>IFERROR(__xludf.DUMMYFUNCTION("""COMPUTED_VALUE"""),"РЕН-26")</f>
        <v>РЕН-26</v>
      </c>
      <c r="C956" s="14" t="str">
        <f>IFERROR(__xludf.DUMMYFUNCTION("""COMPUTED_VALUE"""),"ОКС")</f>
        <v>ОКС</v>
      </c>
      <c r="D956" s="6"/>
      <c r="E956" s="14" t="str">
        <f>IFERROR(__xludf.DUMMYFUNCTION("""COMPUTED_VALUE"""),"пр-д Дежнева, з/у 20 (Дежнева пр-д, вл. 20) пр-д Дежнева, з/у 20 (Дежнева пр-д, вл. 20)			")</f>
        <v>пр-д Дежнева, з/у 20 (Дежнева пр-д, вл. 20) пр-д Дежнева, з/у 20 (Дежнева пр-д, вл. 20)			</v>
      </c>
      <c r="F956" s="25" t="str">
        <f>IFERROR(__xludf.DUMMYFUNCTION("""COMPUTED_VALUE"""),"55.871309")</f>
        <v>55.871309</v>
      </c>
      <c r="G956" s="6" t="str">
        <f>IFERROR(__xludf.DUMMYFUNCTION("""COMPUTED_VALUE"""),"37.636940")</f>
        <v>37.636940</v>
      </c>
      <c r="H956" s="18" t="str">
        <f>IFERROR(__xludf.DUMMYFUNCTION("""COMPUTED_VALUE"""),"https://docs.google.com/spreadsheets/d/1rbCD10ySi4YZEkJW2_Slmn9z7AI1WEsGsZaIJmnnT18/edit?gid=231842022#gid=231842022")</f>
        <v>https://docs.google.com/spreadsheets/d/1rbCD10ySi4YZEkJW2_Slmn9z7AI1WEsGsZaIJmnnT18/edit?gid=231842022#gid=231842022</v>
      </c>
      <c r="I956" s="19" t="str">
        <f>IFERROR(__xludf.DUMMYFUNCTION("""COMPUTED_VALUE"""),"https://disk.yandex.ru/client/disk/Осмотры%20объектов%20АНО%20СМГ/978.%20пр-д%20Дежнева%2C%20з.у.%2020%20(Дежнева%20пр-д%2C%20вл.%2020)")</f>
        <v>https://disk.yandex.ru/client/disk/Осмотры%20объектов%20АНО%20СМГ/978.%20пр-д%20Дежнева%2C%20з.у.%2020%20(Дежнева%20пр-д%2C%20вл.%2020)</v>
      </c>
      <c r="J956" s="50">
        <f>IFERROR(__xludf.DUMMYFUNCTION("""COMPUTED_VALUE"""),0.0)</f>
        <v>0</v>
      </c>
      <c r="K956" s="58">
        <f>IFERROR(__xludf.DUMMYFUNCTION("""COMPUTED_VALUE"""),45961.0)</f>
        <v>45961</v>
      </c>
      <c r="L956" s="6">
        <v>30.0</v>
      </c>
      <c r="M956" s="52">
        <v>45991.0</v>
      </c>
      <c r="N956" s="53" t="s">
        <v>692</v>
      </c>
      <c r="O956" s="19" t="s">
        <v>1193</v>
      </c>
      <c r="P956" s="6"/>
      <c r="Q956" s="6"/>
      <c r="R956" s="6"/>
    </row>
    <row r="957">
      <c r="A957" s="31" t="str">
        <f>IFERROR(__xludf.DUMMYFUNCTION("""COMPUTED_VALUE"""),"964")</f>
        <v>964</v>
      </c>
      <c r="B957" s="14" t="str">
        <f>IFERROR(__xludf.DUMMYFUNCTION("""COMPUTED_VALUE"""),"РЕН-26")</f>
        <v>РЕН-26</v>
      </c>
      <c r="C957" s="14" t="str">
        <f>IFERROR(__xludf.DUMMYFUNCTION("""COMPUTED_VALUE"""),"ОКС")</f>
        <v>ОКС</v>
      </c>
      <c r="D957" s="6"/>
      <c r="E957" s="14" t="str">
        <f>IFERROR(__xludf.DUMMYFUNCTION("""COMPUTED_VALUE"""),"Каширское ш., з/у 9/2 (Каширское ш., вл.9, к.2.) Каширское ш., з/у 9/2 (Каширское ш., вл. 9, к.2)")</f>
        <v>Каширское ш., з/у 9/2 (Каширское ш., вл.9, к.2.) Каширское ш., з/у 9/2 (Каширское ш., вл. 9, к.2)</v>
      </c>
      <c r="F957" s="25" t="str">
        <f>IFERROR(__xludf.DUMMYFUNCTION("""COMPUTED_VALUE"""),"55.668222")</f>
        <v>55.668222</v>
      </c>
      <c r="G957" s="6" t="str">
        <f>IFERROR(__xludf.DUMMYFUNCTION("""COMPUTED_VALUE"""),"37.631081")</f>
        <v>37.631081</v>
      </c>
      <c r="H957" s="18" t="str">
        <f>IFERROR(__xludf.DUMMYFUNCTION("""COMPUTED_VALUE"""),"https://docs.google.com/spreadsheets/d/1rbCD10ySi4YZEkJW2_Slmn9z7AI1WEsGsZaIJmnnT18/edit?gid=601045685#gid=601045685")</f>
        <v>https://docs.google.com/spreadsheets/d/1rbCD10ySi4YZEkJW2_Slmn9z7AI1WEsGsZaIJmnnT18/edit?gid=601045685#gid=601045685</v>
      </c>
      <c r="I957" s="19" t="str">
        <f>IFERROR(__xludf.DUMMYFUNCTION("""COMPUTED_VALUE"""),"https://disk.yandex.ru/client/disk/Осмотры%20объектов%20АНО%20СМГ/964.%20Каширское%20ш.%2C%20вл.%209%2C%20Корп.%202.%20Жилой%20дом")</f>
        <v>https://disk.yandex.ru/client/disk/Осмотры%20объектов%20АНО%20СМГ/964.%20Каширское%20ш.%2C%20вл.%209%2C%20Корп.%202.%20Жилой%20дом</v>
      </c>
      <c r="J957" s="50">
        <f>IFERROR(__xludf.DUMMYFUNCTION("""COMPUTED_VALUE"""),0.0)</f>
        <v>0</v>
      </c>
      <c r="K957" s="58">
        <f>IFERROR(__xludf.DUMMYFUNCTION("""COMPUTED_VALUE"""),45960.0)</f>
        <v>45960</v>
      </c>
      <c r="L957" s="6">
        <v>30.0</v>
      </c>
      <c r="M957" s="52">
        <v>45990.0</v>
      </c>
      <c r="N957" s="53" t="s">
        <v>692</v>
      </c>
      <c r="O957" s="19" t="s">
        <v>1193</v>
      </c>
      <c r="P957" s="6"/>
      <c r="Q957" s="6"/>
      <c r="R957" s="6"/>
    </row>
    <row r="958">
      <c r="A958" s="31" t="str">
        <f>IFERROR(__xludf.DUMMYFUNCTION("""COMPUTED_VALUE"""),"654")</f>
        <v>654</v>
      </c>
      <c r="B958" s="14" t="str">
        <f>IFERROR(__xludf.DUMMYFUNCTION("""COMPUTED_VALUE"""),"РЕН-26")</f>
        <v>РЕН-26</v>
      </c>
      <c r="C958" s="14" t="str">
        <f>IFERROR(__xludf.DUMMYFUNCTION("""COMPUTED_VALUE"""),"ОКС")</f>
        <v>ОКС</v>
      </c>
      <c r="D958" s="6"/>
      <c r="E958" s="14" t="str">
        <f>IFERROR(__xludf.DUMMYFUNCTION("""COMPUTED_VALUE"""),"Полярная ул., з/у 16 (Полярная ул., вл. 16) СВАО, район Южное Медведково, ул. Полярная, з/у 16 (со сносом жилого здания по адресу: ул. Полярная д.16, корп.1) (рефинансирование)")</f>
        <v>Полярная ул., з/у 16 (Полярная ул., вл. 16) СВАО, район Южное Медведково, ул. Полярная, з/у 16 (со сносом жилого здания по адресу: ул. Полярная д.16, корп.1) (рефинансирование)</v>
      </c>
      <c r="F958" s="25" t="str">
        <f>IFERROR(__xludf.DUMMYFUNCTION("""COMPUTED_VALUE"""),"55.876612")</f>
        <v>55.876612</v>
      </c>
      <c r="G958" s="6" t="str">
        <f>IFERROR(__xludf.DUMMYFUNCTION("""COMPUTED_VALUE"""),"37.637299")</f>
        <v>37.637299</v>
      </c>
      <c r="H958" s="18" t="str">
        <f>IFERROR(__xludf.DUMMYFUNCTION("""COMPUTED_VALUE"""),"https://docs.google.com/spreadsheets/d/1rbCD10ySi4YZEkJW2_Slmn9z7AI1WEsGsZaIJmnnT18/edit?gid=877224124#gid=877224124")</f>
        <v>https://docs.google.com/spreadsheets/d/1rbCD10ySi4YZEkJW2_Slmn9z7AI1WEsGsZaIJmnnT18/edit?gid=877224124#gid=877224124</v>
      </c>
      <c r="I958" s="19" t="str">
        <f>IFERROR(__xludf.DUMMYFUNCTION("""COMPUTED_VALUE"""),"https://disk.yandex.ru/client/disk/Осмотры%20объектов%20АНО%20СМГ/654.%20ул.%20Полярная%2C%20з.у.%2016")</f>
        <v>https://disk.yandex.ru/client/disk/Осмотры%20объектов%20АНО%20СМГ/654.%20ул.%20Полярная%2C%20з.у.%2016</v>
      </c>
      <c r="J958" s="50">
        <f>IFERROR(__xludf.DUMMYFUNCTION("""COMPUTED_VALUE"""),43.18702499999999)</f>
        <v>43.187025</v>
      </c>
      <c r="K958" s="58">
        <f>IFERROR(__xludf.DUMMYFUNCTION("""COMPUTED_VALUE"""),45961.0)</f>
        <v>45961</v>
      </c>
      <c r="L958" s="6">
        <v>30.0</v>
      </c>
      <c r="M958" s="52">
        <v>45991.0</v>
      </c>
      <c r="N958" s="53" t="s">
        <v>692</v>
      </c>
      <c r="O958" s="19" t="s">
        <v>669</v>
      </c>
      <c r="P958" s="6"/>
      <c r="Q958" s="6"/>
      <c r="R958" s="6"/>
    </row>
    <row r="959">
      <c r="A959" s="31" t="str">
        <f>IFERROR(__xludf.DUMMYFUNCTION("""COMPUTED_VALUE"""),"969")</f>
        <v>969</v>
      </c>
      <c r="B959" s="14" t="str">
        <f>IFERROR(__xludf.DUMMYFUNCTION("""COMPUTED_VALUE"""),"РЕН-26")</f>
        <v>РЕН-26</v>
      </c>
      <c r="C959" s="14" t="str">
        <f>IFERROR(__xludf.DUMMYFUNCTION("""COMPUTED_VALUE"""),"ОКС")</f>
        <v>ОКС</v>
      </c>
      <c r="D959" s="6"/>
      <c r="E959" s="14" t="str">
        <f>IFERROR(__xludf.DUMMYFUNCTION("""COMPUTED_VALUE"""),"ул. Авиамоторная, з/у 27 (ул. Авиамоторная, вл. 27) ул. Авиамоторная, з/у 27 (Авиамоторная, вл. 27)")</f>
        <v>ул. Авиамоторная, з/у 27 (ул. Авиамоторная, вл. 27) ул. Авиамоторная, з/у 27 (Авиамоторная, вл. 27)</v>
      </c>
      <c r="F959" s="25" t="str">
        <f>IFERROR(__xludf.DUMMYFUNCTION("""COMPUTED_VALUE"""),"55.757886")</f>
        <v>55.757886</v>
      </c>
      <c r="G959" s="6" t="str">
        <f>IFERROR(__xludf.DUMMYFUNCTION("""COMPUTED_VALUE"""),"37.716567")</f>
        <v>37.716567</v>
      </c>
      <c r="H959" s="18" t="str">
        <f>IFERROR(__xludf.DUMMYFUNCTION("""COMPUTED_VALUE"""),"https://docs.google.com/spreadsheets/d/1rbCD10ySi4YZEkJW2_Slmn9z7AI1WEsGsZaIJmnnT18/edit?gid=1353187353#gid=1353187353")</f>
        <v>https://docs.google.com/spreadsheets/d/1rbCD10ySi4YZEkJW2_Slmn9z7AI1WEsGsZaIJmnnT18/edit?gid=1353187353#gid=1353187353</v>
      </c>
      <c r="I959" s="19" t="str">
        <f>IFERROR(__xludf.DUMMYFUNCTION("""COMPUTED_VALUE"""),"#ERROR!")</f>
        <v>#ERROR!</v>
      </c>
      <c r="J959" s="50">
        <f>IFERROR(__xludf.DUMMYFUNCTION("""COMPUTED_VALUE"""),0.0)</f>
        <v>0</v>
      </c>
      <c r="K959" s="58">
        <f>IFERROR(__xludf.DUMMYFUNCTION("""COMPUTED_VALUE"""),45960.0)</f>
        <v>45960</v>
      </c>
      <c r="L959" s="6">
        <v>30.0</v>
      </c>
      <c r="M959" s="52">
        <v>45990.0</v>
      </c>
      <c r="N959" s="53" t="s">
        <v>692</v>
      </c>
      <c r="O959" s="19" t="s">
        <v>1193</v>
      </c>
      <c r="P959" s="6"/>
      <c r="Q959" s="6"/>
      <c r="R959" s="6"/>
    </row>
    <row r="960">
      <c r="A960" s="31" t="str">
        <f>IFERROR(__xludf.DUMMYFUNCTION("""COMPUTED_VALUE"""),"848")</f>
        <v>848</v>
      </c>
      <c r="B960" s="14" t="str">
        <f>IFERROR(__xludf.DUMMYFUNCTION("""COMPUTED_VALUE"""),"РЕН-26")</f>
        <v>РЕН-26</v>
      </c>
      <c r="C960" s="14" t="str">
        <f>IFERROR(__xludf.DUMMYFUNCTION("""COMPUTED_VALUE"""),"ОКС")</f>
        <v>ОКС</v>
      </c>
      <c r="D960" s="6"/>
      <c r="E960"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 Одесская, вл. 6 (зона 1.2 и 1.3) район Зюзино, ул. Одесска"&amp;"я, вл. 6 (зона 1.2 и 1.3)")</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 Одесская, вл. 6 (зона 1.2 и 1.3) район Зюзино, ул. Одесская, вл. 6 (зона 1.2 и 1.3)</v>
      </c>
      <c r="F960" s="25" t="str">
        <f>IFERROR(__xludf.DUMMYFUNCTION("""COMPUTED_VALUE"""),"55.662516")</f>
        <v>55.662516</v>
      </c>
      <c r="G960" s="6" t="str">
        <f>IFERROR(__xludf.DUMMYFUNCTION("""COMPUTED_VALUE"""),"37.596020")</f>
        <v>37.596020</v>
      </c>
      <c r="H960" s="18" t="str">
        <f>IFERROR(__xludf.DUMMYFUNCTION("""COMPUTED_VALUE"""),"https://docs.google.com/spreadsheets/d/1rbCD10ySi4YZEkJW2_Slmn9z7AI1WEsGsZaIJmnnT18/edit?gid=509147488#gid=509147488")</f>
        <v>https://docs.google.com/spreadsheets/d/1rbCD10ySi4YZEkJW2_Slmn9z7AI1WEsGsZaIJmnnT18/edit?gid=509147488#gid=509147488</v>
      </c>
      <c r="I960" s="19" t="str">
        <f>IFERROR(__xludf.DUMMYFUNCTION("""COMPUTED_VALUE"""),"https://disk.yandex.ru/client/disk/Осмотры%20объектов%20АНО%20СМГ/848.%20Одесская%20д.6%20ул.%20Одесская%2C%20вл.%206%20(зона%201.2%20и%201.3)%20(Приобретение%20объектов%20недвижимости)")</f>
        <v>https://disk.yandex.ru/client/disk/Осмотры%20объектов%20АНО%20СМГ/848.%20Одесская%20д.6%20ул.%20Одесская%2C%20вл.%206%20(зона%201.2%20и%201.3)%20(Приобретение%20объектов%20недвижимости)</v>
      </c>
      <c r="J960" s="50">
        <f>IFERROR(__xludf.DUMMYFUNCTION("""COMPUTED_VALUE"""),24.592185)</f>
        <v>24.592185</v>
      </c>
      <c r="K960" s="58">
        <f>IFERROR(__xludf.DUMMYFUNCTION("""COMPUTED_VALUE"""),45971.0)</f>
        <v>45971</v>
      </c>
      <c r="L960" s="6">
        <v>30.0</v>
      </c>
      <c r="M960" s="52">
        <v>46001.0</v>
      </c>
      <c r="N960" s="53" t="s">
        <v>711</v>
      </c>
      <c r="O960" s="19" t="s">
        <v>1194</v>
      </c>
      <c r="P960" s="6"/>
      <c r="Q960" s="6"/>
      <c r="R960" s="6"/>
    </row>
    <row r="961">
      <c r="A961" s="31" t="str">
        <f>IFERROR(__xludf.DUMMYFUNCTION("""COMPUTED_VALUE"""),"907")</f>
        <v>907</v>
      </c>
      <c r="B961" s="14" t="str">
        <f>IFERROR(__xludf.DUMMYFUNCTION("""COMPUTED_VALUE"""),"РЕН-26")</f>
        <v>РЕН-26</v>
      </c>
      <c r="C961" s="14" t="str">
        <f>IFERROR(__xludf.DUMMYFUNCTION("""COMPUTED_VALUE"""),"ОКС")</f>
        <v>ОКС</v>
      </c>
      <c r="D961" s="6"/>
      <c r="E961" s="14" t="str">
        <f>IFERROR(__xludf.DUMMYFUNCTION("""COMPUTED_VALUE"""),"ул. Нарвская, з/у 1(Нарвская ул., вл. 1-3) ул. Нарвская, з/у 1 (Нарвская ул., вл. 1-3)")</f>
        <v>ул. Нарвская, з/у 1(Нарвская ул., вл. 1-3) ул. Нарвская, з/у 1 (Нарвская ул., вл. 1-3)</v>
      </c>
      <c r="F961" s="25" t="str">
        <f>IFERROR(__xludf.DUMMYFUNCTION("""COMPUTED_VALUE"""),"55.832089")</f>
        <v>55.832089</v>
      </c>
      <c r="G961" s="6" t="str">
        <f>IFERROR(__xludf.DUMMYFUNCTION("""COMPUTED_VALUE"""),"37.506937")</f>
        <v>37.506937</v>
      </c>
      <c r="H961" s="18" t="str">
        <f>IFERROR(__xludf.DUMMYFUNCTION("""COMPUTED_VALUE"""),"https://docs.google.com/spreadsheets/d/1rbCD10ySi4YZEkJW2_Slmn9z7AI1WEsGsZaIJmnnT18/edit?gid=1534601072#gid=1534601072")</f>
        <v>https://docs.google.com/spreadsheets/d/1rbCD10ySi4YZEkJW2_Slmn9z7AI1WEsGsZaIJmnnT18/edit?gid=1534601072#gid=1534601072</v>
      </c>
      <c r="I961" s="19" t="str">
        <f>IFERROR(__xludf.DUMMYFUNCTION("""COMPUTED_VALUE"""),"https://disk.yandex.ru/client/disk/Осмотры%20объектов%20АНО%20СМГ/907.%20Нарвская%20зу%201")</f>
        <v>https://disk.yandex.ru/client/disk/Осмотры%20объектов%20АНО%20СМГ/907.%20Нарвская%20зу%201</v>
      </c>
      <c r="J961" s="50">
        <f>IFERROR(__xludf.DUMMYFUNCTION("""COMPUTED_VALUE"""),0.0)</f>
        <v>0</v>
      </c>
      <c r="K961" s="58">
        <f>IFERROR(__xludf.DUMMYFUNCTION("""COMPUTED_VALUE"""),45961.0)</f>
        <v>45961</v>
      </c>
      <c r="L961" s="6">
        <v>30.0</v>
      </c>
      <c r="M961" s="52">
        <v>45991.0</v>
      </c>
      <c r="N961" s="53" t="s">
        <v>692</v>
      </c>
      <c r="O961" s="19" t="s">
        <v>1195</v>
      </c>
      <c r="P961" s="6"/>
      <c r="Q961" s="6"/>
      <c r="R961" s="6"/>
    </row>
    <row r="962">
      <c r="A962" s="31" t="str">
        <f>IFERROR(__xludf.DUMMYFUNCTION("""COMPUTED_VALUE"""),"665")</f>
        <v>665</v>
      </c>
      <c r="B962" s="14" t="str">
        <f>IFERROR(__xludf.DUMMYFUNCTION("""COMPUTED_VALUE"""),"РЕН-26")</f>
        <v>РЕН-26</v>
      </c>
      <c r="C962" s="14" t="str">
        <f>IFERROR(__xludf.DUMMYFUNCTION("""COMPUTED_VALUE"""),"ОКС")</f>
        <v>ОКС</v>
      </c>
      <c r="D962" s="6"/>
      <c r="E962" s="14" t="str">
        <f>IFERROR(__xludf.DUMMYFUNCTION("""COMPUTED_VALUE"""),"Шереметьевская ул., вл. 17, корп. 1, корп. 2 СВАО, Шереметьевская ул. вл. 17  корп. 1 и корп. 2, 
район Марьина Роща")</f>
        <v>Шереметьевская ул., вл. 17, корп. 1, корп. 2 СВАО, Шереметьевская ул. вл. 17  корп. 1 и корп. 2, 
район Марьина Роща</v>
      </c>
      <c r="F962" s="25" t="str">
        <f>IFERROR(__xludf.DUMMYFUNCTION("""COMPUTED_VALUE"""),"55.798156")</f>
        <v>55.798156</v>
      </c>
      <c r="G962" s="6" t="str">
        <f>IFERROR(__xludf.DUMMYFUNCTION("""COMPUTED_VALUE"""),"37.614859")</f>
        <v>37.614859</v>
      </c>
      <c r="H962" s="18" t="str">
        <f>IFERROR(__xludf.DUMMYFUNCTION("""COMPUTED_VALUE"""),"https://docs.google.com/spreadsheets/d/1rbCD10ySi4YZEkJW2_Slmn9z7AI1WEsGsZaIJmnnT18/edit?gid=49686517#gid=49686517")</f>
        <v>https://docs.google.com/spreadsheets/d/1rbCD10ySi4YZEkJW2_Slmn9z7AI1WEsGsZaIJmnnT18/edit?gid=49686517#gid=49686517</v>
      </c>
      <c r="I962" s="19" t="str">
        <f>IFERROR(__xludf.DUMMYFUNCTION("""COMPUTED_VALUE"""),"https://disk.yandex.ru/client/disk/Осмотры%20объектов%20АНО%20СМГ/665.%20Шереметьевская%20ул.%2C%20вл.%2017%2C%20Корп.%201%2C2")</f>
        <v>https://disk.yandex.ru/client/disk/Осмотры%20объектов%20АНО%20СМГ/665.%20Шереметьевская%20ул.%2C%20вл.%2017%2C%20Корп.%201%2C2</v>
      </c>
      <c r="J962" s="50">
        <f>IFERROR(__xludf.DUMMYFUNCTION("""COMPUTED_VALUE"""),0.0)</f>
        <v>0</v>
      </c>
      <c r="K962" s="58">
        <f>IFERROR(__xludf.DUMMYFUNCTION("""COMPUTED_VALUE"""),45967.0)</f>
        <v>45967</v>
      </c>
      <c r="L962" s="6">
        <v>30.0</v>
      </c>
      <c r="M962" s="52">
        <v>45997.0</v>
      </c>
      <c r="N962" s="53" t="s">
        <v>711</v>
      </c>
      <c r="O962" s="19" t="s">
        <v>1196</v>
      </c>
      <c r="P962" s="6"/>
      <c r="Q962" s="6"/>
      <c r="R962" s="6"/>
    </row>
    <row r="963">
      <c r="A963" s="31" t="str">
        <f>IFERROR(__xludf.DUMMYFUNCTION("""COMPUTED_VALUE"""),"649")</f>
        <v>649</v>
      </c>
      <c r="B963" s="14" t="str">
        <f>IFERROR(__xludf.DUMMYFUNCTION("""COMPUTED_VALUE"""),"РЕН-26")</f>
        <v>РЕН-26</v>
      </c>
      <c r="C963" s="14" t="str">
        <f>IFERROR(__xludf.DUMMYFUNCTION("""COMPUTED_VALUE"""),"ОКС")</f>
        <v>ОКС</v>
      </c>
      <c r="D963" s="6"/>
      <c r="E963" s="14" t="str">
        <f>IFERROR(__xludf.DUMMYFUNCTION("""COMPUTED_VALUE"""),"3-я Прядильная ул., з/у 4 (3-я Прядильная ул. вл.4) ВАО, район Измайлово, 3-я Прядильная ул., зу 4  (рефинансирование)")</f>
        <v>3-я Прядильная ул., з/у 4 (3-я Прядильная ул. вл.4) ВАО, район Измайлово, 3-я Прядильная ул., зу 4  (рефинансирование)</v>
      </c>
      <c r="F963" s="25" t="str">
        <f>IFERROR(__xludf.DUMMYFUNCTION("""COMPUTED_VALUE"""),"55.797134")</f>
        <v>55.797134</v>
      </c>
      <c r="G963" s="6" t="str">
        <f>IFERROR(__xludf.DUMMYFUNCTION("""COMPUTED_VALUE"""),"37.771091")</f>
        <v>37.771091</v>
      </c>
      <c r="H963" s="18" t="str">
        <f>IFERROR(__xludf.DUMMYFUNCTION("""COMPUTED_VALUE"""),"https://docs.google.com/spreadsheets/d/1rbCD10ySi4YZEkJW2_Slmn9z7AI1WEsGsZaIJmnnT18/edit?gid=9074212#gid=9074212")</f>
        <v>https://docs.google.com/spreadsheets/d/1rbCD10ySi4YZEkJW2_Slmn9z7AI1WEsGsZaIJmnnT18/edit?gid=9074212#gid=9074212</v>
      </c>
      <c r="I963" s="19" t="str">
        <f>IFERROR(__xludf.DUMMYFUNCTION("""COMPUTED_VALUE"""),"https://disk.yandex.ru/client/disk/Осмотры%20объектов%20АНО%20СМГ/649%203-я%20Прядильная%20ул.%2C%20зу%204")</f>
        <v>https://disk.yandex.ru/client/disk/Осмотры%20объектов%20АНО%20СМГ/649%203-я%20Прядильная%20ул.%2C%20зу%204</v>
      </c>
      <c r="J963" s="50">
        <f>IFERROR(__xludf.DUMMYFUNCTION("""COMPUTED_VALUE"""),0.0)</f>
        <v>0</v>
      </c>
      <c r="K963" s="58">
        <f>IFERROR(__xludf.DUMMYFUNCTION("""COMPUTED_VALUE"""),45975.0)</f>
        <v>45975</v>
      </c>
      <c r="L963" s="6">
        <v>30.0</v>
      </c>
      <c r="M963" s="52">
        <v>46005.0</v>
      </c>
      <c r="N963" s="53" t="s">
        <v>711</v>
      </c>
      <c r="O963" s="19" t="s">
        <v>669</v>
      </c>
      <c r="P963" s="6"/>
      <c r="Q963" s="6"/>
      <c r="R963" s="6"/>
    </row>
    <row r="964">
      <c r="A964" s="31" t="str">
        <f>IFERROR(__xludf.DUMMYFUNCTION("""COMPUTED_VALUE"""),"971")</f>
        <v>971</v>
      </c>
      <c r="B964" s="14" t="str">
        <f>IFERROR(__xludf.DUMMYFUNCTION("""COMPUTED_VALUE"""),"РЕН-26")</f>
        <v>РЕН-26</v>
      </c>
      <c r="C964" s="14" t="str">
        <f>IFERROR(__xludf.DUMMYFUNCTION("""COMPUTED_VALUE"""),"ОКС")</f>
        <v>ОКС</v>
      </c>
      <c r="D964" s="6"/>
      <c r="E964" s="14" t="str">
        <f>IFERROR(__xludf.DUMMYFUNCTION("""COMPUTED_VALUE"""),"ул. Судакова, з/у 5 (Судакова ул., влд. 5) ул. Судакова, з/у 5 (судакова ул., влд. 5)")</f>
        <v>ул. Судакова, з/у 5 (Судакова ул., влд. 5) ул. Судакова, з/у 5 (судакова ул., влд. 5)</v>
      </c>
      <c r="F964" s="25" t="str">
        <f>IFERROR(__xludf.DUMMYFUNCTION("""COMPUTED_VALUE"""),"55.672750")</f>
        <v>55.672750</v>
      </c>
      <c r="G964" s="6" t="str">
        <f>IFERROR(__xludf.DUMMYFUNCTION("""COMPUTED_VALUE"""),"37.742580")</f>
        <v>37.742580</v>
      </c>
      <c r="H964" s="18" t="str">
        <f>IFERROR(__xludf.DUMMYFUNCTION("""COMPUTED_VALUE"""),"https://docs.google.com/spreadsheets/d/1rbCD10ySi4YZEkJW2_Slmn9z7AI1WEsGsZaIJmnnT18/edit?gid=1956094116#gid=1956094116")</f>
        <v>https://docs.google.com/spreadsheets/d/1rbCD10ySi4YZEkJW2_Slmn9z7AI1WEsGsZaIJmnnT18/edit?gid=1956094116#gid=1956094116</v>
      </c>
      <c r="I964" s="19" t="str">
        <f>IFERROR(__xludf.DUMMYFUNCTION("""COMPUTED_VALUE"""),"https://disk.yandex.ru/client/disk/Осмотры%20объектов%20АНО%20СМГ/971.%20ул.%20Судакова%2C%20з.у%205%20(Судакова%20ул.%2C%20влд.%205)")</f>
        <v>https://disk.yandex.ru/client/disk/Осмотры%20объектов%20АНО%20СМГ/971.%20ул.%20Судакова%2C%20з.у%205%20(Судакова%20ул.%2C%20влд.%205)</v>
      </c>
      <c r="J964" s="50">
        <f>IFERROR(__xludf.DUMMYFUNCTION("""COMPUTED_VALUE"""),23.61489)</f>
        <v>23.61489</v>
      </c>
      <c r="K964" s="58">
        <f>IFERROR(__xludf.DUMMYFUNCTION("""COMPUTED_VALUE"""),45975.0)</f>
        <v>45975</v>
      </c>
      <c r="L964" s="6">
        <v>30.0</v>
      </c>
      <c r="M964" s="52">
        <v>46005.0</v>
      </c>
      <c r="N964" s="53" t="s">
        <v>711</v>
      </c>
      <c r="O964" s="19" t="s">
        <v>669</v>
      </c>
      <c r="P964" s="6"/>
      <c r="Q964" s="6"/>
      <c r="R964" s="6"/>
    </row>
    <row r="965">
      <c r="A965" s="31" t="str">
        <f>IFERROR(__xludf.DUMMYFUNCTION("""COMPUTED_VALUE"""),"975")</f>
        <v>975</v>
      </c>
      <c r="B965" s="14" t="str">
        <f>IFERROR(__xludf.DUMMYFUNCTION("""COMPUTED_VALUE"""),"РЕН-26")</f>
        <v>РЕН-26</v>
      </c>
      <c r="C965" s="14" t="str">
        <f>IFERROR(__xludf.DUMMYFUNCTION("""COMPUTED_VALUE"""),"ОКС")</f>
        <v>ОКС</v>
      </c>
      <c r="D965" s="6"/>
      <c r="E965" s="14" t="str">
        <f>IFERROR(__xludf.DUMMYFUNCTION("""COMPUTED_VALUE"""),"ул. Труда, з/у 1 (ул. Труда, вл. 1, 2, 3, 4) ул. Труда, з/у 1 (ул. Труда, вл. 1, 2, 3, 4)")</f>
        <v>ул. Труда, з/у 1 (ул. Труда, вл. 1, 2, 3, 4) ул. Труда, з/у 1 (ул. Труда, вл. 1, 2, 3, 4)</v>
      </c>
      <c r="F965" s="25" t="str">
        <f>IFERROR(__xludf.DUMMYFUNCTION("""COMPUTED_VALUE"""),"55.602327")</f>
        <v>55.602327</v>
      </c>
      <c r="G965" s="6" t="str">
        <f>IFERROR(__xludf.DUMMYFUNCTION("""COMPUTED_VALUE"""),"37.171928")</f>
        <v>37.171928</v>
      </c>
      <c r="H965" s="18" t="str">
        <f>IFERROR(__xludf.DUMMYFUNCTION("""COMPUTED_VALUE"""),"https://docs.google.com/spreadsheets/d/1rbCD10ySi4YZEkJW2_Slmn9z7AI1WEsGsZaIJmnnT18/edit?gid=1886195207#gid=1886195207")</f>
        <v>https://docs.google.com/spreadsheets/d/1rbCD10ySi4YZEkJW2_Slmn9z7AI1WEsGsZaIJmnnT18/edit?gid=1886195207#gid=1886195207</v>
      </c>
      <c r="I965" s="19" t="str">
        <f>IFERROR(__xludf.DUMMYFUNCTION("""COMPUTED_VALUE"""),"https://disk.yandex.ru/client/disk/Осмотры%20объектов%20АНО%20СМГ/975.%20жилой%20дом%20ул%2C%20Труда%20зу1")</f>
        <v>https://disk.yandex.ru/client/disk/Осмотры%20объектов%20АНО%20СМГ/975.%20жилой%20дом%20ул%2C%20Труда%20зу1</v>
      </c>
      <c r="J965" s="50">
        <f>IFERROR(__xludf.DUMMYFUNCTION("""COMPUTED_VALUE"""),0.0)</f>
        <v>0</v>
      </c>
      <c r="K965" s="58">
        <f>IFERROR(__xludf.DUMMYFUNCTION("""COMPUTED_VALUE"""),45967.0)</f>
        <v>45967</v>
      </c>
      <c r="L965" s="6">
        <v>30.0</v>
      </c>
      <c r="M965" s="52">
        <v>45997.0</v>
      </c>
      <c r="N965" s="53" t="s">
        <v>711</v>
      </c>
      <c r="O965" s="19" t="s">
        <v>1197</v>
      </c>
      <c r="P965" s="6"/>
      <c r="Q965" s="6"/>
      <c r="R965" s="6"/>
    </row>
    <row r="966">
      <c r="A966" s="31" t="str">
        <f>IFERROR(__xludf.DUMMYFUNCTION("""COMPUTED_VALUE"""),"1016")</f>
        <v>1016</v>
      </c>
      <c r="B966" s="14" t="str">
        <f>IFERROR(__xludf.DUMMYFUNCTION("""COMPUTED_VALUE"""),"РЕН-26")</f>
        <v>РЕН-26</v>
      </c>
      <c r="C966" s="14" t="str">
        <f>IFERROR(__xludf.DUMMYFUNCTION("""COMPUTED_VALUE"""),"ОКС")</f>
        <v>ОКС</v>
      </c>
      <c r="D966" s="6"/>
      <c r="E966" s="14" t="str">
        <f>IFERROR(__xludf.DUMMYFUNCTION("""COMPUTED_VALUE"""),"Жилой дом с инженерными сетями и благоустройством территории, СВАО, район Останкинский, Годовикова ул., вл. 12, корп. 1, 2 Годовикова ул., вл.12, к.1, 2")</f>
        <v>Жилой дом с инженерными сетями и благоустройством территории, СВАО, район Останкинский, Годовикова ул., вл. 12, корп. 1, 2 Годовикова ул., вл.12, к.1, 2</v>
      </c>
      <c r="F966" s="25" t="str">
        <f>IFERROR(__xludf.DUMMYFUNCTION("""COMPUTED_VALUE"""),"55.807462")</f>
        <v>55.807462</v>
      </c>
      <c r="G966" s="6" t="str">
        <f>IFERROR(__xludf.DUMMYFUNCTION("""COMPUTED_VALUE"""),"37.631985")</f>
        <v>37.631985</v>
      </c>
      <c r="H966" s="18" t="str">
        <f>IFERROR(__xludf.DUMMYFUNCTION("""COMPUTED_VALUE"""),"https://docs.google.com/spreadsheets/d/1rbCD10ySi4YZEkJW2_Slmn9z7AI1WEsGsZaIJmnnT18/edit?gid=1347270596#gid=1347270596")</f>
        <v>https://docs.google.com/spreadsheets/d/1rbCD10ySi4YZEkJW2_Slmn9z7AI1WEsGsZaIJmnnT18/edit?gid=1347270596#gid=1347270596</v>
      </c>
      <c r="I966" s="19" t="str">
        <f>IFERROR(__xludf.DUMMYFUNCTION("""COMPUTED_VALUE"""),"https://disk.yandex.ru/client/disk/Осмотры%20объектов%20АНО%20СМГ/1016%20ул.%20Годикова%2C%20вл.%2012%2C%20кор.%201%2C2")</f>
        <v>https://disk.yandex.ru/client/disk/Осмотры%20объектов%20АНО%20СМГ/1016%20ул.%20Годикова%2C%20вл.%2012%2C%20кор.%201%2C2</v>
      </c>
      <c r="J966" s="50">
        <f>IFERROR(__xludf.DUMMYFUNCTION("""COMPUTED_VALUE"""),0.0)</f>
        <v>0</v>
      </c>
      <c r="K966" s="58">
        <f>IFERROR(__xludf.DUMMYFUNCTION("""COMPUTED_VALUE"""),45954.0)</f>
        <v>45954</v>
      </c>
      <c r="L966" s="6">
        <v>30.0</v>
      </c>
      <c r="M966" s="52">
        <v>45984.0</v>
      </c>
      <c r="N966" s="53" t="s">
        <v>741</v>
      </c>
      <c r="O966" s="19" t="s">
        <v>669</v>
      </c>
      <c r="P966" s="6"/>
      <c r="Q966" s="6"/>
      <c r="R966" s="6"/>
    </row>
    <row r="967">
      <c r="A967" s="31" t="str">
        <f>IFERROR(__xludf.DUMMYFUNCTION("""COMPUTED_VALUE"""),"708")</f>
        <v>708</v>
      </c>
      <c r="B967" s="14" t="str">
        <f>IFERROR(__xludf.DUMMYFUNCTION("""COMPUTED_VALUE"""),"РЕН-26")</f>
        <v>РЕН-26</v>
      </c>
      <c r="C967" s="14" t="str">
        <f>IFERROR(__xludf.DUMMYFUNCTION("""COMPUTED_VALUE"""),"ОКС")</f>
        <v>ОКС</v>
      </c>
      <c r="D967" s="6"/>
      <c r="E967" s="14" t="str">
        <f>IFERROR(__xludf.DUMMYFUNCTION("""COMPUTED_VALUE"""),"улица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f>
        <v>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v>
      </c>
      <c r="F967" s="25" t="str">
        <f>IFERROR(__xludf.DUMMYFUNCTION("""COMPUTED_VALUE"""),"55.816341")</f>
        <v>55.816341</v>
      </c>
      <c r="G967" s="6" t="str">
        <f>IFERROR(__xludf.DUMMYFUNCTION("""COMPUTED_VALUE"""),"37.792496")</f>
        <v>37.792496</v>
      </c>
      <c r="H967" s="18" t="str">
        <f>IFERROR(__xludf.DUMMYFUNCTION("""COMPUTED_VALUE"""),"https://docs.google.com/spreadsheets/d/1rbCD10ySi4YZEkJW2_Slmn9z7AI1WEsGsZaIJmnnT18/edit?gid=1294085884#gid=1294085884")</f>
        <v>https://docs.google.com/spreadsheets/d/1rbCD10ySi4YZEkJW2_Slmn9z7AI1WEsGsZaIJmnnT18/edit?gid=1294085884#gid=1294085884</v>
      </c>
      <c r="I967" s="21" t="str">
        <f>IFERROR(__xludf.DUMMYFUNCTION("""COMPUTED_VALUE"""),"https://disk.yandex.ru/client/disk/%D0%9E%D1%81%D0%BC%D0%BE%D1%82%D1%80%D1%8B%20%D0%BE%D0%B1%D1%8A%D0%B5%D0%BA%D1%82%D0%BE%D0%B2%20%D0%90%D0%9D%D0%9E%20%D0%A1%D0%9C%D0%93/708%20%D0%93%D0%BE%D0%BB%D1%8C%D1%8F%D0%BD%D0%BE%D0%B2%D0%BE%2C%20%D1%83%D0%BB%20%D0"&amp;"%91%D0%B0%D0%B9%D0%BA%D0%B0%D0%BB%D1%8C%D1%81%D0%BA%D0%B0%D1%8F%20%D0%B7%D1%83%2016.11%20%D1%83%D1%87%D0%B0%D1%81%D1%82%D0%BA%D0%B8%2010.1%2C%2010.2%20%2C%2010.3%20")</f>
        <v>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v>
      </c>
      <c r="J967" s="50">
        <f>IFERROR(__xludf.DUMMYFUNCTION("""COMPUTED_VALUE"""),5.2452)</f>
        <v>5.2452</v>
      </c>
      <c r="K967" s="58">
        <f>IFERROR(__xludf.DUMMYFUNCTION("""COMPUTED_VALUE"""),45974.0)</f>
        <v>45974</v>
      </c>
      <c r="L967" s="6">
        <v>30.0</v>
      </c>
      <c r="M967" s="52">
        <v>46004.0</v>
      </c>
      <c r="N967" s="53" t="s">
        <v>711</v>
      </c>
      <c r="O967" s="19" t="s">
        <v>669</v>
      </c>
      <c r="P967" s="6"/>
      <c r="Q967" s="6"/>
      <c r="R967" s="6"/>
    </row>
    <row r="968">
      <c r="A968" s="31" t="str">
        <f>IFERROR(__xludf.DUMMYFUNCTION("""COMPUTED_VALUE"""),"837")</f>
        <v>837</v>
      </c>
      <c r="B968" s="14" t="str">
        <f>IFERROR(__xludf.DUMMYFUNCTION("""COMPUTED_VALUE"""),"РЕН-26")</f>
        <v>РЕН-26</v>
      </c>
      <c r="C968" s="14" t="str">
        <f>IFERROR(__xludf.DUMMYFUNCTION("""COMPUTED_VALUE"""),"ОКС")</f>
        <v>ОКС</v>
      </c>
      <c r="D968" s="6"/>
      <c r="E968" s="14" t="str">
        <f>IFERROR(__xludf.DUMMYFUNCTION("""COMPUTED_VALUE"""),"улица Жигулевская, земельный участок 3/3/1 ЮВАО        улица Жигулёвская, земельный участок 3/3/1")</f>
        <v>улица Жигулевская, земельный участок 3/3/1 ЮВАО        улица Жигулёвская, земельный участок 3/3/1</v>
      </c>
      <c r="F968" s="25" t="str">
        <f>IFERROR(__xludf.DUMMYFUNCTION("""COMPUTED_VALUE"""),"55.712834")</f>
        <v>55.712834</v>
      </c>
      <c r="G968" s="6" t="str">
        <f>IFERROR(__xludf.DUMMYFUNCTION("""COMPUTED_VALUE"""),"37.762931")</f>
        <v>37.762931</v>
      </c>
      <c r="H968" s="18" t="str">
        <f>IFERROR(__xludf.DUMMYFUNCTION("""COMPUTED_VALUE"""),"https://docs.google.com/spreadsheets/d/1rbCD10ySi4YZEkJW2_Slmn9z7AI1WEsGsZaIJmnnT18/edit?gid=858056712#gid=858056712")</f>
        <v>https://docs.google.com/spreadsheets/d/1rbCD10ySi4YZEkJW2_Slmn9z7AI1WEsGsZaIJmnnT18/edit?gid=858056712#gid=858056712</v>
      </c>
      <c r="I968" s="19" t="str">
        <f>IFERROR(__xludf.DUMMYFUNCTION("""COMPUTED_VALUE"""),"https://disk.yandex.ru/client/disk/Осмотры%20объектов%20АНО%20СМГ/837.%20Жигулевская%20ул.%2C%20з-у%203-3-1.%20Жилой%20дом")</f>
        <v>https://disk.yandex.ru/client/disk/Осмотры%20объектов%20АНО%20СМГ/837.%20Жигулевская%20ул.%2C%20з-у%203-3-1.%20Жилой%20дом</v>
      </c>
      <c r="J968" s="50">
        <f>IFERROR(__xludf.DUMMYFUNCTION("""COMPUTED_VALUE"""),0.0)</f>
        <v>0</v>
      </c>
      <c r="K968" s="58">
        <f>IFERROR(__xludf.DUMMYFUNCTION("""COMPUTED_VALUE"""),45973.0)</f>
        <v>45973</v>
      </c>
      <c r="L968" s="6">
        <v>30.0</v>
      </c>
      <c r="M968" s="52">
        <v>46003.0</v>
      </c>
      <c r="N968" s="53" t="s">
        <v>711</v>
      </c>
      <c r="O968" s="19" t="s">
        <v>669</v>
      </c>
      <c r="P968" s="6"/>
      <c r="Q968" s="6"/>
      <c r="R968" s="6"/>
    </row>
    <row r="969">
      <c r="A969" s="31" t="str">
        <f>IFERROR(__xludf.DUMMYFUNCTION("""COMPUTED_VALUE"""),"850")</f>
        <v>850</v>
      </c>
      <c r="B969" s="14" t="str">
        <f>IFERROR(__xludf.DUMMYFUNCTION("""COMPUTED_VALUE"""),"РЕН-26")</f>
        <v>РЕН-26</v>
      </c>
      <c r="C969" s="14" t="str">
        <f>IFERROR(__xludf.DUMMYFUNCTION("""COMPUTED_VALUE"""),"ОКС")</f>
        <v>ОКС</v>
      </c>
      <c r="D969" s="6"/>
      <c r="E969" s="14" t="str">
        <f>IFERROR(__xludf.DUMMYFUNCTION("""COMPUTED_VALUE"""),"Жилой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f>
        <v>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v>
      </c>
      <c r="F969" s="25" t="str">
        <f>IFERROR(__xludf.DUMMYFUNCTION("""COMPUTED_VALUE"""),"55.818731")</f>
        <v>55.818731</v>
      </c>
      <c r="G969" s="6" t="str">
        <f>IFERROR(__xludf.DUMMYFUNCTION("""COMPUTED_VALUE"""),"37.463457")</f>
        <v>37.463457</v>
      </c>
      <c r="H969" s="18" t="str">
        <f>IFERROR(__xludf.DUMMYFUNCTION("""COMPUTED_VALUE"""),"https://docs.google.com/spreadsheets/d/1rbCD10ySi4YZEkJW2_Slmn9z7AI1WEsGsZaIJmnnT18/edit?gid=625147630#gid=625147630")</f>
        <v>https://docs.google.com/spreadsheets/d/1rbCD10ySi4YZEkJW2_Slmn9z7AI1WEsGsZaIJmnnT18/edit?gid=625147630#gid=625147630</v>
      </c>
      <c r="I969" s="19" t="str">
        <f>IFERROR(__xludf.DUMMYFUNCTION("""COMPUTED_VALUE"""),"https://disk.yandex.ru/client/disk/Осмотры%20объектов%20АНО%20СМГ/850.%20Сосновая%20аллея.%2C%20влд.%204")</f>
        <v>https://disk.yandex.ru/client/disk/Осмотры%20объектов%20АНО%20СМГ/850.%20Сосновая%20аллея.%2C%20влд.%204</v>
      </c>
      <c r="J969" s="50">
        <f>IFERROR(__xludf.DUMMYFUNCTION("""COMPUTED_VALUE"""),0.0)</f>
        <v>0</v>
      </c>
      <c r="K969" s="58">
        <f>IFERROR(__xludf.DUMMYFUNCTION("""COMPUTED_VALUE"""),45974.0)</f>
        <v>45974</v>
      </c>
      <c r="L969" s="6">
        <v>30.0</v>
      </c>
      <c r="M969" s="52">
        <v>46004.0</v>
      </c>
      <c r="N969" s="53" t="s">
        <v>711</v>
      </c>
      <c r="O969" s="19" t="s">
        <v>893</v>
      </c>
      <c r="P969" s="6"/>
      <c r="Q969" s="6"/>
      <c r="R969" s="6"/>
    </row>
    <row r="970">
      <c r="A970" s="31" t="str">
        <f>IFERROR(__xludf.DUMMYFUNCTION("""COMPUTED_VALUE"""),"851")</f>
        <v>851</v>
      </c>
      <c r="B970" s="14" t="str">
        <f>IFERROR(__xludf.DUMMYFUNCTION("""COMPUTED_VALUE"""),"РЕН-26")</f>
        <v>РЕН-26</v>
      </c>
      <c r="C970" s="14" t="str">
        <f>IFERROR(__xludf.DUMMYFUNCTION("""COMPUTED_VALUE"""),"ОКС")</f>
        <v>ОКС</v>
      </c>
      <c r="D970" s="6"/>
      <c r="E970" s="14" t="str">
        <f>IFERROR(__xludf.DUMMYFUNCTION("""COMPUTED_VALUE"""),"улица Верхние Поля, земельный участок 17 (зоны 4.1 и 4.3) улица Верхние Поля, земельный участок 17 (зоны 4.1 и 4.3)")</f>
        <v>улица Верхние Поля, земельный участок 17 (зоны 4.1 и 4.3) улица Верхние Поля, земельный участок 17 (зоны 4.1 и 4.3)</v>
      </c>
      <c r="F970" s="25" t="str">
        <f>IFERROR(__xludf.DUMMYFUNCTION("""COMPUTED_VALUE"""),"55.666430")</f>
        <v>55.666430</v>
      </c>
      <c r="G970" s="6" t="str">
        <f>IFERROR(__xludf.DUMMYFUNCTION("""COMPUTED_VALUE"""),"37.749082")</f>
        <v>37.749082</v>
      </c>
      <c r="H970" s="18" t="str">
        <f>IFERROR(__xludf.DUMMYFUNCTION("""COMPUTED_VALUE"""),"https://docs.google.com/spreadsheets/d/1rbCD10ySi4YZEkJW2_Slmn9z7AI1WEsGsZaIJmnnT18/edit?gid=632308495#gid=632308495")</f>
        <v>https://docs.google.com/spreadsheets/d/1rbCD10ySi4YZEkJW2_Slmn9z7AI1WEsGsZaIJmnnT18/edit?gid=632308495#gid=632308495</v>
      </c>
      <c r="I970" s="19" t="str">
        <f>IFERROR(__xludf.DUMMYFUNCTION("""COMPUTED_VALUE"""),"https://disk.yandex.ru/client/disk/Осмотры%20объектов%20АНО%20СМГ/851.%20жилой%20дом%20Верхние%20поля%20зу17")</f>
        <v>https://disk.yandex.ru/client/disk/Осмотры%20объектов%20АНО%20СМГ/851.%20жилой%20дом%20Верхние%20поля%20зу17</v>
      </c>
      <c r="J970" s="50">
        <f>IFERROR(__xludf.DUMMYFUNCTION("""COMPUTED_VALUE"""),0.0)</f>
        <v>0</v>
      </c>
      <c r="K970" s="58">
        <f>IFERROR(__xludf.DUMMYFUNCTION("""COMPUTED_VALUE"""),45973.0)</f>
        <v>45973</v>
      </c>
      <c r="L970" s="6">
        <v>30.0</v>
      </c>
      <c r="M970" s="52">
        <v>46003.0</v>
      </c>
      <c r="N970" s="53" t="s">
        <v>711</v>
      </c>
      <c r="O970" s="19" t="s">
        <v>669</v>
      </c>
      <c r="P970" s="6"/>
      <c r="Q970" s="6"/>
      <c r="R970" s="6"/>
    </row>
    <row r="971">
      <c r="A971" s="31" t="str">
        <f>IFERROR(__xludf.DUMMYFUNCTION("""COMPUTED_VALUE"""),"852")</f>
        <v>852</v>
      </c>
      <c r="B971" s="14" t="str">
        <f>IFERROR(__xludf.DUMMYFUNCTION("""COMPUTED_VALUE"""),"РЕН-26")</f>
        <v>РЕН-26</v>
      </c>
      <c r="C971" s="14" t="str">
        <f>IFERROR(__xludf.DUMMYFUNCTION("""COMPUTED_VALUE"""),"ОКС")</f>
        <v>ОКС</v>
      </c>
      <c r="D971" s="6"/>
      <c r="E971" s="14" t="str">
        <f>IFERROR(__xludf.DUMMYFUNCTION("""COMPUTED_VALUE"""),"улица Таганрогская, земельный участок 8 улица Таганрогская, земельный участок 8")</f>
        <v>улица Таганрогская, земельный участок 8 улица Таганрогская, земельный участок 8</v>
      </c>
      <c r="F971" s="25" t="str">
        <f>IFERROR(__xludf.DUMMYFUNCTION("""COMPUTED_VALUE"""),"55.683838")</f>
        <v>55.683838</v>
      </c>
      <c r="G971" s="6" t="str">
        <f>IFERROR(__xludf.DUMMYFUNCTION("""COMPUTED_VALUE"""),"37.755823")</f>
        <v>37.755823</v>
      </c>
      <c r="H971" s="18" t="str">
        <f>IFERROR(__xludf.DUMMYFUNCTION("""COMPUTED_VALUE"""),"https://docs.google.com/spreadsheets/d/1rbCD10ySi4YZEkJW2_Slmn9z7AI1WEsGsZaIJmnnT18/edit?gid=918222638#gid=918222638")</f>
        <v>https://docs.google.com/spreadsheets/d/1rbCD10ySi4YZEkJW2_Slmn9z7AI1WEsGsZaIJmnnT18/edit?gid=918222638#gid=918222638</v>
      </c>
      <c r="I971" s="19" t="str">
        <f>IFERROR(__xludf.DUMMYFUNCTION("""COMPUTED_VALUE"""),"https://disk.yandex.ru/client/disk/Осмотры%20объектов%20АНО%20СМГ/852.%20Таганрогская%20ул.%2C%20з!у%208")</f>
        <v>https://disk.yandex.ru/client/disk/Осмотры%20объектов%20АНО%20СМГ/852.%20Таганрогская%20ул.%2C%20з!у%208</v>
      </c>
      <c r="J971" s="50">
        <f>IFERROR(__xludf.DUMMYFUNCTION("""COMPUTED_VALUE"""),0.06)</f>
        <v>0.06</v>
      </c>
      <c r="K971" s="58">
        <f>IFERROR(__xludf.DUMMYFUNCTION("""COMPUTED_VALUE"""),45973.0)</f>
        <v>45973</v>
      </c>
      <c r="L971" s="6">
        <v>30.0</v>
      </c>
      <c r="M971" s="52">
        <v>46003.0</v>
      </c>
      <c r="N971" s="53" t="s">
        <v>711</v>
      </c>
      <c r="O971" s="19" t="s">
        <v>893</v>
      </c>
      <c r="P971" s="6"/>
      <c r="Q971" s="6"/>
      <c r="R971" s="6"/>
    </row>
    <row r="972">
      <c r="A972" s="31" t="str">
        <f>IFERROR(__xludf.DUMMYFUNCTION("""COMPUTED_VALUE"""),"854")</f>
        <v>854</v>
      </c>
      <c r="B972" s="14" t="str">
        <f>IFERROR(__xludf.DUMMYFUNCTION("""COMPUTED_VALUE"""),"РЕН-26")</f>
        <v>РЕН-26</v>
      </c>
      <c r="C972" s="14" t="str">
        <f>IFERROR(__xludf.DUMMYFUNCTION("""COMPUTED_VALUE"""),"ОКС")</f>
        <v>ОКС</v>
      </c>
      <c r="D972" s="6"/>
      <c r="E972" s="14" t="str">
        <f>IFERROR(__xludf.DUMMYFUNCTION("""COMPUTED_VALUE"""),"2-я Прядильная ул., вл.9 (Приобретение объектов недвижимости) ВАО	2-я Прядильная ул., вл.9 (Приобретение объектов недвижимости)")</f>
        <v>2-я Прядильная ул., вл.9 (Приобретение объектов недвижимости) ВАО	2-я Прядильная ул., вл.9 (Приобретение объектов недвижимости)</v>
      </c>
      <c r="F972" s="25" t="str">
        <f>IFERROR(__xludf.DUMMYFUNCTION("""COMPUTED_VALUE"""),"55.796355")</f>
        <v>55.796355</v>
      </c>
      <c r="G972" s="6" t="str">
        <f>IFERROR(__xludf.DUMMYFUNCTION("""COMPUTED_VALUE"""),"37.780896")</f>
        <v>37.780896</v>
      </c>
      <c r="H972" s="18" t="str">
        <f>IFERROR(__xludf.DUMMYFUNCTION("""COMPUTED_VALUE"""),"https://docs.google.com/spreadsheets/d/1rbCD10ySi4YZEkJW2_Slmn9z7AI1WEsGsZaIJmnnT18/edit?gid=1108501275#gid=1108501275")</f>
        <v>https://docs.google.com/spreadsheets/d/1rbCD10ySi4YZEkJW2_Slmn9z7AI1WEsGsZaIJmnnT18/edit?gid=1108501275#gid=1108501275</v>
      </c>
      <c r="I972" s="19" t="str">
        <f>IFERROR(__xludf.DUMMYFUNCTION("""COMPUTED_VALUE"""),"https://disk.yandex.ru/client/disk/Осмотры%20объектов%20АНО%20СМГ/854%202-я%20Прядильная%20ул%2C%20зу%209")</f>
        <v>https://disk.yandex.ru/client/disk/Осмотры%20объектов%20АНО%20СМГ/854%202-я%20Прядильная%20ул%2C%20зу%209</v>
      </c>
      <c r="J972" s="50">
        <f>IFERROR(__xludf.DUMMYFUNCTION("""COMPUTED_VALUE"""),0.0)</f>
        <v>0</v>
      </c>
      <c r="K972" s="58">
        <f>IFERROR(__xludf.DUMMYFUNCTION("""COMPUTED_VALUE"""),45973.0)</f>
        <v>45973</v>
      </c>
      <c r="L972" s="6">
        <v>30.0</v>
      </c>
      <c r="M972" s="52">
        <v>46003.0</v>
      </c>
      <c r="N972" s="53" t="s">
        <v>711</v>
      </c>
      <c r="O972" s="19" t="s">
        <v>893</v>
      </c>
      <c r="P972" s="6"/>
      <c r="Q972" s="6"/>
      <c r="R972" s="6"/>
    </row>
    <row r="973">
      <c r="A973" s="31" t="str">
        <f>IFERROR(__xludf.DUMMYFUNCTION("""COMPUTED_VALUE"""),"863")</f>
        <v>863</v>
      </c>
      <c r="B973" s="14" t="str">
        <f>IFERROR(__xludf.DUMMYFUNCTION("""COMPUTED_VALUE"""),"РЕН-26")</f>
        <v>РЕН-26</v>
      </c>
      <c r="C973" s="14" t="str">
        <f>IFERROR(__xludf.DUMMYFUNCTION("""COMPUTED_VALUE"""),"ОКС")</f>
        <v>ОКС</v>
      </c>
      <c r="D973" s="6"/>
      <c r="E973" s="14" t="str">
        <f>IFERROR(__xludf.DUMMYFUNCTION("""COMPUTED_VALUE"""),"ул. Каховка, земельный участок 14/2  ул. Каховка, земельный участок 14/2")</f>
        <v>ул. Каховка, земельный участок 14/2  ул. Каховка, земельный участок 14/2</v>
      </c>
      <c r="F973" s="25" t="str">
        <f>IFERROR(__xludf.DUMMYFUNCTION("""COMPUTED_VALUE"""),"55.655884")</f>
        <v>55.655884</v>
      </c>
      <c r="G973" s="6" t="str">
        <f>IFERROR(__xludf.DUMMYFUNCTION("""COMPUTED_VALUE"""),"37.576879")</f>
        <v>37.576879</v>
      </c>
      <c r="H973" s="18" t="str">
        <f>IFERROR(__xludf.DUMMYFUNCTION("""COMPUTED_VALUE"""),"https://docs.google.com/spreadsheets/d/1rbCD10ySi4YZEkJW2_Slmn9z7AI1WEsGsZaIJmnnT18/edit?gid=900983135#gid=900983135")</f>
        <v>https://docs.google.com/spreadsheets/d/1rbCD10ySi4YZEkJW2_Slmn9z7AI1WEsGsZaIJmnnT18/edit?gid=900983135#gid=900983135</v>
      </c>
      <c r="I973" s="19" t="str">
        <f>IFERROR(__xludf.DUMMYFUNCTION("""COMPUTED_VALUE"""),"https://disk.yandex.ru/client/disk/Осмотры%20объектов%20АНО%20СМГ/863.%20ул.%20Каховка%2C%20земельный%20участок%2014-2")</f>
        <v>https://disk.yandex.ru/client/disk/Осмотры%20объектов%20АНО%20СМГ/863.%20ул.%20Каховка%2C%20земельный%20участок%2014-2</v>
      </c>
      <c r="J973" s="50">
        <f>IFERROR(__xludf.DUMMYFUNCTION("""COMPUTED_VALUE"""),7.56)</f>
        <v>7.56</v>
      </c>
      <c r="K973" s="58">
        <f>IFERROR(__xludf.DUMMYFUNCTION("""COMPUTED_VALUE"""),45973.0)</f>
        <v>45973</v>
      </c>
      <c r="L973" s="6">
        <v>30.0</v>
      </c>
      <c r="M973" s="52">
        <v>46003.0</v>
      </c>
      <c r="N973" s="53" t="s">
        <v>711</v>
      </c>
      <c r="O973" s="19" t="s">
        <v>1198</v>
      </c>
      <c r="P973" s="6"/>
      <c r="Q973" s="6"/>
      <c r="R973" s="6"/>
    </row>
    <row r="974">
      <c r="A974" s="31" t="str">
        <f>IFERROR(__xludf.DUMMYFUNCTION("""COMPUTED_VALUE"""),"1158")</f>
        <v>1158</v>
      </c>
      <c r="B974" s="14" t="str">
        <f>IFERROR(__xludf.DUMMYFUNCTION("""COMPUTED_VALUE"""),"РЕН-26")</f>
        <v>РЕН-26</v>
      </c>
      <c r="C974" s="14" t="str">
        <f>IFERROR(__xludf.DUMMYFUNCTION("""COMPUTED_VALUE"""),"ОКС")</f>
        <v>ОКС</v>
      </c>
      <c r="D974" s="6"/>
      <c r="E974" s="14" t="str">
        <f>IFERROR(__xludf.DUMMYFUNCTION("""COMPUTED_VALUE"""),"Волоколамское шоссе, мкр.16, зона №1.2 (2 очередь) район Покровское-Стрешнево, мкр.16, зона №1.2 (2 очередь) зу 108")</f>
        <v>Волоколамское шоссе, мкр.16, зона №1.2 (2 очередь) район Покровское-Стрешнево, мкр.16, зона №1.2 (2 очередь) зу 108</v>
      </c>
      <c r="F974" s="25" t="str">
        <f>IFERROR(__xludf.DUMMYFUNCTION("""COMPUTED_VALUE"""),"55.827311")</f>
        <v>55.827311</v>
      </c>
      <c r="G974" s="6" t="str">
        <f>IFERROR(__xludf.DUMMYFUNCTION("""COMPUTED_VALUE"""),"37.427854")</f>
        <v>37.427854</v>
      </c>
      <c r="H974" s="18" t="str">
        <f>IFERROR(__xludf.DUMMYFUNCTION("""COMPUTED_VALUE"""),"https://docs.google.com/spreadsheets/d/1rbCD10ySi4YZEkJW2_Slmn9z7AI1WEsGsZaIJmnnT18/edit?gid=679741287#gid=679741287")</f>
        <v>https://docs.google.com/spreadsheets/d/1rbCD10ySi4YZEkJW2_Slmn9z7AI1WEsGsZaIJmnnT18/edit?gid=679741287#gid=679741287</v>
      </c>
      <c r="I974" s="19" t="str">
        <f>IFERROR(__xludf.DUMMYFUNCTION("""COMPUTED_VALUE"""),"https://disk.yandex.ru/client/disk/Осмотры%20объектов%20АНО%20СМГ/1158%20Волоколамское%20шоссе%2Cмкр.%2016%20зона%201.2%20(2я%20очередь)")</f>
        <v>https://disk.yandex.ru/client/disk/Осмотры%20объектов%20АНО%20СМГ/1158%20Волоколамское%20шоссе%2Cмкр.%2016%20зона%201.2%20(2я%20очередь)</v>
      </c>
      <c r="J974" s="50">
        <f>IFERROR(__xludf.DUMMYFUNCTION("""COMPUTED_VALUE"""),0.0)</f>
        <v>0</v>
      </c>
      <c r="K974" s="58">
        <f>IFERROR(__xludf.DUMMYFUNCTION("""COMPUTED_VALUE"""),45974.0)</f>
        <v>45974</v>
      </c>
      <c r="L974" s="6">
        <v>30.0</v>
      </c>
      <c r="M974" s="52">
        <v>46004.0</v>
      </c>
      <c r="N974" s="53" t="s">
        <v>711</v>
      </c>
      <c r="O974" s="19" t="s">
        <v>893</v>
      </c>
      <c r="P974" s="6"/>
      <c r="Q974" s="6"/>
      <c r="R974" s="6"/>
    </row>
    <row r="975">
      <c r="A975" s="31" t="str">
        <f>IFERROR(__xludf.DUMMYFUNCTION("""COMPUTED_VALUE"""),"нд")</f>
        <v>нд</v>
      </c>
      <c r="B975" s="14" t="str">
        <f>IFERROR(__xludf.DUMMYFUNCTION("""COMPUTED_VALUE"""),"РЕН-27")</f>
        <v>РЕН-27</v>
      </c>
      <c r="C975" s="14" t="str">
        <f>IFERROR(__xludf.DUMMYFUNCTION("""COMPUTED_VALUE"""),"ОКС")</f>
        <v>ОКС</v>
      </c>
      <c r="D975" s="6"/>
      <c r="E975" s="14" t="str">
        <f>IFERROR(__xludf.DUMMYFUNCTION("""COMPUTED_VALUE"""),"Покровское-Стрешнево, мкр. 3, зона №2.1 г. Москва, внутригородское муниципальное образование Покровское-Стрешнево, улица Габричевского, земельный участок 3/2 (Северо-Западный административный округ)»")</f>
        <v>Покровское-Стрешнево, мкр. 3, зона №2.1 г. Москва, внутригородское муниципальное образование Покровское-Стрешнево, улица Габричевского, земельный участок 3/2 (Северо-Западный административный округ)»</v>
      </c>
      <c r="F975" s="25" t="str">
        <f>IFERROR(__xludf.DUMMYFUNCTION("""COMPUTED_VALUE"""),"#N/A")</f>
        <v>#N/A</v>
      </c>
      <c r="G975" s="6" t="str">
        <f>IFERROR(__xludf.DUMMYFUNCTION("""COMPUTED_VALUE"""),"#N/A")</f>
        <v>#N/A</v>
      </c>
      <c r="H975" s="6"/>
      <c r="I975" s="19"/>
      <c r="J975" s="50"/>
      <c r="K975" s="58"/>
      <c r="L975" s="6">
        <v>30.0</v>
      </c>
      <c r="M975" s="52" t="s">
        <v>655</v>
      </c>
      <c r="N975" s="53" t="s">
        <v>698</v>
      </c>
      <c r="O975" s="19" t="s">
        <v>893</v>
      </c>
      <c r="P975" s="6"/>
      <c r="Q975" s="6"/>
      <c r="R975" s="6"/>
    </row>
    <row r="976">
      <c r="A976" s="31" t="str">
        <f>IFERROR(__xludf.DUMMYFUNCTION("""COMPUTED_VALUE"""),"864")</f>
        <v>864</v>
      </c>
      <c r="B976" s="14" t="str">
        <f>IFERROR(__xludf.DUMMYFUNCTION("""COMPUTED_VALUE"""),"РЕН-26")</f>
        <v>РЕН-26</v>
      </c>
      <c r="C976" s="14" t="str">
        <f>IFERROR(__xludf.DUMMYFUNCTION("""COMPUTED_VALUE"""),"ОКС")</f>
        <v>ОКС</v>
      </c>
      <c r="D976" s="6"/>
      <c r="E976" s="14" t="str">
        <f>IFERROR(__xludf.DUMMYFUNCTION("""COMPUTED_VALUE"""),"ул. Свободы, мкр. 14  ул. Свободы, мкр. 14")</f>
        <v>ул. Свободы, мкр. 14  ул. Свободы, мкр. 14</v>
      </c>
      <c r="F976" s="25" t="str">
        <f>IFERROR(__xludf.DUMMYFUNCTION("""COMPUTED_VALUE"""),"55.824283")</f>
        <v>55.824283</v>
      </c>
      <c r="G976" s="6" t="str">
        <f>IFERROR(__xludf.DUMMYFUNCTION("""COMPUTED_VALUE"""),"37.449138")</f>
        <v>37.449138</v>
      </c>
      <c r="H976" s="18" t="str">
        <f>IFERROR(__xludf.DUMMYFUNCTION("""COMPUTED_VALUE"""),"https://docs.google.com/spreadsheets/d/1rbCD10ySi4YZEkJW2_Slmn9z7AI1WEsGsZaIJmnnT18/edit?gid=1315766169#gid=1315766169")</f>
        <v>https://docs.google.com/spreadsheets/d/1rbCD10ySi4YZEkJW2_Slmn9z7AI1WEsGsZaIJmnnT18/edit?gid=1315766169#gid=1315766169</v>
      </c>
      <c r="I976" s="19" t="str">
        <f>IFERROR(__xludf.DUMMYFUNCTION("""COMPUTED_VALUE"""),"https://disk.yandex.ru/client/disk/Осмотры%20объектов%20АНО%20СМГ/864.%20Москва%2C%20улица%20Свободы%2C%20(мкр%2014)%20д.1%20к.4")</f>
        <v>https://disk.yandex.ru/client/disk/Осмотры%20объектов%20АНО%20СМГ/864.%20Москва%2C%20улица%20Свободы%2C%20(мкр%2014)%20д.1%20к.4</v>
      </c>
      <c r="J976" s="50">
        <f>IFERROR(__xludf.DUMMYFUNCTION("""COMPUTED_VALUE"""),0.0)</f>
        <v>0</v>
      </c>
      <c r="K976" s="58">
        <f>IFERROR(__xludf.DUMMYFUNCTION("""COMPUTED_VALUE"""),45974.0)</f>
        <v>45974</v>
      </c>
      <c r="L976" s="6">
        <v>30.0</v>
      </c>
      <c r="M976" s="52">
        <v>46004.0</v>
      </c>
      <c r="N976" s="53" t="s">
        <v>711</v>
      </c>
      <c r="O976" s="19" t="s">
        <v>893</v>
      </c>
      <c r="P976" s="6"/>
      <c r="Q976" s="6"/>
      <c r="R976" s="6"/>
    </row>
    <row r="977">
      <c r="A977" s="31" t="str">
        <f>IFERROR(__xludf.DUMMYFUNCTION("""COMPUTED_VALUE"""),"865")</f>
        <v>865</v>
      </c>
      <c r="B977" s="14" t="str">
        <f>IFERROR(__xludf.DUMMYFUNCTION("""COMPUTED_VALUE"""),"РЕН-26")</f>
        <v>РЕН-26</v>
      </c>
      <c r="C977" s="14" t="str">
        <f>IFERROR(__xludf.DUMMYFUNCTION("""COMPUTED_VALUE"""),"ОКС")</f>
        <v>ОКС</v>
      </c>
      <c r="D977" s="6"/>
      <c r="E977" s="14" t="str">
        <f>IFERROR(__xludf.DUMMYFUNCTION("""COMPUTED_VALUE"""),"Путевой проезд, микрорайон 3, зона №1.1 микрорайон 3 района Алтуфьевский, зона №1.1 ЗУ 34/2")</f>
        <v>Путевой проезд, микрорайон 3, зона №1.1 микрорайон 3 района Алтуфьевский, зона №1.1 ЗУ 34/2</v>
      </c>
      <c r="F977" s="25" t="str">
        <f>IFERROR(__xludf.DUMMYFUNCTION("""COMPUTED_VALUE"""),"55.876438")</f>
        <v>55.876438</v>
      </c>
      <c r="G977" s="6" t="str">
        <f>IFERROR(__xludf.DUMMYFUNCTION("""COMPUTED_VALUE"""),"37.572267")</f>
        <v>37.572267</v>
      </c>
      <c r="H977" s="18" t="str">
        <f>IFERROR(__xludf.DUMMYFUNCTION("""COMPUTED_VALUE"""),"https://docs.google.com/spreadsheets/d/1rbCD10ySi4YZEkJW2_Slmn9z7AI1WEsGsZaIJmnnT18/edit?gid=667094303#gid=667094303")</f>
        <v>https://docs.google.com/spreadsheets/d/1rbCD10ySi4YZEkJW2_Slmn9z7AI1WEsGsZaIJmnnT18/edit?gid=667094303#gid=667094303</v>
      </c>
      <c r="I977"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7" s="50">
        <f>IFERROR(__xludf.DUMMYFUNCTION("""COMPUTED_VALUE"""),0.0)</f>
        <v>0</v>
      </c>
      <c r="K977" s="58">
        <f>IFERROR(__xludf.DUMMYFUNCTION("""COMPUTED_VALUE"""),45973.0)</f>
        <v>45973</v>
      </c>
      <c r="L977" s="6">
        <v>30.0</v>
      </c>
      <c r="M977" s="52">
        <v>46003.0</v>
      </c>
      <c r="N977" s="53" t="s">
        <v>711</v>
      </c>
      <c r="O977" s="19" t="s">
        <v>893</v>
      </c>
      <c r="P977" s="6"/>
      <c r="Q977" s="6"/>
      <c r="R977" s="6"/>
    </row>
    <row r="978">
      <c r="A978" s="31" t="str">
        <f>IFERROR(__xludf.DUMMYFUNCTION("""COMPUTED_VALUE"""),"865")</f>
        <v>865</v>
      </c>
      <c r="B978" s="14" t="str">
        <f>IFERROR(__xludf.DUMMYFUNCTION("""COMPUTED_VALUE"""),"РЕН-26")</f>
        <v>РЕН-26</v>
      </c>
      <c r="C978" s="14" t="str">
        <f>IFERROR(__xludf.DUMMYFUNCTION("""COMPUTED_VALUE"""),"ОКС")</f>
        <v>ОКС</v>
      </c>
      <c r="D978" s="6"/>
      <c r="E978" s="14" t="str">
        <f>IFERROR(__xludf.DUMMYFUNCTION("""COMPUTED_VALUE"""),"Путевой проезд, микрорайон 3, зона №1.3 Путевый проезд, д. 30) по адресу: микрорайон 3 района Алтуфьевский, зона №1.3 ЗУ30")</f>
        <v>Путевой проезд, микрорайон 3, зона №1.3 Путевый проезд, д. 30) по адресу: микрорайон 3 района Алтуфьевский, зона №1.3 ЗУ30</v>
      </c>
      <c r="F978" s="25" t="str">
        <f>IFERROR(__xludf.DUMMYFUNCTION("""COMPUTED_VALUE"""),"55.876438")</f>
        <v>55.876438</v>
      </c>
      <c r="G978" s="6" t="str">
        <f>IFERROR(__xludf.DUMMYFUNCTION("""COMPUTED_VALUE"""),"37.572267")</f>
        <v>37.572267</v>
      </c>
      <c r="H978" s="18" t="str">
        <f>IFERROR(__xludf.DUMMYFUNCTION("""COMPUTED_VALUE"""),"https://docs.google.com/spreadsheets/d/1rbCD10ySi4YZEkJW2_Slmn9z7AI1WEsGsZaIJmnnT18/edit?gid=667094303#gid=667094303")</f>
        <v>https://docs.google.com/spreadsheets/d/1rbCD10ySi4YZEkJW2_Slmn9z7AI1WEsGsZaIJmnnT18/edit?gid=667094303#gid=667094303</v>
      </c>
      <c r="I978"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8" s="50">
        <f>IFERROR(__xludf.DUMMYFUNCTION("""COMPUTED_VALUE"""),0.0)</f>
        <v>0</v>
      </c>
      <c r="K978" s="58">
        <f>IFERROR(__xludf.DUMMYFUNCTION("""COMPUTED_VALUE"""),45973.0)</f>
        <v>45973</v>
      </c>
      <c r="L978" s="6">
        <v>30.0</v>
      </c>
      <c r="M978" s="52">
        <v>46003.0</v>
      </c>
      <c r="N978" s="53" t="s">
        <v>711</v>
      </c>
      <c r="O978" s="19" t="s">
        <v>893</v>
      </c>
      <c r="P978" s="6"/>
      <c r="Q978" s="6"/>
      <c r="R978" s="6"/>
    </row>
    <row r="979">
      <c r="A979" s="31" t="str">
        <f>IFERROR(__xludf.DUMMYFUNCTION("""COMPUTED_VALUE"""),"865")</f>
        <v>865</v>
      </c>
      <c r="B979" s="14" t="str">
        <f>IFERROR(__xludf.DUMMYFUNCTION("""COMPUTED_VALUE"""),"РЕН-26")</f>
        <v>РЕН-26</v>
      </c>
      <c r="C979" s="14" t="str">
        <f>IFERROR(__xludf.DUMMYFUNCTION("""COMPUTED_VALUE"""),"ОКС")</f>
        <v>ОКС</v>
      </c>
      <c r="D979" s="6"/>
      <c r="E979" s="14" t="str">
        <f>IFERROR(__xludf.DUMMYFUNCTION("""COMPUTED_VALUE"""),"Путевой проезд, микрорайон 3, зона №1.2 микрорайон 3 района Алтуфьевский, зона №1.2")</f>
        <v>Путевой проезд, микрорайон 3, зона №1.2 микрорайон 3 района Алтуфьевский, зона №1.2</v>
      </c>
      <c r="F979" s="25" t="str">
        <f>IFERROR(__xludf.DUMMYFUNCTION("""COMPUTED_VALUE"""),"55.876438")</f>
        <v>55.876438</v>
      </c>
      <c r="G979" s="6" t="str">
        <f>IFERROR(__xludf.DUMMYFUNCTION("""COMPUTED_VALUE"""),"37.572267")</f>
        <v>37.572267</v>
      </c>
      <c r="H979" s="18" t="str">
        <f>IFERROR(__xludf.DUMMYFUNCTION("""COMPUTED_VALUE"""),"https://docs.google.com/spreadsheets/d/1rbCD10ySi4YZEkJW2_Slmn9z7AI1WEsGsZaIJmnnT18/edit?gid=667094303#gid=667094303")</f>
        <v>https://docs.google.com/spreadsheets/d/1rbCD10ySi4YZEkJW2_Slmn9z7AI1WEsGsZaIJmnnT18/edit?gid=667094303#gid=667094303</v>
      </c>
      <c r="I979"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9" s="50">
        <f>IFERROR(__xludf.DUMMYFUNCTION("""COMPUTED_VALUE"""),0.0)</f>
        <v>0</v>
      </c>
      <c r="K979" s="58">
        <f>IFERROR(__xludf.DUMMYFUNCTION("""COMPUTED_VALUE"""),45973.0)</f>
        <v>45973</v>
      </c>
      <c r="L979" s="6">
        <v>30.0</v>
      </c>
      <c r="M979" s="52">
        <v>46003.0</v>
      </c>
      <c r="N979" s="53" t="s">
        <v>711</v>
      </c>
      <c r="O979" s="19" t="s">
        <v>893</v>
      </c>
      <c r="P979" s="6"/>
      <c r="Q979" s="6"/>
      <c r="R979" s="6"/>
    </row>
    <row r="980">
      <c r="A980" s="31" t="str">
        <f>IFERROR(__xludf.DUMMYFUNCTION("""COMPUTED_VALUE"""),"867")</f>
        <v>867</v>
      </c>
      <c r="B980" s="14" t="str">
        <f>IFERROR(__xludf.DUMMYFUNCTION("""COMPUTED_VALUE"""),"РЕН-26")</f>
        <v>РЕН-26</v>
      </c>
      <c r="C980" s="14" t="str">
        <f>IFERROR(__xludf.DUMMYFUNCTION("""COMPUTED_VALUE"""),"ОКС")</f>
        <v>ОКС</v>
      </c>
      <c r="D980" s="6"/>
      <c r="E980" s="14" t="str">
        <f>IFERROR(__xludf.DUMMYFUNCTION("""COMPUTED_VALUE"""),"Алтуфьевский район, микрорайон 1-2, зона №24.1 Алтуфьевский район, микрорайон 1-2, зона №24.1 (Инженерная улица, д.10. корп. 2)")</f>
        <v>Алтуфьевский район, микрорайон 1-2, зона №24.1 Алтуфьевский район, микрорайон 1-2, зона №24.1 (Инженерная улица, д.10. корп. 2)</v>
      </c>
      <c r="F980" s="25" t="str">
        <f>IFERROR(__xludf.DUMMYFUNCTION("""COMPUTED_VALUE"""),"55.880778")</f>
        <v>55.880778</v>
      </c>
      <c r="G980" s="6" t="str">
        <f>IFERROR(__xludf.DUMMYFUNCTION("""COMPUTED_VALUE"""),"37.581837")</f>
        <v>37.581837</v>
      </c>
      <c r="H980" s="18" t="str">
        <f>IFERROR(__xludf.DUMMYFUNCTION("""COMPUTED_VALUE"""),"https://docs.google.com/spreadsheets/d/1rbCD10ySi4YZEkJW2_Slmn9z7AI1WEsGsZaIJmnnT18/edit?gid=151666570#gid=151666570")</f>
        <v>https://docs.google.com/spreadsheets/d/1rbCD10ySi4YZEkJW2_Slmn9z7AI1WEsGsZaIJmnnT18/edit?gid=151666570#gid=151666570</v>
      </c>
      <c r="I980" s="19" t="str">
        <f>IFERROR(__xludf.DUMMYFUNCTION("""COMPUTED_VALUE"""),"https://disk.yandex.ru/client/disk/Осмотры%20объектов%20АНО%20СМГ/867%20Алтуфьевский%20район%20микрорайон%201-2%2C%20зона%20№24.1")</f>
        <v>https://disk.yandex.ru/client/disk/Осмотры%20объектов%20АНО%20СМГ/867%20Алтуфьевский%20район%20микрорайон%201-2%2C%20зона%20№24.1</v>
      </c>
      <c r="J980" s="50">
        <f>IFERROR(__xludf.DUMMYFUNCTION("""COMPUTED_VALUE"""),0.0)</f>
        <v>0</v>
      </c>
      <c r="K980" s="58">
        <f>IFERROR(__xludf.DUMMYFUNCTION("""COMPUTED_VALUE"""),45973.0)</f>
        <v>45973</v>
      </c>
      <c r="L980" s="6">
        <v>30.0</v>
      </c>
      <c r="M980" s="52">
        <v>46003.0</v>
      </c>
      <c r="N980" s="53" t="s">
        <v>711</v>
      </c>
      <c r="O980" s="19" t="s">
        <v>893</v>
      </c>
      <c r="P980" s="6"/>
      <c r="Q980" s="6"/>
      <c r="R980" s="6"/>
    </row>
    <row r="981">
      <c r="A981" s="31" t="str">
        <f>IFERROR(__xludf.DUMMYFUNCTION("""COMPUTED_VALUE"""),"868")</f>
        <v>868</v>
      </c>
      <c r="B981" s="14" t="str">
        <f>IFERROR(__xludf.DUMMYFUNCTION("""COMPUTED_VALUE"""),"РЕН-26")</f>
        <v>РЕН-26</v>
      </c>
      <c r="C981" s="14" t="str">
        <f>IFERROR(__xludf.DUMMYFUNCTION("""COMPUTED_VALUE"""),"ОКС")</f>
        <v>ОКС</v>
      </c>
      <c r="D981" s="6"/>
      <c r="E981" s="14" t="str">
        <f>IFERROR(__xludf.DUMMYFUNCTION("""COMPUTED_VALUE"""),"3-я Парковая ул.,  зона 4.2 (к.4) 3-я Парковая ул.,  зона 4.2 (к.4) ЗУ 46/1")</f>
        <v>3-я Парковая ул.,  зона 4.2 (к.4) 3-я Парковая ул.,  зона 4.2 (к.4) ЗУ 46/1</v>
      </c>
      <c r="F981" s="25" t="str">
        <f>IFERROR(__xludf.DUMMYFUNCTION("""COMPUTED_VALUE"""),"55.805665")</f>
        <v>55.805665</v>
      </c>
      <c r="G981" s="6" t="str">
        <f>IFERROR(__xludf.DUMMYFUNCTION("""COMPUTED_VALUE"""),"37.783050")</f>
        <v>37.783050</v>
      </c>
      <c r="H981" s="18" t="str">
        <f>IFERROR(__xludf.DUMMYFUNCTION("""COMPUTED_VALUE"""),"https://docs.google.com/spreadsheets/d/1rbCD10ySi4YZEkJW2_Slmn9z7AI1WEsGsZaIJmnnT18/edit?gid=1853936778#gid=1853936778")</f>
        <v>https://docs.google.com/spreadsheets/d/1rbCD10ySi4YZEkJW2_Slmn9z7AI1WEsGsZaIJmnnT18/edit?gid=1853936778#gid=1853936778</v>
      </c>
      <c r="I981" s="19" t="str">
        <f>IFERROR(__xludf.DUMMYFUNCTION("""COMPUTED_VALUE"""),"https://disk.yandex.ru/client/disk/Осмотры%20объектов%20АНО%20СМГ/868%203-я%20Парковая%20зона%204.2")</f>
        <v>https://disk.yandex.ru/client/disk/Осмотры%20объектов%20АНО%20СМГ/868%203-я%20Парковая%20зона%204.2</v>
      </c>
      <c r="J981" s="50">
        <f>IFERROR(__xludf.DUMMYFUNCTION("""COMPUTED_VALUE"""),0.0)</f>
        <v>0</v>
      </c>
      <c r="K981" s="58">
        <f>IFERROR(__xludf.DUMMYFUNCTION("""COMPUTED_VALUE"""),45973.0)</f>
        <v>45973</v>
      </c>
      <c r="L981" s="6">
        <v>30.0</v>
      </c>
      <c r="M981" s="52">
        <v>46003.0</v>
      </c>
      <c r="N981" s="53" t="s">
        <v>711</v>
      </c>
      <c r="O981" s="19" t="s">
        <v>893</v>
      </c>
      <c r="P981" s="6"/>
      <c r="Q981" s="6"/>
      <c r="R981" s="6"/>
    </row>
    <row r="982">
      <c r="A982" s="31" t="str">
        <f>IFERROR(__xludf.DUMMYFUNCTION("""COMPUTED_VALUE"""),"872")</f>
        <v>872</v>
      </c>
      <c r="B982" s="14" t="str">
        <f>IFERROR(__xludf.DUMMYFUNCTION("""COMPUTED_VALUE"""),"РЕН-26")</f>
        <v>РЕН-26</v>
      </c>
      <c r="C982" s="14" t="str">
        <f>IFERROR(__xludf.DUMMYFUNCTION("""COMPUTED_VALUE"""),"ОКС")</f>
        <v>ОКС</v>
      </c>
      <c r="D982" s="6"/>
      <c r="E982" s="14" t="str">
        <f>IFERROR(__xludf.DUMMYFUNCTION("""COMPUTED_VALUE"""),"улица Перовская, земельный участок 46/48 (Перовская ул., вл. 46/48) улица Перовская, земельный участок 46/48(Перовская ул., вл. 46)")</f>
        <v>улица Перовская, земельный участок 46/48 (Перовская ул., вл. 46/48) улица Перовская, земельный участок 46/48(Перовская ул., вл. 46)</v>
      </c>
      <c r="F982" s="25" t="str">
        <f>IFERROR(__xludf.DUMMYFUNCTION("""COMPUTED_VALUE"""),"55.745179")</f>
        <v>55.745179</v>
      </c>
      <c r="G982" s="6" t="str">
        <f>IFERROR(__xludf.DUMMYFUNCTION("""COMPUTED_VALUE"""),"37.783815")</f>
        <v>37.783815</v>
      </c>
      <c r="H982" s="18" t="str">
        <f>IFERROR(__xludf.DUMMYFUNCTION("""COMPUTED_VALUE"""),"https://docs.google.com/spreadsheets/d/1rbCD10ySi4YZEkJW2_Slmn9z7AI1WEsGsZaIJmnnT18/edit?gid=590835051#gid=590835051")</f>
        <v>https://docs.google.com/spreadsheets/d/1rbCD10ySi4YZEkJW2_Slmn9z7AI1WEsGsZaIJmnnT18/edit?gid=590835051#gid=590835051</v>
      </c>
      <c r="I982" s="19" t="str">
        <f>IFERROR(__xludf.DUMMYFUNCTION("""COMPUTED_VALUE"""),"https://disk.yandex.ru/client/disk/Осмотры%20объектов%20АНО%20СМГ/872%20ул.%20Перовская%20зем.%20уч.%2046-48")</f>
        <v>https://disk.yandex.ru/client/disk/Осмотры%20объектов%20АНО%20СМГ/872%20ул.%20Перовская%20зем.%20уч.%2046-48</v>
      </c>
      <c r="J982" s="50">
        <f>IFERROR(__xludf.DUMMYFUNCTION("""COMPUTED_VALUE"""),0.0)</f>
        <v>0</v>
      </c>
      <c r="K982" s="58">
        <f>IFERROR(__xludf.DUMMYFUNCTION("""COMPUTED_VALUE"""),45973.0)</f>
        <v>45973</v>
      </c>
      <c r="L982" s="6">
        <v>30.0</v>
      </c>
      <c r="M982" s="52">
        <v>46003.0</v>
      </c>
      <c r="N982" s="53" t="s">
        <v>711</v>
      </c>
      <c r="O982" s="19" t="s">
        <v>893</v>
      </c>
      <c r="P982" s="6"/>
      <c r="Q982" s="6"/>
      <c r="R982" s="6"/>
    </row>
    <row r="983">
      <c r="A983" s="31" t="str">
        <f>IFERROR(__xludf.DUMMYFUNCTION("""COMPUTED_VALUE"""),"948")</f>
        <v>948</v>
      </c>
      <c r="B983" s="14" t="str">
        <f>IFERROR(__xludf.DUMMYFUNCTION("""COMPUTED_VALUE"""),"РЕН-26")</f>
        <v>РЕН-26</v>
      </c>
      <c r="C983" s="14" t="str">
        <f>IFERROR(__xludf.DUMMYFUNCTION("""COMPUTED_VALUE"""),"ОКС")</f>
        <v>ОКС</v>
      </c>
      <c r="D983" s="6"/>
      <c r="E983" s="14" t="str">
        <f>IFERROR(__xludf.DUMMYFUNCTION("""COMPUTED_VALUE"""),"улица Братская, земельный участок 23 (Братская ул., вл. 23) Братская ул., вл. 23")</f>
        <v>улица Братская, земельный участок 23 (Братская ул., вл. 23) Братская ул., вл. 23</v>
      </c>
      <c r="F983" s="25" t="str">
        <f>IFERROR(__xludf.DUMMYFUNCTION("""COMPUTED_VALUE"""),"55.749281")</f>
        <v>55.749281</v>
      </c>
      <c r="G983" s="6" t="str">
        <f>IFERROR(__xludf.DUMMYFUNCTION("""COMPUTED_VALUE"""),"37.795311")</f>
        <v>37.795311</v>
      </c>
      <c r="H983" s="18" t="str">
        <f>IFERROR(__xludf.DUMMYFUNCTION("""COMPUTED_VALUE"""),"https://docs.google.com/spreadsheets/d/1rbCD10ySi4YZEkJW2_Slmn9z7AI1WEsGsZaIJmnnT18/edit?gid=238290316#gid=238290316")</f>
        <v>https://docs.google.com/spreadsheets/d/1rbCD10ySi4YZEkJW2_Slmn9z7AI1WEsGsZaIJmnnT18/edit?gid=238290316#gid=238290316</v>
      </c>
      <c r="I983" s="19" t="str">
        <f>IFERROR(__xludf.DUMMYFUNCTION("""COMPUTED_VALUE"""),"https://disk.yandex.ru/client/disk/Осмотры%20объектов%20АНО%20СМГ/948%20ул.%20Братская%2C%20вл.23")</f>
        <v>https://disk.yandex.ru/client/disk/Осмотры%20объектов%20АНО%20СМГ/948%20ул.%20Братская%2C%20вл.23</v>
      </c>
      <c r="J983" s="50">
        <f>IFERROR(__xludf.DUMMYFUNCTION("""COMPUTED_VALUE"""),0.0)</f>
        <v>0</v>
      </c>
      <c r="K983" s="58">
        <f>IFERROR(__xludf.DUMMYFUNCTION("""COMPUTED_VALUE"""),45973.0)</f>
        <v>45973</v>
      </c>
      <c r="L983" s="6">
        <v>30.0</v>
      </c>
      <c r="M983" s="52">
        <v>46003.0</v>
      </c>
      <c r="N983" s="53" t="s">
        <v>711</v>
      </c>
      <c r="O983" s="19" t="s">
        <v>1172</v>
      </c>
      <c r="P983" s="6"/>
      <c r="Q983" s="6"/>
      <c r="R983" s="6"/>
    </row>
    <row r="984">
      <c r="A984" s="31" t="str">
        <f>IFERROR(__xludf.DUMMYFUNCTION("""COMPUTED_VALUE"""),"792")</f>
        <v>792</v>
      </c>
      <c r="B984" s="14" t="str">
        <f>IFERROR(__xludf.DUMMYFUNCTION("""COMPUTED_VALUE"""),"РЕН-26")</f>
        <v>РЕН-26</v>
      </c>
      <c r="C984" s="14" t="str">
        <f>IFERROR(__xludf.DUMMYFUNCTION("""COMPUTED_VALUE"""),"ОКС")</f>
        <v>ОКС</v>
      </c>
      <c r="D984" s="6"/>
      <c r="E984" s="14" t="str">
        <f>IFERROR(__xludf.DUMMYFUNCTION("""COMPUTED_VALUE"""),"Бескудниковский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f>
        <v>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v>
      </c>
      <c r="F984" s="25" t="str">
        <f>IFERROR(__xludf.DUMMYFUNCTION("""COMPUTED_VALUE"""),"55.873961")</f>
        <v>55.873961</v>
      </c>
      <c r="G984" s="6" t="str">
        <f>IFERROR(__xludf.DUMMYFUNCTION("""COMPUTED_VALUE"""),"37.542338")</f>
        <v>37.542338</v>
      </c>
      <c r="H984" s="18" t="str">
        <f>IFERROR(__xludf.DUMMYFUNCTION("""COMPUTED_VALUE"""),"https://docs.google.com/spreadsheets/d/1rbCD10ySi4YZEkJW2_Slmn9z7AI1WEsGsZaIJmnnT18/edit?gid=105663629#gid=105663629")</f>
        <v>https://docs.google.com/spreadsheets/d/1rbCD10ySi4YZEkJW2_Slmn9z7AI1WEsGsZaIJmnnT18/edit?gid=105663629#gid=105663629</v>
      </c>
      <c r="I984" s="19" t="str">
        <f>IFERROR(__xludf.DUMMYFUNCTION("""COMPUTED_VALUE"""),"https://disk.yandex.ru/client/disk/Осмотры%20объектов%20АНО%20СМГ/792.%20Бескудниковский%20бульвар%2048")</f>
        <v>https://disk.yandex.ru/client/disk/Осмотры%20объектов%20АНО%20СМГ/792.%20Бескудниковский%20бульвар%2048</v>
      </c>
      <c r="J984" s="50">
        <f>IFERROR(__xludf.DUMMYFUNCTION("""COMPUTED_VALUE"""),3.87)</f>
        <v>3.87</v>
      </c>
      <c r="K984" s="58">
        <f>IFERROR(__xludf.DUMMYFUNCTION("""COMPUTED_VALUE"""),45960.0)</f>
        <v>45960</v>
      </c>
      <c r="L984" s="6">
        <v>30.0</v>
      </c>
      <c r="M984" s="52">
        <v>45990.0</v>
      </c>
      <c r="N984" s="53" t="s">
        <v>692</v>
      </c>
      <c r="O984" s="19" t="s">
        <v>1199</v>
      </c>
      <c r="P984" s="6"/>
      <c r="Q984" s="6"/>
      <c r="R984" s="6"/>
    </row>
    <row r="985">
      <c r="A985" s="31" t="str">
        <f>IFERROR(__xludf.DUMMYFUNCTION("""COMPUTED_VALUE"""),"793")</f>
        <v>793</v>
      </c>
      <c r="B985" s="14" t="str">
        <f>IFERROR(__xludf.DUMMYFUNCTION("""COMPUTED_VALUE"""),"РЕН-26")</f>
        <v>РЕН-26</v>
      </c>
      <c r="C985" s="14" t="str">
        <f>IFERROR(__xludf.DUMMYFUNCTION("""COMPUTED_VALUE"""),"ОКС")</f>
        <v>ОКС</v>
      </c>
      <c r="D985" s="6"/>
      <c r="E985" s="14" t="str">
        <f>IFERROR(__xludf.DUMMYFUNCTION("""COMPUTED_VALUE"""),"Коровинское шоссе, земельный участок 4/6 (зона 14.1) САО	Коровинское шоссе, земельный участок 4/6 (зона 14.1)")</f>
        <v>Коровинское шоссе, земельный участок 4/6 (зона 14.1) САО	Коровинское шоссе, земельный участок 4/6 (зона 14.1)</v>
      </c>
      <c r="F985" s="25" t="str">
        <f>IFERROR(__xludf.DUMMYFUNCTION("""COMPUTED_VALUE"""),"55.867821")</f>
        <v>55.867821</v>
      </c>
      <c r="G985" s="6" t="str">
        <f>IFERROR(__xludf.DUMMYFUNCTION("""COMPUTED_VALUE"""),"37.540333")</f>
        <v>37.540333</v>
      </c>
      <c r="H985" s="18" t="str">
        <f>IFERROR(__xludf.DUMMYFUNCTION("""COMPUTED_VALUE"""),"https://docs.google.com/spreadsheets/d/1rbCD10ySi4YZEkJW2_Slmn9z7AI1WEsGsZaIJmnnT18/edit?gid=583489484#gid=583489484")</f>
        <v>https://docs.google.com/spreadsheets/d/1rbCD10ySi4YZEkJW2_Slmn9z7AI1WEsGsZaIJmnnT18/edit?gid=583489484#gid=583489484</v>
      </c>
      <c r="I985" s="19" t="str">
        <f>IFERROR(__xludf.DUMMYFUNCTION("""COMPUTED_VALUE"""),"https://disk.yandex.ru/client/disk/Осмотры%20объектов%20АНО%20СМГ/793.%20Коровинское%20шоссе%204%5C6")</f>
        <v>https://disk.yandex.ru/client/disk/Осмотры%20объектов%20АНО%20СМГ/793.%20Коровинское%20шоссе%204%5C6</v>
      </c>
      <c r="J985" s="50">
        <f>IFERROR(__xludf.DUMMYFUNCTION("""COMPUTED_VALUE"""),0.0)</f>
        <v>0</v>
      </c>
      <c r="K985" s="58">
        <f>IFERROR(__xludf.DUMMYFUNCTION("""COMPUTED_VALUE"""),45974.0)</f>
        <v>45974</v>
      </c>
      <c r="L985" s="6">
        <v>30.0</v>
      </c>
      <c r="M985" s="52">
        <v>46004.0</v>
      </c>
      <c r="N985" s="53" t="s">
        <v>711</v>
      </c>
      <c r="O985" s="19" t="s">
        <v>893</v>
      </c>
      <c r="P985" s="6"/>
      <c r="Q985" s="6"/>
      <c r="R985" s="6"/>
    </row>
    <row r="986">
      <c r="A986" s="31" t="str">
        <f>IFERROR(__xludf.DUMMYFUNCTION("""COMPUTED_VALUE"""),"797")</f>
        <v>797</v>
      </c>
      <c r="B986" s="14" t="str">
        <f>IFERROR(__xludf.DUMMYFUNCTION("""COMPUTED_VALUE"""),"РЕН-26")</f>
        <v>РЕН-26</v>
      </c>
      <c r="C986" s="14" t="str">
        <f>IFERROR(__xludf.DUMMYFUNCTION("""COMPUTED_VALUE"""),"ОКС")</f>
        <v>ОКС</v>
      </c>
      <c r="D986" s="6"/>
      <c r="E986" s="14" t="str">
        <f>IFERROR(__xludf.DUMMYFUNCTION("""COMPUTED_VALUE"""),"Коровинское шоссе, земельный участок 2/4 (Зоны 11.1 и 11.2) Коровинское шоссе, земельный участок 2/4 (Зоны 11.1 и 11.2)")</f>
        <v>Коровинское шоссе, земельный участок 2/4 (Зоны 11.1 и 11.2) Коровинское шоссе, земельный участок 2/4 (Зоны 11.1 и 11.2)</v>
      </c>
      <c r="F986" s="25" t="str">
        <f>IFERROR(__xludf.DUMMYFUNCTION("""COMPUTED_VALUE"""),"55.86764")</f>
        <v>55.86764</v>
      </c>
      <c r="G986" s="6" t="str">
        <f>IFERROR(__xludf.DUMMYFUNCTION("""COMPUTED_VALUE"""),"37.541669")</f>
        <v>37.541669</v>
      </c>
      <c r="H986" s="18" t="str">
        <f>IFERROR(__xludf.DUMMYFUNCTION("""COMPUTED_VALUE"""),"https://docs.google.com/spreadsheets/d/1rbCD10ySi4YZEkJW2_Slmn9z7AI1WEsGsZaIJmnnT18/edit?gid=783421015#gid=783421015")</f>
        <v>https://docs.google.com/spreadsheets/d/1rbCD10ySi4YZEkJW2_Slmn9z7AI1WEsGsZaIJmnnT18/edit?gid=783421015#gid=783421015</v>
      </c>
      <c r="I986" s="19" t="str">
        <f>IFERROR(__xludf.DUMMYFUNCTION("""COMPUTED_VALUE"""),"https://disk.yandex.ru/client/disk/Осмотры%20объектов%20АНО%20СМГ/797.%20Коровинское%20шоссе%20зу%202%5C4")</f>
        <v>https://disk.yandex.ru/client/disk/Осмотры%20объектов%20АНО%20СМГ/797.%20Коровинское%20шоссе%20зу%202%5C4</v>
      </c>
      <c r="J986" s="50">
        <f>IFERROR(__xludf.DUMMYFUNCTION("""COMPUTED_VALUE"""),0.0)</f>
        <v>0</v>
      </c>
      <c r="K986" s="58">
        <f>IFERROR(__xludf.DUMMYFUNCTION("""COMPUTED_VALUE"""),45974.0)</f>
        <v>45974</v>
      </c>
      <c r="L986" s="6">
        <v>30.0</v>
      </c>
      <c r="M986" s="52">
        <v>46004.0</v>
      </c>
      <c r="N986" s="53" t="s">
        <v>711</v>
      </c>
      <c r="O986" s="19" t="s">
        <v>1200</v>
      </c>
      <c r="P986" s="6"/>
      <c r="Q986" s="6"/>
      <c r="R986" s="6"/>
    </row>
    <row r="987">
      <c r="A987" s="31" t="str">
        <f>IFERROR(__xludf.DUMMYFUNCTION("""COMPUTED_VALUE"""),"583")</f>
        <v>583</v>
      </c>
      <c r="B987" s="14" t="str">
        <f>IFERROR(__xludf.DUMMYFUNCTION("""COMPUTED_VALUE"""),"РЕН-26")</f>
        <v>РЕН-26</v>
      </c>
      <c r="C987" s="14" t="str">
        <f>IFERROR(__xludf.DUMMYFUNCTION("""COMPUTED_VALUE"""),"ОКС")</f>
        <v>ОКС</v>
      </c>
      <c r="D987" s="6"/>
      <c r="E987" s="14" t="str">
        <f>IFERROR(__xludf.DUMMYFUNCTION("""COMPUTED_VALUE"""),"ул. Кубинка, з/у 16/1 (ул. Кубинка вл. 16-1) ЗАО, Можайский район, ул. Кубинка, земельный участок 16/1  (со сносом жилых зданий по адресу: ул. Кубинка, д.16 к.1) (кв. 71-72, 75 зона 4.1)")</f>
        <v>ул. Кубинка, з/у 16/1 (ул. Кубинка вл. 16-1) ЗАО, Можайский район, ул. Кубинка, земельный участок 16/1  (со сносом жилых зданий по адресу: ул. Кубинка, д.16 к.1) (кв. 71-72, 75 зона 4.1)</v>
      </c>
      <c r="F987" s="25" t="str">
        <f>IFERROR(__xludf.DUMMYFUNCTION("""COMPUTED_VALUE"""),"55.721179")</f>
        <v>55.721179</v>
      </c>
      <c r="G987" s="6" t="str">
        <f>IFERROR(__xludf.DUMMYFUNCTION("""COMPUTED_VALUE"""),"37.407834")</f>
        <v>37.407834</v>
      </c>
      <c r="H987" s="18" t="str">
        <f>IFERROR(__xludf.DUMMYFUNCTION("""COMPUTED_VALUE"""),"https://docs.google.com/spreadsheets/d/1rbCD10ySi4YZEkJW2_Slmn9z7AI1WEsGsZaIJmnnT18/edit?gid=795869723#gid=795869723")</f>
        <v>https://docs.google.com/spreadsheets/d/1rbCD10ySi4YZEkJW2_Slmn9z7AI1WEsGsZaIJmnnT18/edit?gid=795869723#gid=795869723</v>
      </c>
      <c r="I987" s="19" t="str">
        <f>IFERROR(__xludf.DUMMYFUNCTION("""COMPUTED_VALUE"""),"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amp;"075%20зона%204.1)")</f>
        <v>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2075%20зона%204.1)</v>
      </c>
      <c r="J987" s="50">
        <f>IFERROR(__xludf.DUMMYFUNCTION("""COMPUTED_VALUE"""),11.7924)</f>
        <v>11.7924</v>
      </c>
      <c r="K987" s="58">
        <f>IFERROR(__xludf.DUMMYFUNCTION("""COMPUTED_VALUE"""),45962.0)</f>
        <v>45962</v>
      </c>
      <c r="L987" s="6">
        <v>30.0</v>
      </c>
      <c r="M987" s="52">
        <v>45992.0</v>
      </c>
      <c r="N987" s="53" t="s">
        <v>692</v>
      </c>
      <c r="O987" s="19" t="s">
        <v>669</v>
      </c>
      <c r="P987" s="6"/>
      <c r="Q987" s="6"/>
      <c r="R987" s="6"/>
    </row>
    <row r="988">
      <c r="A988" s="31" t="str">
        <f>IFERROR(__xludf.DUMMYFUNCTION("""COMPUTED_VALUE"""),"942")</f>
        <v>942</v>
      </c>
      <c r="B988" s="14" t="str">
        <f>IFERROR(__xludf.DUMMYFUNCTION("""COMPUTED_VALUE"""),"РЕН-26")</f>
        <v>РЕН-26</v>
      </c>
      <c r="C988" s="14" t="str">
        <f>IFERROR(__xludf.DUMMYFUNCTION("""COMPUTED_VALUE"""),"ОКС")</f>
        <v>ОКС</v>
      </c>
      <c r="D988" s="6"/>
      <c r="E988" s="14" t="str">
        <f>IFERROR(__xludf.DUMMYFUNCTION("""COMPUTED_VALUE"""),"ул. Петра Алексеева, з/у 3 (зоны 6.1 и 6.2) ул. Петра Алексеева, з/у 3 (зоны 6.1 и 6.2)")</f>
        <v>ул. Петра Алексеева, з/у 3 (зоны 6.1 и 6.2) ул. Петра Алексеева, з/у 3 (зоны 6.1 и 6.2)</v>
      </c>
      <c r="F988" s="25" t="str">
        <f>IFERROR(__xludf.DUMMYFUNCTION("""COMPUTED_VALUE"""),"55.719531")</f>
        <v>55.719531</v>
      </c>
      <c r="G988" s="6" t="str">
        <f>IFERROR(__xludf.DUMMYFUNCTION("""COMPUTED_VALUE"""),"37.429591")</f>
        <v>37.429591</v>
      </c>
      <c r="H988" s="18" t="str">
        <f>IFERROR(__xludf.DUMMYFUNCTION("""COMPUTED_VALUE"""),"https://docs.google.com/spreadsheets/d/1rbCD10ySi4YZEkJW2_Slmn9z7AI1WEsGsZaIJmnnT18/edit?gid=1715786875#gid=1715786875")</f>
        <v>https://docs.google.com/spreadsheets/d/1rbCD10ySi4YZEkJW2_Slmn9z7AI1WEsGsZaIJmnnT18/edit?gid=1715786875#gid=1715786875</v>
      </c>
      <c r="I988" s="19" t="str">
        <f>IFERROR(__xludf.DUMMYFUNCTION("""COMPUTED_VALUE"""),"https://disk.yandex.ru/client/disk/Осмотры%20объектов%20АНО%20СМГ/942.%20Дом%20ул%20Петра%20Алексеева%20зу%203")</f>
        <v>https://disk.yandex.ru/client/disk/Осмотры%20объектов%20АНО%20СМГ/942.%20Дом%20ул%20Петра%20Алексеева%20зу%203</v>
      </c>
      <c r="J988" s="50">
        <f>IFERROR(__xludf.DUMMYFUNCTION("""COMPUTED_VALUE"""),0.0)</f>
        <v>0</v>
      </c>
      <c r="K988" s="58">
        <f>IFERROR(__xludf.DUMMYFUNCTION("""COMPUTED_VALUE"""),45962.0)</f>
        <v>45962</v>
      </c>
      <c r="L988" s="6">
        <v>30.0</v>
      </c>
      <c r="M988" s="52">
        <v>45992.0</v>
      </c>
      <c r="N988" s="53" t="s">
        <v>692</v>
      </c>
      <c r="O988" s="19" t="s">
        <v>669</v>
      </c>
      <c r="P988" s="6"/>
      <c r="Q988" s="6"/>
      <c r="R988" s="6"/>
    </row>
    <row r="989">
      <c r="A989" s="31" t="str">
        <f>IFERROR(__xludf.DUMMYFUNCTION("""COMPUTED_VALUE"""),"941")</f>
        <v>941</v>
      </c>
      <c r="B989" s="14" t="str">
        <f>IFERROR(__xludf.DUMMYFUNCTION("""COMPUTED_VALUE"""),"РЕН-26")</f>
        <v>РЕН-26</v>
      </c>
      <c r="C989" s="14" t="str">
        <f>IFERROR(__xludf.DUMMYFUNCTION("""COMPUTED_VALUE"""),"ОКС")</f>
        <v>ОКС</v>
      </c>
      <c r="D989" s="6"/>
      <c r="E989" s="14" t="str">
        <f>IFERROR(__xludf.DUMMYFUNCTION("""COMPUTED_VALUE"""),"ул. Пржевальского, з/у 12 ул. Пржевальского, з/у 12")</f>
        <v>ул. Пржевальского, з/у 12 ул. Пржевальского, з/у 12</v>
      </c>
      <c r="F989" s="25" t="str">
        <f>IFERROR(__xludf.DUMMYFUNCTION("""COMPUTED_VALUE"""),"55.680057")</f>
        <v>55.680057</v>
      </c>
      <c r="G989" s="6" t="str">
        <f>IFERROR(__xludf.DUMMYFUNCTION("""COMPUTED_VALUE"""),"37.456064")</f>
        <v>37.456064</v>
      </c>
      <c r="H989" s="18" t="str">
        <f>IFERROR(__xludf.DUMMYFUNCTION("""COMPUTED_VALUE"""),"https://docs.google.com/spreadsheets/d/1rbCD10ySi4YZEkJW2_Slmn9z7AI1WEsGsZaIJmnnT18/edit?gid=1956863227#gid=1956863227")</f>
        <v>https://docs.google.com/spreadsheets/d/1rbCD10ySi4YZEkJW2_Slmn9z7AI1WEsGsZaIJmnnT18/edit?gid=1956863227#gid=1956863227</v>
      </c>
      <c r="I989" s="19" t="str">
        <f>IFERROR(__xludf.DUMMYFUNCTION("""COMPUTED_VALUE"""),"https://disk.yandex.ru/client/disk/Осмотры%20объектов%20АНО%20СМГ/941.%20ул.%20Пржевальского%2C%20зу%2012")</f>
        <v>https://disk.yandex.ru/client/disk/Осмотры%20объектов%20АНО%20СМГ/941.%20ул.%20Пржевальского%2C%20зу%2012</v>
      </c>
      <c r="J989" s="50">
        <f>IFERROR(__xludf.DUMMYFUNCTION("""COMPUTED_VALUE"""),0.0)</f>
        <v>0</v>
      </c>
      <c r="K989" s="58">
        <f>IFERROR(__xludf.DUMMYFUNCTION("""COMPUTED_VALUE"""),45962.0)</f>
        <v>45962</v>
      </c>
      <c r="L989" s="6">
        <v>30.0</v>
      </c>
      <c r="M989" s="52">
        <v>45992.0</v>
      </c>
      <c r="N989" s="53" t="s">
        <v>692</v>
      </c>
      <c r="O989" s="19" t="s">
        <v>669</v>
      </c>
      <c r="P989" s="6"/>
      <c r="Q989" s="6"/>
      <c r="R989" s="6"/>
    </row>
    <row r="990">
      <c r="A990" s="31" t="str">
        <f>IFERROR(__xludf.DUMMYFUNCTION("""COMPUTED_VALUE"""),"657")</f>
        <v>657</v>
      </c>
      <c r="B990" s="14" t="str">
        <f>IFERROR(__xludf.DUMMYFUNCTION("""COMPUTED_VALUE"""),"РЕН-26")</f>
        <v>РЕН-26</v>
      </c>
      <c r="C990" s="14" t="str">
        <f>IFERROR(__xludf.DUMMYFUNCTION("""COMPUTED_VALUE"""),"ОКС")</f>
        <v>ОКС</v>
      </c>
      <c r="D990" s="6"/>
      <c r="E990" s="14" t="str">
        <f>IFERROR(__xludf.DUMMYFUNCTION("""COMPUTED_VALUE"""),"Кольская ул., з/у 7 СВАО, Кольская ул. земельный участок 7 (Кольская вл. 7), район Свиблово")</f>
        <v>Кольская ул., з/у 7 СВАО, Кольская ул. земельный участок 7 (Кольская вл. 7), район Свиблово</v>
      </c>
      <c r="F990" s="25" t="str">
        <f>IFERROR(__xludf.DUMMYFUNCTION("""COMPUTED_VALUE"""),"55.859232")</f>
        <v>55.859232</v>
      </c>
      <c r="G990" s="6" t="str">
        <f>IFERROR(__xludf.DUMMYFUNCTION("""COMPUTED_VALUE"""),"37.649228")</f>
        <v>37.649228</v>
      </c>
      <c r="H990" s="18" t="str">
        <f>IFERROR(__xludf.DUMMYFUNCTION("""COMPUTED_VALUE"""),"https://docs.google.com/spreadsheets/d/1rbCD10ySi4YZEkJW2_Slmn9z7AI1WEsGsZaIJmnnT18/edit?gid=1068599727#gid=1068599727")</f>
        <v>https://docs.google.com/spreadsheets/d/1rbCD10ySi4YZEkJW2_Slmn9z7AI1WEsGsZaIJmnnT18/edit?gid=1068599727#gid=1068599727</v>
      </c>
      <c r="I990" s="19" t="str">
        <f>IFERROR(__xludf.DUMMYFUNCTION("""COMPUTED_VALUE"""),"https://disk.yandex.ru/client/disk/Осмотры%20объектов%20АНО%20СМГ/657%20Кольская%20ул.%2C%20зу%207")</f>
        <v>https://disk.yandex.ru/client/disk/Осмотры%20объектов%20АНО%20СМГ/657%20Кольская%20ул.%2C%20зу%207</v>
      </c>
      <c r="J990" s="50">
        <f>IFERROR(__xludf.DUMMYFUNCTION("""COMPUTED_VALUE"""),52.57548)</f>
        <v>52.57548</v>
      </c>
      <c r="K990" s="58">
        <f>IFERROR(__xludf.DUMMYFUNCTION("""COMPUTED_VALUE"""),45974.0)</f>
        <v>45974</v>
      </c>
      <c r="L990" s="6">
        <v>14.0</v>
      </c>
      <c r="M990" s="52">
        <v>45988.0</v>
      </c>
      <c r="N990" s="53" t="s">
        <v>711</v>
      </c>
      <c r="O990" s="19" t="s">
        <v>669</v>
      </c>
      <c r="P990" s="6"/>
      <c r="Q990" s="6"/>
      <c r="R990" s="6"/>
    </row>
    <row r="991">
      <c r="A991" s="31" t="str">
        <f>IFERROR(__xludf.DUMMYFUNCTION("""COMPUTED_VALUE"""),"723")</f>
        <v>723</v>
      </c>
      <c r="B991" s="14" t="str">
        <f>IFERROR(__xludf.DUMMYFUNCTION("""COMPUTED_VALUE"""),"РЕН-26")</f>
        <v>РЕН-26</v>
      </c>
      <c r="C991" s="14" t="str">
        <f>IFERROR(__xludf.DUMMYFUNCTION("""COMPUTED_VALUE"""),"ОКС")</f>
        <v>ОКС</v>
      </c>
      <c r="D991" s="6"/>
      <c r="E991" s="14" t="str">
        <f>IFERROR(__xludf.DUMMYFUNCTION("""COMPUTED_VALUE"""),"ул.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f>
        <v>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v>
      </c>
      <c r="F991" s="25" t="str">
        <f>IFERROR(__xludf.DUMMYFUNCTION("""COMPUTED_VALUE"""),"55.725574")</f>
        <v>55.725574</v>
      </c>
      <c r="G991" s="6" t="str">
        <f>IFERROR(__xludf.DUMMYFUNCTION("""COMPUTED_VALUE"""),"37.471004")</f>
        <v>37.471004</v>
      </c>
      <c r="H991" s="18" t="str">
        <f>IFERROR(__xludf.DUMMYFUNCTION("""COMPUTED_VALUE"""),"https://docs.google.com/spreadsheets/d/1rbCD10ySi4YZEkJW2_Slmn9z7AI1WEsGsZaIJmnnT18/edit?gid=1407510683#gid=1407510683")</f>
        <v>https://docs.google.com/spreadsheets/d/1rbCD10ySi4YZEkJW2_Slmn9z7AI1WEsGsZaIJmnnT18/edit?gid=1407510683#gid=1407510683</v>
      </c>
      <c r="I991" s="19" t="str">
        <f>IFERROR(__xludf.DUMMYFUNCTION("""COMPUTED_VALUE"""),"https://disk.yandex.ru/client/disk/Осмотры%20объектов%20АНО%20СМГ/723.%20дом%20Ул.%20Кремчугская%2011-17")</f>
        <v>https://disk.yandex.ru/client/disk/Осмотры%20объектов%20АНО%20СМГ/723.%20дом%20Ул.%20Кремчугская%2011-17</v>
      </c>
      <c r="J991" s="50">
        <f>IFERROR(__xludf.DUMMYFUNCTION("""COMPUTED_VALUE"""),34.37917499999999)</f>
        <v>34.379175</v>
      </c>
      <c r="K991" s="58">
        <f>IFERROR(__xludf.DUMMYFUNCTION("""COMPUTED_VALUE"""),45973.0)</f>
        <v>45973</v>
      </c>
      <c r="L991" s="6">
        <v>30.0</v>
      </c>
      <c r="M991" s="52">
        <v>46003.0</v>
      </c>
      <c r="N991" s="53" t="s">
        <v>711</v>
      </c>
      <c r="O991" s="19" t="s">
        <v>669</v>
      </c>
      <c r="P991" s="6"/>
      <c r="Q991" s="6"/>
      <c r="R991" s="6"/>
    </row>
    <row r="992">
      <c r="A992" s="31" t="str">
        <f>IFERROR(__xludf.DUMMYFUNCTION("""COMPUTED_VALUE"""),"685")</f>
        <v>685</v>
      </c>
      <c r="B992" s="14" t="str">
        <f>IFERROR(__xludf.DUMMYFUNCTION("""COMPUTED_VALUE"""),"РЕН-26")</f>
        <v>РЕН-26</v>
      </c>
      <c r="C992" s="14" t="str">
        <f>IFERROR(__xludf.DUMMYFUNCTION("""COMPUTED_VALUE"""),"ОКС")</f>
        <v>ОКС</v>
      </c>
      <c r="D992" s="6"/>
      <c r="E992" s="14" t="str">
        <f>IFERROR(__xludf.DUMMYFUNCTION("""COMPUTED_VALUE"""),"Вагоноремонтная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f>
        <v>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v>
      </c>
      <c r="F992" s="25" t="str">
        <f>IFERROR(__xludf.DUMMYFUNCTION("""COMPUTED_VALUE"""),"55.897462")</f>
        <v>55.897462</v>
      </c>
      <c r="G992" s="6" t="str">
        <f>IFERROR(__xludf.DUMMYFUNCTION("""COMPUTED_VALUE"""),"37.534452")</f>
        <v>37.534452</v>
      </c>
      <c r="H992" s="18" t="str">
        <f>IFERROR(__xludf.DUMMYFUNCTION("""COMPUTED_VALUE"""),"https://docs.google.com/spreadsheets/d/1rbCD10ySi4YZEkJW2_Slmn9z7AI1WEsGsZaIJmnnT18/edit?gid=1084360480#gid=1084360480")</f>
        <v>https://docs.google.com/spreadsheets/d/1rbCD10ySi4YZEkJW2_Slmn9z7AI1WEsGsZaIJmnnT18/edit?gid=1084360480#gid=1084360480</v>
      </c>
      <c r="I992" s="19" t="str">
        <f>IFERROR(__xludf.DUMMYFUNCTION("""COMPUTED_VALUE"""),"https://disk.yandex.ru/client/disk/Осмотры%20объектов%20АНО%20СМГ/946.%20ФОК%20ул.%20Истринская%202-8")</f>
        <v>https://disk.yandex.ru/client/disk/Осмотры%20объектов%20АНО%20СМГ/946.%20ФОК%20ул.%20Истринская%202-8</v>
      </c>
      <c r="J992" s="50">
        <f>IFERROR(__xludf.DUMMYFUNCTION("""COMPUTED_VALUE"""),0.0)</f>
        <v>0</v>
      </c>
      <c r="K992" s="58">
        <f>IFERROR(__xludf.DUMMYFUNCTION("""COMPUTED_VALUE"""),45973.0)</f>
        <v>45973</v>
      </c>
      <c r="L992" s="6">
        <v>30.0</v>
      </c>
      <c r="M992" s="52">
        <v>46003.0</v>
      </c>
      <c r="N992" s="53" t="s">
        <v>711</v>
      </c>
      <c r="O992" s="19" t="s">
        <v>669</v>
      </c>
      <c r="P992" s="6"/>
      <c r="Q992" s="6"/>
      <c r="R992" s="6"/>
    </row>
    <row r="993">
      <c r="A993" s="31" t="str">
        <f>IFERROR(__xludf.DUMMYFUNCTION("""COMPUTED_VALUE"""),"663")</f>
        <v>663</v>
      </c>
      <c r="B993" s="14" t="str">
        <f>IFERROR(__xludf.DUMMYFUNCTION("""COMPUTED_VALUE"""),"РЕН-26")</f>
        <v>РЕН-26</v>
      </c>
      <c r="C993" s="14" t="str">
        <f>IFERROR(__xludf.DUMMYFUNCTION("""COMPUTED_VALUE"""),"ОКС")</f>
        <v>ОКС</v>
      </c>
      <c r="D993" s="6"/>
      <c r="E993" s="14" t="str">
        <f>IFERROR(__xludf.DUMMYFUNCTION("""COMPUTED_VALUE"""),"ул. Долгопрудная, з/у 8 р-н Дмитровский мкр. 15, 16, 17, 18. улица Долгопрудная, з/у 8 (Зона 10.4)   (со сносом жилых домов по адресу: ул. Долгопрудная, д.8, к.2 и ул. Долгопрудная, д.8, к.1)")</f>
        <v>ул. Долгопрудная, з/у 8 р-н Дмитровский мкр. 15, 16, 17, 18. улица Долгопрудная, з/у 8 (Зона 10.4)   (со сносом жилых домов по адресу: ул. Долгопрудная, д.8, к.2 и ул. Долгопрудная, д.8, к.1)</v>
      </c>
      <c r="F993" s="25" t="str">
        <f>IFERROR(__xludf.DUMMYFUNCTION("""COMPUTED_VALUE"""),"55.894542")</f>
        <v>55.894542</v>
      </c>
      <c r="G993" s="6" t="str">
        <f>IFERROR(__xludf.DUMMYFUNCTION("""COMPUTED_VALUE"""),"37.539888")</f>
        <v>37.539888</v>
      </c>
      <c r="H993" s="18" t="str">
        <f>IFERROR(__xludf.DUMMYFUNCTION("""COMPUTED_VALUE"""),"https://docs.google.com/spreadsheets/d/1rbCD10ySi4YZEkJW2_Slmn9z7AI1WEsGsZaIJmnnT18/edit?gid=43981398#gid=43981398")</f>
        <v>https://docs.google.com/spreadsheets/d/1rbCD10ySi4YZEkJW2_Slmn9z7AI1WEsGsZaIJmnnT18/edit?gid=43981398#gid=43981398</v>
      </c>
      <c r="I993" s="19" t="str">
        <f>IFERROR(__xludf.DUMMYFUNCTION("""COMPUTED_VALUE"""),"https://disk.yandex.ru/client/disk/Осмотры%20объектов%20АНО%20СМГ/663.%20ул.%20Долгопрудная%20з.у.%208")</f>
        <v>https://disk.yandex.ru/client/disk/Осмотры%20объектов%20АНО%20СМГ/663.%20ул.%20Долгопрудная%20з.у.%208</v>
      </c>
      <c r="J993" s="50">
        <f>IFERROR(__xludf.DUMMYFUNCTION("""COMPUTED_VALUE"""),1.3199999999999998)</f>
        <v>1.32</v>
      </c>
      <c r="K993" s="58">
        <f>IFERROR(__xludf.DUMMYFUNCTION("""COMPUTED_VALUE"""),45974.0)</f>
        <v>45974</v>
      </c>
      <c r="L993" s="6">
        <v>30.0</v>
      </c>
      <c r="M993" s="52">
        <v>46004.0</v>
      </c>
      <c r="N993" s="53" t="s">
        <v>711</v>
      </c>
      <c r="O993" s="19" t="s">
        <v>669</v>
      </c>
      <c r="P993" s="6"/>
      <c r="Q993" s="6"/>
      <c r="R993" s="6"/>
    </row>
    <row r="994">
      <c r="A994" s="31" t="str">
        <f>IFERROR(__xludf.DUMMYFUNCTION("""COMPUTED_VALUE"""),"931")</f>
        <v>931</v>
      </c>
      <c r="B994" s="14" t="str">
        <f>IFERROR(__xludf.DUMMYFUNCTION("""COMPUTED_VALUE"""),"РЕН-26")</f>
        <v>РЕН-26</v>
      </c>
      <c r="C994" s="14" t="str">
        <f>IFERROR(__xludf.DUMMYFUNCTION("""COMPUTED_VALUE"""),"ОКС")</f>
        <v>ОКС</v>
      </c>
      <c r="D994" s="6"/>
      <c r="E994" s="14" t="str">
        <f>IFERROR(__xludf.DUMMYFUNCTION("""COMPUTED_VALUE"""),"ул. Уткина, з/у 44 ул. Уткина, з/у 44")</f>
        <v>ул. Уткина, з/у 44 ул. Уткина, з/у 44</v>
      </c>
      <c r="F994" s="25" t="str">
        <f>IFERROR(__xludf.DUMMYFUNCTION("""COMPUTED_VALUE"""),"55.761811")</f>
        <v>55.761811</v>
      </c>
      <c r="G994" s="6" t="str">
        <f>IFERROR(__xludf.DUMMYFUNCTION("""COMPUTED_VALUE"""),"37.744226")</f>
        <v>37.744226</v>
      </c>
      <c r="H994" s="18" t="str">
        <f>IFERROR(__xludf.DUMMYFUNCTION("""COMPUTED_VALUE"""),"https://docs.google.com/spreadsheets/d/1rbCD10ySi4YZEkJW2_Slmn9z7AI1WEsGsZaIJmnnT18/edit?gid=1877394014#gid=1877394014")</f>
        <v>https://docs.google.com/spreadsheets/d/1rbCD10ySi4YZEkJW2_Slmn9z7AI1WEsGsZaIJmnnT18/edit?gid=1877394014#gid=1877394014</v>
      </c>
      <c r="I994" s="19" t="str">
        <f>IFERROR(__xludf.DUMMYFUNCTION("""COMPUTED_VALUE"""),"https://disk.yandex.ru/client/disk/Осмотры%20объектов%20АНО%20СМГ/931.%20ул.%20Уткина%2C%20з.у%2044")</f>
        <v>https://disk.yandex.ru/client/disk/Осмотры%20объектов%20АНО%20СМГ/931.%20ул.%20Уткина%2C%20з.у%2044</v>
      </c>
      <c r="J994" s="50">
        <f>IFERROR(__xludf.DUMMYFUNCTION("""COMPUTED_VALUE"""),0.0)</f>
        <v>0</v>
      </c>
      <c r="K994" s="58">
        <f>IFERROR(__xludf.DUMMYFUNCTION("""COMPUTED_VALUE"""),45973.0)</f>
        <v>45973</v>
      </c>
      <c r="L994" s="6">
        <v>30.0</v>
      </c>
      <c r="M994" s="52">
        <v>46003.0</v>
      </c>
      <c r="N994" s="53" t="s">
        <v>711</v>
      </c>
      <c r="O994" s="19" t="s">
        <v>893</v>
      </c>
      <c r="P994" s="6"/>
      <c r="Q994" s="6"/>
      <c r="R994" s="6"/>
    </row>
    <row r="995">
      <c r="A995" s="31" t="str">
        <f>IFERROR(__xludf.DUMMYFUNCTION("""COMPUTED_VALUE"""),"921")</f>
        <v>921</v>
      </c>
      <c r="B995" s="14" t="str">
        <f>IFERROR(__xludf.DUMMYFUNCTION("""COMPUTED_VALUE"""),"РЕН-26")</f>
        <v>РЕН-26</v>
      </c>
      <c r="C995" s="14" t="str">
        <f>IFERROR(__xludf.DUMMYFUNCTION("""COMPUTED_VALUE"""),"ОКС")</f>
        <v>ОКС</v>
      </c>
      <c r="D995" s="6"/>
      <c r="E995" s="14" t="str">
        <f>IFERROR(__xludf.DUMMYFUNCTION("""COMPUTED_VALUE"""),"ул. Камова, з/у 1 ул. Камова, з/у 1")</f>
        <v>ул. Камова, з/у 1 ул. Камова, з/у 1</v>
      </c>
      <c r="F995" s="25" t="str">
        <f>IFERROR(__xludf.DUMMYFUNCTION("""COMPUTED_VALUE"""),"55.705367")</f>
        <v>55.705367</v>
      </c>
      <c r="G995" s="6" t="str">
        <f>IFERROR(__xludf.DUMMYFUNCTION("""COMPUTED_VALUE"""),"37.871187")</f>
        <v>37.871187</v>
      </c>
      <c r="H995" s="18" t="str">
        <f>IFERROR(__xludf.DUMMYFUNCTION("""COMPUTED_VALUE"""),"https://docs.google.com/spreadsheets/d/1rbCD10ySi4YZEkJW2_Slmn9z7AI1WEsGsZaIJmnnT18/edit?gid=482146990#gid=482146990")</f>
        <v>https://docs.google.com/spreadsheets/d/1rbCD10ySi4YZEkJW2_Slmn9z7AI1WEsGsZaIJmnnT18/edit?gid=482146990#gid=482146990</v>
      </c>
      <c r="I995" s="19" t="str">
        <f>IFERROR(__xludf.DUMMYFUNCTION("""COMPUTED_VALUE"""),"https://disk.yandex.ru/client/disk/Осмотры%20объектов%20АНО%20СМГ/921%20ул.%20Камова%2C%20з.у%201")</f>
        <v>https://disk.yandex.ru/client/disk/Осмотры%20объектов%20АНО%20СМГ/921%20ул.%20Камова%2C%20з.у%201</v>
      </c>
      <c r="J995" s="50">
        <f>IFERROR(__xludf.DUMMYFUNCTION("""COMPUTED_VALUE"""),0.0)</f>
        <v>0</v>
      </c>
      <c r="K995" s="58">
        <f>IFERROR(__xludf.DUMMYFUNCTION("""COMPUTED_VALUE"""),45960.0)</f>
        <v>45960</v>
      </c>
      <c r="L995" s="6">
        <v>30.0</v>
      </c>
      <c r="M995" s="52">
        <v>45990.0</v>
      </c>
      <c r="N995" s="53" t="s">
        <v>692</v>
      </c>
      <c r="O995" s="19" t="s">
        <v>1201</v>
      </c>
      <c r="P995" s="6"/>
      <c r="Q995" s="6"/>
      <c r="R995" s="6"/>
    </row>
    <row r="996">
      <c r="A996" s="31" t="str">
        <f>IFERROR(__xludf.DUMMYFUNCTION("""COMPUTED_VALUE"""),"889")</f>
        <v>889</v>
      </c>
      <c r="B996" s="14" t="str">
        <f>IFERROR(__xludf.DUMMYFUNCTION("""COMPUTED_VALUE"""),"РЕН-26")</f>
        <v>РЕН-26</v>
      </c>
      <c r="C996" s="14" t="str">
        <f>IFERROR(__xludf.DUMMYFUNCTION("""COMPUTED_VALUE"""),"ОКС")</f>
        <v>ОКС</v>
      </c>
      <c r="D996" s="6"/>
      <c r="E996" s="14" t="str">
        <f>IFERROR(__xludf.DUMMYFUNCTION("""COMPUTED_VALUE"""),"Винокурова ул., з/у 22/1 (зона 2.1) улица Винокурова, зу 22_1 зона 2.1")</f>
        <v>Винокурова ул., з/у 22/1 (зона 2.1) улица Винокурова, зу 22_1 зона 2.1</v>
      </c>
      <c r="F996" s="25" t="str">
        <f>IFERROR(__xludf.DUMMYFUNCTION("""COMPUTED_VALUE"""),"55.684600")</f>
        <v>55.684600</v>
      </c>
      <c r="G996" s="6" t="str">
        <f>IFERROR(__xludf.DUMMYFUNCTION("""COMPUTED_VALUE"""),"37.595579")</f>
        <v>37.595579</v>
      </c>
      <c r="H996" s="18" t="str">
        <f>IFERROR(__xludf.DUMMYFUNCTION("""COMPUTED_VALUE"""),"https://docs.google.com/spreadsheets/d/1rbCD10ySi4YZEkJW2_Slmn9z7AI1WEsGsZaIJmnnT18/edit?gid=814332945#gid=814332945")</f>
        <v>https://docs.google.com/spreadsheets/d/1rbCD10ySi4YZEkJW2_Slmn9z7AI1WEsGsZaIJmnnT18/edit?gid=814332945#gid=814332945</v>
      </c>
      <c r="I996" s="19" t="str">
        <f>IFERROR(__xludf.DUMMYFUNCTION("""COMPUTED_VALUE"""),"https://disk.yandex.ru/client/disk/Осмотры%20объектов%20АНО%20СМГ/889.%20улица%20Винокурова%2C%20зу%2022_1%20зона%202.1")</f>
        <v>https://disk.yandex.ru/client/disk/Осмотры%20объектов%20АНО%20СМГ/889.%20улица%20Винокурова%2C%20зу%2022_1%20зона%202.1</v>
      </c>
      <c r="J996" s="50">
        <f>IFERROR(__xludf.DUMMYFUNCTION("""COMPUTED_VALUE"""),0.09000000000000001)</f>
        <v>0.09</v>
      </c>
      <c r="K996" s="58">
        <f>IFERROR(__xludf.DUMMYFUNCTION("""COMPUTED_VALUE"""),45967.0)</f>
        <v>45967</v>
      </c>
      <c r="L996" s="6">
        <v>30.0</v>
      </c>
      <c r="M996" s="52">
        <v>45997.0</v>
      </c>
      <c r="N996" s="53" t="s">
        <v>711</v>
      </c>
      <c r="O996" s="19" t="s">
        <v>669</v>
      </c>
      <c r="P996" s="6"/>
      <c r="Q996" s="6"/>
      <c r="R996" s="6"/>
    </row>
    <row r="997">
      <c r="A997" s="31" t="str">
        <f>IFERROR(__xludf.DUMMYFUNCTION("""COMPUTED_VALUE"""),"913")</f>
        <v>913</v>
      </c>
      <c r="B997" s="14" t="str">
        <f>IFERROR(__xludf.DUMMYFUNCTION("""COMPUTED_VALUE"""),"РЕН-26")</f>
        <v>РЕН-26</v>
      </c>
      <c r="C997" s="14" t="str">
        <f>IFERROR(__xludf.DUMMYFUNCTION("""COMPUTED_VALUE"""),"ОКС")</f>
        <v>ОКС</v>
      </c>
      <c r="D997" s="6"/>
      <c r="E997" s="14" t="str">
        <f>IFERROR(__xludf.DUMMYFUNCTION("""COMPUTED_VALUE"""),"Посещение объекта, построенного в рамках проекта КРТ «Маршала Жукова пр-т вл. 4, 6»: многоквартирного дома для целей программы реновации  р-н Хорошёво-Мнёвники, пр-т Маршала Жукова вл.4-6")</f>
        <v>Посещение объекта, построенного в рамках проекта КРТ «Маршала Жукова пр-т вл. 4, 6»: многоквартирного дома для целей программы реновации  р-н Хорошёво-Мнёвники, пр-т Маршала Жукова вл.4-6</v>
      </c>
      <c r="F997" s="25" t="str">
        <f>IFERROR(__xludf.DUMMYFUNCTION("""COMPUTED_VALUE"""),"55.777475")</f>
        <v>55.777475</v>
      </c>
      <c r="G997" s="6" t="str">
        <f>IFERROR(__xludf.DUMMYFUNCTION("""COMPUTED_VALUE"""),"37.499081")</f>
        <v>37.499081</v>
      </c>
      <c r="H997" s="18" t="str">
        <f>IFERROR(__xludf.DUMMYFUNCTION("""COMPUTED_VALUE"""),"https://docs.google.com/spreadsheets/d/1rbCD10ySi4YZEkJW2_Slmn9z7AI1WEsGsZaIJmnnT18/edit?gid=1920719356#gid=1920719356")</f>
        <v>https://docs.google.com/spreadsheets/d/1rbCD10ySi4YZEkJW2_Slmn9z7AI1WEsGsZaIJmnnT18/edit?gid=1920719356#gid=1920719356</v>
      </c>
      <c r="I997" s="19" t="str">
        <f>IFERROR(__xludf.DUMMYFUNCTION("""COMPUTED_VALUE"""),"https://disk.yandex.ru/client/disk/Осмотры%20объектов%20АНО%20СМГ/913.%20Дом%20ул.%20Маршала%20Жукова%20зу%206")</f>
        <v>https://disk.yandex.ru/client/disk/Осмотры%20объектов%20АНО%20СМГ/913.%20Дом%20ул.%20Маршала%20Жукова%20зу%206</v>
      </c>
      <c r="J997" s="50">
        <f>IFERROR(__xludf.DUMMYFUNCTION("""COMPUTED_VALUE"""),0.0)</f>
        <v>0</v>
      </c>
      <c r="K997" s="58">
        <f>IFERROR(__xludf.DUMMYFUNCTION("""COMPUTED_VALUE"""),45959.0)</f>
        <v>45959</v>
      </c>
      <c r="L997" s="6">
        <v>30.0</v>
      </c>
      <c r="M997" s="52">
        <v>45989.0</v>
      </c>
      <c r="N997" s="53" t="s">
        <v>692</v>
      </c>
      <c r="O997" s="19" t="s">
        <v>1202</v>
      </c>
      <c r="P997" s="6"/>
      <c r="Q997" s="6"/>
      <c r="R997" s="6"/>
    </row>
    <row r="998">
      <c r="A998" s="31" t="str">
        <f>IFERROR(__xludf.DUMMYFUNCTION("""COMPUTED_VALUE"""),"888")</f>
        <v>888</v>
      </c>
      <c r="B998" s="14" t="str">
        <f>IFERROR(__xludf.DUMMYFUNCTION("""COMPUTED_VALUE"""),"РЕН-26")</f>
        <v>РЕН-26</v>
      </c>
      <c r="C998" s="14" t="str">
        <f>IFERROR(__xludf.DUMMYFUNCTION("""COMPUTED_VALUE"""),"ОКС")</f>
        <v>ОКС</v>
      </c>
      <c r="D998" s="6"/>
      <c r="E998" s="14" t="str">
        <f>IFERROR(__xludf.DUMMYFUNCTION("""COMPUTED_VALUE"""),"ул. Родниковая, з/у 6/1 родниковая ул., влд. 6/1")</f>
        <v>ул. Родниковая, з/у 6/1 родниковая ул., влд. 6/1</v>
      </c>
      <c r="F998" s="25" t="str">
        <f>IFERROR(__xludf.DUMMYFUNCTION("""COMPUTED_VALUE"""),"55.638436")</f>
        <v>55.638436</v>
      </c>
      <c r="G998" s="6" t="str">
        <f>IFERROR(__xludf.DUMMYFUNCTION("""COMPUTED_VALUE"""),"37.380471")</f>
        <v>37.380471</v>
      </c>
      <c r="H998" s="18" t="str">
        <f>IFERROR(__xludf.DUMMYFUNCTION("""COMPUTED_VALUE"""),"https://docs.google.com/spreadsheets/d/1rbCD10ySi4YZEkJW2_Slmn9z7AI1WEsGsZaIJmnnT18/edit?gid=1792641255#gid=1792641255")</f>
        <v>https://docs.google.com/spreadsheets/d/1rbCD10ySi4YZEkJW2_Slmn9z7AI1WEsGsZaIJmnnT18/edit?gid=1792641255#gid=1792641255</v>
      </c>
      <c r="I998" s="19" t="str">
        <f>IFERROR(__xludf.DUMMYFUNCTION("""COMPUTED_VALUE"""),"https://disk.yandex.ru/client/disk/Осмотры%20объектов%20АНО%20СМГ/888.%20родниковая%20ул.%206")</f>
        <v>https://disk.yandex.ru/client/disk/Осмотры%20объектов%20АНО%20СМГ/888.%20родниковая%20ул.%206</v>
      </c>
      <c r="J998" s="50">
        <f>IFERROR(__xludf.DUMMYFUNCTION("""COMPUTED_VALUE"""),0.3)</f>
        <v>0.3</v>
      </c>
      <c r="K998" s="58">
        <f>IFERROR(__xludf.DUMMYFUNCTION("""COMPUTED_VALUE"""),45967.0)</f>
        <v>45967</v>
      </c>
      <c r="L998" s="6">
        <v>30.0</v>
      </c>
      <c r="M998" s="52">
        <v>45997.0</v>
      </c>
      <c r="N998" s="53" t="s">
        <v>711</v>
      </c>
      <c r="O998" s="19" t="s">
        <v>669</v>
      </c>
      <c r="P998" s="6"/>
      <c r="Q998" s="6"/>
      <c r="R998" s="6"/>
    </row>
    <row r="999">
      <c r="A999" s="31" t="str">
        <f>IFERROR(__xludf.DUMMYFUNCTION("""COMPUTED_VALUE"""),"900")</f>
        <v>900</v>
      </c>
      <c r="B999" s="14" t="str">
        <f>IFERROR(__xludf.DUMMYFUNCTION("""COMPUTED_VALUE"""),"РЕН-26")</f>
        <v>РЕН-26</v>
      </c>
      <c r="C999" s="14" t="str">
        <f>IFERROR(__xludf.DUMMYFUNCTION("""COMPUTED_VALUE"""),"ОКС")</f>
        <v>ОКС</v>
      </c>
      <c r="D999" s="6"/>
      <c r="E999" s="14" t="str">
        <f>IFERROR(__xludf.DUMMYFUNCTION("""COMPUTED_VALUE"""),"кв-л 9 района Академический, зона № 2.1 кв-л 9 района Академический, зона № 2.1")</f>
        <v>кв-л 9 района Академический, зона № 2.1 кв-л 9 района Академический, зона № 2.1</v>
      </c>
      <c r="F999" s="25" t="str">
        <f>IFERROR(__xludf.DUMMYFUNCTION("""COMPUTED_VALUE"""),"55.675145")</f>
        <v>55.675145</v>
      </c>
      <c r="G999" s="6" t="str">
        <f>IFERROR(__xludf.DUMMYFUNCTION("""COMPUTED_VALUE"""),"37.574192")</f>
        <v>37.574192</v>
      </c>
      <c r="H999" s="18" t="str">
        <f>IFERROR(__xludf.DUMMYFUNCTION("""COMPUTED_VALUE"""),"https://docs.google.com/spreadsheets/d/1rbCD10ySi4YZEkJW2_Slmn9z7AI1WEsGsZaIJmnnT18/edit?gid=1264505014#gid=1264505014")</f>
        <v>https://docs.google.com/spreadsheets/d/1rbCD10ySi4YZEkJW2_Slmn9z7AI1WEsGsZaIJmnnT18/edit?gid=1264505014#gid=1264505014</v>
      </c>
      <c r="I999" s="19" t="str">
        <f>IFERROR(__xludf.DUMMYFUNCTION("""COMPUTED_VALUE"""),"https://disk.yandex.ru/client/disk/Осмотры%20объектов%20АНО%20СМГ/900.%20кв-л%209%20района%20Академический%2C%20зона%20№%202.1")</f>
        <v>https://disk.yandex.ru/client/disk/Осмотры%20объектов%20АНО%20СМГ/900.%20кв-л%209%20района%20Академический%2C%20зона%20№%202.1</v>
      </c>
      <c r="J999" s="50">
        <f>IFERROR(__xludf.DUMMYFUNCTION("""COMPUTED_VALUE"""),9.5526)</f>
        <v>9.5526</v>
      </c>
      <c r="K999" s="58">
        <f>IFERROR(__xludf.DUMMYFUNCTION("""COMPUTED_VALUE"""),45960.0)</f>
        <v>45960</v>
      </c>
      <c r="L999" s="6">
        <v>30.0</v>
      </c>
      <c r="M999" s="52">
        <v>45990.0</v>
      </c>
      <c r="N999" s="53" t="s">
        <v>692</v>
      </c>
      <c r="O999" s="19" t="s">
        <v>669</v>
      </c>
      <c r="P999" s="6"/>
      <c r="Q999" s="6"/>
      <c r="R999" s="6"/>
    </row>
    <row r="1000">
      <c r="A1000" s="31" t="str">
        <f>IFERROR(__xludf.DUMMYFUNCTION("""COMPUTED_VALUE"""),"652")</f>
        <v>652</v>
      </c>
      <c r="B1000" s="14" t="str">
        <f>IFERROR(__xludf.DUMMYFUNCTION("""COMPUTED_VALUE"""),"РЕН-26")</f>
        <v>РЕН-26</v>
      </c>
      <c r="C1000" s="14" t="str">
        <f>IFERROR(__xludf.DUMMYFUNCTION("""COMPUTED_VALUE"""),"ОКС")</f>
        <v>ОКС</v>
      </c>
      <c r="D1000" s="6"/>
      <c r="E1000" s="14" t="str">
        <f>IFERROR(__xludf.DUMMYFUNCTION("""COMPUTED_VALUE"""),"Никитинская ул., з/у 19А (Никитинская ул., з/у 19/1/2) район Измайлово, Никитинская ул., зу 19/1/2 (рефинансирование)")</f>
        <v>Никитинская ул., з/у 19А (Никитинская ул., з/у 19/1/2) район Измайлово, Никитинская ул., зу 19/1/2 (рефинансирование)</v>
      </c>
      <c r="F1000" s="25" t="str">
        <f>IFERROR(__xludf.DUMMYFUNCTION("""COMPUTED_VALUE"""),"55.800556")</f>
        <v>55.800556</v>
      </c>
      <c r="G1000" s="6" t="str">
        <f>IFERROR(__xludf.DUMMYFUNCTION("""COMPUTED_VALUE"""),"37.773920")</f>
        <v>37.773920</v>
      </c>
      <c r="H1000" s="18" t="str">
        <f>IFERROR(__xludf.DUMMYFUNCTION("""COMPUTED_VALUE"""),"https://docs.google.com/spreadsheets/d/1rbCD10ySi4YZEkJW2_Slmn9z7AI1WEsGsZaIJmnnT18/edit?gid=445422518#gid=445422518")</f>
        <v>https://docs.google.com/spreadsheets/d/1rbCD10ySi4YZEkJW2_Slmn9z7AI1WEsGsZaIJmnnT18/edit?gid=445422518#gid=445422518</v>
      </c>
      <c r="I1000" s="19" t="str">
        <f>IFERROR(__xludf.DUMMYFUNCTION("""COMPUTED_VALUE"""),"https://disk.yandex.ru/client/disk/Осмотры%20объектов%20АНО%20СМГ/652.%20%20Никитинская%20ул.%2C%20зу%2019.1.2%20(рефинансирование)")</f>
        <v>https://disk.yandex.ru/client/disk/Осмотры%20объектов%20АНО%20СМГ/652.%20%20Никитинская%20ул.%2C%20зу%2019.1.2%20(рефинансирование)</v>
      </c>
      <c r="J1000" s="50">
        <f>IFERROR(__xludf.DUMMYFUNCTION("""COMPUTED_VALUE"""),0.0)</f>
        <v>0</v>
      </c>
      <c r="K1000" s="58">
        <f>IFERROR(__xludf.DUMMYFUNCTION("""COMPUTED_VALUE"""),45961.0)</f>
        <v>45961</v>
      </c>
      <c r="L1000" s="6">
        <v>30.0</v>
      </c>
      <c r="M1000" s="52">
        <v>45991.0</v>
      </c>
      <c r="N1000" s="53" t="s">
        <v>692</v>
      </c>
      <c r="O1000" s="19" t="s">
        <v>1193</v>
      </c>
      <c r="P1000" s="6"/>
      <c r="Q1000" s="6"/>
      <c r="R1000" s="6"/>
    </row>
    <row r="1001">
      <c r="A1001" s="31" t="str">
        <f>IFERROR(__xludf.DUMMYFUNCTION("""COMPUTED_VALUE"""),"1332")</f>
        <v>1332</v>
      </c>
      <c r="B1001" s="14" t="str">
        <f>IFERROR(__xludf.DUMMYFUNCTION("""COMPUTED_VALUE"""),"РЕН-26")</f>
        <v>РЕН-26</v>
      </c>
      <c r="C1001" s="14" t="str">
        <f>IFERROR(__xludf.DUMMYFUNCTION("""COMPUTED_VALUE"""),"ОКС")</f>
        <v>ОКС</v>
      </c>
      <c r="D1001" s="6"/>
      <c r="E1001" s="14" t="str">
        <f>IFERROR(__xludf.DUMMYFUNCTION("""COMPUTED_VALUE"""),"Жилой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шо"&amp;"ссе, вл.8А-10А")</f>
        <v>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шоссе, вл.8А-10А</v>
      </c>
      <c r="F1001" s="25" t="str">
        <f>IFERROR(__xludf.DUMMYFUNCTION("""COMPUTED_VALUE"""),"55.699085")</f>
        <v>55.699085</v>
      </c>
      <c r="G1001" s="6" t="str">
        <f>IFERROR(__xludf.DUMMYFUNCTION("""COMPUTED_VALUE""")," 37.617942")</f>
        <v> 37.617942</v>
      </c>
      <c r="H1001" s="18" t="str">
        <f>IFERROR(__xludf.DUMMYFUNCTION("""COMPUTED_VALUE"""),"https://docs.google.com/spreadsheets/d/1rbCD10ySi4YZEkJW2_Slmn9z7AI1WEsGsZaIJmnnT18/edit?gid=1676819339#gid=1676819339")</f>
        <v>https://docs.google.com/spreadsheets/d/1rbCD10ySi4YZEkJW2_Slmn9z7AI1WEsGsZaIJmnnT18/edit?gid=1676819339#gid=1676819339</v>
      </c>
      <c r="I1001" s="19"/>
      <c r="J1001" s="50">
        <f>IFERROR(__xludf.DUMMYFUNCTION("""COMPUTED_VALUE"""),7.68)</f>
        <v>7.68</v>
      </c>
      <c r="K1001" s="58">
        <f>IFERROR(__xludf.DUMMYFUNCTION("""COMPUTED_VALUE"""),45961.0)</f>
        <v>45961</v>
      </c>
      <c r="L1001" s="6">
        <v>30.0</v>
      </c>
      <c r="M1001" s="52">
        <v>45991.0</v>
      </c>
      <c r="N1001" s="53" t="s">
        <v>692</v>
      </c>
      <c r="O1001" s="19" t="s">
        <v>669</v>
      </c>
      <c r="P1001" s="6"/>
      <c r="Q1001" s="6"/>
      <c r="R1001" s="6"/>
    </row>
    <row r="1002">
      <c r="A1002" s="31" t="str">
        <f>IFERROR(__xludf.DUMMYFUNCTION("""COMPUTED_VALUE"""),"989")</f>
        <v>989</v>
      </c>
      <c r="B1002" s="14" t="str">
        <f>IFERROR(__xludf.DUMMYFUNCTION("""COMPUTED_VALUE"""),"РЕН-26")</f>
        <v>РЕН-26</v>
      </c>
      <c r="C1002" s="14" t="str">
        <f>IFERROR(__xludf.DUMMYFUNCTION("""COMPUTED_VALUE"""),"ОКС")</f>
        <v>ОКС</v>
      </c>
      <c r="D1002" s="6"/>
      <c r="E1002" s="14" t="str">
        <f>IFERROR(__xludf.DUMMYFUNCTION("""COMPUTED_VALUE"""),"ул. Плющева, з/у 17/3 ул. Плющева, з/у 17/3")</f>
        <v>ул. Плющева, з/у 17/3 ул. Плющева, з/у 17/3</v>
      </c>
      <c r="F1002" s="25" t="str">
        <f>IFERROR(__xludf.DUMMYFUNCTION("""COMPUTED_VALUE"""),"55.739250")</f>
        <v>55.739250</v>
      </c>
      <c r="G1002" s="6" t="str">
        <f>IFERROR(__xludf.DUMMYFUNCTION("""COMPUTED_VALUE"""),"37.763432")</f>
        <v>37.763432</v>
      </c>
      <c r="H1002" s="18" t="str">
        <f>IFERROR(__xludf.DUMMYFUNCTION("""COMPUTED_VALUE"""),"https://docs.google.com/spreadsheets/d/1rbCD10ySi4YZEkJW2_Slmn9z7AI1WEsGsZaIJmnnT18/edit?gid=1262206675#gid=1262206675")</f>
        <v>https://docs.google.com/spreadsheets/d/1rbCD10ySi4YZEkJW2_Slmn9z7AI1WEsGsZaIJmnnT18/edit?gid=1262206675#gid=1262206675</v>
      </c>
      <c r="I1002" s="19" t="str">
        <f>IFERROR(__xludf.DUMMYFUNCTION("""COMPUTED_VALUE"""),"https://disk.yandex.ru/client/disk/Осмотры%20объектов%20АНО%20СМГ/989.%20Плющева%20ЗУ%2017.3")</f>
        <v>https://disk.yandex.ru/client/disk/Осмотры%20объектов%20АНО%20СМГ/989.%20Плющева%20ЗУ%2017.3</v>
      </c>
      <c r="J1002" s="50">
        <f>IFERROR(__xludf.DUMMYFUNCTION("""COMPUTED_VALUE"""),0.0)</f>
        <v>0</v>
      </c>
      <c r="K1002" s="58">
        <f>IFERROR(__xludf.DUMMYFUNCTION("""COMPUTED_VALUE"""),45967.0)</f>
        <v>45967</v>
      </c>
      <c r="L1002" s="6">
        <v>30.0</v>
      </c>
      <c r="M1002" s="52">
        <v>45997.0</v>
      </c>
      <c r="N1002" s="53" t="s">
        <v>711</v>
      </c>
      <c r="O1002" s="19" t="s">
        <v>1203</v>
      </c>
      <c r="P1002" s="6"/>
      <c r="Q1002" s="6"/>
      <c r="R1002" s="6"/>
    </row>
    <row r="1003">
      <c r="A1003" s="31" t="str">
        <f>IFERROR(__xludf.DUMMYFUNCTION("""COMPUTED_VALUE"""),"976")</f>
        <v>976</v>
      </c>
      <c r="B1003" s="14" t="str">
        <f>IFERROR(__xludf.DUMMYFUNCTION("""COMPUTED_VALUE"""),"РЕН-26")</f>
        <v>РЕН-26</v>
      </c>
      <c r="C1003" s="14" t="str">
        <f>IFERROR(__xludf.DUMMYFUNCTION("""COMPUTED_VALUE"""),"ОКС")</f>
        <v>ОКС</v>
      </c>
      <c r="D1003" s="6"/>
      <c r="E1003" s="14" t="str">
        <f>IFERROR(__xludf.DUMMYFUNCTION("""COMPUTED_VALUE"""),"Центральная ул., з/у 3А (Центральная ул., вблизи д.3) Центральная ул., з/у 3А (Центральная ул., вблизи д.3)")</f>
        <v>Центральная ул., з/у 3А (Центральная ул., вблизи д.3) Центральная ул., з/у 3А (Центральная ул., вблизи д.3)</v>
      </c>
      <c r="F1003" s="25" t="str">
        <f>IFERROR(__xludf.DUMMYFUNCTION("""COMPUTED_VALUE"""),"55.515549")</f>
        <v>55.515549</v>
      </c>
      <c r="G1003" s="6" t="str">
        <f>IFERROR(__xludf.DUMMYFUNCTION("""COMPUTED_VALUE"""),"37.224560")</f>
        <v>37.224560</v>
      </c>
      <c r="H1003" s="18" t="str">
        <f>IFERROR(__xludf.DUMMYFUNCTION("""COMPUTED_VALUE"""),"https://docs.google.com/spreadsheets/d/1rbCD10ySi4YZEkJW2_Slmn9z7AI1WEsGsZaIJmnnT18/edit?gid=2057992272#gid=2057992272")</f>
        <v>https://docs.google.com/spreadsheets/d/1rbCD10ySi4YZEkJW2_Slmn9z7AI1WEsGsZaIJmnnT18/edit?gid=2057992272#gid=2057992272</v>
      </c>
      <c r="I1003" s="19" t="str">
        <f>IFERROR(__xludf.DUMMYFUNCTION("""COMPUTED_VALUE"""),"https://disk.yandex.ru/client/disk/Осмотры%20объектов%20АНО%20СМГ/976.%20жилой%20дом%20ул.%20Центрральная%203А")</f>
        <v>https://disk.yandex.ru/client/disk/Осмотры%20объектов%20АНО%20СМГ/976.%20жилой%20дом%20ул.%20Центрральная%203А</v>
      </c>
      <c r="J1003" s="50">
        <f>IFERROR(__xludf.DUMMYFUNCTION("""COMPUTED_VALUE"""),0.0)</f>
        <v>0</v>
      </c>
      <c r="K1003" s="58">
        <f>IFERROR(__xludf.DUMMYFUNCTION("""COMPUTED_VALUE"""),45961.0)</f>
        <v>45961</v>
      </c>
      <c r="L1003" s="6">
        <v>30.0</v>
      </c>
      <c r="M1003" s="52">
        <v>45991.0</v>
      </c>
      <c r="N1003" s="53" t="s">
        <v>692</v>
      </c>
      <c r="O1003" s="19" t="s">
        <v>1204</v>
      </c>
      <c r="P1003" s="6"/>
      <c r="Q1003" s="6"/>
      <c r="R1003" s="6"/>
    </row>
    <row r="1004">
      <c r="A1004" s="31" t="str">
        <f>IFERROR(__xludf.DUMMYFUNCTION("""COMPUTED_VALUE"""),"662")</f>
        <v>662</v>
      </c>
      <c r="B1004" s="14" t="str">
        <f>IFERROR(__xludf.DUMMYFUNCTION("""COMPUTED_VALUE"""),"РЕН-26")</f>
        <v>РЕН-26</v>
      </c>
      <c r="C1004" s="14" t="str">
        <f>IFERROR(__xludf.DUMMYFUNCTION("""COMPUTED_VALUE"""),"ОКС")</f>
        <v>ОКС</v>
      </c>
      <c r="D1004" s="6"/>
      <c r="E1004" s="14" t="str">
        <f>IFERROR(__xludf.DUMMYFUNCTION("""COMPUTED_VALUE"""),"Свободный просп., вл. 6 (Свободный пр-т, вл. 6) ВАО, район Новогиреево, Свободный пр-кт, вл. 6 (со сносом жилого дома по адресу: Свободный пр-кт, д. 6, к. 1)")</f>
        <v>Свободный просп., вл. 6 (Свободный пр-т, вл. 6) ВАО, район Новогиреево, Свободный пр-кт, вл. 6 (со сносом жилого дома по адресу: Свободный пр-кт, д. 6, к. 1)</v>
      </c>
      <c r="F1004" s="25" t="str">
        <f>IFERROR(__xludf.DUMMYFUNCTION("""COMPUTED_VALUE"""),"55.756972")</f>
        <v>55.756972</v>
      </c>
      <c r="G1004" s="6" t="str">
        <f>IFERROR(__xludf.DUMMYFUNCTION("""COMPUTED_VALUE"""),"37.818630")</f>
        <v>37.818630</v>
      </c>
      <c r="H1004" s="18" t="str">
        <f>IFERROR(__xludf.DUMMYFUNCTION("""COMPUTED_VALUE"""),"https://docs.google.com/spreadsheets/d/1rbCD10ySi4YZEkJW2_Slmn9z7AI1WEsGsZaIJmnnT18/edit?gid=1007518382#gid=1007518382")</f>
        <v>https://docs.google.com/spreadsheets/d/1rbCD10ySi4YZEkJW2_Slmn9z7AI1WEsGsZaIJmnnT18/edit?gid=1007518382#gid=1007518382</v>
      </c>
      <c r="I1004" s="21" t="str">
        <f>IFERROR(__xludf.DUMMYFUNCTION("""COMPUTED_VALUE"""),"https://disk.yandex.ru/client/disk/%D0%9E%D1%81%D0%BC%D0%BE%D1%82%D1%80%D1%8B%20%D0%BE%D0%B1%D1%8A%D0%B5%D0%BA%D1%82%D0%BE%D0%B2%20%D0%90%D0%9D%D0%9E%20%D0%A1%D0%9C%D0%93/662%20%D0%A1%D0%B2%D0%BE%D0%B1%D0%BE%D0%B4%D0%BD%D1%8B%D0%B9%20%D0%BF%D1%80-%D0%BA%D"&amp;"1%82%2C%20%D0%B2%D0%BB.%206%20%D0%BA1%20")</f>
        <v>https://disk.yandex.ru/client/disk/%D0%9E%D1%81%D0%BC%D0%BE%D1%82%D1%80%D1%8B%20%D0%BE%D0%B1%D1%8A%D0%B5%D0%BA%D1%82%D0%BE%D0%B2%20%D0%90%D0%9D%D0%9E%20%D0%A1%D0%9C%D0%93/662%20%D0%A1%D0%B2%D0%BE%D0%B1%D0%BE%D0%B4%D0%BD%D1%8B%D0%B9%20%D0%BF%D1%80-%D0%BA%D1%82%2C%20%D0%B2%D0%BB.%206%20%D0%BA1%20</v>
      </c>
      <c r="J1004" s="50">
        <f>IFERROR(__xludf.DUMMYFUNCTION("""COMPUTED_VALUE"""),0.0)</f>
        <v>0</v>
      </c>
      <c r="K1004" s="58">
        <f>IFERROR(__xludf.DUMMYFUNCTION("""COMPUTED_VALUE"""),45968.0)</f>
        <v>45968</v>
      </c>
      <c r="L1004" s="6">
        <v>30.0</v>
      </c>
      <c r="M1004" s="52">
        <v>45998.0</v>
      </c>
      <c r="N1004" s="53" t="s">
        <v>711</v>
      </c>
      <c r="O1004" s="19" t="s">
        <v>893</v>
      </c>
      <c r="P1004" s="6"/>
      <c r="Q1004" s="6"/>
      <c r="R1004" s="6"/>
    </row>
    <row r="1005">
      <c r="A1005" s="31" t="str">
        <f>IFERROR(__xludf.DUMMYFUNCTION("""COMPUTED_VALUE"""),"820")</f>
        <v>820</v>
      </c>
      <c r="B1005" s="14" t="str">
        <f>IFERROR(__xludf.DUMMYFUNCTION("""COMPUTED_VALUE"""),"РЕН-26")</f>
        <v>РЕН-26</v>
      </c>
      <c r="C1005" s="14" t="str">
        <f>IFERROR(__xludf.DUMMYFUNCTION("""COMPUTED_VALUE"""),"ОКС")</f>
        <v>ОКС</v>
      </c>
      <c r="D1005" s="6"/>
      <c r="E1005" s="14" t="str">
        <f>IFERROR(__xludf.DUMMYFUNCTION("""COMPUTED_VALUE"""),"Коровинское шоссе, земельный участок 6 (Коровинское ш., вл.6) район Бескудниковский, Коровинское ш., земельный участок 6 (Коровинское ш., вл.6)")</f>
        <v>Коровинское шоссе, земельный участок 6 (Коровинское ш., вл.6) район Бескудниковский, Коровинское ш., земельный участок 6 (Коровинское ш., вл.6)</v>
      </c>
      <c r="F1005" s="25" t="str">
        <f>IFERROR(__xludf.DUMMYFUNCTION("""COMPUTED_VALUE"""),"55.868364")</f>
        <v>55.868364</v>
      </c>
      <c r="G1005" s="6" t="str">
        <f>IFERROR(__xludf.DUMMYFUNCTION("""COMPUTED_VALUE"""),"37.539159")</f>
        <v>37.539159</v>
      </c>
      <c r="H1005" s="18" t="str">
        <f>IFERROR(__xludf.DUMMYFUNCTION("""COMPUTED_VALUE"""),"https://docs.google.com/spreadsheets/d/1rbCD10ySi4YZEkJW2_Slmn9z7AI1WEsGsZaIJmnnT18/edit?gid=558650933#gid=558650933")</f>
        <v>https://docs.google.com/spreadsheets/d/1rbCD10ySi4YZEkJW2_Slmn9z7AI1WEsGsZaIJmnnT18/edit?gid=558650933#gid=558650933</v>
      </c>
      <c r="I1005" s="19" t="str">
        <f>IFERROR(__xludf.DUMMYFUNCTION("""COMPUTED_VALUE"""),"https://disk.yandex.ru/client/disk/Осмотры%20объектов%20АНО%20СМГ/820.%20Коровинское%20шоссе%2C%20земельный%20участок%206%20(Коровинское%20ш.%2C%20вл.6)%09")</f>
        <v>https://disk.yandex.ru/client/disk/Осмотры%20объектов%20АНО%20СМГ/820.%20Коровинское%20шоссе%2C%20земельный%20участок%206%20(Коровинское%20ш.%2C%20вл.6)%09</v>
      </c>
      <c r="J1005" s="50">
        <f>IFERROR(__xludf.DUMMYFUNCTION("""COMPUTED_VALUE"""),0.0)</f>
        <v>0</v>
      </c>
      <c r="K1005" s="58">
        <f>IFERROR(__xludf.DUMMYFUNCTION("""COMPUTED_VALUE"""),45961.0)</f>
        <v>45961</v>
      </c>
      <c r="L1005" s="6">
        <v>30.0</v>
      </c>
      <c r="M1005" s="52">
        <v>45991.0</v>
      </c>
      <c r="N1005" s="53" t="s">
        <v>692</v>
      </c>
      <c r="O1005" s="19" t="s">
        <v>1205</v>
      </c>
      <c r="P1005" s="6"/>
      <c r="Q1005" s="6"/>
      <c r="R1005" s="6"/>
    </row>
    <row r="1006">
      <c r="A1006" s="31" t="str">
        <f>IFERROR(__xludf.DUMMYFUNCTION("""COMPUTED_VALUE"""),"938")</f>
        <v>938</v>
      </c>
      <c r="B1006" s="14" t="str">
        <f>IFERROR(__xludf.DUMMYFUNCTION("""COMPUTED_VALUE"""),"РЕН-26")</f>
        <v>РЕН-26</v>
      </c>
      <c r="C1006" s="14" t="str">
        <f>IFERROR(__xludf.DUMMYFUNCTION("""COMPUTED_VALUE"""),"ОКС")</f>
        <v>ОКС</v>
      </c>
      <c r="D1006" s="6"/>
      <c r="E1006" s="14" t="str">
        <f>IFERROR(__xludf.DUMMYFUNCTION("""COMPUTED_VALUE"""),"Жилой дом с подземной автостоянкой, инженерными сетями и благоустройством территории (со сносом жилых зданий по адресам: ул. Герасима Курина, д.12, к.1, ул. Герасима Курина, д.12, к.2, ул. Герасима Курина, д.12, к.3, ул. Пивченкова, д.2, ул. Пивченкова, д"&amp;".4) по адресу: зона 5.2 кварталов 58, 59 ул. Пивченкова, з/у 2")</f>
        <v>Жилой дом с подземной автостоянкой, инженерными сетями и благоустройством территории (со сносом жилых зданий по адресам: ул. Герасима Курина, д.12, к.1, ул. Герасима Курина, д.12, к.2, ул. Герасима Курина, д.12, к.3, ул. Пивченкова, д.2, ул. Пивченкова, д.4) по адресу: зона 5.2 кварталов 58, 59 ул. Пивченкова, з/у 2</v>
      </c>
      <c r="F1006" s="25" t="str">
        <f>IFERROR(__xludf.DUMMYFUNCTION("""COMPUTED_VALUE"""),"55.732631")</f>
        <v>55.732631</v>
      </c>
      <c r="G1006" s="6" t="str">
        <f>IFERROR(__xludf.DUMMYFUNCTION("""COMPUTED_VALUE"""),"37.478504")</f>
        <v>37.478504</v>
      </c>
      <c r="H1006" s="18" t="str">
        <f>IFERROR(__xludf.DUMMYFUNCTION("""COMPUTED_VALUE"""),"https://docs.google.com/spreadsheets/d/1rbCD10ySi4YZEkJW2_Slmn9z7AI1WEsGsZaIJmnnT18/edit?gid=1009116353#gid=1009116353")</f>
        <v>https://docs.google.com/spreadsheets/d/1rbCD10ySi4YZEkJW2_Slmn9z7AI1WEsGsZaIJmnnT18/edit?gid=1009116353#gid=1009116353</v>
      </c>
      <c r="I1006" s="19" t="str">
        <f>IFERROR(__xludf.DUMMYFUNCTION("""COMPUTED_VALUE"""),"https://disk.yandex.ru/client/disk/Осмотры%20объектов%20АНО%20СМГ/938.%20Дом%20ул.%20Пивченкова%20зу2")</f>
        <v>https://disk.yandex.ru/client/disk/Осмотры%20объектов%20АНО%20СМГ/938.%20Дом%20ул.%20Пивченкова%20зу2</v>
      </c>
      <c r="J1006" s="50">
        <f>IFERROR(__xludf.DUMMYFUNCTION("""COMPUTED_VALUE"""),0.0)</f>
        <v>0</v>
      </c>
      <c r="K1006" s="58">
        <f>IFERROR(__xludf.DUMMYFUNCTION("""COMPUTED_VALUE"""),45947.0)</f>
        <v>45947</v>
      </c>
      <c r="L1006" s="6">
        <v>30.0</v>
      </c>
      <c r="M1006" s="52">
        <v>45977.0</v>
      </c>
      <c r="N1006" s="53" t="s">
        <v>701</v>
      </c>
      <c r="O1006" s="19" t="s">
        <v>1206</v>
      </c>
      <c r="P1006" s="6"/>
      <c r="Q1006" s="6"/>
      <c r="R1006" s="6"/>
    </row>
    <row r="1007">
      <c r="A1007" s="31" t="str">
        <f>IFERROR(__xludf.DUMMYFUNCTION("""COMPUTED_VALUE"""),"937")</f>
        <v>937</v>
      </c>
      <c r="B1007" s="14" t="str">
        <f>IFERROR(__xludf.DUMMYFUNCTION("""COMPUTED_VALUE"""),"РЕН-26")</f>
        <v>РЕН-26</v>
      </c>
      <c r="C1007" s="14" t="str">
        <f>IFERROR(__xludf.DUMMYFUNCTION("""COMPUTED_VALUE"""),"ОКС")</f>
        <v>ОКС</v>
      </c>
      <c r="D1007" s="6"/>
      <c r="E1007" s="14" t="str">
        <f>IFERROR(__xludf.DUMMYFUNCTION("""COMPUTED_VALUE"""),"Пресненский район, кв-лы 798, 800, зона 2.1 Пресненский район, кв-лы 798, 800, зона 2.1 зу 10")</f>
        <v>Пресненский район, кв-лы 798, 800, зона 2.1 Пресненский район, кв-лы 798, 800, зона 2.1 зу 10</v>
      </c>
      <c r="F1007" s="25" t="str">
        <f>IFERROR(__xludf.DUMMYFUNCTION("""COMPUTED_VALUE"""),"55.762587")</f>
        <v>55.762587</v>
      </c>
      <c r="G1007" s="6" t="str">
        <f>IFERROR(__xludf.DUMMYFUNCTION("""COMPUTED_VALUE"""),"37.537118")</f>
        <v>37.537118</v>
      </c>
      <c r="H1007" s="18" t="str">
        <f>IFERROR(__xludf.DUMMYFUNCTION("""COMPUTED_VALUE"""),"https://docs.google.com/spreadsheets/d/1rbCD10ySi4YZEkJW2_Slmn9z7AI1WEsGsZaIJmnnT18/edit?gid=865770584#gid=865770584")</f>
        <v>https://docs.google.com/spreadsheets/d/1rbCD10ySi4YZEkJW2_Slmn9z7AI1WEsGsZaIJmnnT18/edit?gid=865770584#gid=865770584</v>
      </c>
      <c r="I1007" s="19" t="str">
        <f>IFERROR(__xludf.DUMMYFUNCTION("""COMPUTED_VALUE"""),"https://disk.yandex.ru/client/disk/Осмотры%20объектов%20АНО%20СМГ/937.%20Дом%20Пресненский%20район%20кв798")</f>
        <v>https://disk.yandex.ru/client/disk/Осмотры%20объектов%20АНО%20СМГ/937.%20Дом%20Пресненский%20район%20кв798</v>
      </c>
      <c r="J1007" s="50">
        <f>IFERROR(__xludf.DUMMYFUNCTION("""COMPUTED_VALUE"""),0.0)</f>
        <v>0</v>
      </c>
      <c r="K1007" s="58">
        <f>IFERROR(__xludf.DUMMYFUNCTION("""COMPUTED_VALUE"""),45962.0)</f>
        <v>45962</v>
      </c>
      <c r="L1007" s="6">
        <v>30.0</v>
      </c>
      <c r="M1007" s="52">
        <v>45992.0</v>
      </c>
      <c r="N1007" s="53" t="s">
        <v>692</v>
      </c>
      <c r="O1007" s="19" t="s">
        <v>1207</v>
      </c>
      <c r="P1007" s="6"/>
      <c r="Q1007" s="6"/>
      <c r="R1007" s="6"/>
    </row>
    <row r="1008">
      <c r="A1008" s="31" t="str">
        <f>IFERROR(__xludf.DUMMYFUNCTION("""COMPUTED_VALUE"""),"935")</f>
        <v>935</v>
      </c>
      <c r="B1008" s="14" t="str">
        <f>IFERROR(__xludf.DUMMYFUNCTION("""COMPUTED_VALUE"""),"РЕН-26")</f>
        <v>РЕН-26</v>
      </c>
      <c r="C1008" s="14" t="str">
        <f>IFERROR(__xludf.DUMMYFUNCTION("""COMPUTED_VALUE"""),"ОКС")</f>
        <v>ОКС</v>
      </c>
      <c r="D1008" s="6"/>
      <c r="E1008" s="14" t="str">
        <f>IFERROR(__xludf.DUMMYFUNCTION("""COMPUTED_VALUE"""),"ул. Марии Поливановой, з/у 4 ул. Марии Поливановой, з/у 4")</f>
        <v>ул. Марии Поливановой, з/у 4 ул. Марии Поливановой, з/у 4</v>
      </c>
      <c r="F1008" s="25" t="str">
        <f>IFERROR(__xludf.DUMMYFUNCTION("""COMPUTED_VALUE"""),"55.679549")</f>
        <v>55.679549</v>
      </c>
      <c r="G1008" s="6" t="str">
        <f>IFERROR(__xludf.DUMMYFUNCTION("""COMPUTED_VALUE"""),"37.450162")</f>
        <v>37.450162</v>
      </c>
      <c r="H1008" s="18" t="str">
        <f>IFERROR(__xludf.DUMMYFUNCTION("""COMPUTED_VALUE"""),"https://docs.google.com/spreadsheets/d/1rbCD10ySi4YZEkJW2_Slmn9z7AI1WEsGsZaIJmnnT18/edit?gid=1832052773#gid=1832052773")</f>
        <v>https://docs.google.com/spreadsheets/d/1rbCD10ySi4YZEkJW2_Slmn9z7AI1WEsGsZaIJmnnT18/edit?gid=1832052773#gid=1832052773</v>
      </c>
      <c r="I1008" s="19" t="str">
        <f>IFERROR(__xludf.DUMMYFUNCTION("""COMPUTED_VALUE"""),"https://disk.yandex.ru/client/disk/Осмотры%20объектов%20АНО%20СМГ/935.%20ул.%20Марии%20Поливановой%2C%20зу%204")</f>
        <v>https://disk.yandex.ru/client/disk/Осмотры%20объектов%20АНО%20СМГ/935.%20ул.%20Марии%20Поливановой%2C%20зу%204</v>
      </c>
      <c r="J1008" s="50">
        <f>IFERROR(__xludf.DUMMYFUNCTION("""COMPUTED_VALUE"""),0.0)</f>
        <v>0</v>
      </c>
      <c r="K1008" s="58">
        <f>IFERROR(__xludf.DUMMYFUNCTION("""COMPUTED_VALUE"""),45962.0)</f>
        <v>45962</v>
      </c>
      <c r="L1008" s="6">
        <v>30.0</v>
      </c>
      <c r="M1008" s="52">
        <v>45992.0</v>
      </c>
      <c r="N1008" s="53" t="s">
        <v>692</v>
      </c>
      <c r="O1008" s="19" t="s">
        <v>1208</v>
      </c>
      <c r="P1008" s="6"/>
      <c r="Q1008" s="6"/>
      <c r="R1008" s="6"/>
    </row>
    <row r="1009">
      <c r="A1009" s="31" t="str">
        <f>IFERROR(__xludf.DUMMYFUNCTION("""COMPUTED_VALUE"""),"926")</f>
        <v>926</v>
      </c>
      <c r="B1009" s="14" t="str">
        <f>IFERROR(__xludf.DUMMYFUNCTION("""COMPUTED_VALUE"""),"РЕН-26")</f>
        <v>РЕН-26</v>
      </c>
      <c r="C1009" s="14" t="str">
        <f>IFERROR(__xludf.DUMMYFUNCTION("""COMPUTED_VALUE"""),"ОКС")</f>
        <v>ОКС</v>
      </c>
      <c r="D1009" s="6"/>
      <c r="E1009" s="14" t="str">
        <f>IFERROR(__xludf.DUMMYFUNCTION("""COMPUTED_VALUE"""),"Жилой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Минус"&amp;"инская, вл. 12-14) Минусинская ул., з/у 14А (ул. Минусинская, вл. 12-14)")</f>
        <v>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Минусинская, вл. 12-14) Минусинская ул., з/у 14А (ул. Минусинская, вл. 12-14)</v>
      </c>
      <c r="F1009" s="25" t="str">
        <f>IFERROR(__xludf.DUMMYFUNCTION("""COMPUTED_VALUE"""),"55.874321")</f>
        <v>55.874321</v>
      </c>
      <c r="G1009" s="6" t="str">
        <f>IFERROR(__xludf.DUMMYFUNCTION("""COMPUTED_VALUE"""),"37.692214")</f>
        <v>37.692214</v>
      </c>
      <c r="H1009" s="18" t="str">
        <f>IFERROR(__xludf.DUMMYFUNCTION("""COMPUTED_VALUE"""),"https://docs.google.com/spreadsheets/d/1rbCD10ySi4YZEkJW2_Slmn9z7AI1WEsGsZaIJmnnT18/edit?gid=1472127211#gid=1472127211")</f>
        <v>https://docs.google.com/spreadsheets/d/1rbCD10ySi4YZEkJW2_Slmn9z7AI1WEsGsZaIJmnnT18/edit?gid=1472127211#gid=1472127211</v>
      </c>
      <c r="I1009" s="19" t="str">
        <f>IFERROR(__xludf.DUMMYFUNCTION("""COMPUTED_VALUE"""),"https://disk.yandex.ru/client/disk/Осмотры%20объектов%20АНО%20СМГ/926%20Минусинская%2C%20зу%2014%20А")</f>
        <v>https://disk.yandex.ru/client/disk/Осмотры%20объектов%20АНО%20СМГ/926%20Минусинская%2C%20зу%2014%20А</v>
      </c>
      <c r="J1009" s="50">
        <f>IFERROR(__xludf.DUMMYFUNCTION("""COMPUTED_VALUE"""),2.6999999999999997)</f>
        <v>2.7</v>
      </c>
      <c r="K1009" s="58">
        <f>IFERROR(__xludf.DUMMYFUNCTION("""COMPUTED_VALUE"""),45962.0)</f>
        <v>45962</v>
      </c>
      <c r="L1009" s="6">
        <v>30.0</v>
      </c>
      <c r="M1009" s="52">
        <v>45992.0</v>
      </c>
      <c r="N1009" s="53" t="s">
        <v>692</v>
      </c>
      <c r="O1009" s="19" t="s">
        <v>669</v>
      </c>
      <c r="P1009" s="6"/>
      <c r="Q1009" s="6"/>
      <c r="R1009" s="6"/>
    </row>
    <row r="1010">
      <c r="A1010" s="31" t="str">
        <f>IFERROR(__xludf.DUMMYFUNCTION("""COMPUTED_VALUE"""),"918")</f>
        <v>918</v>
      </c>
      <c r="B1010" s="14" t="str">
        <f>IFERROR(__xludf.DUMMYFUNCTION("""COMPUTED_VALUE"""),"РЕН-26")</f>
        <v>РЕН-26</v>
      </c>
      <c r="C1010" s="14" t="str">
        <f>IFERROR(__xludf.DUMMYFUNCTION("""COMPUTED_VALUE"""),"ОКС")</f>
        <v>ОКС</v>
      </c>
      <c r="D1010" s="6"/>
      <c r="E1010" s="14" t="str">
        <f>IFERROR(__xludf.DUMMYFUNCTION("""COMPUTED_VALUE"""),"Жилой дом с инженерными сетями и благоустройством территории (со сносом жилого здания по адресам: г. Москва, пос. Загорье, д. 8 и пос. Загорье д. 9) по адресу: г. Москва, район Бирюлево Восточное, 3-й микрорайон Загорье, зона 1.3 ул. Загорьевская, з/у 2/5")</f>
        <v>Жилой дом с инженерными сетями и благоустройством территории (со сносом жилого здания по адресам: г. Москва, пос. Загорье, д. 8 и пос. Загорье д. 9) по адресу: г. Москва, район Бирюлево Восточное, 3-й микрорайон Загорье, зона 1.3 ул. Загорьевская, з/у 2/5</v>
      </c>
      <c r="F1010" s="25" t="str">
        <f>IFERROR(__xludf.DUMMYFUNCTION("""COMPUTED_VALUE"""),"55.580326")</f>
        <v>55.580326</v>
      </c>
      <c r="G1010" s="6" t="str">
        <f>IFERROR(__xludf.DUMMYFUNCTION("""COMPUTED_VALUE"""),"37.674947")</f>
        <v>37.674947</v>
      </c>
      <c r="H1010" s="18" t="str">
        <f>IFERROR(__xludf.DUMMYFUNCTION("""COMPUTED_VALUE"""),"https://docs.google.com/spreadsheets/d/1rbCD10ySi4YZEkJW2_Slmn9z7AI1WEsGsZaIJmnnT18/edit?gid=1242332740#gid=1242332740")</f>
        <v>https://docs.google.com/spreadsheets/d/1rbCD10ySi4YZEkJW2_Slmn9z7AI1WEsGsZaIJmnnT18/edit?gid=1242332740#gid=1242332740</v>
      </c>
      <c r="I1010" s="19" t="str">
        <f>IFERROR(__xludf.DUMMYFUNCTION("""COMPUTED_VALUE"""),"https://disk.yandex.ru/client/disk/Осмотры%20объектов%20АНО%20СМГ/918.%20ул.%20Загорьевская%2C%20з.у%202.5")</f>
        <v>https://disk.yandex.ru/client/disk/Осмотры%20объектов%20АНО%20СМГ/918.%20ул.%20Загорьевская%2C%20з.у%202.5</v>
      </c>
      <c r="J1010" s="50">
        <f>IFERROR(__xludf.DUMMYFUNCTION("""COMPUTED_VALUE"""),0.0)</f>
        <v>0</v>
      </c>
      <c r="K1010" s="58">
        <f>IFERROR(__xludf.DUMMYFUNCTION("""COMPUTED_VALUE"""),45968.0)</f>
        <v>45968</v>
      </c>
      <c r="L1010" s="6">
        <v>30.0</v>
      </c>
      <c r="M1010" s="52">
        <v>45998.0</v>
      </c>
      <c r="N1010" s="53" t="s">
        <v>711</v>
      </c>
      <c r="O1010" s="19" t="s">
        <v>914</v>
      </c>
      <c r="P1010" s="6"/>
      <c r="Q1010" s="6"/>
      <c r="R1010" s="6"/>
    </row>
    <row r="1011">
      <c r="A1011" s="31" t="str">
        <f>IFERROR(__xludf.DUMMYFUNCTION("""COMPUTED_VALUE"""),"908")</f>
        <v>908</v>
      </c>
      <c r="B1011" s="14" t="str">
        <f>IFERROR(__xludf.DUMMYFUNCTION("""COMPUTED_VALUE"""),"РЕН-26")</f>
        <v>РЕН-26</v>
      </c>
      <c r="C1011" s="14" t="str">
        <f>IFERROR(__xludf.DUMMYFUNCTION("""COMPUTED_VALUE"""),"ОКС")</f>
        <v>ОКС</v>
      </c>
      <c r="D1011" s="6"/>
      <c r="E1011" s="14" t="str">
        <f>IFERROR(__xludf.DUMMYFUNCTION("""COMPUTED_VALUE"""),"Жилой дом с инженерными сетями и благоустройством территории по адресу: г. Москва, внутригородское муниципальное образование Западное Дегунино, улица Пяловская, земельный участок 5А (Пяловская ул., вл.5А) (Северный административный округ) Пяловская ул., в"&amp;"л. 5А")</f>
        <v>Жилой дом с инженерными сетями и благоустройством территории по адресу: г. Москва, внутригородское муниципальное образование Западное Дегунино, улица Пяловская, земельный участок 5А (Пяловская ул., вл.5А) (Северный административный округ) Пяловская ул., вл. 5А</v>
      </c>
      <c r="F1011" s="25" t="str">
        <f>IFERROR(__xludf.DUMMYFUNCTION("""COMPUTED_VALUE"""),"55.861629")</f>
        <v>55.861629</v>
      </c>
      <c r="G1011" s="6" t="str">
        <f>IFERROR(__xludf.DUMMYFUNCTION("""COMPUTED_VALUE"""),"37.538103")</f>
        <v>37.538103</v>
      </c>
      <c r="H1011" s="18" t="str">
        <f>IFERROR(__xludf.DUMMYFUNCTION("""COMPUTED_VALUE"""),"https://docs.google.com/spreadsheets/d/1rbCD10ySi4YZEkJW2_Slmn9z7AI1WEsGsZaIJmnnT18/edit?gid=1234676505#gid=1234676505")</f>
        <v>https://docs.google.com/spreadsheets/d/1rbCD10ySi4YZEkJW2_Slmn9z7AI1WEsGsZaIJmnnT18/edit?gid=1234676505#gid=1234676505</v>
      </c>
      <c r="I1011" s="19" t="str">
        <f>IFERROR(__xludf.DUMMYFUNCTION("""COMPUTED_VALUE"""),"https://disk.yandex.ru/client/disk/Осмотры%20объектов%20АНО%20СМГ/908.%20Пяловская%20ул.%2C%20вл.%205А")</f>
        <v>https://disk.yandex.ru/client/disk/Осмотры%20объектов%20АНО%20СМГ/908.%20Пяловская%20ул.%2C%20вл.%205А</v>
      </c>
      <c r="J1011" s="50">
        <f>IFERROR(__xludf.DUMMYFUNCTION("""COMPUTED_VALUE"""),0.0)</f>
        <v>0</v>
      </c>
      <c r="K1011" s="58">
        <f>IFERROR(__xludf.DUMMYFUNCTION("""COMPUTED_VALUE"""),45961.0)</f>
        <v>45961</v>
      </c>
      <c r="L1011" s="6">
        <v>30.0</v>
      </c>
      <c r="M1011" s="52">
        <v>45991.0</v>
      </c>
      <c r="N1011" s="53" t="s">
        <v>692</v>
      </c>
      <c r="O1011" s="19" t="s">
        <v>914</v>
      </c>
      <c r="P1011" s="6"/>
      <c r="Q1011" s="6"/>
      <c r="R1011" s="6"/>
    </row>
    <row r="1012">
      <c r="A1012" s="31" t="str">
        <f>IFERROR(__xludf.DUMMYFUNCTION("""COMPUTED_VALUE"""),"890")</f>
        <v>890</v>
      </c>
      <c r="B1012" s="14" t="str">
        <f>IFERROR(__xludf.DUMMYFUNCTION("""COMPUTED_VALUE"""),"РЕН-26")</f>
        <v>РЕН-26</v>
      </c>
      <c r="C1012" s="14" t="str">
        <f>IFERROR(__xludf.DUMMYFUNCTION("""COMPUTED_VALUE"""),"ОКС")</f>
        <v>ОКС</v>
      </c>
      <c r="D1012" s="6"/>
      <c r="E1012" s="14" t="str">
        <f>IFERROR(__xludf.DUMMYFUNCTION("""COMPUTED_VALUE"""),"ул. Синичкина 2-я, уч. Владение 15, ул. Синичкина 2-я, уч. Владение 17 (ул. 2-я Синичкина, вл. 15, 17) 2-я ул. Синичкина, влд. 15, 17")</f>
        <v>ул. Синичкина 2-я, уч. Владение 15, ул. Синичкина 2-я, уч. Владение 17 (ул. 2-я Синичкина, вл. 15, 17) 2-я ул. Синичкина, влд. 15, 17</v>
      </c>
      <c r="F1012" s="25" t="str">
        <f>IFERROR(__xludf.DUMMYFUNCTION("""COMPUTED_VALUE"""),"55.762186")</f>
        <v>55.762186</v>
      </c>
      <c r="G1012" s="6" t="str">
        <f>IFERROR(__xludf.DUMMYFUNCTION("""COMPUTED_VALUE"""),"37.715381")</f>
        <v>37.715381</v>
      </c>
      <c r="H1012" s="18" t="str">
        <f>IFERROR(__xludf.DUMMYFUNCTION("""COMPUTED_VALUE"""),"https://docs.google.com/spreadsheets/d/1rbCD10ySi4YZEkJW2_Slmn9z7AI1WEsGsZaIJmnnT18/edit?gid=138432593#gid=138432593")</f>
        <v>https://docs.google.com/spreadsheets/d/1rbCD10ySi4YZEkJW2_Slmn9z7AI1WEsGsZaIJmnnT18/edit?gid=138432593#gid=138432593</v>
      </c>
      <c r="I1012" s="19" t="str">
        <f>IFERROR(__xludf.DUMMYFUNCTION("""COMPUTED_VALUE"""),"https://disk.yandex.ru/client/disk/Осмотры%20объектов%20АНО%20СМГ/890.%202-я%20ул.%20Синичкина%2C%20влд.%2015%2C%2017")</f>
        <v>https://disk.yandex.ru/client/disk/Осмотры%20объектов%20АНО%20СМГ/890.%202-я%20ул.%20Синичкина%2C%20влд.%2015%2C%2017</v>
      </c>
      <c r="J1012" s="50">
        <f>IFERROR(__xludf.DUMMYFUNCTION("""COMPUTED_VALUE"""),0.75)</f>
        <v>0.75</v>
      </c>
      <c r="K1012" s="58">
        <f>IFERROR(__xludf.DUMMYFUNCTION("""COMPUTED_VALUE"""),45961.0)</f>
        <v>45961</v>
      </c>
      <c r="L1012" s="6">
        <v>30.0</v>
      </c>
      <c r="M1012" s="52">
        <v>45991.0</v>
      </c>
      <c r="N1012" s="53" t="s">
        <v>692</v>
      </c>
      <c r="O1012" s="19" t="s">
        <v>669</v>
      </c>
      <c r="P1012" s="6"/>
      <c r="Q1012" s="6"/>
      <c r="R1012" s="6"/>
    </row>
    <row r="1013">
      <c r="A1013" s="31" t="str">
        <f>IFERROR(__xludf.DUMMYFUNCTION("""COMPUTED_VALUE"""),"886")</f>
        <v>886</v>
      </c>
      <c r="B1013" s="14" t="str">
        <f>IFERROR(__xludf.DUMMYFUNCTION("""COMPUTED_VALUE"""),"РЕН-26")</f>
        <v>РЕН-26</v>
      </c>
      <c r="C1013" s="14" t="str">
        <f>IFERROR(__xludf.DUMMYFUNCTION("""COMPUTED_VALUE"""),"ОКС")</f>
        <v>ОКС</v>
      </c>
      <c r="D1013" s="6"/>
      <c r="E1013" s="14" t="str">
        <f>IFERROR(__xludf.DUMMYFUNCTION("""COMPUTED_VALUE"""),"Приобретение объектов недвижимости по адресу: г. Москва, ВАО, район Богородское, Бойцовая ул., вл. 13, стр. 1 Бойцовая 13 стр 1")</f>
        <v>Приобретение объектов недвижимости по адресу: г. Москва, ВАО, район Богородское, Бойцовая ул., вл. 13, стр. 1 Бойцовая 13 стр 1</v>
      </c>
      <c r="F1013" s="25" t="str">
        <f>IFERROR(__xludf.DUMMYFUNCTION("""COMPUTED_VALUE"""),"55.811712")</f>
        <v>55.811712</v>
      </c>
      <c r="G1013" s="6" t="str">
        <f>IFERROR(__xludf.DUMMYFUNCTION("""COMPUTED_VALUE"""),"37.716401")</f>
        <v>37.716401</v>
      </c>
      <c r="H1013" s="18" t="str">
        <f>IFERROR(__xludf.DUMMYFUNCTION("""COMPUTED_VALUE"""),"https://docs.google.com/spreadsheets/d/1rbCD10ySi4YZEkJW2_Slmn9z7AI1WEsGsZaIJmnnT18/edit?gid=80972844#gid=80972844")</f>
        <v>https://docs.google.com/spreadsheets/d/1rbCD10ySi4YZEkJW2_Slmn9z7AI1WEsGsZaIJmnnT18/edit?gid=80972844#gid=80972844</v>
      </c>
      <c r="I1013" s="19" t="str">
        <f>IFERROR(__xludf.DUMMYFUNCTION("""COMPUTED_VALUE"""),"https://disk.yandex.ru/client/disk/Осмотры%20объектов%20АНО%20СМГ/886%20ул.%20Бойцовая%2013%20стр1")</f>
        <v>https://disk.yandex.ru/client/disk/Осмотры%20объектов%20АНО%20СМГ/886%20ул.%20Бойцовая%2013%20стр1</v>
      </c>
      <c r="J1013" s="50">
        <f>IFERROR(__xludf.DUMMYFUNCTION("""COMPUTED_VALUE"""),0.0)</f>
        <v>0</v>
      </c>
      <c r="K1013" s="58">
        <f>IFERROR(__xludf.DUMMYFUNCTION("""COMPUTED_VALUE"""),45953.0)</f>
        <v>45953</v>
      </c>
      <c r="L1013" s="6">
        <v>30.0</v>
      </c>
      <c r="M1013" s="52">
        <v>45983.0</v>
      </c>
      <c r="N1013" s="53" t="s">
        <v>741</v>
      </c>
      <c r="O1013" s="19" t="s">
        <v>914</v>
      </c>
      <c r="P1013" s="6"/>
      <c r="Q1013" s="6"/>
      <c r="R1013" s="6"/>
    </row>
    <row r="1014">
      <c r="A1014" s="31" t="str">
        <f>IFERROR(__xludf.DUMMYFUNCTION("""COMPUTED_VALUE"""),"988")</f>
        <v>988</v>
      </c>
      <c r="B1014" s="14" t="str">
        <f>IFERROR(__xludf.DUMMYFUNCTION("""COMPUTED_VALUE"""),"РЕН-26")</f>
        <v>РЕН-26</v>
      </c>
      <c r="C1014" s="14" t="str">
        <f>IFERROR(__xludf.DUMMYFUNCTION("""COMPUTED_VALUE"""),"ОКС")</f>
        <v>ОКС</v>
      </c>
      <c r="D1014" s="6"/>
      <c r="E1014" s="14" t="str">
        <f>IFERROR(__xludf.DUMMYFUNCTION("""COMPUTED_VALUE"""),"Жилой дом с подземной автостоянкой, с инженерными сетями и благоустройством территории (со сносом жилых домов по адресам: ул. Вяземская, д. 9, корп.1; ул. Вяземская, д. 9, корп.2), ЗАО, район Можайский, Вяземская ул., вл. 9, корп. 1, 2 Вяземская ул., вл. "&amp;"9, корп. 1, 2")</f>
        <v>Жилой дом с подземной автостоянкой, с инженерными сетями и благоустройством территории (со сносом жилых домов по адресам: ул. Вяземская, д. 9, корп.1; ул. Вяземская, д. 9, корп.2), ЗАО, район Можайский, Вяземская ул., вл. 9, корп. 1, 2 Вяземская ул., вл. 9, корп. 1, 2</v>
      </c>
      <c r="F1014" s="25" t="str">
        <f>IFERROR(__xludf.DUMMYFUNCTION("""COMPUTED_VALUE"""),"55.711850")</f>
        <v>55.711850</v>
      </c>
      <c r="G1014" s="6" t="str">
        <f>IFERROR(__xludf.DUMMYFUNCTION("""COMPUTED_VALUE"""),"37.405337")</f>
        <v>37.405337</v>
      </c>
      <c r="H1014" s="18" t="str">
        <f>IFERROR(__xludf.DUMMYFUNCTION("""COMPUTED_VALUE"""),"https://docs.google.com/spreadsheets/d/1rbCD10ySi4YZEkJW2_Slmn9z7AI1WEsGsZaIJmnnT18/edit?gid=2108967906#gid=2108967906")</f>
        <v>https://docs.google.com/spreadsheets/d/1rbCD10ySi4YZEkJW2_Slmn9z7AI1WEsGsZaIJmnnT18/edit?gid=2108967906#gid=2108967906</v>
      </c>
      <c r="I1014" s="19" t="str">
        <f>IFERROR(__xludf.DUMMYFUNCTION("""COMPUTED_VALUE"""),"https://disk.yandex.ru/client/disk/Осмотры%20объектов%20АНО%20СМГ/988.%20Жилой%20дом%20ул.%20Вяземская%209")</f>
        <v>https://disk.yandex.ru/client/disk/Осмотры%20объектов%20АНО%20СМГ/988.%20Жилой%20дом%20ул.%20Вяземская%209</v>
      </c>
      <c r="J1014" s="50">
        <f>IFERROR(__xludf.DUMMYFUNCTION("""COMPUTED_VALUE"""),0.0)</f>
        <v>0</v>
      </c>
      <c r="K1014" s="58">
        <f>IFERROR(__xludf.DUMMYFUNCTION("""COMPUTED_VALUE"""),45962.0)</f>
        <v>45962</v>
      </c>
      <c r="L1014" s="6">
        <v>30.0</v>
      </c>
      <c r="M1014" s="52">
        <v>45992.0</v>
      </c>
      <c r="N1014" s="53" t="s">
        <v>692</v>
      </c>
      <c r="O1014" s="19" t="s">
        <v>669</v>
      </c>
      <c r="P1014" s="6"/>
      <c r="Q1014" s="6"/>
      <c r="R1014" s="6"/>
    </row>
    <row r="1015">
      <c r="A1015" s="31" t="str">
        <f>IFERROR(__xludf.DUMMYFUNCTION("""COMPUTED_VALUE"""),"965")</f>
        <v>965</v>
      </c>
      <c r="B1015" s="14" t="str">
        <f>IFERROR(__xludf.DUMMYFUNCTION("""COMPUTED_VALUE"""),"РЕН-26")</f>
        <v>РЕН-26</v>
      </c>
      <c r="C1015" s="14" t="str">
        <f>IFERROR(__xludf.DUMMYFUNCTION("""COMPUTED_VALUE"""),"ОКС")</f>
        <v>ОКС</v>
      </c>
      <c r="D1015" s="6"/>
      <c r="E1015"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Горбунова ул., влд. 27, стр 1, корп. 1")</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Горбунова ул., влд. 27, стр 1, корп. 1</v>
      </c>
      <c r="F1015" s="25" t="str">
        <f>IFERROR(__xludf.DUMMYFUNCTION("""COMPUTED_VALUE"""),"55.721244")</f>
        <v>55.721244</v>
      </c>
      <c r="G1015" s="6" t="str">
        <f>IFERROR(__xludf.DUMMYFUNCTION("""COMPUTED_VALUE"""),"37.383523")</f>
        <v>37.383523</v>
      </c>
      <c r="H1015" s="18" t="str">
        <f>IFERROR(__xludf.DUMMYFUNCTION("""COMPUTED_VALUE"""),"https://docs.google.com/spreadsheets/d/1rbCD10ySi4YZEkJW2_Slmn9z7AI1WEsGsZaIJmnnT18/edit?gid=196703328#gid=196703328")</f>
        <v>https://docs.google.com/spreadsheets/d/1rbCD10ySi4YZEkJW2_Slmn9z7AI1WEsGsZaIJmnnT18/edit?gid=196703328#gid=196703328</v>
      </c>
      <c r="I1015" s="19" t="str">
        <f>IFERROR(__xludf.DUMMYFUNCTION("""COMPUTED_VALUE"""),"https://disk.yandex.ru/client/disk/Осмотры%20объектов%20АНО%20СМГ/965.%20Жилой%20дом%20ул%20Горбунова%2027к1")</f>
        <v>https://disk.yandex.ru/client/disk/Осмотры%20объектов%20АНО%20СМГ/965.%20Жилой%20дом%20ул%20Горбунова%2027к1</v>
      </c>
      <c r="J1015" s="50">
        <f>IFERROR(__xludf.DUMMYFUNCTION("""COMPUTED_VALUE"""),0.0)</f>
        <v>0</v>
      </c>
      <c r="K1015" s="58">
        <f>IFERROR(__xludf.DUMMYFUNCTION("""COMPUTED_VALUE"""),45962.0)</f>
        <v>45962</v>
      </c>
      <c r="L1015" s="6">
        <v>30.0</v>
      </c>
      <c r="M1015" s="52">
        <v>45992.0</v>
      </c>
      <c r="N1015" s="53" t="s">
        <v>692</v>
      </c>
      <c r="O1015" s="19" t="s">
        <v>669</v>
      </c>
      <c r="P1015" s="6"/>
      <c r="Q1015" s="6"/>
      <c r="R1015" s="6"/>
    </row>
    <row r="1016">
      <c r="A1016" s="31" t="str">
        <f>IFERROR(__xludf.DUMMYFUNCTION("""COMPUTED_VALUE"""),"959")</f>
        <v>959</v>
      </c>
      <c r="B1016" s="14" t="str">
        <f>IFERROR(__xludf.DUMMYFUNCTION("""COMPUTED_VALUE"""),"РЕН-26")</f>
        <v>РЕН-26</v>
      </c>
      <c r="C1016" s="14" t="str">
        <f>IFERROR(__xludf.DUMMYFUNCTION("""COMPUTED_VALUE"""),"ОКС")</f>
        <v>ОКС</v>
      </c>
      <c r="D1016" s="6"/>
      <c r="E1016"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v>
      </c>
      <c r="F1016" s="25" t="str">
        <f>IFERROR(__xludf.DUMMYFUNCTION("""COMPUTED_VALUE"""),"55.773687")</f>
        <v>55.773687</v>
      </c>
      <c r="G1016" s="6" t="str">
        <f>IFERROR(__xludf.DUMMYFUNCTION("""COMPUTED_VALUE"""),"37.533742")</f>
        <v>37.533742</v>
      </c>
      <c r="H1016" s="18" t="str">
        <f>IFERROR(__xludf.DUMMYFUNCTION("""COMPUTED_VALUE"""),"https://docs.google.com/spreadsheets/d/1rbCD10ySi4YZEkJW2_Slmn9z7AI1WEsGsZaIJmnnT18/edit?gid=868904483#gid=868904483")</f>
        <v>https://docs.google.com/spreadsheets/d/1rbCD10ySi4YZEkJW2_Slmn9z7AI1WEsGsZaIJmnnT18/edit?gid=868904483#gid=868904483</v>
      </c>
      <c r="I1016" s="19" t="str">
        <f>IFERROR(__xludf.DUMMYFUNCTION("""COMPUTED_VALUE"""),"https://disk.yandex.ru/client/disk/Осмотры%20объектов%20АНО%20СМГ/959.%203-й%20Хорошевский%20пр-д%2C%20вл.%205%2C%20корп.%201")</f>
        <v>https://disk.yandex.ru/client/disk/Осмотры%20объектов%20АНО%20СМГ/959.%203-й%20Хорошевский%20пр-д%2C%20вл.%205%2C%20корп.%201</v>
      </c>
      <c r="J1016" s="50">
        <f>IFERROR(__xludf.DUMMYFUNCTION("""COMPUTED_VALUE"""),3.75)</f>
        <v>3.75</v>
      </c>
      <c r="K1016" s="58">
        <f>IFERROR(__xludf.DUMMYFUNCTION("""COMPUTED_VALUE"""),45962.0)</f>
        <v>45962</v>
      </c>
      <c r="L1016" s="6">
        <v>30.0</v>
      </c>
      <c r="M1016" s="52">
        <v>45992.0</v>
      </c>
      <c r="N1016" s="53" t="s">
        <v>692</v>
      </c>
      <c r="O1016" s="19" t="s">
        <v>669</v>
      </c>
      <c r="P1016" s="6"/>
      <c r="Q1016" s="6"/>
      <c r="R1016" s="6"/>
    </row>
    <row r="1017">
      <c r="A1017" s="31" t="str">
        <f>IFERROR(__xludf.DUMMYFUNCTION("""COMPUTED_VALUE"""),"709")</f>
        <v>709</v>
      </c>
      <c r="B1017" s="14" t="str">
        <f>IFERROR(__xludf.DUMMYFUNCTION("""COMPUTED_VALUE"""),"РЕН-26")</f>
        <v>РЕН-26</v>
      </c>
      <c r="C1017" s="14" t="str">
        <f>IFERROR(__xludf.DUMMYFUNCTION("""COMPUTED_VALUE"""),"ОКС")</f>
        <v>ОКС</v>
      </c>
      <c r="D1017" s="6"/>
      <c r="E1017" s="14" t="str">
        <f>IFERROR(__xludf.DUMMYFUNCTION("""COMPUTED_VALUE"""),"Жилой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(с"&amp;"о сносом жилых домов по адресам: 1-й квартал Капотня, дом 3; 1-й квартал Капотня, дом 4; 1-й квартал Капотня, дом 5; 1-й квартал Капотня, дом 12)")</f>
        <v>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(со сносом жилых домов по адресам: 1-й квартал Капотня, дом 3; 1-й квартал Капотня, дом 4; 1-й квартал Капотня, дом 5; 1-й квартал Капотня, дом 12)</v>
      </c>
      <c r="F1017" s="25" t="str">
        <f>IFERROR(__xludf.DUMMYFUNCTION("""COMPUTED_VALUE"""),"55.641518")</f>
        <v>55.641518</v>
      </c>
      <c r="G1017" s="6" t="str">
        <f>IFERROR(__xludf.DUMMYFUNCTION("""COMPUTED_VALUE"""),"37.789049")</f>
        <v>37.789049</v>
      </c>
      <c r="H1017" s="18" t="str">
        <f>IFERROR(__xludf.DUMMYFUNCTION("""COMPUTED_VALUE"""),"https://docs.google.com/spreadsheets/d/1rbCD10ySi4YZEkJW2_Slmn9z7AI1WEsGsZaIJmnnT18/edit?gid=482221305#gid=482221305")</f>
        <v>https://docs.google.com/spreadsheets/d/1rbCD10ySi4YZEkJW2_Slmn9z7AI1WEsGsZaIJmnnT18/edit?gid=482221305#gid=482221305</v>
      </c>
      <c r="I1017" s="19" t="str">
        <f>IFERROR(__xludf.DUMMYFUNCTION("""COMPUTED_VALUE"""),"https://disk.yandex.ru/client/disk/Осмотры%20объектов%20АНО%20СМГ/709.%201-й%20Квартал%20Капотни%2C%20з!у%204%2C%20д.3%2C%204%2C%205%2C%2012.%20Жилой%20дом")</f>
        <v>https://disk.yandex.ru/client/disk/Осмотры%20объектов%20АНО%20СМГ/709.%201-й%20Квартал%20Капотни%2C%20з!у%204%2C%20д.3%2C%204%2C%205%2C%2012.%20Жилой%20дом</v>
      </c>
      <c r="J1017" s="50">
        <f>IFERROR(__xludf.DUMMYFUNCTION("""COMPUTED_VALUE"""),8.368500000000001)</f>
        <v>8.3685</v>
      </c>
      <c r="K1017" s="58">
        <f>IFERROR(__xludf.DUMMYFUNCTION("""COMPUTED_VALUE"""),45962.0)</f>
        <v>45962</v>
      </c>
      <c r="L1017" s="6">
        <v>30.0</v>
      </c>
      <c r="M1017" s="52">
        <v>45992.0</v>
      </c>
      <c r="N1017" s="53" t="s">
        <v>692</v>
      </c>
      <c r="O1017" s="19" t="s">
        <v>669</v>
      </c>
      <c r="P1017" s="6"/>
      <c r="Q1017" s="6"/>
      <c r="R1017" s="6"/>
    </row>
    <row r="1018">
      <c r="A1018" s="31" t="str">
        <f>IFERROR(__xludf.DUMMYFUNCTION("""COMPUTED_VALUE"""),"968")</f>
        <v>968</v>
      </c>
      <c r="B1018" s="14" t="str">
        <f>IFERROR(__xludf.DUMMYFUNCTION("""COMPUTED_VALUE"""),"РЕН-26")</f>
        <v>РЕН-26</v>
      </c>
      <c r="C1018" s="14" t="str">
        <f>IFERROR(__xludf.DUMMYFUNCTION("""COMPUTED_VALUE"""),"ОКС")</f>
        <v>ОКС</v>
      </c>
      <c r="D1018" s="6"/>
      <c r="E1018"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адресам: г. Москва, ЮВАО, район Лефортово, ул. Авиамоторная, вл. 21, 23 ул. Авиамоторная, вл. 21, 23")</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адресам: г. Москва, ЮВАО, район Лефортово, ул. Авиамоторная, вл. 21, 23 ул. Авиамоторная, вл. 21, 23</v>
      </c>
      <c r="F1018" s="25" t="str">
        <f>IFERROR(__xludf.DUMMYFUNCTION("""COMPUTED_VALUE"""),"55.759270")</f>
        <v>55.759270</v>
      </c>
      <c r="G1018" s="6" t="str">
        <f>IFERROR(__xludf.DUMMYFUNCTION("""COMPUTED_VALUE"""),"37.716896")</f>
        <v>37.716896</v>
      </c>
      <c r="H1018" s="18" t="str">
        <f>IFERROR(__xludf.DUMMYFUNCTION("""COMPUTED_VALUE"""),"https://docs.google.com/spreadsheets/d/1rbCD10ySi4YZEkJW2_Slmn9z7AI1WEsGsZaIJmnnT18/edit?gid=199700122#gid=199700122")</f>
        <v>https://docs.google.com/spreadsheets/d/1rbCD10ySi4YZEkJW2_Slmn9z7AI1WEsGsZaIJmnnT18/edit?gid=199700122#gid=199700122</v>
      </c>
      <c r="I1018" s="19" t="str">
        <f>IFERROR(__xludf.DUMMYFUNCTION("""COMPUTED_VALUE"""),"https://disk.yandex.ru/client/disk/Осмотры%20объектов%20АНО%20СМГ/968%20ул.%20Авиамоторная%20влд.%2021%3B%2023")</f>
        <v>https://disk.yandex.ru/client/disk/Осмотры%20объектов%20АНО%20СМГ/968%20ул.%20Авиамоторная%20влд.%2021%3B%2023</v>
      </c>
      <c r="J1018" s="50">
        <f>IFERROR(__xludf.DUMMYFUNCTION("""COMPUTED_VALUE"""),0.0)</f>
        <v>0</v>
      </c>
      <c r="K1018" s="58">
        <f>IFERROR(__xludf.DUMMYFUNCTION("""COMPUTED_VALUE"""),45961.0)</f>
        <v>45961</v>
      </c>
      <c r="L1018" s="6">
        <v>30.0</v>
      </c>
      <c r="M1018" s="52">
        <v>45991.0</v>
      </c>
      <c r="N1018" s="53" t="s">
        <v>692</v>
      </c>
      <c r="O1018" s="19" t="s">
        <v>669</v>
      </c>
      <c r="P1018" s="6"/>
      <c r="Q1018" s="6"/>
      <c r="R1018" s="6"/>
    </row>
    <row r="1019">
      <c r="A1019" s="31" t="str">
        <f>IFERROR(__xludf.DUMMYFUNCTION("""COMPUTED_VALUE"""),"640")</f>
        <v>640</v>
      </c>
      <c r="B1019" s="14" t="str">
        <f>IFERROR(__xludf.DUMMYFUNCTION("""COMPUTED_VALUE"""),"РЕН-26")</f>
        <v>РЕН-26</v>
      </c>
      <c r="C1019" s="14" t="str">
        <f>IFERROR(__xludf.DUMMYFUNCTION("""COMPUTED_VALUE"""),"ОКС")</f>
        <v>ОКС</v>
      </c>
      <c r="D1019" s="6"/>
      <c r="E1019" s="14" t="str">
        <f>IFERROR(__xludf.DUMMYFUNCTION("""COMPUTED_VALUE"""),"Суворовская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"&amp;"2/1, корп. 4; ул. Суворовская, д. 2/1, корп. 3)")</f>
        <v>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2/1, корп. 4; ул. Суворовская, д. 2/1, корп. 3)</v>
      </c>
      <c r="F1019" s="25" t="str">
        <f>IFERROR(__xludf.DUMMYFUNCTION("""COMPUTED_VALUE"""),"55.787566")</f>
        <v>55.787566</v>
      </c>
      <c r="G1019" s="6" t="str">
        <f>IFERROR(__xludf.DUMMYFUNCTION("""COMPUTED_VALUE"""),"37.710284")</f>
        <v>37.710284</v>
      </c>
      <c r="H1019" s="18" t="str">
        <f>IFERROR(__xludf.DUMMYFUNCTION("""COMPUTED_VALUE"""),"https://docs.google.com/spreadsheets/d/1rbCD10ySi4YZEkJW2_Slmn9z7AI1WEsGsZaIJmnnT18/edit?gid=1703617430#gid=1703617430")</f>
        <v>https://docs.google.com/spreadsheets/d/1rbCD10ySi4YZEkJW2_Slmn9z7AI1WEsGsZaIJmnnT18/edit?gid=1703617430#gid=1703617430</v>
      </c>
      <c r="I1019" s="19" t="str">
        <f>IFERROR(__xludf.DUMMYFUNCTION("""COMPUTED_VALUE"""),"https://disk.yandex.ru/client/disk/Осмотры%20объектов%20АНО%20СМГ/640.%20Суворовская%20ул.%2C%20зу%202А-1")</f>
        <v>https://disk.yandex.ru/client/disk/Осмотры%20объектов%20АНО%20СМГ/640.%20Суворовская%20ул.%2C%20зу%202А-1</v>
      </c>
      <c r="J1019" s="50">
        <f>IFERROR(__xludf.DUMMYFUNCTION("""COMPUTED_VALUE"""),21.0753)</f>
        <v>21.0753</v>
      </c>
      <c r="K1019" s="58">
        <f>IFERROR(__xludf.DUMMYFUNCTION("""COMPUTED_VALUE"""),45947.0)</f>
        <v>45947</v>
      </c>
      <c r="L1019" s="6">
        <v>30.0</v>
      </c>
      <c r="M1019" s="52">
        <v>45977.0</v>
      </c>
      <c r="N1019" s="53" t="s">
        <v>701</v>
      </c>
      <c r="O1019" s="19" t="s">
        <v>669</v>
      </c>
      <c r="P1019" s="6"/>
      <c r="Q1019" s="6"/>
      <c r="R1019" s="6"/>
    </row>
    <row r="1020">
      <c r="A1020" s="31" t="str">
        <f>IFERROR(__xludf.DUMMYFUNCTION("""COMPUTED_VALUE"""),"993")</f>
        <v>993</v>
      </c>
      <c r="B1020" s="14" t="str">
        <f>IFERROR(__xludf.DUMMYFUNCTION("""COMPUTED_VALUE"""),"РЕН-26")</f>
        <v>РЕН-26</v>
      </c>
      <c r="C1020" s="14" t="str">
        <f>IFERROR(__xludf.DUMMYFUNCTION("""COMPUTED_VALUE"""),"ОКС")</f>
        <v>ОКС</v>
      </c>
      <c r="D1020" s="6"/>
      <c r="E1020" s="14" t="str">
        <f>IFERROR(__xludf.DUMMYFUNCTION("""COMPUTED_VALUE"""),"ул. Лётчика Бабушкина, з/у 39/1/1 (зона 5.1) ул. Лётчика Бабушкина, з/у 39/1/1 (зона 5.1)")</f>
        <v>ул. Лётчика Бабушкина, з/у 39/1/1 (зона 5.1) ул. Лётчика Бабушкина, з/у 39/1/1 (зона 5.1)</v>
      </c>
      <c r="F1020" s="25" t="str">
        <f>IFERROR(__xludf.DUMMYFUNCTION("""COMPUTED_VALUE"""),"55.874707")</f>
        <v>55.874707</v>
      </c>
      <c r="G1020" s="6" t="str">
        <f>IFERROR(__xludf.DUMMYFUNCTION("""COMPUTED_VALUE"""),"37.676915")</f>
        <v>37.676915</v>
      </c>
      <c r="H1020" s="18" t="str">
        <f>IFERROR(__xludf.DUMMYFUNCTION("""COMPUTED_VALUE"""),"https://docs.google.com/spreadsheets/d/1rbCD10ySi4YZEkJW2_Slmn9z7AI1WEsGsZaIJmnnT18/edit?gid=1943180572#gid=1943180572")</f>
        <v>https://docs.google.com/spreadsheets/d/1rbCD10ySi4YZEkJW2_Slmn9z7AI1WEsGsZaIJmnnT18/edit?gid=1943180572#gid=1943180572</v>
      </c>
      <c r="I1020" s="19" t="str">
        <f>IFERROR(__xludf.DUMMYFUNCTION("""COMPUTED_VALUE"""),"https://disk.yandex.ru/client/disk/Осмотры%20объектов%20АНО%20СМГ/993.%20Лётчика%20Бабушкина%2C%20зу%2039(зона%205.1)")</f>
        <v>https://disk.yandex.ru/client/disk/Осмотры%20объектов%20АНО%20СМГ/993.%20Лётчика%20Бабушкина%2C%20зу%2039(зона%205.1)</v>
      </c>
      <c r="J1020" s="50">
        <f>IFERROR(__xludf.DUMMYFUNCTION("""COMPUTED_VALUE"""),0.0)</f>
        <v>0</v>
      </c>
      <c r="K1020" s="58">
        <f>IFERROR(__xludf.DUMMYFUNCTION("""COMPUTED_VALUE"""),45961.0)</f>
        <v>45961</v>
      </c>
      <c r="L1020" s="6">
        <v>30.0</v>
      </c>
      <c r="M1020" s="52">
        <v>45991.0</v>
      </c>
      <c r="N1020" s="53" t="s">
        <v>692</v>
      </c>
      <c r="O1020" s="19" t="s">
        <v>1209</v>
      </c>
      <c r="P1020" s="6"/>
      <c r="Q1020" s="6"/>
      <c r="R1020" s="6"/>
    </row>
    <row r="1021">
      <c r="A1021" s="31" t="str">
        <f>IFERROR(__xludf.DUMMYFUNCTION("""COMPUTED_VALUE"""),"677")</f>
        <v>677</v>
      </c>
      <c r="B1021" s="14" t="str">
        <f>IFERROR(__xludf.DUMMYFUNCTION("""COMPUTED_VALUE"""),"РЕН-26")</f>
        <v>РЕН-26</v>
      </c>
      <c r="C1021" s="14" t="str">
        <f>IFERROR(__xludf.DUMMYFUNCTION("""COMPUTED_VALUE"""),"ОКС")</f>
        <v>ОКС</v>
      </c>
      <c r="D1021" s="6"/>
      <c r="E1021" s="14" t="str">
        <f>IFERROR(__xludf.DUMMYFUNCTION("""COMPUTED_VALUE"""),"ул. Искры, з/у 13А (зоны 13.1 и 13.2) СВАО, район Бабушкинский, : район Бабушкинский, ул. Искры, земельный участок 13А,  кв.1,14,18, зона 13.1 (со сносом жилого здания по адресу: Искры ул., д. 13, корп. 3)")</f>
        <v>ул. Искры, з/у 13А (зоны 13.1 и 13.2) СВАО, район Бабушкинский, : район Бабушкинский, ул. Искры, земельный участок 13А,  кв.1,14,18, зона 13.1 (со сносом жилого здания по адресу: Искры ул., д. 13, корп. 3)</v>
      </c>
      <c r="F1021" s="25" t="str">
        <f>IFERROR(__xludf.DUMMYFUNCTION("""COMPUTED_VALUE"""),"55.861771")</f>
        <v>55.861771</v>
      </c>
      <c r="G1021" s="6" t="str">
        <f>IFERROR(__xludf.DUMMYFUNCTION("""COMPUTED_VALUE"""),"37.663351")</f>
        <v>37.663351</v>
      </c>
      <c r="H1021" s="18" t="str">
        <f>IFERROR(__xludf.DUMMYFUNCTION("""COMPUTED_VALUE"""),"https://docs.google.com/spreadsheets/d/1rbCD10ySi4YZEkJW2_Slmn9z7AI1WEsGsZaIJmnnT18/edit?gid=465508892#gid=465508892")</f>
        <v>https://docs.google.com/spreadsheets/d/1rbCD10ySi4YZEkJW2_Slmn9z7AI1WEsGsZaIJmnnT18/edit?gid=465508892#gid=465508892</v>
      </c>
      <c r="I1021" s="19" t="str">
        <f>IFERROR(__xludf.DUMMYFUNCTION("""COMPUTED_VALUE"""),"https://disk.yandex.ru/client/disk/Осмотры%20объектов%20АНО%20СМГ/677.%20ул.%20Искры%2C%20земельный%20участок%2013А")</f>
        <v>https://disk.yandex.ru/client/disk/Осмотры%20объектов%20АНО%20СМГ/677.%20ул.%20Искры%2C%20земельный%20участок%2013А</v>
      </c>
      <c r="J1021" s="50">
        <f>IFERROR(__xludf.DUMMYFUNCTION("""COMPUTED_VALUE"""),0.0)</f>
        <v>0</v>
      </c>
      <c r="K1021" s="58">
        <f>IFERROR(__xludf.DUMMYFUNCTION("""COMPUTED_VALUE"""),45962.0)</f>
        <v>45962</v>
      </c>
      <c r="L1021" s="6">
        <v>30.0</v>
      </c>
      <c r="M1021" s="52">
        <v>45992.0</v>
      </c>
      <c r="N1021" s="53" t="s">
        <v>692</v>
      </c>
      <c r="O1021" s="19" t="s">
        <v>1210</v>
      </c>
      <c r="P1021" s="6"/>
      <c r="Q1021" s="6"/>
      <c r="R1021" s="6"/>
    </row>
    <row r="1022">
      <c r="A1022" s="31" t="str">
        <f>IFERROR(__xludf.DUMMYFUNCTION("""COMPUTED_VALUE"""),"995")</f>
        <v>995</v>
      </c>
      <c r="B1022" s="14" t="str">
        <f>IFERROR(__xludf.DUMMYFUNCTION("""COMPUTED_VALUE"""),"РЕН-26")</f>
        <v>РЕН-26</v>
      </c>
      <c r="C1022" s="14" t="str">
        <f>IFERROR(__xludf.DUMMYFUNCTION("""COMPUTED_VALUE"""),"ОКС")</f>
        <v>ОКС</v>
      </c>
      <c r="D1022" s="6"/>
      <c r="E1022" s="14" t="str">
        <f>IFERROR(__xludf.DUMMYFUNCTION("""COMPUTED_VALUE"""),"Радужная ул., з/у 17 (Зона 8.1) Радужная ул., з/у 17 (Зона 8.1)")</f>
        <v>Радужная ул., з/у 17 (Зона 8.1) Радужная ул., з/у 17 (Зона 8.1)</v>
      </c>
      <c r="F1022" s="25" t="str">
        <f>IFERROR(__xludf.DUMMYFUNCTION("""COMPUTED_VALUE"""),"55.859160")</f>
        <v>55.859160</v>
      </c>
      <c r="G1022" s="6" t="str">
        <f>IFERROR(__xludf.DUMMYFUNCTION("""COMPUTED_VALUE"""),"37.662533")</f>
        <v>37.662533</v>
      </c>
      <c r="H1022" s="18" t="str">
        <f>IFERROR(__xludf.DUMMYFUNCTION("""COMPUTED_VALUE"""),"https://docs.google.com/spreadsheets/d/1rbCD10ySi4YZEkJW2_Slmn9z7AI1WEsGsZaIJmnnT18/edit?gid=919062062#gid=919062062")</f>
        <v>https://docs.google.com/spreadsheets/d/1rbCD10ySi4YZEkJW2_Slmn9z7AI1WEsGsZaIJmnnT18/edit?gid=919062062#gid=919062062</v>
      </c>
      <c r="I1022" s="19" t="str">
        <f>IFERROR(__xludf.DUMMYFUNCTION("""COMPUTED_VALUE"""),"https://disk.yandex.ru/client/disk/Осмотры%20объектов%20АНО%20СМГ/995.%20Радужная%20ул.%2C%20зу%2017%20(Зона%208.1)")</f>
        <v>https://disk.yandex.ru/client/disk/Осмотры%20объектов%20АНО%20СМГ/995.%20Радужная%20ул.%2C%20зу%2017%20(Зона%208.1)</v>
      </c>
      <c r="J1022" s="50">
        <f>IFERROR(__xludf.DUMMYFUNCTION("""COMPUTED_VALUE"""),0.0)</f>
        <v>0</v>
      </c>
      <c r="K1022" s="58">
        <f>IFERROR(__xludf.DUMMYFUNCTION("""COMPUTED_VALUE"""),45961.0)</f>
        <v>45961</v>
      </c>
      <c r="L1022" s="6">
        <v>30.0</v>
      </c>
      <c r="M1022" s="52">
        <v>45991.0</v>
      </c>
      <c r="N1022" s="53" t="s">
        <v>692</v>
      </c>
      <c r="O1022" s="19" t="s">
        <v>1211</v>
      </c>
      <c r="P1022" s="6"/>
      <c r="Q1022" s="6"/>
      <c r="R1022" s="6"/>
    </row>
    <row r="1023">
      <c r="A1023" s="31" t="str">
        <f>IFERROR(__xludf.DUMMYFUNCTION("""COMPUTED_VALUE"""),"985")</f>
        <v>985</v>
      </c>
      <c r="B1023" s="14" t="str">
        <f>IFERROR(__xludf.DUMMYFUNCTION("""COMPUTED_VALUE"""),"РЕН-26")</f>
        <v>РЕН-26</v>
      </c>
      <c r="C1023" s="14" t="str">
        <f>IFERROR(__xludf.DUMMYFUNCTION("""COMPUTED_VALUE"""),"ОКС")</f>
        <v>ОКС</v>
      </c>
      <c r="D1023" s="6"/>
      <c r="E1023" s="14" t="str">
        <f>IFERROR(__xludf.DUMMYFUNCTION("""COMPUTED_VALUE"""),"ул. Ивантеевская, з/у 1/3 (зона 2.1) ул. Ивантеевская, з/у 1/3 (зона 2.1)")</f>
        <v>ул. Ивантеевская, з/у 1/3 (зона 2.1) ул. Ивантеевская, з/у 1/3 (зона 2.1)</v>
      </c>
      <c r="F1023" s="25" t="str">
        <f>IFERROR(__xludf.DUMMYFUNCTION("""COMPUTED_VALUE"""),"55.822994")</f>
        <v>55.822994</v>
      </c>
      <c r="G1023" s="6" t="str">
        <f>IFERROR(__xludf.DUMMYFUNCTION("""COMPUTED_VALUE"""),"37.714860")</f>
        <v>37.714860</v>
      </c>
      <c r="H1023" s="18" t="str">
        <f>IFERROR(__xludf.DUMMYFUNCTION("""COMPUTED_VALUE"""),"https://docs.google.com/spreadsheets/d/1rbCD10ySi4YZEkJW2_Slmn9z7AI1WEsGsZaIJmnnT18/edit?gid=1222438904#gid=1222438904")</f>
        <v>https://docs.google.com/spreadsheets/d/1rbCD10ySi4YZEkJW2_Slmn9z7AI1WEsGsZaIJmnnT18/edit?gid=1222438904#gid=1222438904</v>
      </c>
      <c r="I1023" s="19" t="str">
        <f>IFERROR(__xludf.DUMMYFUNCTION("""COMPUTED_VALUE"""),"https://disk.yandex.ru/client/disk/Осмотры%20объектов%20АНО%20СМГ/985%20ул.%20Ивантеевская%2C%20зу%201%203")</f>
        <v>https://disk.yandex.ru/client/disk/Осмотры%20объектов%20АНО%20СМГ/985%20ул.%20Ивантеевская%2C%20зу%201%203</v>
      </c>
      <c r="J1023" s="50">
        <f>IFERROR(__xludf.DUMMYFUNCTION("""COMPUTED_VALUE"""),0.0)</f>
        <v>0</v>
      </c>
      <c r="K1023" s="58">
        <f>IFERROR(__xludf.DUMMYFUNCTION("""COMPUTED_VALUE"""),45953.0)</f>
        <v>45953</v>
      </c>
      <c r="L1023" s="6">
        <v>30.0</v>
      </c>
      <c r="M1023" s="52">
        <v>45983.0</v>
      </c>
      <c r="N1023" s="53" t="s">
        <v>741</v>
      </c>
      <c r="O1023" s="19" t="s">
        <v>914</v>
      </c>
      <c r="P1023" s="6"/>
      <c r="Q1023" s="6"/>
      <c r="R1023" s="6"/>
    </row>
    <row r="1024">
      <c r="A1024" s="31" t="str">
        <f>IFERROR(__xludf.DUMMYFUNCTION("""COMPUTED_VALUE"""),"676")</f>
        <v>676</v>
      </c>
      <c r="B1024" s="14" t="str">
        <f>IFERROR(__xludf.DUMMYFUNCTION("""COMPUTED_VALUE"""),"РЕН-26")</f>
        <v>РЕН-26</v>
      </c>
      <c r="C1024" s="14" t="str">
        <f>IFERROR(__xludf.DUMMYFUNCTION("""COMPUTED_VALUE"""),"ОКС")</f>
        <v>ОКС</v>
      </c>
      <c r="D1024" s="6"/>
      <c r="E1024" s="14" t="str">
        <f>IFERROR(__xludf.DUMMYFUNCTION("""COMPUTED_VALUE"""),"Дмитровское ш., влд. 89 САО, район Бескудниковский, Дмитровское ш., вл. 89 (рефинансирование - 29,5 тыс.кв.м)")</f>
        <v>Дмитровское ш., влд. 89 САО, район Бескудниковский, Дмитровское ш., вл. 89 (рефинансирование - 29,5 тыс.кв.м)</v>
      </c>
      <c r="F1024" s="25" t="str">
        <f>IFERROR(__xludf.DUMMYFUNCTION("""COMPUTED_VALUE"""),"55.869208")</f>
        <v>55.869208</v>
      </c>
      <c r="G1024" s="6" t="str">
        <f>IFERROR(__xludf.DUMMYFUNCTION("""COMPUTED_VALUE"""),"37.545436")</f>
        <v>37.545436</v>
      </c>
      <c r="H1024" s="18" t="str">
        <f>IFERROR(__xludf.DUMMYFUNCTION("""COMPUTED_VALUE"""),"https://docs.google.com/spreadsheets/d/1rbCD10ySi4YZEkJW2_Slmn9z7AI1WEsGsZaIJmnnT18/edit?gid=915615615#gid=915615615")</f>
        <v>https://docs.google.com/spreadsheets/d/1rbCD10ySi4YZEkJW2_Slmn9z7AI1WEsGsZaIJmnnT18/edit?gid=915615615#gid=915615615</v>
      </c>
      <c r="I1024" s="19" t="str">
        <f>IFERROR(__xludf.DUMMYFUNCTION("""COMPUTED_VALUE"""),"https://disk.yandex.ru/client/disk/Осмотры%20объектов%20АНО%20СМГ/676%20Дмитровское%20шоссе%20вл%2089")</f>
        <v>https://disk.yandex.ru/client/disk/Осмотры%20объектов%20АНО%20СМГ/676%20Дмитровское%20шоссе%20вл%2089</v>
      </c>
      <c r="J1024" s="50">
        <f>IFERROR(__xludf.DUMMYFUNCTION("""COMPUTED_VALUE"""),51.03404999999999)</f>
        <v>51.03405</v>
      </c>
      <c r="K1024" s="58">
        <f>IFERROR(__xludf.DUMMYFUNCTION("""COMPUTED_VALUE"""),45962.0)</f>
        <v>45962</v>
      </c>
      <c r="L1024" s="6">
        <v>14.0</v>
      </c>
      <c r="M1024" s="52">
        <v>45976.0</v>
      </c>
      <c r="N1024" s="53" t="s">
        <v>701</v>
      </c>
      <c r="O1024" s="19" t="s">
        <v>669</v>
      </c>
      <c r="P1024" s="6"/>
      <c r="Q1024" s="6"/>
      <c r="R1024" s="6"/>
    </row>
    <row r="1025">
      <c r="A1025" s="31" t="str">
        <f>IFERROR(__xludf.DUMMYFUNCTION("""COMPUTED_VALUE"""),"843")</f>
        <v>843</v>
      </c>
      <c r="B1025" s="14" t="str">
        <f>IFERROR(__xludf.DUMMYFUNCTION("""COMPUTED_VALUE"""),"РЕН-26")</f>
        <v>РЕН-26</v>
      </c>
      <c r="C1025" s="14" t="str">
        <f>IFERROR(__xludf.DUMMYFUNCTION("""COMPUTED_VALUE"""),"ОКС")</f>
        <v>ОКС</v>
      </c>
      <c r="D1025" s="6"/>
      <c r="E1025" s="14" t="str">
        <f>IFERROR(__xludf.DUMMYFUNCTION("""COMPUTED_VALUE"""),"улица Верхние Поля, земельный участок 7/1 ЮВАО	улица Верхние Поля, земельный участок 7/1")</f>
        <v>улица Верхние Поля, земельный участок 7/1 ЮВАО	улица Верхние Поля, земельный участок 7/1</v>
      </c>
      <c r="F1025" s="25" t="str">
        <f>IFERROR(__xludf.DUMMYFUNCTION("""COMPUTED_VALUE"""),"55.665335")</f>
        <v>55.665335</v>
      </c>
      <c r="G1025" s="6" t="str">
        <f>IFERROR(__xludf.DUMMYFUNCTION("""COMPUTED_VALUE"""),"37.746418")</f>
        <v>37.746418</v>
      </c>
      <c r="H1025" s="18" t="str">
        <f>IFERROR(__xludf.DUMMYFUNCTION("""COMPUTED_VALUE"""),"https://docs.google.com/spreadsheets/d/1rbCD10ySi4YZEkJW2_Slmn9z7AI1WEsGsZaIJmnnT18/edit?gid=1583073307#gid=1583073307")</f>
        <v>https://docs.google.com/spreadsheets/d/1rbCD10ySi4YZEkJW2_Slmn9z7AI1WEsGsZaIJmnnT18/edit?gid=1583073307#gid=1583073307</v>
      </c>
      <c r="I1025" s="19" t="str">
        <f>IFERROR(__xludf.DUMMYFUNCTION("""COMPUTED_VALUE"""),"https://disk.yandex.ru/client/disk/Осмотры%20объектов%20АНО%20СМГ/843.%20жилой%20дом%20ул.%20Верхне%20поля%207к1")</f>
        <v>https://disk.yandex.ru/client/disk/Осмотры%20объектов%20АНО%20СМГ/843.%20жилой%20дом%20ул.%20Верхне%20поля%207к1</v>
      </c>
      <c r="J1025" s="50">
        <f>IFERROR(__xludf.DUMMYFUNCTION("""COMPUTED_VALUE"""),0.0)</f>
        <v>0</v>
      </c>
      <c r="K1025" s="58">
        <f>IFERROR(__xludf.DUMMYFUNCTION("""COMPUTED_VALUE"""),45952.0)</f>
        <v>45952</v>
      </c>
      <c r="L1025" s="6">
        <v>30.0</v>
      </c>
      <c r="M1025" s="52">
        <v>45982.0</v>
      </c>
      <c r="N1025" s="53" t="s">
        <v>741</v>
      </c>
      <c r="O1025" s="19" t="s">
        <v>893</v>
      </c>
      <c r="P1025" s="6"/>
      <c r="Q1025" s="6"/>
      <c r="R1025" s="6"/>
    </row>
    <row r="1026">
      <c r="A1026" s="31" t="str">
        <f>IFERROR(__xludf.DUMMYFUNCTION("""COMPUTED_VALUE"""),"739")</f>
        <v>739</v>
      </c>
      <c r="B1026" s="14" t="str">
        <f>IFERROR(__xludf.DUMMYFUNCTION("""COMPUTED_VALUE"""),"РЕН-26")</f>
        <v>РЕН-26</v>
      </c>
      <c r="C1026" s="14" t="str">
        <f>IFERROR(__xludf.DUMMYFUNCTION("""COMPUTED_VALUE"""),"ОКС")</f>
        <v>ОКС</v>
      </c>
      <c r="D1026" s="6"/>
      <c r="E1026" s="14" t="str">
        <f>IFERROR(__xludf.DUMMYFUNCTION("""COMPUTED_VALUE"""),"Сиреневый б-р, вл. 70 (Приобретение объектов недвижимости) ул. Сиреневый бульвар вл. 70 ")</f>
        <v>Сиреневый б-р, вл. 70 (Приобретение объектов недвижимости) ул. Сиреневый бульвар вл. 70 </v>
      </c>
      <c r="F1026" s="25" t="str">
        <f>IFERROR(__xludf.DUMMYFUNCTION("""COMPUTED_VALUE"""),"55.801611")</f>
        <v>55.801611</v>
      </c>
      <c r="G1026" s="6" t="str">
        <f>IFERROR(__xludf.DUMMYFUNCTION("""COMPUTED_VALUE"""),"37.833587")</f>
        <v>37.833587</v>
      </c>
      <c r="H1026" s="18" t="str">
        <f>IFERROR(__xludf.DUMMYFUNCTION("""COMPUTED_VALUE"""),"https://docs.google.com/spreadsheets/d/1rbCD10ySi4YZEkJW2_Slmn9z7AI1WEsGsZaIJmnnT18/edit?gid=64186922#gid=64186922")</f>
        <v>https://docs.google.com/spreadsheets/d/1rbCD10ySi4YZEkJW2_Slmn9z7AI1WEsGsZaIJmnnT18/edit?gid=64186922#gid=64186922</v>
      </c>
      <c r="I1026" s="19" t="str">
        <f>IFERROR(__xludf.DUMMYFUNCTION("""COMPUTED_VALUE"""),"https://disk.yandex.ru/client/disk/Осмотры%20объектов%20АНО%20СМГ/739.%20Сиреневый%20бульвар%20вл%2070")</f>
        <v>https://disk.yandex.ru/client/disk/Осмотры%20объектов%20АНО%20СМГ/739.%20Сиреневый%20бульвар%20вл%2070</v>
      </c>
      <c r="J1026" s="50">
        <f>IFERROR(__xludf.DUMMYFUNCTION("""COMPUTED_VALUE"""),3.4499999999999997)</f>
        <v>3.45</v>
      </c>
      <c r="K1026" s="58">
        <f>IFERROR(__xludf.DUMMYFUNCTION("""COMPUTED_VALUE"""),45947.0)</f>
        <v>45947</v>
      </c>
      <c r="L1026" s="6">
        <v>30.0</v>
      </c>
      <c r="M1026" s="52">
        <v>45977.0</v>
      </c>
      <c r="N1026" s="53" t="s">
        <v>701</v>
      </c>
      <c r="O1026" s="19" t="s">
        <v>893</v>
      </c>
      <c r="P1026" s="6"/>
      <c r="Q1026" s="6"/>
      <c r="R1026" s="6"/>
    </row>
    <row r="1027">
      <c r="A1027" s="31" t="str">
        <f>IFERROR(__xludf.DUMMYFUNCTION("""COMPUTED_VALUE"""),"745")</f>
        <v>745</v>
      </c>
      <c r="B1027" s="14" t="str">
        <f>IFERROR(__xludf.DUMMYFUNCTION("""COMPUTED_VALUE"""),"РЕН-26")</f>
        <v>РЕН-26</v>
      </c>
      <c r="C1027" s="14" t="str">
        <f>IFERROR(__xludf.DUMMYFUNCTION("""COMPUTED_VALUE"""),"ОКС")</f>
        <v>ОКС</v>
      </c>
      <c r="D1027" s="6"/>
      <c r="E1027" s="14" t="str">
        <f>IFERROR(__xludf.DUMMYFUNCTION("""COMPUTED_VALUE"""),"Жилой дом с инженерными сетями и благоустройством территории, ЦАО, район Басманный, ул. Бакунинская, вл. 77, стр.3 Москва, ул. Бакунинская, вл. 77, стр. 3	")</f>
        <v>Жилой дом с инженерными сетями и благоустройством территории, ЦАО, район Басманный, ул. Бакунинская, вл. 77, стр.3 Москва, ул. Бакунинская, вл. 77, стр. 3	</v>
      </c>
      <c r="F1027" s="25" t="str">
        <f>IFERROR(__xludf.DUMMYFUNCTION("""COMPUTED_VALUE"""),"55.780456")</f>
        <v>55.780456</v>
      </c>
      <c r="G1027" s="6" t="str">
        <f>IFERROR(__xludf.DUMMYFUNCTION("""COMPUTED_VALUE"""),"37.692815")</f>
        <v>37.692815</v>
      </c>
      <c r="H1027" s="18" t="str">
        <f>IFERROR(__xludf.DUMMYFUNCTION("""COMPUTED_VALUE"""),"https://docs.google.com/spreadsheets/d/1rbCD10ySi4YZEkJW2_Slmn9z7AI1WEsGsZaIJmnnT18/edit?gid=654604347#gid=654604347")</f>
        <v>https://docs.google.com/spreadsheets/d/1rbCD10ySi4YZEkJW2_Slmn9z7AI1WEsGsZaIJmnnT18/edit?gid=654604347#gid=654604347</v>
      </c>
      <c r="I1027" s="19" t="str">
        <f>IFERROR(__xludf.DUMMYFUNCTION("""COMPUTED_VALUE"""),"https://disk.yandex.ru/client/disk/Осмотры%20объектов%20АНО%20СМГ/745.%20Бакунинская%20ул.%2Cвл.%2077%2C%20стр.%203")</f>
        <v>https://disk.yandex.ru/client/disk/Осмотры%20объектов%20АНО%20СМГ/745.%20Бакунинская%20ул.%2Cвл.%2077%2C%20стр.%203</v>
      </c>
      <c r="J1027" s="50">
        <f>IFERROR(__xludf.DUMMYFUNCTION("""COMPUTED_VALUE"""),0.0)</f>
        <v>0</v>
      </c>
      <c r="K1027" s="58">
        <f>IFERROR(__xludf.DUMMYFUNCTION("""COMPUTED_VALUE"""),45961.0)</f>
        <v>45961</v>
      </c>
      <c r="L1027" s="6">
        <v>30.0</v>
      </c>
      <c r="M1027" s="52">
        <v>45991.0</v>
      </c>
      <c r="N1027" s="53" t="s">
        <v>692</v>
      </c>
      <c r="O1027" s="19" t="s">
        <v>914</v>
      </c>
      <c r="P1027" s="6"/>
      <c r="Q1027" s="6"/>
      <c r="R1027" s="6"/>
    </row>
    <row r="1028">
      <c r="A1028" s="31" t="str">
        <f>IFERROR(__xludf.DUMMYFUNCTION("""COMPUTED_VALUE"""),"746")</f>
        <v>746</v>
      </c>
      <c r="B1028" s="14" t="str">
        <f>IFERROR(__xludf.DUMMYFUNCTION("""COMPUTED_VALUE"""),"РЕН-26")</f>
        <v>РЕН-26</v>
      </c>
      <c r="C1028" s="14" t="str">
        <f>IFERROR(__xludf.DUMMYFUNCTION("""COMPUTED_VALUE"""),"ОКС")</f>
        <v>ОКС</v>
      </c>
      <c r="D1028" s="6"/>
      <c r="E1028" s="14" t="str">
        <f>IFERROR(__xludf.DUMMYFUNCTION("""COMPUTED_VALUE"""),"Жилой дом с приспособлением подземной автостоянки под защитное сооружение гражданской обороны – «укрепление» (СЗГО) с инженерными сетями и благоустройством территории (со сносом жилого здания по адресу: г. Москва, район Западное Дегунино, микрорайон 11,12"&amp;", Ангарская ул., д.23, к.3) по адресу: г. Москва, внутригородское образование Западное Дегунино, ул. Ангарская, земельный участок 23/3 (Зона 5.4, ЖУ11) (Северный административный округ) микрорайон 11, 12, Ангарская ул., К14.1 (Зона 5.4, ЖУ11) зу 23/3")</f>
        <v>Жилой дом с приспособлением подземной автостоянки под защитное сооружение гражданской обороны – «укрепление» (СЗГО) с инженерными сетями и благоустройством территории (со сносом жилого здания по адресу: г. Москва, район Западное Дегунино, микрорайон 11,12, Ангарская ул., д.23, к.3) по адресу: г. Москва, внутригородское образование Западное Дегунино, ул. Ангарская, земельный участок 23/3 (Зона 5.4, ЖУ11) (Северный административный округ) микрорайон 11, 12, Ангарская ул., К14.1 (Зона 5.4, ЖУ11) зу 23/3</v>
      </c>
      <c r="F1028" s="25" t="str">
        <f>IFERROR(__xludf.DUMMYFUNCTION("""COMPUTED_VALUE"""),"55.878041")</f>
        <v>55.878041</v>
      </c>
      <c r="G1028" s="6" t="str">
        <f>IFERROR(__xludf.DUMMYFUNCTION("""COMPUTED_VALUE"""),"37.517518")</f>
        <v>37.517518</v>
      </c>
      <c r="H1028" s="18" t="str">
        <f>IFERROR(__xludf.DUMMYFUNCTION("""COMPUTED_VALUE"""),"https://docs.google.com/spreadsheets/d/1rbCD10ySi4YZEkJW2_Slmn9z7AI1WEsGsZaIJmnnT18/edit?gid=501983142#gid=501983142")</f>
        <v>https://docs.google.com/spreadsheets/d/1rbCD10ySi4YZEkJW2_Slmn9z7AI1WEsGsZaIJmnnT18/edit?gid=501983142#gid=501983142</v>
      </c>
      <c r="I1028" s="19" t="str">
        <f>IFERROR(__xludf.DUMMYFUNCTION("""COMPUTED_VALUE"""),"https://disk.yandex.ru/client/disk/Осмотры%20объектов%20АНО%20СМГ/746.%20Ангарская%20ул.%2C%20к%2014.1%2C%20мкр.%2011%2C%2012")</f>
        <v>https://disk.yandex.ru/client/disk/Осмотры%20объектов%20АНО%20СМГ/746.%20Ангарская%20ул.%2C%20к%2014.1%2C%20мкр.%2011%2C%2012</v>
      </c>
      <c r="J1028" s="50">
        <f>IFERROR(__xludf.DUMMYFUNCTION("""COMPUTED_VALUE"""),0.0)</f>
        <v>0</v>
      </c>
      <c r="K1028" s="58">
        <f>IFERROR(__xludf.DUMMYFUNCTION("""COMPUTED_VALUE"""),45961.0)</f>
        <v>45961</v>
      </c>
      <c r="L1028" s="6">
        <v>30.0</v>
      </c>
      <c r="M1028" s="52">
        <v>45991.0</v>
      </c>
      <c r="N1028" s="53" t="s">
        <v>692</v>
      </c>
      <c r="O1028" s="19" t="s">
        <v>1212</v>
      </c>
      <c r="P1028" s="6"/>
      <c r="Q1028" s="6"/>
      <c r="R1028" s="6"/>
    </row>
    <row r="1029">
      <c r="A1029" s="31" t="str">
        <f>IFERROR(__xludf.DUMMYFUNCTION("""COMPUTED_VALUE"""),"748")</f>
        <v>748</v>
      </c>
      <c r="B1029" s="14" t="str">
        <f>IFERROR(__xludf.DUMMYFUNCTION("""COMPUTED_VALUE"""),"РЕН-26")</f>
        <v>РЕН-26</v>
      </c>
      <c r="C1029" s="14" t="str">
        <f>IFERROR(__xludf.DUMMYFUNCTION("""COMPUTED_VALUE"""),"ОКС")</f>
        <v>ОКС</v>
      </c>
      <c r="D1029" s="6"/>
      <c r="E1029" s="14" t="str">
        <f>IFERROR(__xludf.DUMMYFUNCTION("""COMPUTED_VALUE"""),"Жилой дом с инженерными сетями и благоустройством территории, ЦАО, район Басманный, Старокирочный пер., вл. 6 Москва, Старокирочный пер, вл. 6")</f>
        <v>Жилой дом с инженерными сетями и благоустройством территории, ЦАО, район Басманный, Старокирочный пер., вл. 6 Москва, Старокирочный пер, вл. 6</v>
      </c>
      <c r="F1029" s="25" t="str">
        <f>IFERROR(__xludf.DUMMYFUNCTION("""COMPUTED_VALUE"""),"55.768440")</f>
        <v>55.768440</v>
      </c>
      <c r="G1029" s="6" t="str">
        <f>IFERROR(__xludf.DUMMYFUNCTION("""COMPUTED_VALUE"""),"37.682438")</f>
        <v>37.682438</v>
      </c>
      <c r="H1029" s="18" t="str">
        <f>IFERROR(__xludf.DUMMYFUNCTION("""COMPUTED_VALUE"""),"https://docs.google.com/spreadsheets/d/1rbCD10ySi4YZEkJW2_Slmn9z7AI1WEsGsZaIJmnnT18/edit?gid=1287118524#gid=1287118524")</f>
        <v>https://docs.google.com/spreadsheets/d/1rbCD10ySi4YZEkJW2_Slmn9z7AI1WEsGsZaIJmnnT18/edit?gid=1287118524#gid=1287118524</v>
      </c>
      <c r="I1029" s="19" t="str">
        <f>IFERROR(__xludf.DUMMYFUNCTION("""COMPUTED_VALUE"""),"https://disk.yandex.ru/client/disk/Осмотры%20объектов%20АНО%20СМГ/748.%20Старокирочный%20пер.%2C%20вл.6")</f>
        <v>https://disk.yandex.ru/client/disk/Осмотры%20объектов%20АНО%20СМГ/748.%20Старокирочный%20пер.%2C%20вл.6</v>
      </c>
      <c r="J1029" s="50">
        <f>IFERROR(__xludf.DUMMYFUNCTION("""COMPUTED_VALUE"""),0.0)</f>
        <v>0</v>
      </c>
      <c r="K1029" s="58">
        <f>IFERROR(__xludf.DUMMYFUNCTION("""COMPUTED_VALUE"""),45953.0)</f>
        <v>45953</v>
      </c>
      <c r="L1029" s="6">
        <v>30.0</v>
      </c>
      <c r="M1029" s="52">
        <v>45983.0</v>
      </c>
      <c r="N1029" s="53" t="s">
        <v>741</v>
      </c>
      <c r="O1029" s="19" t="s">
        <v>1213</v>
      </c>
      <c r="P1029" s="6"/>
      <c r="Q1029" s="6"/>
      <c r="R1029" s="6"/>
    </row>
    <row r="1030">
      <c r="A1030" s="31" t="str">
        <f>IFERROR(__xludf.DUMMYFUNCTION("""COMPUTED_VALUE"""),"749")</f>
        <v>749</v>
      </c>
      <c r="B1030" s="14" t="str">
        <f>IFERROR(__xludf.DUMMYFUNCTION("""COMPUTED_VALUE"""),"РЕН-26")</f>
        <v>РЕН-26</v>
      </c>
      <c r="C1030" s="14" t="str">
        <f>IFERROR(__xludf.DUMMYFUNCTION("""COMPUTED_VALUE"""),"ОКС")</f>
        <v>ОКС</v>
      </c>
      <c r="D1030" s="6"/>
      <c r="E1030" s="14" t="str">
        <f>IFERROR(__xludf.DUMMYFUNCTION("""COMPUTED_VALUE"""),"Жилой дом с инженерными сетями и благоустройством территории по адресу: г. Москва, ЦАО, район Басманный, улица Доброслободская, земельный участок 16, к. 3 Москва, ул. Доброслободская, зу 16, к 3")</f>
        <v>Жилой дом с инженерными сетями и благоустройством территории по адресу: г. Москва, ЦАО, район Басманный, улица Доброслободская, земельный участок 16, к. 3 Москва, ул. Доброслободская, зу 16, к 3</v>
      </c>
      <c r="F1030" s="25" t="str">
        <f>IFERROR(__xludf.DUMMYFUNCTION("""COMPUTED_VALUE"""),"55.764926")</f>
        <v>55.764926</v>
      </c>
      <c r="G1030" s="6" t="str">
        <f>IFERROR(__xludf.DUMMYFUNCTION("""COMPUTED_VALUE"""),"37.674103")</f>
        <v>37.674103</v>
      </c>
      <c r="H1030" s="18" t="str">
        <f>IFERROR(__xludf.DUMMYFUNCTION("""COMPUTED_VALUE"""),"https://docs.google.com/spreadsheets/d/1rbCD10ySi4YZEkJW2_Slmn9z7AI1WEsGsZaIJmnnT18/edit?gid=439341807#gid=439341807")</f>
        <v>https://docs.google.com/spreadsheets/d/1rbCD10ySi4YZEkJW2_Slmn9z7AI1WEsGsZaIJmnnT18/edit?gid=439341807#gid=439341807</v>
      </c>
      <c r="I1030" s="19" t="str">
        <f>IFERROR(__xludf.DUMMYFUNCTION("""COMPUTED_VALUE"""),"https://disk.yandex.ru/client/disk/Осмотры%20объектов%20АНО%20СМГ/749.%20Доброслободская%2C%20зу%2016%2C%20к%203")</f>
        <v>https://disk.yandex.ru/client/disk/Осмотры%20объектов%20АНО%20СМГ/749.%20Доброслободская%2C%20зу%2016%2C%20к%203</v>
      </c>
      <c r="J1030" s="50">
        <f>IFERROR(__xludf.DUMMYFUNCTION("""COMPUTED_VALUE"""),0.0)</f>
        <v>0</v>
      </c>
      <c r="K1030" s="58">
        <f>IFERROR(__xludf.DUMMYFUNCTION("""COMPUTED_VALUE"""),45953.0)</f>
        <v>45953</v>
      </c>
      <c r="L1030" s="6">
        <v>30.0</v>
      </c>
      <c r="M1030" s="52">
        <v>45983.0</v>
      </c>
      <c r="N1030" s="53" t="s">
        <v>741</v>
      </c>
      <c r="O1030" s="19" t="s">
        <v>1214</v>
      </c>
      <c r="P1030" s="6"/>
      <c r="Q1030" s="6"/>
      <c r="R1030" s="6"/>
    </row>
    <row r="1031">
      <c r="A1031" s="31" t="str">
        <f>IFERROR(__xludf.DUMMYFUNCTION("""COMPUTED_VALUE"""),"751")</f>
        <v>751</v>
      </c>
      <c r="B1031" s="14" t="str">
        <f>IFERROR(__xludf.DUMMYFUNCTION("""COMPUTED_VALUE"""),"РЕН-26")</f>
        <v>РЕН-26</v>
      </c>
      <c r="C1031" s="14" t="str">
        <f>IFERROR(__xludf.DUMMYFUNCTION("""COMPUTED_VALUE"""),"ОКС")</f>
        <v>ОКС</v>
      </c>
      <c r="D1031" s="6"/>
      <c r="E1031" s="14" t="str">
        <f>IFERROR(__xludf.DUMMYFUNCTION("""COMPUTED_VALUE"""),"Жилой дом с инженерными сетями и благоустройством территории по адресу: г. Москва, ЗАО, район Филевский парк, 3-я Филевская ул., вл. 3 ЗАО, улица 3-я Филевская, земельный участок 10 (3-я Филевская ул., вл.3)")</f>
        <v>Жилой дом с инженерными сетями и благоустройством территории по адресу: г. Москва, ЗАО, район Филевский парк, 3-я Филевская ул., вл. 3 ЗАО, улица 3-я Филевская, земельный участок 10 (3-я Филевская ул., вл.3)</v>
      </c>
      <c r="F1031" s="25" t="str">
        <f>IFERROR(__xludf.DUMMYFUNCTION("""COMPUTED_VALUE"""),"55.739767")</f>
        <v>55.739767</v>
      </c>
      <c r="G1031" s="6" t="str">
        <f>IFERROR(__xludf.DUMMYFUNCTION("""COMPUTED_VALUE"""),"37.498016")</f>
        <v>37.498016</v>
      </c>
      <c r="H1031" s="18" t="str">
        <f>IFERROR(__xludf.DUMMYFUNCTION("""COMPUTED_VALUE"""),"https://docs.google.com/spreadsheets/d/1rbCD10ySi4YZEkJW2_Slmn9z7AI1WEsGsZaIJmnnT18/edit?gid=1598315264#gid=1598315264")</f>
        <v>https://docs.google.com/spreadsheets/d/1rbCD10ySi4YZEkJW2_Slmn9z7AI1WEsGsZaIJmnnT18/edit?gid=1598315264#gid=1598315264</v>
      </c>
      <c r="I1031" s="19" t="str">
        <f>IFERROR(__xludf.DUMMYFUNCTION("""COMPUTED_VALUE"""),"https://disk.yandex.ru/client/disk/Осмотры%20объектов%20АНО%20СМГ/751.%203я%20Филёвская%20дом%2010")</f>
        <v>https://disk.yandex.ru/client/disk/Осмотры%20объектов%20АНО%20СМГ/751.%203я%20Филёвская%20дом%2010</v>
      </c>
      <c r="J1031" s="50">
        <f>IFERROR(__xludf.DUMMYFUNCTION("""COMPUTED_VALUE"""),0.0)</f>
        <v>0</v>
      </c>
      <c r="K1031" s="58">
        <f>IFERROR(__xludf.DUMMYFUNCTION("""COMPUTED_VALUE"""),45961.0)</f>
        <v>45961</v>
      </c>
      <c r="L1031" s="6">
        <v>30.0</v>
      </c>
      <c r="M1031" s="52">
        <v>45991.0</v>
      </c>
      <c r="N1031" s="53" t="s">
        <v>692</v>
      </c>
      <c r="O1031" s="19" t="s">
        <v>914</v>
      </c>
      <c r="P1031" s="6"/>
      <c r="Q1031" s="6"/>
      <c r="R1031" s="6"/>
    </row>
    <row r="1032">
      <c r="A1032" s="31" t="str">
        <f>IFERROR(__xludf.DUMMYFUNCTION("""COMPUTED_VALUE"""),"752")</f>
        <v>752</v>
      </c>
      <c r="B1032" s="14" t="str">
        <f>IFERROR(__xludf.DUMMYFUNCTION("""COMPUTED_VALUE"""),"РЕН-26")</f>
        <v>РЕН-26</v>
      </c>
      <c r="C1032" s="14" t="str">
        <f>IFERROR(__xludf.DUMMYFUNCTION("""COMPUTED_VALUE"""),"ОКС")</f>
        <v>ОКС</v>
      </c>
      <c r="D1032" s="6"/>
      <c r="E1032" s="14" t="str">
        <f>IFERROR(__xludf.DUMMYFUNCTION("""COMPUTED_VALUE"""),"Жилой дом с инженерными сетями и благоустройством территории по адресу: г. Москва, ЗАО, район Филевский парк, ул. Василисы Кожиной вл. 8, корп. 1 улица Василисы Кожиной, земельный участок 8/1 (Василисы Кожиной ул., вл. 8, корп. 1)")</f>
        <v>Жилой дом с инженерными сетями и благоустройством территории по адресу: г. Москва, ЗАО, район Филевский парк, ул. Василисы Кожиной вл. 8, корп. 1 улица Василисы Кожиной, земельный участок 8/1 (Василисы Кожиной ул., вл. 8, корп. 1)</v>
      </c>
      <c r="F1032" s="25" t="str">
        <f>IFERROR(__xludf.DUMMYFUNCTION("""COMPUTED_VALUE"""),"55.737801")</f>
        <v>55.737801</v>
      </c>
      <c r="G1032" s="6" t="str">
        <f>IFERROR(__xludf.DUMMYFUNCTION("""COMPUTED_VALUE"""),"37.501600")</f>
        <v>37.501600</v>
      </c>
      <c r="H1032" s="18" t="str">
        <f>IFERROR(__xludf.DUMMYFUNCTION("""COMPUTED_VALUE"""),"https://docs.google.com/spreadsheets/d/1rbCD10ySi4YZEkJW2_Slmn9z7AI1WEsGsZaIJmnnT18/edit?gid=172452372#gid=172452372")</f>
        <v>https://docs.google.com/spreadsheets/d/1rbCD10ySi4YZEkJW2_Slmn9z7AI1WEsGsZaIJmnnT18/edit?gid=172452372#gid=172452372</v>
      </c>
      <c r="I1032" s="19" t="str">
        <f>IFERROR(__xludf.DUMMYFUNCTION("""COMPUTED_VALUE"""),"https://disk.yandex.ru/client/disk/Осмотры%20объектов%20АНО%20СМГ/752.%20ул.%20Василисы%20Кожинной%208к1")</f>
        <v>https://disk.yandex.ru/client/disk/Осмотры%20объектов%20АНО%20СМГ/752.%20ул.%20Василисы%20Кожинной%208к1</v>
      </c>
      <c r="J1032" s="50">
        <f>IFERROR(__xludf.DUMMYFUNCTION("""COMPUTED_VALUE"""),0.0)</f>
        <v>0</v>
      </c>
      <c r="K1032" s="58">
        <f>IFERROR(__xludf.DUMMYFUNCTION("""COMPUTED_VALUE"""),45961.0)</f>
        <v>45961</v>
      </c>
      <c r="L1032" s="6">
        <v>30.0</v>
      </c>
      <c r="M1032" s="52">
        <v>45991.0</v>
      </c>
      <c r="N1032" s="53" t="s">
        <v>692</v>
      </c>
      <c r="O1032" s="19" t="s">
        <v>914</v>
      </c>
      <c r="P1032" s="6"/>
      <c r="Q1032" s="6"/>
      <c r="R1032" s="6"/>
    </row>
    <row r="1033">
      <c r="A1033" s="31" t="str">
        <f>IFERROR(__xludf.DUMMYFUNCTION("""COMPUTED_VALUE"""),"726")</f>
        <v>726</v>
      </c>
      <c r="B1033" s="14" t="str">
        <f>IFERROR(__xludf.DUMMYFUNCTION("""COMPUTED_VALUE"""),"РЕН-26")</f>
        <v>РЕН-26</v>
      </c>
      <c r="C1033" s="14" t="str">
        <f>IFERROR(__xludf.DUMMYFUNCTION("""COMPUTED_VALUE"""),"ОКС")</f>
        <v>ОКС</v>
      </c>
      <c r="D1033" s="6"/>
      <c r="E1033"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внутригоро"&amp;"дское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v>
      </c>
      <c r="F1033" s="25" t="str">
        <f>IFERROR(__xludf.DUMMYFUNCTION("""COMPUTED_VALUE"""),"55.697530")</f>
        <v>55.697530</v>
      </c>
      <c r="G1033" s="6" t="str">
        <f>IFERROR(__xludf.DUMMYFUNCTION("""COMPUTED_VALUE"""),"37.817079")</f>
        <v>37.817079</v>
      </c>
      <c r="H1033" s="18" t="str">
        <f>IFERROR(__xludf.DUMMYFUNCTION("""COMPUTED_VALUE"""),"https://docs.google.com/spreadsheets/d/1rbCD10ySi4YZEkJW2_Slmn9z7AI1WEsGsZaIJmnnT18/edit?gid=178347413#gid=178347413")</f>
        <v>https://docs.google.com/spreadsheets/d/1rbCD10ySi4YZEkJW2_Slmn9z7AI1WEsGsZaIJmnnT18/edit?gid=178347413#gid=178347413</v>
      </c>
      <c r="I1033" s="19" t="str">
        <f>IFERROR(__xludf.DUMMYFUNCTION("""COMPUTED_VALUE"""),"https://disk.yandex.ru/client/disk/Осмотры%20объектов%20АНО%20СМГ/726.%20Самаркандский%20б-р%2C%2015-5(реновация)")</f>
        <v>https://disk.yandex.ru/client/disk/Осмотры%20объектов%20АНО%20СМГ/726.%20Самаркандский%20б-р%2C%2015-5(реновация)</v>
      </c>
      <c r="J1033" s="50">
        <f>IFERROR(__xludf.DUMMYFUNCTION("""COMPUTED_VALUE"""),15.389999999999999)</f>
        <v>15.39</v>
      </c>
      <c r="K1033" s="58">
        <f>IFERROR(__xludf.DUMMYFUNCTION("""COMPUTED_VALUE"""),45975.0)</f>
        <v>45975</v>
      </c>
      <c r="L1033" s="6">
        <v>30.0</v>
      </c>
      <c r="M1033" s="52">
        <v>46005.0</v>
      </c>
      <c r="N1033" s="53" t="s">
        <v>711</v>
      </c>
      <c r="O1033" s="19" t="s">
        <v>669</v>
      </c>
      <c r="P1033" s="6"/>
      <c r="Q1033" s="6"/>
      <c r="R1033" s="6"/>
    </row>
    <row r="1034">
      <c r="A1034" s="31" t="str">
        <f>IFERROR(__xludf.DUMMYFUNCTION("""COMPUTED_VALUE"""),"761")</f>
        <v>761</v>
      </c>
      <c r="B1034" s="14" t="str">
        <f>IFERROR(__xludf.DUMMYFUNCTION("""COMPUTED_VALUE"""),"РЕН-26")</f>
        <v>РЕН-26</v>
      </c>
      <c r="C1034" s="14" t="str">
        <f>IFERROR(__xludf.DUMMYFUNCTION("""COMPUTED_VALUE"""),"ОКС")</f>
        <v>ОКС</v>
      </c>
      <c r="D1034" s="6"/>
      <c r="E1034" s="14" t="str">
        <f>IFERROR(__xludf.DUMMYFUNCTION("""COMPUTED_VALUE"""),"Жилой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бульва"&amp;"р, земельный участок 15/2 (участок 5.1) ЮВАО	Самаркандский бульвар, земельный участок 15/2 (участок 5.1) (ЮВАО)")</f>
        <v>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бульвар, земельный участок 15/2 (участок 5.1) ЮВАО	Самаркандский бульвар, земельный участок 15/2 (участок 5.1) (ЮВАО)</v>
      </c>
      <c r="F1034" s="25" t="str">
        <f>IFERROR(__xludf.DUMMYFUNCTION("""COMPUTED_VALUE"""),"55.696783")</f>
        <v>55.696783</v>
      </c>
      <c r="G1034" s="6" t="str">
        <f>IFERROR(__xludf.DUMMYFUNCTION("""COMPUTED_VALUE"""),"37.816855")</f>
        <v>37.816855</v>
      </c>
      <c r="H1034" s="18" t="str">
        <f>IFERROR(__xludf.DUMMYFUNCTION("""COMPUTED_VALUE"""),"https://docs.google.com/spreadsheets/d/1rbCD10ySi4YZEkJW2_Slmn9z7AI1WEsGsZaIJmnnT18/edit?gid=607897783#gid=607897783")</f>
        <v>https://docs.google.com/spreadsheets/d/1rbCD10ySi4YZEkJW2_Slmn9z7AI1WEsGsZaIJmnnT18/edit?gid=607897783#gid=607897783</v>
      </c>
      <c r="I1034" s="19" t="str">
        <f>IFERROR(__xludf.DUMMYFUNCTION("""COMPUTED_VALUE"""),"https://disk.yandex.ru/client/disk/Осмотры%20объектов%20АНО%20СМГ/761.%20Самаркандский%20б-р%2C%20уч.%2015-2")</f>
        <v>https://disk.yandex.ru/client/disk/Осмотры%20объектов%20АНО%20СМГ/761.%20Самаркандский%20б-р%2C%20уч.%2015-2</v>
      </c>
      <c r="J1034" s="50">
        <f>IFERROR(__xludf.DUMMYFUNCTION("""COMPUTED_VALUE"""),14.52)</f>
        <v>14.52</v>
      </c>
      <c r="K1034" s="58">
        <f>IFERROR(__xludf.DUMMYFUNCTION("""COMPUTED_VALUE"""),45975.0)</f>
        <v>45975</v>
      </c>
      <c r="L1034" s="6">
        <v>30.0</v>
      </c>
      <c r="M1034" s="52">
        <v>46005.0</v>
      </c>
      <c r="N1034" s="53" t="s">
        <v>711</v>
      </c>
      <c r="O1034" s="19" t="s">
        <v>669</v>
      </c>
      <c r="P1034" s="6"/>
      <c r="Q1034" s="6"/>
      <c r="R1034" s="6"/>
    </row>
    <row r="1035">
      <c r="A1035" s="31" t="str">
        <f>IFERROR(__xludf.DUMMYFUNCTION("""COMPUTED_VALUE"""),"763")</f>
        <v>763</v>
      </c>
      <c r="B1035" s="14" t="str">
        <f>IFERROR(__xludf.DUMMYFUNCTION("""COMPUTED_VALUE"""),"РЕН-26")</f>
        <v>РЕН-26</v>
      </c>
      <c r="C1035" s="14" t="str">
        <f>IFERROR(__xludf.DUMMYFUNCTION("""COMPUTED_VALUE"""),"ОКС")</f>
        <v>ОКС</v>
      </c>
      <c r="D1035" s="6"/>
      <c r="E1035"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внутригоро"&amp;"дское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v>
      </c>
      <c r="F1035" s="25" t="str">
        <f>IFERROR(__xludf.DUMMYFUNCTION("""COMPUTED_VALUE"""),"55.696051")</f>
        <v>55.696051</v>
      </c>
      <c r="G1035" s="6" t="str">
        <f>IFERROR(__xludf.DUMMYFUNCTION("""COMPUTED_VALUE"""),"37.818209")</f>
        <v>37.818209</v>
      </c>
      <c r="H1035" s="18" t="str">
        <f>IFERROR(__xludf.DUMMYFUNCTION("""COMPUTED_VALUE"""),"https://docs.google.com/spreadsheets/d/1rbCD10ySi4YZEkJW2_Slmn9z7AI1WEsGsZaIJmnnT18/edit?gid=829089146#gid=829089146")</f>
        <v>https://docs.google.com/spreadsheets/d/1rbCD10ySi4YZEkJW2_Slmn9z7AI1WEsGsZaIJmnnT18/edit?gid=829089146#gid=829089146</v>
      </c>
      <c r="I1035" s="19" t="str">
        <f>IFERROR(__xludf.DUMMYFUNCTION("""COMPUTED_VALUE"""),"https://disk.yandex.ru/client/disk/Осмотры%20объектов%20АНО%20СМГ/763.%20Самаркандский%2015-4%20(Фонд%20реновации)")</f>
        <v>https://disk.yandex.ru/client/disk/Осмотры%20объектов%20АНО%20СМГ/763.%20Самаркандский%2015-4%20(Фонд%20реновации)</v>
      </c>
      <c r="J1035" s="50">
        <f>IFERROR(__xludf.DUMMYFUNCTION("""COMPUTED_VALUE"""),8.52)</f>
        <v>8.52</v>
      </c>
      <c r="K1035" s="58">
        <f>IFERROR(__xludf.DUMMYFUNCTION("""COMPUTED_VALUE"""),45975.0)</f>
        <v>45975</v>
      </c>
      <c r="L1035" s="6">
        <v>30.0</v>
      </c>
      <c r="M1035" s="52">
        <v>46005.0</v>
      </c>
      <c r="N1035" s="53" t="s">
        <v>711</v>
      </c>
      <c r="O1035" s="19" t="s">
        <v>669</v>
      </c>
      <c r="P1035" s="6"/>
      <c r="Q1035" s="6"/>
      <c r="R1035" s="6"/>
    </row>
    <row r="1036">
      <c r="A1036" s="31" t="str">
        <f>IFERROR(__xludf.DUMMYFUNCTION("""COMPUTED_VALUE"""),"775")</f>
        <v>775</v>
      </c>
      <c r="B1036" s="14" t="str">
        <f>IFERROR(__xludf.DUMMYFUNCTION("""COMPUTED_VALUE"""),"РЕН-26")</f>
        <v>РЕН-26</v>
      </c>
      <c r="C1036" s="14" t="str">
        <f>IFERROR(__xludf.DUMMYFUNCTION("""COMPUTED_VALUE"""),"ОКС")</f>
        <v>ОКС</v>
      </c>
      <c r="D1036" s="6"/>
      <c r="E1036"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проезд Черепановых, д. 52А), по адресу: район Коптево, кв."&amp;" 101, зона № 12.2 проезд Черепановых, д. 52А), по адресу: район Коптево, кв. 101, зона № 12.2")</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проезд Черепановых, д. 52А), по адресу: район Коптево, кв. 101, зона № 12.2 проезд Черепановых, д. 52А), по адресу: район Коптево, кв. 101, зона № 12.2</v>
      </c>
      <c r="F1036" s="25" t="str">
        <f>IFERROR(__xludf.DUMMYFUNCTION("""COMPUTED_VALUE"""),"55.842676")</f>
        <v>55.842676</v>
      </c>
      <c r="G1036" s="6" t="str">
        <f>IFERROR(__xludf.DUMMYFUNCTION("""COMPUTED_VALUE"""),"37.536697")</f>
        <v>37.536697</v>
      </c>
      <c r="H1036" s="18" t="str">
        <f>IFERROR(__xludf.DUMMYFUNCTION("""COMPUTED_VALUE"""),"https://docs.google.com/spreadsheets/d/1rbCD10ySi4YZEkJW2_Slmn9z7AI1WEsGsZaIJmnnT18/edit?gid=1528623731#gid=1528623731")</f>
        <v>https://docs.google.com/spreadsheets/d/1rbCD10ySi4YZEkJW2_Slmn9z7AI1WEsGsZaIJmnnT18/edit?gid=1528623731#gid=1528623731</v>
      </c>
      <c r="I1036" s="19" t="str">
        <f>IFERROR(__xludf.DUMMYFUNCTION("""COMPUTED_VALUE"""),"https://disk.yandex.ru/client/disk/Осмотры%20объектов%20АНО%20СМГ/775.%20проезд%20Черепановых%2052А")</f>
        <v>https://disk.yandex.ru/client/disk/Осмотры%20объектов%20АНО%20СМГ/775.%20проезд%20Черепановых%2052А</v>
      </c>
      <c r="J1036" s="50">
        <f>IFERROR(__xludf.DUMMYFUNCTION("""COMPUTED_VALUE"""),0.0)</f>
        <v>0</v>
      </c>
      <c r="K1036" s="58">
        <f>IFERROR(__xludf.DUMMYFUNCTION("""COMPUTED_VALUE"""),45962.0)</f>
        <v>45962</v>
      </c>
      <c r="L1036" s="6">
        <v>30.0</v>
      </c>
      <c r="M1036" s="52">
        <v>45992.0</v>
      </c>
      <c r="N1036" s="53" t="s">
        <v>692</v>
      </c>
      <c r="O1036" s="19" t="s">
        <v>1215</v>
      </c>
      <c r="P1036" s="6"/>
      <c r="Q1036" s="6"/>
      <c r="R1036" s="6"/>
    </row>
    <row r="1037">
      <c r="A1037" s="31" t="str">
        <f>IFERROR(__xludf.DUMMYFUNCTION("""COMPUTED_VALUE"""),"778")</f>
        <v>778</v>
      </c>
      <c r="B1037" s="14" t="str">
        <f>IFERROR(__xludf.DUMMYFUNCTION("""COMPUTED_VALUE"""),"РЕН-26")</f>
        <v>РЕН-26</v>
      </c>
      <c r="C1037" s="14" t="str">
        <f>IFERROR(__xludf.DUMMYFUNCTION("""COMPUTED_VALUE"""),"ОКС")</f>
        <v>ОКС</v>
      </c>
      <c r="D1037" s="6"/>
      <c r="E1037" s="14" t="str">
        <f>IFERROR(__xludf.DUMMYFUNCTION("""COMPUTED_VALUE"""),"Жилой дом с инженерными сетями, благоустройством территории и размещением на кровле электросирены оповещения (со сносом жилого здания по адресу: Ленинградское шоссе, д.62, корп.1) по адресу: внутригородское муниципальное образование Головинское, Ленинград"&amp;"ское шоссе, земельный участок 62/1 (зона 9.1) САО	Ленинградское шоссе, земельный участок 62/1 (зона 9.1)")</f>
        <v>Жилой дом с инженерными сетями, благоустройством территории и размещением на кровле электросирены оповещения (со сносом жилого здания по адресу: Ленинградское шоссе, д.62, корп.1) по адресу: внутригородское муниципальное образование Головинское, Ленинградское шоссе, земельный участок 62/1 (зона 9.1) САО	Ленинградское шоссе, земельный участок 62/1 (зона 9.1)</v>
      </c>
      <c r="F1037" s="25" t="str">
        <f>IFERROR(__xludf.DUMMYFUNCTION("""COMPUTED_VALUE"""),"55.844465")</f>
        <v>55.844465</v>
      </c>
      <c r="G1037" s="6" t="str">
        <f>IFERROR(__xludf.DUMMYFUNCTION("""COMPUTED_VALUE"""),"37.478801")</f>
        <v>37.478801</v>
      </c>
      <c r="H1037" s="18" t="str">
        <f>IFERROR(__xludf.DUMMYFUNCTION("""COMPUTED_VALUE"""),"https://docs.google.com/spreadsheets/d/1rbCD10ySi4YZEkJW2_Slmn9z7AI1WEsGsZaIJmnnT18/edit?gid=23356464#gid=23356464")</f>
        <v>https://docs.google.com/spreadsheets/d/1rbCD10ySi4YZEkJW2_Slmn9z7AI1WEsGsZaIJmnnT18/edit?gid=23356464#gid=23356464</v>
      </c>
      <c r="I1037" s="19" t="str">
        <f>IFERROR(__xludf.DUMMYFUNCTION("""COMPUTED_VALUE"""),"https://disk.yandex.ru/client/disk/Осмотры%20объектов%20АНО%20СМГ/778.%20Ленинградское%20шоссе%2C%20земельный%20участок%2062.1(зона%209.1)")</f>
        <v>https://disk.yandex.ru/client/disk/Осмотры%20объектов%20АНО%20СМГ/778.%20Ленинградское%20шоссе%2C%20земельный%20участок%2062.1(зона%209.1)</v>
      </c>
      <c r="J1037" s="50">
        <f>IFERROR(__xludf.DUMMYFUNCTION("""COMPUTED_VALUE"""),0.0)</f>
        <v>0</v>
      </c>
      <c r="K1037" s="58">
        <f>IFERROR(__xludf.DUMMYFUNCTION("""COMPUTED_VALUE"""),45953.0)</f>
        <v>45953</v>
      </c>
      <c r="L1037" s="6">
        <v>30.0</v>
      </c>
      <c r="M1037" s="52">
        <v>45983.0</v>
      </c>
      <c r="N1037" s="53" t="s">
        <v>741</v>
      </c>
      <c r="O1037" s="19" t="s">
        <v>1216</v>
      </c>
      <c r="P1037" s="6"/>
      <c r="Q1037" s="6"/>
      <c r="R1037" s="6"/>
    </row>
    <row r="1038">
      <c r="A1038" s="31" t="str">
        <f>IFERROR(__xludf.DUMMYFUNCTION("""COMPUTED_VALUE"""),"656")</f>
        <v>656</v>
      </c>
      <c r="B1038" s="14" t="str">
        <f>IFERROR(__xludf.DUMMYFUNCTION("""COMPUTED_VALUE"""),"РЕН-26")</f>
        <v>РЕН-26</v>
      </c>
      <c r="C1038" s="14" t="str">
        <f>IFERROR(__xludf.DUMMYFUNCTION("""COMPUTED_VALUE"""),"ОКС")</f>
        <v>ОКС</v>
      </c>
      <c r="D1038" s="6"/>
      <c r="E103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1-й Очаковский пер., д.4), ЗАО, район Очаково-Матвеевско"&amp;"е, ул. Наташи Ковшовой, земельный участок 1 ЗАО, район Очаково-Матвеевское, Наташи Ковшовой ул., вл.1")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1-й Очаковский пер., д.4), ЗАО, район Очаково-Матвеевское, ул. Наташи Ковшовой, земельный участок 1 ЗАО, район Очаково-Матвеевское, Наташи Ковшовой ул., вл.1</v>
      </c>
      <c r="F1038" s="25" t="str">
        <f>IFERROR(__xludf.DUMMYFUNCTION("""COMPUTED_VALUE"""),"55.685189")</f>
        <v>55.685189</v>
      </c>
      <c r="G1038" s="6" t="str">
        <f>IFERROR(__xludf.DUMMYFUNCTION("""COMPUTED_VALUE"""),"37.457136")</f>
        <v>37.457136</v>
      </c>
      <c r="H1038" s="18" t="str">
        <f>IFERROR(__xludf.DUMMYFUNCTION("""COMPUTED_VALUE"""),"https://docs.google.com/spreadsheets/d/1rbCD10ySi4YZEkJW2_Slmn9z7AI1WEsGsZaIJmnnT18/edit?gid=1103531360#gid=1103531360")</f>
        <v>https://docs.google.com/spreadsheets/d/1rbCD10ySi4YZEkJW2_Slmn9z7AI1WEsGsZaIJmnnT18/edit?gid=1103531360#gid=1103531360</v>
      </c>
      <c r="I1038" s="19" t="str">
        <f>IFERROR(__xludf.DUMMYFUNCTION("""COMPUTED_VALUE"""),"https://disk.yandex.ru/client/disk/Осмотры%20объектов%20АНО%20СМГ/656.%20район%20Очаково-Матвеевское%2C%20Наташи%20Ковшовой%20ул.%2C%20вл.1")</f>
        <v>https://disk.yandex.ru/client/disk/Осмотры%20объектов%20АНО%20СМГ/656.%20район%20Очаково-Матвеевское%2C%20Наташи%20Ковшовой%20ул.%2C%20вл.1</v>
      </c>
      <c r="J1038" s="50">
        <f>IFERROR(__xludf.DUMMYFUNCTION("""COMPUTED_VALUE"""),0.9113999999999999)</f>
        <v>0.9114</v>
      </c>
      <c r="K1038" s="58">
        <f>IFERROR(__xludf.DUMMYFUNCTION("""COMPUTED_VALUE"""),45962.0)</f>
        <v>45962</v>
      </c>
      <c r="L1038" s="6">
        <v>30.0</v>
      </c>
      <c r="M1038" s="52">
        <v>45992.0</v>
      </c>
      <c r="N1038" s="53" t="s">
        <v>692</v>
      </c>
      <c r="O1038" s="19" t="s">
        <v>1217</v>
      </c>
      <c r="P1038" s="6"/>
      <c r="Q1038" s="6"/>
      <c r="R1038" s="6"/>
    </row>
    <row r="1039">
      <c r="A1039" s="31" t="str">
        <f>IFERROR(__xludf.DUMMYFUNCTION("""COMPUTED_VALUE"""),"795")</f>
        <v>795</v>
      </c>
      <c r="B1039" s="14" t="str">
        <f>IFERROR(__xludf.DUMMYFUNCTION("""COMPUTED_VALUE"""),"РЕН-26")</f>
        <v>РЕН-26</v>
      </c>
      <c r="C1039" s="14" t="str">
        <f>IFERROR(__xludf.DUMMYFUNCTION("""COMPUTED_VALUE"""),"ОКС")</f>
        <v>ОКС</v>
      </c>
      <c r="D1039" s="6"/>
      <c r="E1039" s="14" t="str">
        <f>IFERROR(__xludf.DUMMYFUNCTION("""COMPUTED_VALUE"""),"Жилой дом с инженерными сетями и благоустройством территории (со сносом жилого дома по адресу: г. Москва, ул. Михайлова, д. 27)» по адресу: г. Москва, внутригородское муниципальное образование Рязанское, улица Михайлова, земельный участок 27 (Михайлова ул"&amp;"., вл. 27) ЮВАО	улица Михайлова, земельный участок 27 (Михайлова ул., вл. 27)")</f>
        <v>Жилой дом с инженерными сетями и благоустройством территории (со сносом жилого дома по адресу: г. Москва, ул. Михайлова, д. 27)» по адресу: г. Москва, внутригородское муниципальное образование Рязанское, улица Михайлова, земельный участок 27 (Михайлова ул., вл. 27) ЮВАО	улица Михайлова, земельный участок 27 (Михайлова ул., вл. 27)</v>
      </c>
      <c r="F1039" s="25" t="str">
        <f>IFERROR(__xludf.DUMMYFUNCTION("""COMPUTED_VALUE"""),"55.726994")</f>
        <v>55.726994</v>
      </c>
      <c r="G1039" s="6" t="str">
        <f>IFERROR(__xludf.DUMMYFUNCTION("""COMPUTED_VALUE"""),"37.770187")</f>
        <v>37.770187</v>
      </c>
      <c r="H1039" s="18" t="str">
        <f>IFERROR(__xludf.DUMMYFUNCTION("""COMPUTED_VALUE"""),"https://docs.google.com/spreadsheets/d/1rbCD10ySi4YZEkJW2_Slmn9z7AI1WEsGsZaIJmnnT18/edit?gid=622576410#gid=622576410")</f>
        <v>https://docs.google.com/spreadsheets/d/1rbCD10ySi4YZEkJW2_Slmn9z7AI1WEsGsZaIJmnnT18/edit?gid=622576410#gid=622576410</v>
      </c>
      <c r="I1039" s="19" t="str">
        <f>IFERROR(__xludf.DUMMYFUNCTION("""COMPUTED_VALUE"""),"https://disk.yandex.ru/client/disk/Осмотры%20объектов%20АНО%20СМГ/795.%20ул.%20Михайлова%20зум.уч.%2027(д.27)")</f>
        <v>https://disk.yandex.ru/client/disk/Осмотры%20объектов%20АНО%20СМГ/795.%20ул.%20Михайлова%20зум.уч.%2027(д.27)</v>
      </c>
      <c r="J1039" s="50">
        <f>IFERROR(__xludf.DUMMYFUNCTION("""COMPUTED_VALUE"""),0.0)</f>
        <v>0</v>
      </c>
      <c r="K1039" s="58">
        <f>IFERROR(__xludf.DUMMYFUNCTION("""COMPUTED_VALUE"""),45952.0)</f>
        <v>45952</v>
      </c>
      <c r="L1039" s="6">
        <v>30.0</v>
      </c>
      <c r="M1039" s="52">
        <v>45982.0</v>
      </c>
      <c r="N1039" s="53" t="s">
        <v>741</v>
      </c>
      <c r="O1039" s="19" t="s">
        <v>914</v>
      </c>
      <c r="P1039" s="6"/>
      <c r="Q1039" s="6"/>
      <c r="R1039" s="6"/>
    </row>
    <row r="1040">
      <c r="A1040" s="31" t="str">
        <f>IFERROR(__xludf.DUMMYFUNCTION("""COMPUTED_VALUE"""),"796")</f>
        <v>796</v>
      </c>
      <c r="B1040" s="14" t="str">
        <f>IFERROR(__xludf.DUMMYFUNCTION("""COMPUTED_VALUE"""),"РЕН-26")</f>
        <v>РЕН-26</v>
      </c>
      <c r="C1040" s="14" t="str">
        <f>IFERROR(__xludf.DUMMYFUNCTION("""COMPUTED_VALUE"""),"ОКС")</f>
        <v>ОКС</v>
      </c>
      <c r="D1040" s="6"/>
      <c r="E1040" s="14" t="str">
        <f>IFERROR(__xludf.DUMMYFUNCTION("""COMPUTED_VALUE"""),"Жилой дом с инженерными сетями и благоустройством территории (со сносом жилого дома по адресу: г. Москва, ул. Михайлова, д. 38)» по адресу: г. Москва, внутригородское муниципальное образование Рязанское, улица Михайлова, земельный участок 38 (Михайлова ул"&amp;"., вл. 38) ЮВАО	улица Михайлова, земельный участок 38 (Михайлова ул., вл. 38)")</f>
        <v>Жилой дом с инженерными сетями и благоустройством территории (со сносом жилого дома по адресу: г. Москва, ул. Михайлова, д. 38)» по адресу: г. Москва, внутригородское муниципальное образование Рязанское, улица Михайлова, земельный участок 38 (Михайлова ул., вл. 38) ЮВАО	улица Михайлова, земельный участок 38 (Михайлова ул., вл. 38)</v>
      </c>
      <c r="F1040" s="25" t="str">
        <f>IFERROR(__xludf.DUMMYFUNCTION("""COMPUTED_VALUE"""),"55.721341")</f>
        <v>55.721341</v>
      </c>
      <c r="G1040" s="6" t="str">
        <f>IFERROR(__xludf.DUMMYFUNCTION("""COMPUTED_VALUE"""),"37.785108")</f>
        <v>37.785108</v>
      </c>
      <c r="H1040" s="18" t="str">
        <f>IFERROR(__xludf.DUMMYFUNCTION("""COMPUTED_VALUE"""),"https://docs.google.com/spreadsheets/d/1rbCD10ySi4YZEkJW2_Slmn9z7AI1WEsGsZaIJmnnT18/edit?gid=1861315460#gid=1861315460")</f>
        <v>https://docs.google.com/spreadsheets/d/1rbCD10ySi4YZEkJW2_Slmn9z7AI1WEsGsZaIJmnnT18/edit?gid=1861315460#gid=1861315460</v>
      </c>
      <c r="I1040" s="19" t="str">
        <f>IFERROR(__xludf.DUMMYFUNCTION("""COMPUTED_VALUE"""),"https://disk.yandex.ru/client/disk/Осмотры%20объектов%20АНО%20СМГ/796.%20улица%20Михайлова%2C%20земельный%20участок%2038%20(Михайлова%20ул.%2C%20вл.%2038)")</f>
        <v>https://disk.yandex.ru/client/disk/Осмотры%20объектов%20АНО%20СМГ/796.%20улица%20Михайлова%2C%20земельный%20участок%2038%20(Михайлова%20ул.%2C%20вл.%2038)</v>
      </c>
      <c r="J1040" s="50">
        <f>IFERROR(__xludf.DUMMYFUNCTION("""COMPUTED_VALUE"""),0.0)</f>
        <v>0</v>
      </c>
      <c r="K1040" s="58">
        <f>IFERROR(__xludf.DUMMYFUNCTION("""COMPUTED_VALUE"""),45952.0)</f>
        <v>45952</v>
      </c>
      <c r="L1040" s="6">
        <v>30.0</v>
      </c>
      <c r="M1040" s="52">
        <v>45982.0</v>
      </c>
      <c r="N1040" s="53" t="s">
        <v>741</v>
      </c>
      <c r="O1040" s="19" t="s">
        <v>914</v>
      </c>
      <c r="P1040" s="6"/>
      <c r="Q1040" s="6"/>
      <c r="R1040" s="6"/>
    </row>
    <row r="1041">
      <c r="A1041" s="31" t="str">
        <f>IFERROR(__xludf.DUMMYFUNCTION("""COMPUTED_VALUE"""),"803")</f>
        <v>803</v>
      </c>
      <c r="B1041" s="14" t="str">
        <f>IFERROR(__xludf.DUMMYFUNCTION("""COMPUTED_VALUE"""),"РЕН-26")</f>
        <v>РЕН-26</v>
      </c>
      <c r="C1041" s="14" t="str">
        <f>IFERROR(__xludf.DUMMYFUNCTION("""COMPUTED_VALUE"""),"ОКС")</f>
        <v>ОКС</v>
      </c>
      <c r="D1041" s="6"/>
      <c r="E1041"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район Сокольники, ул. Сокольнический Вал, вл. 2а, корпус 2"&amp;" ВАО	ул. Сокольнический Вал, вл. 2а, корп. 2")</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район Сокольники, ул. Сокольнический Вал, вл. 2а, корпус 2 ВАО	ул. Сокольнический Вал, вл. 2а, корп. 2</v>
      </c>
      <c r="F1041" s="25" t="str">
        <f>IFERROR(__xludf.DUMMYFUNCTION("""COMPUTED_VALUE"""),"55.792754")</f>
        <v>55.792754</v>
      </c>
      <c r="G1041" s="6" t="str">
        <f>IFERROR(__xludf.DUMMYFUNCTION("""COMPUTED_VALUE"""),"37.655161")</f>
        <v>37.655161</v>
      </c>
      <c r="H1041" s="18" t="str">
        <f>IFERROR(__xludf.DUMMYFUNCTION("""COMPUTED_VALUE"""),"https://docs.google.com/spreadsheets/d/1rbCD10ySi4YZEkJW2_Slmn9z7AI1WEsGsZaIJmnnT18/edit?gid=641020956#gid=641020956")</f>
        <v>https://docs.google.com/spreadsheets/d/1rbCD10ySi4YZEkJW2_Slmn9z7AI1WEsGsZaIJmnnT18/edit?gid=641020956#gid=641020956</v>
      </c>
      <c r="I1041" s="19" t="str">
        <f>IFERROR(__xludf.DUMMYFUNCTION("""COMPUTED_VALUE"""),"https://disk.yandex.ru/client/disk/Осмотры%20объектов%20АНО%20СМГ/803.%20ул.%20Сокольнический%20Вал%2C%20вл.%202а%2C%20корп.%202")</f>
        <v>https://disk.yandex.ru/client/disk/Осмотры%20объектов%20АНО%20СМГ/803.%20ул.%20Сокольнический%20Вал%2C%20вл.%202а%2C%20корп.%202</v>
      </c>
      <c r="J1041" s="50">
        <f>IFERROR(__xludf.DUMMYFUNCTION("""COMPUTED_VALUE"""),0.8991600000000001)</f>
        <v>0.89916</v>
      </c>
      <c r="K1041" s="58">
        <f>IFERROR(__xludf.DUMMYFUNCTION("""COMPUTED_VALUE"""),45953.0)</f>
        <v>45953</v>
      </c>
      <c r="L1041" s="6">
        <v>30.0</v>
      </c>
      <c r="M1041" s="52">
        <v>45983.0</v>
      </c>
      <c r="N1041" s="53" t="s">
        <v>741</v>
      </c>
      <c r="O1041" s="19" t="s">
        <v>669</v>
      </c>
      <c r="P1041" s="6"/>
      <c r="Q1041" s="6"/>
      <c r="R1041" s="6"/>
    </row>
    <row r="1042">
      <c r="A1042" s="31" t="str">
        <f>IFERROR(__xludf.DUMMYFUNCTION("""COMPUTED_VALUE"""),"936")</f>
        <v>936</v>
      </c>
      <c r="B1042" s="14" t="str">
        <f>IFERROR(__xludf.DUMMYFUNCTION("""COMPUTED_VALUE"""),"РЕН-26")</f>
        <v>РЕН-26</v>
      </c>
      <c r="C1042" s="14" t="str">
        <f>IFERROR(__xludf.DUMMYFUNCTION("""COMPUTED_VALUE"""),"ОКС")</f>
        <v>ОКС</v>
      </c>
      <c r="D1042" s="6"/>
      <c r="E1042" s="14" t="str">
        <f>IFERROR(__xludf.DUMMYFUNCTION("""COMPUTED_VALUE"""),"Жилой дом с инженерными сетями и благоустройством территории с подземным гаражом (со сносом жилых зданий по адресам: ул. Перовская, д. 36 к. 1, ул. Перовская, д. 36 к. 2) по адресу: вн. тер. г. Перово, Перовская ул., земельный участок 36 Перовская ул., з/"&amp;"у 36")</f>
        <v>Жилой дом с инженерными сетями и благоустройством территории с подземным гаражом (со сносом жилых зданий по адресам: ул. Перовская, д. 36 к. 1, ул. Перовская, д. 36 к. 2) по адресу: вн. тер. г. Перово, Перовская ул., земельный участок 36 Перовская ул., з/у 36</v>
      </c>
      <c r="F1042" s="25" t="str">
        <f>IFERROR(__xludf.DUMMYFUNCTION("""COMPUTED_VALUE"""),"55.745696")</f>
        <v>55.745696</v>
      </c>
      <c r="G1042" s="6" t="str">
        <f>IFERROR(__xludf.DUMMYFUNCTION("""COMPUTED_VALUE"""),"37.778515")</f>
        <v>37.778515</v>
      </c>
      <c r="H1042" s="18" t="str">
        <f>IFERROR(__xludf.DUMMYFUNCTION("""COMPUTED_VALUE"""),"https://docs.google.com/spreadsheets/d/1rbCD10ySi4YZEkJW2_Slmn9z7AI1WEsGsZaIJmnnT18/edit?gid=1380549667#gid=1380549667")</f>
        <v>https://docs.google.com/spreadsheets/d/1rbCD10ySi4YZEkJW2_Slmn9z7AI1WEsGsZaIJmnnT18/edit?gid=1380549667#gid=1380549667</v>
      </c>
      <c r="I1042" s="19" t="str">
        <f>IFERROR(__xludf.DUMMYFUNCTION("""COMPUTED_VALUE"""),"https://disk.yandex.ru/client/disk/Осмотры%20объектов%20АНО%20СМГ/936%20Перовская%20ул.%2C%20з.у%2036")</f>
        <v>https://disk.yandex.ru/client/disk/Осмотры%20объектов%20АНО%20СМГ/936%20Перовская%20ул.%2C%20з.у%2036</v>
      </c>
      <c r="J1042" s="50">
        <f>IFERROR(__xludf.DUMMYFUNCTION("""COMPUTED_VALUE"""),0.0)</f>
        <v>0</v>
      </c>
      <c r="K1042" s="58">
        <f>IFERROR(__xludf.DUMMYFUNCTION("""COMPUTED_VALUE"""),45968.0)</f>
        <v>45968</v>
      </c>
      <c r="L1042" s="6">
        <v>30.0</v>
      </c>
      <c r="M1042" s="52">
        <v>45998.0</v>
      </c>
      <c r="N1042" s="53" t="s">
        <v>711</v>
      </c>
      <c r="O1042" s="19" t="s">
        <v>914</v>
      </c>
      <c r="P1042" s="6"/>
      <c r="Q1042" s="6"/>
      <c r="R1042" s="6"/>
    </row>
    <row r="1043">
      <c r="A1043" s="31" t="str">
        <f>IFERROR(__xludf.DUMMYFUNCTION("""COMPUTED_VALUE"""),"924")</f>
        <v>924</v>
      </c>
      <c r="B1043" s="14" t="str">
        <f>IFERROR(__xludf.DUMMYFUNCTION("""COMPUTED_VALUE"""),"РЕН-26")</f>
        <v>РЕН-26</v>
      </c>
      <c r="C1043" s="14" t="str">
        <f>IFERROR(__xludf.DUMMYFUNCTION("""COMPUTED_VALUE"""),"ОКС")</f>
        <v>ОКС</v>
      </c>
      <c r="D1043" s="6"/>
      <c r="E1043" s="14" t="str">
        <f>IFERROR(__xludf.DUMMYFUNCTION("""COMPUTED_VALUE"""),"Жилой дом с подземной автостоянкой, инженерными сетями, благоустройством территории (со сносом жилого здания, по адресу: 5-я ул. Соколиной Горы, д.20, к.1), ВАО, район Соколиная Гора, микрорайон 8с-13с, зона №7.1 5-я ул. Соколиной Горы, з/у 20/1 (участок "&amp;"7.1)")</f>
        <v>Жилой дом с подземной автостоянкой, инженерными сетями, благоустройством территории (со сносом жилого здания, по адресу: 5-я ул. Соколиной Горы, д.20, к.1), ВАО, район Соколиная Гора, микрорайон 8с-13с, зона №7.1 5-я ул. Соколиной Горы, з/у 20/1 (участок 7.1)</v>
      </c>
      <c r="F1043" s="25" t="str">
        <f>IFERROR(__xludf.DUMMYFUNCTION("""COMPUTED_VALUE"""),"55.764349")</f>
        <v>55.764349</v>
      </c>
      <c r="G1043" s="6" t="str">
        <f>IFERROR(__xludf.DUMMYFUNCTION("""COMPUTED_VALUE"""),"37.741118")</f>
        <v>37.741118</v>
      </c>
      <c r="H1043" s="18" t="str">
        <f>IFERROR(__xludf.DUMMYFUNCTION("""COMPUTED_VALUE"""),"https://docs.google.com/spreadsheets/d/1rbCD10ySi4YZEkJW2_Slmn9z7AI1WEsGsZaIJmnnT18/edit?gid=1226682620#gid=1226682620")</f>
        <v>https://docs.google.com/spreadsheets/d/1rbCD10ySi4YZEkJW2_Slmn9z7AI1WEsGsZaIJmnnT18/edit?gid=1226682620#gid=1226682620</v>
      </c>
      <c r="I1043" s="19" t="str">
        <f>IFERROR(__xludf.DUMMYFUNCTION("""COMPUTED_VALUE"""),"https://disk.yandex.ru/client/disk/Осмотры%20объектов%20АНО%20СМГ/924.%205-я%20ул.%20Соколиной%20Горы%2C%20з.у%2020.1%20(участок%207.1)")</f>
        <v>https://disk.yandex.ru/client/disk/Осмотры%20объектов%20АНО%20СМГ/924.%205-я%20ул.%20Соколиной%20Горы%2C%20з.у%2020.1%20(участок%207.1)</v>
      </c>
      <c r="J1043" s="50">
        <f>IFERROR(__xludf.DUMMYFUNCTION("""COMPUTED_VALUE"""),0.0)</f>
        <v>0</v>
      </c>
      <c r="K1043" s="58">
        <f>IFERROR(__xludf.DUMMYFUNCTION("""COMPUTED_VALUE"""),45962.0)</f>
        <v>45962</v>
      </c>
      <c r="L1043" s="6">
        <v>30.0</v>
      </c>
      <c r="M1043" s="52">
        <v>45992.0</v>
      </c>
      <c r="N1043" s="53" t="s">
        <v>692</v>
      </c>
      <c r="O1043" s="19" t="s">
        <v>1218</v>
      </c>
      <c r="P1043" s="6"/>
      <c r="Q1043" s="6"/>
      <c r="R1043" s="6"/>
    </row>
    <row r="1044">
      <c r="A1044" s="31" t="str">
        <f>IFERROR(__xludf.DUMMYFUNCTION("""COMPUTED_VALUE"""),"920")</f>
        <v>920</v>
      </c>
      <c r="B1044" s="14" t="str">
        <f>IFERROR(__xludf.DUMMYFUNCTION("""COMPUTED_VALUE"""),"РЕН-26")</f>
        <v>РЕН-26</v>
      </c>
      <c r="C1044" s="14" t="str">
        <f>IFERROR(__xludf.DUMMYFUNCTION("""COMPUTED_VALUE"""),"ОКС")</f>
        <v>ОКС</v>
      </c>
      <c r="D1044" s="6"/>
      <c r="E1044" s="14" t="str">
        <f>IFERROR(__xludf.DUMMYFUNCTION("""COMPUTED_VALUE"""),"Жилой дом с инженерными сетями и благоустройством территории, СЗАО, район Южное Тушино, Новопоселковая ул., вл.6 ул. Новопоселковая, вл. 6")</f>
        <v>Жилой дом с инженерными сетями и благоустройством территории, СЗАО, район Южное Тушино, Новопоселковая ул., вл.6 ул. Новопоселковая, вл. 6</v>
      </c>
      <c r="F1044" s="25" t="str">
        <f>IFERROR(__xludf.DUMMYFUNCTION("""COMPUTED_VALUE"""),"55.841008")</f>
        <v>55.841008</v>
      </c>
      <c r="G1044" s="6" t="str">
        <f>IFERROR(__xludf.DUMMYFUNCTION("""COMPUTED_VALUE"""),"37.443541")</f>
        <v>37.443541</v>
      </c>
      <c r="H1044" s="18" t="str">
        <f>IFERROR(__xludf.DUMMYFUNCTION("""COMPUTED_VALUE"""),"https://docs.google.com/spreadsheets/d/1rbCD10ySi4YZEkJW2_Slmn9z7AI1WEsGsZaIJmnnT18/edit?gid=402405412#gid=402405412")</f>
        <v>https://docs.google.com/spreadsheets/d/1rbCD10ySi4YZEkJW2_Slmn9z7AI1WEsGsZaIJmnnT18/edit?gid=402405412#gid=402405412</v>
      </c>
      <c r="I1044" s="19" t="str">
        <f>IFERROR(__xludf.DUMMYFUNCTION("""COMPUTED_VALUE"""),"https://disk.yandex.ru/client/disk/Осмотры%20объектов%20АНО%20СМГ/920.%20Новопоселковая%20вл.%206")</f>
        <v>https://disk.yandex.ru/client/disk/Осмотры%20объектов%20АНО%20СМГ/920.%20Новопоселковая%20вл.%206</v>
      </c>
      <c r="J1044" s="50">
        <f>IFERROR(__xludf.DUMMYFUNCTION("""COMPUTED_VALUE"""),1.65)</f>
        <v>1.65</v>
      </c>
      <c r="K1044" s="58">
        <f>IFERROR(__xludf.DUMMYFUNCTION("""COMPUTED_VALUE"""),45954.0)</f>
        <v>45954</v>
      </c>
      <c r="L1044" s="6">
        <v>30.0</v>
      </c>
      <c r="M1044" s="52">
        <v>45984.0</v>
      </c>
      <c r="N1044" s="53" t="s">
        <v>741</v>
      </c>
      <c r="O1044" s="19" t="s">
        <v>669</v>
      </c>
      <c r="P1044" s="6"/>
      <c r="Q1044" s="6"/>
      <c r="R1044" s="6"/>
    </row>
    <row r="1045">
      <c r="A1045" s="31" t="str">
        <f>IFERROR(__xludf.DUMMYFUNCTION("""COMPUTED_VALUE"""),"916")</f>
        <v>916</v>
      </c>
      <c r="B1045" s="14" t="str">
        <f>IFERROR(__xludf.DUMMYFUNCTION("""COMPUTED_VALUE"""),"РЕН-26")</f>
        <v>РЕН-26</v>
      </c>
      <c r="C1045" s="14" t="str">
        <f>IFERROR(__xludf.DUMMYFUNCTION("""COMPUTED_VALUE"""),"ОКС")</f>
        <v>ОКС</v>
      </c>
      <c r="D1045" s="6"/>
      <c r="E1045" s="14" t="str">
        <f>IFERROR(__xludf.DUMMYFUNCTION("""COMPUTED_VALUE"""),"Жилой дом с инженерными сетями и благоустройством территории, ЮАО, район Царицыно, Каспийская ул., вл. 24, корп. 4 Каспийская ул., вл. 24, корп. 4")</f>
        <v>Жилой дом с инженерными сетями и благоустройством территории, ЮАО, район Царицыно, Каспийская ул., вл. 24, корп. 4 Каспийская ул., вл. 24, корп. 4</v>
      </c>
      <c r="F1045" s="25" t="str">
        <f>IFERROR(__xludf.DUMMYFUNCTION("""COMPUTED_VALUE"""),"55.626253")</f>
        <v>55.626253</v>
      </c>
      <c r="G1045" s="6" t="str">
        <f>IFERROR(__xludf.DUMMYFUNCTION("""COMPUTED_VALUE"""),"37.672581")</f>
        <v>37.672581</v>
      </c>
      <c r="H1045" s="18" t="str">
        <f>IFERROR(__xludf.DUMMYFUNCTION("""COMPUTED_VALUE"""),"https://docs.google.com/spreadsheets/d/1rbCD10ySi4YZEkJW2_Slmn9z7AI1WEsGsZaIJmnnT18/edit?gid=223359966#gid=223359966")</f>
        <v>https://docs.google.com/spreadsheets/d/1rbCD10ySi4YZEkJW2_Slmn9z7AI1WEsGsZaIJmnnT18/edit?gid=223359966#gid=223359966</v>
      </c>
      <c r="I1045" s="19" t="str">
        <f>IFERROR(__xludf.DUMMYFUNCTION("""COMPUTED_VALUE"""),"https://disk.yandex.ru/client/disk/Осмотры%20объектов%20АНО%20СМГ/916.%20Жилой%20дом.%20Каспийская%20ул.%2C%20вл.%2024%2C%20Корп.%204")</f>
        <v>https://disk.yandex.ru/client/disk/Осмотры%20объектов%20АНО%20СМГ/916.%20Жилой%20дом.%20Каспийская%20ул.%2C%20вл.%2024%2C%20Корп.%204</v>
      </c>
      <c r="J1045" s="50">
        <f>IFERROR(__xludf.DUMMYFUNCTION("""COMPUTED_VALUE"""),0.0)</f>
        <v>0</v>
      </c>
      <c r="K1045" s="58">
        <f>IFERROR(__xludf.DUMMYFUNCTION("""COMPUTED_VALUE"""),45968.0)</f>
        <v>45968</v>
      </c>
      <c r="L1045" s="6">
        <v>30.0</v>
      </c>
      <c r="M1045" s="52">
        <v>45998.0</v>
      </c>
      <c r="N1045" s="53" t="s">
        <v>711</v>
      </c>
      <c r="O1045" s="19" t="s">
        <v>914</v>
      </c>
      <c r="P1045" s="6"/>
      <c r="Q1045" s="6"/>
      <c r="R1045" s="6"/>
    </row>
    <row r="1046">
      <c r="A1046" s="31" t="str">
        <f>IFERROR(__xludf.DUMMYFUNCTION("""COMPUTED_VALUE"""),"915")</f>
        <v>915</v>
      </c>
      <c r="B1046" s="14" t="str">
        <f>IFERROR(__xludf.DUMMYFUNCTION("""COMPUTED_VALUE"""),"РЕН-26")</f>
        <v>РЕН-26</v>
      </c>
      <c r="C1046" s="14" t="str">
        <f>IFERROR(__xludf.DUMMYFUNCTION("""COMPUTED_VALUE"""),"ОКС")</f>
        <v>ОКС</v>
      </c>
      <c r="D1046" s="6"/>
      <c r="E1046" s="14" t="str">
        <f>IFERROR(__xludf.DUMMYFUNCTION("""COMPUTED_VALUE"""),"Жилой дом с инженерными сетями и благоустройством по адресу: г. Москва, внутригородское муниципальное образование Москворечье-Сабурово, переулок 2-й Котляковский, земельный участок 5 (2-й Котляковский переулок, з/у 5/1, 6А) 2-й Котляковский переулок, з/у "&amp;"5 (2-й Котляковский переулок, з/у 5/1, 6А)")</f>
        <v>Жилой дом с инженерными сетями и благоустройством по адресу: г. Москва, внутригородское муниципальное образование Москворечье-Сабурово, переулок 2-й Котляковский, земельный участок 5 (2-й Котляковский переулок, з/у 5/1, 6А) 2-й Котляковский переулок, з/у 5 (2-й Котляковский переулок, з/у 5/1, 6А)</v>
      </c>
      <c r="F1046" s="25" t="str">
        <f>IFERROR(__xludf.DUMMYFUNCTION("""COMPUTED_VALUE"""),"55.644939")</f>
        <v>55.644939</v>
      </c>
      <c r="G1046" s="6" t="str">
        <f>IFERROR(__xludf.DUMMYFUNCTION("""COMPUTED_VALUE"""),"37.637156")</f>
        <v>37.637156</v>
      </c>
      <c r="H1046" s="18" t="str">
        <f>IFERROR(__xludf.DUMMYFUNCTION("""COMPUTED_VALUE"""),"https://docs.google.com/spreadsheets/d/1rbCD10ySi4YZEkJW2_Slmn9z7AI1WEsGsZaIJmnnT18/edit?gid=314292055#gid=314292055")</f>
        <v>https://docs.google.com/spreadsheets/d/1rbCD10ySi4YZEkJW2_Slmn9z7AI1WEsGsZaIJmnnT18/edit?gid=314292055#gid=314292055</v>
      </c>
      <c r="I1046" s="19" t="str">
        <f>IFERROR(__xludf.DUMMYFUNCTION("""COMPUTED_VALUE"""),"https://disk.yandex.ru/client/disk/Осмотры%20объектов%20АНО%20СМГ/915.%202-ой%20Котляковский%20переулок%2C%20з.у.%205.1%2C%206А")</f>
        <v>https://disk.yandex.ru/client/disk/Осмотры%20объектов%20АНО%20СМГ/915.%202-ой%20Котляковский%20переулок%2C%20з.у.%205.1%2C%206А</v>
      </c>
      <c r="J1046" s="50">
        <f>IFERROR(__xludf.DUMMYFUNCTION("""COMPUTED_VALUE"""),0.0)</f>
        <v>0</v>
      </c>
      <c r="K1046" s="58">
        <f>IFERROR(__xludf.DUMMYFUNCTION("""COMPUTED_VALUE"""),45953.0)</f>
        <v>45953</v>
      </c>
      <c r="L1046" s="6">
        <v>30.0</v>
      </c>
      <c r="M1046" s="52">
        <v>45983.0</v>
      </c>
      <c r="N1046" s="53" t="s">
        <v>741</v>
      </c>
      <c r="O1046" s="19" t="s">
        <v>669</v>
      </c>
      <c r="P1046" s="6"/>
      <c r="Q1046" s="6"/>
      <c r="R1046" s="6"/>
    </row>
    <row r="1047">
      <c r="A1047" s="31" t="str">
        <f>IFERROR(__xludf.DUMMYFUNCTION("""COMPUTED_VALUE"""),"904")</f>
        <v>904</v>
      </c>
      <c r="B1047" s="14" t="str">
        <f>IFERROR(__xludf.DUMMYFUNCTION("""COMPUTED_VALUE"""),"РЕН-26")</f>
        <v>РЕН-26</v>
      </c>
      <c r="C1047" s="14" t="str">
        <f>IFERROR(__xludf.DUMMYFUNCTION("""COMPUTED_VALUE"""),"ОКС")</f>
        <v>ОКС</v>
      </c>
      <c r="D1047" s="6"/>
      <c r="E1047" s="14" t="str">
        <f>IFERROR(__xludf.DUMMYFUNCTION("""COMPUTED_VALUE"""),"Жилой дом с инженерными сетями и благоустройством территории (со сносом жилых зданий по адресам: ул. Криворожская, д.1, ул. Криворожская, д.3, ул. Криворожская, д.5) по адресу: г. Москва, район Нагорный, кварталы 66, 87-88, зона 5.1 Нагорный, кв-лы 66, 87"&amp;"-88, зона 5.1")</f>
        <v>Жилой дом с инженерными сетями и благоустройством территории (со сносом жилых зданий по адресам: ул. Криворожская, д.1, ул. Криворожская, д.3, ул. Криворожская, д.5) по адресу: г. Москва, район Нагорный, кварталы 66, 87-88, зона 5.1 Нагорный, кв-лы 66, 87-88, зона 5.1</v>
      </c>
      <c r="F1047" s="25" t="str">
        <f>IFERROR(__xludf.DUMMYFUNCTION("""COMPUTED_VALUE"""),"55.668000")</f>
        <v>55.668000</v>
      </c>
      <c r="G1047" s="6" t="str">
        <f>IFERROR(__xludf.DUMMYFUNCTION("""COMPUTED_VALUE"""),"37.620447")</f>
        <v>37.620447</v>
      </c>
      <c r="H1047" s="18" t="str">
        <f>IFERROR(__xludf.DUMMYFUNCTION("""COMPUTED_VALUE"""),"https://docs.google.com/spreadsheets/d/1rbCD10ySi4YZEkJW2_Slmn9z7AI1WEsGsZaIJmnnT18/edit?gid=1044392559#gid=1044392559")</f>
        <v>https://docs.google.com/spreadsheets/d/1rbCD10ySi4YZEkJW2_Slmn9z7AI1WEsGsZaIJmnnT18/edit?gid=1044392559#gid=1044392559</v>
      </c>
      <c r="I1047" s="19" t="str">
        <f>IFERROR(__xludf.DUMMYFUNCTION("""COMPUTED_VALUE"""),"https://disk.yandex.ru/client/disk/Осмотры%20объектов%20АНО%20СМГ/904.%20Нагорный%20р-н%2C%20кв-лы%2066%2C%2087-88%2C%20зона%205.1")</f>
        <v>https://disk.yandex.ru/client/disk/Осмотры%20объектов%20АНО%20СМГ/904.%20Нагорный%20р-н%2C%20кв-лы%2066%2C%2087-88%2C%20зона%205.1</v>
      </c>
      <c r="J1047" s="50">
        <f>IFERROR(__xludf.DUMMYFUNCTION("""COMPUTED_VALUE"""),0.24)</f>
        <v>0.24</v>
      </c>
      <c r="K1047" s="58">
        <f>IFERROR(__xludf.DUMMYFUNCTION("""COMPUTED_VALUE"""),45961.0)</f>
        <v>45961</v>
      </c>
      <c r="L1047" s="6">
        <v>30.0</v>
      </c>
      <c r="M1047" s="52">
        <v>45991.0</v>
      </c>
      <c r="N1047" s="53" t="s">
        <v>692</v>
      </c>
      <c r="O1047" s="19" t="s">
        <v>669</v>
      </c>
      <c r="P1047" s="6"/>
      <c r="Q1047" s="6"/>
      <c r="R1047" s="6"/>
    </row>
    <row r="1048">
      <c r="A1048" s="31" t="str">
        <f>IFERROR(__xludf.DUMMYFUNCTION("""COMPUTED_VALUE"""),"893")</f>
        <v>893</v>
      </c>
      <c r="B1048" s="14" t="str">
        <f>IFERROR(__xludf.DUMMYFUNCTION("""COMPUTED_VALUE"""),"РЕН-26")</f>
        <v>РЕН-26</v>
      </c>
      <c r="C1048" s="14" t="str">
        <f>IFERROR(__xludf.DUMMYFUNCTION("""COMPUTED_VALUE"""),"ОКС")</f>
        <v>ОКС</v>
      </c>
      <c r="D1048" s="6"/>
      <c r="E1048" s="14" t="str">
        <f>IFERROR(__xludf.DUMMYFUNCTION("""COMPUTED_VALUE"""),"Жилой дом с инженерными сетями и благоустройством территории (со сносом жилых зданий по адресам: ул. 1 Мая, д.4; ул. Заводская, д.2; ул. Заводская, д.4; ул. Заводская, д.6; ул. Заводская, д. 4А), ЗелАО, район Крюково, микрорайон 19, зона № 4.3 ул Заводска"&amp;"я зу 2")</f>
        <v>Жилой дом с инженерными сетями и благоустройством территории (со сносом жилых зданий по адресам: ул. 1 Мая, д.4; ул. Заводская, д.2; ул. Заводская, д.4; ул. Заводская, д.6; ул. Заводская, д. 4А), ЗелАО, район Крюково, микрорайон 19, зона № 4.3 ул Заводская зу 2</v>
      </c>
      <c r="F1048" s="25" t="str">
        <f>IFERROR(__xludf.DUMMYFUNCTION("""COMPUTED_VALUE"""),"55.977808")</f>
        <v>55.977808</v>
      </c>
      <c r="G1048" s="6" t="str">
        <f>IFERROR(__xludf.DUMMYFUNCTION("""COMPUTED_VALUE"""),"37.174910")</f>
        <v>37.174910</v>
      </c>
      <c r="H1048" s="18" t="str">
        <f>IFERROR(__xludf.DUMMYFUNCTION("""COMPUTED_VALUE"""),"https://docs.google.com/spreadsheets/d/1rbCD10ySi4YZEkJW2_Slmn9z7AI1WEsGsZaIJmnnT18/edit?gid=1110910026#gid=1110910026")</f>
        <v>https://docs.google.com/spreadsheets/d/1rbCD10ySi4YZEkJW2_Slmn9z7AI1WEsGsZaIJmnnT18/edit?gid=1110910026#gid=1110910026</v>
      </c>
      <c r="I1048" s="19" t="str">
        <f>IFERROR(__xludf.DUMMYFUNCTION("""COMPUTED_VALUE"""),"https://disk.yandex.ru/client/disk/Осмотры%20объектов%20АНО%20СМГ/893.%20Заводская%20Зу%202")</f>
        <v>https://disk.yandex.ru/client/disk/Осмотры%20объектов%20АНО%20СМГ/893.%20Заводская%20Зу%202</v>
      </c>
      <c r="J1048" s="50">
        <f>IFERROR(__xludf.DUMMYFUNCTION("""COMPUTED_VALUE"""),0.0)</f>
        <v>0</v>
      </c>
      <c r="K1048" s="58">
        <f>IFERROR(__xludf.DUMMYFUNCTION("""COMPUTED_VALUE"""),45961.0)</f>
        <v>45961</v>
      </c>
      <c r="L1048" s="6">
        <v>30.0</v>
      </c>
      <c r="M1048" s="52">
        <v>45991.0</v>
      </c>
      <c r="N1048" s="53" t="s">
        <v>692</v>
      </c>
      <c r="O1048" s="19" t="s">
        <v>669</v>
      </c>
      <c r="P1048" s="6"/>
      <c r="Q1048" s="6"/>
      <c r="R1048" s="6"/>
    </row>
    <row r="1049">
      <c r="A1049" s="31" t="str">
        <f>IFERROR(__xludf.DUMMYFUNCTION("""COMPUTED_VALUE"""),"646")</f>
        <v>646</v>
      </c>
      <c r="B1049" s="14" t="str">
        <f>IFERROR(__xludf.DUMMYFUNCTION("""COMPUTED_VALUE"""),"РЕН-26")</f>
        <v>РЕН-26</v>
      </c>
      <c r="C1049" s="14" t="str">
        <f>IFERROR(__xludf.DUMMYFUNCTION("""COMPUTED_VALUE"""),"ОКС")</f>
        <v>ОКС</v>
      </c>
      <c r="D1049" s="6"/>
      <c r="E1049" s="14" t="str">
        <f>IFERROR(__xludf.DUMMYFUNCTION("""COMPUTED_VALUE"""),"Жилой дом с инженерными сетями и благоустройством территории (со сносом зданий по адресу: г. Москва, район Южное Бутово, ул. Ливенская, д. 1; ул. Ливенская, д. 2; ул. Ливенская, д. 3), ЮЗАО, район Южное Бутово, улица Ливенская, земельный участок 1 (Ливенс"&amp;"кая ул., вл. 1) ЮЗАО, район Южное Бутово, Ливенская ул., зу 1")</f>
        <v>Жилой дом с инженерными сетями и благоустройством территории (со сносом зданий по адресу: г. Москва, район Южное Бутово, ул. Ливенская, д. 1; ул. Ливенская, д. 2; ул. Ливенская, д. 3), ЮЗАО, район Южное Бутово, улица Ливенская, земельный участок 1 (Ливенская ул., вл. 1) ЮЗАО, район Южное Бутово, Ливенская ул., зу 1</v>
      </c>
      <c r="F1049" s="25" t="str">
        <f>IFERROR(__xludf.DUMMYFUNCTION("""COMPUTED_VALUE"""),"55.546041")</f>
        <v>55.546041</v>
      </c>
      <c r="G1049" s="6" t="str">
        <f>IFERROR(__xludf.DUMMYFUNCTION("""COMPUTED_VALUE"""),"37.561918")</f>
        <v>37.561918</v>
      </c>
      <c r="H1049" s="6" t="str">
        <f>IFERROR(__xludf.DUMMYFUNCTION("""COMPUTED_VALUE"""),"#ERROR!")</f>
        <v>#ERROR!</v>
      </c>
      <c r="I1049" s="19" t="str">
        <f>IFERROR(__xludf.DUMMYFUNCTION("""COMPUTED_VALUE"""),"https://disk.yandex.ru/client/disk/Осмотры%20объектов%20АНО%20СМГ/646.%20Южное%20Бутово%2C%20Ливенская%20ул.%20зу.%201")</f>
        <v>https://disk.yandex.ru/client/disk/Осмотры%20объектов%20АНО%20СМГ/646.%20Южное%20Бутово%2C%20Ливенская%20ул.%20зу.%201</v>
      </c>
      <c r="J1049" s="50">
        <f>IFERROR(__xludf.DUMMYFUNCTION("""COMPUTED_VALUE"""),0.0)</f>
        <v>0</v>
      </c>
      <c r="K1049" s="58">
        <f>IFERROR(__xludf.DUMMYFUNCTION("""COMPUTED_VALUE"""),45968.0)</f>
        <v>45968</v>
      </c>
      <c r="L1049" s="6">
        <v>30.0</v>
      </c>
      <c r="M1049" s="52">
        <v>45998.0</v>
      </c>
      <c r="N1049" s="53" t="s">
        <v>711</v>
      </c>
      <c r="O1049" s="19" t="s">
        <v>669</v>
      </c>
      <c r="P1049" s="6"/>
      <c r="Q1049" s="6"/>
      <c r="R1049" s="6"/>
    </row>
    <row r="1050">
      <c r="A1050" s="31" t="str">
        <f>IFERROR(__xludf.DUMMYFUNCTION("""COMPUTED_VALUE"""),"891")</f>
        <v>891</v>
      </c>
      <c r="B1050" s="14" t="str">
        <f>IFERROR(__xludf.DUMMYFUNCTION("""COMPUTED_VALUE"""),"РЕН-26")</f>
        <v>РЕН-26</v>
      </c>
      <c r="C1050" s="14" t="str">
        <f>IFERROR(__xludf.DUMMYFUNCTION("""COMPUTED_VALUE"""),"ОКС")</f>
        <v>ОКС</v>
      </c>
      <c r="D1050" s="6"/>
      <c r="E1050" s="14" t="str">
        <f>IFERROR(__xludf.DUMMYFUNCTION("""COMPUTED_VALUE"""),"ул. Дербеневская, з/у 22/1 (ул. Дербеневская, вл. 22) Дербеневская ул., зу 22_1")</f>
        <v>ул. Дербеневская, з/у 22/1 (ул. Дербеневская, вл. 22) Дербеневская ул., зу 22_1</v>
      </c>
      <c r="F1050" s="25" t="str">
        <f>IFERROR(__xludf.DUMMYFUNCTION("""COMPUTED_VALUE"""),"55.719191")</f>
        <v>55.719191</v>
      </c>
      <c r="G1050" s="6" t="str">
        <f>IFERROR(__xludf.DUMMYFUNCTION("""COMPUTED_VALUE"""),"37.646627")</f>
        <v>37.646627</v>
      </c>
      <c r="H1050" s="18" t="str">
        <f>IFERROR(__xludf.DUMMYFUNCTION("""COMPUTED_VALUE"""),"https://docs.google.com/spreadsheets/d/1rbCD10ySi4YZEkJW2_Slmn9z7AI1WEsGsZaIJmnnT18/edit?gid=1609219828#gid=1609219828")</f>
        <v>https://docs.google.com/spreadsheets/d/1rbCD10ySi4YZEkJW2_Slmn9z7AI1WEsGsZaIJmnnT18/edit?gid=1609219828#gid=1609219828</v>
      </c>
      <c r="I1050" s="19" t="str">
        <f>IFERROR(__xludf.DUMMYFUNCTION("""COMPUTED_VALUE"""),"https://disk.yandex.ru/client/disk/Осмотры%20объектов%20АНО%20СМГ/891.%20Дербеневская%20д.22")</f>
        <v>https://disk.yandex.ru/client/disk/Осмотры%20объектов%20АНО%20СМГ/891.%20Дербеневская%20д.22</v>
      </c>
      <c r="J1050" s="50">
        <f>IFERROR(__xludf.DUMMYFUNCTION("""COMPUTED_VALUE"""),0.0)</f>
        <v>0</v>
      </c>
      <c r="K1050" s="58">
        <f>IFERROR(__xludf.DUMMYFUNCTION("""COMPUTED_VALUE"""),45953.0)</f>
        <v>45953</v>
      </c>
      <c r="L1050" s="6">
        <v>30.0</v>
      </c>
      <c r="M1050" s="52">
        <v>45983.0</v>
      </c>
      <c r="N1050" s="53" t="s">
        <v>741</v>
      </c>
      <c r="O1050" s="19" t="s">
        <v>1219</v>
      </c>
      <c r="P1050" s="6"/>
      <c r="Q1050" s="6"/>
      <c r="R1050" s="6"/>
    </row>
    <row r="1051">
      <c r="A1051" s="31" t="str">
        <f>IFERROR(__xludf.DUMMYFUNCTION("""COMPUTED_VALUE"""),"994")</f>
        <v>994</v>
      </c>
      <c r="B1051" s="14" t="str">
        <f>IFERROR(__xludf.DUMMYFUNCTION("""COMPUTED_VALUE"""),"РЕН-26")</f>
        <v>РЕН-26</v>
      </c>
      <c r="C1051" s="14" t="str">
        <f>IFERROR(__xludf.DUMMYFUNCTION("""COMPUTED_VALUE"""),"ОКС")</f>
        <v>ОКС</v>
      </c>
      <c r="D1051" s="6"/>
      <c r="E1051" s="14" t="str">
        <f>IFERROR(__xludf.DUMMYFUNCTION("""COMPUTED_VALUE"""),"ул. Лётчика Бабушкина, з/у 33Б (участок 4.4) ул. Лётчика Бабушкина, з/у 33Б (участок 4.4)")</f>
        <v>ул. Лётчика Бабушкина, з/у 33Б (участок 4.4) ул. Лётчика Бабушкина, з/у 33Б (участок 4.4)</v>
      </c>
      <c r="F1051" s="25" t="str">
        <f>IFERROR(__xludf.DUMMYFUNCTION("""COMPUTED_VALUE"""),"55.872114")</f>
        <v>55.872114</v>
      </c>
      <c r="G1051" s="6" t="str">
        <f>IFERROR(__xludf.DUMMYFUNCTION("""COMPUTED_VALUE"""),"37.673621")</f>
        <v>37.673621</v>
      </c>
      <c r="H1051" s="18" t="str">
        <f>IFERROR(__xludf.DUMMYFUNCTION("""COMPUTED_VALUE"""),"https://docs.google.com/spreadsheets/d/1rbCD10ySi4YZEkJW2_Slmn9z7AI1WEsGsZaIJmnnT18/edit?gid=991695454#gid=991695454")</f>
        <v>https://docs.google.com/spreadsheets/d/1rbCD10ySi4YZEkJW2_Slmn9z7AI1WEsGsZaIJmnnT18/edit?gid=991695454#gid=991695454</v>
      </c>
      <c r="I1051" s="19" t="str">
        <f>IFERROR(__xludf.DUMMYFUNCTION("""COMPUTED_VALUE"""),"https://disk.yandex.ru/client/disk/Осмотры%20объектов%20АНО%20СМГ/994.%20Летчика%20Бабушкина%2C%20зу%2033.Б")</f>
        <v>https://disk.yandex.ru/client/disk/Осмотры%20объектов%20АНО%20СМГ/994.%20Летчика%20Бабушкина%2C%20зу%2033.Б</v>
      </c>
      <c r="J1051" s="50">
        <f>IFERROR(__xludf.DUMMYFUNCTION("""COMPUTED_VALUE"""),0.0)</f>
        <v>0</v>
      </c>
      <c r="K1051" s="58">
        <f>IFERROR(__xludf.DUMMYFUNCTION("""COMPUTED_VALUE"""),45961.0)</f>
        <v>45961</v>
      </c>
      <c r="L1051" s="6">
        <v>30.0</v>
      </c>
      <c r="M1051" s="52">
        <v>45991.0</v>
      </c>
      <c r="N1051" s="53" t="s">
        <v>692</v>
      </c>
      <c r="O1051" s="19" t="s">
        <v>1220</v>
      </c>
      <c r="P1051" s="6"/>
      <c r="Q1051" s="6"/>
      <c r="R1051" s="6"/>
    </row>
    <row r="1052">
      <c r="A1052" s="31" t="str">
        <f>IFERROR(__xludf.DUMMYFUNCTION("""COMPUTED_VALUE"""),"1350")</f>
        <v>1350</v>
      </c>
      <c r="B1052" s="14" t="str">
        <f>IFERROR(__xludf.DUMMYFUNCTION("""COMPUTED_VALUE"""),"РЕН-26")</f>
        <v>РЕН-26</v>
      </c>
      <c r="C1052" s="14" t="str">
        <f>IFERROR(__xludf.DUMMYFUNCTION("""COMPUTED_VALUE"""),"ОКС")</f>
        <v>ОКС</v>
      </c>
      <c r="D1052" s="6"/>
      <c r="E1052" s="14" t="str">
        <f>IFERROR(__xludf.DUMMYFUNCTION("""COMPUTED_VALUE"""),"ул. Новопоселковая, з/у 5А  ул. Новопоселковая, з/у 5А ")</f>
        <v>ул. Новопоселковая, з/у 5А  ул. Новопоселковая, з/у 5А </v>
      </c>
      <c r="F1052" s="25" t="str">
        <f>IFERROR(__xludf.DUMMYFUNCTION("""COMPUTED_VALUE"""),"55.838997")</f>
        <v>55.838997</v>
      </c>
      <c r="G1052" s="6" t="str">
        <f>IFERROR(__xludf.DUMMYFUNCTION("""COMPUTED_VALUE"""),"37.441140")</f>
        <v>37.441140</v>
      </c>
      <c r="H1052" s="18" t="str">
        <f>IFERROR(__xludf.DUMMYFUNCTION("""COMPUTED_VALUE"""),"https://docs.google.com/spreadsheets/d/1rbCD10ySi4YZEkJW2_Slmn9z7AI1WEsGsZaIJmnnT18/edit?gid=410405920#gid=410405920")</f>
        <v>https://docs.google.com/spreadsheets/d/1rbCD10ySi4YZEkJW2_Slmn9z7AI1WEsGsZaIJmnnT18/edit?gid=410405920#gid=410405920</v>
      </c>
      <c r="I1052" s="19"/>
      <c r="J1052" s="50">
        <f>IFERROR(__xludf.DUMMYFUNCTION("""COMPUTED_VALUE"""),0.15)</f>
        <v>0.15</v>
      </c>
      <c r="K1052" s="58">
        <f>IFERROR(__xludf.DUMMYFUNCTION("""COMPUTED_VALUE"""),45960.0)</f>
        <v>45960</v>
      </c>
      <c r="L1052" s="6">
        <v>30.0</v>
      </c>
      <c r="M1052" s="52">
        <v>45990.0</v>
      </c>
      <c r="N1052" s="53" t="s">
        <v>692</v>
      </c>
      <c r="O1052" s="19" t="s">
        <v>1221</v>
      </c>
      <c r="P1052" s="6"/>
      <c r="Q1052" s="6"/>
      <c r="R1052" s="6"/>
    </row>
    <row r="1053">
      <c r="A1053" s="31" t="str">
        <f>IFERROR(__xludf.DUMMYFUNCTION("""COMPUTED_VALUE"""),"1349")</f>
        <v>1349</v>
      </c>
      <c r="B1053" s="14" t="str">
        <f>IFERROR(__xludf.DUMMYFUNCTION("""COMPUTED_VALUE"""),"РЕН-26")</f>
        <v>РЕН-26</v>
      </c>
      <c r="C1053" s="14" t="str">
        <f>IFERROR(__xludf.DUMMYFUNCTION("""COMPUTED_VALUE"""),"ОКС")</f>
        <v>ОКС</v>
      </c>
      <c r="D1053" s="6"/>
      <c r="E1053" s="14" t="str">
        <f>IFERROR(__xludf.DUMMYFUNCTION("""COMPUTED_VALUE"""),"ул. Михалковская, вл. 52, стр. 22, 23 ул. Михалковская, вл. 52, стр. 22, 23")</f>
        <v>ул. Михалковская, вл. 52, стр. 22, 23 ул. Михалковская, вл. 52, стр. 22, 23</v>
      </c>
      <c r="F1053" s="25" t="str">
        <f>IFERROR(__xludf.DUMMYFUNCTION("""COMPUTED_VALUE"""),"#N/A")</f>
        <v>#N/A</v>
      </c>
      <c r="G1053" s="6" t="str">
        <f>IFERROR(__xludf.DUMMYFUNCTION("""COMPUTED_VALUE"""),"#N/A")</f>
        <v>#N/A</v>
      </c>
      <c r="H1053" s="18" t="str">
        <f>IFERROR(__xludf.DUMMYFUNCTION("""COMPUTED_VALUE"""),"https://docs.google.com/spreadsheets/d/1rbCD10ySi4YZEkJW2_Slmn9z7AI1WEsGsZaIJmnnT18/edit?gid=1209159022#gid=1209159022")</f>
        <v>https://docs.google.com/spreadsheets/d/1rbCD10ySi4YZEkJW2_Slmn9z7AI1WEsGsZaIJmnnT18/edit?gid=1209159022#gid=1209159022</v>
      </c>
      <c r="I1053" s="19"/>
      <c r="J1053" s="50">
        <f>IFERROR(__xludf.DUMMYFUNCTION("""COMPUTED_VALUE"""),0.0)</f>
        <v>0</v>
      </c>
      <c r="K1053" s="58">
        <f>IFERROR(__xludf.DUMMYFUNCTION("""COMPUTED_VALUE"""),45959.0)</f>
        <v>45959</v>
      </c>
      <c r="L1053" s="6">
        <v>30.0</v>
      </c>
      <c r="M1053" s="52">
        <v>45989.0</v>
      </c>
      <c r="N1053" s="53" t="s">
        <v>692</v>
      </c>
      <c r="O1053" s="19" t="s">
        <v>1222</v>
      </c>
      <c r="P1053" s="6"/>
      <c r="Q1053" s="6"/>
      <c r="R1053" s="6"/>
    </row>
    <row r="1054">
      <c r="A1054" s="31" t="str">
        <f>IFERROR(__xludf.DUMMYFUNCTION("""COMPUTED_VALUE"""),"877")</f>
        <v>877</v>
      </c>
      <c r="B1054" s="14" t="str">
        <f>IFERROR(__xludf.DUMMYFUNCTION("""COMPUTED_VALUE"""),"РЕН-26")</f>
        <v>РЕН-26</v>
      </c>
      <c r="C1054" s="14" t="str">
        <f>IFERROR(__xludf.DUMMYFUNCTION("""COMPUTED_VALUE"""),"ОКС")</f>
        <v>ОКС</v>
      </c>
      <c r="D1054" s="6"/>
      <c r="E1054" s="14" t="str">
        <f>IFERROR(__xludf.DUMMYFUNCTION("""COMPUTED_VALUE"""),"2-я Прядильная улица, земельный участок 8 (2-я Прядильная ул., вл. 8) ВАО        2-я Прядильная улица, земельный участок 8 (2-я Прядильная ул., вл. 8)")</f>
        <v>2-я Прядильная улица, земельный участок 8 (2-я Прядильная ул., вл. 8) ВАО        2-я Прядильная улица, земельный участок 8 (2-я Прядильная ул., вл. 8)</v>
      </c>
      <c r="F1054" s="25" t="str">
        <f>IFERROR(__xludf.DUMMYFUNCTION("""COMPUTED_VALUE"""),"55.795590")</f>
        <v>55.795590</v>
      </c>
      <c r="G1054" s="6" t="str">
        <f>IFERROR(__xludf.DUMMYFUNCTION("""COMPUTED_VALUE"""),"37.779467")</f>
        <v>37.779467</v>
      </c>
      <c r="H1054" s="18" t="str">
        <f>IFERROR(__xludf.DUMMYFUNCTION("""COMPUTED_VALUE"""),"https://docs.google.com/spreadsheets/d/1rbCD10ySi4YZEkJW2_Slmn9z7AI1WEsGsZaIJmnnT18/edit?gid=982286629#gid=982286629")</f>
        <v>https://docs.google.com/spreadsheets/d/1rbCD10ySi4YZEkJW2_Slmn9z7AI1WEsGsZaIJmnnT18/edit?gid=982286629#gid=982286629</v>
      </c>
      <c r="I1054" s="19" t="str">
        <f>IFERROR(__xludf.DUMMYFUNCTION("""COMPUTED_VALUE"""),"https://disk.yandex.ru/client/disk/Осмотры%20объектов%20АНО%20СМГ/877%202-я%20Прядильная%20ул.%2C%20зу%208")</f>
        <v>https://disk.yandex.ru/client/disk/Осмотры%20объектов%20АНО%20СМГ/877%202-я%20Прядильная%20ул.%2C%20зу%208</v>
      </c>
      <c r="J1054" s="50">
        <f>IFERROR(__xludf.DUMMYFUNCTION("""COMPUTED_VALUE"""),0.0)</f>
        <v>0</v>
      </c>
      <c r="K1054" s="58">
        <f>IFERROR(__xludf.DUMMYFUNCTION("""COMPUTED_VALUE"""),45953.0)</f>
        <v>45953</v>
      </c>
      <c r="L1054" s="6">
        <v>30.0</v>
      </c>
      <c r="M1054" s="52">
        <v>45983.0</v>
      </c>
      <c r="N1054" s="53" t="s">
        <v>741</v>
      </c>
      <c r="O1054" s="19" t="s">
        <v>914</v>
      </c>
      <c r="P1054" s="6"/>
      <c r="Q1054" s="6"/>
      <c r="R1054" s="6"/>
    </row>
    <row r="1055">
      <c r="A1055" s="31" t="str">
        <f>IFERROR(__xludf.DUMMYFUNCTION("""COMPUTED_VALUE"""),"821")</f>
        <v>821</v>
      </c>
      <c r="B1055" s="14" t="str">
        <f>IFERROR(__xludf.DUMMYFUNCTION("""COMPUTED_VALUE"""),"РЕН-26")</f>
        <v>РЕН-26</v>
      </c>
      <c r="C1055" s="14" t="str">
        <f>IFERROR(__xludf.DUMMYFUNCTION("""COMPUTED_VALUE"""),"ОКС")</f>
        <v>ОКС</v>
      </c>
      <c r="D1055" s="6"/>
      <c r="E1055" s="14" t="str">
        <f>IFERROR(__xludf.DUMMYFUNCTION("""COMPUTED_VALUE"""),"Жилой дом с инженерными сетями и благоустройством территории, ТиНАО, Вороновское, п. ЛМС, мкр. «Центральный», влд. 36 (поселение Вороновское, п. ЛМС, мкр. Центральный) Вороновское, п. ЛМС, мкр. «Центральный», влд. 36 (поселение Вороновское, п. ЛМС, мкр. Ц"&amp;"ентральный)")</f>
        <v>Жилой дом с инженерными сетями и благоустройством территории, ТиНАО, Вороновское, п. ЛМС, мкр. «Центральный», влд. 36 (поселение Вороновское, п. ЛМС, мкр. Центральный) Вороновское, п. ЛМС, мкр. «Центральный», влд. 36 (поселение Вороновское, п. ЛМС, мкр. Центральный)</v>
      </c>
      <c r="F1055" s="25" t="str">
        <f>IFERROR(__xludf.DUMMYFUNCTION("""COMPUTED_VALUE"""),"55.314743")</f>
        <v>55.314743</v>
      </c>
      <c r="G1055" s="6" t="str">
        <f>IFERROR(__xludf.DUMMYFUNCTION("""COMPUTED_VALUE"""),"37.184499")</f>
        <v>37.184499</v>
      </c>
      <c r="H1055" s="18" t="str">
        <f>IFERROR(__xludf.DUMMYFUNCTION("""COMPUTED_VALUE"""),"https://docs.google.com/spreadsheets/d/1rbCD10ySi4YZEkJW2_Slmn9z7AI1WEsGsZaIJmnnT18/edit?gid=867879144#gid=867879144")</f>
        <v>https://docs.google.com/spreadsheets/d/1rbCD10ySi4YZEkJW2_Slmn9z7AI1WEsGsZaIJmnnT18/edit?gid=867879144#gid=867879144</v>
      </c>
      <c r="I1055" s="19" t="str">
        <f>IFERROR(__xludf.DUMMYFUNCTION("""COMPUTED_VALUE"""),"https://disk.yandex.ru/client/disk/Осмотры%20объектов%20АНО%20СМГ/821.%20п.%20ЛМС%20мкр.%20центальный%2036")</f>
        <v>https://disk.yandex.ru/client/disk/Осмотры%20объектов%20АНО%20СМГ/821.%20п.%20ЛМС%20мкр.%20центальный%2036</v>
      </c>
      <c r="J1055" s="50">
        <f>IFERROR(__xludf.DUMMYFUNCTION("""COMPUTED_VALUE"""),0.0)</f>
        <v>0</v>
      </c>
      <c r="K1055" s="58">
        <f>IFERROR(__xludf.DUMMYFUNCTION("""COMPUTED_VALUE"""),45947.0)</f>
        <v>45947</v>
      </c>
      <c r="L1055" s="6">
        <v>30.0</v>
      </c>
      <c r="M1055" s="52">
        <v>45977.0</v>
      </c>
      <c r="N1055" s="53" t="s">
        <v>701</v>
      </c>
      <c r="O1055" s="19" t="s">
        <v>1223</v>
      </c>
      <c r="P1055" s="6"/>
      <c r="Q1055" s="6"/>
      <c r="R1055" s="6"/>
    </row>
    <row r="1056">
      <c r="A1056" s="31" t="str">
        <f>IFERROR(__xludf.DUMMYFUNCTION("""COMPUTED_VALUE"""),"833")</f>
        <v>833</v>
      </c>
      <c r="B1056" s="14" t="str">
        <f>IFERROR(__xludf.DUMMYFUNCTION("""COMPUTED_VALUE"""),"РЕН-26")</f>
        <v>РЕН-26</v>
      </c>
      <c r="C1056" s="14" t="str">
        <f>IFERROR(__xludf.DUMMYFUNCTION("""COMPUTED_VALUE"""),"ОКС")</f>
        <v>ОКС</v>
      </c>
      <c r="D1056" s="6"/>
      <c r="E1056" s="14" t="str">
        <f>IFERROR(__xludf.DUMMYFUNCTION("""COMPUTED_VALUE"""),"Жилой дом с инженерными сетями и благоустройством территории (со сносом жилого здания по адресу: ул. Краснодонская, д. 49/17) по адресу: вн. тер. г. Люблино, улица Совхозная, земельный участок 17/49 (зона № 1.1) ул. Краснодонская, 49/17")</f>
        <v>Жилой дом с инженерными сетями и благоустройством территории (со сносом жилого здания по адресу: ул. Краснодонская, д. 49/17) по адресу: вн. тер. г. Люблино, улица Совхозная, земельный участок 17/49 (зона № 1.1) ул. Краснодонская, 49/17</v>
      </c>
      <c r="F1056" s="25" t="str">
        <f>IFERROR(__xludf.DUMMYFUNCTION("""COMPUTED_VALUE"""),"55.671730")</f>
        <v>55.671730</v>
      </c>
      <c r="G1056" s="6" t="str">
        <f>IFERROR(__xludf.DUMMYFUNCTION("""COMPUTED_VALUE"""),"37.749247")</f>
        <v>37.749247</v>
      </c>
      <c r="H1056" s="18" t="str">
        <f>IFERROR(__xludf.DUMMYFUNCTION("""COMPUTED_VALUE"""),"https://docs.google.com/spreadsheets/d/1rbCD10ySi4YZEkJW2_Slmn9z7AI1WEsGsZaIJmnnT18/edit?gid=409879207#gid=409879207")</f>
        <v>https://docs.google.com/spreadsheets/d/1rbCD10ySi4YZEkJW2_Slmn9z7AI1WEsGsZaIJmnnT18/edit?gid=409879207#gid=409879207</v>
      </c>
      <c r="I1056" s="19" t="str">
        <f>IFERROR(__xludf.DUMMYFUNCTION("""COMPUTED_VALUE"""),"https://disk.yandex.ru/client/disk/Осмотры%20объектов%20АНО%20СМГ/833.%20Жилой%20дом%20ул.%20Краснодонская%20д%2049.17")</f>
        <v>https://disk.yandex.ru/client/disk/Осмотры%20объектов%20АНО%20СМГ/833.%20Жилой%20дом%20ул.%20Краснодонская%20д%2049.17</v>
      </c>
      <c r="J1056" s="50">
        <f>IFERROR(__xludf.DUMMYFUNCTION("""COMPUTED_VALUE"""),0.0)</f>
        <v>0</v>
      </c>
      <c r="K1056" s="58">
        <f>IFERROR(__xludf.DUMMYFUNCTION("""COMPUTED_VALUE"""),45961.0)</f>
        <v>45961</v>
      </c>
      <c r="L1056" s="6">
        <v>30.0</v>
      </c>
      <c r="M1056" s="52">
        <v>45991.0</v>
      </c>
      <c r="N1056" s="53" t="s">
        <v>692</v>
      </c>
      <c r="O1056" s="19" t="s">
        <v>914</v>
      </c>
      <c r="P1056" s="6"/>
      <c r="Q1056" s="6"/>
      <c r="R1056" s="6"/>
    </row>
    <row r="1057">
      <c r="A1057" s="31" t="str">
        <f>IFERROR(__xludf.DUMMYFUNCTION("""COMPUTED_VALUE"""),"834")</f>
        <v>834</v>
      </c>
      <c r="B1057" s="14" t="str">
        <f>IFERROR(__xludf.DUMMYFUNCTION("""COMPUTED_VALUE"""),"РЕН-26")</f>
        <v>РЕН-26</v>
      </c>
      <c r="C1057" s="14" t="str">
        <f>IFERROR(__xludf.DUMMYFUNCTION("""COMPUTED_VALUE"""),"ОКС")</f>
        <v>ОКС</v>
      </c>
      <c r="D1057" s="6"/>
      <c r="E1057" s="14" t="str">
        <f>IFERROR(__xludf.DUMMYFUNCTION("""COMPUTED_VALUE"""),"Жилой дом с инженерными сетями и благоустройством территории (со сносом жилого здания по адресу: ул. Армавирская, 27/23) по адресу: вн. тер. г. Люблино, ул. Армавирская, земельный участок 27/23 (зона 1.2) ул. Армавирская, 27/23")</f>
        <v>Жилой дом с инженерными сетями и благоустройством территории (со сносом жилого здания по адресу: ул. Армавирская, 27/23) по адресу: вн. тер. г. Люблино, ул. Армавирская, земельный участок 27/23 (зона 1.2) ул. Армавирская, 27/23</v>
      </c>
      <c r="F1057" s="25" t="str">
        <f>IFERROR(__xludf.DUMMYFUNCTION("""COMPUTED_VALUE"""),"55.671793")</f>
        <v>55.671793</v>
      </c>
      <c r="G1057" s="6" t="str">
        <f>IFERROR(__xludf.DUMMYFUNCTION("""COMPUTED_VALUE"""),"37.752796")</f>
        <v>37.752796</v>
      </c>
      <c r="H1057" s="18" t="str">
        <f>IFERROR(__xludf.DUMMYFUNCTION("""COMPUTED_VALUE"""),"https://docs.google.com/spreadsheets/d/1rbCD10ySi4YZEkJW2_Slmn9z7AI1WEsGsZaIJmnnT18/edit?gid=1472341941#gid=1472341941")</f>
        <v>https://docs.google.com/spreadsheets/d/1rbCD10ySi4YZEkJW2_Slmn9z7AI1WEsGsZaIJmnnT18/edit?gid=1472341941#gid=1472341941</v>
      </c>
      <c r="I1057" s="19" t="str">
        <f>IFERROR(__xludf.DUMMYFUNCTION("""COMPUTED_VALUE"""),"https://disk.yandex.ru/client/disk/Осмотры%20объектов%20АНО%20СМГ/834.%20Жилой%20дом%20ул.Армавирская%2027.23")</f>
        <v>https://disk.yandex.ru/client/disk/Осмотры%20объектов%20АНО%20СМГ/834.%20Жилой%20дом%20ул.Армавирская%2027.23</v>
      </c>
      <c r="J1057" s="50">
        <f>IFERROR(__xludf.DUMMYFUNCTION("""COMPUTED_VALUE"""),0.0)</f>
        <v>0</v>
      </c>
      <c r="K1057" s="58">
        <f>IFERROR(__xludf.DUMMYFUNCTION("""COMPUTED_VALUE"""),45947.0)</f>
        <v>45947</v>
      </c>
      <c r="L1057" s="6">
        <v>30.0</v>
      </c>
      <c r="M1057" s="52">
        <v>45977.0</v>
      </c>
      <c r="N1057" s="53" t="s">
        <v>701</v>
      </c>
      <c r="O1057" s="19" t="s">
        <v>914</v>
      </c>
      <c r="P1057" s="6"/>
      <c r="Q1057" s="6"/>
      <c r="R1057" s="6"/>
    </row>
    <row r="1058">
      <c r="A1058" s="31" t="str">
        <f>IFERROR(__xludf.DUMMYFUNCTION("""COMPUTED_VALUE"""),"856")</f>
        <v>856</v>
      </c>
      <c r="B1058" s="14" t="str">
        <f>IFERROR(__xludf.DUMMYFUNCTION("""COMPUTED_VALUE"""),"РЕН-26")</f>
        <v>РЕН-26</v>
      </c>
      <c r="C1058" s="14" t="str">
        <f>IFERROR(__xludf.DUMMYFUNCTION("""COMPUTED_VALUE"""),"ОКС")</f>
        <v>ОКС</v>
      </c>
      <c r="D1058" s="6"/>
      <c r="E1058" s="14" t="str">
        <f>IFERROR(__xludf.DUMMYFUNCTION("""COMPUTED_VALUE"""),"Жилой дом с подземной автостоянкой, инженерными сетями и благоустройством территории по адресу: район Зюзино, квартал 35, Зона 4.1 ЮЗАО	квартал 35, Зона 4.1 (Зюзино)")</f>
        <v>Жилой дом с подземной автостоянкой, инженерными сетями и благоустройством территории по адресу: район Зюзино, квартал 35, Зона 4.1 ЮЗАО	квартал 35, Зона 4.1 (Зюзино)</v>
      </c>
      <c r="F1058" s="25" t="str">
        <f>IFERROR(__xludf.DUMMYFUNCTION("""COMPUTED_VALUE"""),"55.646673")</f>
        <v>55.646673</v>
      </c>
      <c r="G1058" s="6" t="str">
        <f>IFERROR(__xludf.DUMMYFUNCTION("""COMPUTED_VALUE"""),"37.592962")</f>
        <v>37.592962</v>
      </c>
      <c r="H1058" s="18" t="str">
        <f>IFERROR(__xludf.DUMMYFUNCTION("""COMPUTED_VALUE"""),"https://docs.google.com/spreadsheets/d/1rbCD10ySi4YZEkJW2_Slmn9z7AI1WEsGsZaIJmnnT18/edit?gid=131438467#gid=131438467")</f>
        <v>https://docs.google.com/spreadsheets/d/1rbCD10ySi4YZEkJW2_Slmn9z7AI1WEsGsZaIJmnnT18/edit?gid=131438467#gid=131438467</v>
      </c>
      <c r="I1058"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58" s="50">
        <f>IFERROR(__xludf.DUMMYFUNCTION("""COMPUTED_VALUE"""),0.0)</f>
        <v>0</v>
      </c>
      <c r="K1058" s="58">
        <f>IFERROR(__xludf.DUMMYFUNCTION("""COMPUTED_VALUE"""),45962.0)</f>
        <v>45962</v>
      </c>
      <c r="L1058" s="6">
        <v>30.0</v>
      </c>
      <c r="M1058" s="52">
        <v>45992.0</v>
      </c>
      <c r="N1058" s="53" t="s">
        <v>692</v>
      </c>
      <c r="O1058" s="19" t="s">
        <v>1224</v>
      </c>
      <c r="P1058" s="6"/>
      <c r="Q1058" s="6"/>
      <c r="R1058" s="6"/>
    </row>
    <row r="1059">
      <c r="A1059" s="31" t="str">
        <f>IFERROR(__xludf.DUMMYFUNCTION("""COMPUTED_VALUE"""),"856")</f>
        <v>856</v>
      </c>
      <c r="B1059" s="14" t="str">
        <f>IFERROR(__xludf.DUMMYFUNCTION("""COMPUTED_VALUE"""),"РЕН-26")</f>
        <v>РЕН-26</v>
      </c>
      <c r="C1059" s="14" t="str">
        <f>IFERROR(__xludf.DUMMYFUNCTION("""COMPUTED_VALUE"""),"ОКС")</f>
        <v>ОКС</v>
      </c>
      <c r="D1059" s="6"/>
      <c r="E1059"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4.2 ЮЗАО        квартал 35, Зона 4.2 (Зюзино)")</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4.2 ЮЗАО        квартал 35, Зона 4.2 (Зюзино)</v>
      </c>
      <c r="F1059" s="25" t="str">
        <f>IFERROR(__xludf.DUMMYFUNCTION("""COMPUTED_VALUE"""),"55.646673")</f>
        <v>55.646673</v>
      </c>
      <c r="G1059" s="6" t="str">
        <f>IFERROR(__xludf.DUMMYFUNCTION("""COMPUTED_VALUE"""),"37.592962")</f>
        <v>37.592962</v>
      </c>
      <c r="H1059" s="18" t="str">
        <f>IFERROR(__xludf.DUMMYFUNCTION("""COMPUTED_VALUE"""),"https://docs.google.com/spreadsheets/d/1rbCD10ySi4YZEkJW2_Slmn9z7AI1WEsGsZaIJmnnT18/edit?gid=131438467#gid=131438467")</f>
        <v>https://docs.google.com/spreadsheets/d/1rbCD10ySi4YZEkJW2_Slmn9z7AI1WEsGsZaIJmnnT18/edit?gid=131438467#gid=131438467</v>
      </c>
      <c r="I1059"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59" s="50">
        <f>IFERROR(__xludf.DUMMYFUNCTION("""COMPUTED_VALUE"""),0.0)</f>
        <v>0</v>
      </c>
      <c r="K1059" s="58">
        <f>IFERROR(__xludf.DUMMYFUNCTION("""COMPUTED_VALUE"""),45962.0)</f>
        <v>45962</v>
      </c>
      <c r="L1059" s="6">
        <v>30.0</v>
      </c>
      <c r="M1059" s="52">
        <v>45992.0</v>
      </c>
      <c r="N1059" s="53" t="s">
        <v>692</v>
      </c>
      <c r="O1059" s="19" t="s">
        <v>1225</v>
      </c>
      <c r="P1059" s="6"/>
      <c r="Q1059" s="6"/>
      <c r="R1059" s="6"/>
    </row>
    <row r="1060">
      <c r="A1060" s="31" t="str">
        <f>IFERROR(__xludf.DUMMYFUNCTION("""COMPUTED_VALUE"""),"856")</f>
        <v>856</v>
      </c>
      <c r="B1060" s="14" t="str">
        <f>IFERROR(__xludf.DUMMYFUNCTION("""COMPUTED_VALUE"""),"РЕН-26")</f>
        <v>РЕН-26</v>
      </c>
      <c r="C1060" s="14" t="str">
        <f>IFERROR(__xludf.DUMMYFUNCTION("""COMPUTED_VALUE"""),"ОКС")</f>
        <v>ОКС</v>
      </c>
      <c r="D1060" s="6"/>
      <c r="E106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4.3 ЮЗАО        квартал 35, Зона 4.3 (Зюзино)")</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4.3 ЮЗАО        квартал 35, Зона 4.3 (Зюзино)</v>
      </c>
      <c r="F1060" s="25" t="str">
        <f>IFERROR(__xludf.DUMMYFUNCTION("""COMPUTED_VALUE"""),"55.646673")</f>
        <v>55.646673</v>
      </c>
      <c r="G1060" s="6" t="str">
        <f>IFERROR(__xludf.DUMMYFUNCTION("""COMPUTED_VALUE"""),"37.592962")</f>
        <v>37.592962</v>
      </c>
      <c r="H1060" s="18" t="str">
        <f>IFERROR(__xludf.DUMMYFUNCTION("""COMPUTED_VALUE"""),"https://docs.google.com/spreadsheets/d/1rbCD10ySi4YZEkJW2_Slmn9z7AI1WEsGsZaIJmnnT18/edit?gid=131438467#gid=131438467")</f>
        <v>https://docs.google.com/spreadsheets/d/1rbCD10ySi4YZEkJW2_Slmn9z7AI1WEsGsZaIJmnnT18/edit?gid=131438467#gid=131438467</v>
      </c>
      <c r="I1060"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60" s="50">
        <f>IFERROR(__xludf.DUMMYFUNCTION("""COMPUTED_VALUE"""),0.0)</f>
        <v>0</v>
      </c>
      <c r="K1060" s="58">
        <f>IFERROR(__xludf.DUMMYFUNCTION("""COMPUTED_VALUE"""),45962.0)</f>
        <v>45962</v>
      </c>
      <c r="L1060" s="6">
        <v>30.0</v>
      </c>
      <c r="M1060" s="52">
        <v>45992.0</v>
      </c>
      <c r="N1060" s="53" t="s">
        <v>692</v>
      </c>
      <c r="O1060" s="19" t="s">
        <v>1226</v>
      </c>
      <c r="P1060" s="6"/>
      <c r="Q1060" s="6"/>
      <c r="R1060" s="6"/>
    </row>
    <row r="1061">
      <c r="A1061" s="31" t="str">
        <f>IFERROR(__xludf.DUMMYFUNCTION("""COMPUTED_VALUE"""),"869")</f>
        <v>869</v>
      </c>
      <c r="B1061" s="14" t="str">
        <f>IFERROR(__xludf.DUMMYFUNCTION("""COMPUTED_VALUE"""),"РЕН-26")</f>
        <v>РЕН-26</v>
      </c>
      <c r="C1061" s="14" t="str">
        <f>IFERROR(__xludf.DUMMYFUNCTION("""COMPUTED_VALUE"""),"ОКС")</f>
        <v>ОКС</v>
      </c>
      <c r="D1061" s="6"/>
      <c r="E1061" s="14" t="str">
        <f>IFERROR(__xludf.DUMMYFUNCTION("""COMPUTED_VALUE"""),"Жилой дом с инженерными сетями и благоустройством территории» (со сносом жилых домов по адресам: ул. Новогиреевская, д.49/28, д. 51, корп.1) по адресу: г. Москва, внутригородское муниципальное образование Новогиреево, улица Новогиреевская, земельный участ"&amp;"ок 49/51 (Новогиреевская ул., вл. 49-51) ВАО        улица Новогиреевская, з/у 49/51 (Новогиреевская ул., вл. 49-51)")</f>
        <v>Жилой дом с инженерными сетями и благоустройством территории» (со сносом жилых домов по адресам: ул. Новогиреевская, д.49/28, д. 51, корп.1) по адресу: г. Москва, внутригородское муниципальное образование Новогиреево, улица Новогиреевская, земельный участок 49/51 (Новогиреевская ул., вл. 49-51) ВАО        улица Новогиреевская, з/у 49/51 (Новогиреевская ул., вл. 49-51)</v>
      </c>
      <c r="F1061" s="25" t="str">
        <f>IFERROR(__xludf.DUMMYFUNCTION("""COMPUTED_VALUE"""),"55.748415")</f>
        <v>55.748415</v>
      </c>
      <c r="G1061" s="6" t="str">
        <f>IFERROR(__xludf.DUMMYFUNCTION("""COMPUTED_VALUE"""),"37.801643")</f>
        <v>37.801643</v>
      </c>
      <c r="H1061" s="18" t="str">
        <f>IFERROR(__xludf.DUMMYFUNCTION("""COMPUTED_VALUE"""),"https://docs.google.com/spreadsheets/d/1rbCD10ySi4YZEkJW2_Slmn9z7AI1WEsGsZaIJmnnT18/edit?gid=1195287561#gid=1195287561")</f>
        <v>https://docs.google.com/spreadsheets/d/1rbCD10ySi4YZEkJW2_Slmn9z7AI1WEsGsZaIJmnnT18/edit?gid=1195287561#gid=1195287561</v>
      </c>
      <c r="I1061" s="19" t="str">
        <f>IFERROR(__xludf.DUMMYFUNCTION("""COMPUTED_VALUE"""),"https://disk.yandex.ru/client/disk/Осмотры%20объектов%20АНО%20СМГ/869%20Новогиреевская%20ул.%20уч.%2049-51")</f>
        <v>https://disk.yandex.ru/client/disk/Осмотры%20объектов%20АНО%20СМГ/869%20Новогиреевская%20ул.%20уч.%2049-51</v>
      </c>
      <c r="J1061" s="50">
        <f>IFERROR(__xludf.DUMMYFUNCTION("""COMPUTED_VALUE"""),0.0)</f>
        <v>0</v>
      </c>
      <c r="K1061" s="58">
        <f>IFERROR(__xludf.DUMMYFUNCTION("""COMPUTED_VALUE"""),45968.0)</f>
        <v>45968</v>
      </c>
      <c r="L1061" s="6">
        <v>30.0</v>
      </c>
      <c r="M1061" s="52">
        <v>45998.0</v>
      </c>
      <c r="N1061" s="53" t="s">
        <v>711</v>
      </c>
      <c r="O1061" s="19" t="s">
        <v>1172</v>
      </c>
      <c r="P1061" s="6"/>
      <c r="Q1061" s="6"/>
      <c r="R1061" s="6"/>
    </row>
    <row r="1062">
      <c r="A1062" s="31" t="str">
        <f>IFERROR(__xludf.DUMMYFUNCTION("""COMPUTED_VALUE"""),"733")</f>
        <v>733</v>
      </c>
      <c r="B1062" s="14" t="str">
        <f>IFERROR(__xludf.DUMMYFUNCTION("""COMPUTED_VALUE"""),"РЕН-26")</f>
        <v>РЕН-26</v>
      </c>
      <c r="C1062" s="14" t="str">
        <f>IFERROR(__xludf.DUMMYFUNCTION("""COMPUTED_VALUE"""),"ОКС")</f>
        <v>ОКС</v>
      </c>
      <c r="D1062" s="6"/>
      <c r="E1062" s="14" t="str">
        <f>IFERROR(__xludf.DUMMYFUNCTION("""COMPUTED_VALUE"""),"Жилой дом с инженерными сетями и благоустройством территории (со сносом здания по адресу: г. Москва, район Красносельский, ул. Гаврикова, д. 3/1) по адресу: г. Москва, район Красносельский, ул. Гаврикова, земельный участок 3
 Москва, ул. Гаврикова, зу 3")</f>
        <v>Жилой дом с инженерными сетями и благоустройством территории (со сносом здания по адресу: г. Москва, район Красносельский, ул. Гаврикова, д. 3/1) по адресу: г. Москва, район Красносельский, ул. Гаврикова, земельный участок 3
 Москва, ул. Гаврикова, зу 3</v>
      </c>
      <c r="F1062" s="25" t="str">
        <f>IFERROR(__xludf.DUMMYFUNCTION("""COMPUTED_VALUE"""),"55.780816")</f>
        <v>55.780816</v>
      </c>
      <c r="G1062" s="6" t="str">
        <f>IFERROR(__xludf.DUMMYFUNCTION("""COMPUTED_VALUE"""),"37.672001")</f>
        <v>37.672001</v>
      </c>
      <c r="H1062" s="18" t="str">
        <f>IFERROR(__xludf.DUMMYFUNCTION("""COMPUTED_VALUE"""),"https://docs.google.com/spreadsheets/d/1rbCD10ySi4YZEkJW2_Slmn9z7AI1WEsGsZaIJmnnT18/edit?gid=584190358#gid=584190358")</f>
        <v>https://docs.google.com/spreadsheets/d/1rbCD10ySi4YZEkJW2_Slmn9z7AI1WEsGsZaIJmnnT18/edit?gid=584190358#gid=584190358</v>
      </c>
      <c r="I1062" s="19" t="str">
        <f>IFERROR(__xludf.DUMMYFUNCTION("""COMPUTED_VALUE"""),"https://disk.yandex.ru/client/disk/Осмотры%20объектов%20АНО%20СМГ/733.%20ул.%20Гаврикова%2C%20ЗУ%203")</f>
        <v>https://disk.yandex.ru/client/disk/Осмотры%20объектов%20АНО%20СМГ/733.%20ул.%20Гаврикова%2C%20ЗУ%203</v>
      </c>
      <c r="J1062" s="50">
        <f>IFERROR(__xludf.DUMMYFUNCTION("""COMPUTED_VALUE"""),0.0)</f>
        <v>0</v>
      </c>
      <c r="K1062" s="58">
        <f>IFERROR(__xludf.DUMMYFUNCTION("""COMPUTED_VALUE"""),45947.0)</f>
        <v>45947</v>
      </c>
      <c r="L1062" s="6">
        <v>30.0</v>
      </c>
      <c r="M1062" s="52">
        <v>45977.0</v>
      </c>
      <c r="N1062" s="53" t="s">
        <v>701</v>
      </c>
      <c r="O1062" s="19" t="s">
        <v>1227</v>
      </c>
      <c r="P1062" s="6"/>
      <c r="Q1062" s="6"/>
      <c r="R1062" s="6"/>
    </row>
    <row r="1063">
      <c r="A1063" s="31" t="str">
        <f>IFERROR(__xludf.DUMMYFUNCTION("""COMPUTED_VALUE"""),"783")</f>
        <v>783</v>
      </c>
      <c r="B1063" s="14" t="str">
        <f>IFERROR(__xludf.DUMMYFUNCTION("""COMPUTED_VALUE"""),"РЕН-26")</f>
        <v>РЕН-26</v>
      </c>
      <c r="C1063" s="14" t="str">
        <f>IFERROR(__xludf.DUMMYFUNCTION("""COMPUTED_VALUE"""),"ОКС")</f>
        <v>ОКС</v>
      </c>
      <c r="D1063" s="6"/>
      <c r="E1063"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Михалковский 3-й переулок, д. 21, ул. Коптевская, д. 28"&amp;"к3) по адресу: г. Москва, внутригородское муниципальное образование Коптево, Коптевская улица, земельный участок 28/3 (САО) Коптево, кв. 16, зона 7.1 ЗУ 28/3")</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Михалковский 3-й переулок, д. 21, ул. Коптевская, д. 28к3) по адресу: г. Москва, внутригородское муниципальное образование Коптево, Коптевская улица, земельный участок 28/3 (САО) Коптево, кв. 16, зона 7.1 ЗУ 28/3</v>
      </c>
      <c r="F1063" s="25" t="str">
        <f>IFERROR(__xludf.DUMMYFUNCTION("""COMPUTED_VALUE"""),"55.836499")</f>
        <v>55.836499</v>
      </c>
      <c r="G1063" s="6" t="str">
        <f>IFERROR(__xludf.DUMMYFUNCTION("""COMPUTED_VALUE"""),"37.523115")</f>
        <v>37.523115</v>
      </c>
      <c r="H1063" s="18" t="str">
        <f>IFERROR(__xludf.DUMMYFUNCTION("""COMPUTED_VALUE"""),"https://docs.google.com/spreadsheets/d/1rbCD10ySi4YZEkJW2_Slmn9z7AI1WEsGsZaIJmnnT18/edit?gid=1549482775#gid=1549482775")</f>
        <v>https://docs.google.com/spreadsheets/d/1rbCD10ySi4YZEkJW2_Slmn9z7AI1WEsGsZaIJmnnT18/edit?gid=1549482775#gid=1549482775</v>
      </c>
      <c r="I1063" s="19" t="str">
        <f>IFERROR(__xludf.DUMMYFUNCTION("""COMPUTED_VALUE"""),"https://disk.yandex.ru/client/disk/Осмотры%20объектов%20АНО%20СМГ/783.%20Коптево%2C%20кв.%2016%2C%20зона%207.1")</f>
        <v>https://disk.yandex.ru/client/disk/Осмотры%20объектов%20АНО%20СМГ/783.%20Коптево%2C%20кв.%2016%2C%20зона%207.1</v>
      </c>
      <c r="J1063" s="50">
        <f>IFERROR(__xludf.DUMMYFUNCTION("""COMPUTED_VALUE"""),0.0)</f>
        <v>0</v>
      </c>
      <c r="K1063" s="58">
        <f>IFERROR(__xludf.DUMMYFUNCTION("""COMPUTED_VALUE"""),45962.0)</f>
        <v>45962</v>
      </c>
      <c r="L1063" s="6">
        <v>30.0</v>
      </c>
      <c r="M1063" s="52">
        <v>45992.0</v>
      </c>
      <c r="N1063" s="53" t="s">
        <v>692</v>
      </c>
      <c r="O1063" s="19" t="s">
        <v>914</v>
      </c>
      <c r="P1063" s="6"/>
      <c r="Q1063" s="6"/>
      <c r="R1063" s="6"/>
    </row>
    <row r="1064">
      <c r="A1064" s="31" t="str">
        <f>IFERROR(__xludf.DUMMYFUNCTION("""COMPUTED_VALUE"""),"791")</f>
        <v>791</v>
      </c>
      <c r="B1064" s="14" t="str">
        <f>IFERROR(__xludf.DUMMYFUNCTION("""COMPUTED_VALUE"""),"РЕН-26")</f>
        <v>РЕН-26</v>
      </c>
      <c r="C1064" s="14" t="str">
        <f>IFERROR(__xludf.DUMMYFUNCTION("""COMPUTED_VALUE"""),"ОКС")</f>
        <v>ОКС</v>
      </c>
      <c r="D1064" s="6"/>
      <c r="E1064" s="14" t="str">
        <f>IFERROR(__xludf.DUMMYFUNCTION("""COMPUTED_VALUE"""),"Коровинское шоссе, земельный участок 8 (Зона 14.3) (Приобретение объектов недвижимости) САО	Коровинское шоссе, земельный участок 8 (Зона 14.3) (Приобретение объектов недвижимости)")</f>
        <v>Коровинское шоссе, земельный участок 8 (Зона 14.3) (Приобретение объектов недвижимости) САО	Коровинское шоссе, земельный участок 8 (Зона 14.3) (Приобретение объектов недвижимости)</v>
      </c>
      <c r="F1064" s="25" t="str">
        <f>IFERROR(__xludf.DUMMYFUNCTION("""COMPUTED_VALUE"""),"55.870746")</f>
        <v>55.870746</v>
      </c>
      <c r="G1064" s="6" t="str">
        <f>IFERROR(__xludf.DUMMYFUNCTION("""COMPUTED_VALUE"""),"37.538821")</f>
        <v>37.538821</v>
      </c>
      <c r="H1064" s="18" t="str">
        <f>IFERROR(__xludf.DUMMYFUNCTION("""COMPUTED_VALUE"""),"https://docs.google.com/spreadsheets/d/1rbCD10ySi4YZEkJW2_Slmn9z7AI1WEsGsZaIJmnnT18/edit?gid=911478854#gid=911478854")</f>
        <v>https://docs.google.com/spreadsheets/d/1rbCD10ySi4YZEkJW2_Slmn9z7AI1WEsGsZaIJmnnT18/edit?gid=911478854#gid=911478854</v>
      </c>
      <c r="I1064" s="19" t="str">
        <f>IFERROR(__xludf.DUMMYFUNCTION("""COMPUTED_VALUE"""),"https://disk.yandex.ru/client/disk/Осмотры%20объектов%20АНО%20СМГ/791.%20Коровинское%20шоссе%20зу%208")</f>
        <v>https://disk.yandex.ru/client/disk/Осмотры%20объектов%20АНО%20СМГ/791.%20Коровинское%20шоссе%20зу%208</v>
      </c>
      <c r="J1064" s="50">
        <f>IFERROR(__xludf.DUMMYFUNCTION("""COMPUTED_VALUE"""),0.0)</f>
        <v>0</v>
      </c>
      <c r="K1064" s="58">
        <f>IFERROR(__xludf.DUMMYFUNCTION("""COMPUTED_VALUE"""),45962.0)</f>
        <v>45962</v>
      </c>
      <c r="L1064" s="6">
        <v>30.0</v>
      </c>
      <c r="M1064" s="52">
        <v>45992.0</v>
      </c>
      <c r="N1064" s="53" t="s">
        <v>692</v>
      </c>
      <c r="O1064" s="19" t="s">
        <v>1228</v>
      </c>
      <c r="P1064" s="6"/>
      <c r="Q1064" s="6"/>
      <c r="R1064" s="6"/>
    </row>
    <row r="1065">
      <c r="A1065" s="31" t="str">
        <f>IFERROR(__xludf.DUMMYFUNCTION("""COMPUTED_VALUE"""),"800")</f>
        <v>800</v>
      </c>
      <c r="B1065" s="14" t="str">
        <f>IFERROR(__xludf.DUMMYFUNCTION("""COMPUTED_VALUE"""),"РЕН-26")</f>
        <v>РЕН-26</v>
      </c>
      <c r="C1065" s="14" t="str">
        <f>IFERROR(__xludf.DUMMYFUNCTION("""COMPUTED_VALUE"""),"ОКС")</f>
        <v>ОКС</v>
      </c>
      <c r="D1065" s="6"/>
      <c r="E1065" s="14" t="str">
        <f>IFERROR(__xludf.DUMMYFUNCTION("""COMPUTED_VALUE"""),"Жилой дом с подземной автостоянкой, инженерными сетями и благоустройством территории (со сносом жилого здания по адресу: ул. Яблочкова, д. 24, к.1) по адресу: район Бутырский, микрорайон 78, к.4 зона № 3.1 ул. Яблочкова, з/у 22 (участки 3.1, 3.2)")</f>
        <v>Жилой дом с подземной автостоянкой, инженерными сетями и благоустройством территории (со сносом жилого здания по адресу: ул. Яблочкова, д. 24, к.1) по адресу: район Бутырский, микрорайон 78, к.4 зона № 3.1 ул. Яблочкова, з/у 22 (участки 3.1, 3.2)</v>
      </c>
      <c r="F1065" s="25" t="str">
        <f>IFERROR(__xludf.DUMMYFUNCTION("""COMPUTED_VALUE"""),"55.823080")</f>
        <v>55.823080</v>
      </c>
      <c r="G1065" s="6" t="str">
        <f>IFERROR(__xludf.DUMMYFUNCTION("""COMPUTED_VALUE"""),"37.580472")</f>
        <v>37.580472</v>
      </c>
      <c r="H1065" s="18" t="str">
        <f>IFERROR(__xludf.DUMMYFUNCTION("""COMPUTED_VALUE"""),"https://docs.google.com/spreadsheets/d/1rbCD10ySi4YZEkJW2_Slmn9z7AI1WEsGsZaIJmnnT18/edit?gid=1807719464#gid=1807719464")</f>
        <v>https://docs.google.com/spreadsheets/d/1rbCD10ySi4YZEkJW2_Slmn9z7AI1WEsGsZaIJmnnT18/edit?gid=1807719464#gid=1807719464</v>
      </c>
      <c r="I1065" s="19" t="str">
        <f>IFERROR(__xludf.DUMMYFUNCTION("""COMPUTED_VALUE"""),"https://disk.yandex.ru/client/disk/Осмотры%20объектов%20АНО%20СМГ/800.%20ул.%20Яблочкова%2C%20з.у.%2022%20(%20участки%203.1%2C%203.2)")</f>
        <v>https://disk.yandex.ru/client/disk/Осмотры%20объектов%20АНО%20СМГ/800.%20ул.%20Яблочкова%2C%20з.у.%2022%20(%20участки%203.1%2C%203.2)</v>
      </c>
      <c r="J1065" s="50">
        <f>IFERROR(__xludf.DUMMYFUNCTION("""COMPUTED_VALUE"""),0.0)</f>
        <v>0</v>
      </c>
      <c r="K1065" s="58">
        <f>IFERROR(__xludf.DUMMYFUNCTION("""COMPUTED_VALUE"""),45961.0)</f>
        <v>45961</v>
      </c>
      <c r="L1065" s="6">
        <v>30.0</v>
      </c>
      <c r="M1065" s="52">
        <v>45991.0</v>
      </c>
      <c r="N1065" s="53" t="s">
        <v>692</v>
      </c>
      <c r="O1065" s="19" t="s">
        <v>1229</v>
      </c>
      <c r="P1065" s="6"/>
      <c r="Q1065" s="6"/>
      <c r="R1065" s="6"/>
    </row>
    <row r="1066">
      <c r="A1066" s="31" t="str">
        <f>IFERROR(__xludf.DUMMYFUNCTION("""COMPUTED_VALUE"""),"1159")</f>
        <v>1159</v>
      </c>
      <c r="B1066" s="14" t="str">
        <f>IFERROR(__xludf.DUMMYFUNCTION("""COMPUTED_VALUE"""),"РЕН-26")</f>
        <v>РЕН-26</v>
      </c>
      <c r="C1066" s="14" t="str">
        <f>IFERROR(__xludf.DUMMYFUNCTION("""COMPUTED_VALUE"""),"ОКС")</f>
        <v>ОКС</v>
      </c>
      <c r="D1066" s="6"/>
      <c r="E1066" s="14" t="str">
        <f>IFERROR(__xludf.DUMMYFUNCTION("""COMPUTED_VALUE"""),"Жилой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Яблочк"&amp;"ова ул, з/у 26А/1 (зона 2.1) СВАО, ул. Яблочкова 26к1, 26к2")</f>
        <v>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Яблочкова ул, з/у 26А/1 (зона 2.1) СВАО, ул. Яблочкова 26к1, 26к2</v>
      </c>
      <c r="F1066" s="25" t="str">
        <f>IFERROR(__xludf.DUMMYFUNCTION("""COMPUTED_VALUE"""),"55.823864")</f>
        <v>55.823864</v>
      </c>
      <c r="G1066" s="6" t="str">
        <f>IFERROR(__xludf.DUMMYFUNCTION("""COMPUTED_VALUE"""),"37.580400")</f>
        <v>37.580400</v>
      </c>
      <c r="H1066" s="18" t="str">
        <f>IFERROR(__xludf.DUMMYFUNCTION("""COMPUTED_VALUE"""),"https://docs.google.com/spreadsheets/d/1rbCD10ySi4YZEkJW2_Slmn9z7AI1WEsGsZaIJmnnT18/edit?gid=2079091831#gid=2079091831")</f>
        <v>https://docs.google.com/spreadsheets/d/1rbCD10ySi4YZEkJW2_Slmn9z7AI1WEsGsZaIJmnnT18/edit?gid=2079091831#gid=2079091831</v>
      </c>
      <c r="I1066" s="19" t="str">
        <f>IFERROR(__xludf.DUMMYFUNCTION("""COMPUTED_VALUE"""),"https://disk.yandex.ru/client/disk/Осмотры%20объектов%20АНО%20СМГ/1159.%20Яблочкова%20ул.%2C%2026к1%2C%2026к2")</f>
        <v>https://disk.yandex.ru/client/disk/Осмотры%20объектов%20АНО%20СМГ/1159.%20Яблочкова%20ул.%2C%2026к1%2C%2026к2</v>
      </c>
      <c r="J1066" s="50">
        <f>IFERROR(__xludf.DUMMYFUNCTION("""COMPUTED_VALUE"""),0.0)</f>
        <v>0</v>
      </c>
      <c r="K1066" s="58">
        <f>IFERROR(__xludf.DUMMYFUNCTION("""COMPUTED_VALUE"""),45973.0)</f>
        <v>45973</v>
      </c>
      <c r="L1066" s="6">
        <v>30.0</v>
      </c>
      <c r="M1066" s="52">
        <v>46003.0</v>
      </c>
      <c r="N1066" s="53" t="s">
        <v>711</v>
      </c>
      <c r="O1066" s="19" t="s">
        <v>1230</v>
      </c>
      <c r="P1066" s="6"/>
      <c r="Q1066" s="6"/>
      <c r="R1066" s="6"/>
    </row>
    <row r="1067">
      <c r="A1067" s="31" t="str">
        <f>IFERROR(__xludf.DUMMYFUNCTION("""COMPUTED_VALUE"""),"807")</f>
        <v>807</v>
      </c>
      <c r="B1067" s="14" t="str">
        <f>IFERROR(__xludf.DUMMYFUNCTION("""COMPUTED_VALUE"""),"РЕН-26")</f>
        <v>РЕН-26</v>
      </c>
      <c r="C1067" s="14" t="str">
        <f>IFERROR(__xludf.DUMMYFUNCTION("""COMPUTED_VALUE"""),"ОКС")</f>
        <v>ОКС</v>
      </c>
      <c r="D1067" s="6"/>
      <c r="E1067" s="14" t="str">
        <f>IFERROR(__xludf.DUMMYFUNCTION("""COMPUTED_VALUE"""),"Котловка, микрорайонов 67,68 кв-лов 103,104,105,106, номер зоны 5.3 (Жилой дом с инженерными сетями и благоустройством территории (со сносом жилого здания по адресу: ул. Ремизова д. 11 корп. 1) по адресу: г. Москва, внутригородское муниципальное образован"&amp;"ие Котловка, улица Ремизова, земельный участок 11/1 (Зона 5.3) (Юго-Западный административный округ)) Котловка, микрорайонов 67,68 кв-лов 103,104,105,106, номер зоны 5.3")</f>
        <v>Котловка, микрорайонов 67,68 кв-лов 103,104,105,106, номер зоны 5.3 (Жилой дом с инженерными сетями и благоустройством территории (со сносом жилого здания по адресу: ул. Ремизова д. 11 корп. 1) по адресу: г. Москва, внутригородское муниципальное образование Котловка, улица Ремизова, земельный участок 11/1 (Зона 5.3) (Юго-Западный административный округ)) Котловка, микрорайонов 67,68 кв-лов 103,104,105,106, номер зоны 5.3</v>
      </c>
      <c r="F1067" s="25" t="str">
        <f>IFERROR(__xludf.DUMMYFUNCTION("""COMPUTED_VALUE"""),"55.676006")</f>
        <v>55.676006</v>
      </c>
      <c r="G1067" s="6" t="str">
        <f>IFERROR(__xludf.DUMMYFUNCTION("""COMPUTED_VALUE"""),"37.602436")</f>
        <v>37.602436</v>
      </c>
      <c r="H1067" s="18" t="str">
        <f>IFERROR(__xludf.DUMMYFUNCTION("""COMPUTED_VALUE"""),"https://docs.google.com/spreadsheets/d/1rbCD10ySi4YZEkJW2_Slmn9z7AI1WEsGsZaIJmnnT18/edit?gid=553643075#gid=553643075")</f>
        <v>https://docs.google.com/spreadsheets/d/1rbCD10ySi4YZEkJW2_Slmn9z7AI1WEsGsZaIJmnnT18/edit?gid=553643075#gid=553643075</v>
      </c>
      <c r="I1067" s="21" t="str">
        <f>IFERROR(__xludf.DUMMYFUNCTION("""COMPUTED_VALUE"""),"https://disk.yandex.ru/client/disk/%D0%9E%D1%81%D0%BC%D0%BE%D1%82%D1%80%D1%8B%20%D0%BE%D0%B1%D1%8A%D0%B5%D0%BA%D1%82%D0%BE%D0%B2%20%D0%90%D0%9D%D0%9E%20%D0%A1%D0%9C%D0%93/807.%20%D0%9A%D0%BE%D1%82%D0%BB%D0%BE%D0%B2%D0%BA%D0%B0%2C%20%D0%B7%D0%BE%D0%BD%D1%8"&amp;"B%204.1%20%D0%B8%205.3%20(%D0%A0%D0%B5%D0%BC%D0%B8%D0%B7%D0%BE%D0%B2%D0%B0%2011%D0%BA1%20%D0%B8%20%D0%9D%D0%B0%D0%B3%D0%BE%D1%80%D0%BD%D0%B0%D1%8F%20%D1%83%D0%BB.%2019%D0%BA1)")</f>
        <v>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v>
      </c>
      <c r="J1067" s="50">
        <f>IFERROR(__xludf.DUMMYFUNCTION("""COMPUTED_VALUE"""),0.0)</f>
        <v>0</v>
      </c>
      <c r="K1067" s="58">
        <f>IFERROR(__xludf.DUMMYFUNCTION("""COMPUTED_VALUE"""),45954.0)</f>
        <v>45954</v>
      </c>
      <c r="L1067" s="6">
        <v>30.0</v>
      </c>
      <c r="M1067" s="52">
        <v>45984.0</v>
      </c>
      <c r="N1067" s="53" t="s">
        <v>741</v>
      </c>
      <c r="O1067" s="19" t="s">
        <v>1231</v>
      </c>
      <c r="P1067" s="6"/>
      <c r="Q1067" s="6"/>
      <c r="R1067" s="6"/>
    </row>
    <row r="1068">
      <c r="A1068" s="31" t="str">
        <f>IFERROR(__xludf.DUMMYFUNCTION("""COMPUTED_VALUE"""),"807")</f>
        <v>807</v>
      </c>
      <c r="B1068" s="14" t="str">
        <f>IFERROR(__xludf.DUMMYFUNCTION("""COMPUTED_VALUE"""),"РЕН-26")</f>
        <v>РЕН-26</v>
      </c>
      <c r="C1068" s="14" t="str">
        <f>IFERROR(__xludf.DUMMYFUNCTION("""COMPUTED_VALUE"""),"ОКС")</f>
        <v>ОКС</v>
      </c>
      <c r="D1068" s="6"/>
      <c r="E1068" s="14" t="str">
        <f>IFERROR(__xludf.DUMMYFUNCTION("""COMPUTED_VALUE"""),"Котловка, микрорайонов 67,68 кв-лов 103,104,105,106, номер зоны 4.1 (Жилой дом с инженерными сетями и благоустройством территории (со сносом жилого здания по адресу: ул. Нагорная д. 19 корп. 1) по адресу: г. Москва, внутригородское муниципальное образован"&amp;"ие Котловка, улица Нагорная, земельный участок 19/1 (зона 4.1) (Юго-Западный административный округ)) ЮЗАО	Котловка, микрорайоны 67,68 кв-лов 103,104,105,106, номер зоны 4.1")</f>
        <v>Котловка, микрорайонов 67,68 кв-лов 103,104,105,106, номер зоны 4.1 (Жилой дом с инженерными сетями и благоустройством территории (со сносом жилого здания по адресу: ул. Нагорная д. 19 корп. 1) по адресу: г. Москва, внутригородское муниципальное образование Котловка, улица Нагорная, земельный участок 19/1 (зона 4.1) (Юго-Западный административный округ)) ЮЗАО	Котловка, микрорайоны 67,68 кв-лов 103,104,105,106, номер зоны 4.1</v>
      </c>
      <c r="F1068" s="25" t="str">
        <f>IFERROR(__xludf.DUMMYFUNCTION("""COMPUTED_VALUE"""),"55.676006")</f>
        <v>55.676006</v>
      </c>
      <c r="G1068" s="6" t="str">
        <f>IFERROR(__xludf.DUMMYFUNCTION("""COMPUTED_VALUE"""),"37.602436")</f>
        <v>37.602436</v>
      </c>
      <c r="H1068" s="18" t="str">
        <f>IFERROR(__xludf.DUMMYFUNCTION("""COMPUTED_VALUE"""),"https://docs.google.com/spreadsheets/d/1rbCD10ySi4YZEkJW2_Slmn9z7AI1WEsGsZaIJmnnT18/edit?gid=553643075#gid=553643075")</f>
        <v>https://docs.google.com/spreadsheets/d/1rbCD10ySi4YZEkJW2_Slmn9z7AI1WEsGsZaIJmnnT18/edit?gid=553643075#gid=553643075</v>
      </c>
      <c r="I1068" s="21" t="str">
        <f>IFERROR(__xludf.DUMMYFUNCTION("""COMPUTED_VALUE"""),"https://disk.yandex.ru/client/disk/%D0%9E%D1%81%D0%BC%D0%BE%D1%82%D1%80%D1%8B%20%D0%BE%D0%B1%D1%8A%D0%B5%D0%BA%D1%82%D0%BE%D0%B2%20%D0%90%D0%9D%D0%9E%20%D0%A1%D0%9C%D0%93/807.%20%D0%9A%D0%BE%D1%82%D0%BB%D0%BE%D0%B2%D0%BA%D0%B0%2C%20%D0%B7%D0%BE%D0%BD%D1%8"&amp;"B%204.1%20%D0%B8%205.3%20(%D0%A0%D0%B5%D0%BC%D0%B8%D0%B7%D0%BE%D0%B2%D0%B0%2011%D0%BA1%20%D0%B8%20%D0%9D%D0%B0%D0%B3%D0%BE%D1%80%D0%BD%D0%B0%D1%8F%20%D1%83%D0%BB.%2019%D0%BA1)")</f>
        <v>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v>
      </c>
      <c r="J1068" s="50">
        <f>IFERROR(__xludf.DUMMYFUNCTION("""COMPUTED_VALUE"""),0.0)</f>
        <v>0</v>
      </c>
      <c r="K1068" s="58">
        <f>IFERROR(__xludf.DUMMYFUNCTION("""COMPUTED_VALUE"""),45954.0)</f>
        <v>45954</v>
      </c>
      <c r="L1068" s="6">
        <v>30.0</v>
      </c>
      <c r="M1068" s="52">
        <v>45984.0</v>
      </c>
      <c r="N1068" s="53" t="s">
        <v>741</v>
      </c>
      <c r="O1068" s="19" t="s">
        <v>1231</v>
      </c>
      <c r="P1068" s="6"/>
      <c r="Q1068" s="6"/>
      <c r="R1068" s="6"/>
    </row>
    <row r="1069">
      <c r="A1069" s="31" t="str">
        <f>IFERROR(__xludf.DUMMYFUNCTION("""COMPUTED_VALUE"""),"911")</f>
        <v>911</v>
      </c>
      <c r="B1069" s="14" t="str">
        <f>IFERROR(__xludf.DUMMYFUNCTION("""COMPUTED_VALUE"""),"РЕН-26")</f>
        <v>РЕН-26</v>
      </c>
      <c r="C1069" s="14" t="str">
        <f>IFERROR(__xludf.DUMMYFUNCTION("""COMPUTED_VALUE"""),"ОКС")</f>
        <v>ОКС</v>
      </c>
      <c r="D1069" s="6"/>
      <c r="E1069" s="14" t="str">
        <f>IFERROR(__xludf.DUMMYFUNCTION("""COMPUTED_VALUE"""),"Жилой дом с инженерными сетями и благоустройством территории по адресу: г. Москва, САО, район Головинский, улица Онежская, земельный участок 6 (Онежская ул., вл. 6) ул. Онежская, з/у 6 (Онежская ул., вл. 6)")</f>
        <v>Жилой дом с инженерными сетями и благоустройством территории по адресу: г. Москва, САО, район Головинский, улица Онежская, земельный участок 6 (Онежская ул., вл. 6) ул. Онежская, з/у 6 (Онежская ул., вл. 6)</v>
      </c>
      <c r="F1069" s="25" t="str">
        <f>IFERROR(__xludf.DUMMYFUNCTION("""COMPUTED_VALUE"""),"55.844470")</f>
        <v>55.844470</v>
      </c>
      <c r="G1069" s="6" t="str">
        <f>IFERROR(__xludf.DUMMYFUNCTION("""COMPUTED_VALUE"""),"37.522418")</f>
        <v>37.522418</v>
      </c>
      <c r="H1069" s="18" t="str">
        <f>IFERROR(__xludf.DUMMYFUNCTION("""COMPUTED_VALUE"""),"https://docs.google.com/spreadsheets/d/1rbCD10ySi4YZEkJW2_Slmn9z7AI1WEsGsZaIJmnnT18/edit?gid=382946439#gid=382946439")</f>
        <v>https://docs.google.com/spreadsheets/d/1rbCD10ySi4YZEkJW2_Slmn9z7AI1WEsGsZaIJmnnT18/edit?gid=382946439#gid=382946439</v>
      </c>
      <c r="I1069" s="19" t="str">
        <f>IFERROR(__xludf.DUMMYFUNCTION("""COMPUTED_VALUE"""),"https://disk.yandex.ru/client/disk/Осмотры%20объектов%20АНО%20СМГ/911.%20Онежская%20зу%206")</f>
        <v>https://disk.yandex.ru/client/disk/Осмотры%20объектов%20АНО%20СМГ/911.%20Онежская%20зу%206</v>
      </c>
      <c r="J1069" s="50">
        <f>IFERROR(__xludf.DUMMYFUNCTION("""COMPUTED_VALUE"""),0.0)</f>
        <v>0</v>
      </c>
      <c r="K1069" s="58">
        <f>IFERROR(__xludf.DUMMYFUNCTION("""COMPUTED_VALUE"""),45962.0)</f>
        <v>45962</v>
      </c>
      <c r="L1069" s="6">
        <v>30.0</v>
      </c>
      <c r="M1069" s="52">
        <v>45992.0</v>
      </c>
      <c r="N1069" s="53" t="s">
        <v>692</v>
      </c>
      <c r="O1069" s="19" t="s">
        <v>1232</v>
      </c>
      <c r="P1069" s="6"/>
      <c r="Q1069" s="6"/>
      <c r="R1069" s="6"/>
    </row>
    <row r="1070">
      <c r="A1070" s="31" t="str">
        <f>IFERROR(__xludf.DUMMYFUNCTION("""COMPUTED_VALUE"""),"909")</f>
        <v>909</v>
      </c>
      <c r="B1070" s="14" t="str">
        <f>IFERROR(__xludf.DUMMYFUNCTION("""COMPUTED_VALUE"""),"РЕН-26")</f>
        <v>РЕН-26</v>
      </c>
      <c r="C1070" s="14" t="str">
        <f>IFERROR(__xludf.DUMMYFUNCTION("""COMPUTED_VALUE"""),"ОКС")</f>
        <v>ОКС</v>
      </c>
      <c r="D1070" s="6"/>
      <c r="E1070" s="14" t="str">
        <f>IFERROR(__xludf.DUMMYFUNCTION("""COMPUTED_VALUE"""),"Жилой дом с инженерными сетями и благоустройством территории по адресу: г. Москва, САО, район Коптево, ул. Коптевская, влд. 36 (Северный административный округ) ул. Коптевская, влд. 36")</f>
        <v>Жилой дом с инженерными сетями и благоустройством территории по адресу: г. Москва, САО, район Коптево, ул. Коптевская, влд. 36 (Северный административный округ) ул. Коптевская, влд. 36</v>
      </c>
      <c r="F1070" s="25" t="str">
        <f>IFERROR(__xludf.DUMMYFUNCTION("""COMPUTED_VALUE"""),"55.839347")</f>
        <v>55.839347</v>
      </c>
      <c r="G1070" s="6" t="str">
        <f>IFERROR(__xludf.DUMMYFUNCTION("""COMPUTED_VALUE"""),"37.524014")</f>
        <v>37.524014</v>
      </c>
      <c r="H1070" s="18" t="str">
        <f>IFERROR(__xludf.DUMMYFUNCTION("""COMPUTED_VALUE"""),"https://docs.google.com/spreadsheets/d/1rbCD10ySi4YZEkJW2_Slmn9z7AI1WEsGsZaIJmnnT18/edit?gid=1182179184#gid=1182179184")</f>
        <v>https://docs.google.com/spreadsheets/d/1rbCD10ySi4YZEkJW2_Slmn9z7AI1WEsGsZaIJmnnT18/edit?gid=1182179184#gid=1182179184</v>
      </c>
      <c r="I1070" s="19" t="str">
        <f>IFERROR(__xludf.DUMMYFUNCTION("""COMPUTED_VALUE"""),"https://disk.yandex.ru/client/disk/Осмотры%20объектов%20АНО%20СМГ/909.%20Коптевская%20влд.%2036")</f>
        <v>https://disk.yandex.ru/client/disk/Осмотры%20объектов%20АНО%20СМГ/909.%20Коптевская%20влд.%2036</v>
      </c>
      <c r="J1070" s="50">
        <f>IFERROR(__xludf.DUMMYFUNCTION("""COMPUTED_VALUE"""),0.0)</f>
        <v>0</v>
      </c>
      <c r="K1070" s="58">
        <f>IFERROR(__xludf.DUMMYFUNCTION("""COMPUTED_VALUE"""),45962.0)</f>
        <v>45962</v>
      </c>
      <c r="L1070" s="6">
        <v>30.0</v>
      </c>
      <c r="M1070" s="52">
        <v>45992.0</v>
      </c>
      <c r="N1070" s="53" t="s">
        <v>692</v>
      </c>
      <c r="O1070" s="19" t="s">
        <v>1233</v>
      </c>
      <c r="P1070" s="6"/>
      <c r="Q1070" s="6"/>
      <c r="R1070" s="6"/>
    </row>
    <row r="1071">
      <c r="A1071" s="31" t="str">
        <f>IFERROR(__xludf.DUMMYFUNCTION("""COMPUTED_VALUE"""),"896")</f>
        <v>896</v>
      </c>
      <c r="B1071" s="14" t="str">
        <f>IFERROR(__xludf.DUMMYFUNCTION("""COMPUTED_VALUE"""),"РЕН-26")</f>
        <v>РЕН-26</v>
      </c>
      <c r="C1071" s="14" t="str">
        <f>IFERROR(__xludf.DUMMYFUNCTION("""COMPUTED_VALUE"""),"ОКС")</f>
        <v>ОКС</v>
      </c>
      <c r="D1071" s="6"/>
      <c r="E1071"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ЮВАО, район Печатники, Шоссейная ул., вл. 90 Шоссейная вл "&amp;"90")</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ЮВАО, район Печатники, Шоссейная ул., вл. 90 Шоссейная вл 90</v>
      </c>
      <c r="F1071" s="25" t="str">
        <f>IFERROR(__xludf.DUMMYFUNCTION("""COMPUTED_VALUE"""),"55.664485")</f>
        <v>55.664485</v>
      </c>
      <c r="G1071" s="6" t="str">
        <f>IFERROR(__xludf.DUMMYFUNCTION("""COMPUTED_VALUE"""),"37.714179")</f>
        <v>37.714179</v>
      </c>
      <c r="H1071" s="18" t="str">
        <f>IFERROR(__xludf.DUMMYFUNCTION("""COMPUTED_VALUE"""),"https://docs.google.com/spreadsheets/d/1rbCD10ySi4YZEkJW2_Slmn9z7AI1WEsGsZaIJmnnT18/edit?gid=691407697#gid=691407697")</f>
        <v>https://docs.google.com/spreadsheets/d/1rbCD10ySi4YZEkJW2_Slmn9z7AI1WEsGsZaIJmnnT18/edit?gid=691407697#gid=691407697</v>
      </c>
      <c r="I1071" s="19" t="str">
        <f>IFERROR(__xludf.DUMMYFUNCTION("""COMPUTED_VALUE"""),"https://disk.yandex.ru/client/disk/Осмотры%20объектов%20АНО%20СМГ/896.%20Шоссейная%20вл.%2090")</f>
        <v>https://disk.yandex.ru/client/disk/Осмотры%20объектов%20АНО%20СМГ/896.%20Шоссейная%20вл.%2090</v>
      </c>
      <c r="J1071" s="50">
        <f>IFERROR(__xludf.DUMMYFUNCTION("""COMPUTED_VALUE"""),0.0)</f>
        <v>0</v>
      </c>
      <c r="K1071" s="58">
        <f>IFERROR(__xludf.DUMMYFUNCTION("""COMPUTED_VALUE"""),45953.0)</f>
        <v>45953</v>
      </c>
      <c r="L1071" s="6">
        <v>30.0</v>
      </c>
      <c r="M1071" s="52">
        <v>45983.0</v>
      </c>
      <c r="N1071" s="53" t="s">
        <v>741</v>
      </c>
      <c r="O1071" s="19" t="s">
        <v>1234</v>
      </c>
      <c r="P1071" s="6"/>
      <c r="Q1071" s="6"/>
      <c r="R1071" s="6"/>
    </row>
    <row r="1072">
      <c r="A1072" s="31" t="str">
        <f>IFERROR(__xludf.DUMMYFUNCTION("""COMPUTED_VALUE"""),"895")</f>
        <v>895</v>
      </c>
      <c r="B1072" s="14" t="str">
        <f>IFERROR(__xludf.DUMMYFUNCTION("""COMPUTED_VALUE"""),"РЕН-26")</f>
        <v>РЕН-26</v>
      </c>
      <c r="C1072" s="14" t="str">
        <f>IFERROR(__xludf.DUMMYFUNCTION("""COMPUTED_VALUE"""),"ОКС")</f>
        <v>ОКС</v>
      </c>
      <c r="D1072" s="6"/>
      <c r="E1072" s="14" t="str">
        <f>IFERROR(__xludf.DUMMYFUNCTION("""COMPUTED_VALUE"""),"Жилой дом с инженерными сетями и благоустройством территории по адресу: вн.тер.г.м.о. Царицыно, улица Ереванская, земельный участок 6/1 ул. Ереванская, з/у 6/1")</f>
        <v>Жилой дом с инженерными сетями и благоустройством территории по адресу: вн.тер.г.м.о. Царицыно, улица Ереванская, земельный участок 6/1 ул. Ереванская, з/у 6/1</v>
      </c>
      <c r="F1072" s="25" t="str">
        <f>IFERROR(__xludf.DUMMYFUNCTION("""COMPUTED_VALUE"""),"55.630564")</f>
        <v>55.630564</v>
      </c>
      <c r="G1072" s="6" t="str">
        <f>IFERROR(__xludf.DUMMYFUNCTION("""COMPUTED_VALUE"""),"37.669934")</f>
        <v>37.669934</v>
      </c>
      <c r="H1072" s="18" t="str">
        <f>IFERROR(__xludf.DUMMYFUNCTION("""COMPUTED_VALUE"""),"https://docs.google.com/spreadsheets/d/1rbCD10ySi4YZEkJW2_Slmn9z7AI1WEsGsZaIJmnnT18/edit?gid=1161001794#gid=1161001794")</f>
        <v>https://docs.google.com/spreadsheets/d/1rbCD10ySi4YZEkJW2_Slmn9z7AI1WEsGsZaIJmnnT18/edit?gid=1161001794#gid=1161001794</v>
      </c>
      <c r="I1072" s="19" t="str">
        <f>IFERROR(__xludf.DUMMYFUNCTION("""COMPUTED_VALUE"""),"https://disk.yandex.ru/client/disk/Осмотры%20объектов%20АНО%20СМГ/895.%20Ереванская%20ул.%2C%20з-у%206-1.%20Жилой%20дом")</f>
        <v>https://disk.yandex.ru/client/disk/Осмотры%20объектов%20АНО%20СМГ/895.%20Ереванская%20ул.%2C%20з-у%206-1.%20Жилой%20дом</v>
      </c>
      <c r="J1072" s="50">
        <f>IFERROR(__xludf.DUMMYFUNCTION("""COMPUTED_VALUE"""),0.0)</f>
        <v>0</v>
      </c>
      <c r="K1072" s="58">
        <f>IFERROR(__xludf.DUMMYFUNCTION("""COMPUTED_VALUE"""),45968.0)</f>
        <v>45968</v>
      </c>
      <c r="L1072" s="6">
        <v>30.0</v>
      </c>
      <c r="M1072" s="52">
        <v>45998.0</v>
      </c>
      <c r="N1072" s="53" t="s">
        <v>711</v>
      </c>
      <c r="O1072" s="19" t="s">
        <v>914</v>
      </c>
      <c r="P1072" s="6"/>
      <c r="Q1072" s="6"/>
      <c r="R1072" s="6"/>
    </row>
    <row r="1073">
      <c r="A1073" s="31" t="str">
        <f>IFERROR(__xludf.DUMMYFUNCTION("""COMPUTED_VALUE"""),"894")</f>
        <v>894</v>
      </c>
      <c r="B1073" s="14" t="str">
        <f>IFERROR(__xludf.DUMMYFUNCTION("""COMPUTED_VALUE"""),"РЕН-26")</f>
        <v>РЕН-26</v>
      </c>
      <c r="C1073" s="14" t="str">
        <f>IFERROR(__xludf.DUMMYFUNCTION("""COMPUTED_VALUE"""),"ОКС")</f>
        <v>ОКС</v>
      </c>
      <c r="D1073" s="6"/>
      <c r="E1073" s="14" t="str">
        <f>IFERROR(__xludf.DUMMYFUNCTION("""COMPUTED_VALUE"""),"Жилой дом с инженерными сетями и благоустройством территории (со сносом многоквартирных жилых домов по адресам: Ереванская ул., д. 6, к. 1; д. 4, к. 1; д.2, к. 1) по адресу: вн.тер.г.м.о. Царицыно, улица Ереванская, земельный участок 2/1 улица Ереванская,"&amp;" земельный участок 2/1 (зона 3.2)")</f>
        <v>Жилой дом с инженерными сетями и благоустройством территории (со сносом многоквартирных жилых домов по адресам: Ереванская ул., д. 6, к. 1; д. 4, к. 1; д.2, к. 1) по адресу: вн.тер.г.м.о. Царицыно, улица Ереванская, земельный участок 2/1 улица Ереванская, земельный участок 2/1 (зона 3.2)</v>
      </c>
      <c r="F1073" s="25" t="str">
        <f>IFERROR(__xludf.DUMMYFUNCTION("""COMPUTED_VALUE"""),"55.631183")</f>
        <v>55.631183</v>
      </c>
      <c r="G1073" s="6" t="str">
        <f>IFERROR(__xludf.DUMMYFUNCTION("""COMPUTED_VALUE"""),"37.668453")</f>
        <v>37.668453</v>
      </c>
      <c r="H1073" s="18" t="str">
        <f>IFERROR(__xludf.DUMMYFUNCTION("""COMPUTED_VALUE"""),"https://docs.google.com/spreadsheets/d/1rbCD10ySi4YZEkJW2_Slmn9z7AI1WEsGsZaIJmnnT18/edit?gid=1589688669#gid=1589688669")</f>
        <v>https://docs.google.com/spreadsheets/d/1rbCD10ySi4YZEkJW2_Slmn9z7AI1WEsGsZaIJmnnT18/edit?gid=1589688669#gid=1589688669</v>
      </c>
      <c r="I1073" s="19" t="str">
        <f>IFERROR(__xludf.DUMMYFUNCTION("""COMPUTED_VALUE"""),"https://disk.yandex.ru/client/disk/Осмотры%20объектов%20АНО%20СМГ/894.%20Ереванская%20ул.%2C%20з-у%202-1.%20Жилой%20дом")</f>
        <v>https://disk.yandex.ru/client/disk/Осмотры%20объектов%20АНО%20СМГ/894.%20Ереванская%20ул.%2C%20з-у%202-1.%20Жилой%20дом</v>
      </c>
      <c r="J1073" s="50">
        <f>IFERROR(__xludf.DUMMYFUNCTION("""COMPUTED_VALUE"""),0.0)</f>
        <v>0</v>
      </c>
      <c r="K1073" s="58">
        <f>IFERROR(__xludf.DUMMYFUNCTION("""COMPUTED_VALUE"""),45968.0)</f>
        <v>45968</v>
      </c>
      <c r="L1073" s="6">
        <v>30.0</v>
      </c>
      <c r="M1073" s="52">
        <v>45998.0</v>
      </c>
      <c r="N1073" s="53" t="s">
        <v>711</v>
      </c>
      <c r="O1073" s="19" t="s">
        <v>914</v>
      </c>
      <c r="P1073" s="6"/>
      <c r="Q1073" s="6"/>
      <c r="R1073" s="6"/>
    </row>
    <row r="1074">
      <c r="A1074" s="31" t="str">
        <f>IFERROR(__xludf.DUMMYFUNCTION("""COMPUTED_VALUE"""),"887")</f>
        <v>887</v>
      </c>
      <c r="B1074" s="14" t="str">
        <f>IFERROR(__xludf.DUMMYFUNCTION("""COMPUTED_VALUE"""),"РЕН-26")</f>
        <v>РЕН-26</v>
      </c>
      <c r="C1074" s="14" t="str">
        <f>IFERROR(__xludf.DUMMYFUNCTION("""COMPUTED_VALUE"""),"ОКС")</f>
        <v>ОКС</v>
      </c>
      <c r="D1074" s="6"/>
      <c r="E1074" s="14" t="str">
        <f>IFERROR(__xludf.DUMMYFUNCTION("""COMPUTED_VALUE"""),"Жилой дом с подземной автостоянкой, инженерными сетями и благоустройством территории (со сносом жилого здания по адресу: ул. Гарибальди д.25 к.3) по адресу: район Черемушки, кварталы 20-21; 22-23, зона № 6.9 район Черемушки, кварталы 20-21; 22-23, зона № "&amp;"6.9 ЗУ 25/3")</f>
        <v>Жилой дом с подземной автостоянкой, инженерными сетями и благоустройством территории (со сносом жилого здания по адресу: ул. Гарибальди д.25 к.3) по адресу: район Черемушки, кварталы 20-21; 22-23, зона № 6.9 район Черемушки, кварталы 20-21; 22-23, зона № 6.9 ЗУ 25/3</v>
      </c>
      <c r="F1074" s="25" t="str">
        <f>IFERROR(__xludf.DUMMYFUNCTION("""COMPUTED_VALUE"""),"55.670445")</f>
        <v>55.670445</v>
      </c>
      <c r="G1074" s="6" t="str">
        <f>IFERROR(__xludf.DUMMYFUNCTION("""COMPUTED_VALUE"""),"37.557518")</f>
        <v>37.557518</v>
      </c>
      <c r="H1074" s="18" t="str">
        <f>IFERROR(__xludf.DUMMYFUNCTION("""COMPUTED_VALUE"""),"https://docs.google.com/spreadsheets/d/1rbCD10ySi4YZEkJW2_Slmn9z7AI1WEsGsZaIJmnnT18/edit?gid=1281115522#gid=1281115522")</f>
        <v>https://docs.google.com/spreadsheets/d/1rbCD10ySi4YZEkJW2_Slmn9z7AI1WEsGsZaIJmnnT18/edit?gid=1281115522#gid=1281115522</v>
      </c>
      <c r="I1074" s="19" t="str">
        <f>IFERROR(__xludf.DUMMYFUNCTION("""COMPUTED_VALUE"""),"https://disk.yandex.ru/client/disk/Осмотры%20объектов%20АНО%20СМГ/887.%20черемушки%2C%20кварталы%2020-21_22-23%20зона%206.9")</f>
        <v>https://disk.yandex.ru/client/disk/Осмотры%20объектов%20АНО%20СМГ/887.%20черемушки%2C%20кварталы%2020-21_22-23%20зона%206.9</v>
      </c>
      <c r="J1074" s="50">
        <f>IFERROR(__xludf.DUMMYFUNCTION("""COMPUTED_VALUE"""),0.0)</f>
        <v>0</v>
      </c>
      <c r="K1074" s="58">
        <f>IFERROR(__xludf.DUMMYFUNCTION("""COMPUTED_VALUE"""),45961.0)</f>
        <v>45961</v>
      </c>
      <c r="L1074" s="6">
        <v>30.0</v>
      </c>
      <c r="M1074" s="52">
        <v>45991.0</v>
      </c>
      <c r="N1074" s="53" t="s">
        <v>692</v>
      </c>
      <c r="O1074" s="19" t="s">
        <v>914</v>
      </c>
      <c r="P1074" s="6"/>
      <c r="Q1074" s="6"/>
      <c r="R1074" s="6"/>
    </row>
    <row r="1075">
      <c r="A1075" s="31" t="str">
        <f>IFERROR(__xludf.DUMMYFUNCTION("""COMPUTED_VALUE"""),"711")</f>
        <v>711</v>
      </c>
      <c r="B1075" s="14" t="str">
        <f>IFERROR(__xludf.DUMMYFUNCTION("""COMPUTED_VALUE"""),"РЕН-26")</f>
        <v>РЕН-26</v>
      </c>
      <c r="C1075" s="14" t="str">
        <f>IFERROR(__xludf.DUMMYFUNCTION("""COMPUTED_VALUE"""),"ОКС")</f>
        <v>ОКС</v>
      </c>
      <c r="D1075" s="6"/>
      <c r="E1075" s="14" t="str">
        <f>IFERROR(__xludf.DUMMYFUNCTION("""COMPUTED_VALUE"""),"Жилые дома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домов по адресам: 3-я Прядильная ул., д. 13, к. 1; д. 13, к. 2; д. 13,"&amp;" к. 3; д. 11; ул. Никитинская, д. 8, к. 1; д. 8, к. 2) по адресу: г. Москва, район Измайлово, 3-я Прядильная ул., земельный участок 13 (3-я Прядильная ул., вл. 13)
 район Измайлово, 3-я Прядильная ул., земельный участок 13 (3-я Прядильная ул., вл. 13)")</f>
        <v>Жилые дома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домов по адресам: 3-я Прядильная ул., д. 13, к. 1; д. 13, к. 2; д. 13, к. 3; д. 11; ул. Никитинская, д. 8, к. 1; д. 8, к. 2) по адресу: г. Москва, район Измайлово, 3-я Прядильная ул., земельный участок 13 (3-я Прядильная ул., вл. 13)
 район Измайлово, 3-я Прядильная ул., земельный участок 13 (3-я Прядильная ул., вл. 13)</v>
      </c>
      <c r="F1075" s="25" t="str">
        <f>IFERROR(__xludf.DUMMYFUNCTION("""COMPUTED_VALUE"""),"55.798724")</f>
        <v>55.798724</v>
      </c>
      <c r="G1075" s="6" t="str">
        <f>IFERROR(__xludf.DUMMYFUNCTION("""COMPUTED_VALUE"""),"37.776426")</f>
        <v>37.776426</v>
      </c>
      <c r="H1075" s="18" t="str">
        <f>IFERROR(__xludf.DUMMYFUNCTION("""COMPUTED_VALUE"""),"https://docs.google.com/spreadsheets/d/1rbCD10ySi4YZEkJW2_Slmn9z7AI1WEsGsZaIJmnnT18/edit?gid=1127542232#gid=1127542232")</f>
        <v>https://docs.google.com/spreadsheets/d/1rbCD10ySi4YZEkJW2_Slmn9z7AI1WEsGsZaIJmnnT18/edit?gid=1127542232#gid=1127542232</v>
      </c>
      <c r="I1075" s="19" t="str">
        <f>IFERROR(__xludf.DUMMYFUNCTION("""COMPUTED_VALUE"""),"https://disk.yandex.ru/client/disk/Осмотры%20объектов%20АНО%20СМГ/711%203-я%20Прядильная%20ул.%2C%20зу%2013")</f>
        <v>https://disk.yandex.ru/client/disk/Осмотры%20объектов%20АНО%20СМГ/711%203-я%20Прядильная%20ул.%2C%20зу%2013</v>
      </c>
      <c r="J1075" s="50">
        <f>IFERROR(__xludf.DUMMYFUNCTION("""COMPUTED_VALUE"""),0.0)</f>
        <v>0</v>
      </c>
      <c r="K1075" s="58">
        <f>IFERROR(__xludf.DUMMYFUNCTION("""COMPUTED_VALUE"""),45968.0)</f>
        <v>45968</v>
      </c>
      <c r="L1075" s="6">
        <v>30.0</v>
      </c>
      <c r="M1075" s="52">
        <v>45998.0</v>
      </c>
      <c r="N1075" s="53" t="s">
        <v>711</v>
      </c>
      <c r="O1075" s="19" t="s">
        <v>669</v>
      </c>
      <c r="P1075" s="6"/>
      <c r="Q1075" s="6"/>
      <c r="R1075" s="6"/>
    </row>
    <row r="1076">
      <c r="A1076" s="31" t="str">
        <f>IFERROR(__xludf.DUMMYFUNCTION("""COMPUTED_VALUE"""),"1008")</f>
        <v>1008</v>
      </c>
      <c r="B1076" s="14" t="str">
        <f>IFERROR(__xludf.DUMMYFUNCTION("""COMPUTED_VALUE"""),"РЕН-26")</f>
        <v>РЕН-26</v>
      </c>
      <c r="C1076" s="14" t="str">
        <f>IFERROR(__xludf.DUMMYFUNCTION("""COMPUTED_VALUE"""),"ОКС")</f>
        <v>ОКС</v>
      </c>
      <c r="D1076" s="6"/>
      <c r="E1076" s="14" t="str">
        <f>IFERROR(__xludf.DUMMYFUNCTION("""COMPUTED_VALUE"""),"ул. Лётчика Бабушкина, з/у 41А, зона 5.2 район Бабушкинский, микрорайоны 10,13, зона № 5.2")</f>
        <v>ул. Лётчика Бабушкина, з/у 41А, зона 5.2 район Бабушкинский, микрорайоны 10,13, зона № 5.2</v>
      </c>
      <c r="F1076" s="25" t="str">
        <f>IFERROR(__xludf.DUMMYFUNCTION("""COMPUTED_VALUE"""),"55.875682")</f>
        <v>55.875682</v>
      </c>
      <c r="G1076" s="6" t="str">
        <f>IFERROR(__xludf.DUMMYFUNCTION("""COMPUTED_VALUE"""),"37.678788")</f>
        <v>37.678788</v>
      </c>
      <c r="H1076" s="18" t="str">
        <f>IFERROR(__xludf.DUMMYFUNCTION("""COMPUTED_VALUE"""),"https://docs.google.com/spreadsheets/d/1rbCD10ySi4YZEkJW2_Slmn9z7AI1WEsGsZaIJmnnT18/edit?gid=422760194#gid=422760194")</f>
        <v>https://docs.google.com/spreadsheets/d/1rbCD10ySi4YZEkJW2_Slmn9z7AI1WEsGsZaIJmnnT18/edit?gid=422760194#gid=422760194</v>
      </c>
      <c r="I1076" s="19" t="str">
        <f>IFERROR(__xludf.DUMMYFUNCTION("""COMPUTED_VALUE"""),"https://disk.yandex.ru/client/disk/Осмотры%20объектов%20АНО%20СМГ/1008.%20Лётчика%20Бабушкина%2C%20зу%2041А%2C%20зона%205.2")</f>
        <v>https://disk.yandex.ru/client/disk/Осмотры%20объектов%20АНО%20СМГ/1008.%20Лётчика%20Бабушкина%2C%20зу%2041А%2C%20зона%205.2</v>
      </c>
      <c r="J1076" s="50">
        <f>IFERROR(__xludf.DUMMYFUNCTION("""COMPUTED_VALUE"""),0.0)</f>
        <v>0</v>
      </c>
      <c r="K1076" s="58">
        <f>IFERROR(__xludf.DUMMYFUNCTION("""COMPUTED_VALUE"""),45961.0)</f>
        <v>45961</v>
      </c>
      <c r="L1076" s="6">
        <v>30.0</v>
      </c>
      <c r="M1076" s="52">
        <v>45991.0</v>
      </c>
      <c r="N1076" s="53" t="s">
        <v>692</v>
      </c>
      <c r="O1076" s="19" t="s">
        <v>1220</v>
      </c>
      <c r="P1076" s="6"/>
      <c r="Q1076" s="6"/>
      <c r="R1076" s="6"/>
    </row>
    <row r="1077">
      <c r="A1077" s="31" t="str">
        <f>IFERROR(__xludf.DUMMYFUNCTION("""COMPUTED_VALUE"""),"1351")</f>
        <v>1351</v>
      </c>
      <c r="B1077" s="14" t="str">
        <f>IFERROR(__xludf.DUMMYFUNCTION("""COMPUTED_VALUE"""),"РЕН-26")</f>
        <v>РЕН-26</v>
      </c>
      <c r="C1077" s="14" t="str">
        <f>IFERROR(__xludf.DUMMYFUNCTION("""COMPUTED_VALUE"""),"ОКС")</f>
        <v>ОКС</v>
      </c>
      <c r="D1077" s="6"/>
      <c r="E1077" s="14" t="str">
        <f>IFERROR(__xludf.DUMMYFUNCTION("""COMPUTED_VALUE"""),"Живописная ул., вл. 34, корп. 1 Живописная ул., вл. 34, корп. 1")</f>
        <v>Живописная ул., вл. 34, корп. 1 Живописная ул., вл. 34, корп. 1</v>
      </c>
      <c r="F1077" s="25" t="str">
        <f>IFERROR(__xludf.DUMMYFUNCTION("""COMPUTED_VALUE"""),"55.793682")</f>
        <v>55.793682</v>
      </c>
      <c r="G1077" s="6" t="str">
        <f>IFERROR(__xludf.DUMMYFUNCTION("""COMPUTED_VALUE"""),"37.455058")</f>
        <v>37.455058</v>
      </c>
      <c r="H1077" s="18" t="str">
        <f>IFERROR(__xludf.DUMMYFUNCTION("""COMPUTED_VALUE"""),"https://docs.google.com/spreadsheets/d/1rbCD10ySi4YZEkJW2_Slmn9z7AI1WEsGsZaIJmnnT18/edit?gid=1435558213#gid=1435558213")</f>
        <v>https://docs.google.com/spreadsheets/d/1rbCD10ySi4YZEkJW2_Slmn9z7AI1WEsGsZaIJmnnT18/edit?gid=1435558213#gid=1435558213</v>
      </c>
      <c r="I1077" s="19"/>
      <c r="J1077" s="50">
        <f>IFERROR(__xludf.DUMMYFUNCTION("""COMPUTED_VALUE"""),0.15)</f>
        <v>0.15</v>
      </c>
      <c r="K1077" s="58">
        <f>IFERROR(__xludf.DUMMYFUNCTION("""COMPUTED_VALUE"""),45960.0)</f>
        <v>45960</v>
      </c>
      <c r="L1077" s="6">
        <v>30.0</v>
      </c>
      <c r="M1077" s="52">
        <v>45990.0</v>
      </c>
      <c r="N1077" s="53" t="s">
        <v>692</v>
      </c>
      <c r="O1077" s="19" t="s">
        <v>914</v>
      </c>
      <c r="P1077" s="6"/>
      <c r="Q1077" s="6"/>
      <c r="R1077" s="6"/>
    </row>
    <row r="1078">
      <c r="A1078" s="31" t="str">
        <f>IFERROR(__xludf.DUMMYFUNCTION("""COMPUTED_VALUE"""),"979")</f>
        <v>979</v>
      </c>
      <c r="B1078" s="14" t="str">
        <f>IFERROR(__xludf.DUMMYFUNCTION("""COMPUTED_VALUE"""),"РЕН-27")</f>
        <v>РЕН-27</v>
      </c>
      <c r="C1078" s="14" t="str">
        <f>IFERROR(__xludf.DUMMYFUNCTION("""COMPUTED_VALUE"""),"ОКС")</f>
        <v>ОКС</v>
      </c>
      <c r="D1078" s="6"/>
      <c r="E1078" s="14" t="str">
        <f>IFERROR(__xludf.DUMMYFUNCTION("""COMPUTED_VALUE"""),"Жилой дом с инженерными сетями и благоустройством территории (со сносом жилого дома по адресу: ул. Судостроительная, д.7, корп.1), ЮАО, район Нагатинский затон, ул. Судостроительная, влд.7, корп.1 ул. Судостроительная, з/у 7/1/3 (ул. Судостроительная, вл."&amp;"7, корп.1)")</f>
        <v>Жилой дом с инженерными сетями и благоустройством территории (со сносом жилого дома по адресу: ул. Судостроительная, д.7, корп.1), ЮАО, район Нагатинский затон, ул. Судостроительная, влд.7, корп.1 ул. Судостроительная, з/у 7/1/3 (ул. Судостроительная, вл.7, корп.1)</v>
      </c>
      <c r="F1078" s="25" t="str">
        <f>IFERROR(__xludf.DUMMYFUNCTION("""COMPUTED_VALUE"""),"55.680208697843945")</f>
        <v>55.680208697843945</v>
      </c>
      <c r="G1078" s="6" t="str">
        <f>IFERROR(__xludf.DUMMYFUNCTION("""COMPUTED_VALUE"""),"37.669529982802665")</f>
        <v>37.669529982802665</v>
      </c>
      <c r="H1078" s="18" t="str">
        <f>IFERROR(__xludf.DUMMYFUNCTION("""COMPUTED_VALUE"""),"https://docs.google.com/spreadsheets/d/1lEcUd4exxkr5Za3IYZ0vdFNfMubnuMOOMXfmF3GYC9I/edit?gid=546209828#gid=546209828")</f>
        <v>https://docs.google.com/spreadsheets/d/1lEcUd4exxkr5Za3IYZ0vdFNfMubnuMOOMXfmF3GYC9I/edit?gid=546209828#gid=546209828</v>
      </c>
      <c r="I1078" s="19" t="str">
        <f>IFERROR(__xludf.DUMMYFUNCTION("""COMPUTED_VALUE"""),"https://disk.yandex.ru/client/disk/Осмотры%20объектов%20АНО%20СМГ/979.%20ул.%20Судостроительная%2C%20з.у%207.1.3%20(у")</f>
        <v>https://disk.yandex.ru/client/disk/Осмотры%20объектов%20АНО%20СМГ/979.%20ул.%20Судостроительная%2C%20з.у%207.1.3%20(у</v>
      </c>
      <c r="J1078" s="50">
        <f>IFERROR(__xludf.DUMMYFUNCTION("""COMPUTED_VALUE"""),0.0)</f>
        <v>0</v>
      </c>
      <c r="K1078" s="58">
        <f>IFERROR(__xludf.DUMMYFUNCTION("""COMPUTED_VALUE"""),45819.0)</f>
        <v>45819</v>
      </c>
      <c r="L1078" s="6">
        <v>30.0</v>
      </c>
      <c r="M1078" s="52">
        <v>45849.0</v>
      </c>
      <c r="N1078" s="53" t="s">
        <v>668</v>
      </c>
      <c r="O1078" s="19" t="s">
        <v>669</v>
      </c>
      <c r="P1078" s="6"/>
      <c r="Q1078" s="6"/>
      <c r="R1078" s="6"/>
    </row>
    <row r="1079">
      <c r="A1079" s="31" t="str">
        <f>IFERROR(__xludf.DUMMYFUNCTION("""COMPUTED_VALUE"""),"974")</f>
        <v>974</v>
      </c>
      <c r="B1079" s="14" t="str">
        <f>IFERROR(__xludf.DUMMYFUNCTION("""COMPUTED_VALUE"""),"РЕН-27")</f>
        <v>РЕН-27</v>
      </c>
      <c r="C1079" s="14" t="str">
        <f>IFERROR(__xludf.DUMMYFUNCTION("""COMPUTED_VALUE"""),"ОКС")</f>
        <v>ОКС</v>
      </c>
      <c r="D1079" s="6"/>
      <c r="E1079" s="14" t="str">
        <f>IFERROR(__xludf.DUMMYFUNCTION("""COMPUTED_VALUE"""),"Жилой дом с инженерными сетями и благоустройством территории, СВАО, район Марьина Роща, Анненская ул., вл. 5, 7, 9 Анненская ул., з/у 9 (Анненская ул., вл. 5, 7, 9)")</f>
        <v>Жилой дом с инженерными сетями и благоустройством территории, СВАО, район Марьина Роща, Анненская ул., вл. 5, 7, 9 Анненская ул., з/у 9 (Анненская ул., вл. 5, 7, 9)</v>
      </c>
      <c r="F1079" s="25" t="str">
        <f>IFERROR(__xludf.DUMMYFUNCTION("""COMPUTED_VALUE"""),"55.80511705712661")</f>
        <v>55.80511705712661</v>
      </c>
      <c r="G1079" s="6" t="str">
        <f>IFERROR(__xludf.DUMMYFUNCTION("""COMPUTED_VALUE"""),"37.60923981349092")</f>
        <v>37.60923981349092</v>
      </c>
      <c r="H1079" s="18" t="str">
        <f>IFERROR(__xludf.DUMMYFUNCTION("""COMPUTED_VALUE"""),"https://docs.google.com/spreadsheets/d/1lEcUd4exxkr5Za3IYZ0vdFNfMubnuMOOMXfmF3GYC9I/edit?gid=953512789#gid=953512789")</f>
        <v>https://docs.google.com/spreadsheets/d/1lEcUd4exxkr5Za3IYZ0vdFNfMubnuMOOMXfmF3GYC9I/edit?gid=953512789#gid=953512789</v>
      </c>
      <c r="I1079" s="19" t="str">
        <f>IFERROR(__xludf.DUMMYFUNCTION("""COMPUTED_VALUE"""),"https://disk.yandex.ru/client/disk/Осмотры%20объектов%20АНО%20СМГ/974.%20Анненская%20ул.%2C%20з.у.%209%20(Анненская%20ул.%2C%20вл.%205%2C%207%2C%209)")</f>
        <v>https://disk.yandex.ru/client/disk/Осмотры%20объектов%20АНО%20СМГ/974.%20Анненская%20ул.%2C%20з.у.%209%20(Анненская%20ул.%2C%20вл.%205%2C%207%2C%209)</v>
      </c>
      <c r="J1079" s="50">
        <f>IFERROR(__xludf.DUMMYFUNCTION("""COMPUTED_VALUE"""),0.44999999999999996)</f>
        <v>0.45</v>
      </c>
      <c r="K1079" s="58">
        <f>IFERROR(__xludf.DUMMYFUNCTION("""COMPUTED_VALUE"""),45905.0)</f>
        <v>45905</v>
      </c>
      <c r="L1079" s="6">
        <v>30.0</v>
      </c>
      <c r="M1079" s="52">
        <v>45935.0</v>
      </c>
      <c r="N1079" s="53" t="s">
        <v>668</v>
      </c>
      <c r="O1079" s="19" t="s">
        <v>669</v>
      </c>
      <c r="P1079" s="6"/>
      <c r="Q1079" s="6"/>
      <c r="R1079" s="6"/>
    </row>
    <row r="1080">
      <c r="A1080" s="31" t="str">
        <f>IFERROR(__xludf.DUMMYFUNCTION("""COMPUTED_VALUE"""),"741")</f>
        <v>741</v>
      </c>
      <c r="B1080" s="14" t="str">
        <f>IFERROR(__xludf.DUMMYFUNCTION("""COMPUTED_VALUE"""),"РЕН-27")</f>
        <v>РЕН-27</v>
      </c>
      <c r="C1080" s="14" t="str">
        <f>IFERROR(__xludf.DUMMYFUNCTION("""COMPUTED_VALUE"""),"ОКС")</f>
        <v>ОКС</v>
      </c>
      <c r="D1080" s="6"/>
      <c r="E1080" s="14" t="str">
        <f>IFERROR(__xludf.DUMMYFUNCTION("""COMPUTED_VALUE"""),"Жилой дом с подземной автостоянкой с инженерными сетями и благоустройством территории (со сносом жилых домов по адресам: ул. Матросова, д. 21, ул. Матросова, д. 23, ул. Матросова, д. 25, ул. Матросова, д. 27, ул. Матросова, д. 29), ЗАО, район Солнцево, ул"&amp;"/ Матросова, земельный участок 29/1 (Матросова ул., вл. 21-29) улица Матросова, земельный участок 29/1 (Матросова ул., вл. 21-29)")</f>
        <v>Жилой дом с подземной автостоянкой с инженерными сетями и благоустройством территории (со сносом жилых домов по адресам: ул. Матросова, д. 21, ул. Матросова, д. 23, ул. Матросова, д. 25, ул. Матросова, д. 27, ул. Матросова, д. 29), ЗАО, район Солнцево, ул/ Матросова, земельный участок 29/1 (Матросова ул., вл. 21-29) улица Матросова, земельный участок 29/1 (Матросова ул., вл. 21-29)</v>
      </c>
      <c r="F1080" s="25" t="str">
        <f>IFERROR(__xludf.DUMMYFUNCTION("""COMPUTED_VALUE"""),"55.6634893277771")</f>
        <v>55.6634893277771</v>
      </c>
      <c r="G1080" s="6" t="str">
        <f>IFERROR(__xludf.DUMMYFUNCTION("""COMPUTED_VALUE"""),"37.41668534987548")</f>
        <v>37.41668534987548</v>
      </c>
      <c r="H1080" s="18" t="str">
        <f>IFERROR(__xludf.DUMMYFUNCTION("""COMPUTED_VALUE"""),"https://docs.google.com/spreadsheets/d/1lEcUd4exxkr5Za3IYZ0vdFNfMubnuMOOMXfmF3GYC9I/edit?gid=1238624487#gid=1238624487")</f>
        <v>https://docs.google.com/spreadsheets/d/1lEcUd4exxkr5Za3IYZ0vdFNfMubnuMOOMXfmF3GYC9I/edit?gid=1238624487#gid=1238624487</v>
      </c>
      <c r="I1080" s="19" t="str">
        <f>IFERROR(__xludf.DUMMYFUNCTION("""COMPUTED_VALUE"""),"https://disk.yandex.ru/client/disk/Осмотры%20объектов%20АНО%20СМГ/741.%20улица%20Матросова%2C%20земельный%20участок%2029-1%20Матросова%20ул.%2C%20вл.%2021-29")</f>
        <v>https://disk.yandex.ru/client/disk/Осмотры%20объектов%20АНО%20СМГ/741.%20улица%20Матросова%2C%20земельный%20участок%2029-1%20Матросова%20ул.%2C%20вл.%2021-29</v>
      </c>
      <c r="J1080" s="50">
        <f>IFERROR(__xludf.DUMMYFUNCTION("""COMPUTED_VALUE"""),3.6000000000000005)</f>
        <v>3.6</v>
      </c>
      <c r="K1080" s="58">
        <f>IFERROR(__xludf.DUMMYFUNCTION("""COMPUTED_VALUE"""),45819.0)</f>
        <v>45819</v>
      </c>
      <c r="L1080" s="6">
        <v>30.0</v>
      </c>
      <c r="M1080" s="52">
        <v>45849.0</v>
      </c>
      <c r="N1080" s="53" t="s">
        <v>668</v>
      </c>
      <c r="O1080" s="19" t="s">
        <v>669</v>
      </c>
      <c r="P1080" s="6"/>
      <c r="Q1080" s="6"/>
      <c r="R1080" s="6"/>
    </row>
    <row r="1081">
      <c r="A1081" s="31" t="str">
        <f>IFERROR(__xludf.DUMMYFUNCTION("""COMPUTED_VALUE"""),"750")</f>
        <v>750</v>
      </c>
      <c r="B1081" s="14" t="str">
        <f>IFERROR(__xludf.DUMMYFUNCTION("""COMPUTED_VALUE"""),"РЕН-27")</f>
        <v>РЕН-27</v>
      </c>
      <c r="C1081" s="14" t="str">
        <f>IFERROR(__xludf.DUMMYFUNCTION("""COMPUTED_VALUE"""),"ОКС")</f>
        <v>ОКС</v>
      </c>
      <c r="D1081" s="6"/>
      <c r="E1081"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"&amp;"Коровинское ш., д. 29Б, Ангарская ул., д.31, д.29) по адресу: г. Москва, внутригородское муниципальное образование Западное Дегунино, улица Ангарская, земельный участок 29 (САО) ул. Ангарская, з/у 29")</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Коровинское ш., д. 29Б, Ангарская ул., д.31, д.29) по адресу: г. Москва, внутригородское муниципальное образование Западное Дегунино, улица Ангарская, земельный участок 29 (САО) ул. Ангарская, з/у 29</v>
      </c>
      <c r="F1081" s="25" t="str">
        <f>IFERROR(__xludf.DUMMYFUNCTION("""COMPUTED_VALUE"""),"55.878091")</f>
        <v>55.878091</v>
      </c>
      <c r="G1081" s="6" t="str">
        <f>IFERROR(__xludf.DUMMYFUNCTION("""COMPUTED_VALUE"""),"37.519755")</f>
        <v>37.519755</v>
      </c>
      <c r="H1081" s="18" t="str">
        <f>IFERROR(__xludf.DUMMYFUNCTION("""COMPUTED_VALUE"""),"https://docs.google.com/spreadsheets/d/1lEcUd4exxkr5Za3IYZ0vdFNfMubnuMOOMXfmF3GYC9I/edit?gid=1260602750#gid=1260602750")</f>
        <v>https://docs.google.com/spreadsheets/d/1lEcUd4exxkr5Za3IYZ0vdFNfMubnuMOOMXfmF3GYC9I/edit?gid=1260602750#gid=1260602750</v>
      </c>
      <c r="I1081" s="19" t="str">
        <f>IFERROR(__xludf.DUMMYFUNCTION("""COMPUTED_VALUE"""),"https://disk.yandex.ru/client/disk/Осмотры%20объектов%20АНО%20СМГ/750.%20Ангарская%2029")</f>
        <v>https://disk.yandex.ru/client/disk/Осмотры%20объектов%20АНО%20СМГ/750.%20Ангарская%2029</v>
      </c>
      <c r="J1081" s="50">
        <f>IFERROR(__xludf.DUMMYFUNCTION("""COMPUTED_VALUE"""),0.0)</f>
        <v>0</v>
      </c>
      <c r="K1081" s="58">
        <f>IFERROR(__xludf.DUMMYFUNCTION("""COMPUTED_VALUE"""),45679.0)</f>
        <v>45679</v>
      </c>
      <c r="L1081" s="6">
        <v>30.0</v>
      </c>
      <c r="M1081" s="52">
        <v>45709.0</v>
      </c>
      <c r="N1081" s="53" t="s">
        <v>668</v>
      </c>
      <c r="O1081" s="19" t="s">
        <v>914</v>
      </c>
      <c r="P1081" s="6"/>
      <c r="Q1081" s="6"/>
      <c r="R1081" s="6"/>
    </row>
    <row r="1082">
      <c r="A1082" s="31" t="str">
        <f>IFERROR(__xludf.DUMMYFUNCTION("""COMPUTED_VALUE"""),"753")</f>
        <v>753</v>
      </c>
      <c r="B1082" s="14" t="str">
        <f>IFERROR(__xludf.DUMMYFUNCTION("""COMPUTED_VALUE"""),"РЕН-27")</f>
        <v>РЕН-27</v>
      </c>
      <c r="C1082" s="14" t="str">
        <f>IFERROR(__xludf.DUMMYFUNCTION("""COMPUTED_VALUE"""),"ОКС")</f>
        <v>ОКС</v>
      </c>
      <c r="D1082" s="6"/>
      <c r="E1082"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"&amp;"Ангарская ул., д. 23 к.4, д. 27, д. 25) по адресу: район Западное Дегунино, ул. Ангарская, земельный участок 25 ул. Ангарская, К14 (Зона 5.5, ЖУ12)")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Ангарская ул., д. 23 к.4, д. 27, д. 25) по адресу: район Западное Дегунино, ул. Ангарская, земельный участок 25 ул. Ангарская, К14 (Зона 5.5, ЖУ12)</v>
      </c>
      <c r="F1082" s="25" t="str">
        <f>IFERROR(__xludf.DUMMYFUNCTION("""COMPUTED_VALUE"""),"55.877228066032956")</f>
        <v>55.877228066032956</v>
      </c>
      <c r="G1082" s="6" t="str">
        <f>IFERROR(__xludf.DUMMYFUNCTION("""COMPUTED_VALUE"""),"37.5184728664093")</f>
        <v>37.5184728664093</v>
      </c>
      <c r="H1082" s="18" t="str">
        <f>IFERROR(__xludf.DUMMYFUNCTION("""COMPUTED_VALUE"""),"https://docs.google.com/spreadsheets/d/1lEcUd4exxkr5Za3IYZ0vdFNfMubnuMOOMXfmF3GYC9I/edit?gid=2065426247#gid=2065426247")</f>
        <v>https://docs.google.com/spreadsheets/d/1lEcUd4exxkr5Za3IYZ0vdFNfMubnuMOOMXfmF3GYC9I/edit?gid=2065426247#gid=2065426247</v>
      </c>
      <c r="I1082" s="19" t="str">
        <f>IFERROR(__xludf.DUMMYFUNCTION("""COMPUTED_VALUE"""),"https://disk.yandex.ru/client/disk/Осмотры%20объектов%20АНО%20СМГ/753.%20Ангарская%20ул.%2C%20к%2014")</f>
        <v>https://disk.yandex.ru/client/disk/Осмотры%20объектов%20АНО%20СМГ/753.%20Ангарская%20ул.%2C%20к%2014</v>
      </c>
      <c r="J1082" s="50">
        <f>IFERROR(__xludf.DUMMYFUNCTION("""COMPUTED_VALUE"""),0.0)</f>
        <v>0</v>
      </c>
      <c r="K1082" s="58">
        <f>IFERROR(__xludf.DUMMYFUNCTION("""COMPUTED_VALUE"""),45679.0)</f>
        <v>45679</v>
      </c>
      <c r="L1082" s="6">
        <v>30.0</v>
      </c>
      <c r="M1082" s="52">
        <v>45709.0</v>
      </c>
      <c r="N1082" s="53" t="s">
        <v>668</v>
      </c>
      <c r="O1082" s="19" t="s">
        <v>914</v>
      </c>
      <c r="P1082" s="6"/>
      <c r="Q1082" s="6"/>
      <c r="R1082" s="6"/>
    </row>
    <row r="1083">
      <c r="A1083" s="31" t="str">
        <f>IFERROR(__xludf.DUMMYFUNCTION("""COMPUTED_VALUE"""),"754")</f>
        <v>754</v>
      </c>
      <c r="B1083" s="14" t="str">
        <f>IFERROR(__xludf.DUMMYFUNCTION("""COMPUTED_VALUE"""),"РЕН-27")</f>
        <v>РЕН-27</v>
      </c>
      <c r="C1083" s="14" t="str">
        <f>IFERROR(__xludf.DUMMYFUNCTION("""COMPUTED_VALUE"""),"ОКС")</f>
        <v>ОКС</v>
      </c>
      <c r="D1083" s="6"/>
      <c r="E108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район Западное Дегунино, микрорайон 11, 12, Коровинское"&amp;" ш., д. 33, д. 31) по адресу: район Западное Дегунино, Коровинское шоссе, земельный участок 31/33 Коровинское ш., К8, К9, К10 (Зона 2.2, ЖУ5) ЗУ 31/33")</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район Западное Дегунино, микрорайон 11, 12, Коровинское ш., д. 33, д. 31) по адресу: район Западное Дегунино, Коровинское шоссе, земельный участок 31/33 Коровинское ш., К8, К9, К10 (Зона 2.2, ЖУ5) ЗУ 31/33</v>
      </c>
      <c r="F1083" s="25" t="str">
        <f>IFERROR(__xludf.DUMMYFUNCTION("""COMPUTED_VALUE"""),"55.881697")</f>
        <v>55.881697</v>
      </c>
      <c r="G1083" s="6" t="str">
        <f>IFERROR(__xludf.DUMMYFUNCTION("""COMPUTED_VALUE"""),"37.518928")</f>
        <v>37.518928</v>
      </c>
      <c r="H1083" s="18" t="str">
        <f>IFERROR(__xludf.DUMMYFUNCTION("""COMPUTED_VALUE"""),"https://docs.google.com/spreadsheets/d/1lEcUd4exxkr5Za3IYZ0vdFNfMubnuMOOMXfmF3GYC9I/edit?gid=1465150080#gid=1465150080")</f>
        <v>https://docs.google.com/spreadsheets/d/1lEcUd4exxkr5Za3IYZ0vdFNfMubnuMOOMXfmF3GYC9I/edit?gid=1465150080#gid=1465150080</v>
      </c>
      <c r="I1083" s="19" t="str">
        <f>IFERROR(__xludf.DUMMYFUNCTION("""COMPUTED_VALUE"""),"https://disk.yandex.ru/client/disk/Осмотры%20объектов%20АНО%20СМГ/754.%20Коровинское%20ш.%2C%20к%208%2C%20к%209%2C%20к%2010")</f>
        <v>https://disk.yandex.ru/client/disk/Осмотры%20объектов%20АНО%20СМГ/754.%20Коровинское%20ш.%2C%20к%208%2C%20к%209%2C%20к%2010</v>
      </c>
      <c r="J1083" s="50">
        <f>IFERROR(__xludf.DUMMYFUNCTION("""COMPUTED_VALUE"""),0.0)</f>
        <v>0</v>
      </c>
      <c r="K1083" s="58">
        <f>IFERROR(__xludf.DUMMYFUNCTION("""COMPUTED_VALUE"""),45679.0)</f>
        <v>45679</v>
      </c>
      <c r="L1083" s="6">
        <v>30.0</v>
      </c>
      <c r="M1083" s="52">
        <v>45709.0</v>
      </c>
      <c r="N1083" s="53" t="s">
        <v>668</v>
      </c>
      <c r="O1083" s="19" t="s">
        <v>914</v>
      </c>
      <c r="P1083" s="6"/>
      <c r="Q1083" s="6"/>
      <c r="R1083" s="6"/>
    </row>
    <row r="1084">
      <c r="A1084" s="31" t="str">
        <f>IFERROR(__xludf.DUMMYFUNCTION("""COMPUTED_VALUE"""),"755")</f>
        <v>755</v>
      </c>
      <c r="B1084" s="14" t="str">
        <f>IFERROR(__xludf.DUMMYFUNCTION("""COMPUTED_VALUE"""),"РЕН-27")</f>
        <v>РЕН-27</v>
      </c>
      <c r="C1084" s="14" t="str">
        <f>IFERROR(__xludf.DUMMYFUNCTION("""COMPUTED_VALUE"""),"ОКС")</f>
        <v>ОКС</v>
      </c>
      <c r="D1084" s="6"/>
      <c r="E1084" s="14" t="str">
        <f>IFERROR(__xludf.DUMMYFUNCTION("""COMPUTED_VALUE"""),"Жилой дом с инженерными сетями и благоустройством территории по адресу: г. Москва, ЗАО, район Очаково-Матвеевское, улица Большая Очаковская, вл. 20 (со сносом) Большая Очаковская ул., вл. 20")</f>
        <v>Жилой дом с инженерными сетями и благоустройством территории по адресу: г. Москва, ЗАО, район Очаково-Матвеевское, улица Большая Очаковская, вл. 20 (со сносом) Большая Очаковская ул., вл. 20</v>
      </c>
      <c r="F1084" s="25" t="str">
        <f>IFERROR(__xludf.DUMMYFUNCTION("""COMPUTED_VALUE"""),"55.674560725083026")</f>
        <v>55.674560725083026</v>
      </c>
      <c r="G1084" s="6" t="str">
        <f>IFERROR(__xludf.DUMMYFUNCTION("""COMPUTED_VALUE"""),"37.446576724790994")</f>
        <v>37.446576724790994</v>
      </c>
      <c r="H1084" s="18" t="str">
        <f>IFERROR(__xludf.DUMMYFUNCTION("""COMPUTED_VALUE"""),"https://docs.google.com/spreadsheets/d/1lEcUd4exxkr5Za3IYZ0vdFNfMubnuMOOMXfmF3GYC9I/edit?gid=2050581417#gid=2050581417")</f>
        <v>https://docs.google.com/spreadsheets/d/1lEcUd4exxkr5Za3IYZ0vdFNfMubnuMOOMXfmF3GYC9I/edit?gid=2050581417#gid=2050581417</v>
      </c>
      <c r="I1084" s="19" t="str">
        <f>IFERROR(__xludf.DUMMYFUNCTION("""COMPUTED_VALUE"""),"https://disk.yandex.ru/client/disk/Осмотры%20объектов%20АНО%20СМГ/755.%20Большая%20Очаковская%20ул.%2C%20вл.%2020")</f>
        <v>https://disk.yandex.ru/client/disk/Осмотры%20объектов%20АНО%20СМГ/755.%20Большая%20Очаковская%20ул.%2C%20вл.%2020</v>
      </c>
      <c r="J1084" s="50">
        <f>IFERROR(__xludf.DUMMYFUNCTION("""COMPUTED_VALUE"""),0.0)</f>
        <v>0</v>
      </c>
      <c r="K1084" s="58">
        <f>IFERROR(__xludf.DUMMYFUNCTION("""COMPUTED_VALUE"""),45819.0)</f>
        <v>45819</v>
      </c>
      <c r="L1084" s="6">
        <v>30.0</v>
      </c>
      <c r="M1084" s="52">
        <v>45849.0</v>
      </c>
      <c r="N1084" s="53" t="s">
        <v>668</v>
      </c>
      <c r="O1084" s="19" t="s">
        <v>914</v>
      </c>
      <c r="P1084" s="6"/>
      <c r="Q1084" s="6"/>
      <c r="R1084" s="6"/>
    </row>
    <row r="1085">
      <c r="A1085" s="31" t="str">
        <f>IFERROR(__xludf.DUMMYFUNCTION("""COMPUTED_VALUE"""),"756")</f>
        <v>756</v>
      </c>
      <c r="B1085" s="14" t="str">
        <f>IFERROR(__xludf.DUMMYFUNCTION("""COMPUTED_VALUE"""),"РЕН-27")</f>
        <v>РЕН-27</v>
      </c>
      <c r="C1085" s="14" t="str">
        <f>IFERROR(__xludf.DUMMYFUNCTION("""COMPUTED_VALUE"""),"ОКС")</f>
        <v>ОКС</v>
      </c>
      <c r="D1085" s="6"/>
      <c r="E1085" s="14" t="str">
        <f>IFERROR(__xludf.DUMMYFUNCTION("""COMPUTED_VALUE"""),"Жилой дом с инженерными сетями и благоустройством территории по адресу: г. Москва, ЗАО, район Очаково-Матвеевское, улица Озерная, вл. 6 Озерная ул., вл. 6")</f>
        <v>Жилой дом с инженерными сетями и благоустройством территории по адресу: г. Москва, ЗАО, район Очаково-Матвеевское, улица Озерная, вл. 6 Озерная ул., вл. 6</v>
      </c>
      <c r="F1085" s="25" t="str">
        <f>IFERROR(__xludf.DUMMYFUNCTION("""COMPUTED_VALUE"""),"55.682204")</f>
        <v>55.682204</v>
      </c>
      <c r="G1085" s="6" t="str">
        <f>IFERROR(__xludf.DUMMYFUNCTION("""COMPUTED_VALUE"""),"37.459658")</f>
        <v>37.459658</v>
      </c>
      <c r="H1085" s="18" t="str">
        <f>IFERROR(__xludf.DUMMYFUNCTION("""COMPUTED_VALUE"""),"https://docs.google.com/spreadsheets/d/1lEcUd4exxkr5Za3IYZ0vdFNfMubnuMOOMXfmF3GYC9I/edit?gid=661362059#gid=661362059")</f>
        <v>https://docs.google.com/spreadsheets/d/1lEcUd4exxkr5Za3IYZ0vdFNfMubnuMOOMXfmF3GYC9I/edit?gid=661362059#gid=661362059</v>
      </c>
      <c r="I1085" s="19" t="str">
        <f>IFERROR(__xludf.DUMMYFUNCTION("""COMPUTED_VALUE"""),"https://disk.yandex.ru/client/disk/Осмотры%20объектов%20АНО%20СМГ/756.%20Озерная%20ул.%2C%20вл.%206")</f>
        <v>https://disk.yandex.ru/client/disk/Осмотры%20объектов%20АНО%20СМГ/756.%20Озерная%20ул.%2C%20вл.%206</v>
      </c>
      <c r="J1085" s="50">
        <f>IFERROR(__xludf.DUMMYFUNCTION("""COMPUTED_VALUE"""),0.0)</f>
        <v>0</v>
      </c>
      <c r="K1085" s="58">
        <f>IFERROR(__xludf.DUMMYFUNCTION("""COMPUTED_VALUE"""),45819.0)</f>
        <v>45819</v>
      </c>
      <c r="L1085" s="6">
        <v>30.0</v>
      </c>
      <c r="M1085" s="52">
        <v>45849.0</v>
      </c>
      <c r="N1085" s="53" t="s">
        <v>668</v>
      </c>
      <c r="O1085" s="19" t="s">
        <v>914</v>
      </c>
      <c r="P1085" s="6"/>
      <c r="Q1085" s="6"/>
      <c r="R1085" s="6"/>
    </row>
    <row r="1086">
      <c r="A1086" s="31" t="str">
        <f>IFERROR(__xludf.DUMMYFUNCTION("""COMPUTED_VALUE"""),"757")</f>
        <v>757</v>
      </c>
      <c r="B1086" s="14" t="str">
        <f>IFERROR(__xludf.DUMMYFUNCTION("""COMPUTED_VALUE"""),"РЕН-27")</f>
        <v>РЕН-27</v>
      </c>
      <c r="C1086" s="14" t="str">
        <f>IFERROR(__xludf.DUMMYFUNCTION("""COMPUTED_VALUE"""),"ОКС")</f>
        <v>ОКС</v>
      </c>
      <c r="D1086" s="6"/>
      <c r="E1086" s="14" t="str">
        <f>IFERROR(__xludf.DUMMYFUNCTION("""COMPUTED_VALUE"""),"Жилой дом с инженерными сетями и благоустройством территории, ЗАО, район Кунцево, Молодогвардейская ул., вл. 54, 58 Молодогвардейская улица, 54 с.19 (Молодогвардейская ул., вл. 54,58")</f>
        <v>Жилой дом с инженерными сетями и благоустройством территории, ЗАО, район Кунцево, Молодогвардейская ул., вл. 54, 58 Молодогвардейская улица, 54 с.19 (Молодогвардейская ул., вл. 54,58</v>
      </c>
      <c r="F1086" s="25" t="str">
        <f>IFERROR(__xludf.DUMMYFUNCTION("""COMPUTED_VALUE"""),"55.736285")</f>
        <v>55.736285</v>
      </c>
      <c r="G1086" s="6" t="str">
        <f>IFERROR(__xludf.DUMMYFUNCTION("""COMPUTED_VALUE"""),"37.396084")</f>
        <v>37.396084</v>
      </c>
      <c r="H1086" s="18" t="str">
        <f>IFERROR(__xludf.DUMMYFUNCTION("""COMPUTED_VALUE"""),"https://docs.google.com/spreadsheets/d/1lEcUd4exxkr5Za3IYZ0vdFNfMubnuMOOMXfmF3GYC9I/edit?gid=1425191616#gid=1425191616")</f>
        <v>https://docs.google.com/spreadsheets/d/1lEcUd4exxkr5Za3IYZ0vdFNfMubnuMOOMXfmF3GYC9I/edit?gid=1425191616#gid=1425191616</v>
      </c>
      <c r="I1086" s="19" t="str">
        <f>IFERROR(__xludf.DUMMYFUNCTION("""COMPUTED_VALUE"""),"https://disk.yandex.ru/client/disk/Осмотры%20объектов%20АНО%20СМГ/757.%20Молодогвардейская%20улица%2C%2054с19")</f>
        <v>https://disk.yandex.ru/client/disk/Осмотры%20объектов%20АНО%20СМГ/757.%20Молодогвардейская%20улица%2C%2054с19</v>
      </c>
      <c r="J1086" s="50">
        <f>IFERROR(__xludf.DUMMYFUNCTION("""COMPUTED_VALUE"""),0.0)</f>
        <v>0</v>
      </c>
      <c r="K1086" s="58">
        <f>IFERROR(__xludf.DUMMYFUNCTION("""COMPUTED_VALUE"""),45824.0)</f>
        <v>45824</v>
      </c>
      <c r="L1086" s="6">
        <v>30.0</v>
      </c>
      <c r="M1086" s="52">
        <v>45854.0</v>
      </c>
      <c r="N1086" s="53" t="s">
        <v>668</v>
      </c>
      <c r="O1086" s="19" t="s">
        <v>914</v>
      </c>
      <c r="P1086" s="6"/>
      <c r="Q1086" s="6"/>
      <c r="R1086" s="6"/>
    </row>
    <row r="1087">
      <c r="A1087" s="31" t="str">
        <f>IFERROR(__xludf.DUMMYFUNCTION("""COMPUTED_VALUE"""),"765")</f>
        <v>765</v>
      </c>
      <c r="B1087" s="14" t="str">
        <f>IFERROR(__xludf.DUMMYFUNCTION("""COMPUTED_VALUE"""),"РЕН-27")</f>
        <v>РЕН-27</v>
      </c>
      <c r="C1087" s="14" t="str">
        <f>IFERROR(__xludf.DUMMYFUNCTION("""COMPUTED_VALUE"""),"ОКС")</f>
        <v>ОКС</v>
      </c>
      <c r="D1087" s="6"/>
      <c r="E1087"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д.20 к.2 и Самаркандский б-р. д.20 к.3) п"&amp;"о адресу: г. Москва, внутригородское муниципальное образование Выхино-Жулебино, Самаркандский бульвар, земельный участок 20/1/2 (Юго-Восточный административный округ) Самаркандский бульвар, земельный участок 20/1/2")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д.20 к.2 и Самаркандский б-р. д.20 к.3) по адресу: г. Москва, внутригородское муниципальное образование Выхино-Жулебино, Самаркандский бульвар, земельный участок 20/1/2 (Юго-Восточный административный округ) Самаркандский бульвар, земельный участок 20/1/2</v>
      </c>
      <c r="F1087" s="25" t="str">
        <f>IFERROR(__xludf.DUMMYFUNCTION("""COMPUTED_VALUE"""),"55.70277514939662")</f>
        <v>55.70277514939662</v>
      </c>
      <c r="G1087" s="6" t="str">
        <f>IFERROR(__xludf.DUMMYFUNCTION("""COMPUTED_VALUE"""),"37.820260957007655")</f>
        <v>37.820260957007655</v>
      </c>
      <c r="H1087" s="18" t="str">
        <f>IFERROR(__xludf.DUMMYFUNCTION("""COMPUTED_VALUE"""),"https://docs.google.com/spreadsheets/d/1lEcUd4exxkr5Za3IYZ0vdFNfMubnuMOOMXfmF3GYC9I/edit?gid=797603561#gid=797603561")</f>
        <v>https://docs.google.com/spreadsheets/d/1lEcUd4exxkr5Za3IYZ0vdFNfMubnuMOOMXfmF3GYC9I/edit?gid=797603561#gid=797603561</v>
      </c>
      <c r="I1087" s="19" t="str">
        <f>IFERROR(__xludf.DUMMYFUNCTION("""COMPUTED_VALUE"""),"https://disk.yandex.ru/client/disk/Осмотры%20объектов%20АНО%20СМГ/765.%20Самаркандский%20б-р%2020-1-2(реновация)")</f>
        <v>https://disk.yandex.ru/client/disk/Осмотры%20объектов%20АНО%20СМГ/765.%20Самаркандский%20б-р%2020-1-2(реновация)</v>
      </c>
      <c r="J1087" s="50">
        <f>IFERROR(__xludf.DUMMYFUNCTION("""COMPUTED_VALUE"""),0.0)</f>
        <v>0</v>
      </c>
      <c r="K1087" s="58">
        <f>IFERROR(__xludf.DUMMYFUNCTION("""COMPUTED_VALUE"""),45807.0)</f>
        <v>45807</v>
      </c>
      <c r="L1087" s="6">
        <v>30.0</v>
      </c>
      <c r="M1087" s="52">
        <v>45837.0</v>
      </c>
      <c r="N1087" s="53" t="s">
        <v>668</v>
      </c>
      <c r="O1087" s="19" t="s">
        <v>914</v>
      </c>
      <c r="P1087" s="6"/>
      <c r="Q1087" s="6"/>
      <c r="R1087" s="6"/>
    </row>
    <row r="1088">
      <c r="A1088" s="31" t="str">
        <f>IFERROR(__xludf.DUMMYFUNCTION("""COMPUTED_VALUE"""),"776")</f>
        <v>776</v>
      </c>
      <c r="B1088" s="14" t="str">
        <f>IFERROR(__xludf.DUMMYFUNCTION("""COMPUTED_VALUE"""),"РЕН-27")</f>
        <v>РЕН-27</v>
      </c>
      <c r="C1088" s="14" t="str">
        <f>IFERROR(__xludf.DUMMYFUNCTION("""COMPUTED_VALUE"""),"ОКС")</f>
        <v>ОКС</v>
      </c>
      <c r="D1088" s="6"/>
      <c r="E1088"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ул. Генерала Рычагова, дома: 20, 22, 24, 26), район Коп"&amp;"тево, ул. Генерала Рычагова, земельный участок 22 (Зоны 9.3, 9.5) ул. Генерала Рычагова, кв. 100, зона № 9.3")</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ул. Генерала Рычагова, дома: 20, 22, 24, 26), район Коптево, ул. Генерала Рычагова, земельный участок 22 (Зоны 9.3, 9.5) ул. Генерала Рычагова, кв. 100, зона № 9.3</v>
      </c>
      <c r="F1088" s="25" t="str">
        <f>IFERROR(__xludf.DUMMYFUNCTION("""COMPUTED_VALUE"""),"55.841291")</f>
        <v>55.841291</v>
      </c>
      <c r="G1088" s="6" t="str">
        <f>IFERROR(__xludf.DUMMYFUNCTION("""COMPUTED_VALUE"""),"37.539599")</f>
        <v>37.539599</v>
      </c>
      <c r="H1088" s="18" t="str">
        <f>IFERROR(__xludf.DUMMYFUNCTION("""COMPUTED_VALUE"""),"https://docs.google.com/spreadsheets/d/1lEcUd4exxkr5Za3IYZ0vdFNfMubnuMOOMXfmF3GYC9I/edit?gid=1117044536#gid=1117044536")</f>
        <v>https://docs.google.com/spreadsheets/d/1lEcUd4exxkr5Za3IYZ0vdFNfMubnuMOOMXfmF3GYC9I/edit?gid=1117044536#gid=1117044536</v>
      </c>
      <c r="I1088" s="19" t="str">
        <f>IFERROR(__xludf.DUMMYFUNCTION("""COMPUTED_VALUE"""),"https://disk.yandex.ru/client/disk/Осмотры%20объектов%20АНО%20СМГ/776.%20ул.%20Генерала%20Рычагова%2C%20кв.100")</f>
        <v>https://disk.yandex.ru/client/disk/Осмотры%20объектов%20АНО%20СМГ/776.%20ул.%20Генерала%20Рычагова%2C%20кв.100</v>
      </c>
      <c r="J1088" s="50">
        <f>IFERROR(__xludf.DUMMYFUNCTION("""COMPUTED_VALUE"""),0.0)</f>
        <v>0</v>
      </c>
      <c r="K1088" s="58">
        <f>IFERROR(__xludf.DUMMYFUNCTION("""COMPUTED_VALUE"""),45819.0)</f>
        <v>45819</v>
      </c>
      <c r="L1088" s="6">
        <v>30.0</v>
      </c>
      <c r="M1088" s="52">
        <v>45849.0</v>
      </c>
      <c r="N1088" s="53" t="s">
        <v>668</v>
      </c>
      <c r="O1088" s="19" t="s">
        <v>914</v>
      </c>
      <c r="P1088" s="6"/>
      <c r="Q1088" s="6"/>
      <c r="R1088" s="6"/>
    </row>
    <row r="1089">
      <c r="A1089" s="31" t="str">
        <f>IFERROR(__xludf.DUMMYFUNCTION("""COMPUTED_VALUE"""),"777")</f>
        <v>777</v>
      </c>
      <c r="B1089" s="14" t="str">
        <f>IFERROR(__xludf.DUMMYFUNCTION("""COMPUTED_VALUE"""),"РЕН-27")</f>
        <v>РЕН-27</v>
      </c>
      <c r="C1089" s="14" t="str">
        <f>IFERROR(__xludf.DUMMYFUNCTION("""COMPUTED_VALUE"""),"ОКС")</f>
        <v>ОКС</v>
      </c>
      <c r="D1089" s="6"/>
      <c r="E1089"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здания по адресу: ул. Героев Панфиловцев, д. 29, к. 2) по адресу: г. Москва, "&amp;"внутригородское муниципальное образование Северное Тушино, ул. Героев Панфиловцев, земельный участок 29 (Северо-Западный административный округ) ул. Героев Панфиловцев, земельный участок 29")</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здания по адресу: ул. Героев Панфиловцев, д. 29, к. 2) по адресу: г. Москва, внутригородское муниципальное образование Северное Тушино, ул. Героев Панфиловцев, земельный участок 29 (Северо-Западный административный округ) ул. Героев Панфиловцев, земельный участок 29</v>
      </c>
      <c r="F1089" s="25" t="str">
        <f>IFERROR(__xludf.DUMMYFUNCTION("""COMPUTED_VALUE"""),"55.854941486576315")</f>
        <v>55.854941486576315</v>
      </c>
      <c r="G1089" s="6" t="str">
        <f>IFERROR(__xludf.DUMMYFUNCTION("""COMPUTED_VALUE"""),"37.41566127976043")</f>
        <v>37.41566127976043</v>
      </c>
      <c r="H1089" s="18" t="str">
        <f>IFERROR(__xludf.DUMMYFUNCTION("""COMPUTED_VALUE"""),"https://docs.google.com/spreadsheets/d/1lEcUd4exxkr5Za3IYZ0vdFNfMubnuMOOMXfmF3GYC9I/edit?gid=1435485307#gid=1435485307")</f>
        <v>https://docs.google.com/spreadsheets/d/1lEcUd4exxkr5Za3IYZ0vdFNfMubnuMOOMXfmF3GYC9I/edit?gid=1435485307#gid=1435485307</v>
      </c>
      <c r="I1089" s="19" t="str">
        <f>IFERROR(__xludf.DUMMYFUNCTION("""COMPUTED_VALUE"""),"https://disk.yandex.ru/client/disk/Осмотры%20объектов%20АНО%20СМГ/777.%20Ул%20Героев%20Панфиловцев%20уч%2029")</f>
        <v>https://disk.yandex.ru/client/disk/Осмотры%20объектов%20АНО%20СМГ/777.%20Ул%20Героев%20Панфиловцев%20уч%2029</v>
      </c>
      <c r="J1089" s="50">
        <f>IFERROR(__xludf.DUMMYFUNCTION("""COMPUTED_VALUE"""),0.0)</f>
        <v>0</v>
      </c>
      <c r="K1089" s="58">
        <f>IFERROR(__xludf.DUMMYFUNCTION("""COMPUTED_VALUE"""),45819.0)</f>
        <v>45819</v>
      </c>
      <c r="L1089" s="6">
        <v>30.0</v>
      </c>
      <c r="M1089" s="52">
        <v>45849.0</v>
      </c>
      <c r="N1089" s="53" t="s">
        <v>668</v>
      </c>
      <c r="O1089" s="19" t="s">
        <v>1235</v>
      </c>
      <c r="P1089" s="6"/>
      <c r="Q1089" s="6"/>
      <c r="R1089" s="6"/>
    </row>
    <row r="1090">
      <c r="A1090" s="31" t="str">
        <f>IFERROR(__xludf.DUMMYFUNCTION("""COMPUTED_VALUE"""),"704")</f>
        <v>704</v>
      </c>
      <c r="B1090" s="14" t="str">
        <f>IFERROR(__xludf.DUMMYFUNCTION("""COMPUTED_VALUE"""),"РЕН-27")</f>
        <v>РЕН-27</v>
      </c>
      <c r="C1090" s="14" t="str">
        <f>IFERROR(__xludf.DUMMYFUNCTION("""COMPUTED_VALUE"""),"ОКС")</f>
        <v>ОКС</v>
      </c>
      <c r="D1090" s="6"/>
      <c r="E1090" s="14" t="str">
        <f>IFERROR(__xludf.DUMMYFUNCTION("""COMPUTED_VALUE"""),"ТАО, пос. Михайлово-Ярцевское, п. Шишкин Лес, уч. 59, зона №  5.2	 Шишкин Лес, зона 5.2")</f>
        <v>ТАО, пос. Михайлово-Ярцевское, п. Шишкин Лес, уч. 59, зона №  5.2	 Шишкин Лес, зона 5.2</v>
      </c>
      <c r="F1090" s="25" t="str">
        <f>IFERROR(__xludf.DUMMYFUNCTION("""COMPUTED_VALUE"""),"55.41043726896454")</f>
        <v>55.41043726896454</v>
      </c>
      <c r="G1090" s="6" t="str">
        <f>IFERROR(__xludf.DUMMYFUNCTION("""COMPUTED_VALUE"""),"37.189467742743645")</f>
        <v>37.189467742743645</v>
      </c>
      <c r="H1090" s="18" t="str">
        <f>IFERROR(__xludf.DUMMYFUNCTION("""COMPUTED_VALUE"""),"https://docs.google.com/spreadsheets/d/1lEcUd4exxkr5Za3IYZ0vdFNfMubnuMOOMXfmF3GYC9I/edit?gid=679792885#gid=679792885")</f>
        <v>https://docs.google.com/spreadsheets/d/1lEcUd4exxkr5Za3IYZ0vdFNfMubnuMOOMXfmF3GYC9I/edit?gid=679792885#gid=679792885</v>
      </c>
      <c r="I1090" s="19" t="str">
        <f>IFERROR(__xludf.DUMMYFUNCTION("""COMPUTED_VALUE"""),"https://disk.yandex.ru/client/disk/Осмотры%20объектов%20АНО%20СМГ/704.%20пос.%20Михайлово-Ярцевское%2C%20п.%20Шишкин%20Лес%2C%20уч.%2059%2C%20зона%20№%205.2")</f>
        <v>https://disk.yandex.ru/client/disk/Осмотры%20объектов%20АНО%20СМГ/704.%20пос.%20Михайлово-Ярцевское%2C%20п.%20Шишкин%20Лес%2C%20уч.%2059%2C%20зона%20№%205.2</v>
      </c>
      <c r="J1090" s="50">
        <f>IFERROR(__xludf.DUMMYFUNCTION("""COMPUTED_VALUE"""),0.0)</f>
        <v>0</v>
      </c>
      <c r="K1090" s="58">
        <f>IFERROR(__xludf.DUMMYFUNCTION("""COMPUTED_VALUE"""),45905.0)</f>
        <v>45905</v>
      </c>
      <c r="L1090" s="6">
        <v>30.0</v>
      </c>
      <c r="M1090" s="52">
        <v>45935.0</v>
      </c>
      <c r="N1090" s="53" t="s">
        <v>668</v>
      </c>
      <c r="O1090" s="19" t="s">
        <v>914</v>
      </c>
      <c r="P1090" s="6"/>
      <c r="Q1090" s="6"/>
      <c r="R1090" s="6"/>
    </row>
    <row r="1091">
      <c r="A1091" s="31" t="str">
        <f>IFERROR(__xludf.DUMMYFUNCTION("""COMPUTED_VALUE"""),"701")</f>
        <v>701</v>
      </c>
      <c r="B1091" s="14" t="str">
        <f>IFERROR(__xludf.DUMMYFUNCTION("""COMPUTED_VALUE"""),"РЕН-27")</f>
        <v>РЕН-27</v>
      </c>
      <c r="C1091" s="14" t="str">
        <f>IFERROR(__xludf.DUMMYFUNCTION("""COMPUTED_VALUE"""),"ОКС")</f>
        <v>ОКС</v>
      </c>
      <c r="D1091" s="6"/>
      <c r="E1091" s="14" t="str">
        <f>IFERROR(__xludf.DUMMYFUNCTION("""COMPUTED_VALUE"""),"ТАО, пос. Михайлово-Ярцевское, п. Шишкин Лес, зу 23В, зона №  5.1	 Шишкин Лес, зона 5.1")</f>
        <v>ТАО, пос. Михайлово-Ярцевское, п. Шишкин Лес, зу 23В, зона №  5.1	 Шишкин Лес, зона 5.1</v>
      </c>
      <c r="F1091" s="25" t="str">
        <f>IFERROR(__xludf.DUMMYFUNCTION("""COMPUTED_VALUE"""),"55.40995505619883")</f>
        <v>55.40995505619883</v>
      </c>
      <c r="G1091" s="6" t="str">
        <f>IFERROR(__xludf.DUMMYFUNCTION("""COMPUTED_VALUE"""),"37.1879925277855")</f>
        <v>37.1879925277855</v>
      </c>
      <c r="H1091" s="18" t="str">
        <f>IFERROR(__xludf.DUMMYFUNCTION("""COMPUTED_VALUE"""),"https://docs.google.com/spreadsheets/d/1lEcUd4exxkr5Za3IYZ0vdFNfMubnuMOOMXfmF3GYC9I/edit?gid=282111024#gid=282111024")</f>
        <v>https://docs.google.com/spreadsheets/d/1lEcUd4exxkr5Za3IYZ0vdFNfMubnuMOOMXfmF3GYC9I/edit?gid=282111024#gid=282111024</v>
      </c>
      <c r="I1091" s="19" t="str">
        <f>IFERROR(__xludf.DUMMYFUNCTION("""COMPUTED_VALUE"""),"https://disk.yandex.ru/client/disk/Осмотры%20объектов%20АНО%20СМГ/701.%20пос.%20Михайлово-Ярцевское%2C%20п.%20Шишкин%20Лес%2C%20зу%2023В%2C%20зона%20№%205.1")</f>
        <v>https://disk.yandex.ru/client/disk/Осмотры%20объектов%20АНО%20СМГ/701.%20пос.%20Михайлово-Ярцевское%2C%20п.%20Шишкин%20Лес%2C%20зу%2023В%2C%20зона%20№%205.1</v>
      </c>
      <c r="J1091" s="50">
        <f>IFERROR(__xludf.DUMMYFUNCTION("""COMPUTED_VALUE"""),0.0)</f>
        <v>0</v>
      </c>
      <c r="K1091" s="58">
        <f>IFERROR(__xludf.DUMMYFUNCTION("""COMPUTED_VALUE"""),45819.0)</f>
        <v>45819</v>
      </c>
      <c r="L1091" s="6">
        <v>30.0</v>
      </c>
      <c r="M1091" s="52">
        <v>45849.0</v>
      </c>
      <c r="N1091" s="53" t="s">
        <v>668</v>
      </c>
      <c r="O1091" s="19" t="s">
        <v>914</v>
      </c>
      <c r="P1091" s="6"/>
      <c r="Q1091" s="6"/>
      <c r="R1091" s="6"/>
    </row>
    <row r="1092">
      <c r="A1092" s="31" t="str">
        <f>IFERROR(__xludf.DUMMYFUNCTION("""COMPUTED_VALUE"""),"914")</f>
        <v>914</v>
      </c>
      <c r="B1092" s="14" t="str">
        <f>IFERROR(__xludf.DUMMYFUNCTION("""COMPUTED_VALUE"""),"РЕН-27")</f>
        <v>РЕН-27</v>
      </c>
      <c r="C1092" s="14" t="str">
        <f>IFERROR(__xludf.DUMMYFUNCTION("""COMPUTED_VALUE"""),"ОКС")</f>
        <v>ОКС</v>
      </c>
      <c r="D1092" s="6"/>
      <c r="E1092" s="14" t="str">
        <f>IFERROR(__xludf.DUMMYFUNCTION("""COMPUTED_VALUE"""),"Булатниковская ул., вл.1, корп.1-3 Булатниковская ул., вл.1, корп.1-3")</f>
        <v>Булатниковская ул., вл.1, корп.1-3 Булатниковская ул., вл.1, корп.1-3</v>
      </c>
      <c r="F1092" s="25" t="str">
        <f>IFERROR(__xludf.DUMMYFUNCTION("""COMPUTED_VALUE"""),"55.57852821256863")</f>
        <v>55.57852821256863</v>
      </c>
      <c r="G1092" s="6" t="str">
        <f>IFERROR(__xludf.DUMMYFUNCTION("""COMPUTED_VALUE"""),"37.65703672883587")</f>
        <v>37.65703672883587</v>
      </c>
      <c r="H1092" s="18" t="str">
        <f>IFERROR(__xludf.DUMMYFUNCTION("""COMPUTED_VALUE"""),"https://docs.google.com/spreadsheets/d/1lEcUd4exxkr5Za3IYZ0vdFNfMubnuMOOMXfmF3GYC9I/edit?gid=815985378#gid=815985378")</f>
        <v>https://docs.google.com/spreadsheets/d/1lEcUd4exxkr5Za3IYZ0vdFNfMubnuMOOMXfmF3GYC9I/edit?gid=815985378#gid=815985378</v>
      </c>
      <c r="I1092" s="19" t="str">
        <f>IFERROR(__xludf.DUMMYFUNCTION("""COMPUTED_VALUE"""),"https://disk.yandex.ru/client/disk/Осмотры%20объектов%20АНО%20СМГ/914.%20Булатниковская%20ул.%2C%20вл.%201%2C%20корп.%201-3.%20Жилой%20дом")</f>
        <v>https://disk.yandex.ru/client/disk/Осмотры%20объектов%20АНО%20СМГ/914.%20Булатниковская%20ул.%2C%20вл.%201%2C%20корп.%201-3.%20Жилой%20дом</v>
      </c>
      <c r="J1092" s="50">
        <f>IFERROR(__xludf.DUMMYFUNCTION("""COMPUTED_VALUE"""),0.0)</f>
        <v>0</v>
      </c>
      <c r="K1092" s="58"/>
      <c r="L1092" s="6">
        <v>30.0</v>
      </c>
      <c r="M1092" s="52" t="s">
        <v>655</v>
      </c>
      <c r="N1092" s="53" t="s">
        <v>698</v>
      </c>
      <c r="O1092" s="19" t="s">
        <v>914</v>
      </c>
      <c r="P1092" s="6"/>
      <c r="Q1092" s="6"/>
      <c r="R1092" s="6"/>
    </row>
    <row r="1093">
      <c r="A1093" s="31" t="str">
        <f>IFERROR(__xludf.DUMMYFUNCTION("""COMPUTED_VALUE"""),"901")</f>
        <v>901</v>
      </c>
      <c r="B1093" s="14" t="str">
        <f>IFERROR(__xludf.DUMMYFUNCTION("""COMPUTED_VALUE"""),"РЕН-27")</f>
        <v>РЕН-27</v>
      </c>
      <c r="C1093" s="14" t="str">
        <f>IFERROR(__xludf.DUMMYFUNCTION("""COMPUTED_VALUE"""),"ОКС")</f>
        <v>ОКС</v>
      </c>
      <c r="D1093" s="6"/>
      <c r="E1093" s="14" t="str">
        <f>IFERROR(__xludf.DUMMYFUNCTION("""COMPUTED_VALUE"""),"Докукина ул., з/у 10/2			 Докукина ул., з/у 10/2")</f>
        <v>Докукина ул., з/у 10/2			 Докукина ул., з/у 10/2</v>
      </c>
      <c r="F1093" s="25" t="str">
        <f>IFERROR(__xludf.DUMMYFUNCTION("""COMPUTED_VALUE"""),"55.84024881390497")</f>
        <v>55.84024881390497</v>
      </c>
      <c r="G1093" s="6" t="str">
        <f>IFERROR(__xludf.DUMMYFUNCTION("""COMPUTED_VALUE"""),"37.65483762565504")</f>
        <v>37.65483762565504</v>
      </c>
      <c r="H1093" s="18" t="str">
        <f>IFERROR(__xludf.DUMMYFUNCTION("""COMPUTED_VALUE"""),"https://docs.google.com/spreadsheets/d/1lEcUd4exxkr5Za3IYZ0vdFNfMubnuMOOMXfmF3GYC9I/edit?gid=88187945#gid=88187945")</f>
        <v>https://docs.google.com/spreadsheets/d/1lEcUd4exxkr5Za3IYZ0vdFNfMubnuMOOMXfmF3GYC9I/edit?gid=88187945#gid=88187945</v>
      </c>
      <c r="I1093" s="19" t="str">
        <f>IFERROR(__xludf.DUMMYFUNCTION("""COMPUTED_VALUE"""),"https://disk.yandex.ru/client/disk/Осмотры%20объектов%20АНО%20СМГ/901%20ул.%20Докукина%2C%20зу%2010%202")</f>
        <v>https://disk.yandex.ru/client/disk/Осмотры%20объектов%20АНО%20СМГ/901%20ул.%20Докукина%2C%20зу%2010%202</v>
      </c>
      <c r="J1093" s="50">
        <f>IFERROR(__xludf.DUMMYFUNCTION("""COMPUTED_VALUE"""),0.0)</f>
        <v>0</v>
      </c>
      <c r="K1093" s="58">
        <f>IFERROR(__xludf.DUMMYFUNCTION("""COMPUTED_VALUE"""),45811.0)</f>
        <v>45811</v>
      </c>
      <c r="L1093" s="6">
        <v>30.0</v>
      </c>
      <c r="M1093" s="52">
        <v>45841.0</v>
      </c>
      <c r="N1093" s="53" t="s">
        <v>668</v>
      </c>
      <c r="O1093" s="19" t="s">
        <v>914</v>
      </c>
      <c r="P1093" s="6"/>
      <c r="Q1093" s="6"/>
      <c r="R1093" s="6"/>
    </row>
    <row r="1094">
      <c r="A1094" s="31" t="str">
        <f>IFERROR(__xludf.DUMMYFUNCTION("""COMPUTED_VALUE"""),"898")</f>
        <v>898</v>
      </c>
      <c r="B1094" s="14" t="str">
        <f>IFERROR(__xludf.DUMMYFUNCTION("""COMPUTED_VALUE"""),"РЕН-27")</f>
        <v>РЕН-27</v>
      </c>
      <c r="C1094" s="14" t="str">
        <f>IFERROR(__xludf.DUMMYFUNCTION("""COMPUTED_VALUE"""),"ОКС")</f>
        <v>ОКС</v>
      </c>
      <c r="D1094" s="6"/>
      <c r="E1094" s="14" t="str">
        <f>IFERROR(__xludf.DUMMYFUNCTION("""COMPUTED_VALUE"""),"Жилой дом с инженерными сетями и благоустройством территории, СВАО, район Марфино, Ботаническая ул., вл. 37А ул. Ботаническая, з/у 37А (Ботаническая ул., вл. 37А)")</f>
        <v>Жилой дом с инженерными сетями и благоустройством территории, СВАО, район Марфино, Ботаническая ул., вл. 37А ул. Ботаническая, з/у 37А (Ботаническая ул., вл. 37А)</v>
      </c>
      <c r="F1094" s="25" t="str">
        <f>IFERROR(__xludf.DUMMYFUNCTION("""COMPUTED_VALUE"""),"55.84409443461212")</f>
        <v>55.84409443461212</v>
      </c>
      <c r="G1094" s="6" t="str">
        <f>IFERROR(__xludf.DUMMYFUNCTION("""COMPUTED_VALUE"""),"37.58350936938004")</f>
        <v>37.58350936938004</v>
      </c>
      <c r="H1094" s="18" t="str">
        <f>IFERROR(__xludf.DUMMYFUNCTION("""COMPUTED_VALUE"""),"https://docs.google.com/spreadsheets/d/1lEcUd4exxkr5Za3IYZ0vdFNfMubnuMOOMXfmF3GYC9I/edit?gid=729528967#gid=729528967")</f>
        <v>https://docs.google.com/spreadsheets/d/1lEcUd4exxkr5Za3IYZ0vdFNfMubnuMOOMXfmF3GYC9I/edit?gid=729528967#gid=729528967</v>
      </c>
      <c r="I1094" s="19" t="str">
        <f>IFERROR(__xludf.DUMMYFUNCTION("""COMPUTED_VALUE"""),"https://disk.yandex.ru/client/disk/Осмотры%20объектов%20АНО%20СМГ/898.%20Ботаническая%20зу%2037А")</f>
        <v>https://disk.yandex.ru/client/disk/Осмотры%20объектов%20АНО%20СМГ/898.%20Ботаническая%20зу%2037А</v>
      </c>
      <c r="J1094" s="50">
        <f>IFERROR(__xludf.DUMMYFUNCTION("""COMPUTED_VALUE"""),0.0)</f>
        <v>0</v>
      </c>
      <c r="K1094" s="58">
        <f>IFERROR(__xludf.DUMMYFUNCTION("""COMPUTED_VALUE"""),45811.0)</f>
        <v>45811</v>
      </c>
      <c r="L1094" s="6">
        <v>30.0</v>
      </c>
      <c r="M1094" s="52">
        <v>45841.0</v>
      </c>
      <c r="N1094" s="53" t="s">
        <v>668</v>
      </c>
      <c r="O1094" s="19" t="s">
        <v>914</v>
      </c>
      <c r="P1094" s="6"/>
      <c r="Q1094" s="6"/>
      <c r="R1094" s="6"/>
    </row>
    <row r="1095">
      <c r="A1095" s="31" t="str">
        <f>IFERROR(__xludf.DUMMYFUNCTION("""COMPUTED_VALUE"""),"897")</f>
        <v>897</v>
      </c>
      <c r="B1095" s="14" t="str">
        <f>IFERROR(__xludf.DUMMYFUNCTION("""COMPUTED_VALUE"""),"РЕН-27")</f>
        <v>РЕН-27</v>
      </c>
      <c r="C1095" s="14" t="str">
        <f>IFERROR(__xludf.DUMMYFUNCTION("""COMPUTED_VALUE"""),"ОКС")</f>
        <v>ОКС</v>
      </c>
      <c r="D1095" s="6"/>
      <c r="E1095" s="14" t="str">
        <f>IFERROR(__xludf.DUMMYFUNCTION("""COMPUTED_VALUE"""),"Жилой дом с инженерными сетями и благоустройством территории, СВАО, район Марфино, Ботаническая ул., вл. 39 ул. Ботаническая, з/у 39 (Ботаническая ул., вл. 39)")</f>
        <v>Жилой дом с инженерными сетями и благоустройством территории, СВАО, район Марфино, Ботаническая ул., вл. 39 ул. Ботаническая, з/у 39 (Ботаническая ул., вл. 39)</v>
      </c>
      <c r="F1095" s="25" t="str">
        <f>IFERROR(__xludf.DUMMYFUNCTION("""COMPUTED_VALUE"""),"55.84535")</f>
        <v>55.84535</v>
      </c>
      <c r="G1095" s="6" t="str">
        <f>IFERROR(__xludf.DUMMYFUNCTION("""COMPUTED_VALUE"""),"37.583158")</f>
        <v>37.583158</v>
      </c>
      <c r="H1095" s="18" t="str">
        <f>IFERROR(__xludf.DUMMYFUNCTION("""COMPUTED_VALUE"""),"https://docs.google.com/spreadsheets/d/1lEcUd4exxkr5Za3IYZ0vdFNfMubnuMOOMXfmF3GYC9I/edit?gid=1609158785#gid=1609158785")</f>
        <v>https://docs.google.com/spreadsheets/d/1lEcUd4exxkr5Za3IYZ0vdFNfMubnuMOOMXfmF3GYC9I/edit?gid=1609158785#gid=1609158785</v>
      </c>
      <c r="I1095" s="19" t="str">
        <f>IFERROR(__xludf.DUMMYFUNCTION("""COMPUTED_VALUE"""),"https://disk.yandex.ru/client/disk/Осмотры%20объектов%20АНО%20СМГ/897.%20Ботаническая%20зу%2039")</f>
        <v>https://disk.yandex.ru/client/disk/Осмотры%20объектов%20АНО%20СМГ/897.%20Ботаническая%20зу%2039</v>
      </c>
      <c r="J1095" s="50">
        <f>IFERROR(__xludf.DUMMYFUNCTION("""COMPUTED_VALUE"""),0.0)</f>
        <v>0</v>
      </c>
      <c r="K1095" s="58">
        <f>IFERROR(__xludf.DUMMYFUNCTION("""COMPUTED_VALUE"""),45811.0)</f>
        <v>45811</v>
      </c>
      <c r="L1095" s="6">
        <v>30.0</v>
      </c>
      <c r="M1095" s="52">
        <v>45841.0</v>
      </c>
      <c r="N1095" s="53" t="s">
        <v>668</v>
      </c>
      <c r="O1095" s="19" t="s">
        <v>914</v>
      </c>
      <c r="P1095" s="6"/>
      <c r="Q1095" s="6"/>
      <c r="R1095" s="6"/>
    </row>
    <row r="1096">
      <c r="A1096" s="31" t="str">
        <f>IFERROR(__xludf.DUMMYFUNCTION("""COMPUTED_VALUE"""),"960")</f>
        <v>960</v>
      </c>
      <c r="B1096" s="14" t="str">
        <f>IFERROR(__xludf.DUMMYFUNCTION("""COMPUTED_VALUE"""),"РЕН-27")</f>
        <v>РЕН-27</v>
      </c>
      <c r="C1096" s="14" t="str">
        <f>IFERROR(__xludf.DUMMYFUNCTION("""COMPUTED_VALUE"""),"ОКС")</f>
        <v>ОКС</v>
      </c>
      <c r="D1096" s="6"/>
      <c r="E1096" s="14" t="str">
        <f>IFERROR(__xludf.DUMMYFUNCTION("""COMPUTED_VALUE"""),"Приобретение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Войковское,  улица Адмирала Макарова, зем"&amp;"ельный участок 2 Адмирала Макарова ул., вл. 2")</f>
        <v>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Войковское,  улица Адмирала Макарова, земельный участок 2 Адмирала Макарова ул., вл. 2</v>
      </c>
      <c r="F1096" s="25" t="str">
        <f>IFERROR(__xludf.DUMMYFUNCTION("""COMPUTED_VALUE"""),"55.829621334123345")</f>
        <v>55.829621334123345</v>
      </c>
      <c r="G1096" s="6" t="str">
        <f>IFERROR(__xludf.DUMMYFUNCTION("""COMPUTED_VALUE"""),"37.500326959027845")</f>
        <v>37.500326959027845</v>
      </c>
      <c r="H1096" s="18" t="str">
        <f>IFERROR(__xludf.DUMMYFUNCTION("""COMPUTED_VALUE"""),"https://docs.google.com/spreadsheets/d/1lEcUd4exxkr5Za3IYZ0vdFNfMubnuMOOMXfmF3GYC9I/edit?gid=1079458308#gid=1079458308")</f>
        <v>https://docs.google.com/spreadsheets/d/1lEcUd4exxkr5Za3IYZ0vdFNfMubnuMOOMXfmF3GYC9I/edit?gid=1079458308#gid=1079458308</v>
      </c>
      <c r="I1096" s="19" t="str">
        <f>IFERROR(__xludf.DUMMYFUNCTION("""COMPUTED_VALUE"""),"https://disk.yandex.ru/client/disk/Осмотры%20объектов%20АНО%20СМГ/960.%20Адмирала%20Макарова%20ул.%2C%20вл.%202")</f>
        <v>https://disk.yandex.ru/client/disk/Осмотры%20объектов%20АНО%20СМГ/960.%20Адмирала%20Макарова%20ул.%2C%20вл.%202</v>
      </c>
      <c r="J1096" s="50">
        <f>IFERROR(__xludf.DUMMYFUNCTION("""COMPUTED_VALUE"""),0.0)</f>
        <v>0</v>
      </c>
      <c r="K1096" s="58">
        <f>IFERROR(__xludf.DUMMYFUNCTION("""COMPUTED_VALUE"""),45819.0)</f>
        <v>45819</v>
      </c>
      <c r="L1096" s="6">
        <v>30.0</v>
      </c>
      <c r="M1096" s="52">
        <v>45849.0</v>
      </c>
      <c r="N1096" s="53" t="s">
        <v>668</v>
      </c>
      <c r="O1096" s="19" t="s">
        <v>669</v>
      </c>
      <c r="P1096" s="6"/>
      <c r="Q1096" s="6"/>
      <c r="R1096" s="6"/>
    </row>
    <row r="1097">
      <c r="A1097" s="31" t="str">
        <f>IFERROR(__xludf.DUMMYFUNCTION("""COMPUTED_VALUE"""),"967")</f>
        <v>967</v>
      </c>
      <c r="B1097" s="14" t="str">
        <f>IFERROR(__xludf.DUMMYFUNCTION("""COMPUTED_VALUE"""),"РЕН-27")</f>
        <v>РЕН-27</v>
      </c>
      <c r="C1097" s="14" t="str">
        <f>IFERROR(__xludf.DUMMYFUNCTION("""COMPUTED_VALUE"""),"ОКС")</f>
        <v>ОКС</v>
      </c>
      <c r="D1097" s="6"/>
      <c r="E1097" s="14" t="str">
        <f>IFERROR(__xludf.DUMMYFUNCTION("""COMPUTED_VALUE"""),"Приобретение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Нижегородское, Рязанский проспект, земель"&amp;"ный участок 17 (Рязанский пр-т, вл. 17) Рязанский пр-т, вл. 17")</f>
        <v>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Нижегородское, Рязанский проспект, земельный участок 17 (Рязанский пр-т, вл. 17) Рязанский пр-т, вл. 17</v>
      </c>
      <c r="F1097" s="25" t="str">
        <f>IFERROR(__xludf.DUMMYFUNCTION("""COMPUTED_VALUE"""),"55.73087556933392")</f>
        <v>55.73087556933392</v>
      </c>
      <c r="G1097" s="6" t="str">
        <f>IFERROR(__xludf.DUMMYFUNCTION("""COMPUTED_VALUE"""),"37.742866845229734")</f>
        <v>37.742866845229734</v>
      </c>
      <c r="H1097" s="18" t="str">
        <f>IFERROR(__xludf.DUMMYFUNCTION("""COMPUTED_VALUE"""),"https://docs.google.com/spreadsheets/d/1lEcUd4exxkr5Za3IYZ0vdFNfMubnuMOOMXfmF3GYC9I/edit?gid=1759169591#gid=1759169591")</f>
        <v>https://docs.google.com/spreadsheets/d/1lEcUd4exxkr5Za3IYZ0vdFNfMubnuMOOMXfmF3GYC9I/edit?gid=1759169591#gid=1759169591</v>
      </c>
      <c r="I1097" s="21" t="str">
        <f>IFERROR(__xludf.DUMMYFUNCTION("""COMPUTED_VALUE"""),"https://disk.yandex.ru/client/disk/%D0%9E%D1%81%D0%BC%D0%BE%D1%82%D1%80%D1%8B%20%D0%BE%D0%B1%D1%8A%D0%B5%D0%BA%D1%82%D0%BE%D0%B2%20%D0%90%D0%9D%D0%9E%20%D0%A1%D0%9C%D0%93/967%20%D0%A0%D1%8F%D0%B7%D0%B0%D0%BD%D1%81%D0%BA%D0%B8%D0%B9%20%D0%BF%D1%80-%D1%82%2"&amp;"C%20%D0%B2%D0%BB.%2017")</f>
        <v>https://disk.yandex.ru/client/disk/%D0%9E%D1%81%D0%BC%D0%BE%D1%82%D1%80%D1%8B%20%D0%BE%D0%B1%D1%8A%D0%B5%D0%BA%D1%82%D0%BE%D0%B2%20%D0%90%D0%9D%D0%9E%20%D0%A1%D0%9C%D0%93/967%20%D0%A0%D1%8F%D0%B7%D0%B0%D0%BD%D1%81%D0%BA%D0%B8%D0%B9%20%D0%BF%D1%80-%D1%82%2C%20%D0%B2%D0%BB.%2017</v>
      </c>
      <c r="J1097" s="50">
        <f>IFERROR(__xludf.DUMMYFUNCTION("""COMPUTED_VALUE"""),0.0)</f>
        <v>0</v>
      </c>
      <c r="K1097" s="58">
        <f>IFERROR(__xludf.DUMMYFUNCTION("""COMPUTED_VALUE"""),45818.0)</f>
        <v>45818</v>
      </c>
      <c r="L1097" s="6">
        <v>30.0</v>
      </c>
      <c r="M1097" s="52">
        <v>45848.0</v>
      </c>
      <c r="N1097" s="53" t="s">
        <v>668</v>
      </c>
      <c r="O1097" s="19" t="s">
        <v>914</v>
      </c>
      <c r="P1097" s="6"/>
      <c r="Q1097" s="6"/>
      <c r="R1097" s="6"/>
    </row>
    <row r="1098">
      <c r="A1098" s="31" t="str">
        <f>IFERROR(__xludf.DUMMYFUNCTION("""COMPUTED_VALUE"""),"972")</f>
        <v>972</v>
      </c>
      <c r="B1098" s="14" t="str">
        <f>IFERROR(__xludf.DUMMYFUNCTION("""COMPUTED_VALUE"""),"РЕН-27")</f>
        <v>РЕН-27</v>
      </c>
      <c r="C1098" s="14" t="str">
        <f>IFERROR(__xludf.DUMMYFUNCTION("""COMPUTED_VALUE"""),"ОКС")</f>
        <v>ОКС</v>
      </c>
      <c r="D1098" s="6"/>
      <c r="E1098" s="14" t="str">
        <f>IFERROR(__xludf.DUMMYFUNCTION("""COMPUTED_VALUE"""),"Жилой дом с инженерными сетями и благоустройством территории (со сносом жилых зданий по адресам: Зелёный проспект, д.89, к.1, Зелёный проспект, д.93, Зелёный проспект, д.95) по адресу: район Ивановское, зона 4.1, корпуса К.4.1, К.4.2 Зеленый просп., з/у 9"&amp;"3")</f>
        <v>Жилой дом с инженерными сетями и благоустройством территории (со сносом жилых зданий по адресам: Зелёный проспект, д.89, к.1, Зелёный проспект, д.93, Зелёный проспект, д.95) по адресу: район Ивановское, зона 4.1, корпуса К.4.1, К.4.2 Зеленый просп., з/у 93</v>
      </c>
      <c r="F1098" s="25" t="str">
        <f>IFERROR(__xludf.DUMMYFUNCTION("""COMPUTED_VALUE"""),"55.75100359192491")</f>
        <v>55.75100359192491</v>
      </c>
      <c r="G1098" s="6" t="str">
        <f>IFERROR(__xludf.DUMMYFUNCTION("""COMPUTED_VALUE"""),"37.825407779098086")</f>
        <v>37.825407779098086</v>
      </c>
      <c r="H1098" s="18" t="str">
        <f>IFERROR(__xludf.DUMMYFUNCTION("""COMPUTED_VALUE"""),"https://docs.google.com/spreadsheets/d/1lEcUd4exxkr5Za3IYZ0vdFNfMubnuMOOMXfmF3GYC9I/edit?gid=1644112833#gid=1644112833")</f>
        <v>https://docs.google.com/spreadsheets/d/1lEcUd4exxkr5Za3IYZ0vdFNfMubnuMOOMXfmF3GYC9I/edit?gid=1644112833#gid=1644112833</v>
      </c>
      <c r="I1098" s="21" t="str">
        <f>IFERROR(__xludf.DUMMYFUNCTION("""COMPUTED_VALUE"""),"https://disk.yandex.ru/client/disk/%D0%9E%D1%81%D0%BC%D0%BE%D1%82%D1%80%D1%8B%20%D0%BE%D0%B1%D1%8A%D0%B5%D0%BA%D1%82%D0%BE%D0%B2%20%D0%90%D0%9D%D0%9E%20%D0%A1%D0%9C%D0%93/972%20%D0%97%D0%B5%D0%BB%D0%B5%D0%BD%D1%8B%D0%B9%20%D0%BF%D1%80%D0%BE%D1%81%D0%BF%D0"&amp;"%B5%D0%BA%D1%82%20%D0%97%D0%A3%2093%20")</f>
        <v>https://disk.yandex.ru/client/disk/%D0%9E%D1%81%D0%BC%D0%BE%D1%82%D1%80%D1%8B%20%D0%BE%D0%B1%D1%8A%D0%B5%D0%BA%D1%82%D0%BE%D0%B2%20%D0%90%D0%9D%D0%9E%20%D0%A1%D0%9C%D0%93/972%20%D0%97%D0%B5%D0%BB%D0%B5%D0%BD%D1%8B%D0%B9%20%D0%BF%D1%80%D0%BE%D1%81%D0%BF%D0%B5%D0%BA%D1%82%20%D0%97%D0%A3%2093%20</v>
      </c>
      <c r="J1098" s="50">
        <f>IFERROR(__xludf.DUMMYFUNCTION("""COMPUTED_VALUE"""),0.0)</f>
        <v>0</v>
      </c>
      <c r="K1098" s="58">
        <f>IFERROR(__xludf.DUMMYFUNCTION("""COMPUTED_VALUE"""),45814.0)</f>
        <v>45814</v>
      </c>
      <c r="L1098" s="6">
        <v>30.0</v>
      </c>
      <c r="M1098" s="52">
        <v>45844.0</v>
      </c>
      <c r="N1098" s="53" t="s">
        <v>668</v>
      </c>
      <c r="O1098" s="19" t="s">
        <v>914</v>
      </c>
      <c r="P1098" s="6"/>
      <c r="Q1098" s="6"/>
      <c r="R1098" s="6"/>
    </row>
    <row r="1099">
      <c r="A1099" s="31" t="str">
        <f>IFERROR(__xludf.DUMMYFUNCTION("""COMPUTED_VALUE"""),"973")</f>
        <v>973</v>
      </c>
      <c r="B1099" s="14" t="str">
        <f>IFERROR(__xludf.DUMMYFUNCTION("""COMPUTED_VALUE"""),"РЕН-27")</f>
        <v>РЕН-27</v>
      </c>
      <c r="C1099" s="14" t="str">
        <f>IFERROR(__xludf.DUMMYFUNCTION("""COMPUTED_VALUE"""),"ОКС")</f>
        <v>ОКС</v>
      </c>
      <c r="D1099" s="6"/>
      <c r="E1099" s="14" t="str">
        <f>IFERROR(__xludf.DUMMYFUNCTION("""COMPUTED_VALUE"""),"Жилой дом с инженерными сетями и благоустройством территории (со сносом жилых зданий по адресам: Сапёрный проезд, д.14, к.1, Сапёрный проезд, д.14, к.2, Сапёрный проезд, д.14, к.3 и трансформаторной подстанции по адресу: Сапёрный проезд, д. 14, к. 3, стр."&amp;" 1) по адресу: район Ивановское, зона 1.1, корпуса К.6.1, К.6.2 пр-д Саперный, з/у 14")</f>
        <v>Жилой дом с инженерными сетями и благоустройством территории (со сносом жилых зданий по адресам: Сапёрный проезд, д.14, к.1, Сапёрный проезд, д.14, к.2, Сапёрный проезд, д.14, к.3 и трансформаторной подстанции по адресу: Сапёрный проезд, д. 14, к. 3, стр. 1) по адресу: район Ивановское, зона 1.1, корпуса К.6.1, К.6.2 пр-д Саперный, з/у 14</v>
      </c>
      <c r="F1099" s="25" t="str">
        <f>IFERROR(__xludf.DUMMYFUNCTION("""COMPUTED_VALUE"""),"55.75573379904047")</f>
        <v>55.75573379904047</v>
      </c>
      <c r="G1099" s="6" t="str">
        <f>IFERROR(__xludf.DUMMYFUNCTION("""COMPUTED_VALUE"""),"37.827133084655756")</f>
        <v>37.827133084655756</v>
      </c>
      <c r="H1099" s="18" t="str">
        <f>IFERROR(__xludf.DUMMYFUNCTION("""COMPUTED_VALUE"""),"https://docs.google.com/spreadsheets/d/1lEcUd4exxkr5Za3IYZ0vdFNfMubnuMOOMXfmF3GYC9I/edit?gid=2083513887#gid=2083513887")</f>
        <v>https://docs.google.com/spreadsheets/d/1lEcUd4exxkr5Za3IYZ0vdFNfMubnuMOOMXfmF3GYC9I/edit?gid=2083513887#gid=2083513887</v>
      </c>
      <c r="I1099" s="21" t="str">
        <f>IFERROR(__xludf.DUMMYFUNCTION("""COMPUTED_VALUE"""),"https://disk.yandex.ru/client/disk/%D0%9E%D1%81%D0%BC%D0%BE%D1%82%D1%80%D1%8B%20%D0%BE%D0%B1%D1%8A%D0%B5%D0%BA%D1%82%D0%BE%D0%B2%20%D0%90%D0%9D%D0%9E%20%D0%A1%D0%9C%D0%93/973%20%D0%9F%D1%80-%D0%B4%20%D0%A1%D0%B0%D0%BF%D0%B5%D1%80%D0%BD%D1%8B%D0%B9%20%D0%9"&amp;"7%D0%A3%2014%20")</f>
        <v>https://disk.yandex.ru/client/disk/%D0%9E%D1%81%D0%BC%D0%BE%D1%82%D1%80%D1%8B%20%D0%BE%D0%B1%D1%8A%D0%B5%D0%BA%D1%82%D0%BE%D0%B2%20%D0%90%D0%9D%D0%9E%20%D0%A1%D0%9C%D0%93/973%20%D0%9F%D1%80-%D0%B4%20%D0%A1%D0%B0%D0%BF%D0%B5%D1%80%D0%BD%D1%8B%D0%B9%20%D0%97%D0%A3%2014%20</v>
      </c>
      <c r="J1099" s="50">
        <f>IFERROR(__xludf.DUMMYFUNCTION("""COMPUTED_VALUE"""),0.0)</f>
        <v>0</v>
      </c>
      <c r="K1099" s="58">
        <f>IFERROR(__xludf.DUMMYFUNCTION("""COMPUTED_VALUE"""),45818.0)</f>
        <v>45818</v>
      </c>
      <c r="L1099" s="6">
        <v>30.0</v>
      </c>
      <c r="M1099" s="52">
        <v>45848.0</v>
      </c>
      <c r="N1099" s="53" t="s">
        <v>668</v>
      </c>
      <c r="O1099" s="19" t="s">
        <v>914</v>
      </c>
      <c r="P1099" s="6"/>
      <c r="Q1099" s="6"/>
      <c r="R1099" s="6"/>
    </row>
    <row r="1100">
      <c r="A1100" s="31" t="str">
        <f>IFERROR(__xludf.DUMMYFUNCTION("""COMPUTED_VALUE"""),"996")</f>
        <v>996</v>
      </c>
      <c r="B1100" s="14" t="str">
        <f>IFERROR(__xludf.DUMMYFUNCTION("""COMPUTED_VALUE"""),"РЕН-27")</f>
        <v>РЕН-27</v>
      </c>
      <c r="C1100" s="14" t="str">
        <f>IFERROR(__xludf.DUMMYFUNCTION("""COMPUTED_VALUE"""),"ОКС")</f>
        <v>ОКС</v>
      </c>
      <c r="D1100" s="6"/>
      <c r="E110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Бабушкинское, улица Коминте"&amp;"рна, з/у 2, зона 18.1 (СВАО) ул. Коминтерна, з/у 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Бабушкинское, улица Коминтерна, з/у 2, зона 18.1 (СВАО) ул. Коминтерна, з/у 2</v>
      </c>
      <c r="F1100" s="25" t="str">
        <f>IFERROR(__xludf.DUMMYFUNCTION("""COMPUTED_VALUE"""),"55.860120268636535")</f>
        <v>55.860120268636535</v>
      </c>
      <c r="G1100" s="6" t="str">
        <f>IFERROR(__xludf.DUMMYFUNCTION("""COMPUTED_VALUE"""),"37.67450238755704")</f>
        <v>37.67450238755704</v>
      </c>
      <c r="H1100" s="18" t="str">
        <f>IFERROR(__xludf.DUMMYFUNCTION("""COMPUTED_VALUE"""),"https://docs.google.com/spreadsheets/d/1lEcUd4exxkr5Za3IYZ0vdFNfMubnuMOOMXfmF3GYC9I/edit?gid=1363194216#gid=1363194216")</f>
        <v>https://docs.google.com/spreadsheets/d/1lEcUd4exxkr5Za3IYZ0vdFNfMubnuMOOMXfmF3GYC9I/edit?gid=1363194216#gid=1363194216</v>
      </c>
      <c r="I1100" s="19" t="str">
        <f>IFERROR(__xludf.DUMMYFUNCTION("""COMPUTED_VALUE"""),"https://disk.yandex.ru/client/disk/Осмотры%20объектов%20АНО%20СМГ/996.%20коминтерна%20зу%202")</f>
        <v>https://disk.yandex.ru/client/disk/Осмотры%20объектов%20АНО%20СМГ/996.%20коминтерна%20зу%202</v>
      </c>
      <c r="J1100" s="50">
        <f>IFERROR(__xludf.DUMMYFUNCTION("""COMPUTED_VALUE"""),0.0)</f>
        <v>0</v>
      </c>
      <c r="K1100" s="58">
        <f>IFERROR(__xludf.DUMMYFUNCTION("""COMPUTED_VALUE"""),45807.0)</f>
        <v>45807</v>
      </c>
      <c r="L1100" s="6">
        <v>30.0</v>
      </c>
      <c r="M1100" s="52">
        <v>45837.0</v>
      </c>
      <c r="N1100" s="53" t="s">
        <v>668</v>
      </c>
      <c r="O1100" s="19" t="s">
        <v>914</v>
      </c>
      <c r="P1100" s="6"/>
      <c r="Q1100" s="6"/>
      <c r="R1100" s="6"/>
    </row>
    <row r="1101">
      <c r="A1101" s="31" t="str">
        <f>IFERROR(__xludf.DUMMYFUNCTION("""COMPUTED_VALUE"""),"981")</f>
        <v>981</v>
      </c>
      <c r="B1101" s="14" t="str">
        <f>IFERROR(__xludf.DUMMYFUNCTION("""COMPUTED_VALUE"""),"РЕН-27")</f>
        <v>РЕН-27</v>
      </c>
      <c r="C1101" s="14" t="str">
        <f>IFERROR(__xludf.DUMMYFUNCTION("""COMPUTED_VALUE"""),"ОКС")</f>
        <v>ОКС</v>
      </c>
      <c r="D1101" s="6"/>
      <c r="E1101" s="14" t="str">
        <f>IFERROR(__xludf.DUMMYFUNCTION("""COMPUTED_VALUE"""),"Жилой дом с инженерными сетями и благоустройством территории (со сносом жилого здания по адресу; ул. Миллионная, д. 10) по адресу: г. Москва, внутригородское муниципальное образование Богородское, Кузнецовская улица, земельный участок 7/1/3 (ВАО) Кузнецов"&amp;"ская ул., з/у 7/1/3")</f>
        <v>Жилой дом с инженерными сетями и благоустройством территории (со сносом жилого здания по адресу; ул. Миллионная, д. 10) по адресу: г. Москва, внутригородское муниципальное образование Богородское, Кузнецовская улица, земельный участок 7/1/3 (ВАО) Кузнецовская ул., з/у 7/1/3</v>
      </c>
      <c r="F1101" s="25" t="str">
        <f>IFERROR(__xludf.DUMMYFUNCTION("""COMPUTED_VALUE"""),"55.81572567698735")</f>
        <v>55.81572567698735</v>
      </c>
      <c r="G1101" s="6" t="str">
        <f>IFERROR(__xludf.DUMMYFUNCTION("""COMPUTED_VALUE"""),"37.69814515211442")</f>
        <v>37.69814515211442</v>
      </c>
      <c r="H1101" s="18" t="str">
        <f>IFERROR(__xludf.DUMMYFUNCTION("""COMPUTED_VALUE"""),"https://docs.google.com/spreadsheets/d/1lEcUd4exxkr5Za3IYZ0vdFNfMubnuMOOMXfmF3GYC9I/edit?gid=135078699#gid=135078699")</f>
        <v>https://docs.google.com/spreadsheets/d/1lEcUd4exxkr5Za3IYZ0vdFNfMubnuMOOMXfmF3GYC9I/edit?gid=135078699#gid=135078699</v>
      </c>
      <c r="I1101" s="19" t="str">
        <f>IFERROR(__xludf.DUMMYFUNCTION("""COMPUTED_VALUE"""),"https://disk.yandex.ru/client/disk/Осмотры%20объектов%20АНО%20СМГ/981%20ул.%20Кузнецовская%2Cзу%207!1!3")</f>
        <v>https://disk.yandex.ru/client/disk/Осмотры%20объектов%20АНО%20СМГ/981%20ул.%20Кузнецовская%2Cзу%207!1!3</v>
      </c>
      <c r="J1101" s="50">
        <f>IFERROR(__xludf.DUMMYFUNCTION("""COMPUTED_VALUE"""),0.0)</f>
        <v>0</v>
      </c>
      <c r="K1101" s="58">
        <f>IFERROR(__xludf.DUMMYFUNCTION("""COMPUTED_VALUE"""),45807.0)</f>
        <v>45807</v>
      </c>
      <c r="L1101" s="6">
        <v>30.0</v>
      </c>
      <c r="M1101" s="52">
        <v>45837.0</v>
      </c>
      <c r="N1101" s="53" t="s">
        <v>668</v>
      </c>
      <c r="O1101" s="19" t="s">
        <v>914</v>
      </c>
      <c r="P1101" s="6"/>
      <c r="Q1101" s="6"/>
      <c r="R1101" s="6"/>
    </row>
    <row r="1102">
      <c r="A1102" s="31" t="str">
        <f>IFERROR(__xludf.DUMMYFUNCTION("""COMPUTED_VALUE"""),"982")</f>
        <v>982</v>
      </c>
      <c r="B1102" s="14" t="str">
        <f>IFERROR(__xludf.DUMMYFUNCTION("""COMPUTED_VALUE"""),"РЕН-27")</f>
        <v>РЕН-27</v>
      </c>
      <c r="C1102" s="14" t="str">
        <f>IFERROR(__xludf.DUMMYFUNCTION("""COMPUTED_VALUE"""),"ОКС")</f>
        <v>ОКС</v>
      </c>
      <c r="D1102" s="6"/>
      <c r="E1102"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Богородское, Кузнецовская у"&amp;"лица, земельный участок 7 Кузнецовская ул., з/у 7")</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Богородское, Кузнецовская улица, земельный участок 7 Кузнецовская ул., з/у 7</v>
      </c>
      <c r="F1102" s="25" t="str">
        <f>IFERROR(__xludf.DUMMYFUNCTION("""COMPUTED_VALUE"""),"55.81512762456402")</f>
        <v>55.81512762456402</v>
      </c>
      <c r="G1102" s="6" t="str">
        <f>IFERROR(__xludf.DUMMYFUNCTION("""COMPUTED_VALUE"""),"37.701267243408196")</f>
        <v>37.701267243408196</v>
      </c>
      <c r="H1102" s="18" t="str">
        <f>IFERROR(__xludf.DUMMYFUNCTION("""COMPUTED_VALUE"""),"https://docs.google.com/spreadsheets/d/1lEcUd4exxkr5Za3IYZ0vdFNfMubnuMOOMXfmF3GYC9I/edit?gid=770240622#gid=770240622")</f>
        <v>https://docs.google.com/spreadsheets/d/1lEcUd4exxkr5Za3IYZ0vdFNfMubnuMOOMXfmF3GYC9I/edit?gid=770240622#gid=770240622</v>
      </c>
      <c r="I1102" s="19" t="str">
        <f>IFERROR(__xludf.DUMMYFUNCTION("""COMPUTED_VALUE"""),"https://disk.yandex.ru/client/disk/Осмотры%20объектов%20АНО%20СМГ/982%20Кузнецовская%20ул.%2C%20зу%207")</f>
        <v>https://disk.yandex.ru/client/disk/Осмотры%20объектов%20АНО%20СМГ/982%20Кузнецовская%20ул.%2C%20зу%207</v>
      </c>
      <c r="J1102" s="50">
        <f>IFERROR(__xludf.DUMMYFUNCTION("""COMPUTED_VALUE"""),0.0)</f>
        <v>0</v>
      </c>
      <c r="K1102" s="58">
        <f>IFERROR(__xludf.DUMMYFUNCTION("""COMPUTED_VALUE"""),45807.0)</f>
        <v>45807</v>
      </c>
      <c r="L1102" s="6">
        <v>30.0</v>
      </c>
      <c r="M1102" s="52">
        <v>45837.0</v>
      </c>
      <c r="N1102" s="53" t="s">
        <v>668</v>
      </c>
      <c r="O1102" s="19" t="s">
        <v>914</v>
      </c>
      <c r="P1102" s="6"/>
      <c r="Q1102" s="6"/>
      <c r="R1102" s="6"/>
    </row>
    <row r="1103">
      <c r="A1103" s="31" t="str">
        <f>IFERROR(__xludf.DUMMYFUNCTION("""COMPUTED_VALUE"""),"983")</f>
        <v>983</v>
      </c>
      <c r="B1103" s="14" t="str">
        <f>IFERROR(__xludf.DUMMYFUNCTION("""COMPUTED_VALUE"""),"РЕН-27")</f>
        <v>РЕН-27</v>
      </c>
      <c r="C1103" s="14" t="str">
        <f>IFERROR(__xludf.DUMMYFUNCTION("""COMPUTED_VALUE"""),"ОКС")</f>
        <v>ОКС</v>
      </c>
      <c r="D1103" s="6"/>
      <c r="E110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Миллионная, д. 10А, ул. Миллионная, д. 8к2, ул. Мил"&amp;"лионная, д. 8к3) по адресу: г. Москва, внутригородское муниципальное образование Богородское, Кузнецовская улица, земельный участок 7/1/2 (ВАО) Кузнецовская ул., з/у 7/1/2")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Миллионная, д. 10А, ул. Миллионная, д. 8к2, ул. Миллионная, д. 8к3) по адресу: г. Москва, внутригородское муниципальное образование Богородское, Кузнецовская улица, земельный участок 7/1/2 (ВАО) Кузнецовская ул., з/у 7/1/2</v>
      </c>
      <c r="F1103" s="25" t="str">
        <f>IFERROR(__xludf.DUMMYFUNCTION("""COMPUTED_VALUE"""),"55.81498306588684")</f>
        <v>55.81498306588684</v>
      </c>
      <c r="G1103" s="6" t="str">
        <f>IFERROR(__xludf.DUMMYFUNCTION("""COMPUTED_VALUE"""),"37.69930289681903")</f>
        <v>37.69930289681903</v>
      </c>
      <c r="H1103" s="18" t="str">
        <f>IFERROR(__xludf.DUMMYFUNCTION("""COMPUTED_VALUE"""),"https://docs.google.com/spreadsheets/d/1lEcUd4exxkr5Za3IYZ0vdFNfMubnuMOOMXfmF3GYC9I/edit?gid=644664004#gid=644664004")</f>
        <v>https://docs.google.com/spreadsheets/d/1lEcUd4exxkr5Za3IYZ0vdFNfMubnuMOOMXfmF3GYC9I/edit?gid=644664004#gid=644664004</v>
      </c>
      <c r="I1103" s="19" t="str">
        <f>IFERROR(__xludf.DUMMYFUNCTION("""COMPUTED_VALUE"""),"https://disk.yandex.ru/client/disk/Осмотры%20объектов%20АНО%20СМГ/983%20ул.%20Кузнецовская%2C%20зу%207!1!2")</f>
        <v>https://disk.yandex.ru/client/disk/Осмотры%20объектов%20АНО%20СМГ/983%20ул.%20Кузнецовская%2C%20зу%207!1!2</v>
      </c>
      <c r="J1103" s="50">
        <f>IFERROR(__xludf.DUMMYFUNCTION("""COMPUTED_VALUE"""),0.0)</f>
        <v>0</v>
      </c>
      <c r="K1103" s="58">
        <f>IFERROR(__xludf.DUMMYFUNCTION("""COMPUTED_VALUE"""),45807.0)</f>
        <v>45807</v>
      </c>
      <c r="L1103" s="6">
        <v>30.0</v>
      </c>
      <c r="M1103" s="52">
        <v>45837.0</v>
      </c>
      <c r="N1103" s="53" t="s">
        <v>668</v>
      </c>
      <c r="O1103" s="19" t="s">
        <v>914</v>
      </c>
      <c r="P1103" s="6"/>
      <c r="Q1103" s="6"/>
      <c r="R1103" s="6"/>
    </row>
    <row r="1104">
      <c r="A1104" s="31" t="str">
        <f>IFERROR(__xludf.DUMMYFUNCTION("""COMPUTED_VALUE"""),"801")</f>
        <v>801</v>
      </c>
      <c r="B1104" s="14" t="str">
        <f>IFERROR(__xludf.DUMMYFUNCTION("""COMPUTED_VALUE"""),"РЕН-27")</f>
        <v>РЕН-27</v>
      </c>
      <c r="C1104" s="14" t="str">
        <f>IFERROR(__xludf.DUMMYFUNCTION("""COMPUTED_VALUE"""),"ОКС")</f>
        <v>ОКС</v>
      </c>
      <c r="D1104" s="6"/>
      <c r="E1104" s="14" t="str">
        <f>IFERROR(__xludf.DUMMYFUNCTION("""COMPUTED_VALUE"""),"Жилой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образ"&amp;"ование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f>
        <v>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v>
      </c>
      <c r="F1104" s="25" t="str">
        <f>IFERROR(__xludf.DUMMYFUNCTION("""COMPUTED_VALUE"""),"55.69460519860576")</f>
        <v>55.69460519860576</v>
      </c>
      <c r="G1104" s="6" t="str">
        <f>IFERROR(__xludf.DUMMYFUNCTION("""COMPUTED_VALUE"""),"37.74027562830986")</f>
        <v>37.74027562830986</v>
      </c>
      <c r="H1104" s="18" t="str">
        <f>IFERROR(__xludf.DUMMYFUNCTION("""COMPUTED_VALUE"""),"https://docs.google.com/spreadsheets/d/1lEcUd4exxkr5Za3IYZ0vdFNfMubnuMOOMXfmF3GYC9I/edit?gid=961840138#gid=961840138")</f>
        <v>https://docs.google.com/spreadsheets/d/1lEcUd4exxkr5Za3IYZ0vdFNfMubnuMOOMXfmF3GYC9I/edit?gid=961840138#gid=961840138</v>
      </c>
      <c r="I1104" s="19" t="str">
        <f>IFERROR(__xludf.DUMMYFUNCTION("""COMPUTED_VALUE"""),"https://disk.yandex.ru/client/disk/Осмотры%20объектов%20АНО%20СМГ/801.%20Артюхиной%20ул.%2C%20уч.%2021%2C%20вл.%2021-27")</f>
        <v>https://disk.yandex.ru/client/disk/Осмотры%20объектов%20АНО%20СМГ/801.%20Артюхиной%20ул.%2C%20уч.%2021%2C%20вл.%2021-27</v>
      </c>
      <c r="J1104" s="50">
        <f>IFERROR(__xludf.DUMMYFUNCTION("""COMPUTED_VALUE"""),0.0)</f>
        <v>0</v>
      </c>
      <c r="K1104" s="58">
        <f>IFERROR(__xludf.DUMMYFUNCTION("""COMPUTED_VALUE"""),45973.0)</f>
        <v>45973</v>
      </c>
      <c r="L1104" s="6">
        <v>30.0</v>
      </c>
      <c r="M1104" s="52">
        <v>46003.0</v>
      </c>
      <c r="N1104" s="53" t="s">
        <v>711</v>
      </c>
      <c r="O1104" s="19" t="s">
        <v>931</v>
      </c>
      <c r="P1104" s="6"/>
      <c r="Q1104" s="6"/>
      <c r="R1104" s="6"/>
    </row>
    <row r="1105">
      <c r="A1105" s="31" t="str">
        <f>IFERROR(__xludf.DUMMYFUNCTION("""COMPUTED_VALUE"""),"905")</f>
        <v>905</v>
      </c>
      <c r="B1105" s="14" t="str">
        <f>IFERROR(__xludf.DUMMYFUNCTION("""COMPUTED_VALUE"""),"РЕН-27")</f>
        <v>РЕН-27</v>
      </c>
      <c r="C1105" s="14" t="str">
        <f>IFERROR(__xludf.DUMMYFUNCTION("""COMPUTED_VALUE"""),"ОКС")</f>
        <v>ОКС</v>
      </c>
      <c r="D1105" s="6"/>
      <c r="E1105" s="14" t="str">
        <f>IFERROR(__xludf.DUMMYFUNCTION("""COMPUTED_VALUE"""),"Жилой дом с инженерными сетями и благоустройством территории по адресу: г. Москва, САО, район Савеловский, ул. 2-я Хуторская 6/14 к.1 ул. 2-я Хуторская, 6/14, к. 1")</f>
        <v>Жилой дом с инженерными сетями и благоустройством территории по адресу: г. Москва, САО, район Савеловский, ул. 2-я Хуторская 6/14 к.1 ул. 2-я Хуторская, 6/14, к. 1</v>
      </c>
      <c r="F1105" s="25" t="str">
        <f>IFERROR(__xludf.DUMMYFUNCTION("""COMPUTED_VALUE"""),"55.80703546681896")</f>
        <v>55.80703546681896</v>
      </c>
      <c r="G1105" s="6" t="str">
        <f>IFERROR(__xludf.DUMMYFUNCTION("""COMPUTED_VALUE"""),"37.57748976190129")</f>
        <v>37.57748976190129</v>
      </c>
      <c r="H1105" s="18" t="str">
        <f>IFERROR(__xludf.DUMMYFUNCTION("""COMPUTED_VALUE"""),"https://docs.google.com/spreadsheets/d/1lEcUd4exxkr5Za3IYZ0vdFNfMubnuMOOMXfmF3GYC9I/edit?gid=1777508564#gid=1777508564")</f>
        <v>https://docs.google.com/spreadsheets/d/1lEcUd4exxkr5Za3IYZ0vdFNfMubnuMOOMXfmF3GYC9I/edit?gid=1777508564#gid=1777508564</v>
      </c>
      <c r="I1105" s="19" t="str">
        <f>IFERROR(__xludf.DUMMYFUNCTION("""COMPUTED_VALUE"""),"https://disk.yandex.ru/client/disk/Осмотры%20объектов%20АНО%20СМГ/905.%202-я%20Хуторская%206!14%2C%20к1")</f>
        <v>https://disk.yandex.ru/client/disk/Осмотры%20объектов%20АНО%20СМГ/905.%202-я%20Хуторская%206!14%2C%20к1</v>
      </c>
      <c r="J1105" s="50">
        <f>IFERROR(__xludf.DUMMYFUNCTION("""COMPUTED_VALUE"""),0.0)</f>
        <v>0</v>
      </c>
      <c r="K1105" s="58">
        <f>IFERROR(__xludf.DUMMYFUNCTION("""COMPUTED_VALUE"""),45811.0)</f>
        <v>45811</v>
      </c>
      <c r="L1105" s="6">
        <v>30.0</v>
      </c>
      <c r="M1105" s="52">
        <v>45841.0</v>
      </c>
      <c r="N1105" s="53" t="s">
        <v>668</v>
      </c>
      <c r="O1105" s="19" t="s">
        <v>1236</v>
      </c>
      <c r="P1105" s="6"/>
      <c r="Q1105" s="6"/>
      <c r="R1105" s="6"/>
    </row>
    <row r="1106">
      <c r="A1106" s="31" t="str">
        <f>IFERROR(__xludf.DUMMYFUNCTION("""COMPUTED_VALUE"""),"884")</f>
        <v>884</v>
      </c>
      <c r="B1106" s="14" t="str">
        <f>IFERROR(__xludf.DUMMYFUNCTION("""COMPUTED_VALUE"""),"РЕН-27")</f>
        <v>РЕН-27</v>
      </c>
      <c r="C1106" s="14" t="str">
        <f>IFERROR(__xludf.DUMMYFUNCTION("""COMPUTED_VALUE"""),"ОКС")</f>
        <v>ОКС</v>
      </c>
      <c r="D1106" s="6"/>
      <c r="E1106" s="14" t="str">
        <f>IFERROR(__xludf.DUMMYFUNCTION("""COMPUTED_VALUE"""),"Жилой дом с инженерной подготовкой, с инженерными сетями и благоустройством территории (со сносом жилых домов по адресу: ул. Родниковая, д. 4, д. 4 к. 1 и д. 4, к. 2 с отключением и перекладкой инженерных коммуникаций),ЗАО, район Солнцево, поселок Западны"&amp;"й, зона 2.1 ул. Родниковая, з/у 4/1/2")</f>
        <v>Жилой дом с инженерной подготовкой, с инженерными сетями и благоустройством территории (со сносом жилых домов по адресу: ул. Родниковая, д. 4, д. 4 к. 1 и д. 4, к. 2 с отключением и перекладкой инженерных коммуникаций),ЗАО, район Солнцево, поселок Западный, зона 2.1 ул. Родниковая, з/у 4/1/2</v>
      </c>
      <c r="F1106" s="25" t="str">
        <f>IFERROR(__xludf.DUMMYFUNCTION("""COMPUTED_VALUE"""),"55.63839220466291")</f>
        <v>55.63839220466291</v>
      </c>
      <c r="G1106" s="6" t="str">
        <f>IFERROR(__xludf.DUMMYFUNCTION("""COMPUTED_VALUE"""),"37.37850846494091")</f>
        <v>37.37850846494091</v>
      </c>
      <c r="H1106" s="18" t="str">
        <f>IFERROR(__xludf.DUMMYFUNCTION("""COMPUTED_VALUE"""),"https://docs.google.com/spreadsheets/d/1lEcUd4exxkr5Za3IYZ0vdFNfMubnuMOOMXfmF3GYC9I/edit?gid=226391427#gid=226391427")</f>
        <v>https://docs.google.com/spreadsheets/d/1lEcUd4exxkr5Za3IYZ0vdFNfMubnuMOOMXfmF3GYC9I/edit?gid=226391427#gid=226391427</v>
      </c>
      <c r="I1106" s="19" t="str">
        <f>IFERROR(__xludf.DUMMYFUNCTION("""COMPUTED_VALUE"""),"https://disk.yandex.ru/client/disk/Осмотры%20объектов%20АНО%20СМГ/884.%20родниковая%20ул.%204-1-2")</f>
        <v>https://disk.yandex.ru/client/disk/Осмотры%20объектов%20АНО%20СМГ/884.%20родниковая%20ул.%204-1-2</v>
      </c>
      <c r="J1106" s="50">
        <f>IFERROR(__xludf.DUMMYFUNCTION("""COMPUTED_VALUE"""),0.0)</f>
        <v>0</v>
      </c>
      <c r="K1106" s="58">
        <f>IFERROR(__xludf.DUMMYFUNCTION("""COMPUTED_VALUE"""),45807.0)</f>
        <v>45807</v>
      </c>
      <c r="L1106" s="6">
        <v>30.0</v>
      </c>
      <c r="M1106" s="52">
        <v>45837.0</v>
      </c>
      <c r="N1106" s="53" t="s">
        <v>668</v>
      </c>
      <c r="O1106" s="19" t="s">
        <v>914</v>
      </c>
      <c r="P1106" s="6"/>
      <c r="Q1106" s="6"/>
      <c r="R1106" s="6"/>
    </row>
    <row r="1107">
      <c r="A1107" s="31" t="str">
        <f>IFERROR(__xludf.DUMMYFUNCTION("""COMPUTED_VALUE"""),"1017")</f>
        <v>1017</v>
      </c>
      <c r="B1107" s="14" t="str">
        <f>IFERROR(__xludf.DUMMYFUNCTION("""COMPUTED_VALUE"""),"РЕН-27")</f>
        <v>РЕН-27</v>
      </c>
      <c r="C1107" s="14" t="str">
        <f>IFERROR(__xludf.DUMMYFUNCTION("""COMPUTED_VALUE"""),"ОКС")</f>
        <v>ОКС</v>
      </c>
      <c r="D1107" s="6"/>
      <c r="E1107" s="14" t="str">
        <f>IFERROR(__xludf.DUMMYFUNCTION("""COMPUTED_VALUE"""),"Жилой дом с инженерными сетями и благоустройством территории (со сносом жилого здания по адресу: Широкая улица, д. 10, корпус 1), СВАО, район Северное Медведково, Широкая ул., земельный участок 10/1 (Широкая ул., д.10, корп. 1) Широкая ул., д.10, к.1")</f>
        <v>Жилой дом с инженерными сетями и благоустройством территории (со сносом жилого здания по адресу: Широкая улица, д. 10, корпус 1), СВАО, район Северное Медведково, Широкая ул., земельный участок 10/1 (Широкая ул., д.10, корп. 1) Широкая ул., д.10, к.1</v>
      </c>
      <c r="F1107" s="25" t="str">
        <f>IFERROR(__xludf.DUMMYFUNCTION("""COMPUTED_VALUE"""),"55.88754241560224")</f>
        <v>55.88754241560224</v>
      </c>
      <c r="G1107" s="6" t="str">
        <f>IFERROR(__xludf.DUMMYFUNCTION("""COMPUTED_VALUE"""),"37.65291616931131")</f>
        <v>37.65291616931131</v>
      </c>
      <c r="H1107" s="18" t="str">
        <f>IFERROR(__xludf.DUMMYFUNCTION("""COMPUTED_VALUE"""),"https://docs.google.com/spreadsheets/d/1lEcUd4exxkr5Za3IYZ0vdFNfMubnuMOOMXfmF3GYC9I/edit?gid=452615283#gid=452615283")</f>
        <v>https://docs.google.com/spreadsheets/d/1lEcUd4exxkr5Za3IYZ0vdFNfMubnuMOOMXfmF3GYC9I/edit?gid=452615283#gid=452615283</v>
      </c>
      <c r="I1107" s="19" t="str">
        <f>IFERROR(__xludf.DUMMYFUNCTION("""COMPUTED_VALUE"""),"https://disk.yandex.ru/client/disk/Осмотры%20объектов%20АНО%20СМГ/1017%20ул.%20Широкая%2C%20д.%2010%2C%20корп.%201")</f>
        <v>https://disk.yandex.ru/client/disk/Осмотры%20объектов%20АНО%20СМГ/1017%20ул.%20Широкая%2C%20д.%2010%2C%20корп.%201</v>
      </c>
      <c r="J1107" s="50">
        <f>IFERROR(__xludf.DUMMYFUNCTION("""COMPUTED_VALUE"""),0.0)</f>
        <v>0</v>
      </c>
      <c r="K1107" s="58">
        <f>IFERROR(__xludf.DUMMYFUNCTION("""COMPUTED_VALUE"""),45810.0)</f>
        <v>45810</v>
      </c>
      <c r="L1107" s="6">
        <v>30.0</v>
      </c>
      <c r="M1107" s="52">
        <v>45840.0</v>
      </c>
      <c r="N1107" s="53" t="s">
        <v>668</v>
      </c>
      <c r="O1107" s="19" t="s">
        <v>914</v>
      </c>
      <c r="P1107" s="6"/>
      <c r="Q1107" s="6"/>
      <c r="R1107" s="6"/>
    </row>
    <row r="1108">
      <c r="A1108" s="31" t="str">
        <f>IFERROR(__xludf.DUMMYFUNCTION("""COMPUTED_VALUE"""),"839")</f>
        <v>839</v>
      </c>
      <c r="B1108" s="14" t="str">
        <f>IFERROR(__xludf.DUMMYFUNCTION("""COMPUTED_VALUE"""),"РЕН-27")</f>
        <v>РЕН-27</v>
      </c>
      <c r="C1108" s="14" t="str">
        <f>IFERROR(__xludf.DUMMYFUNCTION("""COMPUTED_VALUE"""),"ОКС")</f>
        <v>ОКС</v>
      </c>
      <c r="D1108" s="6"/>
      <c r="E1108" s="14" t="str">
        <f>IFERROR(__xludf.DUMMYFUNCTION("""COMPUTED_VALUE"""),"Жилой дом с подземной автостоянкой, инженерными сетями и благоустройством территории (со сносом жилых домов по адресам: Волгоградский пр-т, д. 167, Волгоградский пр-т, д. 169) по адресу: район Кузьминки, мкр. 117, 117а, 118, 118а, 119, зона №15.6 Волгогра"&amp;"дский проспект, земельный участок 167")</f>
        <v>Жилой дом с подземной автостоянкой, инженерными сетями и благоустройством территории (со сносом жилых домов по адресам: Волгоградский пр-т, д. 167, Волгоградский пр-т, д. 169) по адресу: район Кузьминки, мкр. 117, 117а, 118, 118а, 119, зона №15.6 Волгоградский проспект, земельный участок 167</v>
      </c>
      <c r="F1108" s="25" t="str">
        <f>IFERROR(__xludf.DUMMYFUNCTION("""COMPUTED_VALUE"""),"55.70314489633509")</f>
        <v>55.70314489633509</v>
      </c>
      <c r="G1108" s="6" t="str">
        <f>IFERROR(__xludf.DUMMYFUNCTION("""COMPUTED_VALUE"""),"37.789018578047546")</f>
        <v>37.789018578047546</v>
      </c>
      <c r="H1108" s="18" t="str">
        <f>IFERROR(__xludf.DUMMYFUNCTION("""COMPUTED_VALUE"""),"https://docs.google.com/spreadsheets/d/1lEcUd4exxkr5Za3IYZ0vdFNfMubnuMOOMXfmF3GYC9I/edit?gid=545670814#gid=545670814")</f>
        <v>https://docs.google.com/spreadsheets/d/1lEcUd4exxkr5Za3IYZ0vdFNfMubnuMOOMXfmF3GYC9I/edit?gid=545670814#gid=545670814</v>
      </c>
      <c r="I1108" s="19" t="str">
        <f>IFERROR(__xludf.DUMMYFUNCTION("""COMPUTED_VALUE"""),"https://disk.yandex.ru/client/disk/Осмотры%20объектов%20АНО%20СМГ/839.%20Волгоградский%20пр-т%2C%20з-у167.%20Жилой%20дом")</f>
        <v>https://disk.yandex.ru/client/disk/Осмотры%20объектов%20АНО%20СМГ/839.%20Волгоградский%20пр-т%2C%20з-у167.%20Жилой%20дом</v>
      </c>
      <c r="J1108" s="50">
        <f>IFERROR(__xludf.DUMMYFUNCTION("""COMPUTED_VALUE"""),0.0)</f>
        <v>0</v>
      </c>
      <c r="K1108" s="58">
        <f>IFERROR(__xludf.DUMMYFUNCTION("""COMPUTED_VALUE"""),45807.0)</f>
        <v>45807</v>
      </c>
      <c r="L1108" s="6">
        <v>30.0</v>
      </c>
      <c r="M1108" s="52">
        <v>45837.0</v>
      </c>
      <c r="N1108" s="53" t="s">
        <v>668</v>
      </c>
      <c r="O1108" s="19" t="s">
        <v>1236</v>
      </c>
      <c r="P1108" s="6"/>
      <c r="Q1108" s="6"/>
      <c r="R1108" s="6"/>
    </row>
    <row r="1109">
      <c r="A1109" s="31" t="str">
        <f>IFERROR(__xludf.DUMMYFUNCTION("""COMPUTED_VALUE"""),"840")</f>
        <v>840</v>
      </c>
      <c r="B1109" s="14" t="str">
        <f>IFERROR(__xludf.DUMMYFUNCTION("""COMPUTED_VALUE"""),"РЕН-27")</f>
        <v>РЕН-27</v>
      </c>
      <c r="C1109" s="14" t="str">
        <f>IFERROR(__xludf.DUMMYFUNCTION("""COMPUTED_VALUE"""),"ОКС")</f>
        <v>ОКС</v>
      </c>
      <c r="D1109" s="6"/>
      <c r="E1109" s="14" t="str">
        <f>IFERROR(__xludf.DUMMYFUNCTION("""COMPUTED_VALUE"""),"Жилой дом с подземной автостоянкой, инженерными сетями и благоустройством территории (со сносом жилого дома по адресу: ул. Зеленодольская, д. 39) по адресу: район Кузьминки, мкр. 117, 117а, 118, 118а, 119, зона № 8.1 Зеленодольская улица, земельный участо"&amp;"к 39")</f>
        <v>Жилой дом с подземной автостоянкой, инженерными сетями и благоустройством территории (со сносом жилого дома по адресу: ул. Зеленодольская, д. 39) по адресу: район Кузьминки, мкр. 117, 117а, 118, 118а, 119, зона № 8.1 Зеленодольская улица, земельный участок 39</v>
      </c>
      <c r="F1109" s="25" t="str">
        <f>IFERROR(__xludf.DUMMYFUNCTION("""COMPUTED_VALUE"""),"55.703723")</f>
        <v>55.703723</v>
      </c>
      <c r="G1109" s="6" t="str">
        <f>IFERROR(__xludf.DUMMYFUNCTION("""COMPUTED_VALUE"""),"37.766684")</f>
        <v>37.766684</v>
      </c>
      <c r="H1109" s="18" t="str">
        <f>IFERROR(__xludf.DUMMYFUNCTION("""COMPUTED_VALUE"""),"https://docs.google.com/spreadsheets/d/1lEcUd4exxkr5Za3IYZ0vdFNfMubnuMOOMXfmF3GYC9I/edit?gid=1723281280#gid=1723281280")</f>
        <v>https://docs.google.com/spreadsheets/d/1lEcUd4exxkr5Za3IYZ0vdFNfMubnuMOOMXfmF3GYC9I/edit?gid=1723281280#gid=1723281280</v>
      </c>
      <c r="I1109" s="19" t="str">
        <f>IFERROR(__xludf.DUMMYFUNCTION("""COMPUTED_VALUE"""),"https://disk.yandex.ru/client/disk/Осмотры%20объектов%20АНО%20СМГ/840.%20Зеленодольская%20ул.%2C%20д.%2039.%20Жилой%20дом")</f>
        <v>https://disk.yandex.ru/client/disk/Осмотры%20объектов%20АНО%20СМГ/840.%20Зеленодольская%20ул.%2C%20д.%2039.%20Жилой%20дом</v>
      </c>
      <c r="J1109" s="50">
        <f>IFERROR(__xludf.DUMMYFUNCTION("""COMPUTED_VALUE"""),0.0)</f>
        <v>0</v>
      </c>
      <c r="K1109" s="58">
        <f>IFERROR(__xludf.DUMMYFUNCTION("""COMPUTED_VALUE"""),45960.0)</f>
        <v>45960</v>
      </c>
      <c r="L1109" s="6">
        <v>30.0</v>
      </c>
      <c r="M1109" s="52">
        <v>45990.0</v>
      </c>
      <c r="N1109" s="53" t="s">
        <v>692</v>
      </c>
      <c r="O1109" s="19" t="s">
        <v>914</v>
      </c>
      <c r="P1109" s="6"/>
      <c r="Q1109" s="6"/>
      <c r="R1109" s="6"/>
    </row>
    <row r="1110">
      <c r="A1110" s="31" t="str">
        <f>IFERROR(__xludf.DUMMYFUNCTION("""COMPUTED_VALUE"""),"841")</f>
        <v>841</v>
      </c>
      <c r="B1110" s="14" t="str">
        <f>IFERROR(__xludf.DUMMYFUNCTION("""COMPUTED_VALUE"""),"РЕН-27")</f>
        <v>РЕН-27</v>
      </c>
      <c r="C1110" s="14" t="str">
        <f>IFERROR(__xludf.DUMMYFUNCTION("""COMPUTED_VALUE"""),"ОКС")</f>
        <v>ОКС</v>
      </c>
      <c r="D1110" s="6"/>
      <c r="E1110" s="14" t="str">
        <f>IFERROR(__xludf.DUMMYFUNCTION("""COMPUTED_VALUE"""),"Жилой дом с подземной автостоянкой с инженерными сетями и благоустройством территории (со сносом жилого здания по адресу: ул. Судакова, 16/47, нежилых зданий по адресам: ул. Судакова, 16/47, к.1; ул. Судакова, 18А) по адресу: вн. тер. г. Люблино, ул. Суда"&amp;"кова, земельный участок 16/47 (зона № 1.3) улица Судакова, земельный участок 16/47")</f>
        <v>Жилой дом с подземной автостоянкой с инженерными сетями и благоустройством территории (со сносом жилого здания по адресу: ул. Судакова, 16/47, нежилых зданий по адресам: ул. Судакова, 16/47, к.1; ул. Судакова, 18А) по адресу: вн. тер. г. Люблино, ул. Судакова, земельный участок 16/47 (зона № 1.3) улица Судакова, земельный участок 16/47</v>
      </c>
      <c r="F1110" s="25" t="str">
        <f>IFERROR(__xludf.DUMMYFUNCTION("""COMPUTED_VALUE"""),"55.67275554727573")</f>
        <v>55.67275554727573</v>
      </c>
      <c r="G1110" s="6" t="str">
        <f>IFERROR(__xludf.DUMMYFUNCTION("""COMPUTED_VALUE"""),"37.74950437434326")</f>
        <v>37.74950437434326</v>
      </c>
      <c r="H1110" s="18" t="str">
        <f>IFERROR(__xludf.DUMMYFUNCTION("""COMPUTED_VALUE"""),"https://docs.google.com/spreadsheets/d/1lEcUd4exxkr5Za3IYZ0vdFNfMubnuMOOMXfmF3GYC9I/edit?gid=1860586350#gid=1860586350")</f>
        <v>https://docs.google.com/spreadsheets/d/1lEcUd4exxkr5Za3IYZ0vdFNfMubnuMOOMXfmF3GYC9I/edit?gid=1860586350#gid=1860586350</v>
      </c>
      <c r="I1110" s="19" t="str">
        <f>IFERROR(__xludf.DUMMYFUNCTION("""COMPUTED_VALUE"""),"https://disk.yandex.ru/client/disk/Осмотры%20объектов%20АНО%20СМГ/841.%20жилой%20дом%20ул.%20Судакова%2016.47")</f>
        <v>https://disk.yandex.ru/client/disk/Осмотры%20объектов%20АНО%20СМГ/841.%20жилой%20дом%20ул.%20Судакова%2016.47</v>
      </c>
      <c r="J1110" s="50">
        <f>IFERROR(__xludf.DUMMYFUNCTION("""COMPUTED_VALUE"""),0.0)</f>
        <v>0</v>
      </c>
      <c r="K1110" s="58">
        <f>IFERROR(__xludf.DUMMYFUNCTION("""COMPUTED_VALUE"""),45688.0)</f>
        <v>45688</v>
      </c>
      <c r="L1110" s="6">
        <v>30.0</v>
      </c>
      <c r="M1110" s="52">
        <v>45718.0</v>
      </c>
      <c r="N1110" s="53" t="s">
        <v>668</v>
      </c>
      <c r="O1110" s="19" t="s">
        <v>914</v>
      </c>
      <c r="P1110" s="6"/>
      <c r="Q1110" s="6"/>
      <c r="R1110" s="6"/>
    </row>
    <row r="1111">
      <c r="A1111" s="31" t="str">
        <f>IFERROR(__xludf.DUMMYFUNCTION("""COMPUTED_VALUE"""),"842")</f>
        <v>842</v>
      </c>
      <c r="B1111" s="14" t="str">
        <f>IFERROR(__xludf.DUMMYFUNCTION("""COMPUTED_VALUE"""),"РЕН-27")</f>
        <v>РЕН-27</v>
      </c>
      <c r="C1111" s="14" t="str">
        <f>IFERROR(__xludf.DUMMYFUNCTION("""COMPUTED_VALUE"""),"ОКС")</f>
        <v>ОКС</v>
      </c>
      <c r="D1111" s="6"/>
      <c r="E1111" s="14" t="str">
        <f>IFERROR(__xludf.DUMMYFUNCTION("""COMPUTED_VALUE"""),"Жилой дом с подземной автостоянкой с инженерными сетями и благоустройством территории (со сносом жилых зданий по адресам: ул. Армавирская, 23/18; ул. Армавирская, д. 25) по адресу: вн. тер. г. Люблино, ул. Судакова, земельный участок 18/23 (зона № 1.4) ул"&amp;"ица Судакова, земельный участок 18/23")</f>
        <v>Жилой дом с подземной автостоянкой с инженерными сетями и благоустройством территории (со сносом жилых зданий по адресам: ул. Армавирская, 23/18; ул. Армавирская, д. 25) по адресу: вн. тер. г. Люблино, ул. Судакова, земельный участок 18/23 (зона № 1.4) улица Судакова, земельный участок 18/23</v>
      </c>
      <c r="F1111" s="25" t="str">
        <f>IFERROR(__xludf.DUMMYFUNCTION("""COMPUTED_VALUE"""),"55.6729")</f>
        <v>55.6729</v>
      </c>
      <c r="G1111" s="6" t="str">
        <f>IFERROR(__xludf.DUMMYFUNCTION("""COMPUTED_VALUE"""),"37.752185")</f>
        <v>37.752185</v>
      </c>
      <c r="H1111" s="18" t="str">
        <f>IFERROR(__xludf.DUMMYFUNCTION("""COMPUTED_VALUE"""),"https://docs.google.com/spreadsheets/d/1lEcUd4exxkr5Za3IYZ0vdFNfMubnuMOOMXfmF3GYC9I/edit?gid=1377038117#gid=1377038117")</f>
        <v>https://docs.google.com/spreadsheets/d/1lEcUd4exxkr5Za3IYZ0vdFNfMubnuMOOMXfmF3GYC9I/edit?gid=1377038117#gid=1377038117</v>
      </c>
      <c r="I1111" s="19" t="str">
        <f>IFERROR(__xludf.DUMMYFUNCTION("""COMPUTED_VALUE"""),"https://disk.yandex.ru/client/disk/Осмотры%20объектов%20АНО%20СМГ/842.%20жилой%20дом%20ул.%20Судакова%2018.23")</f>
        <v>https://disk.yandex.ru/client/disk/Осмотры%20объектов%20АНО%20СМГ/842.%20жилой%20дом%20ул.%20Судакова%2018.23</v>
      </c>
      <c r="J1111" s="50">
        <f>IFERROR(__xludf.DUMMYFUNCTION("""COMPUTED_VALUE"""),0.0)</f>
        <v>0</v>
      </c>
      <c r="K1111" s="58">
        <f>IFERROR(__xludf.DUMMYFUNCTION("""COMPUTED_VALUE"""),45688.0)</f>
        <v>45688</v>
      </c>
      <c r="L1111" s="6">
        <v>30.0</v>
      </c>
      <c r="M1111" s="52">
        <v>45718.0</v>
      </c>
      <c r="N1111" s="53" t="s">
        <v>668</v>
      </c>
      <c r="O1111" s="19" t="s">
        <v>914</v>
      </c>
      <c r="P1111" s="6"/>
      <c r="Q1111" s="6"/>
      <c r="R1111" s="6"/>
    </row>
    <row r="1112">
      <c r="A1112" s="31" t="str">
        <f>IFERROR(__xludf.DUMMYFUNCTION("""COMPUTED_VALUE"""),"873")</f>
        <v>873</v>
      </c>
      <c r="B1112" s="14" t="str">
        <f>IFERROR(__xludf.DUMMYFUNCTION("""COMPUTED_VALUE"""),"РЕН-27")</f>
        <v>РЕН-27</v>
      </c>
      <c r="C1112" s="14" t="str">
        <f>IFERROR(__xludf.DUMMYFUNCTION("""COMPUTED_VALUE"""),"ОКС")</f>
        <v>ОКС</v>
      </c>
      <c r="D1112" s="6"/>
      <c r="E1112" s="14" t="str">
        <f>IFERROR(__xludf.DUMMYFUNCTION("""COMPUTED_VALUE"""),"Жилой дом с инженерными сетями и благоустройством территории (со сносом жилых домов по адресам: Кусковская улица, дом 25, корпус 1; дом 25, корпус 2)» по адресу: г. Москва, внутригородское муниципальное образование Новогиреево, улица Кусковская, земельный"&amp;" участок 25 (Кусковская ул., вл. 25) (Восточный административный округ) улица Кусковская, земельный участок 25 (Кусковская ул., вл. 25")</f>
        <v>Жилой дом с инженерными сетями и благоустройством территории (со сносом жилых домов по адресам: Кусковская улица, дом 25, корпус 1; дом 25, корпус 2)» по адресу: г. Москва, внутригородское муниципальное образование Новогиреево, улица Кусковская, земельный участок 25 (Кусковская ул., вл. 25) (Восточный административный округ) улица Кусковская, земельный участок 25 (Кусковская ул., вл. 25</v>
      </c>
      <c r="F1112" s="25" t="str">
        <f>IFERROR(__xludf.DUMMYFUNCTION("""COMPUTED_VALUE"""),"55.74101399206099")</f>
        <v>55.74101399206099</v>
      </c>
      <c r="G1112" s="6" t="str">
        <f>IFERROR(__xludf.DUMMYFUNCTION("""COMPUTED_VALUE"""),"37.782451074728726")</f>
        <v>37.782451074728726</v>
      </c>
      <c r="H1112" s="18" t="str">
        <f>IFERROR(__xludf.DUMMYFUNCTION("""COMPUTED_VALUE"""),"https://docs.google.com/spreadsheets/d/1lEcUd4exxkr5Za3IYZ0vdFNfMubnuMOOMXfmF3GYC9I/edit?gid=569403802#gid=569403802")</f>
        <v>https://docs.google.com/spreadsheets/d/1lEcUd4exxkr5Za3IYZ0vdFNfMubnuMOOMXfmF3GYC9I/edit?gid=569403802#gid=569403802</v>
      </c>
      <c r="I1112" s="19" t="str">
        <f>IFERROR(__xludf.DUMMYFUNCTION("""COMPUTED_VALUE"""),"https://disk.yandex.ru/client/disk/Осмотры%20объектов%20АНО%20СМГ/873%20ВАО%20уд.%20Кусковская.%2C%20зем.уч%20вл.25")</f>
        <v>https://disk.yandex.ru/client/disk/Осмотры%20объектов%20АНО%20СМГ/873%20ВАО%20уд.%20Кусковская.%2C%20зем.уч%20вл.25</v>
      </c>
      <c r="J1112" s="50">
        <f>IFERROR(__xludf.DUMMYFUNCTION("""COMPUTED_VALUE"""),0.0)</f>
        <v>0</v>
      </c>
      <c r="K1112" s="58">
        <f>IFERROR(__xludf.DUMMYFUNCTION("""COMPUTED_VALUE"""),45688.0)</f>
        <v>45688</v>
      </c>
      <c r="L1112" s="6">
        <v>30.0</v>
      </c>
      <c r="M1112" s="52">
        <v>45718.0</v>
      </c>
      <c r="N1112" s="53" t="s">
        <v>668</v>
      </c>
      <c r="O1112" s="19" t="s">
        <v>914</v>
      </c>
      <c r="P1112" s="6"/>
      <c r="Q1112" s="6"/>
      <c r="R1112" s="6"/>
    </row>
    <row r="1113">
      <c r="A1113" s="31" t="str">
        <f>IFERROR(__xludf.DUMMYFUNCTION("""COMPUTED_VALUE"""),"758")</f>
        <v>758</v>
      </c>
      <c r="B1113" s="14" t="str">
        <f>IFERROR(__xludf.DUMMYFUNCTION("""COMPUTED_VALUE"""),"РЕН-27")</f>
        <v>РЕН-27</v>
      </c>
      <c r="C1113" s="14" t="str">
        <f>IFERROR(__xludf.DUMMYFUNCTION("""COMPUTED_VALUE"""),"ОКС")</f>
        <v>ОКС</v>
      </c>
      <c r="D1113" s="6"/>
      <c r="E1113" s="14" t="str">
        <f>IFERROR(__xludf.DUMMYFUNCTION("""COMPUTED_VALUE"""),"Жилой дом с инженерными сетями и благоустройством территории, ЗАО, район Фили-Давыдково, Клочкова ул., вл. 2-4 улица Клочкова, земельный участок 2 (Клочкова ул., вл. 2-4)")</f>
        <v>Жилой дом с инженерными сетями и благоустройством территории, ЗАО, район Фили-Давыдково, Клочкова ул., вл. 2-4 улица Клочкова, земельный участок 2 (Клочкова ул., вл. 2-4)</v>
      </c>
      <c r="F1113" s="25" t="str">
        <f>IFERROR(__xludf.DUMMYFUNCTION("""COMPUTED_VALUE"""),"55.725377")</f>
        <v>55.725377</v>
      </c>
      <c r="G1113" s="6" t="str">
        <f>IFERROR(__xludf.DUMMYFUNCTION("""COMPUTED_VALUE"""),"37.45177")</f>
        <v>37.45177</v>
      </c>
      <c r="H1113" s="18" t="str">
        <f>IFERROR(__xludf.DUMMYFUNCTION("""COMPUTED_VALUE"""),"https://docs.google.com/spreadsheets/d/1lEcUd4exxkr5Za3IYZ0vdFNfMubnuMOOMXfmF3GYC9I/edit?gid=65622672#gid=65622672")</f>
        <v>https://docs.google.com/spreadsheets/d/1lEcUd4exxkr5Za3IYZ0vdFNfMubnuMOOMXfmF3GYC9I/edit?gid=65622672#gid=65622672</v>
      </c>
      <c r="I1113" s="19" t="str">
        <f>IFERROR(__xludf.DUMMYFUNCTION("""COMPUTED_VALUE"""),"https://disk.yandex.ru/client/disk/Осмотры%20объектов%20АНО%20СМГ/758.%20%20улица%20Клочкова%2C%20земельный%20участок%204%20(Клочкова%20ул.%2C%20вл.%202-4)")</f>
        <v>https://disk.yandex.ru/client/disk/Осмотры%20объектов%20АНО%20СМГ/758.%20%20улица%20Клочкова%2C%20земельный%20участок%204%20(Клочкова%20ул.%2C%20вл.%202-4)</v>
      </c>
      <c r="J1113" s="50">
        <f>IFERROR(__xludf.DUMMYFUNCTION("""COMPUTED_VALUE"""),0.0)</f>
        <v>0</v>
      </c>
      <c r="K1113" s="58">
        <f>IFERROR(__xludf.DUMMYFUNCTION("""COMPUTED_VALUE"""),45824.0)</f>
        <v>45824</v>
      </c>
      <c r="L1113" s="6">
        <v>30.0</v>
      </c>
      <c r="M1113" s="52">
        <v>45854.0</v>
      </c>
      <c r="N1113" s="53" t="s">
        <v>668</v>
      </c>
      <c r="O1113" s="19" t="s">
        <v>914</v>
      </c>
      <c r="P1113" s="6"/>
      <c r="Q1113" s="6"/>
      <c r="R1113" s="6"/>
    </row>
    <row r="1114">
      <c r="A1114" s="31" t="str">
        <f>IFERROR(__xludf.DUMMYFUNCTION("""COMPUTED_VALUE"""),"764")</f>
        <v>764</v>
      </c>
      <c r="B1114" s="14" t="str">
        <f>IFERROR(__xludf.DUMMYFUNCTION("""COMPUTED_VALUE"""),"РЕН-27")</f>
        <v>РЕН-27</v>
      </c>
      <c r="C1114" s="14" t="str">
        <f>IFERROR(__xludf.DUMMYFUNCTION("""COMPUTED_VALUE"""),"ОКС")</f>
        <v>ОКС</v>
      </c>
      <c r="D1114" s="6"/>
      <c r="E1114"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д.34 к.2 и Самаркандский б-р. д.34 к.3) п"&amp;"о адресу: район Выхино-Жулебино, мкр. 137-138, зона № 2.2 Самаркандский б-р., мкр. 137-138, зона № 2.2")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д.34 к.2 и Самаркандский б-р. д.34 к.3) по адресу: район Выхино-Жулебино, мкр. 137-138, зона № 2.2 Самаркандский б-р., мкр. 137-138, зона № 2.2</v>
      </c>
      <c r="F1114" s="25" t="str">
        <f>IFERROR(__xludf.DUMMYFUNCTION("""COMPUTED_VALUE"""),"55.697513")</f>
        <v>55.697513</v>
      </c>
      <c r="G1114" s="6" t="str">
        <f>IFERROR(__xludf.DUMMYFUNCTION("""COMPUTED_VALUE"""),"37.810243")</f>
        <v>37.810243</v>
      </c>
      <c r="H1114" s="18" t="str">
        <f>IFERROR(__xludf.DUMMYFUNCTION("""COMPUTED_VALUE"""),"https://docs.google.com/spreadsheets/d/1lEcUd4exxkr5Za3IYZ0vdFNfMubnuMOOMXfmF3GYC9I/edit?gid=1826826370#gid=1826826370")</f>
        <v>https://docs.google.com/spreadsheets/d/1lEcUd4exxkr5Za3IYZ0vdFNfMubnuMOOMXfmF3GYC9I/edit?gid=1826826370#gid=1826826370</v>
      </c>
      <c r="I1114" s="19" t="str">
        <f>IFERROR(__xludf.DUMMYFUNCTION("""COMPUTED_VALUE"""),"https://disk.yandex.ru/client/disk/Осмотры%20объектов%20АНО%20СМГ/764.%20Самаркандский%20б-р%2C%20мкр.%20137-138%2C%20зона√2.2")</f>
        <v>https://disk.yandex.ru/client/disk/Осмотры%20объектов%20АНО%20СМГ/764.%20Самаркандский%20б-р%2C%20мкр.%20137-138%2C%20зона√2.2</v>
      </c>
      <c r="J1114" s="50">
        <f>IFERROR(__xludf.DUMMYFUNCTION("""COMPUTED_VALUE"""),0.0)</f>
        <v>0</v>
      </c>
      <c r="K1114" s="58">
        <f>IFERROR(__xludf.DUMMYFUNCTION("""COMPUTED_VALUE"""),45807.0)</f>
        <v>45807</v>
      </c>
      <c r="L1114" s="6">
        <v>30.0</v>
      </c>
      <c r="M1114" s="52">
        <v>45837.0</v>
      </c>
      <c r="N1114" s="53" t="s">
        <v>668</v>
      </c>
      <c r="O1114" s="19" t="s">
        <v>914</v>
      </c>
      <c r="P1114" s="6"/>
      <c r="Q1114" s="6"/>
      <c r="R1114" s="6"/>
    </row>
    <row r="1115">
      <c r="A1115" s="31" t="str">
        <f>IFERROR(__xludf.DUMMYFUNCTION("""COMPUTED_VALUE"""),"779")</f>
        <v>779</v>
      </c>
      <c r="B1115" s="14" t="str">
        <f>IFERROR(__xludf.DUMMYFUNCTION("""COMPUTED_VALUE"""),"РЕН-27")</f>
        <v>РЕН-27</v>
      </c>
      <c r="C1115" s="14" t="str">
        <f>IFERROR(__xludf.DUMMYFUNCTION("""COMPUTED_VALUE"""),"ОКС")</f>
        <v>ОКС</v>
      </c>
      <c r="D1115" s="6"/>
      <c r="E1115"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бульвар Матроса Железняка, д. 17/14) по адресу: г. Москв"&amp;"а, внутригородское муниципальное образование Коптево, бульвар Матроса Железняка, земельный участок 17/14 (САО) Коптево, кв. 16, зона 10.1, бульвар Матроса Железняка 17/14")</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бульвар Матроса Железняка, д. 17/14) по адресу: г. Москва, внутригородское муниципальное образование Коптево, бульвар Матроса Железняка, земельный участок 17/14 (САО) Коптево, кв. 16, зона 10.1, бульвар Матроса Железняка 17/14</v>
      </c>
      <c r="F1115" s="25" t="str">
        <f>IFERROR(__xludf.DUMMYFUNCTION("""COMPUTED_VALUE"""),"55.83222907637363")</f>
        <v>55.83222907637363</v>
      </c>
      <c r="G1115" s="6" t="str">
        <f>IFERROR(__xludf.DUMMYFUNCTION("""COMPUTED_VALUE"""),"37.52638054232734")</f>
        <v>37.52638054232734</v>
      </c>
      <c r="H1115" s="18" t="str">
        <f>IFERROR(__xludf.DUMMYFUNCTION("""COMPUTED_VALUE"""),"https://docs.google.com/spreadsheets/d/1lEcUd4exxkr5Za3IYZ0vdFNfMubnuMOOMXfmF3GYC9I/edit?gid=955853431#gid=955853431")</f>
        <v>https://docs.google.com/spreadsheets/d/1lEcUd4exxkr5Za3IYZ0vdFNfMubnuMOOMXfmF3GYC9I/edit?gid=955853431#gid=955853431</v>
      </c>
      <c r="I1115" s="19" t="str">
        <f>IFERROR(__xludf.DUMMYFUNCTION("""COMPUTED_VALUE"""),"https://disk.yandex.ru/client/disk/Осмотры%20объектов%20АНО%20СМГ/779.%20Коптево%2C%20кв.%2016%2C%20зона%2010.1")</f>
        <v>https://disk.yandex.ru/client/disk/Осмотры%20объектов%20АНО%20СМГ/779.%20Коптево%2C%20кв.%2016%2C%20зона%2010.1</v>
      </c>
      <c r="J1115" s="50">
        <f>IFERROR(__xludf.DUMMYFUNCTION("""COMPUTED_VALUE"""),0.0)</f>
        <v>0</v>
      </c>
      <c r="K1115" s="58">
        <f>IFERROR(__xludf.DUMMYFUNCTION("""COMPUTED_VALUE"""),45679.0)</f>
        <v>45679</v>
      </c>
      <c r="L1115" s="6">
        <v>30.0</v>
      </c>
      <c r="M1115" s="52">
        <v>45709.0</v>
      </c>
      <c r="N1115" s="53" t="s">
        <v>668</v>
      </c>
      <c r="O1115" s="19" t="s">
        <v>1218</v>
      </c>
      <c r="P1115" s="6"/>
      <c r="Q1115" s="6"/>
      <c r="R1115" s="6"/>
    </row>
    <row r="1116">
      <c r="A1116" s="31" t="str">
        <f>IFERROR(__xludf.DUMMYFUNCTION("""COMPUTED_VALUE"""),"781")</f>
        <v>781</v>
      </c>
      <c r="B1116" s="14" t="str">
        <f>IFERROR(__xludf.DUMMYFUNCTION("""COMPUTED_VALUE"""),"РЕН-27")</f>
        <v>РЕН-27</v>
      </c>
      <c r="C1116" s="14" t="str">
        <f>IFERROR(__xludf.DUMMYFUNCTION("""COMPUTED_VALUE"""),"ОКС")</f>
        <v>ОКС</v>
      </c>
      <c r="D1116" s="6"/>
      <c r="E1116"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дома: д.1а, д.3; Новомихал"&amp;"ковский 3-й проезд, д.1, Новомихалковский 3-й проезд, д. 3, ул. Большая Академическая, д. 59/1 кБ) по адресу: район Коптево, кв. 98, зона № 2.1 (САО) Коптево, кв. 98, зона 2.1")</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дома: д.1а, д.3; Новомихалковский 3-й проезд, д.1, Новомихалковский 3-й проезд, д. 3, ул. Большая Академическая, д. 59/1 кБ) по адресу: район Коптево, кв. 98, зона № 2.1 (САО) Коптево, кв. 98, зона 2.1</v>
      </c>
      <c r="F1116" s="25" t="str">
        <f>IFERROR(__xludf.DUMMYFUNCTION("""COMPUTED_VALUE"""),"55.840105720551556")</f>
        <v>55.840105720551556</v>
      </c>
      <c r="G1116" s="6" t="str">
        <f>IFERROR(__xludf.DUMMYFUNCTION("""COMPUTED_VALUE"""),"37.54464199140119")</f>
        <v>37.54464199140119</v>
      </c>
      <c r="H1116" s="18" t="str">
        <f>IFERROR(__xludf.DUMMYFUNCTION("""COMPUTED_VALUE"""),"https://docs.google.com/spreadsheets/d/1lEcUd4exxkr5Za3IYZ0vdFNfMubnuMOOMXfmF3GYC9I/edit?gid=1982116441#gid=1982116441")</f>
        <v>https://docs.google.com/spreadsheets/d/1lEcUd4exxkr5Za3IYZ0vdFNfMubnuMOOMXfmF3GYC9I/edit?gid=1982116441#gid=1982116441</v>
      </c>
      <c r="I1116" s="19" t="str">
        <f>IFERROR(__xludf.DUMMYFUNCTION("""COMPUTED_VALUE"""),"https://disk.yandex.ru/client/disk/Осмотры%20объектов%20АНО%20СМГ/781.%20Коптево%2C%20кв.%2098%2C%20зона%20№%202.1")</f>
        <v>https://disk.yandex.ru/client/disk/Осмотры%20объектов%20АНО%20СМГ/781.%20Коптево%2C%20кв.%2098%2C%20зона%20№%202.1</v>
      </c>
      <c r="J1116" s="50">
        <f>IFERROR(__xludf.DUMMYFUNCTION("""COMPUTED_VALUE"""),0.0)</f>
        <v>0</v>
      </c>
      <c r="K1116" s="58">
        <f>IFERROR(__xludf.DUMMYFUNCTION("""COMPUTED_VALUE"""),45679.0)</f>
        <v>45679</v>
      </c>
      <c r="L1116" s="6">
        <v>30.0</v>
      </c>
      <c r="M1116" s="52">
        <v>45709.0</v>
      </c>
      <c r="N1116" s="53" t="s">
        <v>668</v>
      </c>
      <c r="O1116" s="19" t="s">
        <v>1218</v>
      </c>
      <c r="P1116" s="6"/>
      <c r="Q1116" s="6"/>
      <c r="R1116" s="6"/>
    </row>
    <row r="1117">
      <c r="A1117" s="31" t="str">
        <f>IFERROR(__xludf.DUMMYFUNCTION("""COMPUTED_VALUE"""),"808")</f>
        <v>808</v>
      </c>
      <c r="B1117" s="14" t="str">
        <f>IFERROR(__xludf.DUMMYFUNCTION("""COMPUTED_VALUE"""),"РЕН-27")</f>
        <v>РЕН-27</v>
      </c>
      <c r="C1117" s="14" t="str">
        <f>IFERROR(__xludf.DUMMYFUNCTION("""COMPUTED_VALUE"""),"ОКС")</f>
        <v>ОКС</v>
      </c>
      <c r="D1117" s="6"/>
      <c r="E1117"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Нагорная д. 7 корп. 2; ул. Нагорная д. 7 корп. 3; у"&amp;"л. Нагорная д. 7 корп. 4) по адресу: г. Москва, внутригородское муниципальное образование Котловка, улица Нагорная, земельный участок 7 (зона 2.1) (Юго-Западный административный округ) Котловка, микрорайонов 67,68 кв-лов 103,104,105,106, номер зоны 2.1")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Нагорная д. 7 корп. 2; ул. Нагорная д. 7 корп. 3; ул. Нагорная д. 7 корп. 4) по адресу: г. Москва, внутригородское муниципальное образование Котловка, улица Нагорная, земельный участок 7 (зона 2.1) (Юго-Западный административный округ) Котловка, микрорайонов 67,68 кв-лов 103,104,105,106, номер зоны 2.1</v>
      </c>
      <c r="F1117" s="25" t="str">
        <f>IFERROR(__xludf.DUMMYFUNCTION("""COMPUTED_VALUE"""),"55.676006")</f>
        <v>55.676006</v>
      </c>
      <c r="G1117" s="6" t="str">
        <f>IFERROR(__xludf.DUMMYFUNCTION("""COMPUTED_VALUE"""),"37.602436")</f>
        <v>37.602436</v>
      </c>
      <c r="H1117" s="18" t="str">
        <f>IFERROR(__xludf.DUMMYFUNCTION("""COMPUTED_VALUE"""),"https://docs.google.com/spreadsheets/d/1lEcUd4exxkr5Za3IYZ0vdFNfMubnuMOOMXfmF3GYC9I/edit?gid=1088429623#gid=1088429623")</f>
        <v>https://docs.google.com/spreadsheets/d/1lEcUd4exxkr5Za3IYZ0vdFNfMubnuMOOMXfmF3GYC9I/edit?gid=1088429623#gid=1088429623</v>
      </c>
      <c r="I1117" s="19" t="str">
        <f>IFERROR(__xludf.DUMMYFUNCTION("""COMPUTED_VALUE"""),"https://disk.yandex.ru/client/disk/Осмотры%20объектов%20АНО%20СМГ/808.%20Котловка%2C%20зона%202.1.%20Нагорная%20ул.%207%20к.%203")</f>
        <v>https://disk.yandex.ru/client/disk/Осмотры%20объектов%20АНО%20СМГ/808.%20Котловка%2C%20зона%202.1.%20Нагорная%20ул.%207%20к.%203</v>
      </c>
      <c r="J1117" s="50">
        <f>IFERROR(__xludf.DUMMYFUNCTION("""COMPUTED_VALUE"""),0.0)</f>
        <v>0</v>
      </c>
      <c r="K1117" s="58">
        <f>IFERROR(__xludf.DUMMYFUNCTION("""COMPUTED_VALUE"""),45824.0)</f>
        <v>45824</v>
      </c>
      <c r="L1117" s="6">
        <v>30.0</v>
      </c>
      <c r="M1117" s="52">
        <v>45854.0</v>
      </c>
      <c r="N1117" s="53" t="s">
        <v>668</v>
      </c>
      <c r="O1117" s="19" t="s">
        <v>1218</v>
      </c>
      <c r="P1117" s="6"/>
      <c r="Q1117" s="6"/>
      <c r="R1117" s="6"/>
    </row>
    <row r="1118">
      <c r="A1118" s="31" t="str">
        <f>IFERROR(__xludf.DUMMYFUNCTION("""COMPUTED_VALUE"""),"939")</f>
        <v>939</v>
      </c>
      <c r="B1118" s="14" t="str">
        <f>IFERROR(__xludf.DUMMYFUNCTION("""COMPUTED_VALUE"""),"РЕН-27")</f>
        <v>РЕН-27</v>
      </c>
      <c r="C1118" s="14" t="str">
        <f>IFERROR(__xludf.DUMMYFUNCTION("""COMPUTED_VALUE"""),"ОКС")</f>
        <v>ОКС</v>
      </c>
      <c r="D1118" s="6"/>
      <c r="E1118" s="14" t="str">
        <f>IFERROR(__xludf.DUMMYFUNCTION("""COMPUTED_VALUE"""),"Жилой дом с инженерными сетями и благоустройством территории (со сносом жилых зданий по адресам: ул. Народного Ополчения, д.12, корп.1; ул. Народного Ополчения, д.12, корп.2, ул. Народного Ополчения, д. 14, корп. 2; ул. Народного Ополчения, д.12, корп.3) "&amp;"по адресу: внутригородское муниципальное образование Хорошёво Мнёвники, улица Народного Ополчения, земельный участок 12 ул. Народного Ополчения, з/у 12")</f>
        <v>Жилой дом с инженерными сетями и благоустройством территории (со сносом жилых зданий по адресам: ул. Народного Ополчения, д.12, корп.1; ул. Народного Ополчения, д.12, корп.2, ул. Народного Ополчения, д. 14, корп. 2; ул. Народного Ополчения, д.12, корп.3) по адресу: внутригородское муниципальное образование Хорошёво Мнёвники, улица Народного Ополчения, земельный участок 12 ул. Народного Ополчения, з/у 12</v>
      </c>
      <c r="F1118" s="25" t="str">
        <f>IFERROR(__xludf.DUMMYFUNCTION("""COMPUTED_VALUE"""),"55.77299585539504")</f>
        <v>55.77299585539504</v>
      </c>
      <c r="G1118" s="6" t="str">
        <f>IFERROR(__xludf.DUMMYFUNCTION("""COMPUTED_VALUE"""),"37.47776686242588")</f>
        <v>37.47776686242588</v>
      </c>
      <c r="H1118" s="18" t="str">
        <f>IFERROR(__xludf.DUMMYFUNCTION("""COMPUTED_VALUE"""),"https://docs.google.com/spreadsheets/d/1lEcUd4exxkr5Za3IYZ0vdFNfMubnuMOOMXfmF3GYC9I/edit?gid=898826045#gid=898826045")</f>
        <v>https://docs.google.com/spreadsheets/d/1lEcUd4exxkr5Za3IYZ0vdFNfMubnuMOOMXfmF3GYC9I/edit?gid=898826045#gid=898826045</v>
      </c>
      <c r="I1118" s="19" t="str">
        <f>IFERROR(__xludf.DUMMYFUNCTION("""COMPUTED_VALUE"""),"https://disk.yandex.ru/client/disk/Осмотры%20объектов%20АНО%20СМГ/939.%20дом%20Ул.%20Народного%20ополчения%20зу12")</f>
        <v>https://disk.yandex.ru/client/disk/Осмотры%20объектов%20АНО%20СМГ/939.%20дом%20Ул.%20Народного%20ополчения%20зу12</v>
      </c>
      <c r="J1118" s="50">
        <f>IFERROR(__xludf.DUMMYFUNCTION("""COMPUTED_VALUE"""),0.0)</f>
        <v>0</v>
      </c>
      <c r="K1118" s="58"/>
      <c r="L1118" s="6">
        <v>30.0</v>
      </c>
      <c r="M1118" s="52" t="s">
        <v>655</v>
      </c>
      <c r="N1118" s="53" t="s">
        <v>698</v>
      </c>
      <c r="O1118" s="19" t="s">
        <v>914</v>
      </c>
      <c r="P1118" s="6"/>
      <c r="Q1118" s="6"/>
      <c r="R1118" s="6"/>
    </row>
    <row r="1119">
      <c r="A1119" s="31" t="str">
        <f>IFERROR(__xludf.DUMMYFUNCTION("""COMPUTED_VALUE"""),"892")</f>
        <v>892</v>
      </c>
      <c r="B1119" s="14" t="str">
        <f>IFERROR(__xludf.DUMMYFUNCTION("""COMPUTED_VALUE"""),"РЕН-27")</f>
        <v>РЕН-27</v>
      </c>
      <c r="C1119" s="14" t="str">
        <f>IFERROR(__xludf.DUMMYFUNCTION("""COMPUTED_VALUE"""),"ОКС")</f>
        <v>ОКС</v>
      </c>
      <c r="D1119" s="6"/>
      <c r="E1119" s="14" t="str">
        <f>IFERROR(__xludf.DUMMYFUNCTION("""COMPUTED_VALUE"""),"Жилой дом с инженерными сетями и благоустройством территории (со сносом жилых зданий по адресам: ул. 1 Мая, д.4; ул. Вторая Пятилетка, д.2; ул. Вторая Пятилетка, д.4) по адресу: район Крюково, микрорайон 19, зона № 6.2 Крюково, микрорайон 19, зона № 6.2")</f>
        <v>Жилой дом с инженерными сетями и благоустройством территории (со сносом жилых зданий по адресам: ул. 1 Мая, д.4; ул. Вторая Пятилетка, д.2; ул. Вторая Пятилетка, д.4) по адресу: район Крюково, микрорайон 19, зона № 6.2 Крюково, микрорайон 19, зона № 6.2</v>
      </c>
      <c r="F1119" s="25" t="str">
        <f>IFERROR(__xludf.DUMMYFUNCTION("""COMPUTED_VALUE"""),"55.97738017568336")</f>
        <v>55.97738017568336</v>
      </c>
      <c r="G1119" s="6" t="str">
        <f>IFERROR(__xludf.DUMMYFUNCTION("""COMPUTED_VALUE"""),"37.171188652892226")</f>
        <v>37.171188652892226</v>
      </c>
      <c r="H1119" s="18" t="str">
        <f>IFERROR(__xludf.DUMMYFUNCTION("""COMPUTED_VALUE"""),"https://docs.google.com/spreadsheets/d/1lEcUd4exxkr5Za3IYZ0vdFNfMubnuMOOMXfmF3GYC9I/edit?gid=688262507#gid=688262507")</f>
        <v>https://docs.google.com/spreadsheets/d/1lEcUd4exxkr5Za3IYZ0vdFNfMubnuMOOMXfmF3GYC9I/edit?gid=688262507#gid=688262507</v>
      </c>
      <c r="I1119" s="19" t="str">
        <f>IFERROR(__xludf.DUMMYFUNCTION("""COMPUTED_VALUE"""),"https://disk.yandex.ru/client/disk/Осмотры%20объектов%20АНО%20СМГ/892%20Крюково%20мкр.%2019%20зона%206.2")</f>
        <v>https://disk.yandex.ru/client/disk/Осмотры%20объектов%20АНО%20СМГ/892%20Крюково%20мкр.%2019%20зона%206.2</v>
      </c>
      <c r="J1119" s="50">
        <f>IFERROR(__xludf.DUMMYFUNCTION("""COMPUTED_VALUE"""),0.0)</f>
        <v>0</v>
      </c>
      <c r="K1119" s="58"/>
      <c r="L1119" s="6">
        <v>30.0</v>
      </c>
      <c r="M1119" s="52" t="s">
        <v>655</v>
      </c>
      <c r="N1119" s="53" t="s">
        <v>698</v>
      </c>
      <c r="O1119" s="19" t="s">
        <v>1218</v>
      </c>
      <c r="P1119" s="6"/>
      <c r="Q1119" s="6"/>
      <c r="R1119" s="6"/>
    </row>
    <row r="1120">
      <c r="A1120" s="31" t="str">
        <f>IFERROR(__xludf.DUMMYFUNCTION("""COMPUTED_VALUE"""),"990")</f>
        <v>990</v>
      </c>
      <c r="B1120" s="14" t="str">
        <f>IFERROR(__xludf.DUMMYFUNCTION("""COMPUTED_VALUE"""),"РЕН-27")</f>
        <v>РЕН-27</v>
      </c>
      <c r="C1120" s="14" t="str">
        <f>IFERROR(__xludf.DUMMYFUNCTION("""COMPUTED_VALUE"""),"ОКС")</f>
        <v>ОКС</v>
      </c>
      <c r="D1120" s="6"/>
      <c r="E1120" s="14" t="str">
        <f>IFERROR(__xludf.DUMMYFUNCTION("""COMPUTED_VALUE"""),"Жилой дом с инженерными сетями и благоустройством территории по адресу: г. Москва, район Перово, Зеленый проспект, земельный участок 3 Зелёный просп., з/у 3")</f>
        <v>Жилой дом с инженерными сетями и благоустройством территории по адресу: г. Москва, район Перово, Зеленый проспект, земельный участок 3 Зелёный просп., з/у 3</v>
      </c>
      <c r="F1120" s="25" t="str">
        <f>IFERROR(__xludf.DUMMYFUNCTION("""COMPUTED_VALUE"""),"55.748750162111776")</f>
        <v>55.748750162111776</v>
      </c>
      <c r="G1120" s="6" t="str">
        <f>IFERROR(__xludf.DUMMYFUNCTION("""COMPUTED_VALUE"""),"37.76791305551074")</f>
        <v>37.76791305551074</v>
      </c>
      <c r="H1120" s="18" t="str">
        <f>IFERROR(__xludf.DUMMYFUNCTION("""COMPUTED_VALUE"""),"https://docs.google.com/spreadsheets/d/1lEcUd4exxkr5Za3IYZ0vdFNfMubnuMOOMXfmF3GYC9I/edit?gid=366207882#gid=366207882")</f>
        <v>https://docs.google.com/spreadsheets/d/1lEcUd4exxkr5Za3IYZ0vdFNfMubnuMOOMXfmF3GYC9I/edit?gid=366207882#gid=366207882</v>
      </c>
      <c r="I1120" s="19" t="str">
        <f>IFERROR(__xludf.DUMMYFUNCTION("""COMPUTED_VALUE"""),"https://disk.yandex.ru/client/disk/Осмотры%20объектов%20АНО%20СМГ/990.%20Зелёный%20просп.%2C%20зу%203")</f>
        <v>https://disk.yandex.ru/client/disk/Осмотры%20объектов%20АНО%20СМГ/990.%20Зелёный%20просп.%2C%20зу%203</v>
      </c>
      <c r="J1120" s="50">
        <f>IFERROR(__xludf.DUMMYFUNCTION("""COMPUTED_VALUE"""),0.0)</f>
        <v>0</v>
      </c>
      <c r="K1120" s="58">
        <f>IFERROR(__xludf.DUMMYFUNCTION("""COMPUTED_VALUE"""),45699.0)</f>
        <v>45699</v>
      </c>
      <c r="L1120" s="6">
        <v>30.0</v>
      </c>
      <c r="M1120" s="52">
        <v>45729.0</v>
      </c>
      <c r="N1120" s="53" t="s">
        <v>668</v>
      </c>
      <c r="O1120" s="19" t="s">
        <v>914</v>
      </c>
      <c r="P1120" s="6"/>
      <c r="Q1120" s="6"/>
      <c r="R1120" s="6"/>
    </row>
    <row r="1121">
      <c r="A1121" s="31" t="str">
        <f>IFERROR(__xludf.DUMMYFUNCTION("""COMPUTED_VALUE"""),"991")</f>
        <v>991</v>
      </c>
      <c r="B1121" s="14" t="str">
        <f>IFERROR(__xludf.DUMMYFUNCTION("""COMPUTED_VALUE"""),"РЕН-27")</f>
        <v>РЕН-27</v>
      </c>
      <c r="C1121" s="14" t="str">
        <f>IFERROR(__xludf.DUMMYFUNCTION("""COMPUTED_VALUE"""),"ОКС")</f>
        <v>ОКС</v>
      </c>
      <c r="D1121" s="6"/>
      <c r="E1121" s="14" t="str">
        <f>IFERROR(__xludf.DUMMYFUNCTION("""COMPUTED_VALUE"""),"Жилой дом с подземным гаражом, с инженерными сетями и благоустройством территории (со сносом жилых зданий по адресам: ул. Плеханова, д.22, к.2, ул. Плеханова, д.22, к.3) по адресу: район Перово, зона 14.2, ЖУ18"" (Восточный административный округ) Перово,"&amp;" зона 14.2, ЖУ18")</f>
        <v>Жилой дом с подземным гаражом, с инженерными сетями и благоустройством территории (со сносом жилых зданий по адресам: ул. Плеханова, д.22, к.2, ул. Плеханова, д.22, к.3) по адресу: район Перово, зона 14.2, ЖУ18" (Восточный административный округ) Перово, зона 14.2, ЖУ18</v>
      </c>
      <c r="F1121" s="25" t="str">
        <f>IFERROR(__xludf.DUMMYFUNCTION("""COMPUTED_VALUE"""),"55.74251131996331")</f>
        <v>55.74251131996331</v>
      </c>
      <c r="G1121" s="6" t="str">
        <f>IFERROR(__xludf.DUMMYFUNCTION("""COMPUTED_VALUE"""),"37.764215608458855")</f>
        <v>37.764215608458855</v>
      </c>
      <c r="H1121" s="18" t="str">
        <f>IFERROR(__xludf.DUMMYFUNCTION("""COMPUTED_VALUE"""),"https://docs.google.com/spreadsheets/d/1lEcUd4exxkr5Za3IYZ0vdFNfMubnuMOOMXfmF3GYC9I/edit?gid=1382770733#gid=1382770733")</f>
        <v>https://docs.google.com/spreadsheets/d/1lEcUd4exxkr5Za3IYZ0vdFNfMubnuMOOMXfmF3GYC9I/edit?gid=1382770733#gid=1382770733</v>
      </c>
      <c r="I1121" s="19" t="str">
        <f>IFERROR(__xludf.DUMMYFUNCTION("""COMPUTED_VALUE"""),"https://disk.yandex.ru/client/disk/Осмотры%20объектов%20АНО%20СМГ/991.%20Район%20Перово%2C%20зона%2014.2")</f>
        <v>https://disk.yandex.ru/client/disk/Осмотры%20объектов%20АНО%20СМГ/991.%20Район%20Перово%2C%20зона%2014.2</v>
      </c>
      <c r="J1121" s="50">
        <f>IFERROR(__xludf.DUMMYFUNCTION("""COMPUTED_VALUE"""),0.0)</f>
        <v>0</v>
      </c>
      <c r="K1121" s="58">
        <f>IFERROR(__xludf.DUMMYFUNCTION("""COMPUTED_VALUE"""),45699.0)</f>
        <v>45699</v>
      </c>
      <c r="L1121" s="6">
        <v>30.0</v>
      </c>
      <c r="M1121" s="52">
        <v>45729.0</v>
      </c>
      <c r="N1121" s="53" t="s">
        <v>668</v>
      </c>
      <c r="O1121" s="19" t="s">
        <v>1237</v>
      </c>
      <c r="P1121" s="6"/>
      <c r="Q1121" s="6"/>
      <c r="R1121" s="6"/>
    </row>
    <row r="1122">
      <c r="A1122" s="31" t="str">
        <f>IFERROR(__xludf.DUMMYFUNCTION("""COMPUTED_VALUE"""),"984")</f>
        <v>984</v>
      </c>
      <c r="B1122" s="14" t="str">
        <f>IFERROR(__xludf.DUMMYFUNCTION("""COMPUTED_VALUE"""),"РЕН-27")</f>
        <v>РЕН-27</v>
      </c>
      <c r="C1122" s="14" t="str">
        <f>IFERROR(__xludf.DUMMYFUNCTION("""COMPUTED_VALUE"""),"ОКС")</f>
        <v>ОКС</v>
      </c>
      <c r="D1122" s="6"/>
      <c r="E1122" s="14" t="str">
        <f>IFERROR(__xludf.DUMMYFUNCTION("""COMPUTED_VALUE"""),"Жилой дом с подземной автостоянкой, с инженерными сетями и благоустройством территории, район Богородское, ул. Тюменская (ул. Тюменская, вл.5) ул. Тюменская (Тюменская ул., вл.5)")</f>
        <v>Жилой дом с подземной автостоянкой, с инженерными сетями и благоустройством территории, район Богородское, ул. Тюменская (ул. Тюменская, вл.5) ул. Тюменская (Тюменская ул., вл.5)</v>
      </c>
      <c r="F1122" s="25" t="str">
        <f>IFERROR(__xludf.DUMMYFUNCTION("""COMPUTED_VALUE"""),"55.810634243428765")</f>
        <v>55.810634243428765</v>
      </c>
      <c r="G1122" s="6" t="str">
        <f>IFERROR(__xludf.DUMMYFUNCTION("""COMPUTED_VALUE"""),"37.743721338622386")</f>
        <v>37.743721338622386</v>
      </c>
      <c r="H1122" s="18" t="str">
        <f>IFERROR(__xludf.DUMMYFUNCTION("""COMPUTED_VALUE"""),"https://docs.google.com/spreadsheets/d/1lEcUd4exxkr5Za3IYZ0vdFNfMubnuMOOMXfmF3GYC9I/edit?gid=1602079335#gid=1602079335")</f>
        <v>https://docs.google.com/spreadsheets/d/1lEcUd4exxkr5Za3IYZ0vdFNfMubnuMOOMXfmF3GYC9I/edit?gid=1602079335#gid=1602079335</v>
      </c>
      <c r="I1122" s="19" t="str">
        <f>IFERROR(__xludf.DUMMYFUNCTION("""COMPUTED_VALUE"""),"https://disk.yandex.ru/client/disk/Осмотры%20объектов%20АНО%20СМГ/984%20ул.%20Тюменская%2C%20вл.%205%20жил.%20дом")</f>
        <v>https://disk.yandex.ru/client/disk/Осмотры%20объектов%20АНО%20СМГ/984%20ул.%20Тюменская%2C%20вл.%205%20жил.%20дом</v>
      </c>
      <c r="J1122" s="50">
        <f>IFERROR(__xludf.DUMMYFUNCTION("""COMPUTED_VALUE"""),0.33)</f>
        <v>0.33</v>
      </c>
      <c r="K1122" s="58">
        <f>IFERROR(__xludf.DUMMYFUNCTION("""COMPUTED_VALUE"""),45960.0)</f>
        <v>45960</v>
      </c>
      <c r="L1122" s="6">
        <v>30.0</v>
      </c>
      <c r="M1122" s="52">
        <v>45990.0</v>
      </c>
      <c r="N1122" s="53" t="s">
        <v>692</v>
      </c>
      <c r="O1122" s="19" t="s">
        <v>669</v>
      </c>
      <c r="P1122" s="6"/>
      <c r="Q1122" s="6"/>
      <c r="R1122" s="6"/>
    </row>
    <row r="1123">
      <c r="A1123" s="31" t="str">
        <f>IFERROR(__xludf.DUMMYFUNCTION("""COMPUTED_VALUE"""),"782")</f>
        <v>782</v>
      </c>
      <c r="B1123" s="14" t="str">
        <f>IFERROR(__xludf.DUMMYFUNCTION("""COMPUTED_VALUE"""),"РЕН-27")</f>
        <v>РЕН-27</v>
      </c>
      <c r="C1123" s="14" t="str">
        <f>IFERROR(__xludf.DUMMYFUNCTION("""COMPUTED_VALUE"""),"ОКС")</f>
        <v>ОКС</v>
      </c>
      <c r="D1123" s="6"/>
      <c r="E1123"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зданий по адресу: ул. Героев Панфиловцев, д. 45, к. 1, ул. Героев Панфиловцев,"&amp;" д. 45, к.2) по адресу: район Северное Тушино, мкр. 5, зона № 2.1 (Северо-Западный административный округ) Северное Тушино, мкр. 5, зона №2.1")</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зданий по адресу: ул. Героев Панфиловцев, д. 45, к. 1, ул. Героев Панфиловцев, д. 45, к.2) по адресу: район Северное Тушино, мкр. 5, зона № 2.1 (Северо-Западный административный округ) Северное Тушино, мкр. 5, зона №2.1</v>
      </c>
      <c r="F1123" s="25" t="str">
        <f>IFERROR(__xludf.DUMMYFUNCTION("""COMPUTED_VALUE"""),"55.85338")</f>
        <v>55.85338</v>
      </c>
      <c r="G1123" s="6" t="str">
        <f>IFERROR(__xludf.DUMMYFUNCTION("""COMPUTED_VALUE"""),"37.409514")</f>
        <v>37.409514</v>
      </c>
      <c r="H1123" s="18" t="str">
        <f>IFERROR(__xludf.DUMMYFUNCTION("""COMPUTED_VALUE"""),"https://docs.google.com/spreadsheets/d/1lEcUd4exxkr5Za3IYZ0vdFNfMubnuMOOMXfmF3GYC9I/edit?gid=601138165#gid=601138165")</f>
        <v>https://docs.google.com/spreadsheets/d/1lEcUd4exxkr5Za3IYZ0vdFNfMubnuMOOMXfmF3GYC9I/edit?gid=601138165#gid=601138165</v>
      </c>
      <c r="I1123" s="19" t="str">
        <f>IFERROR(__xludf.DUMMYFUNCTION("""COMPUTED_VALUE"""),"https://disk.yandex.ru/client/disk/Осмотры%20объектов%20АНО%20СМГ/782.жилой%20дом%20Северное%20Тушино%2C%20мкр.%205%2C%20зона%20№%202.1")</f>
        <v>https://disk.yandex.ru/client/disk/Осмотры%20объектов%20АНО%20СМГ/782.жилой%20дом%20Северное%20Тушино%2C%20мкр.%205%2C%20зона%20№%202.1</v>
      </c>
      <c r="J1123" s="50">
        <f>IFERROR(__xludf.DUMMYFUNCTION("""COMPUTED_VALUE"""),0.0)</f>
        <v>0</v>
      </c>
      <c r="K1123" s="58">
        <f>IFERROR(__xludf.DUMMYFUNCTION("""COMPUTED_VALUE"""),45819.0)</f>
        <v>45819</v>
      </c>
      <c r="L1123" s="6">
        <v>30.0</v>
      </c>
      <c r="M1123" s="52">
        <v>45849.0</v>
      </c>
      <c r="N1123" s="53" t="s">
        <v>668</v>
      </c>
      <c r="O1123" s="19" t="s">
        <v>1238</v>
      </c>
      <c r="P1123" s="6"/>
      <c r="Q1123" s="6"/>
      <c r="R1123" s="6"/>
    </row>
    <row r="1124">
      <c r="A1124" s="31" t="str">
        <f>IFERROR(__xludf.DUMMYFUNCTION("""COMPUTED_VALUE"""),"922")</f>
        <v>922</v>
      </c>
      <c r="B1124" s="14" t="str">
        <f>IFERROR(__xludf.DUMMYFUNCTION("""COMPUTED_VALUE"""),"РЕН-27")</f>
        <v>РЕН-27</v>
      </c>
      <c r="C1124" s="14" t="str">
        <f>IFERROR(__xludf.DUMMYFUNCTION("""COMPUTED_VALUE"""),"ОКС")</f>
        <v>ОКС</v>
      </c>
      <c r="D1124" s="6"/>
      <c r="E1124" s="14" t="str">
        <f>IFERROR(__xludf.DUMMYFUNCTION("""COMPUTED_VALUE"""),"Жилой дом с инженерными сетями и благоустройством территории (со сносом многоквартирного жилого дома по адресу: Кавказский б-р., д. 18) по адресу: район Царицыно, кварталы 1,4,14,14Б, зона 1.1 бул-р Кавказский, з/у 18")</f>
        <v>Жилой дом с инженерными сетями и благоустройством территории (со сносом многоквартирного жилого дома по адресу: Кавказский б-р., д. 18) по адресу: район Царицыно, кварталы 1,4,14,14Б, зона 1.1 бул-р Кавказский, з/у 18</v>
      </c>
      <c r="F1124" s="25" t="str">
        <f>IFERROR(__xludf.DUMMYFUNCTION("""COMPUTED_VALUE"""),"55.631737")</f>
        <v>55.631737</v>
      </c>
      <c r="G1124" s="6" t="str">
        <f>IFERROR(__xludf.DUMMYFUNCTION("""COMPUTED_VALUE"""),"37.66627")</f>
        <v>37.66627</v>
      </c>
      <c r="H1124" s="18" t="str">
        <f>IFERROR(__xludf.DUMMYFUNCTION("""COMPUTED_VALUE"""),"https://docs.google.com/spreadsheets/d/1lEcUd4exxkr5Za3IYZ0vdFNfMubnuMOOMXfmF3GYC9I/edit?gid=558334865#gid=558334865")</f>
        <v>https://docs.google.com/spreadsheets/d/1lEcUd4exxkr5Za3IYZ0vdFNfMubnuMOOMXfmF3GYC9I/edit?gid=558334865#gid=558334865</v>
      </c>
      <c r="I1124" s="21" t="str">
        <f>IFERROR(__xludf.DUMMYFUNCTION("""COMPUTED_VALUE"""),"https://disk.yandex.ru/client/disk/%D0%9E%D1%81%D0%BC%D0%BE%D1%82%D1%80%D1%8B%20%D0%BE%D0%B1%D1%8A%D0%B5%D0%BA%D1%82%D0%BE%D0%B2%20%D0%90%D0%9D%D0%9E%20%D0%A1%D0%9C%D0%93/922.%20%D0%9A%D0%B0%D0%B2%D0%BA%D0%B0%D0%B7%D1%81%D0%BA%D0%B8%D0%B9%20%D0%B1%D1%83%D"&amp;"0%BB-%D1%80%2C%20%D0%B7-%D1%83%2018.%20%D0%96%D0%B8%D0%BB%D0%BE%D0%B9%20%D0%B4%D0%BE%D0%BC")</f>
        <v>https://disk.yandex.ru/client/disk/%D0%9E%D1%81%D0%BC%D0%BE%D1%82%D1%80%D1%8B%20%D0%BE%D0%B1%D1%8A%D0%B5%D0%BA%D1%82%D0%BE%D0%B2%20%D0%90%D0%9D%D0%9E%20%D0%A1%D0%9C%D0%93/922.%20%D0%9A%D0%B0%D0%B2%D0%BA%D0%B0%D0%B7%D1%81%D0%BA%D0%B8%D0%B9%20%D0%B1%D1%83%D0%BB-%D1%80%2C%20%D0%B7-%D1%83%2018.%20%D0%96%D0%B8%D0%BB%D0%BE%D0%B9%20%D0%B4%D0%BE%D0%BC</v>
      </c>
      <c r="J1124" s="50">
        <f>IFERROR(__xludf.DUMMYFUNCTION("""COMPUTED_VALUE"""),0.0)</f>
        <v>0</v>
      </c>
      <c r="K1124" s="58">
        <f>IFERROR(__xludf.DUMMYFUNCTION("""COMPUTED_VALUE"""),45960.0)</f>
        <v>45960</v>
      </c>
      <c r="L1124" s="6">
        <v>30.0</v>
      </c>
      <c r="M1124" s="52">
        <v>45990.0</v>
      </c>
      <c r="N1124" s="53" t="s">
        <v>692</v>
      </c>
      <c r="O1124" s="19" t="s">
        <v>914</v>
      </c>
      <c r="P1124" s="6"/>
      <c r="Q1124" s="6"/>
      <c r="R1124" s="6"/>
    </row>
    <row r="1125">
      <c r="A1125" s="31" t="str">
        <f>IFERROR(__xludf.DUMMYFUNCTION("""COMPUTED_VALUE"""),"1161")</f>
        <v>1161</v>
      </c>
      <c r="B1125" s="14" t="str">
        <f>IFERROR(__xludf.DUMMYFUNCTION("""COMPUTED_VALUE"""),"РЕН-27")</f>
        <v>РЕН-27</v>
      </c>
      <c r="C1125" s="14" t="str">
        <f>IFERROR(__xludf.DUMMYFUNCTION("""COMPUTED_VALUE"""),"ОКС")</f>
        <v>ОКС</v>
      </c>
      <c r="D1125" s="6"/>
      <c r="E1125" s="14" t="str">
        <f>IFERROR(__xludf.DUMMYFUNCTION("""COMPUTED_VALUE"""),"Жилой дом с подземной автостоянкой, инженерными сетями и благоустройством территории (со сносом жилого дома по адресу: ул. Маршала Чуйкова, д. 22, корп.2) по адресу: вн. тер. г. Кузьминки, улица Маршала Чуйкова, земельный участок 22/2/6 Маршала Чуйкова ул"&amp;"., з/у 22/2/6")</f>
        <v>Жилой дом с подземной автостоянкой, инженерными сетями и благоустройством территории (со сносом жилого дома по адресу: ул. Маршала Чуйкова, д. 22, корп.2) по адресу: вн. тер. г. Кузьминки, улица Маршала Чуйкова, земельный участок 22/2/6 Маршала Чуйкова ул., з/у 22/2/6</v>
      </c>
      <c r="F1125" s="25" t="str">
        <f>IFERROR(__xludf.DUMMYFUNCTION("""COMPUTED_VALUE"""),"55.699177")</f>
        <v>55.699177</v>
      </c>
      <c r="G1125" s="6" t="str">
        <f>IFERROR(__xludf.DUMMYFUNCTION("""COMPUTED_VALUE"""),"37.760216")</f>
        <v>37.760216</v>
      </c>
      <c r="H1125" s="18" t="str">
        <f>IFERROR(__xludf.DUMMYFUNCTION("""COMPUTED_VALUE"""),"https://docs.google.com/spreadsheets/d/1lEcUd4exxkr5Za3IYZ0vdFNfMubnuMOOMXfmF3GYC9I/edit?gid=1345934331#gid=1345934331")</f>
        <v>https://docs.google.com/spreadsheets/d/1lEcUd4exxkr5Za3IYZ0vdFNfMubnuMOOMXfmF3GYC9I/edit?gid=1345934331#gid=1345934331</v>
      </c>
      <c r="I1125" s="19"/>
      <c r="J1125" s="50">
        <f>IFERROR(__xludf.DUMMYFUNCTION("""COMPUTED_VALUE"""),0.0)</f>
        <v>0</v>
      </c>
      <c r="K1125" s="58"/>
      <c r="L1125" s="6">
        <v>30.0</v>
      </c>
      <c r="M1125" s="52" t="s">
        <v>655</v>
      </c>
      <c r="N1125" s="53" t="s">
        <v>698</v>
      </c>
      <c r="O1125" s="19" t="s">
        <v>914</v>
      </c>
      <c r="P1125" s="6"/>
      <c r="Q1125" s="6"/>
      <c r="R1125" s="6"/>
    </row>
    <row r="1126">
      <c r="A1126" s="31" t="str">
        <f>IFERROR(__xludf.DUMMYFUNCTION("""COMPUTED_VALUE"""),"1162")</f>
        <v>1162</v>
      </c>
      <c r="B1126" s="14" t="str">
        <f>IFERROR(__xludf.DUMMYFUNCTION("""COMPUTED_VALUE"""),"РЕН-27")</f>
        <v>РЕН-27</v>
      </c>
      <c r="C1126" s="14" t="str">
        <f>IFERROR(__xludf.DUMMYFUNCTION("""COMPUTED_VALUE"""),"ОКС")</f>
        <v>ОКС</v>
      </c>
      <c r="D1126" s="6"/>
      <c r="E1126" s="14" t="str">
        <f>IFERROR(__xludf.DUMMYFUNCTION("""COMPUTED_VALUE"""),"Жилой дом с подземной автостоянкой, инженерными сетями и благоустройством территории (со сносом нежилого здания по адресу: ул. Маршала Чуйкова, д. 11, корп.3) по адресу: г. Москва, внутригородское муниципальное образование Кузьминки, улица Маршала Чуйкова"&amp;", земельный участок 11А Маршала Чуйкова ул., з/у 11А")</f>
        <v>Жилой дом с подземной автостоянкой, инженерными сетями и благоустройством территории (со сносом нежилого здания по адресу: ул. Маршала Чуйкова, д. 11, корп.3) по адресу: г. Москва, внутригородское муниципальное образование Кузьминки, улица Маршала Чуйкова, земельный участок 11А Маршала Чуйкова ул., з/у 11А</v>
      </c>
      <c r="F1126" s="25" t="str">
        <f>IFERROR(__xludf.DUMMYFUNCTION("""COMPUTED_VALUE"""),"55.69544260156623")</f>
        <v>55.69544260156623</v>
      </c>
      <c r="G1126" s="6" t="str">
        <f>IFERROR(__xludf.DUMMYFUNCTION("""COMPUTED_VALUE"""),"37.761174677243474")</f>
        <v>37.761174677243474</v>
      </c>
      <c r="H1126" s="18" t="str">
        <f>IFERROR(__xludf.DUMMYFUNCTION("""COMPUTED_VALUE"""),"https://docs.google.com/spreadsheets/d/1lEcUd4exxkr5Za3IYZ0vdFNfMubnuMOOMXfmF3GYC9I/edit?gid=125387875#gid=125387875")</f>
        <v>https://docs.google.com/spreadsheets/d/1lEcUd4exxkr5Za3IYZ0vdFNfMubnuMOOMXfmF3GYC9I/edit?gid=125387875#gid=125387875</v>
      </c>
      <c r="I1126" s="19"/>
      <c r="J1126" s="50">
        <f>IFERROR(__xludf.DUMMYFUNCTION("""COMPUTED_VALUE"""),0.0)</f>
        <v>0</v>
      </c>
      <c r="K1126" s="58"/>
      <c r="L1126" s="6">
        <v>30.0</v>
      </c>
      <c r="M1126" s="52" t="s">
        <v>655</v>
      </c>
      <c r="N1126" s="53" t="s">
        <v>698</v>
      </c>
      <c r="O1126" s="19" t="s">
        <v>914</v>
      </c>
      <c r="P1126" s="6"/>
      <c r="Q1126" s="6"/>
      <c r="R1126" s="6"/>
    </row>
    <row r="1127">
      <c r="A1127" s="31" t="str">
        <f>IFERROR(__xludf.DUMMYFUNCTION("""COMPUTED_VALUE"""),"766")</f>
        <v>766</v>
      </c>
      <c r="B1127" s="14" t="str">
        <f>IFERROR(__xludf.DUMMYFUNCTION("""COMPUTED_VALUE"""),"РЕН-27")</f>
        <v>РЕН-27</v>
      </c>
      <c r="C1127" s="14" t="str">
        <f>IFERROR(__xludf.DUMMYFUNCTION("""COMPUTED_VALUE"""),"ОКС")</f>
        <v>ОКС</v>
      </c>
      <c r="D1127" s="6"/>
      <c r="E1127" s="14" t="str">
        <f>IFERROR(__xludf.DUMMYFUNCTION("""COMPUTED_VALUE"""),"Жилой дом с инженерными сетями и благоустройством территории (со сносом жилого дома по адресу: Новощукинская улица, дом 4)» по адресу: г. Москва, внутригородское муниципальное образование Щукино, улица Новощукинская, земельный участок 6 (Новощукинская ул."&amp;", вл. 6) (Северо-Западный административный округ)       улица Новощукинская, земельный участок 6")</f>
        <v>Жилой дом с инженерными сетями и благоустройством территории (со сносом жилого дома по адресу: Новощукинская улица, дом 4)» по адресу: г. Москва, внутригородское муниципальное образование Щукино, улица Новощукинская, земельный участок 6 (Новощукинская ул., вл. 6) (Северо-Западный административный округ)       улица Новощукинская, земельный участок 6</v>
      </c>
      <c r="F1127" s="25" t="str">
        <f>IFERROR(__xludf.DUMMYFUNCTION("""COMPUTED_VALUE"""),"55.80723017350024")</f>
        <v>55.80723017350024</v>
      </c>
      <c r="G1127" s="6" t="str">
        <f>IFERROR(__xludf.DUMMYFUNCTION("""COMPUTED_VALUE"""),"37.45766485913836")</f>
        <v>37.45766485913836</v>
      </c>
      <c r="H1127" s="18" t="str">
        <f>IFERROR(__xludf.DUMMYFUNCTION("""COMPUTED_VALUE"""),"https://docs.google.com/spreadsheets/d/1lEcUd4exxkr5Za3IYZ0vdFNfMubnuMOOMXfmF3GYC9I/edit?gid=50364907#gid=50364907")</f>
        <v>https://docs.google.com/spreadsheets/d/1lEcUd4exxkr5Za3IYZ0vdFNfMubnuMOOMXfmF3GYC9I/edit?gid=50364907#gid=50364907</v>
      </c>
      <c r="I1127" s="21" t="str">
        <f>IFERROR(__xludf.DUMMYFUNCTION("""COMPUTED_VALUE"""),"https://disk.yandex.ru/client/disk/%D0%9E%D1%81%D0%BC%D0%BE%D1%82%D1%80%D1%8B%20%D0%BE%D0%B1%D1%8A%D0%B5%D0%BA%D1%82%D0%BE%D0%B2%20%D0%90%D0%9D%D0%9E%20%D0%A1%D0%9C%D0%93/766.%20%D0%9D%D0%BE%D0%B2%D0%BE%D1%89%D1%83%D0%BA%D0%B8%D0%BD%D1%81%D0%BA%D0%B0%D1%8"&amp;"F%20%D0%B7%D1%83%206")</f>
        <v>https://disk.yandex.ru/client/disk/%D0%9E%D1%81%D0%BC%D0%BE%D1%82%D1%80%D1%8B%20%D0%BE%D0%B1%D1%8A%D0%B5%D0%BA%D1%82%D0%BE%D0%B2%20%D0%90%D0%9D%D0%9E%20%D0%A1%D0%9C%D0%93/766.%20%D0%9D%D0%BE%D0%B2%D0%BE%D1%89%D1%83%D0%BA%D0%B8%D0%BD%D1%81%D0%BA%D0%B0%D1%8F%20%D0%B7%D1%83%206</v>
      </c>
      <c r="J1127" s="50">
        <f>IFERROR(__xludf.DUMMYFUNCTION("""COMPUTED_VALUE"""),0.0)</f>
        <v>0</v>
      </c>
      <c r="K1127" s="58">
        <f>IFERROR(__xludf.DUMMYFUNCTION("""COMPUTED_VALUE"""),45819.0)</f>
        <v>45819</v>
      </c>
      <c r="L1127" s="6">
        <v>30.0</v>
      </c>
      <c r="M1127" s="52">
        <v>45849.0</v>
      </c>
      <c r="N1127" s="53" t="s">
        <v>668</v>
      </c>
      <c r="O1127" s="19" t="s">
        <v>914</v>
      </c>
      <c r="P1127" s="6"/>
      <c r="Q1127" s="6"/>
      <c r="R1127" s="6"/>
    </row>
    <row r="1128">
      <c r="A1128" s="31" t="str">
        <f>IFERROR(__xludf.DUMMYFUNCTION("""COMPUTED_VALUE"""),"767")</f>
        <v>767</v>
      </c>
      <c r="B1128" s="14" t="str">
        <f>IFERROR(__xludf.DUMMYFUNCTION("""COMPUTED_VALUE"""),"РЕН-27")</f>
        <v>РЕН-27</v>
      </c>
      <c r="C1128" s="14" t="str">
        <f>IFERROR(__xludf.DUMMYFUNCTION("""COMPUTED_VALUE"""),"ОКС")</f>
        <v>ОКС</v>
      </c>
      <c r="D1128" s="6"/>
      <c r="E1128" s="14" t="str">
        <f>IFERROR(__xludf.DUMMYFUNCTION("""COMPUTED_VALUE"""),"Жилой дом с инженерными сетями и благоустройством территории (со сносом жилого дома по адресу: Лодочная улица, дом 15, строение 1)» по адресу: г. Москва, внутригородское муниципальное образование Южное Тушино, улица Лодочная, земельный участок 13/1 (Лодоч"&amp;"ная улица, вл. 13, стр. 1, вл. 15, стр. 1 (Северо-Западный административный округ)  улица Лодочная, земельный участок 13/1 (Лодочная улица, вл. 13, стр. 1, вл. 15, стр. 1)")</f>
        <v>Жилой дом с инженерными сетями и благоустройством территории (со сносом жилого дома по адресу: Лодочная улица, дом 15, строение 1)» по адресу: г. Москва, внутригородское муниципальное образование Южное Тушино, улица Лодочная, земельный участок 13/1 (Лодочная улица, вл. 13, стр. 1, вл. 15, стр. 1 (Северо-Западный административный округ)  улица Лодочная, земельный участок 13/1 (Лодочная улица, вл. 13, стр. 1, вл. 15, стр. 1)</v>
      </c>
      <c r="F1128" s="25" t="str">
        <f>IFERROR(__xludf.DUMMYFUNCTION("""COMPUTED_VALUE"""),"55.836645")</f>
        <v>55.836645</v>
      </c>
      <c r="G1128" s="6" t="str">
        <f>IFERROR(__xludf.DUMMYFUNCTION("""COMPUTED_VALUE"""),"37.457879")</f>
        <v>37.457879</v>
      </c>
      <c r="H1128" s="18" t="str">
        <f>IFERROR(__xludf.DUMMYFUNCTION("""COMPUTED_VALUE"""),"https://docs.google.com/spreadsheets/d/1lEcUd4exxkr5Za3IYZ0vdFNfMubnuMOOMXfmF3GYC9I/edit?gid=1130285298#gid=1130285298")</f>
        <v>https://docs.google.com/spreadsheets/d/1lEcUd4exxkr5Za3IYZ0vdFNfMubnuMOOMXfmF3GYC9I/edit?gid=1130285298#gid=1130285298</v>
      </c>
      <c r="I1128" s="19" t="str">
        <f>IFERROR(__xludf.DUMMYFUNCTION("""COMPUTED_VALUE"""),"https://disk.yandex.ru/client/disk/Осмотры%20объектов%20АНО%20СМГ/767.%20жилой%20дом%20ул.%20Лодочная%20вл%2013-1")</f>
        <v>https://disk.yandex.ru/client/disk/Осмотры%20объектов%20АНО%20СМГ/767.%20жилой%20дом%20ул.%20Лодочная%20вл%2013-1</v>
      </c>
      <c r="J1128" s="50">
        <f>IFERROR(__xludf.DUMMYFUNCTION("""COMPUTED_VALUE"""),0.0)</f>
        <v>0</v>
      </c>
      <c r="K1128" s="58">
        <f>IFERROR(__xludf.DUMMYFUNCTION("""COMPUTED_VALUE"""),45819.0)</f>
        <v>45819</v>
      </c>
      <c r="L1128" s="6">
        <v>30.0</v>
      </c>
      <c r="M1128" s="52">
        <v>45849.0</v>
      </c>
      <c r="N1128" s="53" t="s">
        <v>668</v>
      </c>
      <c r="O1128" s="19" t="s">
        <v>914</v>
      </c>
      <c r="P1128" s="6"/>
      <c r="Q1128" s="6"/>
      <c r="R1128" s="6"/>
    </row>
    <row r="1129">
      <c r="A1129" s="31" t="str">
        <f>IFERROR(__xludf.DUMMYFUNCTION("""COMPUTED_VALUE"""),"928")</f>
        <v>928</v>
      </c>
      <c r="B1129" s="14" t="str">
        <f>IFERROR(__xludf.DUMMYFUNCTION("""COMPUTED_VALUE"""),"РЕН-27")</f>
        <v>РЕН-27</v>
      </c>
      <c r="C1129" s="14" t="str">
        <f>IFERROR(__xludf.DUMMYFUNCTION("""COMPUTED_VALUE"""),"ОКС")</f>
        <v>ОКС</v>
      </c>
      <c r="D1129" s="6"/>
      <c r="E1129" s="14" t="str">
        <f>IFERROR(__xludf.DUMMYFUNCTION("""COMPUTED_VALUE"""),"Жилой дом с подземным гаражом, инженерными сетями и благоустройством территории (со сносом жилого здания по адресу: Дмитровское ш., д.151, к.5), САО, район Дмитровский, Дмитровское ш., К.14, зона 10.2 Дмитровское ш., К.14 (зона 10.2)")</f>
        <v>Жилой дом с подземным гаражом, инженерными сетями и благоустройством территории (со сносом жилого здания по адресу: Дмитровское ш., д.151, к.5), САО, район Дмитровский, Дмитровское ш., К.14, зона 10.2 Дмитровское ш., К.14 (зона 10.2)</v>
      </c>
      <c r="F1129" s="25" t="str">
        <f>IFERROR(__xludf.DUMMYFUNCTION("""COMPUTED_VALUE"""),"55.89649565069137")</f>
        <v>55.89649565069137</v>
      </c>
      <c r="G1129" s="6" t="str">
        <f>IFERROR(__xludf.DUMMYFUNCTION("""COMPUTED_VALUE"""),"37.540862962950996")</f>
        <v>37.540862962950996</v>
      </c>
      <c r="H1129" s="18" t="str">
        <f>IFERROR(__xludf.DUMMYFUNCTION("""COMPUTED_VALUE"""),"https://docs.google.com/spreadsheets/d/1lEcUd4exxkr5Za3IYZ0vdFNfMubnuMOOMXfmF3GYC9I/edit?gid=1910743713#gid=1910743713")</f>
        <v>https://docs.google.com/spreadsheets/d/1lEcUd4exxkr5Za3IYZ0vdFNfMubnuMOOMXfmF3GYC9I/edit?gid=1910743713#gid=1910743713</v>
      </c>
      <c r="I1129" s="19" t="str">
        <f>IFERROR(__xludf.DUMMYFUNCTION("""COMPUTED_VALUE"""),"https://disk.yandex.ru/client/disk/Осмотры%20объектов%20АНО%20СМГ/928.%20Дмитровское%20ш.%20К%2014%20(зона%2010.2)")</f>
        <v>https://disk.yandex.ru/client/disk/Осмотры%20объектов%20АНО%20СМГ/928.%20Дмитровское%20ш.%20К%2014%20(зона%2010.2)</v>
      </c>
      <c r="J1129" s="50">
        <f>IFERROR(__xludf.DUMMYFUNCTION("""COMPUTED_VALUE"""),0.0)</f>
        <v>0</v>
      </c>
      <c r="K1129" s="58"/>
      <c r="L1129" s="6">
        <v>30.0</v>
      </c>
      <c r="M1129" s="52" t="s">
        <v>655</v>
      </c>
      <c r="N1129" s="53" t="s">
        <v>698</v>
      </c>
      <c r="O1129" s="19" t="s">
        <v>1239</v>
      </c>
      <c r="P1129" s="6"/>
      <c r="Q1129" s="6"/>
      <c r="R1129" s="6"/>
    </row>
    <row r="1130">
      <c r="A1130" s="31" t="str">
        <f>IFERROR(__xludf.DUMMYFUNCTION("""COMPUTED_VALUE"""),"927")</f>
        <v>927</v>
      </c>
      <c r="B1130" s="14" t="str">
        <f>IFERROR(__xludf.DUMMYFUNCTION("""COMPUTED_VALUE"""),"РЕН-27")</f>
        <v>РЕН-27</v>
      </c>
      <c r="C1130" s="14" t="str">
        <f>IFERROR(__xludf.DUMMYFUNCTION("""COMPUTED_VALUE"""),"ОКС")</f>
        <v>ОКС</v>
      </c>
      <c r="D1130" s="6"/>
      <c r="E1130" s="14" t="str">
        <f>IFERROR(__xludf.DUMMYFUNCTION("""COMPUTED_VALUE"""),"Жилой дом с подземным гаражом, инженерными сетями и благоустройством территории (со сносом жилого здания по адресу: Дмитровское ш., д.151, к.2), САО, район Дмитровский, Дмитровское ш., К.13, зона 10.3 Дмитровское ш., К.13 (зона 10.3)")</f>
        <v>Жилой дом с подземным гаражом, инженерными сетями и благоустройством территории (со сносом жилого здания по адресу: Дмитровское ш., д.151, к.2), САО, район Дмитровский, Дмитровское ш., К.13, зона 10.3 Дмитровское ш., К.13 (зона 10.3)</v>
      </c>
      <c r="F1130" s="25" t="str">
        <f>IFERROR(__xludf.DUMMYFUNCTION("""COMPUTED_VALUE"""),"55.89602698745653")</f>
        <v>55.89602698745653</v>
      </c>
      <c r="G1130" s="6" t="str">
        <f>IFERROR(__xludf.DUMMYFUNCTION("""COMPUTED_VALUE"""),"37.54244457937569")</f>
        <v>37.54244457937569</v>
      </c>
      <c r="H1130" s="18" t="str">
        <f>IFERROR(__xludf.DUMMYFUNCTION("""COMPUTED_VALUE"""),"https://docs.google.com/spreadsheets/d/1lEcUd4exxkr5Za3IYZ0vdFNfMubnuMOOMXfmF3GYC9I/edit?gid=1431643406#gid=1431643406")</f>
        <v>https://docs.google.com/spreadsheets/d/1lEcUd4exxkr5Za3IYZ0vdFNfMubnuMOOMXfmF3GYC9I/edit?gid=1431643406#gid=1431643406</v>
      </c>
      <c r="I1130" s="19" t="str">
        <f>IFERROR(__xludf.DUMMYFUNCTION("""COMPUTED_VALUE"""),"https://disk.yandex.ru/client/disk/Осмотры%20объектов%20АНО%20СМГ/927.%20Дмитровское%20ш.%20К13%20(зона%2010.3)")</f>
        <v>https://disk.yandex.ru/client/disk/Осмотры%20объектов%20АНО%20СМГ/927.%20Дмитровское%20ш.%20К13%20(зона%2010.3)</v>
      </c>
      <c r="J1130" s="50">
        <f>IFERROR(__xludf.DUMMYFUNCTION("""COMPUTED_VALUE"""),0.0)</f>
        <v>0</v>
      </c>
      <c r="K1130" s="58"/>
      <c r="L1130" s="6">
        <v>30.0</v>
      </c>
      <c r="M1130" s="52" t="s">
        <v>655</v>
      </c>
      <c r="N1130" s="53" t="s">
        <v>698</v>
      </c>
      <c r="O1130" s="19" t="s">
        <v>1239</v>
      </c>
      <c r="P1130" s="6"/>
      <c r="Q1130" s="6"/>
      <c r="R1130" s="6"/>
    </row>
    <row r="1131">
      <c r="A1131" s="31" t="str">
        <f>IFERROR(__xludf.DUMMYFUNCTION("""COMPUTED_VALUE"""),"925")</f>
        <v>925</v>
      </c>
      <c r="B1131" s="14" t="str">
        <f>IFERROR(__xludf.DUMMYFUNCTION("""COMPUTED_VALUE"""),"РЕН-27")</f>
        <v>РЕН-27</v>
      </c>
      <c r="C1131" s="14" t="str">
        <f>IFERROR(__xludf.DUMMYFUNCTION("""COMPUTED_VALUE"""),"ОКС")</f>
        <v>ОКС</v>
      </c>
      <c r="D1131" s="6"/>
      <c r="E1131" s="14" t="str">
        <f>IFERROR(__xludf.DUMMYFUNCTION("""COMPUTED_VALUE"""),"Жилой дом с подземным гаражом, инженерными сетями и благоустройством территории (со сносом жилых зданий по адресам: Дмитровское ш., д. 121, к.1; Дмитровское ш., д. 119, к.1), САО, район Дмитровский, Дмитровское ш., К.19, зона 16.1 Дмитровское ш., К.19 (зо"&amp;"на 16.1)")</f>
        <v>Жилой дом с подземным гаражом, инженерными сетями и благоустройством территории (со сносом жилых зданий по адресам: Дмитровское ш., д. 121, к.1; Дмитровское ш., д. 119, к.1), САО, район Дмитровский, Дмитровское ш., К.19, зона 16.1 Дмитровское ш., К.19 (зона 16.1)</v>
      </c>
      <c r="F1131" s="25" t="str">
        <f>IFERROR(__xludf.DUMMYFUNCTION("""COMPUTED_VALUE"""),"55.88557335060735")</f>
        <v>55.88557335060735</v>
      </c>
      <c r="G1131" s="6" t="str">
        <f>IFERROR(__xludf.DUMMYFUNCTION("""COMPUTED_VALUE"""),"37.54158816931123")</f>
        <v>37.54158816931123</v>
      </c>
      <c r="H1131" s="18" t="str">
        <f>IFERROR(__xludf.DUMMYFUNCTION("""COMPUTED_VALUE"""),"https://docs.google.com/spreadsheets/d/1lEcUd4exxkr5Za3IYZ0vdFNfMubnuMOOMXfmF3GYC9I/edit?gid=88636317#gid=88636317")</f>
        <v>https://docs.google.com/spreadsheets/d/1lEcUd4exxkr5Za3IYZ0vdFNfMubnuMOOMXfmF3GYC9I/edit?gid=88636317#gid=88636317</v>
      </c>
      <c r="I1131" s="19" t="str">
        <f>IFERROR(__xludf.DUMMYFUNCTION("""COMPUTED_VALUE"""),"https://disk.yandex.ru/client/disk/Осмотры%20объектов%20АНО%20СМГ/925.%20Дмитровское%20ш.%20К19%20(16.1)")</f>
        <v>https://disk.yandex.ru/client/disk/Осмотры%20объектов%20АНО%20СМГ/925.%20Дмитровское%20ш.%20К19%20(16.1)</v>
      </c>
      <c r="J1131" s="50">
        <f>IFERROR(__xludf.DUMMYFUNCTION("""COMPUTED_VALUE"""),0.0)</f>
        <v>0</v>
      </c>
      <c r="K1131" s="58">
        <f>IFERROR(__xludf.DUMMYFUNCTION("""COMPUTED_VALUE"""),45691.0)</f>
        <v>45691</v>
      </c>
      <c r="L1131" s="6">
        <v>30.0</v>
      </c>
      <c r="M1131" s="52">
        <v>45721.0</v>
      </c>
      <c r="N1131" s="53" t="s">
        <v>668</v>
      </c>
      <c r="O1131" s="19" t="s">
        <v>1240</v>
      </c>
      <c r="P1131" s="6"/>
      <c r="Q1131" s="6"/>
      <c r="R1131" s="6"/>
    </row>
    <row r="1132">
      <c r="A1132" s="31" t="str">
        <f>IFERROR(__xludf.DUMMYFUNCTION("""COMPUTED_VALUE"""),"902")</f>
        <v>902</v>
      </c>
      <c r="B1132" s="14" t="str">
        <f>IFERROR(__xludf.DUMMYFUNCTION("""COMPUTED_VALUE"""),"РЕН-27")</f>
        <v>РЕН-27</v>
      </c>
      <c r="C1132" s="14" t="str">
        <f>IFERROR(__xludf.DUMMYFUNCTION("""COMPUTED_VALUE"""),"ОКС")</f>
        <v>ОКС</v>
      </c>
      <c r="D1132" s="6"/>
      <c r="E1132" s="14" t="str">
        <f>IFERROR(__xludf.DUMMYFUNCTION("""COMPUTED_VALUE"""),"Жилой дом с инженерными сетями и благоустройством территории (со сносом жилых домов по адресам: ул. Матвеевская, д.20, корп.1; ул. Матвеевская, д.24), ЗАО, район Очаково-Матвеевское, ул. Матвеевская, земельный участок 24 (Матвеевская ул., вл. 20-1, 24) ул"&amp;". Матвеевская, з/у 24 (Матвеевская ул., вл. 20-1, 24)")</f>
        <v>Жилой дом с инженерными сетями и благоустройством территории (со сносом жилых домов по адресам: ул. Матвеевская, д.20, корп.1; ул. Матвеевская, д.24), ЗАО, район Очаково-Матвеевское, ул. Матвеевская, земельный участок 24 (Матвеевская ул., вл. 20-1, 24) ул. Матвеевская, з/у 24 (Матвеевская ул., вл. 20-1, 24)</v>
      </c>
      <c r="F1132" s="25" t="str">
        <f>IFERROR(__xludf.DUMMYFUNCTION("""COMPUTED_VALUE"""),"55.70328638002585")</f>
        <v>55.70328638002585</v>
      </c>
      <c r="G1132" s="6" t="str">
        <f>IFERROR(__xludf.DUMMYFUNCTION("""COMPUTED_VALUE"""),"37.46539920503124")</f>
        <v>37.46539920503124</v>
      </c>
      <c r="H1132" s="18" t="str">
        <f>IFERROR(__xludf.DUMMYFUNCTION("""COMPUTED_VALUE"""),"https://docs.google.com/spreadsheets/d/1lEcUd4exxkr5Za3IYZ0vdFNfMubnuMOOMXfmF3GYC9I/edit?gid=2095889728#gid=2095889728")</f>
        <v>https://docs.google.com/spreadsheets/d/1lEcUd4exxkr5Za3IYZ0vdFNfMubnuMOOMXfmF3GYC9I/edit?gid=2095889728#gid=2095889728</v>
      </c>
      <c r="I1132" s="19" t="str">
        <f>IFERROR(__xludf.DUMMYFUNCTION("""COMPUTED_VALUE"""),"https://disk.yandex.ru/client/disk/Осмотры%20объектов%20АНО%20СМГ/902.%20ул.%20Матвеевская%2C%20зу%2024%20(Матвеевская%20ул.%2C%20вл.%2020-1%2C%2024)")</f>
        <v>https://disk.yandex.ru/client/disk/Осмотры%20объектов%20АНО%20СМГ/902.%20ул.%20Матвеевская%2C%20зу%2024%20(Матвеевская%20ул.%2C%20вл.%2020-1%2C%2024)</v>
      </c>
      <c r="J1132" s="50">
        <f>IFERROR(__xludf.DUMMYFUNCTION("""COMPUTED_VALUE"""),0.45000000000000007)</f>
        <v>0.45</v>
      </c>
      <c r="K1132" s="58">
        <f>IFERROR(__xludf.DUMMYFUNCTION("""COMPUTED_VALUE"""),45799.0)</f>
        <v>45799</v>
      </c>
      <c r="L1132" s="6">
        <v>30.0</v>
      </c>
      <c r="M1132" s="52">
        <v>45829.0</v>
      </c>
      <c r="N1132" s="53" t="s">
        <v>668</v>
      </c>
      <c r="O1132" s="19" t="s">
        <v>669</v>
      </c>
      <c r="P1132" s="6"/>
      <c r="Q1132" s="6"/>
      <c r="R1132" s="6"/>
    </row>
    <row r="1133">
      <c r="A1133" s="31" t="str">
        <f>IFERROR(__xludf.DUMMYFUNCTION("""COMPUTED_VALUE"""),"769")</f>
        <v>769</v>
      </c>
      <c r="B1133" s="14" t="str">
        <f>IFERROR(__xludf.DUMMYFUNCTION("""COMPUTED_VALUE"""),"РЕН-27")</f>
        <v>РЕН-27</v>
      </c>
      <c r="C1133" s="14" t="str">
        <f>IFERROR(__xludf.DUMMYFUNCTION("""COMPUTED_VALUE"""),"ОКС")</f>
        <v>ОКС</v>
      </c>
      <c r="D1133" s="6"/>
      <c r="E1133" s="14" t="str">
        <f>IFERROR(__xludf.DUMMYFUNCTION("""COMPUTED_VALUE"""),"Жилой дом с инженерными сетями и благоустройством территории» по адресу: г. Москва, район Хорошево-Мневники, улица Паршина, вл. 2 (Северо-Западный административный округ) улица Паршина, вл. 2")</f>
        <v>Жилой дом с инженерными сетями и благоустройством территории» по адресу: г. Москва, район Хорошево-Мневники, улица Паршина, вл. 2 (Северо-Западный административный округ) улица Паршина, вл. 2</v>
      </c>
      <c r="F1133" s="25" t="str">
        <f>IFERROR(__xludf.DUMMYFUNCTION("""COMPUTED_VALUE"""),"55.78984027905307")</f>
        <v>55.78984027905307</v>
      </c>
      <c r="G1133" s="6" t="str">
        <f>IFERROR(__xludf.DUMMYFUNCTION("""COMPUTED_VALUE"""),"37.46159751387447")</f>
        <v>37.46159751387447</v>
      </c>
      <c r="H1133" s="18" t="str">
        <f>IFERROR(__xludf.DUMMYFUNCTION("""COMPUTED_VALUE"""),"https://docs.google.com/spreadsheets/d/1lEcUd4exxkr5Za3IYZ0vdFNfMubnuMOOMXfmF3GYC9I/edit?gid=1395855804#gid=1395855804")</f>
        <v>https://docs.google.com/spreadsheets/d/1lEcUd4exxkr5Za3IYZ0vdFNfMubnuMOOMXfmF3GYC9I/edit?gid=1395855804#gid=1395855804</v>
      </c>
      <c r="I1133" s="19" t="str">
        <f>IFERROR(__xludf.DUMMYFUNCTION("""COMPUTED_VALUE"""),"https://disk.yandex.ru/client/disk/Осмотры%20объектов%20АНО%20СМГ/769.%20Жилой%20дом%20ул.%20Паршина%20вл2")</f>
        <v>https://disk.yandex.ru/client/disk/Осмотры%20объектов%20АНО%20СМГ/769.%20Жилой%20дом%20ул.%20Паршина%20вл2</v>
      </c>
      <c r="J1133" s="50">
        <f>IFERROR(__xludf.DUMMYFUNCTION("""COMPUTED_VALUE"""),0.0)</f>
        <v>0</v>
      </c>
      <c r="K1133" s="58">
        <f>IFERROR(__xludf.DUMMYFUNCTION("""COMPUTED_VALUE"""),45679.0)</f>
        <v>45679</v>
      </c>
      <c r="L1133" s="6">
        <v>30.0</v>
      </c>
      <c r="M1133" s="52">
        <v>45709.0</v>
      </c>
      <c r="N1133" s="53" t="s">
        <v>668</v>
      </c>
      <c r="O1133" s="19" t="s">
        <v>1218</v>
      </c>
      <c r="P1133" s="6"/>
      <c r="Q1133" s="6"/>
      <c r="R1133" s="6"/>
    </row>
    <row r="1134">
      <c r="A1134" s="31" t="str">
        <f>IFERROR(__xludf.DUMMYFUNCTION("""COMPUTED_VALUE"""),"784")</f>
        <v>784</v>
      </c>
      <c r="B1134" s="14" t="str">
        <f>IFERROR(__xludf.DUMMYFUNCTION("""COMPUTED_VALUE"""),"РЕН-27")</f>
        <v>РЕН-27</v>
      </c>
      <c r="C1134" s="14" t="str">
        <f>IFERROR(__xludf.DUMMYFUNCTION("""COMPUTED_VALUE"""),"ОКС")</f>
        <v>ОКС</v>
      </c>
      <c r="D1134" s="6"/>
      <c r="E1134" s="14" t="str">
        <f>IFERROR(__xludf.DUMMYFUNCTION("""COMPUTED_VALUE"""),"Жилой дом с инженерной подготовкой, инженерными сетями и благоустройством территории (со сносом жилых домов по адресам: Боровский проезд, д.4, д.6 с отключением и перекладкой коммуникаций) по адресу: г. Москва, район Солнцево, мкр. 3-3а, зона 1.5 (Западны"&amp;"й административный округ) Солнцево, мкр. 3-3а, зона 1.5")</f>
        <v>Жилой дом с инженерной подготовкой, инженерными сетями и благоустройством территории (со сносом жилых домов по адресам: Боровский проезд, д.4, д.6 с отключением и перекладкой коммуникаций) по адресу: г. Москва, район Солнцево, мкр. 3-3а, зона 1.5 (Западный административный округ) Солнцево, мкр. 3-3а, зона 1.5</v>
      </c>
      <c r="F1134" s="25" t="str">
        <f>IFERROR(__xludf.DUMMYFUNCTION("""COMPUTED_VALUE"""),"55.6553310537118")</f>
        <v>55.6553310537118</v>
      </c>
      <c r="G1134" s="6" t="str">
        <f>IFERROR(__xludf.DUMMYFUNCTION("""COMPUTED_VALUE"""),"37.39082478042539")</f>
        <v>37.39082478042539</v>
      </c>
      <c r="H1134" s="18" t="str">
        <f>IFERROR(__xludf.DUMMYFUNCTION("""COMPUTED_VALUE"""),"https://docs.google.com/spreadsheets/d/1lEcUd4exxkr5Za3IYZ0vdFNfMubnuMOOMXfmF3GYC9I/edit?gid=1139784984#gid=1139784984")</f>
        <v>https://docs.google.com/spreadsheets/d/1lEcUd4exxkr5Za3IYZ0vdFNfMubnuMOOMXfmF3GYC9I/edit?gid=1139784984#gid=1139784984</v>
      </c>
      <c r="I1134" s="19" t="str">
        <f>IFERROR(__xludf.DUMMYFUNCTION("""COMPUTED_VALUE"""),"https://disk.yandex.ru/client/disk/Осмотры%20объектов%20АНО%20СМГ/784.%20Солнцево%2C%20мкр.%203-3а%2C%20зона%201.5")</f>
        <v>https://disk.yandex.ru/client/disk/Осмотры%20объектов%20АНО%20СМГ/784.%20Солнцево%2C%20мкр.%203-3а%2C%20зона%201.5</v>
      </c>
      <c r="J1134" s="50">
        <f>IFERROR(__xludf.DUMMYFUNCTION("""COMPUTED_VALUE"""),0.0)</f>
        <v>0</v>
      </c>
      <c r="K1134" s="58">
        <f>IFERROR(__xludf.DUMMYFUNCTION("""COMPUTED_VALUE"""),45679.0)</f>
        <v>45679</v>
      </c>
      <c r="L1134" s="6">
        <v>30.0</v>
      </c>
      <c r="M1134" s="52">
        <v>45709.0</v>
      </c>
      <c r="N1134" s="53" t="s">
        <v>668</v>
      </c>
      <c r="O1134" s="19" t="s">
        <v>914</v>
      </c>
      <c r="P1134" s="6"/>
      <c r="Q1134" s="6"/>
      <c r="R1134" s="6"/>
    </row>
    <row r="1135">
      <c r="A1135" s="31" t="str">
        <f>IFERROR(__xludf.DUMMYFUNCTION("""COMPUTED_VALUE"""),"734")</f>
        <v>734</v>
      </c>
      <c r="B1135" s="14" t="str">
        <f>IFERROR(__xludf.DUMMYFUNCTION("""COMPUTED_VALUE"""),"РЕН-27")</f>
        <v>РЕН-27</v>
      </c>
      <c r="C1135" s="14" t="str">
        <f>IFERROR(__xludf.DUMMYFUNCTION("""COMPUTED_VALUE"""),"ОКС")</f>
        <v>ОКС</v>
      </c>
      <c r="D1135" s="6"/>
      <c r="E1135"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ЮВАО, район Печатники, Южнопортовая ул., уч. 5       Южнопортовая ул. уч.5")</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ЮВАО, район Печатники, Южнопортовая ул., уч. 5       Южнопортовая ул. уч.5</v>
      </c>
      <c r="F1135" s="25" t="str">
        <f>IFERROR(__xludf.DUMMYFUNCTION("""COMPUTED_VALUE"""),"55.695012")</f>
        <v>55.695012</v>
      </c>
      <c r="G1135" s="6" t="str">
        <f>IFERROR(__xludf.DUMMYFUNCTION("""COMPUTED_VALUE"""),"37.715102")</f>
        <v>37.715102</v>
      </c>
      <c r="H1135" s="18" t="str">
        <f>IFERROR(__xludf.DUMMYFUNCTION("""COMPUTED_VALUE"""),"https://docs.google.com/spreadsheets/d/1lEcUd4exxkr5Za3IYZ0vdFNfMubnuMOOMXfmF3GYC9I/edit?gid=1356730824#gid=1356730824")</f>
        <v>https://docs.google.com/spreadsheets/d/1lEcUd4exxkr5Za3IYZ0vdFNfMubnuMOOMXfmF3GYC9I/edit?gid=1356730824#gid=1356730824</v>
      </c>
      <c r="I1135" s="19" t="str">
        <f>IFERROR(__xludf.DUMMYFUNCTION("""COMPUTED_VALUE"""),"https://disk.yandex.ru/client/disk/Осмотры%20объектов%20АНО%20СМГ/734.%20Южнопортовая%20ул.%2C%20уч.%205")</f>
        <v>https://disk.yandex.ru/client/disk/Осмотры%20объектов%20АНО%20СМГ/734.%20Южнопортовая%20ул.%2C%20уч.%205</v>
      </c>
      <c r="J1135" s="50">
        <f>IFERROR(__xludf.DUMMYFUNCTION("""COMPUTED_VALUE"""),0.0)</f>
        <v>0</v>
      </c>
      <c r="K1135" s="58">
        <f>IFERROR(__xludf.DUMMYFUNCTION("""COMPUTED_VALUE"""),45807.0)</f>
        <v>45807</v>
      </c>
      <c r="L1135" s="6">
        <v>30.0</v>
      </c>
      <c r="M1135" s="52">
        <v>45837.0</v>
      </c>
      <c r="N1135" s="53" t="s">
        <v>668</v>
      </c>
      <c r="O1135" s="19" t="s">
        <v>1241</v>
      </c>
      <c r="P1135" s="6"/>
      <c r="Q1135" s="6"/>
      <c r="R1135" s="6"/>
    </row>
    <row r="1136">
      <c r="A1136" s="31" t="str">
        <f>IFERROR(__xludf.DUMMYFUNCTION("""COMPUTED_VALUE"""),"1163")</f>
        <v>1163</v>
      </c>
      <c r="B1136" s="14" t="str">
        <f>IFERROR(__xludf.DUMMYFUNCTION("""COMPUTED_VALUE"""),"РЕН-27")</f>
        <v>РЕН-27</v>
      </c>
      <c r="C1136" s="14" t="str">
        <f>IFERROR(__xludf.DUMMYFUNCTION("""COMPUTED_VALUE"""),"ОКС")</f>
        <v>ОКС</v>
      </c>
      <c r="D1136" s="6"/>
      <c r="E1136" s="14" t="str">
        <f>IFERROR(__xludf.DUMMYFUNCTION("""COMPUTED_VALUE"""),"Жилой дом с подземной автостоянкой, инженерными сетями и благоустройством территории (со сносом жилых зданий по адресам: проспект Вернадского, д. 47, д. 49) по адресу: квартал 32-33, 34-35, район Проспект Вернадского, зона 8.1 Проспект Вернадского, зона 8"&amp;".1")</f>
        <v>Жилой дом с подземной автостоянкой, инженерными сетями и благоустройством территории (со сносом жилых зданий по адресам: проспект Вернадского, д. 47, д. 49) по адресу: квартал 32-33, 34-35, район Проспект Вернадского, зона 8.1 Проспект Вернадского, зона 8.1</v>
      </c>
      <c r="F1136" s="25" t="str">
        <f>IFERROR(__xludf.DUMMYFUNCTION("""COMPUTED_VALUE"""),"55.67303723031846")</f>
        <v>55.67303723031846</v>
      </c>
      <c r="G1136" s="6" t="str">
        <f>IFERROR(__xludf.DUMMYFUNCTION("""COMPUTED_VALUE"""),"37.506278248656145")</f>
        <v>37.506278248656145</v>
      </c>
      <c r="H1136" s="18" t="str">
        <f>IFERROR(__xludf.DUMMYFUNCTION("""COMPUTED_VALUE"""),"https://docs.google.com/spreadsheets/d/1lEcUd4exxkr5Za3IYZ0vdFNfMubnuMOOMXfmF3GYC9I/edit?gid=1299542947#gid=1299542947")</f>
        <v>https://docs.google.com/spreadsheets/d/1lEcUd4exxkr5Za3IYZ0vdFNfMubnuMOOMXfmF3GYC9I/edit?gid=1299542947#gid=1299542947</v>
      </c>
      <c r="I1136" s="19" t="str">
        <f>IFERROR(__xludf.DUMMYFUNCTION("""COMPUTED_VALUE"""),"https://disk.yandex.ru/client/disk/Осмотры%20объектов%20АНО%20СМГ/1163.%20зона%208.1%20ул.%20Семена-Тян-Шанского")</f>
        <v>https://disk.yandex.ru/client/disk/Осмотры%20объектов%20АНО%20СМГ/1163.%20зона%208.1%20ул.%20Семена-Тян-Шанского</v>
      </c>
      <c r="J1136" s="50">
        <f>IFERROR(__xludf.DUMMYFUNCTION("""COMPUTED_VALUE"""),0.0)</f>
        <v>0</v>
      </c>
      <c r="K1136" s="58">
        <f>IFERROR(__xludf.DUMMYFUNCTION("""COMPUTED_VALUE"""),45819.0)</f>
        <v>45819</v>
      </c>
      <c r="L1136" s="6">
        <v>30.0</v>
      </c>
      <c r="M1136" s="52">
        <v>45849.0</v>
      </c>
      <c r="N1136" s="53" t="s">
        <v>668</v>
      </c>
      <c r="O1136" s="19" t="s">
        <v>914</v>
      </c>
      <c r="P1136" s="6"/>
      <c r="Q1136" s="6"/>
      <c r="R1136" s="6"/>
    </row>
    <row r="1137">
      <c r="A1137" s="31" t="str">
        <f>IFERROR(__xludf.DUMMYFUNCTION("""COMPUTED_VALUE"""),"1164")</f>
        <v>1164</v>
      </c>
      <c r="B1137" s="14" t="str">
        <f>IFERROR(__xludf.DUMMYFUNCTION("""COMPUTED_VALUE"""),"РЕН-27")</f>
        <v>РЕН-27</v>
      </c>
      <c r="C1137" s="14" t="str">
        <f>IFERROR(__xludf.DUMMYFUNCTION("""COMPUTED_VALUE"""),"ОКС")</f>
        <v>ОКС</v>
      </c>
      <c r="D1137" s="6"/>
      <c r="E1137" s="14" t="str">
        <f>IFERROR(__xludf.DUMMYFUNCTION("""COMPUTED_VALUE"""),"Жилой дом с подземной автостоянкой, инженерными сетями и благоустройством территории (со сносом жилых зданий по адресам: ул. Лобачевского, д. 24, д. 26) по адресу: квартал 32-33, 34-35, район Проспект Вернадского, зона 8.3 Проспект Вернадского, зона 8.3")</f>
        <v>Жилой дом с подземной автостоянкой, инженерными сетями и благоустройством территории (со сносом жилых зданий по адресам: ул. Лобачевского, д. 24, д. 26) по адресу: квартал 32-33, 34-35, район Проспект Вернадского, зона 8.3 Проспект Вернадского, зона 8.3</v>
      </c>
      <c r="F1137" s="25" t="str">
        <f>IFERROR(__xludf.DUMMYFUNCTION("""COMPUTED_VALUE"""),"55.66913229872151")</f>
        <v>55.66913229872151</v>
      </c>
      <c r="G1137" s="6" t="str">
        <f>IFERROR(__xludf.DUMMYFUNCTION("""COMPUTED_VALUE"""),"37.50735106214839")</f>
        <v>37.50735106214839</v>
      </c>
      <c r="H1137" s="18" t="str">
        <f>IFERROR(__xludf.DUMMYFUNCTION("""COMPUTED_VALUE"""),"https://docs.google.com/spreadsheets/d/1lEcUd4exxkr5Za3IYZ0vdFNfMubnuMOOMXfmF3GYC9I/edit?gid=415599181#gid=415599181")</f>
        <v>https://docs.google.com/spreadsheets/d/1lEcUd4exxkr5Za3IYZ0vdFNfMubnuMOOMXfmF3GYC9I/edit?gid=415599181#gid=415599181</v>
      </c>
      <c r="I1137" s="19" t="str">
        <f>IFERROR(__xludf.DUMMYFUNCTION("""COMPUTED_VALUE"""),"https://disk.yandex.ru/client/disk/Осмотры%20объектов%20АНО%20СМГ/1164.%20зона%208.3%20ул.%20Михаила%20Певцова")</f>
        <v>https://disk.yandex.ru/client/disk/Осмотры%20объектов%20АНО%20СМГ/1164.%20зона%208.3%20ул.%20Михаила%20Певцова</v>
      </c>
      <c r="J1137" s="50">
        <f>IFERROR(__xludf.DUMMYFUNCTION("""COMPUTED_VALUE"""),0.0)</f>
        <v>0</v>
      </c>
      <c r="K1137" s="58">
        <f>IFERROR(__xludf.DUMMYFUNCTION("""COMPUTED_VALUE"""),45819.0)</f>
        <v>45819</v>
      </c>
      <c r="L1137" s="6">
        <v>30.0</v>
      </c>
      <c r="M1137" s="52">
        <v>45849.0</v>
      </c>
      <c r="N1137" s="53" t="s">
        <v>668</v>
      </c>
      <c r="O1137" s="19" t="s">
        <v>914</v>
      </c>
      <c r="P1137" s="6"/>
      <c r="Q1137" s="6"/>
      <c r="R1137" s="6"/>
    </row>
    <row r="1138">
      <c r="A1138" s="31" t="str">
        <f>IFERROR(__xludf.DUMMYFUNCTION("""COMPUTED_VALUE"""),"1165")</f>
        <v>1165</v>
      </c>
      <c r="B1138" s="14" t="str">
        <f>IFERROR(__xludf.DUMMYFUNCTION("""COMPUTED_VALUE"""),"РЕН-27")</f>
        <v>РЕН-27</v>
      </c>
      <c r="C1138" s="14" t="str">
        <f>IFERROR(__xludf.DUMMYFUNCTION("""COMPUTED_VALUE"""),"ОКС")</f>
        <v>ОКС</v>
      </c>
      <c r="D1138" s="6"/>
      <c r="E1138" s="14" t="str">
        <f>IFERROR(__xludf.DUMMYFUNCTION("""COMPUTED_VALUE"""),"Жилой дом с подземной автостоянкой, инженерными сетями и благоустройством территории по адресу: квартал 32-33, 34-35, район Проспект Вернадского, зона 9.2 (Западный административный округ) Проспект Вернадского, зона 9.2")</f>
        <v>Жилой дом с подземной автостоянкой, инженерными сетями и благоустройством территории по адресу: квартал 32-33, 34-35, район Проспект Вернадского, зона 9.2 (Западный административный округ) Проспект Вернадского, зона 9.2</v>
      </c>
      <c r="F1138" s="25" t="str">
        <f>IFERROR(__xludf.DUMMYFUNCTION("""COMPUTED_VALUE"""),"55.670710508972434")</f>
        <v>55.670710508972434</v>
      </c>
      <c r="G1138" s="6" t="str">
        <f>IFERROR(__xludf.DUMMYFUNCTION("""COMPUTED_VALUE"""),"37.499454087310255")</f>
        <v>37.499454087310255</v>
      </c>
      <c r="H1138" s="18" t="str">
        <f>IFERROR(__xludf.DUMMYFUNCTION("""COMPUTED_VALUE"""),"https://docs.google.com/spreadsheets/d/1lEcUd4exxkr5Za3IYZ0vdFNfMubnuMOOMXfmF3GYC9I/edit?gid=179520414#gid=179520414")</f>
        <v>https://docs.google.com/spreadsheets/d/1lEcUd4exxkr5Za3IYZ0vdFNfMubnuMOOMXfmF3GYC9I/edit?gid=179520414#gid=179520414</v>
      </c>
      <c r="I1138" s="19" t="str">
        <f>IFERROR(__xludf.DUMMYFUNCTION("""COMPUTED_VALUE"""),"https://disk.yandex.ru/client/disk/Осмотры%20объектов%20АНО%20СМГ/1165.%20зона%209.2%20пр-к%20Вернадского")</f>
        <v>https://disk.yandex.ru/client/disk/Осмотры%20объектов%20АНО%20СМГ/1165.%20зона%209.2%20пр-к%20Вернадского</v>
      </c>
      <c r="J1138" s="50">
        <f>IFERROR(__xludf.DUMMYFUNCTION("""COMPUTED_VALUE"""),0.0)</f>
        <v>0</v>
      </c>
      <c r="K1138" s="58">
        <f>IFERROR(__xludf.DUMMYFUNCTION("""COMPUTED_VALUE"""),45819.0)</f>
        <v>45819</v>
      </c>
      <c r="L1138" s="6">
        <v>30.0</v>
      </c>
      <c r="M1138" s="52">
        <v>45849.0</v>
      </c>
      <c r="N1138" s="53" t="s">
        <v>668</v>
      </c>
      <c r="O1138" s="19" t="s">
        <v>914</v>
      </c>
      <c r="P1138" s="6"/>
      <c r="Q1138" s="6"/>
      <c r="R1138" s="6"/>
    </row>
    <row r="1139">
      <c r="A1139" s="31" t="str">
        <f>IFERROR(__xludf.DUMMYFUNCTION("""COMPUTED_VALUE"""),"785")</f>
        <v>785</v>
      </c>
      <c r="B1139" s="14" t="str">
        <f>IFERROR(__xludf.DUMMYFUNCTION("""COMPUTED_VALUE"""),"РЕН-27")</f>
        <v>РЕН-27</v>
      </c>
      <c r="C1139" s="14" t="str">
        <f>IFERROR(__xludf.DUMMYFUNCTION("""COMPUTED_VALUE"""),"ОКС")</f>
        <v>ОКС</v>
      </c>
      <c r="D1139" s="6"/>
      <c r="E1139"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благоустройством территории и размещением на кровле электросирены оповещения (со сносом жилых зданий по адресам: Авангардная"&amp;" ул., д. 6 корп.2) по адресу: г. Москва, внутригородское муниципальное образование Головинское, Авангардная улица, земельный участок 6/1    Авангардная ул., з/у 6/1")</f>
        <v>Жилой дом с приспособлением подземного гаража под защитное сооружение гражданской обороны – «укрытие» (ЗСГО) с инженерными сетями, благоустройством территории и размещением на кровле электросирены оповещения (со сносом жилых зданий по адресам: Авангардная ул., д. 6 корп.2) по адресу: г. Москва, внутригородское муниципальное образование Головинское, Авангардная улица, земельный участок 6/1    Авангардная ул., з/у 6/1</v>
      </c>
      <c r="F1139" s="25" t="str">
        <f>IFERROR(__xludf.DUMMYFUNCTION("""COMPUTED_VALUE"""),"55.844581")</f>
        <v>55.844581</v>
      </c>
      <c r="G1139" s="6" t="str">
        <f>IFERROR(__xludf.DUMMYFUNCTION("""COMPUTED_VALUE"""),"37.49153")</f>
        <v>37.49153</v>
      </c>
      <c r="H1139" s="18" t="str">
        <f>IFERROR(__xludf.DUMMYFUNCTION("""COMPUTED_VALUE"""),"https://docs.google.com/spreadsheets/d/1lEcUd4exxkr5Za3IYZ0vdFNfMubnuMOOMXfmF3GYC9I/edit?gid=1276650860#gid=1276650860")</f>
        <v>https://docs.google.com/spreadsheets/d/1lEcUd4exxkr5Za3IYZ0vdFNfMubnuMOOMXfmF3GYC9I/edit?gid=1276650860#gid=1276650860</v>
      </c>
      <c r="I1139" s="19" t="str">
        <f>IFERROR(__xludf.DUMMYFUNCTION("""COMPUTED_VALUE"""),"https://disk.yandex.ru/client/disk/Осмотры%20объектов%20АНО%20СМГ/785.%20Авангардная%20зу%206-1")</f>
        <v>https://disk.yandex.ru/client/disk/Осмотры%20объектов%20АНО%20СМГ/785.%20Авангардная%20зу%206-1</v>
      </c>
      <c r="J1139" s="50">
        <f>IFERROR(__xludf.DUMMYFUNCTION("""COMPUTED_VALUE"""),0.0)</f>
        <v>0</v>
      </c>
      <c r="K1139" s="58">
        <f>IFERROR(__xludf.DUMMYFUNCTION("""COMPUTED_VALUE"""),45905.0)</f>
        <v>45905</v>
      </c>
      <c r="L1139" s="6">
        <v>30.0</v>
      </c>
      <c r="M1139" s="52">
        <v>45935.0</v>
      </c>
      <c r="N1139" s="53" t="s">
        <v>668</v>
      </c>
      <c r="O1139" s="19" t="s">
        <v>1242</v>
      </c>
      <c r="P1139" s="6"/>
      <c r="Q1139" s="6"/>
      <c r="R1139" s="6"/>
    </row>
    <row r="1140">
      <c r="A1140" s="31" t="str">
        <f>IFERROR(__xludf.DUMMYFUNCTION("""COMPUTED_VALUE"""),"786")</f>
        <v>786</v>
      </c>
      <c r="B1140" s="14" t="str">
        <f>IFERROR(__xludf.DUMMYFUNCTION("""COMPUTED_VALUE"""),"РЕН-27")</f>
        <v>РЕН-27</v>
      </c>
      <c r="C1140" s="14" t="str">
        <f>IFERROR(__xludf.DUMMYFUNCTION("""COMPUTED_VALUE"""),"ОКС")</f>
        <v>ОКС</v>
      </c>
      <c r="D1140" s="6"/>
      <c r="E1140" s="14" t="str">
        <f>IFERROR(__xludf.DUMMYFUNCTION("""COMPUTED_VALUE"""),"Жилой дом с инженерными сетями и благоустройством территории (со сносом жилого здания по адресу: Авангардная ул., д.6, корп.3) по адресу: г. Москва, внутригородское муниципальное образование Головинское, Авангардная улица, земельный участок 6/2 Авангардна"&amp;"я ул., з/у 6/2")</f>
        <v>Жилой дом с инженерными сетями и благоустройством территории (со сносом жилого здания по адресу: Авангардная ул., д.6, корп.3) по адресу: г. Москва, внутригородское муниципальное образование Головинское, Авангардная улица, земельный участок 6/2 Авангардная ул., з/у 6/2</v>
      </c>
      <c r="F1140" s="25" t="str">
        <f>IFERROR(__xludf.DUMMYFUNCTION("""COMPUTED_VALUE"""),"55.845127")</f>
        <v>55.845127</v>
      </c>
      <c r="G1140" s="6" t="str">
        <f>IFERROR(__xludf.DUMMYFUNCTION("""COMPUTED_VALUE"""),"37.491907")</f>
        <v>37.491907</v>
      </c>
      <c r="H1140" s="18" t="str">
        <f>IFERROR(__xludf.DUMMYFUNCTION("""COMPUTED_VALUE"""),"https://docs.google.com/spreadsheets/d/1lEcUd4exxkr5Za3IYZ0vdFNfMubnuMOOMXfmF3GYC9I/edit?gid=466314675#gid=466314675")</f>
        <v>https://docs.google.com/spreadsheets/d/1lEcUd4exxkr5Za3IYZ0vdFNfMubnuMOOMXfmF3GYC9I/edit?gid=466314675#gid=466314675</v>
      </c>
      <c r="I1140" s="19" t="str">
        <f>IFERROR(__xludf.DUMMYFUNCTION("""COMPUTED_VALUE"""),"https://disk.yandex.ru/client/disk/Осмотры%20объектов%20АНО%20СМГ/786.%20Авангардная%20зу%206-2")</f>
        <v>https://disk.yandex.ru/client/disk/Осмотры%20объектов%20АНО%20СМГ/786.%20Авангардная%20зу%206-2</v>
      </c>
      <c r="J1140" s="50">
        <f>IFERROR(__xludf.DUMMYFUNCTION("""COMPUTED_VALUE"""),0.0)</f>
        <v>0</v>
      </c>
      <c r="K1140" s="58"/>
      <c r="L1140" s="6">
        <v>30.0</v>
      </c>
      <c r="M1140" s="52" t="s">
        <v>655</v>
      </c>
      <c r="N1140" s="53" t="s">
        <v>698</v>
      </c>
      <c r="O1140" s="19" t="s">
        <v>1243</v>
      </c>
      <c r="P1140" s="6"/>
      <c r="Q1140" s="6"/>
      <c r="R1140" s="6"/>
    </row>
    <row r="1141">
      <c r="A1141" s="31" t="str">
        <f>IFERROR(__xludf.DUMMYFUNCTION("""COMPUTED_VALUE"""),"1002")</f>
        <v>1002</v>
      </c>
      <c r="B1141" s="14" t="str">
        <f>IFERROR(__xludf.DUMMYFUNCTION("""COMPUTED_VALUE"""),"РЕН-27")</f>
        <v>РЕН-27</v>
      </c>
      <c r="C1141" s="14" t="str">
        <f>IFERROR(__xludf.DUMMYFUNCTION("""COMPUTED_VALUE"""),"ОКС")</f>
        <v>ОКС</v>
      </c>
      <c r="D1141" s="6"/>
      <c r="E1141" s="14" t="str">
        <f>IFERROR(__xludf.DUMMYFUNCTION("""COMPUTED_VALUE"""),"Жилой дом с приспособлением подземной автостоянки под защитное сооружение гражданской обороны – «укрытие» (ЗСГО)1500 мест с инженерными сетями и благоустройством территории (со сносом жилых зданий по адресам: г. Москва, район Бабушкинский, ул. Радужная, д"&amp;". 4, корпус 1; д. 4, корпус 2) по адресу: г. Москва, район Бабушкинский, микрорайон 18, Зона  № 22.1 (Северо-Восточный административный округ) Бабушкинский, микрорайон 18, Зона № 22.1")</f>
        <v>Жилой дом с приспособлением подземной автостоянки под защитное сооружение гражданской обороны – «укрытие» (ЗСГО)1500 мест с инженерными сетями и благоустройством территории (со сносом жилых зданий по адресам: г. Москва, район Бабушкинский, ул. Радужная, д. 4, корпус 1; д. 4, корпус 2) по адресу: г. Москва, район Бабушкинский, микрорайон 18, Зона  № 22.1 (Северо-Восточный административный округ) Бабушкинский, микрорайон 18, Зона № 22.1</v>
      </c>
      <c r="F1141" s="25" t="str">
        <f>IFERROR(__xludf.DUMMYFUNCTION("""COMPUTED_VALUE"""),"55.86097293027594")</f>
        <v>55.86097293027594</v>
      </c>
      <c r="G1141" s="6" t="str">
        <f>IFERROR(__xludf.DUMMYFUNCTION("""COMPUTED_VALUE"""),"37.671879575392744")</f>
        <v>37.671879575392744</v>
      </c>
      <c r="H1141" s="18" t="str">
        <f>IFERROR(__xludf.DUMMYFUNCTION("""COMPUTED_VALUE"""),"https://docs.google.com/spreadsheets/d/1lEcUd4exxkr5Za3IYZ0vdFNfMubnuMOOMXfmF3GYC9I/edit?gid=1237255389#gid=1237255389")</f>
        <v>https://docs.google.com/spreadsheets/d/1lEcUd4exxkr5Za3IYZ0vdFNfMubnuMOOMXfmF3GYC9I/edit?gid=1237255389#gid=1237255389</v>
      </c>
      <c r="I1141" s="19" t="str">
        <f>IFERROR(__xludf.DUMMYFUNCTION("""COMPUTED_VALUE"""),"https://disk.yandex.ru/client/disk/Осмотры%20объектов%20АНО%20СМГ/1002.%20Бабушкинский%2C%20микрорайон%2018%2C%20Зона%20№%2022.1%20(Радужная%2C%20д.4%20к.1)")</f>
        <v>https://disk.yandex.ru/client/disk/Осмотры%20объектов%20АНО%20СМГ/1002.%20Бабушкинский%2C%20микрорайон%2018%2C%20Зона%20№%2022.1%20(Радужная%2C%20д.4%20к.1)</v>
      </c>
      <c r="J1141" s="50">
        <f>IFERROR(__xludf.DUMMYFUNCTION("""COMPUTED_VALUE"""),0.0)</f>
        <v>0</v>
      </c>
      <c r="K1141" s="58"/>
      <c r="L1141" s="6">
        <v>30.0</v>
      </c>
      <c r="M1141" s="52" t="s">
        <v>655</v>
      </c>
      <c r="N1141" s="53" t="s">
        <v>698</v>
      </c>
      <c r="O1141" s="19" t="s">
        <v>1237</v>
      </c>
      <c r="P1141" s="6"/>
      <c r="Q1141" s="6"/>
      <c r="R1141" s="6"/>
    </row>
    <row r="1142">
      <c r="A1142" s="31" t="str">
        <f>IFERROR(__xludf.DUMMYFUNCTION("""COMPUTED_VALUE"""),"1003")</f>
        <v>1003</v>
      </c>
      <c r="B1142" s="14" t="str">
        <f>IFERROR(__xludf.DUMMYFUNCTION("""COMPUTED_VALUE"""),"РЕН-27")</f>
        <v>РЕН-27</v>
      </c>
      <c r="C1142" s="14" t="str">
        <f>IFERROR(__xludf.DUMMYFUNCTION("""COMPUTED_VALUE"""),"ОКС")</f>
        <v>ОКС</v>
      </c>
      <c r="D1142" s="6"/>
      <c r="E1142" s="14" t="str">
        <f>IFERROR(__xludf.DUMMYFUNCTION("""COMPUTED_VALUE"""),"Жилой дом с подземной автостоянкой, инженерными сетями и благоустройством территории (со сносом жилого здания по адресу: г. Москва, район Бабушкинский, ул. Ленская, д.10, корпус 3) по адресу: г. Москва, район Бабушкинский, микрорайон 14, Зона № 7.1 (Север"&amp;"о-Восточный административный округ) Бабушкинский, микрорайон 14, Зона № 7.1")</f>
        <v>Жилой дом с подземной автостоянкой, инженерными сетями и благоустройством территории (со сносом жилого здания по адресу: г. Москва, район Бабушкинский, ул. Ленская, д.10, корпус 3) по адресу: г. Москва, район Бабушкинский, микрорайон 14, Зона № 7.1 (Северо-Восточный административный округ) Бабушкинский, микрорайон 14, Зона № 7.1</v>
      </c>
      <c r="F1142" s="25" t="str">
        <f>IFERROR(__xludf.DUMMYFUNCTION("""COMPUTED_VALUE"""),"55.868218")</f>
        <v>55.868218</v>
      </c>
      <c r="G1142" s="6" t="str">
        <f>IFERROR(__xludf.DUMMYFUNCTION("""COMPUTED_VALUE"""),"37.667609")</f>
        <v>37.667609</v>
      </c>
      <c r="H1142" s="18" t="str">
        <f>IFERROR(__xludf.DUMMYFUNCTION("""COMPUTED_VALUE"""),"https://docs.google.com/spreadsheets/d/1lEcUd4exxkr5Za3IYZ0vdFNfMubnuMOOMXfmF3GYC9I/edit?gid=1026140704#gid=1026140704")</f>
        <v>https://docs.google.com/spreadsheets/d/1lEcUd4exxkr5Za3IYZ0vdFNfMubnuMOOMXfmF3GYC9I/edit?gid=1026140704#gid=1026140704</v>
      </c>
      <c r="I1142" s="19" t="str">
        <f>IFERROR(__xludf.DUMMYFUNCTION("""COMPUTED_VALUE"""),"https://disk.yandex.ru/client/disk/Осмотры%20объектов%20АНО%20СМГ/1003.%20Бабушкинский%2C%20микрорайон%2014%2C%20Зона%20№%207.1%20(Ленская%2C%20д.10%20к.3)")</f>
        <v>https://disk.yandex.ru/client/disk/Осмотры%20объектов%20АНО%20СМГ/1003.%20Бабушкинский%2C%20микрорайон%2014%2C%20Зона%20№%207.1%20(Ленская%2C%20д.10%20к.3)</v>
      </c>
      <c r="J1142" s="50">
        <f>IFERROR(__xludf.DUMMYFUNCTION("""COMPUTED_VALUE"""),0.0)</f>
        <v>0</v>
      </c>
      <c r="K1142" s="58"/>
      <c r="L1142" s="6">
        <v>30.0</v>
      </c>
      <c r="M1142" s="52" t="s">
        <v>655</v>
      </c>
      <c r="N1142" s="53" t="s">
        <v>698</v>
      </c>
      <c r="O1142" s="19" t="s">
        <v>1237</v>
      </c>
      <c r="P1142" s="6"/>
      <c r="Q1142" s="6"/>
      <c r="R1142" s="6"/>
    </row>
    <row r="1143">
      <c r="A1143" s="31" t="str">
        <f>IFERROR(__xludf.DUMMYFUNCTION("""COMPUTED_VALUE"""),"1004")</f>
        <v>1004</v>
      </c>
      <c r="B1143" s="14" t="str">
        <f>IFERROR(__xludf.DUMMYFUNCTION("""COMPUTED_VALUE"""),"РЕН-27")</f>
        <v>РЕН-27</v>
      </c>
      <c r="C1143" s="14" t="str">
        <f>IFERROR(__xludf.DUMMYFUNCTION("""COMPUTED_VALUE"""),"ОКС")</f>
        <v>ОКС</v>
      </c>
      <c r="D1143" s="6"/>
      <c r="E1143" s="14" t="str">
        <f>IFERROR(__xludf.DUMMYFUNCTION("""COMPUTED_VALUE"""),"Жилой дом с приспособлением подземной автостоянки под защитное сооружение гражданской обороны – «укрытие» (ЗСГО) 1800 мест с инженерными сетями и благоустройством территории (со сносом жилого здания по адресу: г. Москва, район Бабушкинский, ул. Летчика Ба"&amp;"бушкина, д. 17) по адресу: г. Москва, район Бабушкинский, микрорайон 14, Зона № 4.1 (Северо-Восточный административный округ) Бабушкинский, микрорайон 14, Зона № 4.1")</f>
        <v>Жилой дом с приспособлением подземной автостоянки под защитное сооружение гражданской обороны – «укрытие» (ЗСГО) 1800 мест с инженерными сетями и благоустройством территории (со сносом жилого здания по адресу: г. Москва, район Бабушкинский, ул. Летчика Бабушкина, д. 17) по адресу: г. Москва, район Бабушкинский, микрорайон 14, Зона № 4.1 (Северо-Восточный административный округ) Бабушкинский, микрорайон 14, Зона № 4.1</v>
      </c>
      <c r="F1143" s="25" t="str">
        <f>IFERROR(__xludf.DUMMYFUNCTION("""COMPUTED_VALUE"""),"55.864369")</f>
        <v>55.864369</v>
      </c>
      <c r="G1143" s="6" t="str">
        <f>IFERROR(__xludf.DUMMYFUNCTION("""COMPUTED_VALUE"""),"37.672648")</f>
        <v>37.672648</v>
      </c>
      <c r="H1143" s="18" t="str">
        <f>IFERROR(__xludf.DUMMYFUNCTION("""COMPUTED_VALUE"""),"https://docs.google.com/spreadsheets/d/1lEcUd4exxkr5Za3IYZ0vdFNfMubnuMOOMXfmF3GYC9I/edit?gid=103624122#gid=103624122")</f>
        <v>https://docs.google.com/spreadsheets/d/1lEcUd4exxkr5Za3IYZ0vdFNfMubnuMOOMXfmF3GYC9I/edit?gid=103624122#gid=103624122</v>
      </c>
      <c r="I1143" s="19" t="str">
        <f>IFERROR(__xludf.DUMMYFUNCTION("""COMPUTED_VALUE"""),"https://disk.yandex.ru/client/disk/Осмотры%20объектов%20АНО%20СМГ/1004.%20Бабушкинский%2C%20микрорайон%2014%2C%20Зона%20№%204.1%20(Летчика%20Бабушкина%2C%20д.17)")</f>
        <v>https://disk.yandex.ru/client/disk/Осмотры%20объектов%20АНО%20СМГ/1004.%20Бабушкинский%2C%20микрорайон%2014%2C%20Зона%20№%204.1%20(Летчика%20Бабушкина%2C%20д.17)</v>
      </c>
      <c r="J1143" s="50">
        <f>IFERROR(__xludf.DUMMYFUNCTION("""COMPUTED_VALUE"""),0.0)</f>
        <v>0</v>
      </c>
      <c r="K1143" s="58"/>
      <c r="L1143" s="6">
        <v>30.0</v>
      </c>
      <c r="M1143" s="52" t="s">
        <v>655</v>
      </c>
      <c r="N1143" s="53" t="s">
        <v>698</v>
      </c>
      <c r="O1143" s="19" t="s">
        <v>1237</v>
      </c>
      <c r="P1143" s="6"/>
      <c r="Q1143" s="6"/>
      <c r="R1143" s="6"/>
    </row>
    <row r="1144">
      <c r="A1144" s="31" t="str">
        <f>IFERROR(__xludf.DUMMYFUNCTION("""COMPUTED_VALUE"""),"1005")</f>
        <v>1005</v>
      </c>
      <c r="B1144" s="14" t="str">
        <f>IFERROR(__xludf.DUMMYFUNCTION("""COMPUTED_VALUE"""),"РЕН-27")</f>
        <v>РЕН-27</v>
      </c>
      <c r="C1144" s="14" t="str">
        <f>IFERROR(__xludf.DUMMYFUNCTION("""COMPUTED_VALUE"""),"ОКС")</f>
        <v>ОКС</v>
      </c>
      <c r="D1144" s="6"/>
      <c r="E1144" s="14" t="str">
        <f>IFERROR(__xludf.DUMMYFUNCTION("""COMPUTED_VALUE"""),"Жилой дом с инженерными сетями и благоустройством территории (со сносом жилого здания по адресу: г. Москва, район Бабушкинский, ул. Искры, д. 11) по адресу: г. Москва, район Бабушкинский, микрорайон 18, Зона № 13.2 (Северо-Восточный административный округ"&amp;") Бабушкинский, микрорайон 18, Зона № 13.2")</f>
        <v>Жилой дом с инженерными сетями и благоустройством территории (со сносом жилого здания по адресу: г. Москва, район Бабушкинский, ул. Искры, д. 11) по адресу: г. Москва, район Бабушкинский, микрорайон 18, Зона № 13.2 (Северо-Восточный административный округ) Бабушкинский, микрорайон 18, Зона № 13.2</v>
      </c>
      <c r="F1144" s="25" t="str">
        <f>IFERROR(__xludf.DUMMYFUNCTION("""COMPUTED_VALUE"""),"55.861802")</f>
        <v>55.861802</v>
      </c>
      <c r="G1144" s="6" t="str">
        <f>IFERROR(__xludf.DUMMYFUNCTION("""COMPUTED_VALUE"""),"37.664994")</f>
        <v>37.664994</v>
      </c>
      <c r="H1144" s="18" t="str">
        <f>IFERROR(__xludf.DUMMYFUNCTION("""COMPUTED_VALUE"""),"https://docs.google.com/spreadsheets/d/1lEcUd4exxkr5Za3IYZ0vdFNfMubnuMOOMXfmF3GYC9I/edit?gid=640034925#gid=640034925")</f>
        <v>https://docs.google.com/spreadsheets/d/1lEcUd4exxkr5Za3IYZ0vdFNfMubnuMOOMXfmF3GYC9I/edit?gid=640034925#gid=640034925</v>
      </c>
      <c r="I1144" s="19" t="str">
        <f>IFERROR(__xludf.DUMMYFUNCTION("""COMPUTED_VALUE"""),"https://disk.yandex.ru/client/disk/Осмотры%20объектов%20АНО%20СМГ/1005.%20Бабушкинский%2C%20микрорайон%2018%2C%20Зона%20№%2013.2%20(Искры%2C%20д.11)")</f>
        <v>https://disk.yandex.ru/client/disk/Осмотры%20объектов%20АНО%20СМГ/1005.%20Бабушкинский%2C%20микрорайон%2018%2C%20Зона%20№%2013.2%20(Искры%2C%20д.11)</v>
      </c>
      <c r="J1144" s="50">
        <f>IFERROR(__xludf.DUMMYFUNCTION("""COMPUTED_VALUE"""),0.0)</f>
        <v>0</v>
      </c>
      <c r="K1144" s="58"/>
      <c r="L1144" s="6">
        <v>30.0</v>
      </c>
      <c r="M1144" s="52" t="s">
        <v>655</v>
      </c>
      <c r="N1144" s="53" t="s">
        <v>698</v>
      </c>
      <c r="O1144" s="19" t="s">
        <v>1237</v>
      </c>
      <c r="P1144" s="6"/>
      <c r="Q1144" s="6"/>
      <c r="R1144" s="6"/>
    </row>
    <row r="1145">
      <c r="A1145" s="31" t="str">
        <f>IFERROR(__xludf.DUMMYFUNCTION("""COMPUTED_VALUE"""),"1006")</f>
        <v>1006</v>
      </c>
      <c r="B1145" s="14" t="str">
        <f>IFERROR(__xludf.DUMMYFUNCTION("""COMPUTED_VALUE"""),"РЕН-27")</f>
        <v>РЕН-27</v>
      </c>
      <c r="C1145" s="14" t="str">
        <f>IFERROR(__xludf.DUMMYFUNCTION("""COMPUTED_VALUE"""),"ОКС")</f>
        <v>ОКС</v>
      </c>
      <c r="D1145" s="6"/>
      <c r="E1145" s="14" t="str">
        <f>IFERROR(__xludf.DUMMYFUNCTION("""COMPUTED_VALUE"""),"Жилой дом с приспособлением подземной автостоянки под защитное сооружение гражданской обороны – «укрытие» (ЗСГО)1100 мест с инженерными сетями и благоустройством территории (со сносом жилого здания по адресу: г. Москва, район Бабушкинский, ул. Ленская, д."&amp;" 9) по адресу: г. Москва, район Бабушкинский, микрорайон 14, Зона № 3.1 (Северо-Восточный административный округ) Бабушкинский, микрорайон 14, Зона № 3.1")</f>
        <v>Жилой дом с приспособлением подземной автостоянки под защитное сооружение гражданской обороны – «укрытие» (ЗСГО)1100 мест с инженерными сетями и благоустройством территории (со сносом жилого здания по адресу: г. Москва, район Бабушкинский, ул. Ленская, д. 9) по адресу: г. Москва, район Бабушкинский, микрорайон 14, Зона № 3.1 (Северо-Восточный административный округ) Бабушкинский, микрорайон 14, Зона № 3.1</v>
      </c>
      <c r="F1145" s="25" t="str">
        <f>IFERROR(__xludf.DUMMYFUNCTION("""COMPUTED_VALUE"""),"55.86577576045367")</f>
        <v>55.86577576045367</v>
      </c>
      <c r="G1145" s="6" t="str">
        <f>IFERROR(__xludf.DUMMYFUNCTION("""COMPUTED_VALUE"""),"37.66973955092452")</f>
        <v>37.66973955092452</v>
      </c>
      <c r="H1145" s="18" t="str">
        <f>IFERROR(__xludf.DUMMYFUNCTION("""COMPUTED_VALUE"""),"https://docs.google.com/spreadsheets/d/1lEcUd4exxkr5Za3IYZ0vdFNfMubnuMOOMXfmF3GYC9I/edit?gid=36677912#gid=36677912")</f>
        <v>https://docs.google.com/spreadsheets/d/1lEcUd4exxkr5Za3IYZ0vdFNfMubnuMOOMXfmF3GYC9I/edit?gid=36677912#gid=36677912</v>
      </c>
      <c r="I1145" s="19" t="str">
        <f>IFERROR(__xludf.DUMMYFUNCTION("""COMPUTED_VALUE"""),"https://disk.yandex.ru/client/disk/Осмотры%20объектов%20АНО%20СМГ/1006.%20Бабушкинский%2C%20микрорайон%2014%2C%20Зона%20№%203.1%20(Ленская%2C%20д.9)")</f>
        <v>https://disk.yandex.ru/client/disk/Осмотры%20объектов%20АНО%20СМГ/1006.%20Бабушкинский%2C%20микрорайон%2014%2C%20Зона%20№%203.1%20(Ленская%2C%20д.9)</v>
      </c>
      <c r="J1145" s="50">
        <f>IFERROR(__xludf.DUMMYFUNCTION("""COMPUTED_VALUE"""),0.0)</f>
        <v>0</v>
      </c>
      <c r="K1145" s="58"/>
      <c r="L1145" s="6">
        <v>30.0</v>
      </c>
      <c r="M1145" s="52" t="s">
        <v>655</v>
      </c>
      <c r="N1145" s="53" t="s">
        <v>698</v>
      </c>
      <c r="O1145" s="19" t="s">
        <v>1237</v>
      </c>
      <c r="P1145" s="6"/>
      <c r="Q1145" s="6"/>
      <c r="R1145" s="6"/>
    </row>
    <row r="1146">
      <c r="A1146" s="31" t="str">
        <f>IFERROR(__xludf.DUMMYFUNCTION("""COMPUTED_VALUE"""),"999")</f>
        <v>999</v>
      </c>
      <c r="B1146" s="14" t="str">
        <f>IFERROR(__xludf.DUMMYFUNCTION("""COMPUTED_VALUE"""),"РЕН-27")</f>
        <v>РЕН-27</v>
      </c>
      <c r="C1146" s="14" t="str">
        <f>IFERROR(__xludf.DUMMYFUNCTION("""COMPUTED_VALUE"""),"ОКС")</f>
        <v>ОКС</v>
      </c>
      <c r="D1146" s="6"/>
      <c r="E1146" s="14" t="str">
        <f>IFERROR(__xludf.DUMMYFUNCTION("""COMPUTED_VALUE"""),"Жилые дома с приспособлением подземной автостоянки под защитное сооружение гражданской обороны – «укрытие» (ЗСГО)2580 мест с инженерными сетями и благоустройством территории по адресу: г. Москва, внутригородское муниципальное образование Бабушкинское, Лен"&amp;"ская улица, земельный участок 12/1 (Северо-Восточный административный округ) (зона 1.1) Ленская ул., з/у 12/1")</f>
        <v>Жилые дома с приспособлением подземной автостоянки под защитное сооружение гражданской обороны – «укрытие» (ЗСГО)2580 мест с инженерными сетями и благоустройством территории по адресу: г. Москва, внутригородское муниципальное образование Бабушкинское, Ленская улица, земельный участок 12/1 (Северо-Восточный административный округ) (зона 1.1) Ленская ул., з/у 12/1</v>
      </c>
      <c r="F1146" s="25" t="str">
        <f>IFERROR(__xludf.DUMMYFUNCTION("""COMPUTED_VALUE"""),"55.86695188138328")</f>
        <v>55.86695188138328</v>
      </c>
      <c r="G1146" s="6" t="str">
        <f>IFERROR(__xludf.DUMMYFUNCTION("""COMPUTED_VALUE"""),"37.66518633002369")</f>
        <v>37.66518633002369</v>
      </c>
      <c r="H1146" s="18" t="str">
        <f>IFERROR(__xludf.DUMMYFUNCTION("""COMPUTED_VALUE"""),"https://docs.google.com/spreadsheets/d/1lEcUd4exxkr5Za3IYZ0vdFNfMubnuMOOMXfmF3GYC9I/edit?gid=784814979#gid=784814979")</f>
        <v>https://docs.google.com/spreadsheets/d/1lEcUd4exxkr5Za3IYZ0vdFNfMubnuMOOMXfmF3GYC9I/edit?gid=784814979#gid=784814979</v>
      </c>
      <c r="I1146" s="19" t="str">
        <f>IFERROR(__xludf.DUMMYFUNCTION("""COMPUTED_VALUE"""),"https://disk.yandex.ru/client/disk/Осмотры%20объектов%20АНО%20СМГ/999.%20Ленская%20ул.%2C%20зу%2012.1")</f>
        <v>https://disk.yandex.ru/client/disk/Осмотры%20объектов%20АНО%20СМГ/999.%20Ленская%20ул.%2C%20зу%2012.1</v>
      </c>
      <c r="J1146" s="50">
        <f>IFERROR(__xludf.DUMMYFUNCTION("""COMPUTED_VALUE"""),0.0)</f>
        <v>0</v>
      </c>
      <c r="K1146" s="58">
        <f>IFERROR(__xludf.DUMMYFUNCTION("""COMPUTED_VALUE"""),45835.0)</f>
        <v>45835</v>
      </c>
      <c r="L1146" s="6">
        <v>30.0</v>
      </c>
      <c r="M1146" s="52">
        <v>45865.0</v>
      </c>
      <c r="N1146" s="53" t="s">
        <v>668</v>
      </c>
      <c r="O1146" s="19" t="s">
        <v>1244</v>
      </c>
      <c r="P1146" s="6"/>
      <c r="Q1146" s="6"/>
      <c r="R1146" s="6"/>
    </row>
    <row r="1147">
      <c r="A1147" s="31" t="str">
        <f>IFERROR(__xludf.DUMMYFUNCTION("""COMPUTED_VALUE"""),"986")</f>
        <v>986</v>
      </c>
      <c r="B1147" s="14" t="str">
        <f>IFERROR(__xludf.DUMMYFUNCTION("""COMPUTED_VALUE"""),"РЕН-27")</f>
        <v>РЕН-27</v>
      </c>
      <c r="C1147" s="14" t="str">
        <f>IFERROR(__xludf.DUMMYFUNCTION("""COMPUTED_VALUE"""),"ОКС")</f>
        <v>ОКС</v>
      </c>
      <c r="D1147" s="6"/>
      <c r="E1147" s="14" t="str">
        <f>IFERROR(__xludf.DUMMYFUNCTION("""COMPUTED_VALUE"""),"илой дом с подземной автостоянкой, с инженерными сетями и благоустройством территории (со сносом жилых зданий по адресам: Открытое шоссе, 6к1; Открытое шоссе, 6к2; Открытое шоссе, 6к8; Открытое шоссе, 6к9 и сносом нежилого здания по адресу: Открытое шоссе"&amp;", 6к10А), зона 2.1 мкр. 4Б, 5Б, 8Б, 37Б, Богородское (номер зоны - 2.1) (ЖУ-2)")</f>
        <v>илой дом с подземной автостоянкой, с инженерными сетями и благоустройством территории (со сносом жилых зданий по адресам: Открытое шоссе, 6к1; Открытое шоссе, 6к2; Открытое шоссе, 6к8; Открытое шоссе, 6к9 и сносом нежилого здания по адресу: Открытое шоссе, 6к10А), зона 2.1 мкр. 4Б, 5Б, 8Б, 37Б, Богородское (номер зоны - 2.1) (ЖУ-2)</v>
      </c>
      <c r="F1147" s="25" t="str">
        <f>IFERROR(__xludf.DUMMYFUNCTION("""COMPUTED_VALUE"""),"55.82310875458021")</f>
        <v>55.82310875458021</v>
      </c>
      <c r="G1147" s="6" t="str">
        <f>IFERROR(__xludf.DUMMYFUNCTION("""COMPUTED_VALUE"""),"37.71489218650671")</f>
        <v>37.71489218650671</v>
      </c>
      <c r="H1147" s="18" t="str">
        <f>IFERROR(__xludf.DUMMYFUNCTION("""COMPUTED_VALUE"""),"https://docs.google.com/spreadsheets/d/1lEcUd4exxkr5Za3IYZ0vdFNfMubnuMOOMXfmF3GYC9I/edit?gid=541136391#gid=541136391")</f>
        <v>https://docs.google.com/spreadsheets/d/1lEcUd4exxkr5Za3IYZ0vdFNfMubnuMOOMXfmF3GYC9I/edit?gid=541136391#gid=541136391</v>
      </c>
      <c r="I1147" s="19" t="str">
        <f>IFERROR(__xludf.DUMMYFUNCTION("""COMPUTED_VALUE"""),"https://disk.yandex.ru/client/disk/Осмотры%20объектов%20АНО%20СМГ/986%20р-н%20Богородское%2C%20мкр.%204Б%2C%205Б%2C%208Б%2C%2037Б")</f>
        <v>https://disk.yandex.ru/client/disk/Осмотры%20объектов%20АНО%20СМГ/986%20р-н%20Богородское%2C%20мкр.%204Б%2C%205Б%2C%208Б%2C%2037Б</v>
      </c>
      <c r="J1147" s="50">
        <f>IFERROR(__xludf.DUMMYFUNCTION("""COMPUTED_VALUE"""),0.0)</f>
        <v>0</v>
      </c>
      <c r="K1147" s="58">
        <f>IFERROR(__xludf.DUMMYFUNCTION("""COMPUTED_VALUE"""),45807.0)</f>
        <v>45807</v>
      </c>
      <c r="L1147" s="6">
        <v>30.0</v>
      </c>
      <c r="M1147" s="52">
        <v>45837.0</v>
      </c>
      <c r="N1147" s="53" t="s">
        <v>668</v>
      </c>
      <c r="O1147" s="19" t="s">
        <v>1245</v>
      </c>
      <c r="P1147" s="6"/>
      <c r="Q1147" s="6"/>
      <c r="R1147" s="6"/>
    </row>
    <row r="1148">
      <c r="A1148" s="31" t="str">
        <f>IFERROR(__xludf.DUMMYFUNCTION("""COMPUTED_VALUE"""),"768")</f>
        <v>768</v>
      </c>
      <c r="B1148" s="14" t="str">
        <f>IFERROR(__xludf.DUMMYFUNCTION("""COMPUTED_VALUE"""),"РЕН-27")</f>
        <v>РЕН-27</v>
      </c>
      <c r="C1148" s="14" t="str">
        <f>IFERROR(__xludf.DUMMYFUNCTION("""COMPUTED_VALUE"""),"ОКС")</f>
        <v>ОКС</v>
      </c>
      <c r="D1148" s="6"/>
      <c r="E1148" s="14" t="str">
        <f>IFERROR(__xludf.DUMMYFUNCTION("""COMPUTED_VALUE"""),"Жилой дом с инженерными сетями и благоустройством территории (со сносом жилых домов по адресам: улица Маршала Малиновского, дом 3; улица Берзарина, дом 6, корпус 1)» по адресу: г. Москва, внутригородское муниципальное образование Щукино, улица Берзарина, "&amp;"земельный участок 6/1 (Северо-Западный административный округ)  улица Берзарина, земельный участок 6/1")</f>
        <v>Жилой дом с инженерными сетями и благоустройством территории (со сносом жилых домов по адресам: улица Маршала Малиновского, дом 3; улица Берзарина, дом 6, корпус 1)» по адресу: г. Москва, внутригородское муниципальное образование Щукино, улица Берзарина, земельный участок 6/1 (Северо-Западный административный округ)  улица Берзарина, земельный участок 6/1</v>
      </c>
      <c r="F1148" s="25" t="str">
        <f>IFERROR(__xludf.DUMMYFUNCTION("""COMPUTED_VALUE"""),"55.78848773001024")</f>
        <v>55.78848773001024</v>
      </c>
      <c r="G1148" s="6" t="str">
        <f>IFERROR(__xludf.DUMMYFUNCTION("""COMPUTED_VALUE"""),"37.49316249570069")</f>
        <v>37.49316249570069</v>
      </c>
      <c r="H1148" s="18" t="str">
        <f>IFERROR(__xludf.DUMMYFUNCTION("""COMPUTED_VALUE"""),"https://docs.google.com/spreadsheets/d/1lEcUd4exxkr5Za3IYZ0vdFNfMubnuMOOMXfmF3GYC9I/edit?gid=163574073#gid=163574073")</f>
        <v>https://docs.google.com/spreadsheets/d/1lEcUd4exxkr5Za3IYZ0vdFNfMubnuMOOMXfmF3GYC9I/edit?gid=163574073#gid=163574073</v>
      </c>
      <c r="I1148" s="19" t="str">
        <f>IFERROR(__xludf.DUMMYFUNCTION("""COMPUTED_VALUE"""),"https://disk.yandex.ru/client/disk/Осмотры%20объектов%20АНО%20СМГ/768.%20Жилой%20дом%20ул.%20Берзарина%206-1")</f>
        <v>https://disk.yandex.ru/client/disk/Осмотры%20объектов%20АНО%20СМГ/768.%20Жилой%20дом%20ул.%20Берзарина%206-1</v>
      </c>
      <c r="J1148" s="50">
        <f>IFERROR(__xludf.DUMMYFUNCTION("""COMPUTED_VALUE"""),0.0)</f>
        <v>0</v>
      </c>
      <c r="K1148" s="58">
        <f>IFERROR(__xludf.DUMMYFUNCTION("""COMPUTED_VALUE"""),45807.0)</f>
        <v>45807</v>
      </c>
      <c r="L1148" s="6">
        <v>30.0</v>
      </c>
      <c r="M1148" s="52">
        <v>45837.0</v>
      </c>
      <c r="N1148" s="53" t="s">
        <v>668</v>
      </c>
      <c r="O1148" s="19" t="s">
        <v>1246</v>
      </c>
      <c r="P1148" s="6"/>
      <c r="Q1148" s="6"/>
      <c r="R1148" s="6"/>
    </row>
    <row r="1149">
      <c r="A1149" s="31" t="str">
        <f>IFERROR(__xludf.DUMMYFUNCTION("""COMPUTED_VALUE"""),"917")</f>
        <v>917</v>
      </c>
      <c r="B1149" s="14" t="str">
        <f>IFERROR(__xludf.DUMMYFUNCTION("""COMPUTED_VALUE"""),"РЕН-27")</f>
        <v>РЕН-27</v>
      </c>
      <c r="C1149" s="14" t="str">
        <f>IFERROR(__xludf.DUMMYFUNCTION("""COMPUTED_VALUE"""),"ОКС")</f>
        <v>ОКС</v>
      </c>
      <c r="D1149" s="6"/>
      <c r="E1149" s="14" t="str">
        <f>IFERROR(__xludf.DUMMYFUNCTION("""COMPUTED_VALUE"""),"Жилой дом с инженерными сетями и благоустройством территории по адресу: г. Москва, ЮАО, район Чертаново Южное, ул.Газопровод, д.9, к.2 ул.Газопровод, д.9, к.2")</f>
        <v>Жилой дом с инженерными сетями и благоустройством территории по адресу: г. Москва, ЮАО, район Чертаново Южное, ул.Газопровод, д.9, к.2 ул.Газопровод, д.9, к.2</v>
      </c>
      <c r="F1149" s="25" t="str">
        <f>IFERROR(__xludf.DUMMYFUNCTION("""COMPUTED_VALUE"""),"55.590012")</f>
        <v>55.590012</v>
      </c>
      <c r="G1149" s="6" t="str">
        <f>IFERROR(__xludf.DUMMYFUNCTION("""COMPUTED_VALUE"""),"37.607287")</f>
        <v>37.607287</v>
      </c>
      <c r="H1149" s="18" t="str">
        <f>IFERROR(__xludf.DUMMYFUNCTION("""COMPUTED_VALUE"""),"https://docs.google.com/spreadsheets/d/1lEcUd4exxkr5Za3IYZ0vdFNfMubnuMOOMXfmF3GYC9I/edit?gid=1589597012#gid=1589597012")</f>
        <v>https://docs.google.com/spreadsheets/d/1lEcUd4exxkr5Za3IYZ0vdFNfMubnuMOOMXfmF3GYC9I/edit?gid=1589597012#gid=1589597012</v>
      </c>
      <c r="I1149" s="19" t="str">
        <f>IFERROR(__xludf.DUMMYFUNCTION("""COMPUTED_VALUE"""),"https://disk.yandex.ru/client/disk/Осмотры%20объектов%20АНО%20СМГ/917.%20Газопровод%20д.9%20к.2")</f>
        <v>https://disk.yandex.ru/client/disk/Осмотры%20объектов%20АНО%20СМГ/917.%20Газопровод%20д.9%20к.2</v>
      </c>
      <c r="J1149" s="50">
        <f>IFERROR(__xludf.DUMMYFUNCTION("""COMPUTED_VALUE"""),0.0)</f>
        <v>0</v>
      </c>
      <c r="K1149" s="58"/>
      <c r="L1149" s="6">
        <v>30.0</v>
      </c>
      <c r="M1149" s="52" t="s">
        <v>655</v>
      </c>
      <c r="N1149" s="53" t="s">
        <v>698</v>
      </c>
      <c r="O1149" s="19" t="s">
        <v>1247</v>
      </c>
      <c r="P1149" s="6"/>
      <c r="Q1149" s="6"/>
      <c r="R1149" s="6"/>
    </row>
    <row r="1150">
      <c r="A1150" s="31" t="str">
        <f>IFERROR(__xludf.DUMMYFUNCTION("""COMPUTED_VALUE"""),"885")</f>
        <v>885</v>
      </c>
      <c r="B1150" s="14" t="str">
        <f>IFERROR(__xludf.DUMMYFUNCTION("""COMPUTED_VALUE"""),"РЕН-27")</f>
        <v>РЕН-27</v>
      </c>
      <c r="C1150" s="14" t="str">
        <f>IFERROR(__xludf.DUMMYFUNCTION("""COMPUTED_VALUE"""),"ОКС")</f>
        <v>ОКС</v>
      </c>
      <c r="D1150" s="6"/>
      <c r="E1150" s="14" t="str">
        <f>IFERROR(__xludf.DUMMYFUNCTION("""COMPUTED_VALUE"""),"Жилой дом с подземной автостоянкой, инженерными сетями и благоустройством территории (со сносом жилых зданий по адресам: ул. Гарибальди д.27 к.1, ул. Гарибальди д.27 к.2, ул. Гарибальди д.27 к.3) по адресу: район Черемушки, кварталы 20-21; 22-23, зона № 6"&amp;".4 Черемушки, кв-лы 20-21; 22-23, зона № 6.4")</f>
        <v>Жилой дом с подземной автостоянкой, инженерными сетями и благоустройством территории (со сносом жилых зданий по адресам: ул. Гарибальди д.27 к.1, ул. Гарибальди д.27 к.2, ул. Гарибальди д.27 к.3) по адресу: район Черемушки, кварталы 20-21; 22-23, зона № 6.4 Черемушки, кв-лы 20-21; 22-23, зона № 6.4</v>
      </c>
      <c r="F1150" s="25" t="str">
        <f>IFERROR(__xludf.DUMMYFUNCTION("""COMPUTED_VALUE"""),"55.670179251930996")</f>
        <v>55.670179251930996</v>
      </c>
      <c r="G1150" s="6" t="str">
        <f>IFERROR(__xludf.DUMMYFUNCTION("""COMPUTED_VALUE"""),"37.559804507933535")</f>
        <v>37.559804507933535</v>
      </c>
      <c r="H1150" s="18" t="str">
        <f>IFERROR(__xludf.DUMMYFUNCTION("""COMPUTED_VALUE"""),"https://docs.google.com/spreadsheets/d/1lEcUd4exxkr5Za3IYZ0vdFNfMubnuMOOMXfmF3GYC9I/edit?gid=2115153164#gid=2115153164")</f>
        <v>https://docs.google.com/spreadsheets/d/1lEcUd4exxkr5Za3IYZ0vdFNfMubnuMOOMXfmF3GYC9I/edit?gid=2115153164#gid=2115153164</v>
      </c>
      <c r="I1150" s="19" t="str">
        <f>IFERROR(__xludf.DUMMYFUNCTION("""COMPUTED_VALUE"""),"https://disk.yandex.ru/client/disk/Осмотры%20объектов%20АНО%20СМГ/885.%20Черемушки%20кварталы%2020-21_22-23%20зона%206.4")</f>
        <v>https://disk.yandex.ru/client/disk/Осмотры%20объектов%20АНО%20СМГ/885.%20Черемушки%20кварталы%2020-21_22-23%20зона%206.4</v>
      </c>
      <c r="J1150" s="50">
        <f>IFERROR(__xludf.DUMMYFUNCTION("""COMPUTED_VALUE"""),0.0)</f>
        <v>0</v>
      </c>
      <c r="K1150" s="58">
        <f>IFERROR(__xludf.DUMMYFUNCTION("""COMPUTED_VALUE"""),45819.0)</f>
        <v>45819</v>
      </c>
      <c r="L1150" s="6">
        <v>30.0</v>
      </c>
      <c r="M1150" s="52">
        <v>45849.0</v>
      </c>
      <c r="N1150" s="53" t="s">
        <v>668</v>
      </c>
      <c r="O1150" s="19" t="s">
        <v>1248</v>
      </c>
      <c r="P1150" s="6"/>
      <c r="Q1150" s="6"/>
      <c r="R1150" s="6"/>
    </row>
    <row r="1151">
      <c r="A1151" s="31" t="str">
        <f>IFERROR(__xludf.DUMMYFUNCTION("""COMPUTED_VALUE"""),"702")</f>
        <v>702</v>
      </c>
      <c r="B1151" s="14" t="str">
        <f>IFERROR(__xludf.DUMMYFUNCTION("""COMPUTED_VALUE"""),"РЕН-27")</f>
        <v>РЕН-27</v>
      </c>
      <c r="C1151" s="14" t="str">
        <f>IFERROR(__xludf.DUMMYFUNCTION("""COMPUTED_VALUE"""),"ОКС")</f>
        <v>ОКС</v>
      </c>
      <c r="D1151" s="6"/>
      <c r="E1151" s="14" t="str">
        <f>IFERROR(__xludf.DUMMYFUNCTION("""COMPUTED_VALUE"""),"ЮЗАО, Черемушки, , ул. Гарибальди, зу 27/4/1, кв. 20-21, 22-23, зона № 6.3 (со сносом нежилого здания по адресу: ул. Гарибальди д.27 к.4)					 ул. Гарибальди, з/у 27/4/1 (зона 6.3)")</f>
        <v>ЮЗАО, Черемушки, , ул. Гарибальди, зу 27/4/1, кв. 20-21, 22-23, зона № 6.3 (со сносом нежилого здания по адресу: ул. Гарибальди д.27 к.4)					 ул. Гарибальди, з/у 27/4/1 (зона 6.3)</v>
      </c>
      <c r="F1151" s="25" t="str">
        <f>IFERROR(__xludf.DUMMYFUNCTION("""COMPUTED_VALUE"""),"55.669828")</f>
        <v>55.669828</v>
      </c>
      <c r="G1151" s="6" t="str">
        <f>IFERROR(__xludf.DUMMYFUNCTION("""COMPUTED_VALUE"""),"37.558221")</f>
        <v>37.558221</v>
      </c>
      <c r="H1151" s="18" t="str">
        <f>IFERROR(__xludf.DUMMYFUNCTION("""COMPUTED_VALUE"""),"https://docs.google.com/spreadsheets/d/1lEcUd4exxkr5Za3IYZ0vdFNfMubnuMOOMXfmF3GYC9I/edit?gid=496407740#gid=496407740")</f>
        <v>https://docs.google.com/spreadsheets/d/1lEcUd4exxkr5Za3IYZ0vdFNfMubnuMOOMXfmF3GYC9I/edit?gid=496407740#gid=496407740</v>
      </c>
      <c r="I1151" s="19" t="str">
        <f>IFERROR(__xludf.DUMMYFUNCTION("""COMPUTED_VALUE"""),"https://disk.yandex.ru/client/disk/Осмотры%20объектов%20АНО%20СМГ/702.%20Гарибальди%20д27%20к4")</f>
        <v>https://disk.yandex.ru/client/disk/Осмотры%20объектов%20АНО%20СМГ/702.%20Гарибальди%20д27%20к4</v>
      </c>
      <c r="J1151" s="50">
        <f>IFERROR(__xludf.DUMMYFUNCTION("""COMPUTED_VALUE"""),0.0)</f>
        <v>0</v>
      </c>
      <c r="K1151" s="58">
        <f>IFERROR(__xludf.DUMMYFUNCTION("""COMPUTED_VALUE"""),45819.0)</f>
        <v>45819</v>
      </c>
      <c r="L1151" s="6">
        <v>30.0</v>
      </c>
      <c r="M1151" s="52">
        <v>45849.0</v>
      </c>
      <c r="N1151" s="53" t="s">
        <v>668</v>
      </c>
      <c r="O1151" s="19" t="s">
        <v>914</v>
      </c>
      <c r="P1151" s="6"/>
      <c r="Q1151" s="6"/>
      <c r="R1151" s="6"/>
    </row>
    <row r="1152">
      <c r="A1152" s="31" t="str">
        <f>IFERROR(__xludf.DUMMYFUNCTION("""COMPUTED_VALUE"""),"997")</f>
        <v>997</v>
      </c>
      <c r="B1152" s="14" t="str">
        <f>IFERROR(__xludf.DUMMYFUNCTION("""COMPUTED_VALUE"""),"РЕН-27")</f>
        <v>РЕН-27</v>
      </c>
      <c r="C1152" s="14" t="str">
        <f>IFERROR(__xludf.DUMMYFUNCTION("""COMPUTED_VALUE"""),"ОКС")</f>
        <v>ОКС</v>
      </c>
      <c r="D1152" s="6"/>
      <c r="E1152" s="14" t="str">
        <f>IFERROR(__xludf.DUMMYFUNCTION("""COMPUTED_VALUE"""),"ул. Летчика Бабушкина, з/у 33/2/2                         ул. Летчика Бабушкина, з/у 33/2/2")</f>
        <v>ул. Летчика Бабушкина, з/у 33/2/2                         ул. Летчика Бабушкина, з/у 33/2/2</v>
      </c>
      <c r="F1152" s="25" t="str">
        <f>IFERROR(__xludf.DUMMYFUNCTION("""COMPUTED_VALUE"""),"55.872295021740335")</f>
        <v>55.872295021740335</v>
      </c>
      <c r="G1152" s="6" t="str">
        <f>IFERROR(__xludf.DUMMYFUNCTION("""COMPUTED_VALUE"""),"37.67448971163882")</f>
        <v>37.67448971163882</v>
      </c>
      <c r="H1152" s="18" t="str">
        <f>IFERROR(__xludf.DUMMYFUNCTION("""COMPUTED_VALUE"""),"https://docs.google.com/spreadsheets/d/1lEcUd4exxkr5Za3IYZ0vdFNfMubnuMOOMXfmF3GYC9I/edit?gid=424075145#gid=424075145")</f>
        <v>https://docs.google.com/spreadsheets/d/1lEcUd4exxkr5Za3IYZ0vdFNfMubnuMOOMXfmF3GYC9I/edit?gid=424075145#gid=424075145</v>
      </c>
      <c r="I1152" s="19" t="str">
        <f>IFERROR(__xludf.DUMMYFUNCTION("""COMPUTED_VALUE"""),"https://disk.yandex.ru/client/disk/Осмотры%20объектов%20АНО%20СМГ/997.%20Летчика%20Бабушкина%2C%20зу%2033.2.2")</f>
        <v>https://disk.yandex.ru/client/disk/Осмотры%20объектов%20АНО%20СМГ/997.%20Летчика%20Бабушкина%2C%20зу%2033.2.2</v>
      </c>
      <c r="J1152" s="50">
        <f>IFERROR(__xludf.DUMMYFUNCTION("""COMPUTED_VALUE"""),0.0)</f>
        <v>0</v>
      </c>
      <c r="K1152" s="58">
        <f>IFERROR(__xludf.DUMMYFUNCTION("""COMPUTED_VALUE"""),45810.0)</f>
        <v>45810</v>
      </c>
      <c r="L1152" s="6">
        <v>30.0</v>
      </c>
      <c r="M1152" s="52">
        <v>45840.0</v>
      </c>
      <c r="N1152" s="53" t="s">
        <v>668</v>
      </c>
      <c r="O1152" s="19" t="s">
        <v>914</v>
      </c>
      <c r="P1152" s="6"/>
      <c r="Q1152" s="6"/>
      <c r="R1152" s="6"/>
    </row>
    <row r="1153">
      <c r="A1153" s="31" t="str">
        <f>IFERROR(__xludf.DUMMYFUNCTION("""COMPUTED_VALUE"""),"998")</f>
        <v>998</v>
      </c>
      <c r="B1153" s="14" t="str">
        <f>IFERROR(__xludf.DUMMYFUNCTION("""COMPUTED_VALUE"""),"РЕН-27")</f>
        <v>РЕН-27</v>
      </c>
      <c r="C1153" s="14" t="str">
        <f>IFERROR(__xludf.DUMMYFUNCTION("""COMPUTED_VALUE"""),"ОКС")</f>
        <v>ОКС</v>
      </c>
      <c r="D1153" s="6"/>
      <c r="E1153" s="14" t="str">
        <f>IFERROR(__xludf.DUMMYFUNCTION("""COMPUTED_VALUE"""),"ул. Летчика Бабушкина, з/у 33/2/1                         ул. Летчика Бабушкина, з/у 33/2/1")</f>
        <v>ул. Летчика Бабушкина, з/у 33/2/1                         ул. Летчика Бабушкина, з/у 33/2/1</v>
      </c>
      <c r="F1153" s="25" t="str">
        <f>IFERROR(__xludf.DUMMYFUNCTION("""COMPUTED_VALUE"""),"55.871981353331456")</f>
        <v>55.871981353331456</v>
      </c>
      <c r="G1153" s="6" t="str">
        <f>IFERROR(__xludf.DUMMYFUNCTION("""COMPUTED_VALUE"""),"37.67459894708251")</f>
        <v>37.67459894708251</v>
      </c>
      <c r="H1153" s="18" t="str">
        <f>IFERROR(__xludf.DUMMYFUNCTION("""COMPUTED_VALUE"""),"https://docs.google.com/spreadsheets/d/1lEcUd4exxkr5Za3IYZ0vdFNfMubnuMOOMXfmF3GYC9I/edit?gid=1854195509#gid=1854195509")</f>
        <v>https://docs.google.com/spreadsheets/d/1lEcUd4exxkr5Za3IYZ0vdFNfMubnuMOOMXfmF3GYC9I/edit?gid=1854195509#gid=1854195509</v>
      </c>
      <c r="I1153" s="19" t="str">
        <f>IFERROR(__xludf.DUMMYFUNCTION("""COMPUTED_VALUE"""),"https://disk.yandex.ru/client/disk/Осмотры%20объектов%20АНО%20СМГ/998.%20Лётчика%20Бабушкина%2C%20зу%2033%5C2%5C1")</f>
        <v>https://disk.yandex.ru/client/disk/Осмотры%20объектов%20АНО%20СМГ/998.%20Лётчика%20Бабушкина%2C%20зу%2033%5C2%5C1</v>
      </c>
      <c r="J1153" s="50">
        <f>IFERROR(__xludf.DUMMYFUNCTION("""COMPUTED_VALUE"""),0.0)</f>
        <v>0</v>
      </c>
      <c r="K1153" s="58">
        <f>IFERROR(__xludf.DUMMYFUNCTION("""COMPUTED_VALUE"""),45810.0)</f>
        <v>45810</v>
      </c>
      <c r="L1153" s="6">
        <v>30.0</v>
      </c>
      <c r="M1153" s="52">
        <v>45840.0</v>
      </c>
      <c r="N1153" s="53" t="s">
        <v>668</v>
      </c>
      <c r="O1153" s="19" t="s">
        <v>914</v>
      </c>
      <c r="P1153" s="6"/>
      <c r="Q1153" s="6"/>
      <c r="R1153" s="6"/>
    </row>
    <row r="1154">
      <c r="A1154" s="31" t="str">
        <f>IFERROR(__xludf.DUMMYFUNCTION("""COMPUTED_VALUE"""),"780")</f>
        <v>780</v>
      </c>
      <c r="B1154" s="14" t="str">
        <f>IFERROR(__xludf.DUMMYFUNCTION("""COMPUTED_VALUE"""),"РЕН-27")</f>
        <v>РЕН-27</v>
      </c>
      <c r="C1154" s="14" t="str">
        <f>IFERROR(__xludf.DUMMYFUNCTION("""COMPUTED_VALUE"""),"ОКС")</f>
        <v>ОКС</v>
      </c>
      <c r="D1154" s="6"/>
      <c r="E1154"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д.13, ул. Генерала Рычагова,"&amp;" д.23/11 и д.21) по адресу: район Коптево, кв. 101, зона № 13.1  район Коптево, кв. 101, зона № 13.1")</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д.13, ул. Генерала Рычагова, д.23/11 и д.21) по адресу: район Коптево, кв. 101, зона № 13.1  район Коптево, кв. 101, зона № 13.1</v>
      </c>
      <c r="F1154" s="25" t="str">
        <f>IFERROR(__xludf.DUMMYFUNCTION("""COMPUTED_VALUE"""),"55.843058015419906")</f>
        <v>55.843058015419906</v>
      </c>
      <c r="G1154" s="6" t="str">
        <f>IFERROR(__xludf.DUMMYFUNCTION("""COMPUTED_VALUE"""),"37.543031077383944")</f>
        <v>37.543031077383944</v>
      </c>
      <c r="H1154" s="6" t="str">
        <f>IFERROR(__xludf.DUMMYFUNCTION("""COMPUTED_VALUE"""),"#ERROR!")</f>
        <v>#ERROR!</v>
      </c>
      <c r="I1154" s="19" t="str">
        <f>IFERROR(__xludf.DUMMYFUNCTION("""COMPUTED_VALUE"""),"https://disk.yandex.ru/client/disk/Осмотры%20объектов%20АНО%20СМГ/780.%20Коптево%20кв%20101%20зона%2013.1")</f>
        <v>https://disk.yandex.ru/client/disk/Осмотры%20объектов%20АНО%20СМГ/780.%20Коптево%20кв%20101%20зона%2013.1</v>
      </c>
      <c r="J1154" s="50">
        <f>IFERROR(__xludf.DUMMYFUNCTION("""COMPUTED_VALUE"""),0.0)</f>
        <v>0</v>
      </c>
      <c r="K1154" s="58">
        <f>IFERROR(__xludf.DUMMYFUNCTION("""COMPUTED_VALUE"""),45679.0)</f>
        <v>45679</v>
      </c>
      <c r="L1154" s="6">
        <v>30.0</v>
      </c>
      <c r="M1154" s="52">
        <v>45709.0</v>
      </c>
      <c r="N1154" s="53" t="s">
        <v>668</v>
      </c>
      <c r="O1154" s="19" t="s">
        <v>1249</v>
      </c>
      <c r="P1154" s="6"/>
      <c r="Q1154" s="6"/>
      <c r="R1154" s="6"/>
    </row>
    <row r="1155">
      <c r="A1155" s="31" t="str">
        <f>IFERROR(__xludf.DUMMYFUNCTION("""COMPUTED_VALUE"""),"1166")</f>
        <v>1166</v>
      </c>
      <c r="B1155" s="14" t="str">
        <f>IFERROR(__xludf.DUMMYFUNCTION("""COMPUTED_VALUE"""),"РЕН-27")</f>
        <v>РЕН-27</v>
      </c>
      <c r="C1155" s="14" t="str">
        <f>IFERROR(__xludf.DUMMYFUNCTION("""COMPUTED_VALUE"""),"ОКС")</f>
        <v>ОКС</v>
      </c>
      <c r="D1155" s="6"/>
      <c r="E1155" s="14" t="str">
        <f>IFERROR(__xludf.DUMMYFUNCTION("""COMPUTED_VALUE"""),"Жилой дом с инженерными сетями и благоустройством территории (со сносом жилого дома по адресу: ул. Маршала Чуйкова, д. 18/50) по адресу: вн. тер. г. Кузьминки, ул. Маршала Чуйкова, земельный участок 18 (зона 2.3) Маршала Чуйкова ул., з/у 18")</f>
        <v>Жилой дом с инженерными сетями и благоустройством территории (со сносом жилого дома по адресу: ул. Маршала Чуйкова, д. 18/50) по адресу: вн. тер. г. Кузьминки, ул. Маршала Чуйкова, земельный участок 18 (зона 2.3) Маршала Чуйкова ул., з/у 18</v>
      </c>
      <c r="F1155" s="25" t="str">
        <f>IFERROR(__xludf.DUMMYFUNCTION("""COMPUTED_VALUE"""),"55.700146")</f>
        <v>55.700146</v>
      </c>
      <c r="G1155" s="6" t="str">
        <f>IFERROR(__xludf.DUMMYFUNCTION("""COMPUTED_VALUE"""),"37.761887")</f>
        <v>37.761887</v>
      </c>
      <c r="H1155" s="18" t="str">
        <f>IFERROR(__xludf.DUMMYFUNCTION("""COMPUTED_VALUE"""),"https://docs.google.com/spreadsheets/d/1lEcUd4exxkr5Za3IYZ0vdFNfMubnuMOOMXfmF3GYC9I/edit?gid=1106564511#gid=1106564511")</f>
        <v>https://docs.google.com/spreadsheets/d/1lEcUd4exxkr5Za3IYZ0vdFNfMubnuMOOMXfmF3GYC9I/edit?gid=1106564511#gid=1106564511</v>
      </c>
      <c r="I1155" s="19"/>
      <c r="J1155" s="50">
        <f>IFERROR(__xludf.DUMMYFUNCTION("""COMPUTED_VALUE"""),0.0)</f>
        <v>0</v>
      </c>
      <c r="K1155" s="58"/>
      <c r="L1155" s="6">
        <v>30.0</v>
      </c>
      <c r="M1155" s="52" t="s">
        <v>655</v>
      </c>
      <c r="N1155" s="53" t="s">
        <v>698</v>
      </c>
      <c r="O1155" s="19" t="s">
        <v>1250</v>
      </c>
      <c r="P1155" s="6"/>
      <c r="Q1155" s="6"/>
      <c r="R1155" s="6"/>
    </row>
    <row r="1156">
      <c r="A1156" s="31" t="str">
        <f>IFERROR(__xludf.DUMMYFUNCTION("""COMPUTED_VALUE"""),"1167")</f>
        <v>1167</v>
      </c>
      <c r="B1156" s="14" t="str">
        <f>IFERROR(__xludf.DUMMYFUNCTION("""COMPUTED_VALUE"""),"РЕН-27")</f>
        <v>РЕН-27</v>
      </c>
      <c r="C1156" s="14" t="str">
        <f>IFERROR(__xludf.DUMMYFUNCTION("""COMPUTED_VALUE"""),"ОКС")</f>
        <v>ОКС</v>
      </c>
      <c r="D1156" s="6"/>
      <c r="E1156" s="14" t="str">
        <f>IFERROR(__xludf.DUMMYFUNCTION("""COMPUTED_VALUE"""),"Жилой дом с подземной автостоянкой, инженерными сетями и благоустройством территории (со сносом жилых домов по адресу: ул. Маршала Чуйкова, д. 13, корп.1, ул. Маршала Чуйкова, д. 13, корп.2) по адресу: вн. тер. г. Кузьминки, ул. Маршала Чуйкова, земельный"&amp;" участок 13/4/4 (зона 4.4) Маршала Чуйкова ул., з/у 13/4/4")</f>
        <v>Жилой дом с подземной автостоянкой, инженерными сетями и благоустройством территории (со сносом жилых домов по адресу: ул. Маршала Чуйкова, д. 13, корп.1, ул. Маршала Чуйкова, д. 13, корп.2) по адресу: вн. тер. г. Кузьминки, ул. Маршала Чуйкова, земельный участок 13/4/4 (зона 4.4) Маршала Чуйкова ул., з/у 13/4/4</v>
      </c>
      <c r="F1156" s="25" t="str">
        <f>IFERROR(__xludf.DUMMYFUNCTION("""COMPUTED_VALUE"""),"55.694912312959815")</f>
        <v>55.694912312959815</v>
      </c>
      <c r="G1156" s="6" t="str">
        <f>IFERROR(__xludf.DUMMYFUNCTION("""COMPUTED_VALUE"""),"37.759800794965386")</f>
        <v>37.759800794965386</v>
      </c>
      <c r="H1156" s="18" t="str">
        <f>IFERROR(__xludf.DUMMYFUNCTION("""COMPUTED_VALUE"""),"https://docs.google.com/spreadsheets/d/1lEcUd4exxkr5Za3IYZ0vdFNfMubnuMOOMXfmF3GYC9I/edit?gid=299633943#gid=299633943")</f>
        <v>https://docs.google.com/spreadsheets/d/1lEcUd4exxkr5Za3IYZ0vdFNfMubnuMOOMXfmF3GYC9I/edit?gid=299633943#gid=299633943</v>
      </c>
      <c r="I1156" s="19"/>
      <c r="J1156" s="50">
        <f>IFERROR(__xludf.DUMMYFUNCTION("""COMPUTED_VALUE"""),0.0)</f>
        <v>0</v>
      </c>
      <c r="K1156" s="58"/>
      <c r="L1156" s="6">
        <v>30.0</v>
      </c>
      <c r="M1156" s="52" t="s">
        <v>655</v>
      </c>
      <c r="N1156" s="53" t="s">
        <v>698</v>
      </c>
      <c r="O1156" s="19" t="s">
        <v>1251</v>
      </c>
      <c r="P1156" s="6"/>
      <c r="Q1156" s="6"/>
      <c r="R1156" s="6"/>
    </row>
    <row r="1157">
      <c r="A1157" s="31" t="str">
        <f>IFERROR(__xludf.DUMMYFUNCTION("""COMPUTED_VALUE"""),"1168")</f>
        <v>1168</v>
      </c>
      <c r="B1157" s="14" t="str">
        <f>IFERROR(__xludf.DUMMYFUNCTION("""COMPUTED_VALUE"""),"РЕН-27")</f>
        <v>РЕН-27</v>
      </c>
      <c r="C1157" s="14" t="str">
        <f>IFERROR(__xludf.DUMMYFUNCTION("""COMPUTED_VALUE"""),"ОКС")</f>
        <v>ОКС</v>
      </c>
      <c r="D1157" s="6"/>
      <c r="E1157" s="14" t="str">
        <f>IFERROR(__xludf.DUMMYFUNCTION("""COMPUTED_VALUE"""),"Жилой дом с подземной автостоянкой, инженерными сетями и благоустройством территории по адресу: вн. тер. г. Кузьминки, ул. Маршала Чуйкова, земельный участок 13/4/5 (зона 4.5) Маршала Чуйкова ул., з/у 13/4/5")</f>
        <v>Жилой дом с подземной автостоянкой, инженерными сетями и благоустройством территории по адресу: вн. тер. г. Кузьминки, ул. Маршала Чуйкова, земельный участок 13/4/5 (зона 4.5) Маршала Чуйкова ул., з/у 13/4/5</v>
      </c>
      <c r="F1157" s="25" t="str">
        <f>IFERROR(__xludf.DUMMYFUNCTION("""COMPUTED_VALUE"""),"55.694766879623124")</f>
        <v>55.694766879623124</v>
      </c>
      <c r="G1157" s="6" t="str">
        <f>IFERROR(__xludf.DUMMYFUNCTION("""COMPUTED_VALUE"""),"37.7606269153427")</f>
        <v>37.7606269153427</v>
      </c>
      <c r="H1157" s="18" t="str">
        <f>IFERROR(__xludf.DUMMYFUNCTION("""COMPUTED_VALUE"""),"https://docs.google.com/spreadsheets/d/1lEcUd4exxkr5Za3IYZ0vdFNfMubnuMOOMXfmF3GYC9I/edit?gid=1173519257#gid=1173519257")</f>
        <v>https://docs.google.com/spreadsheets/d/1lEcUd4exxkr5Za3IYZ0vdFNfMubnuMOOMXfmF3GYC9I/edit?gid=1173519257#gid=1173519257</v>
      </c>
      <c r="I1157" s="19"/>
      <c r="J1157" s="50">
        <f>IFERROR(__xludf.DUMMYFUNCTION("""COMPUTED_VALUE"""),0.0)</f>
        <v>0</v>
      </c>
      <c r="K1157" s="58"/>
      <c r="L1157" s="6">
        <v>30.0</v>
      </c>
      <c r="M1157" s="52" t="s">
        <v>655</v>
      </c>
      <c r="N1157" s="53" t="s">
        <v>698</v>
      </c>
      <c r="O1157" s="19" t="s">
        <v>1252</v>
      </c>
      <c r="P1157" s="6"/>
      <c r="Q1157" s="6"/>
      <c r="R1157" s="6"/>
    </row>
    <row r="1158">
      <c r="A1158" s="31" t="str">
        <f>IFERROR(__xludf.DUMMYFUNCTION("""COMPUTED_VALUE"""),"1169")</f>
        <v>1169</v>
      </c>
      <c r="B1158" s="14" t="str">
        <f>IFERROR(__xludf.DUMMYFUNCTION("""COMPUTED_VALUE"""),"РЕН-27")</f>
        <v>РЕН-27</v>
      </c>
      <c r="C1158" s="14" t="str">
        <f>IFERROR(__xludf.DUMMYFUNCTION("""COMPUTED_VALUE"""),"ОКС")</f>
        <v>ОКС</v>
      </c>
      <c r="D1158" s="6"/>
      <c r="E115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ул. Маршала Чуйкова, д. 13, корп.3) по адресу: вн. тер. "&amp;"г. Кузьминки, ул. Маршала Чуйкова, земельный участок 13/4/6 (зона 4.6) Маршала Чуйкова ул., з/у 13/4/6")</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ул. Маршала Чуйкова, д. 13, корп.3) по адресу: вн. тер. г. Кузьминки, ул. Маршала Чуйкова, земельный участок 13/4/6 (зона 4.6) Маршала Чуйкова ул., з/у 13/4/6</v>
      </c>
      <c r="F1158" s="25" t="str">
        <f>IFERROR(__xludf.DUMMYFUNCTION("""COMPUTED_VALUE"""),"55.69461538635335")</f>
        <v>55.69461538635335</v>
      </c>
      <c r="G1158" s="6" t="str">
        <f>IFERROR(__xludf.DUMMYFUNCTION("""COMPUTED_VALUE"""),"37.76153886640835")</f>
        <v>37.76153886640835</v>
      </c>
      <c r="H1158" s="18" t="str">
        <f>IFERROR(__xludf.DUMMYFUNCTION("""COMPUTED_VALUE"""),"https://docs.google.com/spreadsheets/d/1lEcUd4exxkr5Za3IYZ0vdFNfMubnuMOOMXfmF3GYC9I/edit?gid=211546180#gid=211546180")</f>
        <v>https://docs.google.com/spreadsheets/d/1lEcUd4exxkr5Za3IYZ0vdFNfMubnuMOOMXfmF3GYC9I/edit?gid=211546180#gid=211546180</v>
      </c>
      <c r="I1158" s="19"/>
      <c r="J1158" s="50">
        <f>IFERROR(__xludf.DUMMYFUNCTION("""COMPUTED_VALUE"""),0.0)</f>
        <v>0</v>
      </c>
      <c r="K1158" s="58"/>
      <c r="L1158" s="6">
        <v>30.0</v>
      </c>
      <c r="M1158" s="52" t="s">
        <v>655</v>
      </c>
      <c r="N1158" s="53" t="s">
        <v>698</v>
      </c>
      <c r="O1158" s="19" t="s">
        <v>1253</v>
      </c>
      <c r="P1158" s="6"/>
      <c r="Q1158" s="6"/>
      <c r="R1158" s="6"/>
    </row>
    <row r="1159">
      <c r="A1159" s="31" t="str">
        <f>IFERROR(__xludf.DUMMYFUNCTION("""COMPUTED_VALUE"""),"1170")</f>
        <v>1170</v>
      </c>
      <c r="B1159" s="14" t="str">
        <f>IFERROR(__xludf.DUMMYFUNCTION("""COMPUTED_VALUE"""),"РЕН-27")</f>
        <v>РЕН-27</v>
      </c>
      <c r="C1159" s="14" t="str">
        <f>IFERROR(__xludf.DUMMYFUNCTION("""COMPUTED_VALUE"""),"ОКС")</f>
        <v>ОКС</v>
      </c>
      <c r="D1159" s="6"/>
      <c r="E1159" s="14" t="str">
        <f>IFERROR(__xludf.DUMMYFUNCTION("""COMPUTED_VALUE"""),"Жилой дом с инженерными сетями и благоустройством территории (со сносом жилого дома по адресу: Сормовская улица, дом 17, корпус 6) по адресу: район Выхино-Жулебино, мкр. 136, (зона № 4.1) Сормовская зона 4.1")</f>
        <v>Жилой дом с инженерными сетями и благоустройством территории (со сносом жилого дома по адресу: Сормовская улица, дом 17, корпус 6) по адресу: район Выхино-Жулебино, мкр. 136, (зона № 4.1) Сормовская зона 4.1</v>
      </c>
      <c r="F1159" s="25" t="str">
        <f>IFERROR(__xludf.DUMMYFUNCTION("""COMPUTED_VALUE"""),"55.70642769499708")</f>
        <v>55.70642769499708</v>
      </c>
      <c r="G1159" s="6" t="str">
        <f>IFERROR(__xludf.DUMMYFUNCTION("""COMPUTED_VALUE"""),"37.81125972883599")</f>
        <v>37.81125972883599</v>
      </c>
      <c r="H1159" s="18" t="str">
        <f>IFERROR(__xludf.DUMMYFUNCTION("""COMPUTED_VALUE"""),"https://docs.google.com/spreadsheets/d/1lEcUd4exxkr5Za3IYZ0vdFNfMubnuMOOMXfmF3GYC9I/edit?gid=551597288#gid=551597288")</f>
        <v>https://docs.google.com/spreadsheets/d/1lEcUd4exxkr5Za3IYZ0vdFNfMubnuMOOMXfmF3GYC9I/edit?gid=551597288#gid=551597288</v>
      </c>
      <c r="I1159" s="19"/>
      <c r="J1159" s="50">
        <f>IFERROR(__xludf.DUMMYFUNCTION("""COMPUTED_VALUE"""),0.0)</f>
        <v>0</v>
      </c>
      <c r="K1159" s="58"/>
      <c r="L1159" s="6">
        <v>30.0</v>
      </c>
      <c r="M1159" s="52" t="s">
        <v>655</v>
      </c>
      <c r="N1159" s="53" t="s">
        <v>698</v>
      </c>
      <c r="O1159" s="19" t="s">
        <v>1218</v>
      </c>
      <c r="P1159" s="6"/>
      <c r="Q1159" s="6"/>
      <c r="R1159" s="6"/>
    </row>
    <row r="1160">
      <c r="A1160" s="31" t="str">
        <f>IFERROR(__xludf.DUMMYFUNCTION("""COMPUTED_VALUE"""),"1171")</f>
        <v>1171</v>
      </c>
      <c r="B1160" s="14" t="str">
        <f>IFERROR(__xludf.DUMMYFUNCTION("""COMPUTED_VALUE"""),"РЕН-27")</f>
        <v>РЕН-27</v>
      </c>
      <c r="C1160" s="14" t="str">
        <f>IFERROR(__xludf.DUMMYFUNCTION("""COMPUTED_VALUE"""),"ОКС")</f>
        <v>ОКС</v>
      </c>
      <c r="D1160" s="6"/>
      <c r="E1160" s="14" t="str">
        <f>IFERROR(__xludf.DUMMYFUNCTION("""COMPUTED_VALUE"""),"Жилой дом с подземной автостоянкой, инженерными сетями и благоустройством территории (со сносом жилых домов по адресам: Сормовская улица, дом 17, корпус 3; Сормовская улица, дом 17, корпус 4) по адресу: район Выхино-Жулебино, мкр. 136, (зона № 4.2)  Сормо"&amp;"вская зона 4.2")</f>
        <v>Жилой дом с подземной автостоянкой, инженерными сетями и благоустройством территории (со сносом жилых домов по адресам: Сормовская улица, дом 17, корпус 3; Сормовская улица, дом 17, корпус 4) по адресу: район Выхино-Жулебино, мкр. 136, (зона № 4.2)  Сормовская зона 4.2</v>
      </c>
      <c r="F1160" s="25" t="str">
        <f>IFERROR(__xludf.DUMMYFUNCTION("""COMPUTED_VALUE"""),"55.705755260262")</f>
        <v>55.705755260262</v>
      </c>
      <c r="G1160" s="6" t="str">
        <f>IFERROR(__xludf.DUMMYFUNCTION("""COMPUTED_VALUE"""),"37.81022976057378")</f>
        <v>37.81022976057378</v>
      </c>
      <c r="H1160" s="18" t="str">
        <f>IFERROR(__xludf.DUMMYFUNCTION("""COMPUTED_VALUE"""),"https://docs.google.com/spreadsheets/d/1lEcUd4exxkr5Za3IYZ0vdFNfMubnuMOOMXfmF3GYC9I/edit?gid=857788374#gid=857788374")</f>
        <v>https://docs.google.com/spreadsheets/d/1lEcUd4exxkr5Za3IYZ0vdFNfMubnuMOOMXfmF3GYC9I/edit?gid=857788374#gid=857788374</v>
      </c>
      <c r="I1160" s="19"/>
      <c r="J1160" s="50">
        <f>IFERROR(__xludf.DUMMYFUNCTION("""COMPUTED_VALUE"""),0.0)</f>
        <v>0</v>
      </c>
      <c r="K1160" s="58"/>
      <c r="L1160" s="6">
        <v>30.0</v>
      </c>
      <c r="M1160" s="52" t="s">
        <v>655</v>
      </c>
      <c r="N1160" s="53" t="s">
        <v>698</v>
      </c>
      <c r="O1160" s="19" t="s">
        <v>1218</v>
      </c>
      <c r="P1160" s="6"/>
      <c r="Q1160" s="6"/>
      <c r="R1160" s="6"/>
    </row>
    <row r="1161">
      <c r="A1161" s="31" t="str">
        <f>IFERROR(__xludf.DUMMYFUNCTION("""COMPUTED_VALUE"""),"1172")</f>
        <v>1172</v>
      </c>
      <c r="B1161" s="14" t="str">
        <f>IFERROR(__xludf.DUMMYFUNCTION("""COMPUTED_VALUE"""),"РЕН-27")</f>
        <v>РЕН-27</v>
      </c>
      <c r="C1161" s="14" t="str">
        <f>IFERROR(__xludf.DUMMYFUNCTION("""COMPUTED_VALUE"""),"ОКС")</f>
        <v>ОКС</v>
      </c>
      <c r="D1161" s="6"/>
      <c r="E1161"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Сормовская улица, дом 17, корпус 1; Сормовская улица, дом 17"&amp;", корпус 2) по адресу: район Выхино-Жулебино, мкр. 136, (зона № 4.3) Сормовская зона 4.3")</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Сормовская улица, дом 17, корпус 1; Сормовская улица, дом 17, корпус 2) по адресу: район Выхино-Жулебино, мкр. 136, (зона № 4.3) Сормовская зона 4.3</v>
      </c>
      <c r="F1161" s="25" t="str">
        <f>IFERROR(__xludf.DUMMYFUNCTION("""COMPUTED_VALUE"""),"55.70640346338799")</f>
        <v>55.70640346338799</v>
      </c>
      <c r="G1161" s="6" t="str">
        <f>IFERROR(__xludf.DUMMYFUNCTION("""COMPUTED_VALUE"""),"37.80934999601745")</f>
        <v>37.80934999601745</v>
      </c>
      <c r="H1161" s="18" t="str">
        <f>IFERROR(__xludf.DUMMYFUNCTION("""COMPUTED_VALUE"""),"https://docs.google.com/spreadsheets/d/1lEcUd4exxkr5Za3IYZ0vdFNfMubnuMOOMXfmF3GYC9I/edit?gid=273382735#gid=273382735")</f>
        <v>https://docs.google.com/spreadsheets/d/1lEcUd4exxkr5Za3IYZ0vdFNfMubnuMOOMXfmF3GYC9I/edit?gid=273382735#gid=273382735</v>
      </c>
      <c r="I1161" s="19"/>
      <c r="J1161" s="50">
        <f>IFERROR(__xludf.DUMMYFUNCTION("""COMPUTED_VALUE"""),0.0)</f>
        <v>0</v>
      </c>
      <c r="K1161" s="58"/>
      <c r="L1161" s="6">
        <v>30.0</v>
      </c>
      <c r="M1161" s="52" t="s">
        <v>655</v>
      </c>
      <c r="N1161" s="53" t="s">
        <v>698</v>
      </c>
      <c r="O1161" s="19" t="s">
        <v>1218</v>
      </c>
      <c r="P1161" s="6"/>
      <c r="Q1161" s="6"/>
      <c r="R1161" s="6"/>
    </row>
    <row r="1162">
      <c r="A1162" s="31"/>
      <c r="B1162" s="14"/>
      <c r="C1162" s="14"/>
      <c r="D1162" s="6"/>
      <c r="E1162" s="14" t="str">
        <f>IFERROR(__xludf.DUMMYFUNCTION("""COMPUTED_VALUE""")," кв-л Грайвороново 90А, земельный участок 2")</f>
        <v> кв-л Грайвороново 90А, земельный участок 2</v>
      </c>
      <c r="F1162" s="25" t="str">
        <f>IFERROR(__xludf.DUMMYFUNCTION("""COMPUTED_VALUE"""),"#N/A")</f>
        <v>#N/A</v>
      </c>
      <c r="G1162" s="6" t="str">
        <f>IFERROR(__xludf.DUMMYFUNCTION("""COMPUTED_VALUE"""),"#N/A")</f>
        <v>#N/A</v>
      </c>
      <c r="H1162" s="6"/>
      <c r="I1162" s="19"/>
      <c r="J1162" s="50"/>
      <c r="K1162" s="58"/>
      <c r="L1162" s="6" t="s">
        <v>655</v>
      </c>
      <c r="M1162" s="52" t="s">
        <v>655</v>
      </c>
      <c r="N1162" s="53" t="s">
        <v>655</v>
      </c>
      <c r="O1162" s="19"/>
      <c r="P1162" s="6"/>
      <c r="Q1162" s="6"/>
      <c r="R1162" s="6"/>
    </row>
    <row r="1163">
      <c r="A1163" s="31"/>
      <c r="B1163" s="14"/>
      <c r="C1163" s="14"/>
      <c r="D1163" s="6"/>
      <c r="E1163" s="14" t="str">
        <f>IFERROR(__xludf.DUMMYFUNCTION("""COMPUTED_VALUE""")," 2-я Владимирская улица, земельный участок 15/2")</f>
        <v> 2-я Владимирская улица, земельный участок 15/2</v>
      </c>
      <c r="F1163" s="25" t="str">
        <f>IFERROR(__xludf.DUMMYFUNCTION("""COMPUTED_VALUE"""),"#N/A")</f>
        <v>#N/A</v>
      </c>
      <c r="G1163" s="6" t="str">
        <f>IFERROR(__xludf.DUMMYFUNCTION("""COMPUTED_VALUE"""),"#N/A")</f>
        <v>#N/A</v>
      </c>
      <c r="H1163" s="6"/>
      <c r="I1163" s="19"/>
      <c r="J1163" s="50"/>
      <c r="K1163" s="58"/>
      <c r="L1163" s="6" t="s">
        <v>655</v>
      </c>
      <c r="M1163" s="52" t="s">
        <v>655</v>
      </c>
      <c r="N1163" s="53" t="s">
        <v>655</v>
      </c>
      <c r="O1163" s="19"/>
      <c r="P1163" s="6"/>
      <c r="Q1163" s="6"/>
      <c r="R1163" s="6"/>
    </row>
    <row r="1164">
      <c r="A1164" s="31"/>
      <c r="B1164" s="14"/>
      <c r="C1164" s="14"/>
      <c r="D1164" s="6"/>
      <c r="E1164" s="14" t="str">
        <f>IFERROR(__xludf.DUMMYFUNCTION("""COMPUTED_VALUE""")," г. Щербинка, Железнодорожная ул., влд. 37А")</f>
        <v> г. Щербинка, Железнодорожная ул., влд. 37А</v>
      </c>
      <c r="F1164" s="25" t="str">
        <f>IFERROR(__xludf.DUMMYFUNCTION("""COMPUTED_VALUE"""),"#N/A")</f>
        <v>#N/A</v>
      </c>
      <c r="G1164" s="6" t="str">
        <f>IFERROR(__xludf.DUMMYFUNCTION("""COMPUTED_VALUE"""),"#N/A")</f>
        <v>#N/A</v>
      </c>
      <c r="H1164" s="6"/>
      <c r="I1164" s="19"/>
      <c r="J1164" s="50"/>
      <c r="K1164" s="58"/>
      <c r="L1164" s="6" t="s">
        <v>655</v>
      </c>
      <c r="M1164" s="52" t="s">
        <v>655</v>
      </c>
      <c r="N1164" s="53" t="s">
        <v>655</v>
      </c>
      <c r="O1164" s="19"/>
      <c r="P1164" s="6"/>
      <c r="Q1164" s="6"/>
      <c r="R1164" s="6"/>
    </row>
    <row r="1165">
      <c r="A1165" s="31"/>
      <c r="B1165" s="14"/>
      <c r="C1165" s="14"/>
      <c r="D1165" s="6"/>
      <c r="E1165" s="14" t="str">
        <f>IFERROR(__xludf.DUMMYFUNCTION("""COMPUTED_VALUE""")," внутригородское муниципальное образование Метрогородок, шоссе Открытое, земельный участок 27/6/7 (участок 11.2)")</f>
        <v> внутригородское муниципальное образование Метрогородок, шоссе Открытое, земельный участок 27/6/7 (участок 11.2)</v>
      </c>
      <c r="F1165" s="25" t="str">
        <f>IFERROR(__xludf.DUMMYFUNCTION("""COMPUTED_VALUE"""),"#N/A")</f>
        <v>#N/A</v>
      </c>
      <c r="G1165" s="6" t="str">
        <f>IFERROR(__xludf.DUMMYFUNCTION("""COMPUTED_VALUE"""),"#N/A")</f>
        <v>#N/A</v>
      </c>
      <c r="H1165" s="6"/>
      <c r="I1165" s="19"/>
      <c r="J1165" s="50"/>
      <c r="K1165" s="58"/>
      <c r="L1165" s="6" t="s">
        <v>655</v>
      </c>
      <c r="M1165" s="52" t="s">
        <v>655</v>
      </c>
      <c r="N1165" s="53" t="s">
        <v>655</v>
      </c>
      <c r="O1165" s="19" t="s">
        <v>1254</v>
      </c>
      <c r="P1165" s="6"/>
      <c r="Q1165" s="6"/>
      <c r="R1165" s="6"/>
    </row>
    <row r="1166">
      <c r="A1166" s="31"/>
      <c r="B1166" s="14" t="str">
        <f>IFERROR(__xludf.DUMMYFUNCTION("""COMPUTED_VALUE"""),"РЕН-27")</f>
        <v>РЕН-27</v>
      </c>
      <c r="C1166" s="14"/>
      <c r="D1166" s="6"/>
      <c r="E1166" s="14" t="str">
        <f>IFERROR(__xludf.DUMMYFUNCTION("""COMPUTED_VALUE""")," район Перово, мкр. 23, зона 22.3 (ул. Металлургов, вл. 32)")</f>
        <v> район Перово, мкр. 23, зона 22.3 (ул. Металлургов, вл. 32)</v>
      </c>
      <c r="F1166" s="25" t="str">
        <f>IFERROR(__xludf.DUMMYFUNCTION("""COMPUTED_VALUE"""),"#N/A")</f>
        <v>#N/A</v>
      </c>
      <c r="G1166" s="6" t="str">
        <f>IFERROR(__xludf.DUMMYFUNCTION("""COMPUTED_VALUE"""),"#N/A")</f>
        <v>#N/A</v>
      </c>
      <c r="H1166" s="6"/>
      <c r="I1166" s="19"/>
      <c r="J1166" s="50"/>
      <c r="K1166" s="58"/>
      <c r="L1166" s="6" t="s">
        <v>655</v>
      </c>
      <c r="M1166" s="52" t="s">
        <v>655</v>
      </c>
      <c r="N1166" s="53" t="s">
        <v>655</v>
      </c>
      <c r="O1166" s="19"/>
      <c r="P1166" s="6"/>
      <c r="Q1166" s="6"/>
      <c r="R1166" s="6"/>
    </row>
    <row r="1167">
      <c r="A1167" s="31"/>
      <c r="B1167" s="14" t="str">
        <f>IFERROR(__xludf.DUMMYFUNCTION("""COMPUTED_VALUE"""),"РЕН-27")</f>
        <v>РЕН-27</v>
      </c>
      <c r="C1167" s="14"/>
      <c r="D1167" s="6"/>
      <c r="E1167" s="14" t="str">
        <f>IFERROR(__xludf.DUMMYFUNCTION("""COMPUTED_VALUE""")," 2-я Владимирская, д.11Д, корп.1, корп.2")</f>
        <v> 2-я Владимирская, д.11Д, корп.1, корп.2</v>
      </c>
      <c r="F1167" s="25" t="str">
        <f>IFERROR(__xludf.DUMMYFUNCTION("""COMPUTED_VALUE"""),"#N/A")</f>
        <v>#N/A</v>
      </c>
      <c r="G1167" s="6" t="str">
        <f>IFERROR(__xludf.DUMMYFUNCTION("""COMPUTED_VALUE"""),"#N/A")</f>
        <v>#N/A</v>
      </c>
      <c r="H1167" s="6"/>
      <c r="I1167" s="19"/>
      <c r="J1167" s="50"/>
      <c r="K1167" s="58"/>
      <c r="L1167" s="6" t="s">
        <v>655</v>
      </c>
      <c r="M1167" s="52" t="s">
        <v>655</v>
      </c>
      <c r="N1167" s="53" t="s">
        <v>655</v>
      </c>
      <c r="O1167" s="19"/>
      <c r="P1167" s="6"/>
      <c r="Q1167" s="6"/>
      <c r="R1167" s="6"/>
    </row>
    <row r="1168">
      <c r="A1168" s="31"/>
      <c r="B1168" s="14" t="str">
        <f>IFERROR(__xludf.DUMMYFUNCTION("""COMPUTED_VALUE"""),"РЕН-27")</f>
        <v>РЕН-27</v>
      </c>
      <c r="C1168" s="14"/>
      <c r="D1168" s="6"/>
      <c r="E1168" s="14" t="str">
        <f>IFERROR(__xludf.DUMMYFUNCTION("""COMPUTED_VALUE""")," г. Москва, внутригородское муниципальное образование Ярославское, улица Проходчиков, земельный участок 3 (улица Проходчиков, вл.3)")</f>
        <v> г. Москва, внутригородское муниципальное образование Ярославское, улица Проходчиков, земельный участок 3 (улица Проходчиков, вл.3)</v>
      </c>
      <c r="F1168" s="25" t="str">
        <f>IFERROR(__xludf.DUMMYFUNCTION("""COMPUTED_VALUE"""),"#N/A")</f>
        <v>#N/A</v>
      </c>
      <c r="G1168" s="6" t="str">
        <f>IFERROR(__xludf.DUMMYFUNCTION("""COMPUTED_VALUE"""),"#N/A")</f>
        <v>#N/A</v>
      </c>
      <c r="H1168" s="6"/>
      <c r="I1168" s="19"/>
      <c r="J1168" s="50"/>
      <c r="K1168" s="58"/>
      <c r="L1168" s="6" t="s">
        <v>655</v>
      </c>
      <c r="M1168" s="52" t="s">
        <v>655</v>
      </c>
      <c r="N1168" s="53" t="s">
        <v>655</v>
      </c>
      <c r="O1168" s="19"/>
      <c r="P1168" s="6"/>
      <c r="Q1168" s="6"/>
      <c r="R1168" s="6"/>
    </row>
    <row r="1169">
      <c r="A1169" s="31"/>
      <c r="B1169" s="14" t="str">
        <f>IFERROR(__xludf.DUMMYFUNCTION("""COMPUTED_VALUE"""),"РЕН-27")</f>
        <v>РЕН-27</v>
      </c>
      <c r="C1169" s="14"/>
      <c r="D1169" s="6"/>
      <c r="E1169" s="14" t="str">
        <f>IFERROR(__xludf.DUMMYFUNCTION("""COMPUTED_VALUE""")," внутригородское муниципальное образование Перово, земельный участок 38/1")</f>
        <v> внутригородское муниципальное образование Перово, земельный участок 38/1</v>
      </c>
      <c r="F1169" s="25" t="str">
        <f>IFERROR(__xludf.DUMMYFUNCTION("""COMPUTED_VALUE"""),"#N/A")</f>
        <v>#N/A</v>
      </c>
      <c r="G1169" s="6" t="str">
        <f>IFERROR(__xludf.DUMMYFUNCTION("""COMPUTED_VALUE"""),"#N/A")</f>
        <v>#N/A</v>
      </c>
      <c r="H1169" s="6"/>
      <c r="I1169" s="19"/>
      <c r="J1169" s="50"/>
      <c r="K1169" s="58"/>
      <c r="L1169" s="6" t="s">
        <v>655</v>
      </c>
      <c r="M1169" s="52" t="s">
        <v>655</v>
      </c>
      <c r="N1169" s="53" t="s">
        <v>655</v>
      </c>
      <c r="O1169" s="19"/>
      <c r="P1169" s="6"/>
      <c r="Q1169" s="6"/>
      <c r="R1169" s="6"/>
    </row>
    <row r="1170">
      <c r="A1170" s="31"/>
      <c r="B1170" s="14" t="str">
        <f>IFERROR(__xludf.DUMMYFUNCTION("""COMPUTED_VALUE"""),"РЕН-27")</f>
        <v>РЕН-27</v>
      </c>
      <c r="C1170" s="14"/>
      <c r="D1170" s="6"/>
      <c r="E1170" s="14" t="str">
        <f>IFERROR(__xludf.DUMMYFUNCTION("""COMPUTED_VALUE""")," район Гольяново, мкр. 1-2, зона 2.1")</f>
        <v> район Гольяново, мкр. 1-2, зона 2.1</v>
      </c>
      <c r="F1170" s="25" t="str">
        <f>IFERROR(__xludf.DUMMYFUNCTION("""COMPUTED_VALUE"""),"#N/A")</f>
        <v>#N/A</v>
      </c>
      <c r="G1170" s="6" t="str">
        <f>IFERROR(__xludf.DUMMYFUNCTION("""COMPUTED_VALUE"""),"#N/A")</f>
        <v>#N/A</v>
      </c>
      <c r="H1170" s="6"/>
      <c r="I1170" s="19"/>
      <c r="J1170" s="50"/>
      <c r="K1170" s="58"/>
      <c r="L1170" s="6" t="s">
        <v>655</v>
      </c>
      <c r="M1170" s="52" t="s">
        <v>655</v>
      </c>
      <c r="N1170" s="53" t="s">
        <v>655</v>
      </c>
      <c r="O1170" s="19"/>
      <c r="P1170" s="6"/>
      <c r="Q1170" s="6"/>
      <c r="R1170" s="6"/>
    </row>
    <row r="1171">
      <c r="A1171" s="31"/>
      <c r="B1171" s="14" t="str">
        <f>IFERROR(__xludf.DUMMYFUNCTION("""COMPUTED_VALUE"""),"РЕН-27")</f>
        <v>РЕН-27</v>
      </c>
      <c r="C1171" s="14"/>
      <c r="D1171" s="6"/>
      <c r="E1171" s="14" t="str">
        <f>IFERROR(__xludf.DUMMYFUNCTION("""COMPUTED_VALUE""")," район Гольяново, мкр. 1-2, зона 2.2")</f>
        <v> район Гольяново, мкр. 1-2, зона 2.2</v>
      </c>
      <c r="F1171" s="25" t="str">
        <f>IFERROR(__xludf.DUMMYFUNCTION("""COMPUTED_VALUE"""),"#N/A")</f>
        <v>#N/A</v>
      </c>
      <c r="G1171" s="6" t="str">
        <f>IFERROR(__xludf.DUMMYFUNCTION("""COMPUTED_VALUE"""),"#N/A")</f>
        <v>#N/A</v>
      </c>
      <c r="H1171" s="6"/>
      <c r="I1171" s="19"/>
      <c r="J1171" s="50"/>
      <c r="K1171" s="58"/>
      <c r="L1171" s="6" t="s">
        <v>655</v>
      </c>
      <c r="M1171" s="52" t="s">
        <v>655</v>
      </c>
      <c r="N1171" s="53" t="s">
        <v>655</v>
      </c>
      <c r="O1171" s="19"/>
      <c r="P1171" s="6"/>
      <c r="Q1171" s="6"/>
      <c r="R1171" s="6"/>
    </row>
    <row r="1172">
      <c r="A1172" s="31"/>
      <c r="B1172" s="14" t="str">
        <f>IFERROR(__xludf.DUMMYFUNCTION("""COMPUTED_VALUE"""),"РЕН-27")</f>
        <v>РЕН-27</v>
      </c>
      <c r="C1172" s="14"/>
      <c r="D1172" s="6"/>
      <c r="E1172" s="14" t="str">
        <f>IFERROR(__xludf.DUMMYFUNCTION("""COMPUTED_VALUE""")," район Гольяново, мкр. 1-2, зона 3.1")</f>
        <v> район Гольяново, мкр. 1-2, зона 3.1</v>
      </c>
      <c r="F1172" s="25" t="str">
        <f>IFERROR(__xludf.DUMMYFUNCTION("""COMPUTED_VALUE"""),"#N/A")</f>
        <v>#N/A</v>
      </c>
      <c r="G1172" s="6" t="str">
        <f>IFERROR(__xludf.DUMMYFUNCTION("""COMPUTED_VALUE"""),"#N/A")</f>
        <v>#N/A</v>
      </c>
      <c r="H1172" s="6"/>
      <c r="I1172" s="19"/>
      <c r="J1172" s="50"/>
      <c r="K1172" s="58"/>
      <c r="L1172" s="6" t="s">
        <v>655</v>
      </c>
      <c r="M1172" s="52" t="s">
        <v>655</v>
      </c>
      <c r="N1172" s="53" t="s">
        <v>655</v>
      </c>
      <c r="O1172" s="19"/>
      <c r="P1172" s="6"/>
      <c r="Q1172" s="6"/>
      <c r="R1172" s="6"/>
    </row>
    <row r="1173">
      <c r="A1173" s="31"/>
      <c r="B1173" s="14" t="str">
        <f>IFERROR(__xludf.DUMMYFUNCTION("""COMPUTED_VALUE"""),"РЕН-27")</f>
        <v>РЕН-27</v>
      </c>
      <c r="C1173" s="14"/>
      <c r="D1173" s="6"/>
      <c r="E1173" s="14" t="str">
        <f>IFERROR(__xludf.DUMMYFUNCTION("""COMPUTED_VALUE""")," район Гольяново, мкр. 1-2, зона 3.2")</f>
        <v> район Гольяново, мкр. 1-2, зона 3.2</v>
      </c>
      <c r="F1173" s="25" t="str">
        <f>IFERROR(__xludf.DUMMYFUNCTION("""COMPUTED_VALUE"""),"#N/A")</f>
        <v>#N/A</v>
      </c>
      <c r="G1173" s="6" t="str">
        <f>IFERROR(__xludf.DUMMYFUNCTION("""COMPUTED_VALUE"""),"#N/A")</f>
        <v>#N/A</v>
      </c>
      <c r="H1173" s="6"/>
      <c r="I1173" s="19"/>
      <c r="J1173" s="50"/>
      <c r="K1173" s="58"/>
      <c r="L1173" s="6" t="s">
        <v>655</v>
      </c>
      <c r="M1173" s="52" t="s">
        <v>655</v>
      </c>
      <c r="N1173" s="53" t="s">
        <v>655</v>
      </c>
      <c r="O1173" s="19"/>
      <c r="P1173" s="6"/>
      <c r="Q1173" s="6"/>
      <c r="R1173" s="6"/>
    </row>
    <row r="1174">
      <c r="A1174" s="31"/>
      <c r="B1174" s="14" t="str">
        <f>IFERROR(__xludf.DUMMYFUNCTION("""COMPUTED_VALUE"""),"РЕН-27")</f>
        <v>РЕН-27</v>
      </c>
      <c r="C1174" s="14" t="str">
        <f>IFERROR(__xludf.DUMMYFUNCTION("""COMPUTED_VALUE"""),"ОКС")</f>
        <v>ОКС</v>
      </c>
      <c r="D1174" s="6"/>
      <c r="E1174" s="14" t="str">
        <f>IFERROR(__xludf.DUMMYFUNCTION("""COMPUTED_VALUE"""),"Жилой дом с подземной автостоянкой с инженерными сетями и благоустройством территории по адресу: район Гольяново, мкр. 1-2, зона 3.4 Гольяново, мкр. 1-2, зона 3.4 Амурская ЗУ 52")</f>
        <v>Жилой дом с подземной автостоянкой с инженерными сетями и благоустройством территории по адресу: район Гольяново, мкр. 1-2, зона 3.4 Гольяново, мкр. 1-2, зона 3.4 Амурская ЗУ 52</v>
      </c>
      <c r="F1174" s="25" t="str">
        <f>IFERROR(__xludf.DUMMYFUNCTION("""COMPUTED_VALUE"""),"#N/A")</f>
        <v>#N/A</v>
      </c>
      <c r="G1174" s="6" t="str">
        <f>IFERROR(__xludf.DUMMYFUNCTION("""COMPUTED_VALUE"""),"#N/A")</f>
        <v>#N/A</v>
      </c>
      <c r="H1174" s="6"/>
      <c r="I1174" s="19"/>
      <c r="J1174" s="50"/>
      <c r="K1174" s="58"/>
      <c r="L1174" s="6" t="s">
        <v>655</v>
      </c>
      <c r="M1174" s="52" t="s">
        <v>655</v>
      </c>
      <c r="N1174" s="53" t="s">
        <v>655</v>
      </c>
      <c r="O1174" s="19" t="s">
        <v>1255</v>
      </c>
      <c r="P1174" s="6"/>
      <c r="Q1174" s="6"/>
      <c r="R1174" s="6"/>
    </row>
    <row r="1175">
      <c r="A1175" s="31"/>
      <c r="B1175" s="14" t="str">
        <f>IFERROR(__xludf.DUMMYFUNCTION("""COMPUTED_VALUE"""),"РЕН-27")</f>
        <v>РЕН-27</v>
      </c>
      <c r="C1175" s="14" t="str">
        <f>IFERROR(__xludf.DUMMYFUNCTION("""COMPUTED_VALUE"""),"ОКС")</f>
        <v>ОКС</v>
      </c>
      <c r="D1175" s="6"/>
      <c r="E1175" s="14" t="str">
        <f>IFERROR(__xludf.DUMMYFUNCTION("""COMPUTED_VALUE"""),"Жилой дом с инженерными сетями и благоустройством территории, ЦАО, район Мещанский, Дурова ул., вл. 3 ул. Дурова, вл.3")</f>
        <v>Жилой дом с инженерными сетями и благоустройством территории, ЦАО, район Мещанский, Дурова ул., вл. 3 ул. Дурова, вл.3</v>
      </c>
      <c r="F1175" s="25" t="str">
        <f>IFERROR(__xludf.DUMMYFUNCTION("""COMPUTED_VALUE"""),"#N/A")</f>
        <v>#N/A</v>
      </c>
      <c r="G1175" s="6" t="str">
        <f>IFERROR(__xludf.DUMMYFUNCTION("""COMPUTED_VALUE"""),"#N/A")</f>
        <v>#N/A</v>
      </c>
      <c r="H1175" s="6"/>
      <c r="I1175" s="19"/>
      <c r="J1175" s="50"/>
      <c r="K1175" s="58"/>
      <c r="L1175" s="6" t="s">
        <v>655</v>
      </c>
      <c r="M1175" s="52" t="s">
        <v>655</v>
      </c>
      <c r="N1175" s="53" t="s">
        <v>655</v>
      </c>
      <c r="O1175" s="19"/>
      <c r="P1175" s="6"/>
      <c r="Q1175" s="6"/>
      <c r="R1175" s="6"/>
    </row>
    <row r="1176">
      <c r="A1176" s="31"/>
      <c r="B1176" s="14" t="str">
        <f>IFERROR(__xludf.DUMMYFUNCTION("""COMPUTED_VALUE"""),"РЕН-27")</f>
        <v>РЕН-27</v>
      </c>
      <c r="C1176" s="14" t="str">
        <f>IFERROR(__xludf.DUMMYFUNCTION("""COMPUTED_VALUE"""),"ОКС")</f>
        <v>ОКС</v>
      </c>
      <c r="D1176" s="6"/>
      <c r="E1176" s="14" t="str">
        <f>IFERROR(__xludf.DUMMYFUNCTION("""COMPUTED_VALUE"""),"Жилой дом с инженерными сетями и благоустройством территории» по адресу: г. Москва, район Коммунарка, Адмирала Корнилова ул., вл. 14, корп. 1 (Новомосковский административный округ города Москвы) поселение Мосрентген, Адмирала Корнилова ул., вл. 14, корп."&amp;" 1")</f>
        <v>Жилой дом с инженерными сетями и благоустройством территории» по адресу: г. Москва, район Коммунарка, Адмирала Корнилова ул., вл. 14, корп. 1 (Новомосковский административный округ города Москвы) поселение Мосрентген, Адмирала Корнилова ул., вл. 14, корп. 1</v>
      </c>
      <c r="F1176" s="25" t="str">
        <f>IFERROR(__xludf.DUMMYFUNCTION("""COMPUTED_VALUE"""),"#N/A")</f>
        <v>#N/A</v>
      </c>
      <c r="G1176" s="6" t="str">
        <f>IFERROR(__xludf.DUMMYFUNCTION("""COMPUTED_VALUE"""),"#N/A")</f>
        <v>#N/A</v>
      </c>
      <c r="H1176" s="6"/>
      <c r="I1176" s="19"/>
      <c r="J1176" s="50"/>
      <c r="K1176" s="58"/>
      <c r="L1176" s="6" t="s">
        <v>655</v>
      </c>
      <c r="M1176" s="52" t="s">
        <v>655</v>
      </c>
      <c r="N1176" s="53" t="s">
        <v>655</v>
      </c>
      <c r="O1176" s="19" t="s">
        <v>1256</v>
      </c>
      <c r="P1176" s="6"/>
      <c r="Q1176" s="6"/>
      <c r="R1176" s="6"/>
    </row>
    <row r="1177">
      <c r="A1177" s="31" t="str">
        <f>IFERROR(__xludf.DUMMYFUNCTION("""COMPUTED_VALUE"""),"1029")</f>
        <v>1029</v>
      </c>
      <c r="B1177" s="14" t="str">
        <f>IFERROR(__xludf.DUMMYFUNCTION("""COMPUTED_VALUE"""),"РЕН-25")</f>
        <v>РЕН-25</v>
      </c>
      <c r="C1177" s="14" t="str">
        <f>IFERROR(__xludf.DUMMYFUNCTION("""COMPUTED_VALUE"""),"ОКС")</f>
        <v>ОКС</v>
      </c>
      <c r="D1177" s="6"/>
      <c r="E1177" s="14" t="str">
        <f>IFERROR(__xludf.DUMMYFUNCTION("""COMPUTED_VALUE"""),"Осмотр «стартового» жилого дома в рамках реализации Программы реновации: СЗАО, р-н Покровское-Стрешнево, Николая Озерова ул., д. 2, к. 1, к. 2   р-н Покровское-Стрешнево, Николая Озерова ул., д. 2, к. 1, к. 2 ")</f>
        <v>Осмотр «стартового» жилого дома в рамках реализации Программы реновации: СЗАО, р-н Покровское-Стрешнево, Николая Озерова ул., д. 2, к. 1, к. 2   р-н Покровское-Стрешнево, Николая Озерова ул., д. 2, к. 1, к. 2 </v>
      </c>
      <c r="F1177" s="25" t="str">
        <f>IFERROR(__xludf.DUMMYFUNCTION("""COMPUTED_VALUE"""),"#N/A")</f>
        <v>#N/A</v>
      </c>
      <c r="G1177" s="6" t="str">
        <f>IFERROR(__xludf.DUMMYFUNCTION("""COMPUTED_VALUE"""),"#N/A")</f>
        <v>#N/A</v>
      </c>
      <c r="H1177" s="18" t="str">
        <f>IFERROR(__xludf.DUMMYFUNCTION("""COMPUTED_VALUE"""),"https://docs.google.com/spreadsheets/d/1H1MjbG2y0oC0hhID4do1G0_gfyI1jag72lQd7nL3WDQ/edit?gid=1897641801#gid=1897641801")</f>
        <v>https://docs.google.com/spreadsheets/d/1H1MjbG2y0oC0hhID4do1G0_gfyI1jag72lQd7nL3WDQ/edit?gid=1897641801#gid=1897641801</v>
      </c>
      <c r="I1177" s="19" t="str">
        <f>IFERROR(__xludf.DUMMYFUNCTION("""COMPUTED_VALUE"""),"https://disk.yandex.ru/client/disk/Осмотры%20объектов%20АНО%20СМГ/1029%20Николая%20Озерова%20ул.%2C%20д.%202%2C%20к.%201%2C%20к.%202")</f>
        <v>https://disk.yandex.ru/client/disk/Осмотры%20объектов%20АНО%20СМГ/1029%20Николая%20Озерова%20ул.%2C%20д.%202%2C%20к.%201%2C%20к.%202</v>
      </c>
      <c r="J1177" s="50">
        <f>IFERROR(__xludf.DUMMYFUNCTION("""COMPUTED_VALUE"""),100.0)</f>
        <v>100</v>
      </c>
      <c r="K1177" s="58">
        <f>IFERROR(__xludf.DUMMYFUNCTION("""COMPUTED_VALUE"""),45828.0)</f>
        <v>45828</v>
      </c>
      <c r="L1177" s="6" t="s">
        <v>654</v>
      </c>
      <c r="M1177" s="52" t="s">
        <v>655</v>
      </c>
      <c r="N1177" s="53" t="s">
        <v>656</v>
      </c>
      <c r="O1177" s="19" t="s">
        <v>1257</v>
      </c>
      <c r="P1177" s="6"/>
      <c r="Q1177" s="6"/>
      <c r="R1177" s="6"/>
    </row>
    <row r="1178">
      <c r="A1178" s="31" t="str">
        <f>IFERROR(__xludf.DUMMYFUNCTION("""COMPUTED_VALUE"""),"345")</f>
        <v>345</v>
      </c>
      <c r="B1178" s="14" t="str">
        <f>IFERROR(__xludf.DUMMYFUNCTION("""COMPUTED_VALUE"""),"ВНЕ СПИСКА")</f>
        <v>ВНЕ СПИСКА</v>
      </c>
      <c r="C1178" s="14" t="str">
        <f>IFERROR(__xludf.DUMMYFUNCTION("""COMPUTED_VALUE"""),"ОКС")</f>
        <v>ОКС</v>
      </c>
      <c r="D1178" s="6" t="str">
        <f>IFERROR(__xludf.DUMMYFUNCTION("""COMPUTED_VALUE"""),"да")</f>
        <v>да</v>
      </c>
      <c r="E1178" s="14" t="str">
        <f>IFERROR(__xludf.DUMMYFUNCTION("""COMPUTED_VALUE"""),"Школа на 650 мест, СВАО, район Марьина Роща район Марьина Роща, Складочная ул.")</f>
        <v>Школа на 650 мест, СВАО, район Марьина Роща район Марьина Роща, Складочная ул.</v>
      </c>
      <c r="F1178" s="25" t="str">
        <f>IFERROR(__xludf.DUMMYFUNCTION("""COMPUTED_VALUE"""),"55.802522")</f>
        <v>55.802522</v>
      </c>
      <c r="G1178" s="6" t="str">
        <f>IFERROR(__xludf.DUMMYFUNCTION("""COMPUTED_VALUE"""),"37.597627")</f>
        <v>37.597627</v>
      </c>
      <c r="H1178" s="18" t="str">
        <f>IFERROR(__xludf.DUMMYFUNCTION("""COMPUTED_VALUE"""),"https://docs.google.com/spreadsheets/d/1EI7qusa674eJhuaw-nWWtWMEHVSYMQv7HLsInEZTWpE/edit?gid=1475893528#gid=1475893528")</f>
        <v>https://docs.google.com/spreadsheets/d/1EI7qusa674eJhuaw-nWWtWMEHVSYMQv7HLsInEZTWpE/edit?gid=1475893528#gid=1475893528</v>
      </c>
      <c r="I1178" s="19" t="str">
        <f>IFERROR(__xludf.DUMMYFUNCTION("""COMPUTED_VALUE"""),"https://disk.yandex.ru/client/disk/Осмотры%20объектов%20АНО%20СМГ/345%20Школа%20на%20650%20мест%2C%20ул.%20Складочная")</f>
        <v>https://disk.yandex.ru/client/disk/Осмотры%20объектов%20АНО%20СМГ/345%20Школа%20на%20650%20мест%2C%20ул.%20Складочная</v>
      </c>
      <c r="J1178" s="50">
        <f>IFERROR(__xludf.DUMMYFUNCTION("""COMPUTED_VALUE"""),93.13025750000001)</f>
        <v>93.1302575</v>
      </c>
      <c r="K1178" s="58">
        <f>IFERROR(__xludf.DUMMYFUNCTION("""COMPUTED_VALUE"""),45958.0)</f>
        <v>45958</v>
      </c>
      <c r="L1178" s="6">
        <v>14.0</v>
      </c>
      <c r="M1178" s="52">
        <v>45972.0</v>
      </c>
      <c r="N1178" s="53" t="s">
        <v>668</v>
      </c>
      <c r="O1178" s="19" t="s">
        <v>1258</v>
      </c>
      <c r="P1178" s="6"/>
      <c r="Q1178" s="6"/>
      <c r="R1178" s="6"/>
    </row>
    <row r="1179">
      <c r="A1179" s="31" t="str">
        <f>IFERROR(__xludf.DUMMYFUNCTION("""COMPUTED_VALUE"""),"390")</f>
        <v>390</v>
      </c>
      <c r="B1179" s="14" t="str">
        <f>IFERROR(__xludf.DUMMYFUNCTION("""COMPUTED_VALUE"""),"РЕН-25")</f>
        <v>РЕН-25</v>
      </c>
      <c r="C1179" s="14" t="str">
        <f>IFERROR(__xludf.DUMMYFUNCTION("""COMPUTED_VALUE"""),"ОКС")</f>
        <v>ОКС</v>
      </c>
      <c r="D1179" s="6"/>
      <c r="E1179" s="14" t="str">
        <f>IFERROR(__xludf.DUMMYFUNCTION("""COMPUTED_VALUE"""),"Демьяна Бедного ул., вл. 17, корп. 2 район Хорошево-Мневники, ул. Демьяна Бедного, вл. 17, корп. 2, мкр. 80, зона№2.1")</f>
        <v>Демьяна Бедного ул., вл. 17, корп. 2 район Хорошево-Мневники, ул. Демьяна Бедного, вл. 17, корп. 2, мкр. 80, зона№2.1</v>
      </c>
      <c r="F1179" s="25" t="str">
        <f>IFERROR(__xludf.DUMMYFUNCTION("""COMPUTED_VALUE"""),"#N/A")</f>
        <v>#N/A</v>
      </c>
      <c r="G1179" s="6" t="str">
        <f>IFERROR(__xludf.DUMMYFUNCTION("""COMPUTED_VALUE"""),"#N/A")</f>
        <v>#N/A</v>
      </c>
      <c r="H1179" s="18" t="str">
        <f>IFERROR(__xludf.DUMMYFUNCTION("""COMPUTED_VALUE"""),"https://docs.google.com/spreadsheets/d/1H1MjbG2y0oC0hhID4do1G0_gfyI1jag72lQd7nL3WDQ/edit?gid=2140039738#gid=2140039738")</f>
        <v>https://docs.google.com/spreadsheets/d/1H1MjbG2y0oC0hhID4do1G0_gfyI1jag72lQd7nL3WDQ/edit?gid=2140039738#gid=2140039738</v>
      </c>
      <c r="I1179" s="19" t="str">
        <f>IFERROR(__xludf.DUMMYFUNCTION("""COMPUTED_VALUE"""),"https://disk.yandex.ru/client/disk/Осмотры%20объектов%20АНО%20СМГ/390.%20Дом%20ул.%20Демьяна%20Бедного%20вл17")</f>
        <v>https://disk.yandex.ru/client/disk/Осмотры%20объектов%20АНО%20СМГ/390.%20Дом%20ул.%20Демьяна%20Бедного%20вл17</v>
      </c>
      <c r="J1179" s="50">
        <f>IFERROR(__xludf.DUMMYFUNCTION("""COMPUTED_VALUE"""),99.94099)</f>
        <v>99.94099</v>
      </c>
      <c r="K1179" s="58">
        <f>IFERROR(__xludf.DUMMYFUNCTION("""COMPUTED_VALUE"""),45852.0)</f>
        <v>45852</v>
      </c>
      <c r="L1179" s="6">
        <v>7.0</v>
      </c>
      <c r="M1179" s="52">
        <v>45859.0</v>
      </c>
      <c r="N1179" s="53" t="s">
        <v>652</v>
      </c>
      <c r="O1179" s="19" t="s">
        <v>1259</v>
      </c>
      <c r="P1179" s="6"/>
      <c r="Q1179" s="6"/>
      <c r="R1179" s="6"/>
    </row>
    <row r="1180">
      <c r="A1180" s="31" t="str">
        <f>IFERROR(__xludf.DUMMYFUNCTION("""COMPUTED_VALUE"""),"384")</f>
        <v>384</v>
      </c>
      <c r="B1180" s="14" t="str">
        <f>IFERROR(__xludf.DUMMYFUNCTION("""COMPUTED_VALUE"""),"ВНЕ СПИСКА")</f>
        <v>ВНЕ СПИСКА</v>
      </c>
      <c r="C1180" s="14" t="str">
        <f>IFERROR(__xludf.DUMMYFUNCTION("""COMPUTED_VALUE"""),"ОКС")</f>
        <v>ОКС</v>
      </c>
      <c r="D1180" s="6"/>
      <c r="E1180" s="14" t="str">
        <f>IFERROR(__xludf.DUMMYFUNCTION("""COMPUTED_VALUE"""),"Осмотр «стартового» жилого дома в рамках реализации Программы реновации: ЦАО, р-н Басманный, Посланников пер., д. 6   р-н Басманный, Посланников пер., д. 6 ")</f>
        <v>Осмотр «стартового» жилого дома в рамках реализации Программы реновации: ЦАО, р-н Басманный, Посланников пер., д. 6   р-н Басманный, Посланников пер., д. 6 </v>
      </c>
      <c r="F1180" s="25" t="str">
        <f>IFERROR(__xludf.DUMMYFUNCTION("""COMPUTED_VALUE"""),"#N/A")</f>
        <v>#N/A</v>
      </c>
      <c r="G1180" s="6" t="str">
        <f>IFERROR(__xludf.DUMMYFUNCTION("""COMPUTED_VALUE"""),"#N/A")</f>
        <v>#N/A</v>
      </c>
      <c r="H1180" s="18" t="str">
        <f>IFERROR(__xludf.DUMMYFUNCTION("""COMPUTED_VALUE"""),"https://docs.google.com/spreadsheets/d/1EI7qusa674eJhuaw-nWWtWMEHVSYMQv7HLsInEZTWpE/edit?gid=646496469#gid=646496469")</f>
        <v>https://docs.google.com/spreadsheets/d/1EI7qusa674eJhuaw-nWWtWMEHVSYMQv7HLsInEZTWpE/edit?gid=646496469#gid=646496469</v>
      </c>
      <c r="I1180" s="19" t="str">
        <f>IFERROR(__xludf.DUMMYFUNCTION("""COMPUTED_VALUE"""),"https://disk.yandex.ru/client/disk/Осмотры%20объектов%20АНО%20СМГ/384.%20Посланников%20переулок%20влд.%2018")</f>
        <v>https://disk.yandex.ru/client/disk/Осмотры%20объектов%20АНО%20СМГ/384.%20Посланников%20переулок%20влд.%2018</v>
      </c>
      <c r="J1180" s="50">
        <f>IFERROR(__xludf.DUMMYFUNCTION("""COMPUTED_VALUE"""),99.898625)</f>
        <v>99.898625</v>
      </c>
      <c r="K1180" s="58">
        <f>IFERROR(__xludf.DUMMYFUNCTION("""COMPUTED_VALUE"""),45839.0)</f>
        <v>45839</v>
      </c>
      <c r="L1180" s="6">
        <v>7.0</v>
      </c>
      <c r="M1180" s="52">
        <v>45846.0</v>
      </c>
      <c r="N1180" s="53" t="s">
        <v>652</v>
      </c>
      <c r="O1180" s="19" t="s">
        <v>1260</v>
      </c>
      <c r="P1180" s="6"/>
      <c r="Q1180" s="6"/>
      <c r="R1180" s="6"/>
    </row>
    <row r="1181">
      <c r="A1181" s="31" t="str">
        <f>IFERROR(__xludf.DUMMYFUNCTION("""COMPUTED_VALUE"""),"1139д (этап 1)")</f>
        <v>1139д (этап 1)</v>
      </c>
      <c r="B1181" s="14" t="str">
        <f>IFERROR(__xludf.DUMMYFUNCTION("""COMPUTED_VALUE"""),"АИП-25")</f>
        <v>АИП-25</v>
      </c>
      <c r="C1181" s="14" t="str">
        <f>IFERROR(__xludf.DUMMYFUNCTION("""COMPUTED_VALUE"""),"УДС")</f>
        <v>УДС</v>
      </c>
      <c r="D1181" s="6"/>
      <c r="E1181" s="14" t="str">
        <f>IFERROR(__xludf.DUMMYFUNCTION("""COMPUTED_VALUE"""),"«Реконструкция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промыш"&amp;"ленных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1 г.Москва, ул.Угрешская, д.22")</f>
        <v>«Реконструкция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1 г.Москва, ул.Угрешская, д.22</v>
      </c>
      <c r="F1181" s="25" t="str">
        <f>IFERROR(__xludf.DUMMYFUNCTION("""COMPUTED_VALUE"""),"#N/A")</f>
        <v>#N/A</v>
      </c>
      <c r="G1181" s="6" t="str">
        <f>IFERROR(__xludf.DUMMYFUNCTION("""COMPUTED_VALUE"""),"#N/A")</f>
        <v>#N/A</v>
      </c>
      <c r="H1181" s="6"/>
      <c r="I1181" s="19" t="str">
        <f>IFERROR(__xludf.DUMMYFUNCTION("""COMPUTED_VALUE"""),"https://disk.yandex.ru/client/disk/Осмотры%20объектов%20АНО%20СМГ/1139%20%20Угрешские%20очистные%20сооружения%20Угрешская%2022")</f>
        <v>https://disk.yandex.ru/client/disk/Осмотры%20объектов%20АНО%20СМГ/1139%20%20Угрешские%20очистные%20сооружения%20Угрешская%2022</v>
      </c>
      <c r="J1181" s="50">
        <f>IFERROR(__xludf.DUMMYFUNCTION("""COMPUTED_VALUE"""),93.763)</f>
        <v>93.763</v>
      </c>
      <c r="K1181" s="58">
        <f>IFERROR(__xludf.DUMMYFUNCTION("""COMPUTED_VALUE"""),45887.0)</f>
        <v>45887</v>
      </c>
      <c r="L1181" s="6">
        <v>14.0</v>
      </c>
      <c r="M1181" s="52">
        <v>45901.0</v>
      </c>
      <c r="N1181" s="53" t="s">
        <v>668</v>
      </c>
      <c r="O1181" s="19"/>
      <c r="P1181" s="6"/>
      <c r="Q1181" s="6"/>
      <c r="R1181" s="6"/>
    </row>
    <row r="1182">
      <c r="A1182" s="31" t="str">
        <f>IFERROR(__xludf.DUMMYFUNCTION("""COMPUTED_VALUE"""),"1139д (этап 2)")</f>
        <v>1139д (этап 2)</v>
      </c>
      <c r="B1182" s="14" t="str">
        <f>IFERROR(__xludf.DUMMYFUNCTION("""COMPUTED_VALUE"""),"АИП-25")</f>
        <v>АИП-25</v>
      </c>
      <c r="C1182" s="14" t="str">
        <f>IFERROR(__xludf.DUMMYFUNCTION("""COMPUTED_VALUE"""),"УДС")</f>
        <v>УДС</v>
      </c>
      <c r="D1182" s="6"/>
      <c r="E1182" s="14" t="str">
        <f>IFERROR(__xludf.DUMMYFUNCTION("""COMPUTED_VALUE"""),"«Реконструкция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промыш"&amp;"ленных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2 г.Москва, ул.Угрешская, д.22")</f>
        <v>«Реконструкция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2 г.Москва, ул.Угрешская, д.22</v>
      </c>
      <c r="F1182" s="25" t="str">
        <f>IFERROR(__xludf.DUMMYFUNCTION("""COMPUTED_VALUE"""),"#N/A")</f>
        <v>#N/A</v>
      </c>
      <c r="G1182" s="6" t="str">
        <f>IFERROR(__xludf.DUMMYFUNCTION("""COMPUTED_VALUE"""),"#N/A")</f>
        <v>#N/A</v>
      </c>
      <c r="H1182" s="6"/>
      <c r="I1182" s="6" t="str">
        <f>IFERROR(__xludf.DUMMYFUNCTION("""COMPUTED_VALUE"""),"https://disk.yandex.ru/client/disk/Осмотры%20объектов%20АНО%20СМГ/1139%20%20Угрешские%20очистные%20сооружения%20Угрешская%2022")</f>
        <v>https://disk.yandex.ru/client/disk/Осмотры%20объектов%20АНО%20СМГ/1139%20%20Угрешские%20очистные%20сооружения%20Угрешская%2022</v>
      </c>
      <c r="J1182" s="50">
        <f>IFERROR(__xludf.DUMMYFUNCTION("""COMPUTED_VALUE"""),93.1845)</f>
        <v>93.1845</v>
      </c>
      <c r="K1182" s="58">
        <f>IFERROR(__xludf.DUMMYFUNCTION("""COMPUTED_VALUE"""),45954.0)</f>
        <v>45954</v>
      </c>
      <c r="L1182" s="6">
        <v>14.0</v>
      </c>
      <c r="M1182" s="52">
        <v>45968.0</v>
      </c>
      <c r="N1182" s="53" t="s">
        <v>668</v>
      </c>
      <c r="O1182" s="6"/>
      <c r="P1182" s="6"/>
      <c r="Q1182" s="6"/>
      <c r="R1182" s="6"/>
    </row>
    <row r="1183">
      <c r="A1183" s="31" t="str">
        <f>IFERROR(__xludf.DUMMYFUNCTION("""COMPUTED_VALUE"""),"1175")</f>
        <v>1175</v>
      </c>
      <c r="B1183" s="14" t="str">
        <f>IFERROR(__xludf.DUMMYFUNCTION("""COMPUTED_VALUE"""),"ВНЕ СПИСКА")</f>
        <v>ВНЕ СПИСКА</v>
      </c>
      <c r="C1183" s="14" t="str">
        <f>IFERROR(__xludf.DUMMYFUNCTION("""COMPUTED_VALUE"""),"ОКС")</f>
        <v>ОКС</v>
      </c>
      <c r="D1183" s="6" t="str">
        <f>IFERROR(__xludf.DUMMYFUNCTION("""COMPUTED_VALUE"""),"да")</f>
        <v>да</v>
      </c>
      <c r="E1183" s="14" t="str">
        <f>IFERROR(__xludf.DUMMYFUNCTION("""COMPUTED_VALUE"""),"ДОО на 150 ул. Чоботовская, д.2, стр.5")</f>
        <v>ДОО на 150 ул. Чоботовская, д.2, стр.5</v>
      </c>
      <c r="F1183" s="25" t="str">
        <f>IFERROR(__xludf.DUMMYFUNCTION("""COMPUTED_VALUE"""),"55.644346")</f>
        <v>55.644346</v>
      </c>
      <c r="G1183" s="6" t="str">
        <f>IFERROR(__xludf.DUMMYFUNCTION("""COMPUTED_VALUE"""),"37.359357")</f>
        <v>37.359357</v>
      </c>
      <c r="H1183" s="18" t="str">
        <f>IFERROR(__xludf.DUMMYFUNCTION("""COMPUTED_VALUE"""),"https://docs.google.com/spreadsheets/d/1EI7qusa674eJhuaw-nWWtWMEHVSYMQv7HLsInEZTWpE/edit?gid=60135188#gid=60135188")</f>
        <v>https://docs.google.com/spreadsheets/d/1EI7qusa674eJhuaw-nWWtWMEHVSYMQv7HLsInEZTWpE/edit?gid=60135188#gid=60135188</v>
      </c>
      <c r="I1183" s="6" t="str">
        <f>IFERROR(__xludf.DUMMYFUNCTION("""COMPUTED_VALUE"""),"https://disk.yandex.ru/client/disk/Осмотры%20объектов%20АНО%20СМГ/1175.%20ДОО%20на%20150%20мест%20Чеботовская%20зу%202")</f>
        <v>https://disk.yandex.ru/client/disk/Осмотры%20объектов%20АНО%20СМГ/1175.%20ДОО%20на%20150%20мест%20Чеботовская%20зу%202</v>
      </c>
      <c r="J1183" s="50">
        <f>IFERROR(__xludf.DUMMYFUNCTION("""COMPUTED_VALUE"""),98.71074750000001)</f>
        <v>98.7107475</v>
      </c>
      <c r="K1183" s="58">
        <f>IFERROR(__xludf.DUMMYFUNCTION("""COMPUTED_VALUE"""),45972.0)</f>
        <v>45972</v>
      </c>
      <c r="L1183" s="6">
        <v>7.0</v>
      </c>
      <c r="M1183" s="52">
        <v>45979.0</v>
      </c>
      <c r="N1183" s="53" t="s">
        <v>692</v>
      </c>
      <c r="O1183" s="6" t="s">
        <v>1261</v>
      </c>
      <c r="P1183" s="6"/>
      <c r="Q1183" s="6"/>
      <c r="R1183" s="6"/>
    </row>
    <row r="1184">
      <c r="A1184" s="31" t="str">
        <f>IFERROR(__xludf.DUMMYFUNCTION("""COMPUTED_VALUE"""),"1178")</f>
        <v>1178</v>
      </c>
      <c r="B1184" s="14" t="str">
        <f>IFERROR(__xludf.DUMMYFUNCTION("""COMPUTED_VALUE"""),"ВНЕ СПИСКА")</f>
        <v>ВНЕ СПИСКА</v>
      </c>
      <c r="C1184" s="14" t="str">
        <f>IFERROR(__xludf.DUMMYFUNCTION("""COMPUTED_VALUE"""),"ОКС")</f>
        <v>ОКС</v>
      </c>
      <c r="D1184" s="6" t="str">
        <f>IFERROR(__xludf.DUMMYFUNCTION("""COMPUTED_VALUE"""),"да")</f>
        <v>да</v>
      </c>
      <c r="E1184" s="14" t="str">
        <f>IFERROR(__xludf.DUMMYFUNCTION("""COMPUTED_VALUE"""),"Общеобразовательная школа №1 на 850 мест Волоколамское шоссе уч. 71/14 (город Москва, вн. тер.г. муниципальный округ Покровское-Стрешнево, улица Николая Озерова, земельный участок 8)")</f>
        <v>Общеобразовательная школа №1 на 850 мест Волоколамское шоссе уч. 71/14 (город Москва, вн. тер.г. муниципальный округ Покровское-Стрешнево, улица Николая Озерова, земельный участок 8)</v>
      </c>
      <c r="F1184" s="25" t="str">
        <f>IFERROR(__xludf.DUMMYFUNCTION("""COMPUTED_VALUE"""),"55.81402855891889")</f>
        <v>55.81402855891889</v>
      </c>
      <c r="G1184" s="6" t="str">
        <f>IFERROR(__xludf.DUMMYFUNCTION("""COMPUTED_VALUE"""),"37.428749835997806")</f>
        <v>37.428749835997806</v>
      </c>
      <c r="H1184" s="18" t="str">
        <f>IFERROR(__xludf.DUMMYFUNCTION("""COMPUTED_VALUE"""),"https://docs.google.com/spreadsheets/d/1EI7qusa674eJhuaw-nWWtWMEHVSYMQv7HLsInEZTWpE/edit?gid=623093467#gid=623093467")</f>
        <v>https://docs.google.com/spreadsheets/d/1EI7qusa674eJhuaw-nWWtWMEHVSYMQv7HLsInEZTWpE/edit?gid=623093467#gid=623093467</v>
      </c>
      <c r="I1184" s="19" t="str">
        <f>IFERROR(__xludf.DUMMYFUNCTION("""COMPUTED_VALUE"""),"https://disk.yandex.ru/client/disk/Осмотры%20объектов%20АНО%20СМГ/1178%20Волоколамское%20шоссе%2C%20вл.%2071%2014%20Школа%20на%20850%20мест")</f>
        <v>https://disk.yandex.ru/client/disk/Осмотры%20объектов%20АНО%20СМГ/1178%20Волоколамское%20шоссе%2C%20вл.%2071%2014%20Школа%20на%20850%20мест</v>
      </c>
      <c r="J1184" s="50">
        <f>IFERROR(__xludf.DUMMYFUNCTION("""COMPUTED_VALUE"""),94.0851075)</f>
        <v>94.0851075</v>
      </c>
      <c r="K1184" s="58">
        <f>IFERROR(__xludf.DUMMYFUNCTION("""COMPUTED_VALUE"""),45974.0)</f>
        <v>45974</v>
      </c>
      <c r="L1184" s="6">
        <v>7.0</v>
      </c>
      <c r="M1184" s="52">
        <v>45981.0</v>
      </c>
      <c r="N1184" s="53" t="s">
        <v>711</v>
      </c>
      <c r="O1184" s="19" t="s">
        <v>1262</v>
      </c>
      <c r="P1184" s="6"/>
      <c r="Q1184" s="6"/>
      <c r="R1184" s="6"/>
    </row>
    <row r="1185">
      <c r="A1185" s="31" t="str">
        <f>IFERROR(__xludf.DUMMYFUNCTION("""COMPUTED_VALUE"""),"1138д")</f>
        <v>1138д</v>
      </c>
      <c r="B1185" s="14" t="str">
        <f>IFERROR(__xludf.DUMMYFUNCTION("""COMPUTED_VALUE"""),"ВНЕ СПИСКА")</f>
        <v>ВНЕ СПИСКА</v>
      </c>
      <c r="C1185" s="14" t="str">
        <f>IFERROR(__xludf.DUMMYFUNCTION("""COMPUTED_VALUE"""),"УДС")</f>
        <v>УДС</v>
      </c>
      <c r="D1185" s="6"/>
      <c r="E1185" s="14" t="str">
        <f>IFERROR(__xludf.DUMMYFUNCTION("""COMPUTED_VALUE"""),"Реконструкция мостового перехода на Ленинградском ш. через канал имени Москвы. 2 пусковой комплекс, очистные сооружения дождевой канализации ЛЕНИНГРАДСКИЙ ПР-Т - ЛЕНИНГРАДСКОЕ Ш. (2ПК)")</f>
        <v>Реконструкция мостового перехода на Ленинградском ш. через канал имени Москвы. 2 пусковой комплекс, очистные сооружения дождевой канализации ЛЕНИНГРАДСКИЙ ПР-Т - ЛЕНИНГРАДСКОЕ Ш. (2ПК)</v>
      </c>
      <c r="F1185" s="25" t="str">
        <f>IFERROR(__xludf.DUMMYFUNCTION("""COMPUTED_VALUE"""),"#N/A")</f>
        <v>#N/A</v>
      </c>
      <c r="G1185" s="6" t="str">
        <f>IFERROR(__xludf.DUMMYFUNCTION("""COMPUTED_VALUE"""),"#N/A")</f>
        <v>#N/A</v>
      </c>
      <c r="H1185" s="6"/>
      <c r="I1185" s="19"/>
      <c r="J1185" s="50">
        <f>IFERROR(__xludf.DUMMYFUNCTION("""COMPUTED_VALUE"""),55.525000000000006)</f>
        <v>55.525</v>
      </c>
      <c r="K1185" s="58">
        <f>IFERROR(__xludf.DUMMYFUNCTION("""COMPUTED_VALUE"""),45777.0)</f>
        <v>45777</v>
      </c>
      <c r="L1185" s="6">
        <v>14.0</v>
      </c>
      <c r="M1185" s="52">
        <v>45791.0</v>
      </c>
      <c r="N1185" s="53" t="s">
        <v>668</v>
      </c>
      <c r="O1185" s="19" t="s">
        <v>1263</v>
      </c>
      <c r="P1185" s="6"/>
      <c r="Q1185" s="6"/>
      <c r="R1185" s="6"/>
    </row>
    <row r="1186">
      <c r="A1186" s="70" t="str">
        <f>IFERROR(__xludf.DUMMYFUNCTION("""COMPUTED_VALUE"""),"1314")</f>
        <v>1314</v>
      </c>
      <c r="B1186" s="14" t="str">
        <f>IFERROR(__xludf.DUMMYFUNCTION("""COMPUTED_VALUE"""),"ВНЕ СПИСКА")</f>
        <v>ВНЕ СПИСКА</v>
      </c>
      <c r="C1186" s="14" t="str">
        <f>IFERROR(__xludf.DUMMYFUNCTION("""COMPUTED_VALUE"""),"ОКС")</f>
        <v>ОКС</v>
      </c>
      <c r="D1186" s="6"/>
      <c r="E1186" s="14" t="str">
        <f>IFERROR(__xludf.DUMMYFUNCTION("""COMPUTED_VALUE"""),"Строительство магистральной улицы районного значения «город Московский - станция метро ""Филатов Луг». Этап 2 (ЛОС №1, ЛОС №2) Москва, п. Московский ")</f>
        <v>Строительство магистральной улицы районного значения «город Московский - станция метро "Филатов Луг». Этап 2 (ЛОС №1, ЛОС №2) Москва, п. Московский </v>
      </c>
      <c r="F1186" s="25" t="str">
        <f>IFERROR(__xludf.DUMMYFUNCTION("""COMPUTED_VALUE"""),"#N/A")</f>
        <v>#N/A</v>
      </c>
      <c r="G1186" s="6" t="str">
        <f>IFERROR(__xludf.DUMMYFUNCTION("""COMPUTED_VALUE"""),"#N/A")</f>
        <v>#N/A</v>
      </c>
      <c r="H1186" s="18" t="str">
        <f>IFERROR(__xludf.DUMMYFUNCTION("""COMPUTED_VALUE"""),"https://docs.google.com/spreadsheets/d/1EI7qusa674eJhuaw-nWWtWMEHVSYMQv7HLsInEZTWpE/edit?gid=1947907600#gid=1947907600")</f>
        <v>https://docs.google.com/spreadsheets/d/1EI7qusa674eJhuaw-nWWtWMEHVSYMQv7HLsInEZTWpE/edit?gid=1947907600#gid=1947907600</v>
      </c>
      <c r="I1186" s="6"/>
      <c r="J1186" s="50">
        <f>IFERROR(__xludf.DUMMYFUNCTION("""COMPUTED_VALUE"""),62.3)</f>
        <v>62.3</v>
      </c>
      <c r="K1186" s="58">
        <f>IFERROR(__xludf.DUMMYFUNCTION("""COMPUTED_VALUE"""),45919.0)</f>
        <v>45919</v>
      </c>
      <c r="L1186" s="6">
        <v>14.0</v>
      </c>
      <c r="M1186" s="52">
        <v>45933.0</v>
      </c>
      <c r="N1186" s="53" t="s">
        <v>668</v>
      </c>
      <c r="O1186" s="6" t="s">
        <v>1264</v>
      </c>
      <c r="P1186" s="6"/>
      <c r="Q1186" s="6"/>
      <c r="R1186" s="6"/>
    </row>
    <row r="1187">
      <c r="A1187" s="31" t="str">
        <f>IFERROR(__xludf.DUMMYFUNCTION("""COMPUTED_VALUE"""),"1202")</f>
        <v>1202</v>
      </c>
      <c r="B1187" s="14" t="str">
        <f>IFERROR(__xludf.DUMMYFUNCTION("""COMPUTED_VALUE"""),"ВНЕ СПИСКА")</f>
        <v>ВНЕ СПИСКА</v>
      </c>
      <c r="C1187" s="14" t="str">
        <f>IFERROR(__xludf.DUMMYFUNCTION("""COMPUTED_VALUE"""),"ОКС")</f>
        <v>ОКС</v>
      </c>
      <c r="D1187" s="6" t="str">
        <f>IFERROR(__xludf.DUMMYFUNCTION("""COMPUTED_VALUE"""),"да")</f>
        <v>да</v>
      </c>
      <c r="E1187" s="14" t="str">
        <f>IFERROR(__xludf.DUMMYFUNCTION("""COMPUTED_VALUE"""),"Дворец спорта для команд АО ФК «Спартак-Москва» Волоколамское шоссе, вл. 69")</f>
        <v>Дворец спорта для команд АО ФК «Спартак-Москва» Волоколамское шоссе, вл. 69</v>
      </c>
      <c r="F1187" s="25" t="str">
        <f>IFERROR(__xludf.DUMMYFUNCTION("""COMPUTED_VALUE"""),"55.815362")</f>
        <v>55.815362</v>
      </c>
      <c r="G1187" s="6" t="str">
        <f>IFERROR(__xludf.DUMMYFUNCTION("""COMPUTED_VALUE"""),"37.441073")</f>
        <v>37.441073</v>
      </c>
      <c r="H1187" s="18" t="str">
        <f>IFERROR(__xludf.DUMMYFUNCTION("""COMPUTED_VALUE"""),"https://docs.google.com/spreadsheets/d/1EI7qusa674eJhuaw-nWWtWMEHVSYMQv7HLsInEZTWpE/edit?gid=314696825#gid=314696825")</f>
        <v>https://docs.google.com/spreadsheets/d/1EI7qusa674eJhuaw-nWWtWMEHVSYMQv7HLsInEZTWpE/edit?gid=314696825#gid=314696825</v>
      </c>
      <c r="I1187" s="19" t="str">
        <f>IFERROR(__xludf.DUMMYFUNCTION("""COMPUTED_VALUE"""),"https://disk.yandex.ru/client/disk/Осмотры%20объектов%20АНО%20СМГ/1_Дежурство%2008-09.05.2025%20(Инвестиционное%20строительство)/1202.%20Дворец%20спорта%20для%20%20команд%20АО%20ФК%20«Спартак-Москва»")</f>
        <v>https://disk.yandex.ru/client/disk/Осмотры%20объектов%20АНО%20СМГ/1_Дежурство%2008-09.05.2025%20(Инвестиционное%20строительство)/1202.%20Дворец%20спорта%20для%20%20команд%20АО%20ФК%20«Спартак-Москва»</v>
      </c>
      <c r="J1187" s="50">
        <f>IFERROR(__xludf.DUMMYFUNCTION("""COMPUTED_VALUE"""),0.0)</f>
        <v>0</v>
      </c>
      <c r="K1187" s="58">
        <f>IFERROR(__xludf.DUMMYFUNCTION("""COMPUTED_VALUE"""),45966.0)</f>
        <v>45966</v>
      </c>
      <c r="L1187" s="6">
        <v>30.0</v>
      </c>
      <c r="M1187" s="52">
        <v>45996.0</v>
      </c>
      <c r="N1187" s="53" t="s">
        <v>711</v>
      </c>
      <c r="O1187" s="19"/>
      <c r="P1187" s="6"/>
      <c r="Q1187" s="6"/>
      <c r="R1187" s="6"/>
    </row>
    <row r="1188">
      <c r="A1188" s="31" t="str">
        <f>IFERROR(__xludf.DUMMYFUNCTION("""COMPUTED_VALUE"""),"1203")</f>
        <v>1203</v>
      </c>
      <c r="B1188" s="14" t="str">
        <f>IFERROR(__xludf.DUMMYFUNCTION("""COMPUTED_VALUE"""),"ВНЕ СПИСКА")</f>
        <v>ВНЕ СПИСКА</v>
      </c>
      <c r="C1188" s="14" t="str">
        <f>IFERROR(__xludf.DUMMYFUNCTION("""COMPUTED_VALUE"""),"ОКС")</f>
        <v>ОКС</v>
      </c>
      <c r="D1188" s="6"/>
      <c r="E1188" s="14" t="str">
        <f>IFERROR(__xludf.DUMMYFUNCTION("""COMPUTED_VALUE"""),"Новые корпуса Московской государственной онкологической больницы МГОБ № 62 Старопетровский проезд, 6с2")</f>
        <v>Новые корпуса Московской государственной онкологической больницы МГОБ № 62 Старопетровский проезд, 6с2</v>
      </c>
      <c r="F1188" s="25" t="str">
        <f>IFERROR(__xludf.DUMMYFUNCTION("""COMPUTED_VALUE"""),"#N/A")</f>
        <v>#N/A</v>
      </c>
      <c r="G1188" s="6" t="str">
        <f>IFERROR(__xludf.DUMMYFUNCTION("""COMPUTED_VALUE"""),"#N/A")</f>
        <v>#N/A</v>
      </c>
      <c r="H1188" s="18" t="str">
        <f>IFERROR(__xludf.DUMMYFUNCTION("""COMPUTED_VALUE"""),"https://docs.google.com/spreadsheets/d/1EI7qusa674eJhuaw-nWWtWMEHVSYMQv7HLsInEZTWpE/edit?gid=1548843983#gid=1548843983")</f>
        <v>https://docs.google.com/spreadsheets/d/1EI7qusa674eJhuaw-nWWtWMEHVSYMQv7HLsInEZTWpE/edit?gid=1548843983#gid=1548843983</v>
      </c>
      <c r="I1188" s="19" t="str">
        <f>IFERROR(__xludf.DUMMYFUNCTION("""COMPUTED_VALUE"""),"https://disk.yandex.ru/client/disk/Осмотры%20объектов%20АНО%20СМГ/1_Дежурство%2008-09.05.2025%20(Инвестиционное%20строительство)/1203.%20Новые%20корпуса%20Московской%20государственной%20онкологической%20больницы%20МГОБ%20№%2062")</f>
        <v>https://disk.yandex.ru/client/disk/Осмотры%20объектов%20АНО%20СМГ/1_Дежурство%2008-09.05.2025%20(Инвестиционное%20строительство)/1203.%20Новые%20корпуса%20Московской%20государственной%20онкологической%20больницы%20МГОБ%20№%2062</v>
      </c>
      <c r="J1188" s="50">
        <f>IFERROR(__xludf.DUMMYFUNCTION("""COMPUTED_VALUE"""),0.0)</f>
        <v>0</v>
      </c>
      <c r="K1188" s="58">
        <f>IFERROR(__xludf.DUMMYFUNCTION("""COMPUTED_VALUE"""),45785.0)</f>
        <v>45785</v>
      </c>
      <c r="L1188" s="6">
        <v>30.0</v>
      </c>
      <c r="M1188" s="52">
        <v>45815.0</v>
      </c>
      <c r="N1188" s="53" t="s">
        <v>668</v>
      </c>
      <c r="O1188" s="19"/>
      <c r="P1188" s="6"/>
      <c r="Q1188" s="6"/>
      <c r="R1188" s="6"/>
    </row>
    <row r="1189">
      <c r="A1189" s="31" t="str">
        <f>IFERROR(__xludf.DUMMYFUNCTION("""COMPUTED_VALUE"""),"1204")</f>
        <v>1204</v>
      </c>
      <c r="B1189" s="14" t="str">
        <f>IFERROR(__xludf.DUMMYFUNCTION("""COMPUTED_VALUE"""),"ВНЕ СПИСКА")</f>
        <v>ВНЕ СПИСКА</v>
      </c>
      <c r="C1189" s="14" t="str">
        <f>IFERROR(__xludf.DUMMYFUNCTION("""COMPUTED_VALUE"""),"ОКС")</f>
        <v>ОКС</v>
      </c>
      <c r="D1189" s="6" t="str">
        <f>IFERROR(__xludf.DUMMYFUNCTION("""COMPUTED_VALUE"""),"да")</f>
        <v>да</v>
      </c>
      <c r="E1189" s="14" t="str">
        <f>IFERROR(__xludf.DUMMYFUNCTION("""COMPUTED_VALUE"""),"Поликлиника на 560 посещений в смену ЮАО, район Люблино, ул. Люблинская, вл. 72, ")</f>
        <v>Поликлиника на 560 посещений в смену ЮАО, район Люблино, ул. Люблинская, вл. 72, </v>
      </c>
      <c r="F1189" s="25" t="str">
        <f>IFERROR(__xludf.DUMMYFUNCTION("""COMPUTED_VALUE"""),"#N/A")</f>
        <v>#N/A</v>
      </c>
      <c r="G1189" s="6" t="str">
        <f>IFERROR(__xludf.DUMMYFUNCTION("""COMPUTED_VALUE"""),"#N/A")</f>
        <v>#N/A</v>
      </c>
      <c r="H1189" s="18" t="str">
        <f>IFERROR(__xludf.DUMMYFUNCTION("""COMPUTED_VALUE"""),"https://docs.google.com/spreadsheets/d/1EI7qusa674eJhuaw-nWWtWMEHVSYMQv7HLsInEZTWpE/edit?gid=1990935127#gid=1990935127")</f>
        <v>https://docs.google.com/spreadsheets/d/1EI7qusa674eJhuaw-nWWtWMEHVSYMQv7HLsInEZTWpE/edit?gid=1990935127#gid=1990935127</v>
      </c>
      <c r="I1189"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1204.%20%D0%9F%D0%BE%D0%BB%D0%B8%D0%BA%D0%BB%D0%B8%D0%BD%D0%B8%D0%BA%D0%B0%20%D0%BD%D0%B0%20560%"&amp;"20%D0%BF%D0%BE%D1%81%D0%B5%D1%89%D0%B5%D0%BD%D0%B8%D0%B9%20%D0%B2%20%D1%81%D0%BC%D0%B5%D0%BD%D1%83%20%D0%AE%D0%90%D0%9E%2C%20%D1%80%D0%B0%D0%B9%D0%BE%D0%BD%20%D0%9B%D1%8E%D0%B1%D0%BB%D0%B8%D0%BD%D0%BE%2C%20%D1%83%D0%BB.%20%D0%9B%D1%8E%D0%B1%D0%BB%D0%B8%D0"&amp;"%BD%D1%81%D0%BA%D0%B0%D1%8F%2C%20%D0%B2%D0%BB.%2072%2C%20")</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1204.%20%D0%9F%D0%BE%D0%BB%D0%B8%D0%BA%D0%BB%D0%B8%D0%BD%D0%B8%D0%BA%D0%B0%20%D0%BD%D0%B0%20560%20%D0%BF%D0%BE%D1%81%D0%B5%D1%89%D0%B5%D0%BD%D0%B8%D0%B9%20%D0%B2%20%D1%81%D0%BC%D0%B5%D0%BD%D1%83%20%D0%AE%D0%90%D0%9E%2C%20%D1%80%D0%B0%D0%B9%D0%BE%D0%BD%20%D0%9B%D1%8E%D0%B1%D0%BB%D0%B8%D0%BD%D0%BE%2C%20%D1%83%D0%BB.%20%D0%9B%D1%8E%D0%B1%D0%BB%D0%B8%D0%BD%D1%81%D0%BA%D0%B0%D1%8F%2C%20%D0%B2%D0%BB.%2072%2C%20</v>
      </c>
      <c r="J1189" s="50">
        <f>IFERROR(__xludf.DUMMYFUNCTION("""COMPUTED_VALUE"""),0.0)</f>
        <v>0</v>
      </c>
      <c r="K1189" s="58">
        <f>IFERROR(__xludf.DUMMYFUNCTION("""COMPUTED_VALUE"""),45785.0)</f>
        <v>45785</v>
      </c>
      <c r="L1189" s="6">
        <v>30.0</v>
      </c>
      <c r="M1189" s="52">
        <v>45815.0</v>
      </c>
      <c r="N1189" s="53" t="s">
        <v>668</v>
      </c>
      <c r="O1189" s="19"/>
      <c r="P1189" s="6"/>
      <c r="Q1189" s="6"/>
      <c r="R1189" s="6"/>
    </row>
    <row r="1190">
      <c r="A1190" s="31" t="str">
        <f>IFERROR(__xludf.DUMMYFUNCTION("""COMPUTED_VALUE"""),"1205")</f>
        <v>1205</v>
      </c>
      <c r="B1190" s="14" t="str">
        <f>IFERROR(__xludf.DUMMYFUNCTION("""COMPUTED_VALUE"""),"ВНЕ СПИСКА")</f>
        <v>ВНЕ СПИСКА</v>
      </c>
      <c r="C1190" s="14" t="str">
        <f>IFERROR(__xludf.DUMMYFUNCTION("""COMPUTED_VALUE"""),"ОКС")</f>
        <v>ОКС</v>
      </c>
      <c r="D1190" s="6" t="str">
        <f>IFERROR(__xludf.DUMMYFUNCTION("""COMPUTED_VALUE"""),"да")</f>
        <v>да</v>
      </c>
      <c r="E1190" s="14" t="str">
        <f>IFERROR(__xludf.DUMMYFUNCTION("""COMPUTED_VALUE"""),"Поликлиника на 560 посещений в смену НАО, Щербинка, пос. Рязановское, с. Остафьево,, ул. Любучанская, з/у 13 ")</f>
        <v>Поликлиника на 560 посещений в смену НАО, Щербинка, пос. Рязановское, с. Остафьево,, ул. Любучанская, з/у 13 </v>
      </c>
      <c r="F1190" s="25" t="str">
        <f>IFERROR(__xludf.DUMMYFUNCTION("""COMPUTED_VALUE"""),"#N/A")</f>
        <v>#N/A</v>
      </c>
      <c r="G1190" s="6" t="str">
        <f>IFERROR(__xludf.DUMMYFUNCTION("""COMPUTED_VALUE"""),"#N/A")</f>
        <v>#N/A</v>
      </c>
      <c r="H1190" s="18" t="str">
        <f>IFERROR(__xludf.DUMMYFUNCTION("""COMPUTED_VALUE"""),"https://docs.google.com/spreadsheets/d/1EI7qusa674eJhuaw-nWWtWMEHVSYMQv7HLsInEZTWpE/edit?gid=469869658#gid=469869658")</f>
        <v>https://docs.google.com/spreadsheets/d/1EI7qusa674eJhuaw-nWWtWMEHVSYMQv7HLsInEZTWpE/edit?gid=469869658#gid=469869658</v>
      </c>
      <c r="I1190" s="19" t="str">
        <f>IFERROR(__xludf.DUMMYFUNCTION("""COMPUTED_VALUE"""),"https://disk.yandex.ru/client/disk/Осмотры%20объектов%20АНО%20СМГ/1_Дежурство%2008-09.05.2025%20(Инвестиционное%20строительство)/1205.%20Поликлиника%20на%20560%20посещений%20в%20смену%20НАО%2C%20Щербинка%2C%20пос.%20Рязановское%2C%20с.%20Остафьево%2C%2C%2"&amp;"0ул.%20Любучанская%2C%20зу%2013")</f>
        <v>https://disk.yandex.ru/client/disk/Осмотры%20объектов%20АНО%20СМГ/1_Дежурство%2008-09.05.2025%20(Инвестиционное%20строительство)/1205.%20Поликлиника%20на%20560%20посещений%20в%20смену%20НАО%2C%20Щербинка%2C%20пос.%20Рязановское%2C%20с.%20Остафьево%2C%2C%20ул.%20Любучанская%2C%20зу%2013</v>
      </c>
      <c r="J1190" s="50">
        <f>IFERROR(__xludf.DUMMYFUNCTION("""COMPUTED_VALUE"""),0.0)</f>
        <v>0</v>
      </c>
      <c r="K1190" s="58">
        <f>IFERROR(__xludf.DUMMYFUNCTION("""COMPUTED_VALUE"""),45785.0)</f>
        <v>45785</v>
      </c>
      <c r="L1190" s="6">
        <v>30.0</v>
      </c>
      <c r="M1190" s="52">
        <v>45815.0</v>
      </c>
      <c r="N1190" s="53" t="s">
        <v>668</v>
      </c>
      <c r="O1190" s="19"/>
      <c r="P1190" s="6"/>
      <c r="Q1190" s="6"/>
      <c r="R1190" s="6"/>
    </row>
    <row r="1191">
      <c r="A1191" s="31" t="str">
        <f>IFERROR(__xludf.DUMMYFUNCTION("""COMPUTED_VALUE"""),"059")</f>
        <v>059</v>
      </c>
      <c r="B1191" s="14" t="str">
        <f>IFERROR(__xludf.DUMMYFUNCTION("""COMPUTED_VALUE"""),"ВНЕ СПИСКА")</f>
        <v>ВНЕ СПИСКА</v>
      </c>
      <c r="C1191" s="14" t="str">
        <f>IFERROR(__xludf.DUMMYFUNCTION("""COMPUTED_VALUE"""),"ОКС")</f>
        <v>ОКС</v>
      </c>
      <c r="D1191" s="6" t="str">
        <f>IFERROR(__xludf.DUMMYFUNCTION("""COMPUTED_VALUE"""),"да")</f>
        <v>да</v>
      </c>
      <c r="E1191" s="14" t="str">
        <f>IFERROR(__xludf.DUMMYFUNCTION("""COMPUTED_VALUE"""),"Образовательный комплекс (СОШ 1350, ДОУ 350) ТАО, р-н Троицк, п. Десёновское, квартал 4  п. Десеновское, кв-л 4, р-н Троицк")</f>
        <v>Образовательный комплекс (СОШ 1350, ДОУ 350) ТАО, р-н Троицк, п. Десёновское, квартал 4  п. Десеновское, кв-л 4, р-н Троицк</v>
      </c>
      <c r="F1191" s="25" t="str">
        <f>IFERROR(__xludf.DUMMYFUNCTION("""COMPUTED_VALUE"""),"#N/A")</f>
        <v>#N/A</v>
      </c>
      <c r="G1191" s="6" t="str">
        <f>IFERROR(__xludf.DUMMYFUNCTION("""COMPUTED_VALUE"""),"#N/A")</f>
        <v>#N/A</v>
      </c>
      <c r="H1191" s="18" t="str">
        <f>IFERROR(__xludf.DUMMYFUNCTION("""COMPUTED_VALUE"""),"https://docs.google.com/spreadsheets/d/1EI7qusa674eJhuaw-nWWtWMEHVSYMQv7HLsInEZTWpE/edit?gid=1873773807#gid=1873773807")</f>
        <v>https://docs.google.com/spreadsheets/d/1EI7qusa674eJhuaw-nWWtWMEHVSYMQv7HLsInEZTWpE/edit?gid=1873773807#gid=1873773807</v>
      </c>
      <c r="I1191" s="21" t="str">
        <f>IFERROR(__xludf.DUMMYFUNCTION("""COMPUTED_VALUE"""),"https://disk.yandex.ru/client/disk/%D0%9E%D1%81%D0%BC%D0%BE%D1%82%D1%80%D1%8B%20%D0%BE%D0%B1%D1%8A%D0%B5%D0%BA%D1%82%D0%BE%D0%B2%20%D0%90%D0%9D%D0%9E%20%D0%A1%D0%9C%D0%93/059.%20%D0%9E%D0%B1%D1%80%D0%B0%D0%B7%D0%BE%D0%B2%D0%B0%D1%82%D0%B5%D0%BB%D1%8C%D0%B"&amp;"D%D1%8B%D0%B9%20%D0%BA%D0%BE%D0%BC%D0%BF%D0%BB%D0%B5%D0%BA%D1%81%20(%D0%A1%D0%9E%D0%A8%201350%2C%20%D0%94%D0%9E%D0%A3%20350)%20%D0%9D%D0%90%D0%9E%2C%20%D0%BF.%20%D0%94%D0%B5%D1%81%D0%B5%D0%BD%D0%BE%D0%B2%D1%81%D0%BA%D0%BE%D0%B5%2C%20%D0%96%D0%9A%20%C2%AB%"&amp;"D0%9D%D0%BE%D0%B2%D1%8B%D0%B5%20%D0%92%D0%B0%D1%82%D1%83%D1%82%D0%B8%D0%BD%D0%BA%D0%B8%C2%BB%20(%D0%BC%D0%BA%D1%80.%20%C2%AB%D0%94%D0%B5%D1%81%D0%BD%D0%B0%C2%BB)")</f>
        <v>https://disk.yandex.ru/client/disk/%D0%9E%D1%81%D0%BC%D0%BE%D1%82%D1%80%D1%8B%20%D0%BE%D0%B1%D1%8A%D0%B5%D0%BA%D1%82%D0%BE%D0%B2%20%D0%90%D0%9D%D0%9E%20%D0%A1%D0%9C%D0%93/059.%20%D0%9E%D0%B1%D1%80%D0%B0%D0%B7%D0%BE%D0%B2%D0%B0%D1%82%D0%B5%D0%BB%D1%8C%D0%BD%D1%8B%D0%B9%20%D0%BA%D0%BE%D0%BC%D0%BF%D0%BB%D0%B5%D0%BA%D1%81%20(%D0%A1%D0%9E%D0%A8%201350%2C%20%D0%94%D0%9E%D0%A3%20350)%20%D0%9D%D0%90%D0%9E%2C%20%D0%BF.%20%D0%94%D0%B5%D1%81%D0%B5%D0%BD%D0%BE%D0%B2%D1%81%D0%BA%D0%BE%D0%B5%2C%20%D0%96%D0%9A%20%C2%AB%D0%9D%D0%BE%D0%B2%D1%8B%D0%B5%20%D0%92%D0%B0%D1%82%D1%83%D1%82%D0%B8%D0%BD%D0%BA%D0%B8%C2%BB%20(%D0%BC%D0%BA%D1%80.%20%C2%AB%D0%94%D0%B5%D1%81%D0%BD%D0%B0%C2%BB)</v>
      </c>
      <c r="J1191" s="50">
        <f>IFERROR(__xludf.DUMMYFUNCTION("""COMPUTED_VALUE"""),25.0)</f>
        <v>25</v>
      </c>
      <c r="K1191" s="58">
        <f>IFERROR(__xludf.DUMMYFUNCTION("""COMPUTED_VALUE"""),45840.0)</f>
        <v>45840</v>
      </c>
      <c r="L1191" s="6">
        <v>30.0</v>
      </c>
      <c r="M1191" s="52">
        <v>45870.0</v>
      </c>
      <c r="N1191" s="53" t="s">
        <v>668</v>
      </c>
      <c r="O1191" s="19" t="s">
        <v>669</v>
      </c>
      <c r="P1191" s="6"/>
      <c r="Q1191" s="6"/>
      <c r="R1191" s="6"/>
    </row>
    <row r="1192">
      <c r="A1192" s="31" t="str">
        <f>IFERROR(__xludf.DUMMYFUNCTION("""COMPUTED_VALUE"""),"1208")</f>
        <v>1208</v>
      </c>
      <c r="B1192" s="14" t="str">
        <f>IFERROR(__xludf.DUMMYFUNCTION("""COMPUTED_VALUE"""),"ВНЕ СПИСКА")</f>
        <v>ВНЕ СПИСКА</v>
      </c>
      <c r="C1192" s="14" t="str">
        <f>IFERROR(__xludf.DUMMYFUNCTION("""COMPUTED_VALUE"""),"ОКС")</f>
        <v>ОКС</v>
      </c>
      <c r="D1192" s="6" t="str">
        <f>IFERROR(__xludf.DUMMYFUNCTION("""COMPUTED_VALUE"""),"да")</f>
        <v>да</v>
      </c>
      <c r="E1192" s="14" t="str">
        <f>IFERROR(__xludf.DUMMYFUNCTION("""COMPUTED_VALUE"""),"Образовательный комплекс на 1575 мест, САО, Молжаниновский САО, р-н Молжаниновский, Ленинградское, ш. з/у 13, з/у 202 САО, р-н Молжаниновский, Ленинградское, ш. з/у 13, з/у 202")</f>
        <v>Образовательный комплекс на 1575 мест, САО, Молжаниновский САО, р-н Молжаниновский, Ленинградское, ш. з/у 13, з/у 202 САО, р-н Молжаниновский, Ленинградское, ш. з/у 13, з/у 202</v>
      </c>
      <c r="F1192" s="25" t="str">
        <f>IFERROR(__xludf.DUMMYFUNCTION("""COMPUTED_VALUE"""),"55.933586")</f>
        <v>55.933586</v>
      </c>
      <c r="G1192" s="6" t="str">
        <f>IFERROR(__xludf.DUMMYFUNCTION("""COMPUTED_VALUE"""),"37.369815")</f>
        <v>37.369815</v>
      </c>
      <c r="H1192" s="18" t="str">
        <f>IFERROR(__xludf.DUMMYFUNCTION("""COMPUTED_VALUE"""),"https://docs.google.com/spreadsheets/d/1EI7qusa674eJhuaw-nWWtWMEHVSYMQv7HLsInEZTWpE/edit?gid=189831964#gid=189831964")</f>
        <v>https://docs.google.com/spreadsheets/d/1EI7qusa674eJhuaw-nWWtWMEHVSYMQv7HLsInEZTWpE/edit?gid=189831964#gid=189831964</v>
      </c>
      <c r="I1192"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1208.%20%D0%9E%D0%B1%D1%80%D0%B0%D0%B7%D0%BE%D0%B2%D0%B0%D1%82%D0%B5%D0%BB%D1%8C%D0%BD%D1%8B%D0%"&amp;"B9%20%D0%BA%D0%BE%D0%BC%D0%BF%D0%BB%D0%B5%D0%BA%D1%81%20%D0%BD%D0%B0%201575%20%D0%BC%D0%B5%D1%81%D1%82%2C%20%D0%A1%D0%90%D0%9E%2C%20%D0%9C%D0%BE%D0%BB%D0%B6%D0%B0%D0%BD%D0%B8%D0%BD%D0%BE%D0%B2%D1%81%D0%BA%D0%B8%D0%B9")</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v>
      </c>
      <c r="J1192" s="50">
        <f>IFERROR(__xludf.DUMMYFUNCTION("""COMPUTED_VALUE"""),31.314585)</f>
        <v>31.314585</v>
      </c>
      <c r="K1192" s="58">
        <f>IFERROR(__xludf.DUMMYFUNCTION("""COMPUTED_VALUE"""),45958.0)</f>
        <v>45958</v>
      </c>
      <c r="L1192" s="6">
        <v>30.0</v>
      </c>
      <c r="M1192" s="52">
        <v>45988.0</v>
      </c>
      <c r="N1192" s="53" t="s">
        <v>741</v>
      </c>
      <c r="O1192" s="19" t="s">
        <v>669</v>
      </c>
      <c r="P1192" s="6"/>
      <c r="Q1192" s="6"/>
      <c r="R1192" s="6"/>
    </row>
    <row r="1193">
      <c r="A1193" s="31" t="str">
        <f>IFERROR(__xludf.DUMMYFUNCTION("""COMPUTED_VALUE"""),"1227")</f>
        <v>1227</v>
      </c>
      <c r="B1193" s="14" t="str">
        <f>IFERROR(__xludf.DUMMYFUNCTION("""COMPUTED_VALUE"""),"ВНЕ СПИСКА")</f>
        <v>ВНЕ СПИСКА</v>
      </c>
      <c r="C1193" s="14" t="str">
        <f>IFERROR(__xludf.DUMMYFUNCTION("""COMPUTED_VALUE"""),"ОКС")</f>
        <v>ОКС</v>
      </c>
      <c r="D1193" s="6" t="str">
        <f>IFERROR(__xludf.DUMMYFUNCTION("""COMPUTED_VALUE"""),"да")</f>
        <v>да</v>
      </c>
      <c r="E1193" s="14" t="str">
        <f>IFERROR(__xludf.DUMMYFUNCTION("""COMPUTED_VALUE"""),"Реконструкция и реставрация с приспособлением объекта ФГБУК «Политехнический музей» ЦАО, Тверской, ул. Новая площадь, д. 3/4 Москва, Новая площадь, д.3/4")</f>
        <v>Реконструкция и реставрация с приспособлением объекта ФГБУК «Политехнический музей» ЦАО, Тверской, ул. Новая площадь, д. 3/4 Москва, Новая площадь, д.3/4</v>
      </c>
      <c r="F1193" s="25" t="str">
        <f>IFERROR(__xludf.DUMMYFUNCTION("""COMPUTED_VALUE"""),"55.757676")</f>
        <v>55.757676</v>
      </c>
      <c r="G1193" s="6" t="str">
        <f>IFERROR(__xludf.DUMMYFUNCTION("""COMPUTED_VALUE"""),"37.629307")</f>
        <v>37.629307</v>
      </c>
      <c r="H1193" s="18" t="str">
        <f>IFERROR(__xludf.DUMMYFUNCTION("""COMPUTED_VALUE"""),"https://docs.google.com/spreadsheets/d/1EI7qusa674eJhuaw-nWWtWMEHVSYMQv7HLsInEZTWpE/edit?gid=379079889#gid=379079889")</f>
        <v>https://docs.google.com/spreadsheets/d/1EI7qusa674eJhuaw-nWWtWMEHVSYMQv7HLsInEZTWpE/edit?gid=379079889#gid=379079889</v>
      </c>
      <c r="I1193" s="21" t="str">
        <f>IFERROR(__xludf.DUMMYFUNCTION("""COMPUTED_VALUE"""),"https://disk.yandex.ru/client/disk/%D0%9E%D1%81%D0%BC%D0%BE%D1%82%D1%80%D1%8B%20%D0%BE%D0%B1%D1%8A%D0%B5%D0%BA%D1%82%D0%BE%D0%B2%20%D0%90%D0%9D%D0%9E%20%D0%A1%D0%9C%D0%93/1227.%20%D0%A4%D0%93%D0%91%D0%A3%D0%9A%20%C2%AB%D0%9F%D0%BE%D0%BB%D0%B8%D1%82%D0%B5%"&amp;"D1%85%D0%BD%D0%B8%D1%87%D0%B5%D1%81%D0%BA%D0%B8%D0%B9%20%D0%BC%D1%83%D0%B7%D0%B5%D0%B9%C2%BB")</f>
        <v>https://disk.yandex.ru/client/disk/%D0%9E%D1%81%D0%BC%D0%BE%D1%82%D1%80%D1%8B%20%D0%BE%D0%B1%D1%8A%D0%B5%D0%BA%D1%82%D0%BE%D0%B2%20%D0%90%D0%9D%D0%9E%20%D0%A1%D0%9C%D0%93/1227.%20%D0%A4%D0%93%D0%91%D0%A3%D0%9A%20%C2%AB%D0%9F%D0%BE%D0%BB%D0%B8%D1%82%D0%B5%D1%85%D0%BD%D0%B8%D1%87%D0%B5%D1%81%D0%BA%D0%B8%D0%B9%20%D0%BC%D1%83%D0%B7%D0%B5%D0%B9%C2%BB</v>
      </c>
      <c r="J1193" s="50">
        <f>IFERROR(__xludf.DUMMYFUNCTION("""COMPUTED_VALUE"""),64.71953500000001)</f>
        <v>64.719535</v>
      </c>
      <c r="K1193" s="58">
        <f>IFERROR(__xludf.DUMMYFUNCTION("""COMPUTED_VALUE"""),45966.0)</f>
        <v>45966</v>
      </c>
      <c r="L1193" s="6">
        <v>14.0</v>
      </c>
      <c r="M1193" s="52">
        <v>45980.0</v>
      </c>
      <c r="N1193" s="53" t="s">
        <v>652</v>
      </c>
      <c r="O1193" s="19" t="s">
        <v>1265</v>
      </c>
      <c r="P1193" s="6"/>
      <c r="Q1193" s="6"/>
      <c r="R1193" s="6"/>
    </row>
    <row r="1194">
      <c r="A1194" s="31"/>
      <c r="B1194" s="14" t="str">
        <f>IFERROR(__xludf.DUMMYFUNCTION("""COMPUTED_VALUE"""),"ВНЕ СПИСКА")</f>
        <v>ВНЕ СПИСКА</v>
      </c>
      <c r="C1194" s="14" t="str">
        <f>IFERROR(__xludf.DUMMYFUNCTION("""COMPUTED_VALUE"""),"ОКС")</f>
        <v>ОКС</v>
      </c>
      <c r="D1194" s="6" t="str">
        <f>IFERROR(__xludf.DUMMYFUNCTION("""COMPUTED_VALUE"""),"да")</f>
        <v>да</v>
      </c>
      <c r="E1194" s="14" t="str">
        <f>IFERROR(__xludf.DUMMYFUNCTION("""COMPUTED_VALUE"""),"Реконструкция и реставрация с приспособлением для современного использования объекта федерального государственного бюджетного учреждения культуры «Политехнический музей» Новая пл., дом 3/4")</f>
        <v>Реконструкция и реставрация с приспособлением для современного использования объекта федерального государственного бюджетного учреждения культуры «Политехнический музей» Новая пл., дом 3/4</v>
      </c>
      <c r="F1194" s="25" t="str">
        <f>IFERROR(__xludf.DUMMYFUNCTION("""COMPUTED_VALUE"""),"#N/A")</f>
        <v>#N/A</v>
      </c>
      <c r="G1194" s="6" t="str">
        <f>IFERROR(__xludf.DUMMYFUNCTION("""COMPUTED_VALUE"""),"#N/A")</f>
        <v>#N/A</v>
      </c>
      <c r="H1194" s="6"/>
      <c r="I1194" s="21" t="str">
        <f>IFERROR(__xludf.DUMMYFUNCTION("""COMPUTED_VALUE"""),"https://disk.yandex.ru/client/disk/%D0%9E%D1%81%D0%BC%D0%BE%D1%82%D1%80%D1%8B%20%D0%BE%D0%B1%D1%8A%D0%B5%D0%BA%D1%82%D0%BE%D0%B2%20%D0%90%D0%9D%D0%9E%20%D0%A1%D0%9C%D0%93/1227.%20%D0%A4%D0%93%D0%91%D0%A3%D0%9A%20%C2%AB%D0%9F%D0%BE%D0%BB%D0%B8%D1%82%D0%B5%"&amp;"D1%85%D0%BD%D0%B8%D1%87%D0%B5%D1%81%D0%BA%D0%B8%D0%B9%20%D0%BC%D1%83%D0%B7%D0%B5%D0%B9%C2%BB")</f>
        <v>https://disk.yandex.ru/client/disk/%D0%9E%D1%81%D0%BC%D0%BE%D1%82%D1%80%D1%8B%20%D0%BE%D0%B1%D1%8A%D0%B5%D0%BA%D1%82%D0%BE%D0%B2%20%D0%90%D0%9D%D0%9E%20%D0%A1%D0%9C%D0%93/1227.%20%D0%A4%D0%93%D0%91%D0%A3%D0%9A%20%C2%AB%D0%9F%D0%BE%D0%BB%D0%B8%D1%82%D0%B5%D1%85%D0%BD%D0%B8%D1%87%D0%B5%D1%81%D0%BA%D0%B8%D0%B9%20%D0%BC%D1%83%D0%B7%D0%B5%D0%B9%C2%BB</v>
      </c>
      <c r="J1194" s="50"/>
      <c r="K1194" s="58"/>
      <c r="L1194" s="6" t="s">
        <v>655</v>
      </c>
      <c r="M1194" s="52" t="s">
        <v>655</v>
      </c>
      <c r="N1194" s="53" t="s">
        <v>655</v>
      </c>
      <c r="O1194" s="19" t="s">
        <v>1266</v>
      </c>
      <c r="P1194" s="6"/>
      <c r="Q1194" s="6"/>
      <c r="R1194" s="6"/>
    </row>
    <row r="1195">
      <c r="A1195" s="31" t="str">
        <f>IFERROR(__xludf.DUMMYFUNCTION("""COMPUTED_VALUE"""),"1228")</f>
        <v>1228</v>
      </c>
      <c r="B1195" s="14" t="str">
        <f>IFERROR(__xludf.DUMMYFUNCTION("""COMPUTED_VALUE"""),"ВНЕ СПИСКА")</f>
        <v>ВНЕ СПИСКА</v>
      </c>
      <c r="C1195" s="14" t="str">
        <f>IFERROR(__xludf.DUMMYFUNCTION("""COMPUTED_VALUE"""),"ОКС")</f>
        <v>ОКС</v>
      </c>
      <c r="D1195" s="6" t="str">
        <f>IFERROR(__xludf.DUMMYFUNCTION("""COMPUTED_VALUE"""),"да")</f>
        <v>да</v>
      </c>
      <c r="E1195" s="14" t="str">
        <f>IFERROR(__xludf.DUMMYFUNCTION("""COMPUTED_VALUE"""),"Центральный телеграф ЦАО,р-н Тверской, ул. Тверская, д. 7 Застройщик: ПАО «Центральный телеграф» ул. Тверская дом 7, Никитский пер., дом 7, стр. 2")</f>
        <v>Центральный телеграф ЦАО,р-н Тверской, ул. Тверская, д. 7 Застройщик: ПАО «Центральный телеграф» ул. Тверская дом 7, Никитский пер., дом 7, стр. 2</v>
      </c>
      <c r="F1195" s="25" t="str">
        <f>IFERROR(__xludf.DUMMYFUNCTION("""COMPUTED_VALUE"""),"55.758123")</f>
        <v>55.758123</v>
      </c>
      <c r="G1195" s="6" t="str">
        <f>IFERROR(__xludf.DUMMYFUNCTION("""COMPUTED_VALUE"""),"37.611373")</f>
        <v>37.611373</v>
      </c>
      <c r="H1195" s="18" t="str">
        <f>IFERROR(__xludf.DUMMYFUNCTION("""COMPUTED_VALUE"""),"https://docs.google.com/spreadsheets/d/1EI7qusa674eJhuaw-nWWtWMEHVSYMQv7HLsInEZTWpE/edit?gid=1745739766#gid=1745739766")</f>
        <v>https://docs.google.com/spreadsheets/d/1EI7qusa674eJhuaw-nWWtWMEHVSYMQv7HLsInEZTWpE/edit?gid=1745739766#gid=1745739766</v>
      </c>
      <c r="I1195" s="21" t="str">
        <f>IFERROR(__xludf.DUMMYFUNCTION("""COMPUTED_VALUE"""),"https://disk.yandex.ru/client/disk/%D0%9E%D1%81%D0%BC%D0%BE%D1%82%D1%80%D1%8B%20%D0%BE%D0%B1%D1%8A%D0%B5%D0%BA%D1%82%D0%BE%D0%B2%20%D0%90%D0%9D%D0%9E%20%D0%A1%D0%9C%D0%93/1228.%20%D0%A6%D0%B5%D0%BD%D1%82%D1%80%D0%B0%D0%BB%D1%8C%D0%BD%D1%8B%D0%B9%20%D1%82%"&amp;"D0%B5%D0%BB%D0%B5%D0%B3%D1%80%D0%B0%D1%84%20%D0%A6%D0%90%D0%9E%2C%D1%80-%D0%BD%20%D0%A2%D0%B2%D0%B5%D1%80%D1%81%D0%BA%D0%BE%D0%B9%2C%20%D1%83%D0%BB.%20%D0%A2%D0%B2%D0%B5%D1%80%D1%81%D0%BA%D0%B0%D1%8F%2C%20%D0%B4.%207")</f>
        <v>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v>
      </c>
      <c r="J1195" s="50">
        <f>IFERROR(__xludf.DUMMYFUNCTION("""COMPUTED_VALUE"""),63.904742500000005)</f>
        <v>63.9047425</v>
      </c>
      <c r="K1195" s="58">
        <f>IFERROR(__xludf.DUMMYFUNCTION("""COMPUTED_VALUE"""),45972.0)</f>
        <v>45972</v>
      </c>
      <c r="L1195" s="6">
        <v>14.0</v>
      </c>
      <c r="M1195" s="52">
        <v>45986.0</v>
      </c>
      <c r="N1195" s="53" t="s">
        <v>711</v>
      </c>
      <c r="O1195" s="19" t="s">
        <v>1267</v>
      </c>
      <c r="P1195" s="6"/>
      <c r="Q1195" s="6"/>
      <c r="R1195" s="6"/>
    </row>
    <row r="1196">
      <c r="A1196" s="31" t="str">
        <f>IFERROR(__xludf.DUMMYFUNCTION("""COMPUTED_VALUE"""),"1229")</f>
        <v>1229</v>
      </c>
      <c r="B1196" s="14" t="str">
        <f>IFERROR(__xludf.DUMMYFUNCTION("""COMPUTED_VALUE"""),"ВНЕ СПИСКА")</f>
        <v>ВНЕ СПИСКА</v>
      </c>
      <c r="C1196" s="14" t="str">
        <f>IFERROR(__xludf.DUMMYFUNCTION("""COMPUTED_VALUE"""),"ОКС")</f>
        <v>ОКС</v>
      </c>
      <c r="D1196" s="6" t="str">
        <f>IFERROR(__xludf.DUMMYFUNCTION("""COMPUTED_VALUE"""),"да")</f>
        <v>да</v>
      </c>
      <c r="E1196" s="14" t="str">
        <f>IFERROR(__xludf.DUMMYFUNCTION("""COMPUTED_VALUE"""),"Круговое депо ЦАО, Комсомольская площадь, дом 3/30, стр.1 Собственник (в настоящее время): ОАО «РЖД» Арендатор (на оформлении) ")</f>
        <v>Круговое депо ЦАО, Комсомольская площадь, дом 3/30, стр.1 Собственник (в настоящее время): ОАО «РЖД» Арендатор (на оформлении) </v>
      </c>
      <c r="F1196" s="25" t="str">
        <f>IFERROR(__xludf.DUMMYFUNCTION("""COMPUTED_VALUE"""),"#N/A")</f>
        <v>#N/A</v>
      </c>
      <c r="G1196" s="6" t="str">
        <f>IFERROR(__xludf.DUMMYFUNCTION("""COMPUTED_VALUE"""),"#N/A")</f>
        <v>#N/A</v>
      </c>
      <c r="H1196" s="18" t="str">
        <f>IFERROR(__xludf.DUMMYFUNCTION("""COMPUTED_VALUE"""),"https://docs.google.com/spreadsheets/d/1EI7qusa674eJhuaw-nWWtWMEHVSYMQv7HLsInEZTWpE/edit?gid=1658272252#gid=1658272252")</f>
        <v>https://docs.google.com/spreadsheets/d/1EI7qusa674eJhuaw-nWWtWMEHVSYMQv7HLsInEZTWpE/edit?gid=1658272252#gid=1658272252</v>
      </c>
      <c r="I1196"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1229.%20%D0%9A%D1%80%D1%83%D0%B3%D0%BE%D0%B2%D0%BE%D0%B5%20%D0%B4%D0%B5%D0%BF%D0%BE")</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1229.%20%D0%9A%D1%80%D1%83%D0%B3%D0%BE%D0%B2%D0%BE%D0%B5%20%D0%B4%D0%B5%D0%BF%D0%BE</v>
      </c>
      <c r="J1196" s="50">
        <f>IFERROR(__xludf.DUMMYFUNCTION("""COMPUTED_VALUE"""),0.0)</f>
        <v>0</v>
      </c>
      <c r="K1196" s="58">
        <f>IFERROR(__xludf.DUMMYFUNCTION("""COMPUTED_VALUE"""),45785.0)</f>
        <v>45785</v>
      </c>
      <c r="L1196" s="6">
        <v>30.0</v>
      </c>
      <c r="M1196" s="52">
        <v>45815.0</v>
      </c>
      <c r="N1196" s="53" t="s">
        <v>668</v>
      </c>
      <c r="O1196" s="19"/>
      <c r="P1196" s="6"/>
      <c r="Q1196" s="6"/>
      <c r="R1196" s="6"/>
    </row>
    <row r="1197">
      <c r="A1197" s="31" t="str">
        <f>IFERROR(__xludf.DUMMYFUNCTION("""COMPUTED_VALUE"""),"400")</f>
        <v>400</v>
      </c>
      <c r="B1197" s="14" t="str">
        <f>IFERROR(__xludf.DUMMYFUNCTION("""COMPUTED_VALUE"""),"ВНЕ СПИСКА")</f>
        <v>ВНЕ СПИСКА</v>
      </c>
      <c r="C1197" s="14" t="str">
        <f>IFERROR(__xludf.DUMMYFUNCTION("""COMPUTED_VALUE"""),"ОКС")</f>
        <v>ОКС</v>
      </c>
      <c r="D1197" s="6" t="str">
        <f>IFERROR(__xludf.DUMMYFUNCTION("""COMPUTED_VALUE"""),"да")</f>
        <v>да</v>
      </c>
      <c r="E1197" s="14" t="str">
        <f>IFERROR(__xludf.DUMMYFUNCTION("""COMPUTED_VALUE"""),"Бизнес-центр в рамках проекта КРТ «Дмитровский, вл. 1Г» САО, р-н Тимирязевский Дмитровский проезд , вл. 1Г")</f>
        <v>Бизнес-центр в рамках проекта КРТ «Дмитровский, вл. 1Г» САО, р-н Тимирязевский Дмитровский проезд , вл. 1Г</v>
      </c>
      <c r="F1197" s="25" t="str">
        <f>IFERROR(__xludf.DUMMYFUNCTION("""COMPUTED_VALUE"""),"55.808312")</f>
        <v>55.808312</v>
      </c>
      <c r="G1197" s="6" t="str">
        <f>IFERROR(__xludf.DUMMYFUNCTION("""COMPUTED_VALUE"""),"37.575876")</f>
        <v>37.575876</v>
      </c>
      <c r="H1197" s="18" t="str">
        <f>IFERROR(__xludf.DUMMYFUNCTION("""COMPUTED_VALUE"""),"https://docs.google.com/spreadsheets/d/1EI7qusa674eJhuaw-nWWtWMEHVSYMQv7HLsInEZTWpE/edit?gid=1002976972#gid=1002976972")</f>
        <v>https://docs.google.com/spreadsheets/d/1EI7qusa674eJhuaw-nWWtWMEHVSYMQv7HLsInEZTWpE/edit?gid=1002976972#gid=1002976972</v>
      </c>
      <c r="I1197" s="19" t="str">
        <f>IFERROR(__xludf.DUMMYFUNCTION("""COMPUTED_VALUE"""),"https://disk.yandex.ru/client/disk/Осмотры%20объектов%20АНО%20СМГ/400.Офисы%20дмитровский%20проезд%20вл1г")</f>
        <v>https://disk.yandex.ru/client/disk/Осмотры%20объектов%20АНО%20СМГ/400.Офисы%20дмитровский%20проезд%20вл1г</v>
      </c>
      <c r="J1197" s="50">
        <f>IFERROR(__xludf.DUMMYFUNCTION("""COMPUTED_VALUE"""),29.677)</f>
        <v>29.677</v>
      </c>
      <c r="K1197" s="58">
        <f>IFERROR(__xludf.DUMMYFUNCTION("""COMPUTED_VALUE"""),45958.0)</f>
        <v>45958</v>
      </c>
      <c r="L1197" s="6">
        <v>30.0</v>
      </c>
      <c r="M1197" s="52">
        <v>45988.0</v>
      </c>
      <c r="N1197" s="53" t="s">
        <v>741</v>
      </c>
      <c r="O1197" s="19"/>
      <c r="P1197" s="6"/>
      <c r="Q1197" s="6"/>
      <c r="R1197" s="6"/>
    </row>
    <row r="1198">
      <c r="A1198" s="31" t="str">
        <f>IFERROR(__xludf.DUMMYFUNCTION("""COMPUTED_VALUE"""),"1230")</f>
        <v>1230</v>
      </c>
      <c r="B1198" s="14" t="str">
        <f>IFERROR(__xludf.DUMMYFUNCTION("""COMPUTED_VALUE"""),"ВНЕ СПИСКА")</f>
        <v>ВНЕ СПИСКА</v>
      </c>
      <c r="C1198" s="14" t="str">
        <f>IFERROR(__xludf.DUMMYFUNCTION("""COMPUTED_VALUE"""),"ОКС")</f>
        <v>ОКС</v>
      </c>
      <c r="D1198" s="6" t="str">
        <f>IFERROR(__xludf.DUMMYFUNCTION("""COMPUTED_VALUE"""),"да")</f>
        <v>да</v>
      </c>
      <c r="E1198" s="14" t="str">
        <f>IFERROR(__xludf.DUMMYFUNCTION("""COMPUTED_VALUE"""),"Многофункциональный комплекс “Венеция” ГК Киевская площадь Мантулинская ул. вл. 5 ЦАО, Пресненский район Мантулинская ул. вл. 5")</f>
        <v>Многофункциональный комплекс “Венеция” ГК Киевская площадь Мантулинская ул. вл. 5 ЦАО, Пресненский район Мантулинская ул. вл. 5</v>
      </c>
      <c r="F1198" s="25" t="str">
        <f>IFERROR(__xludf.DUMMYFUNCTION("""COMPUTED_VALUE"""),"55.753129")</f>
        <v>55.753129</v>
      </c>
      <c r="G1198" s="6" t="str">
        <f>IFERROR(__xludf.DUMMYFUNCTION("""COMPUTED_VALUE"""),"37.553972")</f>
        <v>37.553972</v>
      </c>
      <c r="H1198" s="18" t="str">
        <f>IFERROR(__xludf.DUMMYFUNCTION("""COMPUTED_VALUE"""),"https://docs.google.com/spreadsheets/d/1EI7qusa674eJhuaw-nWWtWMEHVSYMQv7HLsInEZTWpE/edit?gid=38649977#gid=38649977")</f>
        <v>https://docs.google.com/spreadsheets/d/1EI7qusa674eJhuaw-nWWtWMEHVSYMQv7HLsInEZTWpE/edit?gid=38649977#gid=38649977</v>
      </c>
      <c r="I1198" s="21" t="str">
        <f>IFERROR(__xludf.DUMMYFUNCTION("""COMPUTED_VALUE"""),"https://disk.yandex.ru/client/disk/%D0%9E%D1%81%D0%BC%D0%BE%D1%82%D1%80%D1%8B%20%D0%BE%D0%B1%D1%8A%D0%B5%D0%BA%D1%82%D0%BE%D0%B2%20%D0%90%D0%9D%D0%9E%20%D0%A1%D0%9C%D0%93/1230%20%22%D0%9C%D0%BD%D0%BE%D0%B3%D0%BE%D1%84%D1%83%D0%BD%D0%BA%D1%86%D0%B8%D0%BE%D"&amp;"0%BD%D0%B0%D0%BB%D1%8C%D0%BD%D1%8B%D0%B9%20%D0%BA%D0%BE%D0%BC%D0%BF%D0%BB%D0%B5%D0%BA%D1%81%20%E2%80%9C%D0%92%D0%B5%D0%BD%D0%B5%D1%86%D0%B8%D1%8F%E2%80%9D%0A%D0%93%D0%9A%20%D0%9A%D0%B8%D0%B5%D0%B2%D1%81%D0%BA%D0%B0%D1%8F%20%D0%BF%D0%BB%D0%BE%D1%89%D0%B0%D"&amp;"0%B4%D1%8C%22.%20%D0%9C%D0%B0%D0%BD%D1%82%D1%83%D0%BB%D0%B8%D0%BD%D1%81%D0%BA%D0%B0%D1%8F%20%D1%83%D0%BB.%20%D0%B2%D0%BB.%205%20%D0%A6%D0%90%D0%9E%2C%20%D0%9F%D1%80%D0%B5%D1%81%D0%BD%D0%B5%D0%BD%D1%81%D0%BA%D0%B8%D0%B9%20%D1%80%D0%B0%D0%B9%D0%BE%D0%BD")</f>
        <v>https://disk.yandex.ru/client/disk/%D0%9E%D1%81%D0%BC%D0%BE%D1%82%D1%80%D1%8B%20%D0%BE%D0%B1%D1%8A%D0%B5%D0%BA%D1%82%D0%BE%D0%B2%20%D0%90%D0%9D%D0%9E%20%D0%A1%D0%9C%D0%93/1230%20%22%D0%9C%D0%BD%D0%BE%D0%B3%D0%BE%D1%84%D1%83%D0%BD%D0%BA%D1%86%D0%B8%D0%BE%D0%BD%D0%B0%D0%BB%D1%8C%D0%BD%D1%8B%D0%B9%20%D0%BA%D0%BE%D0%BC%D0%BF%D0%BB%D0%B5%D0%BA%D1%81%20%E2%80%9C%D0%92%D0%B5%D0%BD%D0%B5%D1%86%D0%B8%D1%8F%E2%80%9D%0A%D0%93%D0%9A%20%D0%9A%D0%B8%D0%B5%D0%B2%D1%81%D0%BA%D0%B0%D1%8F%20%D0%BF%D0%BB%D0%BE%D1%89%D0%B0%D0%B4%D1%8C%22.%20%D0%9C%D0%B0%D0%BD%D1%82%D1%83%D0%BB%D0%B8%D0%BD%D1%81%D0%BA%D0%B0%D1%8F%20%D1%83%D0%BB.%20%D0%B2%D0%BB.%205%20%D0%A6%D0%90%D0%9E%2C%20%D0%9F%D1%80%D0%B5%D1%81%D0%BD%D0%B5%D0%BD%D1%81%D0%BA%D0%B8%D0%B9%20%D1%80%D0%B0%D0%B9%D0%BE%D0%BD</v>
      </c>
      <c r="J1198" s="50">
        <f>IFERROR(__xludf.DUMMYFUNCTION("""COMPUTED_VALUE"""),0.0)</f>
        <v>0</v>
      </c>
      <c r="K1198" s="58">
        <f>IFERROR(__xludf.DUMMYFUNCTION("""COMPUTED_VALUE"""),45966.0)</f>
        <v>45966</v>
      </c>
      <c r="L1198" s="6">
        <v>30.0</v>
      </c>
      <c r="M1198" s="52">
        <v>45996.0</v>
      </c>
      <c r="N1198" s="53" t="s">
        <v>711</v>
      </c>
      <c r="O1198" s="19"/>
      <c r="P1198" s="6"/>
      <c r="Q1198" s="6"/>
      <c r="R1198" s="6"/>
    </row>
    <row r="1199">
      <c r="A1199" s="31" t="str">
        <f>IFERROR(__xludf.DUMMYFUNCTION("""COMPUTED_VALUE"""),"334 (п)")</f>
        <v>334 (п)</v>
      </c>
      <c r="B1199" s="14" t="str">
        <f>IFERROR(__xludf.DUMMYFUNCTION("""COMPUTED_VALUE"""),"ВНЕ СПИСКА")</f>
        <v>ВНЕ СПИСКА</v>
      </c>
      <c r="C1199" s="14"/>
      <c r="D1199" s="6"/>
      <c r="E1199" s="14" t="str">
        <f>IFERROR(__xludf.DUMMYFUNCTION("""COMPUTED_VALUE"""),"Начало проходки правого перегонного тоннеля на участке от ст. ""Остров Мечты"" до ст. ""Кленовый бульвар"" район Нагатинский Затон")</f>
        <v>Начало проходки правого перегонного тоннеля на участке от ст. "Остров Мечты" до ст. "Кленовый бульвар" район Нагатинский Затон</v>
      </c>
      <c r="F1199" s="25" t="str">
        <f>IFERROR(__xludf.DUMMYFUNCTION("""COMPUTED_VALUE"""),"#N/A")</f>
        <v>#N/A</v>
      </c>
      <c r="G1199" s="6" t="str">
        <f>IFERROR(__xludf.DUMMYFUNCTION("""COMPUTED_VALUE"""),"#N/A")</f>
        <v>#N/A</v>
      </c>
      <c r="H1199" s="18" t="str">
        <f>IFERROR(__xludf.DUMMYFUNCTION("""COMPUTED_VALUE"""),"https://docs.google.com/spreadsheets/d/1EI7qusa674eJhuaw-nWWtWMEHVSYMQv7HLsInEZTWpE/edit?gid=1612889621#gid=1612889621")</f>
        <v>https://docs.google.com/spreadsheets/d/1EI7qusa674eJhuaw-nWWtWMEHVSYMQv7HLsInEZTWpE/edit?gid=1612889621#gid=1612889621</v>
      </c>
      <c r="I1199" s="19" t="str">
        <f>IFERROR(__xludf.DUMMYFUNCTION("""COMPUTED_VALUE"""),"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f>
        <v>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v>
      </c>
      <c r="J1199" s="50">
        <f>IFERROR(__xludf.DUMMYFUNCTION("""COMPUTED_VALUE"""),3.83)</f>
        <v>3.83</v>
      </c>
      <c r="K1199" s="58">
        <f>IFERROR(__xludf.DUMMYFUNCTION("""COMPUTED_VALUE"""),45846.0)</f>
        <v>45846</v>
      </c>
      <c r="L1199" s="6">
        <v>30.0</v>
      </c>
      <c r="M1199" s="52">
        <v>45876.0</v>
      </c>
      <c r="N1199" s="53" t="s">
        <v>668</v>
      </c>
      <c r="O1199" s="19" t="s">
        <v>669</v>
      </c>
      <c r="P1199" s="6"/>
      <c r="Q1199" s="6"/>
      <c r="R1199" s="6"/>
    </row>
    <row r="1200">
      <c r="A1200" s="31" t="str">
        <f>IFERROR(__xludf.DUMMYFUNCTION("""COMPUTED_VALUE"""),"334 (л)")</f>
        <v>334 (л)</v>
      </c>
      <c r="B1200" s="14" t="str">
        <f>IFERROR(__xludf.DUMMYFUNCTION("""COMPUTED_VALUE"""),"ВНЕ СПИСКА")</f>
        <v>ВНЕ СПИСКА</v>
      </c>
      <c r="C1200" s="14"/>
      <c r="D1200" s="6"/>
      <c r="E1200" s="14" t="str">
        <f>IFERROR(__xludf.DUMMYFUNCTION("""COMPUTED_VALUE"""),"Начало проходки левого перегонного тоннеля на участке от ст. ""Остров Мечты"" до ст. ""Кленовый бульвар"" район Нагатинский Затон")</f>
        <v>Начало проходки левого перегонного тоннеля на участке от ст. "Остров Мечты" до ст. "Кленовый бульвар" район Нагатинский Затон</v>
      </c>
      <c r="F1200" s="25" t="str">
        <f>IFERROR(__xludf.DUMMYFUNCTION("""COMPUTED_VALUE"""),"#N/A")</f>
        <v>#N/A</v>
      </c>
      <c r="G1200" s="6" t="str">
        <f>IFERROR(__xludf.DUMMYFUNCTION("""COMPUTED_VALUE"""),"#N/A")</f>
        <v>#N/A</v>
      </c>
      <c r="H1200" s="18" t="str">
        <f>IFERROR(__xludf.DUMMYFUNCTION("""COMPUTED_VALUE"""),"https://docs.google.com/spreadsheets/d/1EI7qusa674eJhuaw-nWWtWMEHVSYMQv7HLsInEZTWpE/edit?gid=831042065#gid=831042065")</f>
        <v>https://docs.google.com/spreadsheets/d/1EI7qusa674eJhuaw-nWWtWMEHVSYMQv7HLsInEZTWpE/edit?gid=831042065#gid=831042065</v>
      </c>
      <c r="I1200" s="19" t="str">
        <f>IFERROR(__xludf.DUMMYFUNCTION("""COMPUTED_VALUE"""),"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f>
        <v>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v>
      </c>
      <c r="J1200" s="50">
        <f>IFERROR(__xludf.DUMMYFUNCTION("""COMPUTED_VALUE"""),3.83)</f>
        <v>3.83</v>
      </c>
      <c r="K1200" s="58">
        <f>IFERROR(__xludf.DUMMYFUNCTION("""COMPUTED_VALUE"""),45846.0)</f>
        <v>45846</v>
      </c>
      <c r="L1200" s="6">
        <v>30.0</v>
      </c>
      <c r="M1200" s="52">
        <v>45876.0</v>
      </c>
      <c r="N1200" s="53" t="s">
        <v>668</v>
      </c>
      <c r="O1200" s="19" t="s">
        <v>669</v>
      </c>
      <c r="P1200" s="6"/>
      <c r="Q1200" s="6"/>
      <c r="R1200" s="6"/>
    </row>
    <row r="1201">
      <c r="A1201" s="31" t="str">
        <f>IFERROR(__xludf.DUMMYFUNCTION("""COMPUTED_VALUE"""),"249")</f>
        <v>249</v>
      </c>
      <c r="B1201" s="14" t="str">
        <f>IFERROR(__xludf.DUMMYFUNCTION("""COMPUTED_VALUE"""),"АИП-25")</f>
        <v>АИП-25</v>
      </c>
      <c r="C1201" s="14" t="str">
        <f>IFERROR(__xludf.DUMMYFUNCTION("""COMPUTED_VALUE"""),"ОКС")</f>
        <v>ОКС</v>
      </c>
      <c r="D1201" s="6"/>
      <c r="E1201" s="14" t="str">
        <f>IFERROR(__xludf.DUMMYFUNCTION("""COMPUTED_VALUE"""),"«Многопрофильный комплекс на территории ГБУЗ «ДГКБ св. Владимира ДЗМ» по адресу: ул. Рубцовско-Дворцовая, д.1/3, ВАО район Сокольники, Рубцовско-Дворцовая ул., вл. 1/3, корп.1")</f>
        <v>«Многопрофильный комплекс на территории ГБУЗ «ДГКБ св. Владимира ДЗМ» по адресу: ул. Рубцовско-Дворцовая, д.1/3, ВАО район Сокольники, Рубцовско-Дворцовая ул., вл. 1/3, корп.1</v>
      </c>
      <c r="F1201" s="25" t="str">
        <f>IFERROR(__xludf.DUMMYFUNCTION("""COMPUTED_VALUE"""),"#N/A")</f>
        <v>#N/A</v>
      </c>
      <c r="G1201" s="6" t="str">
        <f>IFERROR(__xludf.DUMMYFUNCTION("""COMPUTED_VALUE"""),"#N/A")</f>
        <v>#N/A</v>
      </c>
      <c r="H1201" s="18" t="str">
        <f>IFERROR(__xludf.DUMMYFUNCTION("""COMPUTED_VALUE"""),"https://docs.google.com/spreadsheets/d/19THEBTE9q0fhN2eApZr6BgenIvLGh0AckaYxHQfHk5w/edit?gid=1246380027#gid=1246380027")</f>
        <v>https://docs.google.com/spreadsheets/d/19THEBTE9q0fhN2eApZr6BgenIvLGh0AckaYxHQfHk5w/edit?gid=1246380027#gid=1246380027</v>
      </c>
      <c r="I1201" s="19" t="str">
        <f>IFERROR(__xludf.DUMMYFUNCTION("""COMPUTED_VALUE"""),"https://disk.yandex.ru/client/disk/Осмотры%20объектов%20АНО%20СМГ/249.%20ГБУЗ%20ДГКБ%20св.Владимира%20ДЗМ%20Рубцовско-Дворцовая%20улица%2C%201%5C3к1")</f>
        <v>https://disk.yandex.ru/client/disk/Осмотры%20объектов%20АНО%20СМГ/249.%20ГБУЗ%20ДГКБ%20св.Владимира%20ДЗМ%20Рубцовско-Дворцовая%20улица%2C%201%5C3к1</v>
      </c>
      <c r="J1201" s="50">
        <f>IFERROR(__xludf.DUMMYFUNCTION("""COMPUTED_VALUE"""),100.0)</f>
        <v>100</v>
      </c>
      <c r="K1201" s="58">
        <f>IFERROR(__xludf.DUMMYFUNCTION("""COMPUTED_VALUE"""),45937.0)</f>
        <v>45937</v>
      </c>
      <c r="L1201" s="6" t="s">
        <v>654</v>
      </c>
      <c r="M1201" s="52" t="s">
        <v>655</v>
      </c>
      <c r="N1201" s="53" t="s">
        <v>656</v>
      </c>
      <c r="O1201" s="19" t="s">
        <v>1268</v>
      </c>
      <c r="P1201" s="6"/>
      <c r="Q1201" s="6"/>
      <c r="R1201" s="6"/>
    </row>
    <row r="1202">
      <c r="A1202" s="31" t="str">
        <f>IFERROR(__xludf.DUMMYFUNCTION("""COMPUTED_VALUE"""),"1026")</f>
        <v>1026</v>
      </c>
      <c r="B1202" s="14" t="str">
        <f>IFERROR(__xludf.DUMMYFUNCTION("""COMPUTED_VALUE"""),"ВНЕ СПИСКА")</f>
        <v>ВНЕ СПИСКА</v>
      </c>
      <c r="C1202" s="14" t="str">
        <f>IFERROR(__xludf.DUMMYFUNCTION("""COMPUTED_VALUE"""),"ОКС")</f>
        <v>ОКС</v>
      </c>
      <c r="D1202" s="6" t="str">
        <f>IFERROR(__xludf.DUMMYFUNCTION("""COMPUTED_VALUE"""),"да")</f>
        <v>да</v>
      </c>
      <c r="E1202" s="14" t="str">
        <f>IFERROR(__xludf.DUMMYFUNCTION("""COMPUTED_VALUE"""),"Осмотр хода строительства офисно-делового здания с ИТ-школой, квартал А24 
ЗАО, р-н Кунцево, квартал № 120, дом 16 район Кунцево, квартал № 120, дом 16")</f>
        <v>Осмотр хода строительства офисно-делового здания с ИТ-школой, квартал А24 
ЗАО, р-н Кунцево, квартал № 120, дом 16 район Кунцево, квартал № 120, дом 16</v>
      </c>
      <c r="F1202" s="25" t="str">
        <f>IFERROR(__xludf.DUMMYFUNCTION("""COMPUTED_VALUE"""),"55.792614")</f>
        <v>55.792614</v>
      </c>
      <c r="G1202" s="6" t="str">
        <f>IFERROR(__xludf.DUMMYFUNCTION("""COMPUTED_VALUE"""),"37.334401")</f>
        <v>37.334401</v>
      </c>
      <c r="H1202" s="18" t="str">
        <f>IFERROR(__xludf.DUMMYFUNCTION("""COMPUTED_VALUE"""),"https://docs.google.com/spreadsheets/d/1EI7qusa674eJhuaw-nWWtWMEHVSYMQv7HLsInEZTWpE/edit?gid=1285680643#gid=1285680643")</f>
        <v>https://docs.google.com/spreadsheets/d/1EI7qusa674eJhuaw-nWWtWMEHVSYMQv7HLsInEZTWpE/edit?gid=1285680643#gid=1285680643</v>
      </c>
      <c r="I1202" s="19" t="str">
        <f>IFERROR(__xludf.DUMMYFUNCTION("""COMPUTED_VALUE"""),"https://disk.yandex.ru/client/disk/Осмотры%20объектов%20АНО%20СМГ/1026%20А24%20р-н%20Кунцево%2C%20квартал%20№%20120%2C%20дом%2016")</f>
        <v>https://disk.yandex.ru/client/disk/Осмотры%20объектов%20АНО%20СМГ/1026%20А24%20р-н%20Кунцево%2C%20квартал%20№%20120%2C%20дом%2016</v>
      </c>
      <c r="J1202" s="50">
        <f>IFERROR(__xludf.DUMMYFUNCTION("""COMPUTED_VALUE"""),94.18244000000001)</f>
        <v>94.18244</v>
      </c>
      <c r="K1202" s="58">
        <f>IFERROR(__xludf.DUMMYFUNCTION("""COMPUTED_VALUE"""),45967.0)</f>
        <v>45967</v>
      </c>
      <c r="L1202" s="6">
        <v>7.0</v>
      </c>
      <c r="M1202" s="52">
        <v>45974.0</v>
      </c>
      <c r="N1202" s="53" t="s">
        <v>668</v>
      </c>
      <c r="O1202" s="19" t="s">
        <v>1269</v>
      </c>
      <c r="P1202" s="6"/>
      <c r="Q1202" s="6"/>
      <c r="R1202" s="6"/>
    </row>
    <row r="1203">
      <c r="A1203" s="31" t="str">
        <f>IFERROR(__xludf.DUMMYFUNCTION("""COMPUTED_VALUE"""),"260")</f>
        <v>260</v>
      </c>
      <c r="B1203" s="14" t="str">
        <f>IFERROR(__xludf.DUMMYFUNCTION("""COMPUTED_VALUE"""),"АИП-25")</f>
        <v>АИП-25</v>
      </c>
      <c r="C1203" s="14" t="str">
        <f>IFERROR(__xludf.DUMMYFUNCTION("""COMPUTED_VALUE"""),"ОКС")</f>
        <v>ОКС</v>
      </c>
      <c r="D1203" s="6"/>
      <c r="E1203" s="14" t="str">
        <f>IFERROR(__xludf.DUMMYFUNCTION("""COMPUTED_VALUE"""),"Осмотр хода строительства детской поликлиники 
на 320 посещений в смену, ЗелАО, район Крюково, Панфиловский проспект, з/у 18 район Крюково, Панфиловский проспект, з/у 18")</f>
        <v>Осмотр хода строительства детской поликлиники 
на 320 посещений в смену, ЗелАО, район Крюково, Панфиловский проспект, з/у 18 район Крюково, Панфиловский проспект, з/у 18</v>
      </c>
      <c r="F1203" s="25" t="str">
        <f>IFERROR(__xludf.DUMMYFUNCTION("""COMPUTED_VALUE"""),"#N/A")</f>
        <v>#N/A</v>
      </c>
      <c r="G1203" s="6" t="str">
        <f>IFERROR(__xludf.DUMMYFUNCTION("""COMPUTED_VALUE"""),"#N/A")</f>
        <v>#N/A</v>
      </c>
      <c r="H1203" s="18" t="str">
        <f>IFERROR(__xludf.DUMMYFUNCTION("""COMPUTED_VALUE"""),"https://docs.google.com/spreadsheets/d/19THEBTE9q0fhN2eApZr6BgenIvLGh0AckaYxHQfHk5w/edit?gid=1825170573#gid=1825170573")</f>
        <v>https://docs.google.com/spreadsheets/d/19THEBTE9q0fhN2eApZr6BgenIvLGh0AckaYxHQfHk5w/edit?gid=1825170573#gid=1825170573</v>
      </c>
      <c r="I1203" s="19" t="str">
        <f>IFERROR(__xludf.DUMMYFUNCTION("""COMPUTED_VALUE"""),"https://disk.yandex.ru/client/disk/Осмотры%20объектов%20АНО%20СМГ/260.%20Панфиловский%20проспект%2C%20зу1825.%20Детская%20поликлиника%20на%20320")</f>
        <v>https://disk.yandex.ru/client/disk/Осмотры%20объектов%20АНО%20СМГ/260.%20Панфиловский%20проспект%2C%20зу1825.%20Детская%20поликлиника%20на%20320</v>
      </c>
      <c r="J1203" s="50">
        <f>IFERROR(__xludf.DUMMYFUNCTION("""COMPUTED_VALUE"""),100.0)</f>
        <v>100</v>
      </c>
      <c r="K1203" s="58">
        <f>IFERROR(__xludf.DUMMYFUNCTION("""COMPUTED_VALUE"""),45894.0)</f>
        <v>45894</v>
      </c>
      <c r="L1203" s="6" t="s">
        <v>654</v>
      </c>
      <c r="M1203" s="52" t="s">
        <v>655</v>
      </c>
      <c r="N1203" s="53" t="s">
        <v>656</v>
      </c>
      <c r="O1203" s="19" t="s">
        <v>1270</v>
      </c>
      <c r="P1203" s="6"/>
      <c r="Q1203" s="6"/>
      <c r="R1203" s="6"/>
    </row>
    <row r="1204">
      <c r="A1204" s="31" t="str">
        <f>IFERROR(__xludf.DUMMYFUNCTION("""COMPUTED_VALUE"""),"130")</f>
        <v>130</v>
      </c>
      <c r="B1204" s="14" t="str">
        <f>IFERROR(__xludf.DUMMYFUNCTION("""COMPUTED_VALUE"""),"ВНЕ СПИСКА")</f>
        <v>ВНЕ СПИСКА</v>
      </c>
      <c r="C1204" s="14" t="str">
        <f>IFERROR(__xludf.DUMMYFUNCTION("""COMPUTED_VALUE"""),"ОКС")</f>
        <v>ОКС</v>
      </c>
      <c r="D1204" s="6"/>
      <c r="E1204" s="14" t="str">
        <f>IFERROR(__xludf.DUMMYFUNCTION("""COMPUTED_VALUE"""),"ДОУ на 300 мест, ВАО, р-н Измайлово район Измайлово, Сиреневый бульвар, вл. 4")</f>
        <v>ДОУ на 300 мест, ВАО, р-н Измайлово район Измайлово, Сиреневый бульвар, вл. 4</v>
      </c>
      <c r="F1204" s="25" t="str">
        <f>IFERROR(__xludf.DUMMYFUNCTION("""COMPUTED_VALUE"""),"#N/A")</f>
        <v>#N/A</v>
      </c>
      <c r="G1204" s="6" t="str">
        <f>IFERROR(__xludf.DUMMYFUNCTION("""COMPUTED_VALUE"""),"#N/A")</f>
        <v>#N/A</v>
      </c>
      <c r="H1204" s="18" t="str">
        <f>IFERROR(__xludf.DUMMYFUNCTION("""COMPUTED_VALUE"""),"https://docs.google.com/spreadsheets/d/1EI7qusa674eJhuaw-nWWtWMEHVSYMQv7HLsInEZTWpE/edit?gid=446883211#gid=446883211")</f>
        <v>https://docs.google.com/spreadsheets/d/1EI7qusa674eJhuaw-nWWtWMEHVSYMQv7HLsInEZTWpE/edit?gid=446883211#gid=446883211</v>
      </c>
      <c r="I1204" s="19" t="str">
        <f>IFERROR(__xludf.DUMMYFUNCTION("""COMPUTED_VALUE"""),"https://disk.yandex.ru/client/disk/Осмотры%20объектов%20АНО%20СМГ/130%20ВАО%2C%20р-н%20Измайлово%2C%20Сиреневый%20бульвар%2C%20вл.%204")</f>
        <v>https://disk.yandex.ru/client/disk/Осмотры%20объектов%20АНО%20СМГ/130%20ВАО%2C%20р-н%20Измайлово%2C%20Сиреневый%20бульвар%2C%20вл.%204</v>
      </c>
      <c r="J1204" s="50">
        <f>IFERROR(__xludf.DUMMYFUNCTION("""COMPUTED_VALUE"""),100.0)</f>
        <v>100</v>
      </c>
      <c r="K1204" s="58">
        <f>IFERROR(__xludf.DUMMYFUNCTION("""COMPUTED_VALUE"""),45895.0)</f>
        <v>45895</v>
      </c>
      <c r="L1204" s="6" t="s">
        <v>654</v>
      </c>
      <c r="M1204" s="52" t="s">
        <v>655</v>
      </c>
      <c r="N1204" s="53" t="s">
        <v>656</v>
      </c>
      <c r="O1204" s="19" t="s">
        <v>1271</v>
      </c>
      <c r="P1204" s="6"/>
      <c r="Q1204" s="6"/>
      <c r="R1204" s="6"/>
    </row>
    <row r="1205">
      <c r="A1205" s="31" t="str">
        <f>IFERROR(__xludf.DUMMYFUNCTION("""COMPUTED_VALUE"""),"323")</f>
        <v>323</v>
      </c>
      <c r="B1205" s="14" t="str">
        <f>IFERROR(__xludf.DUMMYFUNCTION("""COMPUTED_VALUE"""),"ВНЕ СПИСКА")</f>
        <v>ВНЕ СПИСКА</v>
      </c>
      <c r="C1205" s="14" t="str">
        <f>IFERROR(__xludf.DUMMYFUNCTION("""COMPUTED_VALUE"""),"ОКС")</f>
        <v>ОКС</v>
      </c>
      <c r="D1205" s="6" t="str">
        <f>IFERROR(__xludf.DUMMYFUNCTION("""COMPUTED_VALUE"""),"да")</f>
        <v>да</v>
      </c>
      <c r="E1205" s="14" t="str">
        <f>IFERROR(__xludf.DUMMYFUNCTION("""COMPUTED_VALUE"""),"Международный комплекс «Международная хоккейная школа им. А.М. Овечкина» район Хорошево-Мневники, Нижние Мневники ул., стр. 15")</f>
        <v>Международный комплекс «Международная хоккейная школа им. А.М. Овечкина» район Хорошево-Мневники, Нижние Мневники ул., стр. 15</v>
      </c>
      <c r="F1205" s="25" t="str">
        <f>IFERROR(__xludf.DUMMYFUNCTION("""COMPUTED_VALUE"""),"55.755112")</f>
        <v>55.755112</v>
      </c>
      <c r="G1205" s="6" t="str">
        <f>IFERROR(__xludf.DUMMYFUNCTION("""COMPUTED_VALUE"""),"37.468320")</f>
        <v>37.468320</v>
      </c>
      <c r="H1205" s="18" t="str">
        <f>IFERROR(__xludf.DUMMYFUNCTION("""COMPUTED_VALUE"""),"https://docs.google.com/spreadsheets/d/1EI7qusa674eJhuaw-nWWtWMEHVSYMQv7HLsInEZTWpE/edit?gid=1026471419#gid=1026471419")</f>
        <v>https://docs.google.com/spreadsheets/d/1EI7qusa674eJhuaw-nWWtWMEHVSYMQv7HLsInEZTWpE/edit?gid=1026471419#gid=1026471419</v>
      </c>
      <c r="I1205" s="19" t="str">
        <f>IFERROR(__xludf.DUMMYFUNCTION("""COMPUTED_VALUE"""),"https://disk.yandex.ru/client/disk/Осмотры%20объектов%20АНО%20СМГ/323.%20Международная%20хоккейная%20школа%20им.%20А.М.%20Овечкина")</f>
        <v>https://disk.yandex.ru/client/disk/Осмотры%20объектов%20АНО%20СМГ/323.%20Международная%20хоккейная%20школа%20им.%20А.М.%20Овечкина</v>
      </c>
      <c r="J1205" s="50">
        <f>IFERROR(__xludf.DUMMYFUNCTION("""COMPUTED_VALUE"""),28.113999999999997)</f>
        <v>28.114</v>
      </c>
      <c r="K1205" s="58">
        <f>IFERROR(__xludf.DUMMYFUNCTION("""COMPUTED_VALUE"""),45971.0)</f>
        <v>45971</v>
      </c>
      <c r="L1205" s="6">
        <v>30.0</v>
      </c>
      <c r="M1205" s="52">
        <v>46001.0</v>
      </c>
      <c r="N1205" s="53" t="s">
        <v>711</v>
      </c>
      <c r="O1205" s="19" t="s">
        <v>1272</v>
      </c>
      <c r="P1205" s="6"/>
      <c r="Q1205" s="6"/>
      <c r="R1205" s="6"/>
    </row>
    <row r="1206">
      <c r="A1206" s="31" t="str">
        <f>IFERROR(__xludf.DUMMYFUNCTION("""COMPUTED_VALUE"""),"343")</f>
        <v>343</v>
      </c>
      <c r="B1206" s="14" t="str">
        <f>IFERROR(__xludf.DUMMYFUNCTION("""COMPUTED_VALUE"""),"ВНЕ СПИСКА")</f>
        <v>ВНЕ СПИСКА</v>
      </c>
      <c r="C1206" s="14" t="str">
        <f>IFERROR(__xludf.DUMMYFUNCTION("""COMPUTED_VALUE"""),"ОКС")</f>
        <v>ОКС</v>
      </c>
      <c r="D1206" s="6" t="str">
        <f>IFERROR(__xludf.DUMMYFUNCTION("""COMPUTED_VALUE"""),"да")</f>
        <v>да</v>
      </c>
      <c r="E1206" s="14" t="str">
        <f>IFERROR(__xludf.DUMMYFUNCTION("""COMPUTED_VALUE"""),"Учебный корпус на 925 мест в составе ЖК «Остров», СЗАО, р-н Хорошево-Мневники р-н Хорошево-Мневники, ул. Нижние Мневники, д. 18")</f>
        <v>Учебный корпус на 925 мест в составе ЖК «Остров», СЗАО, р-н Хорошево-Мневники р-н Хорошево-Мневники, ул. Нижние Мневники, д. 18</v>
      </c>
      <c r="F1206" s="25" t="str">
        <f>IFERROR(__xludf.DUMMYFUNCTION("""COMPUTED_VALUE"""),"#N/A")</f>
        <v>#N/A</v>
      </c>
      <c r="G1206" s="6" t="str">
        <f>IFERROR(__xludf.DUMMYFUNCTION("""COMPUTED_VALUE"""),"#N/A")</f>
        <v>#N/A</v>
      </c>
      <c r="H1206" s="18" t="str">
        <f>IFERROR(__xludf.DUMMYFUNCTION("""COMPUTED_VALUE"""),"https://docs.google.com/spreadsheets/d/1EI7qusa674eJhuaw-nWWtWMEHVSYMQv7HLsInEZTWpE/edit?gid=1022242891#gid=1022242891")</f>
        <v>https://docs.google.com/spreadsheets/d/1EI7qusa674eJhuaw-nWWtWMEHVSYMQv7HLsInEZTWpE/edit?gid=1022242891#gid=1022242891</v>
      </c>
      <c r="I1206" s="19" t="str">
        <f>IFERROR(__xludf.DUMMYFUNCTION("""COMPUTED_VALUE"""),"https://disk.yandex.ru/client/disk/Осмотры%20объектов%20АНО%20СМГ/343.%20Мневники%2C%2018%20СОШ%20925")</f>
        <v>https://disk.yandex.ru/client/disk/Осмотры%20объектов%20АНО%20СМГ/343.%20Мневники%2C%2018%20СОШ%20925</v>
      </c>
      <c r="J1206" s="50">
        <f>IFERROR(__xludf.DUMMYFUNCTION("""COMPUTED_VALUE"""),100.0)</f>
        <v>100</v>
      </c>
      <c r="K1206" s="58">
        <f>IFERROR(__xludf.DUMMYFUNCTION("""COMPUTED_VALUE"""),45873.0)</f>
        <v>45873</v>
      </c>
      <c r="L1206" s="6" t="s">
        <v>654</v>
      </c>
      <c r="M1206" s="52" t="s">
        <v>655</v>
      </c>
      <c r="N1206" s="53" t="s">
        <v>656</v>
      </c>
      <c r="O1206" s="19" t="s">
        <v>1273</v>
      </c>
      <c r="P1206" s="6"/>
      <c r="Q1206" s="6"/>
      <c r="R1206" s="6"/>
    </row>
    <row r="1207">
      <c r="A1207" s="31" t="str">
        <f>IFERROR(__xludf.DUMMYFUNCTION("""COMPUTED_VALUE"""),"344")</f>
        <v>344</v>
      </c>
      <c r="B1207" s="14" t="str">
        <f>IFERROR(__xludf.DUMMYFUNCTION("""COMPUTED_VALUE"""),"ВНЕ СПИСКА")</f>
        <v>ВНЕ СПИСКА</v>
      </c>
      <c r="C1207" s="14" t="str">
        <f>IFERROR(__xludf.DUMMYFUNCTION("""COMPUTED_VALUE"""),"ОКС")</f>
        <v>ОКС</v>
      </c>
      <c r="D1207" s="6" t="str">
        <f>IFERROR(__xludf.DUMMYFUNCTION("""COMPUTED_VALUE"""),"да")</f>
        <v>да</v>
      </c>
      <c r="E1207" s="14" t="str">
        <f>IFERROR(__xludf.DUMMYFUNCTION("""COMPUTED_VALUE"""),"Школа 775 мест, СЗАО, р-н Хорошево-Мневники район Хорошёво-Мнёвники, Шелепихинская набережная, д. 36А, стр.1")</f>
        <v>Школа 775 мест, СЗАО, р-н Хорошево-Мневники район Хорошёво-Мнёвники, Шелепихинская набережная, д. 36А, стр.1</v>
      </c>
      <c r="F1207" s="25" t="str">
        <f>IFERROR(__xludf.DUMMYFUNCTION("""COMPUTED_VALUE"""),"55.765579")</f>
        <v>55.765579</v>
      </c>
      <c r="G1207" s="6" t="str">
        <f>IFERROR(__xludf.DUMMYFUNCTION("""COMPUTED_VALUE"""),"37.506354")</f>
        <v>37.506354</v>
      </c>
      <c r="H1207" s="18" t="str">
        <f>IFERROR(__xludf.DUMMYFUNCTION("""COMPUTED_VALUE"""),"https://docs.google.com/spreadsheets/d/1EI7qusa674eJhuaw-nWWtWMEHVSYMQv7HLsInEZTWpE/edit?gid=376178489#gid=376178489")</f>
        <v>https://docs.google.com/spreadsheets/d/1EI7qusa674eJhuaw-nWWtWMEHVSYMQv7HLsInEZTWpE/edit?gid=376178489#gid=376178489</v>
      </c>
      <c r="I1207" s="19" t="str">
        <f>IFERROR(__xludf.DUMMYFUNCTION("""COMPUTED_VALUE"""),"https://disk.yandex.ru/client/disk/Осмотры%20объектов%20АНО%20СМГ/344.%20СОШ%20775%2C%20ул.%20Шеногина%20д.%202%2C%20стр.%202")</f>
        <v>https://disk.yandex.ru/client/disk/Осмотры%20объектов%20АНО%20СМГ/344.%20СОШ%20775%2C%20ул.%20Шеногина%20д.%202%2C%20стр.%202</v>
      </c>
      <c r="J1207" s="50">
        <f>IFERROR(__xludf.DUMMYFUNCTION("""COMPUTED_VALUE"""),100.0)</f>
        <v>100</v>
      </c>
      <c r="K1207" s="58">
        <f>IFERROR(__xludf.DUMMYFUNCTION("""COMPUTED_VALUE"""),45957.0)</f>
        <v>45957</v>
      </c>
      <c r="L1207" s="6" t="s">
        <v>654</v>
      </c>
      <c r="M1207" s="52" t="s">
        <v>655</v>
      </c>
      <c r="N1207" s="53" t="s">
        <v>656</v>
      </c>
      <c r="O1207" s="19" t="s">
        <v>1274</v>
      </c>
      <c r="P1207" s="6"/>
      <c r="Q1207" s="6"/>
      <c r="R1207" s="6"/>
    </row>
    <row r="1208">
      <c r="A1208" s="70" t="str">
        <f>IFERROR(__xludf.DUMMYFUNCTION("""COMPUTED_VALUE"""),"1036")</f>
        <v>1036</v>
      </c>
      <c r="B1208" s="14" t="str">
        <f>IFERROR(__xludf.DUMMYFUNCTION("""COMPUTED_VALUE"""),"ВНЕ СПИСКА")</f>
        <v>ВНЕ СПИСКА</v>
      </c>
      <c r="C1208" s="14" t="str">
        <f>IFERROR(__xludf.DUMMYFUNCTION("""COMPUTED_VALUE"""),"ОКС")</f>
        <v>ОКС</v>
      </c>
      <c r="D1208" s="6"/>
      <c r="E1208" s="14" t="str">
        <f>IFERROR(__xludf.DUMMYFUNCTION("""COMPUTED_VALUE"""),"Цирк на территории Мневниковской поймы ул. Нижние Мневники")</f>
        <v>Цирк на территории Мневниковской поймы ул. Нижние Мневники</v>
      </c>
      <c r="F1208" s="25" t="str">
        <f>IFERROR(__xludf.DUMMYFUNCTION("""COMPUTED_VALUE"""),"#N/A")</f>
        <v>#N/A</v>
      </c>
      <c r="G1208" s="6" t="str">
        <f>IFERROR(__xludf.DUMMYFUNCTION("""COMPUTED_VALUE"""),"#N/A")</f>
        <v>#N/A</v>
      </c>
      <c r="H1208" s="18" t="str">
        <f>IFERROR(__xludf.DUMMYFUNCTION("""COMPUTED_VALUE"""),"https://docs.google.com/spreadsheets/d/1EI7qusa674eJhuaw-nWWtWMEHVSYMQv7HLsInEZTWpE/edit?gid=1836431147#gid=1836431147")</f>
        <v>https://docs.google.com/spreadsheets/d/1EI7qusa674eJhuaw-nWWtWMEHVSYMQv7HLsInEZTWpE/edit?gid=1836431147#gid=1836431147</v>
      </c>
      <c r="I1208" s="19" t="str">
        <f>IFERROR(__xludf.DUMMYFUNCTION("""COMPUTED_VALUE"""),"https://disk.yandex.ru/client/disk/Осмотры%20объектов%20АНО%20СМГ/1036%20Цирк")</f>
        <v>https://disk.yandex.ru/client/disk/Осмотры%20объектов%20АНО%20СМГ/1036%20Цирк</v>
      </c>
      <c r="J1208" s="50">
        <f>IFERROR(__xludf.DUMMYFUNCTION("""COMPUTED_VALUE"""),0.0)</f>
        <v>0</v>
      </c>
      <c r="K1208" s="58">
        <f>IFERROR(__xludf.DUMMYFUNCTION("""COMPUTED_VALUE"""),45845.0)</f>
        <v>45845</v>
      </c>
      <c r="L1208" s="6">
        <v>30.0</v>
      </c>
      <c r="M1208" s="52">
        <v>45875.0</v>
      </c>
      <c r="N1208" s="53" t="s">
        <v>668</v>
      </c>
      <c r="O1208" s="19" t="s">
        <v>1275</v>
      </c>
      <c r="P1208" s="6"/>
      <c r="Q1208" s="6"/>
      <c r="R1208" s="6"/>
    </row>
    <row r="1209">
      <c r="A1209" s="31" t="str">
        <f>IFERROR(__xludf.DUMMYFUNCTION("""COMPUTED_VALUE"""),"299")</f>
        <v>299</v>
      </c>
      <c r="B1209" s="14" t="str">
        <f>IFERROR(__xludf.DUMMYFUNCTION("""COMPUTED_VALUE"""),"ВНЕ СПИСКА")</f>
        <v>ВНЕ СПИСКА</v>
      </c>
      <c r="C1209" s="14" t="str">
        <f>IFERROR(__xludf.DUMMYFUNCTION("""COMPUTED_VALUE"""),"ОКС")</f>
        <v>ОКС</v>
      </c>
      <c r="D1209" s="6"/>
      <c r="E1209" s="14" t="str">
        <f>IFERROR(__xludf.DUMMYFUNCTION("""COMPUTED_VALUE"""),"Строительство нового корпуса ГКБ им. В.П. Демихова по адресу: ЮВАО, р-н Текстильщики, ул. Шкулева, д. 4» р-н Текстильщики, ул. Шкулева, д. 4")</f>
        <v>Строительство нового корпуса ГКБ им. В.П. Демихова по адресу: ЮВАО, р-н Текстильщики, ул. Шкулева, д. 4» р-н Текстильщики, ул. Шкулева, д. 4</v>
      </c>
      <c r="F1209" s="25" t="str">
        <f>IFERROR(__xludf.DUMMYFUNCTION("""COMPUTED_VALUE"""),"55.692778")</f>
        <v>55.692778</v>
      </c>
      <c r="G1209" s="6" t="str">
        <f>IFERROR(__xludf.DUMMYFUNCTION("""COMPUTED_VALUE"""),"37.750593")</f>
        <v>37.750593</v>
      </c>
      <c r="H1209" s="18" t="str">
        <f>IFERROR(__xludf.DUMMYFUNCTION("""COMPUTED_VALUE"""),"https://docs.google.com/spreadsheets/d/1EI7qusa674eJhuaw-nWWtWMEHVSYMQv7HLsInEZTWpE/edit?gid=1477675576#gid=1477675576")</f>
        <v>https://docs.google.com/spreadsheets/d/1EI7qusa674eJhuaw-nWWtWMEHVSYMQv7HLsInEZTWpE/edit?gid=1477675576#gid=1477675576</v>
      </c>
      <c r="I1209" s="19" t="str">
        <f>IFERROR(__xludf.DUMMYFUNCTION("""COMPUTED_VALUE"""),"https://disk.yandex.ru/client/disk/Осмотры%20объектов%20АНО%20СМГ/299.%20Шкулева%20д.4%20ГКБ%20им.%20В.П.%20Демихова")</f>
        <v>https://disk.yandex.ru/client/disk/Осмотры%20объектов%20АНО%20СМГ/299.%20Шкулева%20д.4%20ГКБ%20им.%20В.П.%20Демихова</v>
      </c>
      <c r="J1209" s="50">
        <f>IFERROR(__xludf.DUMMYFUNCTION("""COMPUTED_VALUE"""),0.045)</f>
        <v>0.045</v>
      </c>
      <c r="K1209" s="58">
        <f>IFERROR(__xludf.DUMMYFUNCTION("""COMPUTED_VALUE"""),45971.0)</f>
        <v>45971</v>
      </c>
      <c r="L1209" s="6">
        <v>30.0</v>
      </c>
      <c r="M1209" s="52">
        <v>46001.0</v>
      </c>
      <c r="N1209" s="53" t="s">
        <v>711</v>
      </c>
      <c r="O1209" s="19" t="s">
        <v>1276</v>
      </c>
      <c r="P1209" s="6"/>
      <c r="Q1209" s="6"/>
      <c r="R1209" s="6"/>
    </row>
    <row r="1210">
      <c r="A1210" s="31" t="str">
        <f>IFERROR(__xludf.DUMMYFUNCTION("""COMPUTED_VALUE"""),"326")</f>
        <v>326</v>
      </c>
      <c r="B1210" s="14" t="str">
        <f>IFERROR(__xludf.DUMMYFUNCTION("""COMPUTED_VALUE"""),"ВНЕ СПИСКА")</f>
        <v>ВНЕ СПИСКА</v>
      </c>
      <c r="C1210" s="14" t="str">
        <f>IFERROR(__xludf.DUMMYFUNCTION("""COMPUTED_VALUE"""),"ОКС")</f>
        <v>ОКС</v>
      </c>
      <c r="D1210" s="6" t="str">
        <f>IFERROR(__xludf.DUMMYFUNCTION("""COMPUTED_VALUE"""),"да")</f>
        <v>да</v>
      </c>
      <c r="E1210" s="14" t="str">
        <f>IFERROR(__xludf.DUMMYFUNCTION("""COMPUTED_VALUE"""),"Приспособление здания под размещения офиса ООО «СИБУР» район Якиманка, ул. Большая Якиманка, д.2")</f>
        <v>Приспособление здания под размещения офиса ООО «СИБУР» район Якиманка, ул. Большая Якиманка, д.2</v>
      </c>
      <c r="F1210" s="25" t="str">
        <f>IFERROR(__xludf.DUMMYFUNCTION("""COMPUTED_VALUE"""),"55.740869")</f>
        <v>55.740869</v>
      </c>
      <c r="G1210" s="6" t="str">
        <f>IFERROR(__xludf.DUMMYFUNCTION("""COMPUTED_VALUE"""),"37.613526")</f>
        <v>37.613526</v>
      </c>
      <c r="H1210" s="18" t="str">
        <f>IFERROR(__xludf.DUMMYFUNCTION("""COMPUTED_VALUE"""),"https://docs.google.com/spreadsheets/d/1EI7qusa674eJhuaw-nWWtWMEHVSYMQv7HLsInEZTWpE/edit?gid=1476336114#gid=1476336114")</f>
        <v>https://docs.google.com/spreadsheets/d/1EI7qusa674eJhuaw-nWWtWMEHVSYMQv7HLsInEZTWpE/edit?gid=1476336114#gid=1476336114</v>
      </c>
      <c r="I1210" s="19" t="str">
        <f>IFERROR(__xludf.DUMMYFUNCTION("""COMPUTED_VALUE"""),"https://disk.yandex.ru/client/disk/Осмотры%20объектов%20АНО%20СМГ/326.%20ул%20Большая%20Якиманка%2C%202-4")</f>
        <v>https://disk.yandex.ru/client/disk/Осмотры%20объектов%20АНО%20СМГ/326.%20ул%20Большая%20Якиманка%2C%202-4</v>
      </c>
      <c r="J1210" s="50">
        <f>IFERROR(__xludf.DUMMYFUNCTION("""COMPUTED_VALUE"""),28.282967499999998)</f>
        <v>28.2829675</v>
      </c>
      <c r="K1210" s="58">
        <f>IFERROR(__xludf.DUMMYFUNCTION("""COMPUTED_VALUE"""),45971.0)</f>
        <v>45971</v>
      </c>
      <c r="L1210" s="6">
        <v>30.0</v>
      </c>
      <c r="M1210" s="52">
        <v>46001.0</v>
      </c>
      <c r="N1210" s="53" t="s">
        <v>711</v>
      </c>
      <c r="O1210" s="19" t="s">
        <v>1277</v>
      </c>
      <c r="P1210" s="6"/>
      <c r="Q1210" s="6"/>
      <c r="R1210" s="6"/>
    </row>
    <row r="1211">
      <c r="A1211" s="31" t="str">
        <f>IFERROR(__xludf.DUMMYFUNCTION("""COMPUTED_VALUE"""),"816")</f>
        <v>816</v>
      </c>
      <c r="B1211" s="14" t="str">
        <f>IFERROR(__xludf.DUMMYFUNCTION("""COMPUTED_VALUE"""),"ВНЕ СПИСКА")</f>
        <v>ВНЕ СПИСКА</v>
      </c>
      <c r="C1211" s="14" t="str">
        <f>IFERROR(__xludf.DUMMYFUNCTION("""COMPUTED_VALUE"""),"ОКС")</f>
        <v>ОКС</v>
      </c>
      <c r="D1211" s="6" t="str">
        <f>IFERROR(__xludf.DUMMYFUNCTION("""COMPUTED_VALUE"""),"да")</f>
        <v>да</v>
      </c>
      <c r="E1211" s="14" t="str">
        <f>IFERROR(__xludf.DUMMYFUNCTION("""COMPUTED_VALUE"""),"Реконструкция кинотеатра ""Ударник"" р-н Якиманка, ул Серафимовича, д.4")</f>
        <v>Реконструкция кинотеатра "Ударник" р-н Якиманка, ул Серафимовича, д.4</v>
      </c>
      <c r="F1211" s="25" t="str">
        <f>IFERROR(__xludf.DUMMYFUNCTION("""COMPUTED_VALUE"""),"55.743145")</f>
        <v>55.743145</v>
      </c>
      <c r="G1211" s="6" t="str">
        <f>IFERROR(__xludf.DUMMYFUNCTION("""COMPUTED_VALUE"""),"37.614293")</f>
        <v>37.614293</v>
      </c>
      <c r="H1211" s="18" t="str">
        <f>IFERROR(__xludf.DUMMYFUNCTION("""COMPUTED_VALUE"""),"https://docs.google.com/spreadsheets/d/1EI7qusa674eJhuaw-nWWtWMEHVSYMQv7HLsInEZTWpE/edit?gid=204053805#gid=204053805")</f>
        <v>https://docs.google.com/spreadsheets/d/1EI7qusa674eJhuaw-nWWtWMEHVSYMQv7HLsInEZTWpE/edit?gid=204053805#gid=204053805</v>
      </c>
      <c r="I1211" s="19" t="str">
        <f>IFERROR(__xludf.DUMMYFUNCTION("""COMPUTED_VALUE"""),"https://disk.yandex.ru/client/disk/Осмотры%20объектов%20АНО%20СМГ/816.%20Реконструкция%20кинотеатра%20%22Ударник%22%20ЦАО%2C%20р-н%20Якиманка%2C%20ул.%20Серафимовича%2C%20д.4")</f>
        <v>https://disk.yandex.ru/client/disk/Осмотры%20объектов%20АНО%20СМГ/816.%20Реконструкция%20кинотеатра%20%22Ударник%22%20ЦАО%2C%20р-н%20Якиманка%2C%20ул.%20Серафимовича%2C%20д.4</v>
      </c>
      <c r="J1211" s="50">
        <f>IFERROR(__xludf.DUMMYFUNCTION("""COMPUTED_VALUE"""),27.349112500000004)</f>
        <v>27.3491125</v>
      </c>
      <c r="K1211" s="58">
        <f>IFERROR(__xludf.DUMMYFUNCTION("""COMPUTED_VALUE"""),45971.0)</f>
        <v>45971</v>
      </c>
      <c r="L1211" s="6">
        <v>30.0</v>
      </c>
      <c r="M1211" s="52">
        <v>46001.0</v>
      </c>
      <c r="N1211" s="53" t="s">
        <v>711</v>
      </c>
      <c r="O1211" s="19" t="s">
        <v>669</v>
      </c>
      <c r="P1211" s="6"/>
      <c r="Q1211" s="6"/>
      <c r="R1211" s="6"/>
    </row>
    <row r="1212">
      <c r="A1212" s="31" t="str">
        <f>IFERROR(__xludf.DUMMYFUNCTION("""COMPUTED_VALUE"""),"1051")</f>
        <v>1051</v>
      </c>
      <c r="B1212" s="14" t="str">
        <f>IFERROR(__xludf.DUMMYFUNCTION("""COMPUTED_VALUE"""),"ВНЕ СПИСКА")</f>
        <v>ВНЕ СПИСКА</v>
      </c>
      <c r="C1212" s="14" t="str">
        <f>IFERROR(__xludf.DUMMYFUNCTION("""COMPUTED_VALUE"""),"ОКС")</f>
        <v>ОКС</v>
      </c>
      <c r="D1212" s="6" t="str">
        <f>IFERROR(__xludf.DUMMYFUNCTION("""COMPUTED_VALUE"""),"да")</f>
        <v>да</v>
      </c>
      <c r="E1212" s="14" t="str">
        <f>IFERROR(__xludf.DUMMYFUNCTION("""COMPUTED_VALUE"""),"Осмотр Многофункционального дворца спорта  р-н Покровское-Стрешнево, Волоколамское
шоссе, вл.71/10")</f>
        <v>Осмотр Многофункционального дворца спорта  р-н Покровское-Стрешнево, Волоколамское
шоссе, вл.71/10</v>
      </c>
      <c r="F1212" s="25" t="str">
        <f>IFERROR(__xludf.DUMMYFUNCTION("""COMPUTED_VALUE"""),"55.815876")</f>
        <v>55.815876</v>
      </c>
      <c r="G1212" s="6" t="str">
        <f>IFERROR(__xludf.DUMMYFUNCTION("""COMPUTED_VALUE"""),"37.432630")</f>
        <v>37.432630</v>
      </c>
      <c r="H1212" s="18" t="str">
        <f>IFERROR(__xludf.DUMMYFUNCTION("""COMPUTED_VALUE"""),"https://docs.google.com/spreadsheets/d/1EI7qusa674eJhuaw-nWWtWMEHVSYMQv7HLsInEZTWpE/edit?gid=340433280#gid=340433280")</f>
        <v>https://docs.google.com/spreadsheets/d/1EI7qusa674eJhuaw-nWWtWMEHVSYMQv7HLsInEZTWpE/edit?gid=340433280#gid=340433280</v>
      </c>
      <c r="I1212" s="19" t="str">
        <f>IFERROR(__xludf.DUMMYFUNCTION("""COMPUTED_VALUE"""),"https://disk.yandex.ru/client/disk/Осмотры%20объектов%20АНО%20СМГ/1051%20Дворец%20спорта%20Волоколамское%0Aшоссе%2C%20вл.71%5C10")</f>
        <v>https://disk.yandex.ru/client/disk/Осмотры%20объектов%20АНО%20СМГ/1051%20Дворец%20спорта%20Волоколамское%0Aшоссе%2C%20вл.71%5C10</v>
      </c>
      <c r="J1212" s="50">
        <f>IFERROR(__xludf.DUMMYFUNCTION("""COMPUTED_VALUE"""),0.7375)</f>
        <v>0.7375</v>
      </c>
      <c r="K1212" s="58">
        <f>IFERROR(__xludf.DUMMYFUNCTION("""COMPUTED_VALUE"""),45972.0)</f>
        <v>45972</v>
      </c>
      <c r="L1212" s="6">
        <v>30.0</v>
      </c>
      <c r="M1212" s="52">
        <v>46002.0</v>
      </c>
      <c r="N1212" s="53" t="s">
        <v>711</v>
      </c>
      <c r="O1212" s="19" t="s">
        <v>1278</v>
      </c>
      <c r="P1212" s="6"/>
      <c r="Q1212" s="6"/>
      <c r="R1212" s="6"/>
    </row>
    <row r="1213">
      <c r="A1213" s="31" t="str">
        <f>IFERROR(__xludf.DUMMYFUNCTION("""COMPUTED_VALUE"""),"316")</f>
        <v>316</v>
      </c>
      <c r="B1213" s="14" t="str">
        <f>IFERROR(__xludf.DUMMYFUNCTION("""COMPUTED_VALUE"""),"ВНЕ СПИСКА")</f>
        <v>ВНЕ СПИСКА</v>
      </c>
      <c r="C1213" s="14" t="str">
        <f>IFERROR(__xludf.DUMMYFUNCTION("""COMPUTED_VALUE"""),"ОКС")</f>
        <v>ОКС</v>
      </c>
      <c r="D1213" s="6"/>
      <c r="E1213" s="14" t="str">
        <f>IFERROR(__xludf.DUMMYFUNCTION("""COMPUTED_VALUE"""),"Строительство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 Большая Сухаревская площадь, д.3, Мещанский район,")</f>
        <v>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 Большая Сухаревская площадь, д.3, Мещанский район,</v>
      </c>
      <c r="F1213" s="25" t="str">
        <f>IFERROR(__xludf.DUMMYFUNCTION("""COMPUTED_VALUE"""),"55.774194")</f>
        <v>55.774194</v>
      </c>
      <c r="G1213" s="6" t="str">
        <f>IFERROR(__xludf.DUMMYFUNCTION("""COMPUTED_VALUE"""),"37.635238")</f>
        <v>37.635238</v>
      </c>
      <c r="H1213" s="18" t="str">
        <f>IFERROR(__xludf.DUMMYFUNCTION("""COMPUTED_VALUE"""),"https://docs.google.com/spreadsheets/d/1EI7qusa674eJhuaw-nWWtWMEHVSYMQv7HLsInEZTWpE/edit?gid=1721100499#gid=1721100499")</f>
        <v>https://docs.google.com/spreadsheets/d/1EI7qusa674eJhuaw-nWWtWMEHVSYMQv7HLsInEZTWpE/edit?gid=1721100499#gid=1721100499</v>
      </c>
      <c r="I1213" s="19" t="str">
        <f>IFERROR(__xludf.DUMMYFUNCTION("""COMPUTED_VALUE"""),"https://disk.yandex.ru/client/disk/Осмотры%20объектов%20АНО%20СМГ/316.%20Склифосовского%20больн.%20Б.%20Сухаревская%20пл.%203")</f>
        <v>https://disk.yandex.ru/client/disk/Осмотры%20объектов%20АНО%20СМГ/316.%20Склифосовского%20больн.%20Б.%20Сухаревская%20пл.%203</v>
      </c>
      <c r="J1213" s="50">
        <f>IFERROR(__xludf.DUMMYFUNCTION("""COMPUTED_VALUE"""),3.08)</f>
        <v>3.08</v>
      </c>
      <c r="K1213" s="58">
        <f>IFERROR(__xludf.DUMMYFUNCTION("""COMPUTED_VALUE"""),45971.0)</f>
        <v>45971</v>
      </c>
      <c r="L1213" s="6">
        <v>30.0</v>
      </c>
      <c r="M1213" s="52">
        <v>46001.0</v>
      </c>
      <c r="N1213" s="53" t="s">
        <v>711</v>
      </c>
      <c r="O1213" s="19" t="s">
        <v>1279</v>
      </c>
      <c r="P1213" s="6"/>
      <c r="Q1213" s="6"/>
      <c r="R1213" s="6"/>
    </row>
    <row r="1214">
      <c r="A1214" s="31" t="str">
        <f>IFERROR(__xludf.DUMMYFUNCTION("""COMPUTED_VALUE"""),"129")</f>
        <v>129</v>
      </c>
      <c r="B1214" s="14" t="str">
        <f>IFERROR(__xludf.DUMMYFUNCTION("""COMPUTED_VALUE"""),"ВНЕ СПИСКА")</f>
        <v>ВНЕ СПИСКА</v>
      </c>
      <c r="C1214" s="14" t="str">
        <f>IFERROR(__xludf.DUMMYFUNCTION("""COMPUTED_VALUE"""),"ОКС")</f>
        <v>ОКС</v>
      </c>
      <c r="D1214" s="6"/>
      <c r="E1214" s="14" t="str">
        <f>IFERROR(__xludf.DUMMYFUNCTION("""COMPUTED_VALUE"""),"Физкультурно-оздоровительный комплекс СВАО, район Алексеевский район Алексеевский, 3-я Мытищинская ул., д. 5")</f>
        <v>Физкультурно-оздоровительный комплекс СВАО, район Алексеевский район Алексеевский, 3-я Мытищинская ул., д. 5</v>
      </c>
      <c r="F1214" s="25" t="str">
        <f>IFERROR(__xludf.DUMMYFUNCTION("""COMPUTED_VALUE"""),"#N/A")</f>
        <v>#N/A</v>
      </c>
      <c r="G1214" s="6" t="str">
        <f>IFERROR(__xludf.DUMMYFUNCTION("""COMPUTED_VALUE"""),"#N/A")</f>
        <v>#N/A</v>
      </c>
      <c r="H1214" s="18" t="str">
        <f>IFERROR(__xludf.DUMMYFUNCTION("""COMPUTED_VALUE"""),"https://docs.google.com/spreadsheets/d/1EI7qusa674eJhuaw-nWWtWMEHVSYMQv7HLsInEZTWpE/edit?gid=800886527#gid=800886527")</f>
        <v>https://docs.google.com/spreadsheets/d/1EI7qusa674eJhuaw-nWWtWMEHVSYMQv7HLsInEZTWpE/edit?gid=800886527#gid=800886527</v>
      </c>
      <c r="I1214" s="21" t="str">
        <f>IFERROR(__xludf.DUMMYFUNCTION("""COMPUTED_VALUE"""),"https://disk.yandex.ru/client/disk/%D0%9E%D1%81%D0%BC%D0%BE%D1%82%D1%80%D1%8B%20%D0%BE%D0%B1%D1%8A%D0%B5%D0%BA%D1%82%D0%BE%D0%B2%20%D0%90%D0%9D%D0%9E%20%D0%A1%D0%9C%D0%93/129%203-%D1%8F%20%D0%9C%D1%8B%D1%82%D0%B8%D1%89%D0%B8%D0%BD%D1%81%D0%BA%D0%B0%D1%8F%"&amp;"20%D1%83%D0%BB%D0%B8%D1%86%D0%B0%2C%205%D1%811")</f>
        <v>https://disk.yandex.ru/client/disk/%D0%9E%D1%81%D0%BC%D0%BE%D1%82%D1%80%D1%8B%20%D0%BE%D0%B1%D1%8A%D0%B5%D0%BA%D1%82%D0%BE%D0%B2%20%D0%90%D0%9D%D0%9E%20%D0%A1%D0%9C%D0%93/129%203-%D1%8F%20%D0%9C%D1%8B%D1%82%D0%B8%D1%89%D0%B8%D0%BD%D1%81%D0%BA%D0%B0%D1%8F%20%D1%83%D0%BB%D0%B8%D1%86%D0%B0%2C%205%D1%811</v>
      </c>
      <c r="J1214" s="50">
        <f>IFERROR(__xludf.DUMMYFUNCTION("""COMPUTED_VALUE"""),100.0)</f>
        <v>100</v>
      </c>
      <c r="K1214" s="58">
        <f>IFERROR(__xludf.DUMMYFUNCTION("""COMPUTED_VALUE"""),45805.0)</f>
        <v>45805</v>
      </c>
      <c r="L1214" s="6" t="s">
        <v>654</v>
      </c>
      <c r="M1214" s="52" t="s">
        <v>655</v>
      </c>
      <c r="N1214" s="53" t="s">
        <v>656</v>
      </c>
      <c r="O1214" s="19"/>
      <c r="P1214" s="6"/>
      <c r="Q1214" s="6"/>
      <c r="R1214" s="6"/>
    </row>
    <row r="1215">
      <c r="A1215" s="31" t="str">
        <f>IFERROR(__xludf.DUMMYFUNCTION("""COMPUTED_VALUE"""),"НД")</f>
        <v>НД</v>
      </c>
      <c r="B1215" s="14" t="str">
        <f>IFERROR(__xludf.DUMMYFUNCTION("""COMPUTED_VALUE"""),"ВНЕ СПИСКА")</f>
        <v>ВНЕ СПИСКА</v>
      </c>
      <c r="C1215" s="14" t="str">
        <f>IFERROR(__xludf.DUMMYFUNCTION("""COMPUTED_VALUE"""),"ОКС")</f>
        <v>ОКС</v>
      </c>
      <c r="D1215" s="6" t="str">
        <f>IFERROR(__xludf.DUMMYFUNCTION("""COMPUTED_VALUE"""),"да")</f>
        <v>да</v>
      </c>
      <c r="E1215" s="14" t="str">
        <f>IFERROR(__xludf.DUMMYFUNCTION("""COMPUTED_VALUE"""),"О Концепции развития части Коммунарки - размещение ФГБОУ ВО «МГТУ Станкин», ТиНАО. ")</f>
        <v>О Концепции развития части Коммунарки - размещение ФГБОУ ВО «МГТУ Станкин», ТиНАО. </v>
      </c>
      <c r="F1215" s="25" t="str">
        <f>IFERROR(__xludf.DUMMYFUNCTION("""COMPUTED_VALUE"""),"#N/A")</f>
        <v>#N/A</v>
      </c>
      <c r="G1215" s="6" t="str">
        <f>IFERROR(__xludf.DUMMYFUNCTION("""COMPUTED_VALUE"""),"#N/A")</f>
        <v>#N/A</v>
      </c>
      <c r="H1215" s="6"/>
      <c r="I1215" s="19"/>
      <c r="J1215" s="50"/>
      <c r="K1215" s="58"/>
      <c r="L1215" s="6">
        <v>30.0</v>
      </c>
      <c r="M1215" s="52" t="s">
        <v>655</v>
      </c>
      <c r="N1215" s="53" t="s">
        <v>698</v>
      </c>
      <c r="O1215" s="19"/>
      <c r="P1215" s="6"/>
      <c r="Q1215" s="6"/>
      <c r="R1215" s="6"/>
    </row>
    <row r="1216">
      <c r="A1216" s="31" t="str">
        <f>IFERROR(__xludf.DUMMYFUNCTION("""COMPUTED_VALUE"""),"278")</f>
        <v>278</v>
      </c>
      <c r="B1216" s="14" t="str">
        <f>IFERROR(__xludf.DUMMYFUNCTION("""COMPUTED_VALUE"""),"ВНЕ СПИСКА")</f>
        <v>ВНЕ СПИСКА</v>
      </c>
      <c r="C1216" s="14" t="str">
        <f>IFERROR(__xludf.DUMMYFUNCTION("""COMPUTED_VALUE"""),"ОКС")</f>
        <v>ОКС</v>
      </c>
      <c r="D1216" s="6"/>
      <c r="E1216" s="14" t="str">
        <f>IFERROR(__xludf.DUMMYFUNCTION("""COMPUTED_VALUE""")," Школьное здание на 1700 мест на месте сноса зданий по адресам: Большой Факельный пер., д.23, стр.1-1А, Добровольческая ул., д.28, стр.1, р-н Таганский»; Большой Факельный пер., д. 23, стр. 1-1А, Добровольческая ул., д. 28, стр. 1, р-н Таганский")</f>
        <v> Школьное здание на 1700 мест на месте сноса зданий по адресам: Большой Факельный пер., д.23, стр.1-1А, Добровольческая ул., д.28, стр.1, р-н Таганский»; Большой Факельный пер., д. 23, стр. 1-1А, Добровольческая ул., д. 28, стр. 1, р-н Таганский</v>
      </c>
      <c r="F1216" s="25" t="str">
        <f>IFERROR(__xludf.DUMMYFUNCTION("""COMPUTED_VALUE"""),"#N/A")</f>
        <v>#N/A</v>
      </c>
      <c r="G1216" s="6" t="str">
        <f>IFERROR(__xludf.DUMMYFUNCTION("""COMPUTED_VALUE"""),"#N/A")</f>
        <v>#N/A</v>
      </c>
      <c r="H1216" s="18" t="str">
        <f>IFERROR(__xludf.DUMMYFUNCTION("""COMPUTED_VALUE"""),"https://docs.google.com/spreadsheets/d/1EI7qusa674eJhuaw-nWWtWMEHVSYMQv7HLsInEZTWpE/edit?gid=893741995#gid=893741995")</f>
        <v>https://docs.google.com/spreadsheets/d/1EI7qusa674eJhuaw-nWWtWMEHVSYMQv7HLsInEZTWpE/edit?gid=893741995#gid=893741995</v>
      </c>
      <c r="I1216" s="19" t="str">
        <f>IFERROR(__xludf.DUMMYFUNCTION("""COMPUTED_VALUE"""),"https://disk.yandex.ru/client/disk/Осмотры%20объектов%20АНО%20СМГ/278%20Школьное%20здание%20на%201700%20мест%2C%20по%20адресу%20Большой%20Факельный%20пер.%2C%20д.%2023%2C%20стр.%201-1АДобровольческая%20ул.%2C%20д.%2028%2C%20стр.%201%2C%20р-н%20Таганский")</f>
        <v>https://disk.yandex.ru/client/disk/Осмотры%20объектов%20АНО%20СМГ/278%20Школьное%20здание%20на%201700%20мест%2C%20по%20адресу%20Большой%20Факельный%20пер.%2C%20д.%2023%2C%20стр.%201-1АДобровольческая%20ул.%2C%20д.%2028%2C%20стр.%201%2C%20р-н%20Таганский</v>
      </c>
      <c r="J1216" s="50">
        <f>IFERROR(__xludf.DUMMYFUNCTION("""COMPUTED_VALUE"""),0.0)</f>
        <v>0</v>
      </c>
      <c r="K1216" s="58">
        <f>IFERROR(__xludf.DUMMYFUNCTION("""COMPUTED_VALUE"""),45717.0)</f>
        <v>45717</v>
      </c>
      <c r="L1216" s="6">
        <v>30.0</v>
      </c>
      <c r="M1216" s="52">
        <v>45747.0</v>
      </c>
      <c r="N1216" s="53" t="s">
        <v>668</v>
      </c>
      <c r="O1216" s="19" t="s">
        <v>1280</v>
      </c>
      <c r="P1216" s="6"/>
      <c r="Q1216" s="6"/>
      <c r="R1216" s="6"/>
    </row>
    <row r="1217">
      <c r="A1217" s="31" t="str">
        <f>IFERROR(__xludf.DUMMYFUNCTION("""COMPUTED_VALUE"""),"НД")</f>
        <v>НД</v>
      </c>
      <c r="B1217" s="14" t="str">
        <f>IFERROR(__xludf.DUMMYFUNCTION("""COMPUTED_VALUE"""),"ВНЕ СПИСКА")</f>
        <v>ВНЕ СПИСКА</v>
      </c>
      <c r="C1217" s="14" t="str">
        <f>IFERROR(__xludf.DUMMYFUNCTION("""COMPUTED_VALUE"""),"ОКС")</f>
        <v>ОКС</v>
      </c>
      <c r="D1217" s="6"/>
      <c r="E1217" s="14" t="str">
        <f>IFERROR(__xludf.DUMMYFUNCTION("""COMPUTED_VALUE"""),"Школьное здание на 2200 мест, на месте сноса зданий по адресам: Олимпийский пр-кт, д. 11, стр. 1, стр. 2, ул. Трифоновская д. 31А, р-н Мещанский Олимпийский пр-кт, д. 11, стр. 1, стр. 2, ул. Трифоновская д. 31А, р-н Мещанский")</f>
        <v>Школьное здание на 2200 мест, на месте сноса зданий по адресам: Олимпийский пр-кт, д. 11, стр. 1, стр. 2, ул. Трифоновская д. 31А, р-н Мещанский Олимпийский пр-кт, д. 11, стр. 1, стр. 2, ул. Трифоновская д. 31А, р-н Мещанский</v>
      </c>
      <c r="F1217" s="25" t="str">
        <f>IFERROR(__xludf.DUMMYFUNCTION("""COMPUTED_VALUE"""),"#N/A")</f>
        <v>#N/A</v>
      </c>
      <c r="G1217" s="6" t="str">
        <f>IFERROR(__xludf.DUMMYFUNCTION("""COMPUTED_VALUE"""),"#N/A")</f>
        <v>#N/A</v>
      </c>
      <c r="H1217" s="6"/>
      <c r="I1217" s="19"/>
      <c r="J1217" s="50"/>
      <c r="K1217" s="58"/>
      <c r="L1217" s="6">
        <v>30.0</v>
      </c>
      <c r="M1217" s="52" t="s">
        <v>655</v>
      </c>
      <c r="N1217" s="53" t="s">
        <v>698</v>
      </c>
      <c r="O1217" s="19" t="s">
        <v>1281</v>
      </c>
      <c r="P1217" s="6"/>
      <c r="Q1217" s="6"/>
      <c r="R1217" s="6"/>
    </row>
    <row r="1218">
      <c r="A1218" s="31" t="str">
        <f>IFERROR(__xludf.DUMMYFUNCTION("""COMPUTED_VALUE"""),"279")</f>
        <v>279</v>
      </c>
      <c r="B1218" s="14" t="str">
        <f>IFERROR(__xludf.DUMMYFUNCTION("""COMPUTED_VALUE"""),"ВНЕ СПИСКА")</f>
        <v>ВНЕ СПИСКА</v>
      </c>
      <c r="C1218" s="14" t="str">
        <f>IFERROR(__xludf.DUMMYFUNCTION("""COMPUTED_VALUE"""),"ОКС")</f>
        <v>ОКС</v>
      </c>
      <c r="D1218" s="6"/>
      <c r="E1218" s="14" t="str">
        <f>IFERROR(__xludf.DUMMYFUNCTION("""COMPUTED_VALUE"""),"Школьное здание на 1100 мест на месте сноса здания по адресам: Большой Кондратьевский пер., д. 3, д. 5, р-н Пресненский Большой Кондратьевский пер., д. 3, д. 5, р-н Пресненский")</f>
        <v>Школьное здание на 1100 мест на месте сноса здания по адресам: Большой Кондратьевский пер., д. 3, д. 5, р-н Пресненский Большой Кондратьевский пер., д. 3, д. 5, р-н Пресненский</v>
      </c>
      <c r="F1218" s="25" t="str">
        <f>IFERROR(__xludf.DUMMYFUNCTION("""COMPUTED_VALUE"""),"55.772714048554896")</f>
        <v>55.772714048554896</v>
      </c>
      <c r="G1218" s="6" t="str">
        <f>IFERROR(__xludf.DUMMYFUNCTION("""COMPUTED_VALUE"""),"37.5824570846556")</f>
        <v>37.5824570846556</v>
      </c>
      <c r="H1218" s="18" t="str">
        <f>IFERROR(__xludf.DUMMYFUNCTION("""COMPUTED_VALUE"""),"https://docs.google.com/spreadsheets/d/1EI7qusa674eJhuaw-nWWtWMEHVSYMQv7HLsInEZTWpE/edit?gid=2141463724#gid=2141463724")</f>
        <v>https://docs.google.com/spreadsheets/d/1EI7qusa674eJhuaw-nWWtWMEHVSYMQv7HLsInEZTWpE/edit?gid=2141463724#gid=2141463724</v>
      </c>
      <c r="I1218" s="19" t="str">
        <f>IFERROR(__xludf.DUMMYFUNCTION("""COMPUTED_VALUE"""),"https://disk.yandex.ru/client/disk/Осмотры%20объектов%20АНО%20СМГ/279.%20Б.%20Кондратьевский%20пер.%2C%20д.%203%2C%20д.%205")</f>
        <v>https://disk.yandex.ru/client/disk/Осмотры%20объектов%20АНО%20СМГ/279.%20Б.%20Кондратьевский%20пер.%2C%20д.%203%2C%20д.%205</v>
      </c>
      <c r="J1218" s="50">
        <f>IFERROR(__xludf.DUMMYFUNCTION("""COMPUTED_VALUE"""),0.0)</f>
        <v>0</v>
      </c>
      <c r="K1218" s="58">
        <f>IFERROR(__xludf.DUMMYFUNCTION("""COMPUTED_VALUE"""),45960.0)</f>
        <v>45960</v>
      </c>
      <c r="L1218" s="6">
        <v>30.0</v>
      </c>
      <c r="M1218" s="52">
        <v>45990.0</v>
      </c>
      <c r="N1218" s="53" t="s">
        <v>692</v>
      </c>
      <c r="O1218" s="19" t="s">
        <v>1282</v>
      </c>
      <c r="P1218" s="6"/>
      <c r="Q1218" s="6"/>
      <c r="R1218" s="6"/>
    </row>
    <row r="1219">
      <c r="A1219" s="31" t="str">
        <f>IFERROR(__xludf.DUMMYFUNCTION("""COMPUTED_VALUE"""),"1283")</f>
        <v>1283</v>
      </c>
      <c r="B1219" s="14" t="str">
        <f>IFERROR(__xludf.DUMMYFUNCTION("""COMPUTED_VALUE"""),"ВНЕ СПИСКА")</f>
        <v>ВНЕ СПИСКА</v>
      </c>
      <c r="C1219" s="14" t="str">
        <f>IFERROR(__xludf.DUMMYFUNCTION("""COMPUTED_VALUE"""),"ОКС")</f>
        <v>ОКС</v>
      </c>
      <c r="D1219" s="6" t="str">
        <f>IFERROR(__xludf.DUMMYFUNCTION("""COMPUTED_VALUE"""),"да")</f>
        <v>да</v>
      </c>
      <c r="E1219" s="14" t="str">
        <f>IFERROR(__xludf.DUMMYFUNCTION("""COMPUTED_VALUE"""),"Реконструкция спортивного комплекса ""Олимпийский"" Олимпийский проспект, 16, стр. 1, стр. 2, стр. 3, стр. 4 ")</f>
        <v>Реконструкция спортивного комплекса "Олимпийский" Олимпийский проспект, 16, стр. 1, стр. 2, стр. 3, стр. 4 </v>
      </c>
      <c r="F1219" s="25" t="str">
        <f>IFERROR(__xludf.DUMMYFUNCTION("""COMPUTED_VALUE"""),"55.782195")</f>
        <v>55.782195</v>
      </c>
      <c r="G1219" s="6" t="str">
        <f>IFERROR(__xludf.DUMMYFUNCTION("""COMPUTED_VALUE"""),"37.626375")</f>
        <v>37.626375</v>
      </c>
      <c r="H1219" s="18" t="str">
        <f>IFERROR(__xludf.DUMMYFUNCTION("""COMPUTED_VALUE"""),"https://docs.google.com/spreadsheets/d/1EI7qusa674eJhuaw-nWWtWMEHVSYMQv7HLsInEZTWpE/edit?gid=1656513014#gid=1656513014")</f>
        <v>https://docs.google.com/spreadsheets/d/1EI7qusa674eJhuaw-nWWtWMEHVSYMQv7HLsInEZTWpE/edit?gid=1656513014#gid=1656513014</v>
      </c>
      <c r="I1219" s="19" t="str">
        <f>IFERROR(__xludf.DUMMYFUNCTION("""COMPUTED_VALUE"""),"https://disk.yandex.ru/client/disk/Осмотры%20объектов%20АНО%20СМГ/1046%20СК%20Олимпийский")</f>
        <v>https://disk.yandex.ru/client/disk/Осмотры%20объектов%20АНО%20СМГ/1046%20СК%20Олимпийский</v>
      </c>
      <c r="J1219" s="50">
        <f>IFERROR(__xludf.DUMMYFUNCTION("""COMPUTED_VALUE"""),0.0)</f>
        <v>0</v>
      </c>
      <c r="K1219" s="58">
        <f>IFERROR(__xludf.DUMMYFUNCTION("""COMPUTED_VALUE"""),45971.0)</f>
        <v>45971</v>
      </c>
      <c r="L1219" s="6">
        <v>30.0</v>
      </c>
      <c r="M1219" s="52">
        <v>46001.0</v>
      </c>
      <c r="N1219" s="53" t="s">
        <v>711</v>
      </c>
      <c r="O1219" s="19" t="s">
        <v>669</v>
      </c>
      <c r="P1219" s="6"/>
      <c r="Q1219" s="6"/>
      <c r="R1219" s="6"/>
    </row>
    <row r="1220">
      <c r="A1220" s="31" t="str">
        <f>IFERROR(__xludf.DUMMYFUNCTION("""COMPUTED_VALUE"""),"350")</f>
        <v>350</v>
      </c>
      <c r="B1220" s="14" t="str">
        <f>IFERROR(__xludf.DUMMYFUNCTION("""COMPUTED_VALUE"""),"ВНЕ СПИСКА")</f>
        <v>ВНЕ СПИСКА</v>
      </c>
      <c r="C1220" s="14" t="str">
        <f>IFERROR(__xludf.DUMMYFUNCTION("""COMPUTED_VALUE"""),"ОКС")</f>
        <v>ОКС</v>
      </c>
      <c r="D1220" s="6" t="str">
        <f>IFERROR(__xludf.DUMMYFUNCTION("""COMPUTED_VALUE"""),"да")</f>
        <v>да</v>
      </c>
      <c r="E1220" s="14" t="str">
        <f>IFERROR(__xludf.DUMMYFUNCTION("""COMPUTED_VALUE"""),"Школа на 815 мест, СЗАО, район Покровское-Стрешнево район Покровское-Стрешнево, Волоколамское шоссе, вл. 95/2")</f>
        <v>Школа на 815 мест, СЗАО, район Покровское-Стрешнево район Покровское-Стрешнево, Волоколамское шоссе, вл. 95/2</v>
      </c>
      <c r="F1220" s="25" t="str">
        <f>IFERROR(__xludf.DUMMYFUNCTION("""COMPUTED_VALUE"""),"55.830049")</f>
        <v>55.830049</v>
      </c>
      <c r="G1220" s="6" t="str">
        <f>IFERROR(__xludf.DUMMYFUNCTION("""COMPUTED_VALUE"""),"37.400055")</f>
        <v>37.400055</v>
      </c>
      <c r="H1220" s="18" t="str">
        <f>IFERROR(__xludf.DUMMYFUNCTION("""COMPUTED_VALUE"""),"https://docs.google.com/spreadsheets/d/1EI7qusa674eJhuaw-nWWtWMEHVSYMQv7HLsInEZTWpE/edit?gid=191758898#gid=191758898")</f>
        <v>https://docs.google.com/spreadsheets/d/1EI7qusa674eJhuaw-nWWtWMEHVSYMQv7HLsInEZTWpE/edit?gid=191758898#gid=191758898</v>
      </c>
      <c r="I1220" s="19" t="str">
        <f>IFERROR(__xludf.DUMMYFUNCTION("""COMPUTED_VALUE"""),"https://disk.yandex.ru/client/disk/Осмотры%20объектов%20АНО%20СМГ/350.%20Волоколамское%20ш.%2095к2%20СОШ%20на%20815%20чел")</f>
        <v>https://disk.yandex.ru/client/disk/Осмотры%20объектов%20АНО%20СМГ/350.%20Волоколамское%20ш.%2095к2%20СОШ%20на%20815%20чел</v>
      </c>
      <c r="J1220" s="50">
        <f>IFERROR(__xludf.DUMMYFUNCTION("""COMPUTED_VALUE"""),74.0498725)</f>
        <v>74.0498725</v>
      </c>
      <c r="K1220" s="58">
        <f>IFERROR(__xludf.DUMMYFUNCTION("""COMPUTED_VALUE"""),45971.0)</f>
        <v>45971</v>
      </c>
      <c r="L1220" s="6">
        <v>14.0</v>
      </c>
      <c r="M1220" s="52">
        <v>45985.0</v>
      </c>
      <c r="N1220" s="53" t="s">
        <v>711</v>
      </c>
      <c r="O1220" s="19" t="s">
        <v>1283</v>
      </c>
      <c r="P1220" s="6"/>
      <c r="Q1220" s="6"/>
      <c r="R1220" s="6"/>
    </row>
    <row r="1221">
      <c r="A1221" s="31" t="str">
        <f>IFERROR(__xludf.DUMMYFUNCTION("""COMPUTED_VALUE"""),"1050")</f>
        <v>1050</v>
      </c>
      <c r="B1221" s="14" t="str">
        <f>IFERROR(__xludf.DUMMYFUNCTION("""COMPUTED_VALUE"""),"ВНЕ СПИСКА")</f>
        <v>ВНЕ СПИСКА</v>
      </c>
      <c r="C1221" s="14" t="str">
        <f>IFERROR(__xludf.DUMMYFUNCTION("""COMPUTED_VALUE"""),"ОКС")</f>
        <v>ОКС</v>
      </c>
      <c r="D1221" s="6" t="str">
        <f>IFERROR(__xludf.DUMMYFUNCTION("""COMPUTED_VALUE"""),"да")</f>
        <v>да</v>
      </c>
      <c r="E1221" s="14" t="str">
        <f>IFERROR(__xludf.DUMMYFUNCTION("""COMPUTED_VALUE"""),"Осмотр делового центра SLAVA с подземной автостоянкой р-н Беговой, ул. 1-я Ямского Поля, вл.8, вл.10, стр.1")</f>
        <v>Осмотр делового центра SLAVA с подземной автостоянкой р-н Беговой, ул. 1-я Ямского Поля, вл.8, вл.10, стр.1</v>
      </c>
      <c r="F1221" s="25" t="str">
        <f>IFERROR(__xludf.DUMMYFUNCTION("""COMPUTED_VALUE"""),"#N/A")</f>
        <v>#N/A</v>
      </c>
      <c r="G1221" s="6" t="str">
        <f>IFERROR(__xludf.DUMMYFUNCTION("""COMPUTED_VALUE"""),"#N/A")</f>
        <v>#N/A</v>
      </c>
      <c r="H1221" s="18" t="str">
        <f>IFERROR(__xludf.DUMMYFUNCTION("""COMPUTED_VALUE"""),"https://docs.google.com/spreadsheets/d/1EI7qusa674eJhuaw-nWWtWMEHVSYMQv7HLsInEZTWpE/edit?gid=904343582#gid=904343582")</f>
        <v>https://docs.google.com/spreadsheets/d/1EI7qusa674eJhuaw-nWWtWMEHVSYMQv7HLsInEZTWpE/edit?gid=904343582#gid=904343582</v>
      </c>
      <c r="I1221" s="19" t="str">
        <f>IFERROR(__xludf.DUMMYFUNCTION("""COMPUTED_VALUE"""),"https://disk.yandex.ru/client/disk/Осмотры%20объектов%20АНО%20СМГ/1050.%20Осмотр%20делового%20центра%20SLAVA%20с%20подземной%20автостоянкой.%20САО%2C%20р-н%20Беговой%2C%20ул.%201-я%20Ямского%20Поля%2C%20вл.8%2C%20вл.10%2C%20стр.1")</f>
        <v>https://disk.yandex.ru/client/disk/Осмотры%20объектов%20АНО%20СМГ/1050.%20Осмотр%20делового%20центра%20SLAVA%20с%20подземной%20автостоянкой.%20САО%2C%20р-н%20Беговой%2C%20ул.%201-я%20Ямского%20Поля%2C%20вл.8%2C%20вл.10%2C%20стр.1</v>
      </c>
      <c r="J1221" s="50">
        <f>IFERROR(__xludf.DUMMYFUNCTION("""COMPUTED_VALUE"""),0.0)</f>
        <v>0</v>
      </c>
      <c r="K1221" s="58">
        <f>IFERROR(__xludf.DUMMYFUNCTION("""COMPUTED_VALUE"""),45831.0)</f>
        <v>45831</v>
      </c>
      <c r="L1221" s="6">
        <v>30.0</v>
      </c>
      <c r="M1221" s="52">
        <v>45861.0</v>
      </c>
      <c r="N1221" s="53" t="s">
        <v>668</v>
      </c>
      <c r="O1221" s="19"/>
      <c r="P1221" s="6"/>
      <c r="Q1221" s="6"/>
      <c r="R1221" s="6"/>
    </row>
    <row r="1222">
      <c r="A1222" s="31" t="str">
        <f>IFERROR(__xludf.DUMMYFUNCTION("""COMPUTED_VALUE"""),"1155")</f>
        <v>1155</v>
      </c>
      <c r="B1222" s="14" t="str">
        <f>IFERROR(__xludf.DUMMYFUNCTION("""COMPUTED_VALUE"""),"ВНЕ СПИСКА")</f>
        <v>ВНЕ СПИСКА</v>
      </c>
      <c r="C1222" s="14" t="str">
        <f>IFERROR(__xludf.DUMMYFUNCTION("""COMPUTED_VALUE"""),"ОКС")</f>
        <v>ОКС</v>
      </c>
      <c r="D1222" s="6" t="str">
        <f>IFERROR(__xludf.DUMMYFUNCTION("""COMPUTED_VALUE"""),"да")</f>
        <v>да</v>
      </c>
      <c r="E1222" s="14" t="str">
        <f>IFERROR(__xludf.DUMMYFUNCTION("""COMPUTED_VALUE""")," Здание общеобразовательной организации (дошкольное образование 200 мест) Куприна просп., д.40, стр.7")</f>
        <v> Здание общеобразовательной организации (дошкольное образование 200 мест) Куприна просп., д.40, стр.7</v>
      </c>
      <c r="F1222" s="25" t="str">
        <f>IFERROR(__xludf.DUMMYFUNCTION("""COMPUTED_VALUE"""),"#N/A")</f>
        <v>#N/A</v>
      </c>
      <c r="G1222" s="6" t="str">
        <f>IFERROR(__xludf.DUMMYFUNCTION("""COMPUTED_VALUE"""),"#N/A")</f>
        <v>#N/A</v>
      </c>
      <c r="H1222" s="18" t="str">
        <f>IFERROR(__xludf.DUMMYFUNCTION("""COMPUTED_VALUE"""),"https://docs.google.com/spreadsheets/d/1EI7qusa674eJhuaw-nWWtWMEHVSYMQv7HLsInEZTWpE/edit?gid=346643288#gid=346643288")</f>
        <v>https://docs.google.com/spreadsheets/d/1EI7qusa674eJhuaw-nWWtWMEHVSYMQv7HLsInEZTWpE/edit?gid=346643288#gid=346643288</v>
      </c>
      <c r="I1222" s="19" t="str">
        <f>IFERROR(__xludf.DUMMYFUNCTION("""COMPUTED_VALUE"""),"https://disk.yandex.ru/client/disk/Осмотры%20объектов%20АНО%20СМГ/1155.%20Здание%20общеобразовательной%20организации%20(дошкольное%20образование)%20на%20200%20мест.%20Москва%2C%20пос.%20Сосенское%2C%20деревня%20Столбово%2C%20в%20составе%20ЖК%20%22Южное%20"&amp;"Бунино%22")</f>
        <v>https://disk.yandex.ru/client/disk/Осмотры%20объектов%20АНО%20СМГ/1155.%20Здание%20общеобразовательной%20организации%20(дошкольное%20образование)%20на%20200%20мест.%20Москва%2C%20пос.%20Сосенское%2C%20деревня%20Столбово%2C%20в%20составе%20ЖК%20%22Южное%20Бунино%22</v>
      </c>
      <c r="J1222" s="50">
        <f>IFERROR(__xludf.DUMMYFUNCTION("""COMPUTED_VALUE"""),95.91409999999999)</f>
        <v>95.9141</v>
      </c>
      <c r="K1222" s="58">
        <f>IFERROR(__xludf.DUMMYFUNCTION("""COMPUTED_VALUE"""),45890.0)</f>
        <v>45890</v>
      </c>
      <c r="L1222" s="6">
        <v>7.0</v>
      </c>
      <c r="M1222" s="52">
        <v>45897.0</v>
      </c>
      <c r="N1222" s="53" t="s">
        <v>652</v>
      </c>
      <c r="O1222" s="19" t="s">
        <v>1284</v>
      </c>
      <c r="P1222" s="6"/>
      <c r="Q1222" s="6"/>
      <c r="R1222" s="6"/>
    </row>
    <row r="1223">
      <c r="A1223" s="31" t="str">
        <f>IFERROR(__xludf.DUMMYFUNCTION("""COMPUTED_VALUE"""),"1154")</f>
        <v>1154</v>
      </c>
      <c r="B1223" s="14" t="str">
        <f>IFERROR(__xludf.DUMMYFUNCTION("""COMPUTED_VALUE"""),"ВНЕ СПИСКА")</f>
        <v>ВНЕ СПИСКА</v>
      </c>
      <c r="C1223" s="14" t="str">
        <f>IFERROR(__xludf.DUMMYFUNCTION("""COMPUTED_VALUE"""),"ОКС")</f>
        <v>ОКС</v>
      </c>
      <c r="D1223" s="6" t="str">
        <f>IFERROR(__xludf.DUMMYFUNCTION("""COMPUTED_VALUE"""),"да")</f>
        <v>да</v>
      </c>
      <c r="E1223" s="14" t="str">
        <f>IFERROR(__xludf.DUMMYFUNCTION("""COMPUTED_VALUE"""),"Здание общеобразовательной организации на 825 мест Куприна просп., д.30, стр.3
")</f>
        <v>Здание общеобразовательной организации на 825 мест Куприна просп., д.30, стр.3
</v>
      </c>
      <c r="F1223" s="25" t="str">
        <f>IFERROR(__xludf.DUMMYFUNCTION("""COMPUTED_VALUE"""),"#N/A")</f>
        <v>#N/A</v>
      </c>
      <c r="G1223" s="6" t="str">
        <f>IFERROR(__xludf.DUMMYFUNCTION("""COMPUTED_VALUE"""),"#N/A")</f>
        <v>#N/A</v>
      </c>
      <c r="H1223" s="18" t="str">
        <f>IFERROR(__xludf.DUMMYFUNCTION("""COMPUTED_VALUE"""),"https://docs.google.com/spreadsheets/d/1EI7qusa674eJhuaw-nWWtWMEHVSYMQv7HLsInEZTWpE/edit?gid=1768479973#gid=1768479973")</f>
        <v>https://docs.google.com/spreadsheets/d/1EI7qusa674eJhuaw-nWWtWMEHVSYMQv7HLsInEZTWpE/edit?gid=1768479973#gid=1768479973</v>
      </c>
      <c r="I1223" s="19" t="str">
        <f>IFERROR(__xludf.DUMMYFUNCTION("""COMPUTED_VALUE"""),"https://disk.yandex.ru/client/disk/Осмотры%20объектов%20АНО%20СМГ/1154.%20Здание%20общеобразовательной%20организации%20на%201025%20мест%20(общее%20образование%20825%20мест%2C%20дошкольное%20образование%20200%20мест)")</f>
        <v>https://disk.yandex.ru/client/disk/Осмотры%20объектов%20АНО%20СМГ/1154.%20Здание%20общеобразовательной%20организации%20на%201025%20мест%20(общее%20образование%20825%20мест%2C%20дошкольное%20образование%20200%20мест)</v>
      </c>
      <c r="J1223" s="50">
        <f>IFERROR(__xludf.DUMMYFUNCTION("""COMPUTED_VALUE"""),84.24013)</f>
        <v>84.24013</v>
      </c>
      <c r="K1223" s="58">
        <f>IFERROR(__xludf.DUMMYFUNCTION("""COMPUTED_VALUE"""),45890.0)</f>
        <v>45890</v>
      </c>
      <c r="L1223" s="6">
        <v>14.0</v>
      </c>
      <c r="M1223" s="52">
        <v>45904.0</v>
      </c>
      <c r="N1223" s="53" t="s">
        <v>652</v>
      </c>
      <c r="O1223" s="19" t="s">
        <v>1285</v>
      </c>
      <c r="P1223" s="6"/>
      <c r="Q1223" s="6"/>
      <c r="R1223" s="6"/>
    </row>
    <row r="1224">
      <c r="A1224" s="31" t="str">
        <f>IFERROR(__xludf.DUMMYFUNCTION("""COMPUTED_VALUE"""),"1346")</f>
        <v>1346</v>
      </c>
      <c r="B1224" s="14" t="str">
        <f>IFERROR(__xludf.DUMMYFUNCTION("""COMPUTED_VALUE"""),"ВНЕ СПИСКА")</f>
        <v>ВНЕ СПИСКА</v>
      </c>
      <c r="C1224" s="14" t="str">
        <f>IFERROR(__xludf.DUMMYFUNCTION("""COMPUTED_VALUE"""),"ОКС")</f>
        <v>ОКС</v>
      </c>
      <c r="D1224" s="6" t="str">
        <f>IFERROR(__xludf.DUMMYFUNCTION("""COMPUTED_VALUE"""),"да")</f>
        <v>да</v>
      </c>
      <c r="E1224" s="14" t="str">
        <f>IFERROR(__xludf.DUMMYFUNCTION("""COMPUTED_VALUE"""),"ДОУ на 150 мест город Москва, вн.тер.г. поселение Сосенское, проспект Куприна, ЖК Скандинавия")</f>
        <v>ДОУ на 150 мест город Москва, вн.тер.г. поселение Сосенское, проспект Куприна, ЖК Скандинавия</v>
      </c>
      <c r="F1224" s="25" t="str">
        <f>IFERROR(__xludf.DUMMYFUNCTION("""COMPUTED_VALUE"""),"55.558205")</f>
        <v>55.558205</v>
      </c>
      <c r="G1224" s="6" t="str">
        <f>IFERROR(__xludf.DUMMYFUNCTION("""COMPUTED_VALUE"""),"37.504807")</f>
        <v>37.504807</v>
      </c>
      <c r="H1224" s="18" t="str">
        <f>IFERROR(__xludf.DUMMYFUNCTION("""COMPUTED_VALUE"""),"https://docs.google.com/spreadsheets/d/1EI7qusa674eJhuaw-nWWtWMEHVSYMQv7HLsInEZTWpE/edit?gid=1204838295#gid=1204838295")</f>
        <v>https://docs.google.com/spreadsheets/d/1EI7qusa674eJhuaw-nWWtWMEHVSYMQv7HLsInEZTWpE/edit?gid=1204838295#gid=1204838295</v>
      </c>
      <c r="I1224" s="19"/>
      <c r="J1224" s="50"/>
      <c r="K1224" s="58">
        <f>IFERROR(__xludf.DUMMYFUNCTION("""COMPUTED_VALUE"""),45958.0)</f>
        <v>45958</v>
      </c>
      <c r="L1224" s="6">
        <v>30.0</v>
      </c>
      <c r="M1224" s="52">
        <v>45988.0</v>
      </c>
      <c r="N1224" s="53" t="s">
        <v>741</v>
      </c>
      <c r="O1224" s="19" t="s">
        <v>1286</v>
      </c>
      <c r="P1224" s="6"/>
      <c r="Q1224" s="6"/>
      <c r="R1224" s="6"/>
    </row>
    <row r="1225">
      <c r="A1225" s="70" t="str">
        <f>IFERROR(__xludf.DUMMYFUNCTION("""COMPUTED_VALUE"""),"815")</f>
        <v>815</v>
      </c>
      <c r="B1225" s="14" t="str">
        <f>IFERROR(__xludf.DUMMYFUNCTION("""COMPUTED_VALUE"""),"ВНЕ СПИСКА")</f>
        <v>ВНЕ СПИСКА</v>
      </c>
      <c r="C1225" s="14" t="str">
        <f>IFERROR(__xludf.DUMMYFUNCTION("""COMPUTED_VALUE"""),"ОКС")</f>
        <v>ОКС</v>
      </c>
      <c r="D1225" s="6"/>
      <c r="E1225" s="14" t="str">
        <f>IFERROR(__xludf.DUMMYFUNCTION("""COMPUTED_VALUE"""),"Реконструкция Ленинградского вокзала район Красносельский, Комсомольская пл., д.3")</f>
        <v>Реконструкция Ленинградского вокзала район Красносельский, Комсомольская пл., д.3</v>
      </c>
      <c r="F1225" s="25" t="str">
        <f>IFERROR(__xludf.DUMMYFUNCTION("""COMPUTED_VALUE"""),"#N/A")</f>
        <v>#N/A</v>
      </c>
      <c r="G1225" s="6" t="str">
        <f>IFERROR(__xludf.DUMMYFUNCTION("""COMPUTED_VALUE"""),"#N/A")</f>
        <v>#N/A</v>
      </c>
      <c r="H1225" s="18" t="str">
        <f>IFERROR(__xludf.DUMMYFUNCTION("""COMPUTED_VALUE"""),"https://docs.google.com/spreadsheets/d/1EI7qusa674eJhuaw-nWWtWMEHVSYMQv7HLsInEZTWpE/edit?gid=1410705697#gid=1410705697")</f>
        <v>https://docs.google.com/spreadsheets/d/1EI7qusa674eJhuaw-nWWtWMEHVSYMQv7HLsInEZTWpE/edit?gid=1410705697#gid=1410705697</v>
      </c>
      <c r="I1225" s="19" t="str">
        <f>IFERROR(__xludf.DUMMYFUNCTION("""COMPUTED_VALUE"""),"https://disk.yandex.ru/client/disk/Осмотры%20объектов%20АНО%20СМГ/815.%20Осмотр%20хода%20реконструкции%20Ленинградского%20вокзала%2C%20по%20адресу%3A%20Комсомольская%20площадь%20д.3")</f>
        <v>https://disk.yandex.ru/client/disk/Осмотры%20объектов%20АНО%20СМГ/815.%20Осмотр%20хода%20реконструкции%20Ленинградского%20вокзала%2C%20по%20адресу%3A%20Комсомольская%20площадь%20д.3</v>
      </c>
      <c r="J1225" s="50">
        <f>IFERROR(__xludf.DUMMYFUNCTION("""COMPUTED_VALUE"""),11.529525)</f>
        <v>11.529525</v>
      </c>
      <c r="K1225" s="58">
        <f>IFERROR(__xludf.DUMMYFUNCTION("""COMPUTED_VALUE"""),45868.0)</f>
        <v>45868</v>
      </c>
      <c r="L1225" s="6">
        <v>30.0</v>
      </c>
      <c r="M1225" s="52">
        <v>45898.0</v>
      </c>
      <c r="N1225" s="53" t="s">
        <v>668</v>
      </c>
      <c r="O1225" s="19" t="s">
        <v>1287</v>
      </c>
      <c r="P1225" s="6"/>
      <c r="Q1225" s="6"/>
      <c r="R1225" s="6"/>
    </row>
    <row r="1226">
      <c r="A1226" s="31" t="str">
        <f>IFERROR(__xludf.DUMMYFUNCTION("""COMPUTED_VALUE"""),"397")</f>
        <v>397</v>
      </c>
      <c r="B1226" s="14" t="str">
        <f>IFERROR(__xludf.DUMMYFUNCTION("""COMPUTED_VALUE"""),"ВНЕ СПИСКА")</f>
        <v>ВНЕ СПИСКА</v>
      </c>
      <c r="C1226" s="14" t="str">
        <f>IFERROR(__xludf.DUMMYFUNCTION("""COMPUTED_VALUE"""),"ОКС")</f>
        <v>ОКС</v>
      </c>
      <c r="D1226" s="6" t="str">
        <f>IFERROR(__xludf.DUMMYFUNCTION("""COMPUTED_VALUE"""),"да")</f>
        <v>да</v>
      </c>
      <c r="E1226" s="14" t="str">
        <f>IFERROR(__xludf.DUMMYFUNCTION("""COMPUTED_VALUE"""),"Школа на 825 мест в составе ЖК «Alia»,
СЗАО, район Покровское-Стрешнево район Покровское-Стрешнево, Волоколамское шоссе д. 75В (новый адрес Аэроклубная 75В)")</f>
        <v>Школа на 825 мест в составе ЖК «Alia»,
СЗАО, район Покровское-Стрешнево район Покровское-Стрешнево, Волоколамское шоссе д. 75В (новый адрес Аэроклубная 75В)</v>
      </c>
      <c r="F1226" s="25" t="str">
        <f>IFERROR(__xludf.DUMMYFUNCTION("""COMPUTED_VALUE"""),"#N/A")</f>
        <v>#N/A</v>
      </c>
      <c r="G1226" s="6" t="str">
        <f>IFERROR(__xludf.DUMMYFUNCTION("""COMPUTED_VALUE"""),"#N/A")</f>
        <v>#N/A</v>
      </c>
      <c r="H1226" s="18" t="str">
        <f>IFERROR(__xludf.DUMMYFUNCTION("""COMPUTED_VALUE"""),"https://docs.google.com/spreadsheets/d/1EI7qusa674eJhuaw-nWWtWMEHVSYMQv7HLsInEZTWpE/edit?gid=912086412#gid=912086412")</f>
        <v>https://docs.google.com/spreadsheets/d/1EI7qusa674eJhuaw-nWWtWMEHVSYMQv7HLsInEZTWpE/edit?gid=912086412#gid=912086412</v>
      </c>
      <c r="I1226" s="21" t="str">
        <f>IFERROR(__xludf.DUMMYFUNCTION("""COMPUTED_VALUE"""),"https://disk.yandex.ru/client/disk/%D0%9E%D1%81%D0%BC%D0%BE%D1%82%D1%80%D1%8B%20%D0%BE%D0%B1%D1%8A%D0%B5%D0%BA%D1%82%D0%BE%D0%B2%20%D0%90%D0%9D%D0%9E%20%D0%A1%D0%9C%D0%93/397.%20%D0%92%D0%BE%D0%BB%D0%BE%D0%BA%D0%BE%D0%BB%D0%B0%D0%BC%D1%81%D0%BA%D0%BE%D0%B"&amp;"5%20%D1%88.75%D0%92%2C%20%D0%A8%D0%BA.%22Alia%22")</f>
        <v>https://disk.yandex.ru/client/disk/%D0%9E%D1%81%D0%BC%D0%BE%D1%82%D1%80%D1%8B%20%D0%BE%D0%B1%D1%8A%D0%B5%D0%BA%D1%82%D0%BE%D0%B2%20%D0%90%D0%9D%D0%9E%20%D0%A1%D0%9C%D0%93/397.%20%D0%92%D0%BE%D0%BB%D0%BE%D0%BA%D0%BE%D0%BB%D0%B0%D0%BC%D1%81%D0%BA%D0%BE%D0%B5%20%D1%88.75%D0%92%2C%20%D0%A8%D0%BA.%22Alia%22</v>
      </c>
      <c r="J1226" s="50">
        <f>IFERROR(__xludf.DUMMYFUNCTION("""COMPUTED_VALUE"""),100.0)</f>
        <v>100</v>
      </c>
      <c r="K1226" s="58">
        <f>IFERROR(__xludf.DUMMYFUNCTION("""COMPUTED_VALUE"""),45887.0)</f>
        <v>45887</v>
      </c>
      <c r="L1226" s="6" t="s">
        <v>654</v>
      </c>
      <c r="M1226" s="52" t="s">
        <v>655</v>
      </c>
      <c r="N1226" s="53" t="s">
        <v>656</v>
      </c>
      <c r="O1226" s="19" t="s">
        <v>1288</v>
      </c>
      <c r="P1226" s="6"/>
      <c r="Q1226" s="6"/>
      <c r="R1226" s="6"/>
    </row>
    <row r="1227">
      <c r="A1227" s="31" t="str">
        <f>IFERROR(__xludf.DUMMYFUNCTION("""COMPUTED_VALUE"""),"472")</f>
        <v>472</v>
      </c>
      <c r="B1227" s="14" t="str">
        <f>IFERROR(__xludf.DUMMYFUNCTION("""COMPUTED_VALUE"""),"РЕН-25")</f>
        <v>РЕН-25</v>
      </c>
      <c r="C1227" s="14" t="str">
        <f>IFERROR(__xludf.DUMMYFUNCTION("""COMPUTED_VALUE"""),"ОКС")</f>
        <v>ОКС</v>
      </c>
      <c r="D1227" s="6"/>
      <c r="E1227" s="14" t="str">
        <f>IFERROR(__xludf.DUMMYFUNCTION("""COMPUTED_VALUE"""),"Досфлота пр., з/у 2 (вл. 2) район Южное Тушино, проезд Досфлота, земельный участок 2 (вл. 2)")</f>
        <v>Досфлота пр., з/у 2 (вл. 2) район Южное Тушино, проезд Досфлота, земельный участок 2 (вл. 2)</v>
      </c>
      <c r="F1227" s="25" t="str">
        <f>IFERROR(__xludf.DUMMYFUNCTION("""COMPUTED_VALUE"""),"55.840826")</f>
        <v>55.840826</v>
      </c>
      <c r="G1227" s="6" t="str">
        <f>IFERROR(__xludf.DUMMYFUNCTION("""COMPUTED_VALUE"""),"37.458966")</f>
        <v>37.458966</v>
      </c>
      <c r="H1227" s="18" t="str">
        <f>IFERROR(__xludf.DUMMYFUNCTION("""COMPUTED_VALUE"""),"https://docs.google.com/spreadsheets/d/1H1MjbG2y0oC0hhID4do1G0_gfyI1jag72lQd7nL3WDQ/edit?gid=882317293#gid=882317293")</f>
        <v>https://docs.google.com/spreadsheets/d/1H1MjbG2y0oC0hhID4do1G0_gfyI1jag72lQd7nL3WDQ/edit?gid=882317293#gid=882317293</v>
      </c>
      <c r="I1227" s="19" t="str">
        <f>IFERROR(__xludf.DUMMYFUNCTION("""COMPUTED_VALUE"""),"https://disk.yandex.ru/client/disk/Осмотры%20объектов%20АНО%20СМГ/494.%20Кантемировская%20ул.%2C%2043%20реновация%20(д.43)")</f>
        <v>https://disk.yandex.ru/client/disk/Осмотры%20объектов%20АНО%20СМГ/494.%20Кантемировская%20ул.%2C%2043%20реновация%20(д.43)</v>
      </c>
      <c r="J1227" s="50">
        <f>IFERROR(__xludf.DUMMYFUNCTION("""COMPUTED_VALUE"""),99.9925)</f>
        <v>99.9925</v>
      </c>
      <c r="K1227" s="58">
        <f>IFERROR(__xludf.DUMMYFUNCTION("""COMPUTED_VALUE"""),45953.0)</f>
        <v>45953</v>
      </c>
      <c r="L1227" s="6">
        <v>7.0</v>
      </c>
      <c r="M1227" s="52">
        <v>45960.0</v>
      </c>
      <c r="N1227" s="53" t="s">
        <v>652</v>
      </c>
      <c r="O1227" s="19" t="s">
        <v>1289</v>
      </c>
      <c r="P1227" s="6"/>
      <c r="Q1227" s="6"/>
      <c r="R1227" s="6"/>
    </row>
    <row r="1228">
      <c r="A1228" s="31" t="str">
        <f>IFERROR(__xludf.DUMMYFUNCTION("""COMPUTED_VALUE"""),"048")</f>
        <v>048</v>
      </c>
      <c r="B1228" s="14" t="str">
        <f>IFERROR(__xludf.DUMMYFUNCTION("""COMPUTED_VALUE"""),"ВНЕ СПИСКА")</f>
        <v>ВНЕ СПИСКА</v>
      </c>
      <c r="C1228" s="14" t="str">
        <f>IFERROR(__xludf.DUMMYFUNCTION("""COMPUTED_VALUE"""),"ОКС")</f>
        <v>ОКС</v>
      </c>
      <c r="D1228" s="6" t="str">
        <f>IFERROR(__xludf.DUMMYFUNCTION("""COMPUTED_VALUE"""),"да")</f>
        <v>да</v>
      </c>
      <c r="E1228" s="14" t="str">
        <f>IFERROR(__xludf.DUMMYFUNCTION("""COMPUTED_VALUE"""),"«Здание общеобразовательной организации (общее образование) на 1100 мест по адресу: г. Москва, поселение Кокошкино, вблизи д. Санино, (кадастровый номер земельного участка 77:18:0170408:1272)» по адресу: г. Москва, поселение Кокошкино, ул. Стожарова, д. 3"&amp;", на 1100 школьных мест вблизи д. Санино, квартал 36, земельный участок 1
(НАО, Кокошкино)
ЖК Новое Внуково")</f>
        <v>«Здание общеобразовательной организации (общее образование) на 1100 мест по адресу: г. Москва, поселение Кокошкино, вблизи д. Санино, (кадастровый номер земельного участка 77:18:0170408:1272)» по адресу: г. Москва, поселение Кокошкино, ул. Стожарова, д. 3, на 1100 школьных мест вблизи д. Санино, квартал 36, земельный участок 1
(НАО, Кокошкино)
ЖК Новое Внуково</v>
      </c>
      <c r="F1228" s="25" t="str">
        <f>IFERROR(__xludf.DUMMYFUNCTION("""COMPUTED_VALUE"""),"55.589714")</f>
        <v>55.589714</v>
      </c>
      <c r="G1228" s="6" t="str">
        <f>IFERROR(__xludf.DUMMYFUNCTION("""COMPUTED_VALUE"""),"37.169441")</f>
        <v>37.169441</v>
      </c>
      <c r="H1228" s="18" t="str">
        <f>IFERROR(__xludf.DUMMYFUNCTION("""COMPUTED_VALUE"""),"https://docs.google.com/spreadsheets/d/1EI7qusa674eJhuaw-nWWtWMEHVSYMQv7HLsInEZTWpE/edit?gid=972545165#gid=972545165")</f>
        <v>https://docs.google.com/spreadsheets/d/1EI7qusa674eJhuaw-nWWtWMEHVSYMQv7HLsInEZTWpE/edit?gid=972545165#gid=972545165</v>
      </c>
      <c r="I1228" s="19" t="str">
        <f>IFERROR(__xludf.DUMMYFUNCTION("""COMPUTED_VALUE"""),"https://disk.yandex.ru/client/disk/Осмотры%20объектов%20АНО%20СМГ/048.%20СОШ1100%20ЖК%20Новое%20Внуково%20Кокошкино")</f>
        <v>https://disk.yandex.ru/client/disk/Осмотры%20объектов%20АНО%20СМГ/048.%20СОШ1100%20ЖК%20Новое%20Внуково%20Кокошкино</v>
      </c>
      <c r="J1228" s="50">
        <f>IFERROR(__xludf.DUMMYFUNCTION("""COMPUTED_VALUE"""),81.00306750000001)</f>
        <v>81.0030675</v>
      </c>
      <c r="K1228" s="58">
        <f>IFERROR(__xludf.DUMMYFUNCTION("""COMPUTED_VALUE"""),45959.0)</f>
        <v>45959</v>
      </c>
      <c r="L1228" s="6">
        <v>14.0</v>
      </c>
      <c r="M1228" s="52">
        <v>45973.0</v>
      </c>
      <c r="N1228" s="53" t="s">
        <v>668</v>
      </c>
      <c r="O1228" s="19" t="s">
        <v>1290</v>
      </c>
      <c r="P1228" s="6"/>
      <c r="Q1228" s="6"/>
      <c r="R1228" s="6"/>
    </row>
    <row r="1229">
      <c r="A1229" s="31" t="str">
        <f>IFERROR(__xludf.DUMMYFUNCTION("""COMPUTED_VALUE"""),"041")</f>
        <v>041</v>
      </c>
      <c r="B1229" s="14" t="str">
        <f>IFERROR(__xludf.DUMMYFUNCTION("""COMPUTED_VALUE"""),"ВНЕ СПИСКА")</f>
        <v>ВНЕ СПИСКА</v>
      </c>
      <c r="C1229" s="14" t="str">
        <f>IFERROR(__xludf.DUMMYFUNCTION("""COMPUTED_VALUE"""),"ОКС")</f>
        <v>ОКС</v>
      </c>
      <c r="D1229" s="6" t="str">
        <f>IFERROR(__xludf.DUMMYFUNCTION("""COMPUTED_VALUE"""),"да")</f>
        <v>да</v>
      </c>
      <c r="E1229" s="14" t="str">
        <f>IFERROR(__xludf.DUMMYFUNCTION("""COMPUTED_VALUE"""),"«Здание образовательной организации (общее образование) на 1200 мест по адресу: г. Москва, поселение Филимонковское, д. Староселье, з/у 1» по адресу: г. Москва, пос. Филимонковское, пер. Староселье, д. 1А, на 1200 школьных мест район Филимонковский, пер. "&amp;"Староселье, д. 1А")</f>
        <v>«Здание образовательной организации (общее образование) на 1200 мест по адресу: г. Москва, поселение Филимонковское, д. Староселье, з/у 1» по адресу: г. Москва, пос. Филимонковское, пер. Староселье, д. 1А, на 1200 школьных мест район Филимонковский, пер. Староселье, д. 1А</v>
      </c>
      <c r="F1229" s="25" t="str">
        <f>IFERROR(__xludf.DUMMYFUNCTION("""COMPUTED_VALUE"""),"#N/A")</f>
        <v>#N/A</v>
      </c>
      <c r="G1229" s="6" t="str">
        <f>IFERROR(__xludf.DUMMYFUNCTION("""COMPUTED_VALUE"""),"#N/A")</f>
        <v>#N/A</v>
      </c>
      <c r="H1229" s="18" t="str">
        <f>IFERROR(__xludf.DUMMYFUNCTION("""COMPUTED_VALUE"""),"https://docs.google.com/spreadsheets/d/1EI7qusa674eJhuaw-nWWtWMEHVSYMQv7HLsInEZTWpE/edit?gid=486432300#gid=486432300")</f>
        <v>https://docs.google.com/spreadsheets/d/1EI7qusa674eJhuaw-nWWtWMEHVSYMQv7HLsInEZTWpE/edit?gid=486432300#gid=486432300</v>
      </c>
      <c r="I1229" s="19" t="str">
        <f>IFERROR(__xludf.DUMMYFUNCTION("""COMPUTED_VALUE"""),"https://disk.yandex.ru/client/disk/Осмотры%20объектов%20АНО%20СМГ/041.%20СОШ%201200%2C%20д.%20Филимоновское")</f>
        <v>https://disk.yandex.ru/client/disk/Осмотры%20объектов%20АНО%20СМГ/041.%20СОШ%201200%2C%20д.%20Филимоновское</v>
      </c>
      <c r="J1229" s="50">
        <f>IFERROR(__xludf.DUMMYFUNCTION("""COMPUTED_VALUE"""),100.0)</f>
        <v>100</v>
      </c>
      <c r="K1229" s="58">
        <f>IFERROR(__xludf.DUMMYFUNCTION("""COMPUTED_VALUE"""),45890.0)</f>
        <v>45890</v>
      </c>
      <c r="L1229" s="6" t="s">
        <v>654</v>
      </c>
      <c r="M1229" s="52" t="s">
        <v>655</v>
      </c>
      <c r="N1229" s="53" t="s">
        <v>656</v>
      </c>
      <c r="O1229" s="19" t="s">
        <v>1291</v>
      </c>
      <c r="P1229" s="6"/>
      <c r="Q1229" s="6"/>
      <c r="R1229" s="6"/>
    </row>
    <row r="1230">
      <c r="A1230" s="31" t="str">
        <f>IFERROR(__xludf.DUMMYFUNCTION("""COMPUTED_VALUE"""),"364")</f>
        <v>364</v>
      </c>
      <c r="B1230" s="14" t="str">
        <f>IFERROR(__xludf.DUMMYFUNCTION("""COMPUTED_VALUE"""),"ВНЕ СПИСКА")</f>
        <v>ВНЕ СПИСКА</v>
      </c>
      <c r="C1230" s="14" t="str">
        <f>IFERROR(__xludf.DUMMYFUNCTION("""COMPUTED_VALUE"""),"ОКС")</f>
        <v>ОКС</v>
      </c>
      <c r="D1230" s="6" t="str">
        <f>IFERROR(__xludf.DUMMYFUNCTION("""COMPUTED_VALUE"""),"да")</f>
        <v>да</v>
      </c>
      <c r="E1230" s="14" t="str">
        <f>IFERROR(__xludf.DUMMYFUNCTION("""COMPUTED_VALUE"""),"Спортивный комплекс им. Э.А. Стрельцова ЮАО, район Даниловский район Даниловский, Восточная ул., вл. 4А")</f>
        <v>Спортивный комплекс им. Э.А. Стрельцова ЮАО, район Даниловский район Даниловский, Восточная ул., вл. 4А</v>
      </c>
      <c r="F1230" s="25" t="str">
        <f>IFERROR(__xludf.DUMMYFUNCTION("""COMPUTED_VALUE"""),"55.716817")</f>
        <v>55.716817</v>
      </c>
      <c r="G1230" s="6" t="str">
        <f>IFERROR(__xludf.DUMMYFUNCTION("""COMPUTED_VALUE"""),"37.655616")</f>
        <v>37.655616</v>
      </c>
      <c r="H1230" s="18" t="str">
        <f>IFERROR(__xludf.DUMMYFUNCTION("""COMPUTED_VALUE"""),"https://docs.google.com/spreadsheets/d/1EI7qusa674eJhuaw-nWWtWMEHVSYMQv7HLsInEZTWpE/edit?gid=1366886932#gid=1366886932")</f>
        <v>https://docs.google.com/spreadsheets/d/1EI7qusa674eJhuaw-nWWtWMEHVSYMQv7HLsInEZTWpE/edit?gid=1366886932#gid=1366886932</v>
      </c>
      <c r="I1230" s="19" t="str">
        <f>IFERROR(__xludf.DUMMYFUNCTION("""COMPUTED_VALUE"""),"https://disk.yandex.ru/client/disk/Осмотры%20объектов%20АНО%20СМГ/364.%20Спортивный%20комплекс%20им.%20Э.А.%20Стрельцова%20ЮАО%2C%20район%20Даниловский%2C%20Восточная%20ул.%2C%20вл.%204А")</f>
        <v>https://disk.yandex.ru/client/disk/Осмотры%20объектов%20АНО%20СМГ/364.%20Спортивный%20комплекс%20им.%20Э.А.%20Стрельцова%20ЮАО%2C%20район%20Даниловский%2C%20Восточная%20ул.%2C%20вл.%204А</v>
      </c>
      <c r="J1230" s="50">
        <f>IFERROR(__xludf.DUMMYFUNCTION("""COMPUTED_VALUE"""),70.55884)</f>
        <v>70.55884</v>
      </c>
      <c r="K1230" s="58">
        <f>IFERROR(__xludf.DUMMYFUNCTION("""COMPUTED_VALUE"""),45971.0)</f>
        <v>45971</v>
      </c>
      <c r="L1230" s="6">
        <v>14.0</v>
      </c>
      <c r="M1230" s="52">
        <v>45985.0</v>
      </c>
      <c r="N1230" s="53" t="s">
        <v>711</v>
      </c>
      <c r="O1230" s="19" t="s">
        <v>1292</v>
      </c>
      <c r="P1230" s="6"/>
      <c r="Q1230" s="6"/>
      <c r="R1230" s="6"/>
    </row>
    <row r="1231">
      <c r="A1231" s="31" t="str">
        <f>IFERROR(__xludf.DUMMYFUNCTION("""COMPUTED_VALUE"""),"1028")</f>
        <v>1028</v>
      </c>
      <c r="B1231" s="14" t="str">
        <f>IFERROR(__xludf.DUMMYFUNCTION("""COMPUTED_VALUE"""),"ВНЕ СПИСКА")</f>
        <v>ВНЕ СПИСКА</v>
      </c>
      <c r="C1231" s="14" t="str">
        <f>IFERROR(__xludf.DUMMYFUNCTION("""COMPUTED_VALUE"""),"ОКС")</f>
        <v>ОКС</v>
      </c>
      <c r="D1231" s="6" t="str">
        <f>IFERROR(__xludf.DUMMYFUNCTION("""COMPUTED_VALUE"""),"да")</f>
        <v>да</v>
      </c>
      <c r="E1231" s="14" t="str">
        <f>IFERROR(__xludf.DUMMYFUNCTION("""COMPUTED_VALUE"""),"Взрослая поликлиника на 475 посещений в смену пос.Сосенское, ул. Александры Монаховой, д. 84А")</f>
        <v>Взрослая поликлиника на 475 посещений в смену пос.Сосенское, ул. Александры Монаховой, д. 84А</v>
      </c>
      <c r="F1231" s="25" t="str">
        <f>IFERROR(__xludf.DUMMYFUNCTION("""COMPUTED_VALUE"""),"#N/A")</f>
        <v>#N/A</v>
      </c>
      <c r="G1231" s="6" t="str">
        <f>IFERROR(__xludf.DUMMYFUNCTION("""COMPUTED_VALUE"""),"#N/A")</f>
        <v>#N/A</v>
      </c>
      <c r="H1231" s="18" t="str">
        <f>IFERROR(__xludf.DUMMYFUNCTION("""COMPUTED_VALUE"""),"https://docs.google.com/spreadsheets/d/1EI7qusa674eJhuaw-nWWtWMEHVSYMQv7HLsInEZTWpE/edit?gid=1822763133#gid=1822763133")</f>
        <v>https://docs.google.com/spreadsheets/d/1EI7qusa674eJhuaw-nWWtWMEHVSYMQv7HLsInEZTWpE/edit?gid=1822763133#gid=1822763133</v>
      </c>
      <c r="I1231" s="19" t="str">
        <f>IFERROR(__xludf.DUMMYFUNCTION("""COMPUTED_VALUE"""),"https://disk.yandex.ru/client/disk/Осмотры%20объектов%20АНО%20СМГ/1028.%20Поликлиника%20на%20475%20посещений_Александры%20Монаховой")</f>
        <v>https://disk.yandex.ru/client/disk/Осмотры%20объектов%20АНО%20СМГ/1028.%20Поликлиника%20на%20475%20посещений_Александры%20Монаховой</v>
      </c>
      <c r="J1231" s="50">
        <f>IFERROR(__xludf.DUMMYFUNCTION("""COMPUTED_VALUE"""),100.0)</f>
        <v>100</v>
      </c>
      <c r="K1231" s="58">
        <f>IFERROR(__xludf.DUMMYFUNCTION("""COMPUTED_VALUE"""),45911.0)</f>
        <v>45911</v>
      </c>
      <c r="L1231" s="6" t="s">
        <v>654</v>
      </c>
      <c r="M1231" s="52" t="s">
        <v>655</v>
      </c>
      <c r="N1231" s="53" t="s">
        <v>656</v>
      </c>
      <c r="O1231" s="19" t="s">
        <v>1293</v>
      </c>
      <c r="P1231" s="6"/>
      <c r="Q1231" s="6"/>
      <c r="R1231" s="6"/>
    </row>
    <row r="1232">
      <c r="A1232" s="31" t="str">
        <f>IFERROR(__xludf.DUMMYFUNCTION("""COMPUTED_VALUE"""),"НД")</f>
        <v>НД</v>
      </c>
      <c r="B1232" s="14" t="str">
        <f>IFERROR(__xludf.DUMMYFUNCTION("""COMPUTED_VALUE"""),"ВНЕ СПИСКА")</f>
        <v>ВНЕ СПИСКА</v>
      </c>
      <c r="C1232" s="14" t="str">
        <f>IFERROR(__xludf.DUMMYFUNCTION("""COMPUTED_VALUE"""),"УДС")</f>
        <v>УДС</v>
      </c>
      <c r="D1232" s="6"/>
      <c r="E1232" s="14" t="str">
        <f>IFERROR(__xludf.DUMMYFUNCTION("""COMPUTED_VALUE"""),"ЮВХ-10. Участок от МКАД до а/д дороги «Солнцево-Бутово-Варшавское ш.» Этапы 3.2.1, 3.2.2, 3.3.3.2.2, 3.3.5, 3.3.2.3, 3.3.3.3, 3.3.3.4, ЮАО ЮВХ-10. Участок от Симферопольского шоссе до а/д Солнцево-Бутово-Варшавское шоссе
")</f>
        <v>ЮВХ-10. Участок от МКАД до а/д дороги _x000b_«Солнцево-Бутово-Варшавское ш.» _x000b_Этапы 3.2.1, 3.2.2, 3.3.3.2.2, 3.3.5, 3.3.2.3, 3.3.3.3, 3.3.3.4, ЮАО ЮВХ-10. Участок от Симферопольского шоссе до а/д Солнцево-Бутово-Варшавское шоссе
</v>
      </c>
      <c r="F1232" s="25" t="str">
        <f>IFERROR(__xludf.DUMMYFUNCTION("""COMPUTED_VALUE"""),"#N/A")</f>
        <v>#N/A</v>
      </c>
      <c r="G1232" s="6" t="str">
        <f>IFERROR(__xludf.DUMMYFUNCTION("""COMPUTED_VALUE"""),"#N/A")</f>
        <v>#N/A</v>
      </c>
      <c r="H1232" s="6"/>
      <c r="I1232" s="19"/>
      <c r="J1232" s="50"/>
      <c r="K1232" s="58"/>
      <c r="L1232" s="6">
        <v>30.0</v>
      </c>
      <c r="M1232" s="52" t="s">
        <v>655</v>
      </c>
      <c r="N1232" s="53" t="s">
        <v>698</v>
      </c>
      <c r="O1232" s="19"/>
      <c r="P1232" s="6"/>
      <c r="Q1232" s="6"/>
      <c r="R1232" s="6"/>
    </row>
    <row r="1233">
      <c r="A1233" s="31" t="str">
        <f>IFERROR(__xludf.DUMMYFUNCTION("""COMPUTED_VALUE"""),"НД")</f>
        <v>НД</v>
      </c>
      <c r="B1233" s="14" t="str">
        <f>IFERROR(__xludf.DUMMYFUNCTION("""COMPUTED_VALUE"""),"ВНЕ СПИСКА")</f>
        <v>ВНЕ СПИСКА</v>
      </c>
      <c r="C1233" s="14" t="str">
        <f>IFERROR(__xludf.DUMMYFUNCTION("""COMPUTED_VALUE"""),"УДС")</f>
        <v>УДС</v>
      </c>
      <c r="D1233" s="6"/>
      <c r="E1233" s="14" t="str">
        <f>IFERROR(__xludf.DUMMYFUNCTION("""COMPUTED_VALUE"""),"Строительство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f>
        <v>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v>
      </c>
      <c r="F1233" s="25" t="str">
        <f>IFERROR(__xludf.DUMMYFUNCTION("""COMPUTED_VALUE"""),"#N/A")</f>
        <v>#N/A</v>
      </c>
      <c r="G1233" s="6" t="str">
        <f>IFERROR(__xludf.DUMMYFUNCTION("""COMPUTED_VALUE"""),"#N/A")</f>
        <v>#N/A</v>
      </c>
      <c r="H1233" s="6"/>
      <c r="I1233" s="6"/>
      <c r="J1233" s="50"/>
      <c r="K1233" s="58"/>
      <c r="L1233" s="6">
        <v>30.0</v>
      </c>
      <c r="M1233" s="52" t="s">
        <v>655</v>
      </c>
      <c r="N1233" s="53" t="s">
        <v>698</v>
      </c>
      <c r="O1233" s="6"/>
      <c r="P1233" s="6"/>
      <c r="Q1233" s="6"/>
      <c r="R1233" s="6"/>
    </row>
    <row r="1234">
      <c r="A1234" s="31" t="str">
        <f>IFERROR(__xludf.DUMMYFUNCTION("""COMPUTED_VALUE"""),"НД")</f>
        <v>НД</v>
      </c>
      <c r="B1234" s="14" t="str">
        <f>IFERROR(__xludf.DUMMYFUNCTION("""COMPUTED_VALUE"""),"ВНЕ СПИСКА")</f>
        <v>ВНЕ СПИСКА</v>
      </c>
      <c r="C1234" s="14" t="str">
        <f>IFERROR(__xludf.DUMMYFUNCTION("""COMPUTED_VALUE"""),"УДС")</f>
        <v>УДС</v>
      </c>
      <c r="D1234" s="6"/>
      <c r="E1234" s="14" t="str">
        <f>IFERROR(__xludf.DUMMYFUNCTION("""COMPUTED_VALUE"""),"Строительство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f>
        <v>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v>
      </c>
      <c r="F1234" s="25" t="str">
        <f>IFERROR(__xludf.DUMMYFUNCTION("""COMPUTED_VALUE"""),"#N/A")</f>
        <v>#N/A</v>
      </c>
      <c r="G1234" s="6" t="str">
        <f>IFERROR(__xludf.DUMMYFUNCTION("""COMPUTED_VALUE"""),"#N/A")</f>
        <v>#N/A</v>
      </c>
      <c r="H1234" s="6"/>
      <c r="I1234" s="6"/>
      <c r="J1234" s="50"/>
      <c r="K1234" s="58"/>
      <c r="L1234" s="6">
        <v>30.0</v>
      </c>
      <c r="M1234" s="52" t="s">
        <v>655</v>
      </c>
      <c r="N1234" s="53" t="s">
        <v>698</v>
      </c>
      <c r="O1234" s="6"/>
      <c r="P1234" s="6"/>
      <c r="Q1234" s="6"/>
      <c r="R1234" s="6"/>
    </row>
    <row r="1235">
      <c r="A1235" s="31" t="str">
        <f>IFERROR(__xludf.DUMMYFUNCTION("""COMPUTED_VALUE"""),"024")</f>
        <v>024</v>
      </c>
      <c r="B1235" s="14" t="str">
        <f>IFERROR(__xludf.DUMMYFUNCTION("""COMPUTED_VALUE"""),"ВНЕ СПИСКА")</f>
        <v>ВНЕ СПИСКА</v>
      </c>
      <c r="C1235" s="14" t="str">
        <f>IFERROR(__xludf.DUMMYFUNCTION("""COMPUTED_VALUE"""),"ОКС")</f>
        <v>ОКС</v>
      </c>
      <c r="D1235" s="6"/>
      <c r="E1235" s="14" t="str">
        <f>IFERROR(__xludf.DUMMYFUNCTION("""COMPUTED_VALUE"""),"Устранение гарантийных замечаний на объекте Детско-взрослая
поликлиника с женской консультацией на 750 посещений в смену поселок
Коммунарка, ул. Фитаревская, д. 27, стр.1")</f>
        <v>Устранение гарантийных замечаний на объекте Детско-взрослая
поликлиника с женской консультацией на 750 посещений в смену поселок
Коммунарка, ул. Фитаревская, д. 27, стр.1</v>
      </c>
      <c r="F1235" s="25" t="str">
        <f>IFERROR(__xludf.DUMMYFUNCTION("""COMPUTED_VALUE"""),"#N/A")</f>
        <v>#N/A</v>
      </c>
      <c r="G1235" s="6" t="str">
        <f>IFERROR(__xludf.DUMMYFUNCTION("""COMPUTED_VALUE"""),"#N/A")</f>
        <v>#N/A</v>
      </c>
      <c r="H1235" s="18" t="str">
        <f>IFERROR(__xludf.DUMMYFUNCTION("""COMPUTED_VALUE"""),"https://docs.google.com/spreadsheets/d/1EI7qusa674eJhuaw-nWWtWMEHVSYMQv7HLsInEZTWpE/edit?gid=1977634202#gid=1977634202")</f>
        <v>https://docs.google.com/spreadsheets/d/1EI7qusa674eJhuaw-nWWtWMEHVSYMQv7HLsInEZTWpE/edit?gid=1977634202#gid=1977634202</v>
      </c>
      <c r="I1235" s="6" t="str">
        <f>IFERROR(__xludf.DUMMYFUNCTION("""COMPUTED_VALUE"""),"https://disk.yandex.ru/client/disk/Осмотры%20объектов%20АНО%20СМГ/024.%20Детско-взрослая%20поликлиника%20на%20750%20посещений%2C%20ул.%20Фитаревская%2027%20стр%201")</f>
        <v>https://disk.yandex.ru/client/disk/Осмотры%20объектов%20АНО%20СМГ/024.%20Детско-взрослая%20поликлиника%20на%20750%20посещений%2C%20ул.%20Фитаревская%2027%20стр%201</v>
      </c>
      <c r="J1235" s="50">
        <f>IFERROR(__xludf.DUMMYFUNCTION("""COMPUTED_VALUE"""),100.0)</f>
        <v>100</v>
      </c>
      <c r="K1235" s="58">
        <f>IFERROR(__xludf.DUMMYFUNCTION("""COMPUTED_VALUE"""),45911.0)</f>
        <v>45911</v>
      </c>
      <c r="L1235" s="6" t="s">
        <v>654</v>
      </c>
      <c r="M1235" s="52" t="s">
        <v>655</v>
      </c>
      <c r="N1235" s="53" t="s">
        <v>656</v>
      </c>
      <c r="O1235" s="6" t="s">
        <v>1294</v>
      </c>
      <c r="P1235" s="6"/>
      <c r="Q1235" s="6"/>
      <c r="R1235" s="6"/>
    </row>
    <row r="1236">
      <c r="A1236" s="31" t="str">
        <f>IFERROR(__xludf.DUMMYFUNCTION("""COMPUTED_VALUE"""),"1115")</f>
        <v>1115</v>
      </c>
      <c r="B1236" s="14" t="str">
        <f>IFERROR(__xludf.DUMMYFUNCTION("""COMPUTED_VALUE"""),"ВНЕ СПИСКА")</f>
        <v>ВНЕ СПИСКА</v>
      </c>
      <c r="C1236" s="14" t="str">
        <f>IFERROR(__xludf.DUMMYFUNCTION("""COMPUTED_VALUE"""),"ОКС")</f>
        <v>ОКС</v>
      </c>
      <c r="D1236" s="6" t="str">
        <f>IFERROR(__xludf.DUMMYFUNCTION("""COMPUTED_VALUE"""),"да")</f>
        <v>да</v>
      </c>
      <c r="E1236" s="14" t="str">
        <f>IFERROR(__xludf.DUMMYFUNCTION("""COMPUTED_VALUE"""),"ул. Лосиноостровская, вл. 45 (ЖК «Светлый мир», «Сказочный лес»), СВАО ул. Лосиноостровская, вл. 45")</f>
        <v>ул. Лосиноостровская, вл. 45 (ЖК «Светлый мир», «Сказочный лес»), СВАО ул. Лосиноостровская, вл. 45</v>
      </c>
      <c r="F1236" s="25" t="str">
        <f>IFERROR(__xludf.DUMMYFUNCTION("""COMPUTED_VALUE"""),"#N/A")</f>
        <v>#N/A</v>
      </c>
      <c r="G1236" s="6" t="str">
        <f>IFERROR(__xludf.DUMMYFUNCTION("""COMPUTED_VALUE"""),"#N/A")</f>
        <v>#N/A</v>
      </c>
      <c r="H1236" s="18" t="str">
        <f>IFERROR(__xludf.DUMMYFUNCTION("""COMPUTED_VALUE"""),"https://docs.google.com/spreadsheets/d/1EI7qusa674eJhuaw-nWWtWMEHVSYMQv7HLsInEZTWpE/edit?gid=1635120281#gid=1635120281")</f>
        <v>https://docs.google.com/spreadsheets/d/1EI7qusa674eJhuaw-nWWtWMEHVSYMQv7HLsInEZTWpE/edit?gid=1635120281#gid=1635120281</v>
      </c>
      <c r="I1236" s="21" t="str">
        <f>IFERROR(__xludf.DUMMYFUNCTION("""COMPUTED_VALUE"""),"https://disk.yandex.ru/client/disk/%D0%9E%D1%81%D0%BC%D0%BE%D1%82%D1%80%D1%8B%20%D0%BE%D0%B1%D1%8A%D0%B5%D0%BA%D1%82%D0%BE%D0%B2%20%D0%90%D0%9D%D0%9E%20%D0%A1%D0%9C%D0%93/1115%20%D0%96%D0%9A%20%D0%A1%D0%B2%D0%B5%D1%82%D0%BB%D1%8B%D0%B9%20%D0%BC%D0%B8%D1%8"&amp;"0%20(%D0%A1%D0%BA%D0%B0%D0%B7%D0%BE%D1%87%D0%BD%D1%8B%D0%B9%20%D0%BB%D0%B5%D1%81)%20%D0%9B%D0%BE%D1%81%D0%B8%D0%BD%D0%BE%D0%BE%D1%81%D1%82%D1%80%D0%BE%D0%B2%D1%81%D0%BA%D0%B0%D1%8F%20%D0%B2%D0%BB%2045%20")</f>
        <v>https://disk.yandex.ru/client/disk/%D0%9E%D1%81%D0%BC%D0%BE%D1%82%D1%80%D1%8B%20%D0%BE%D0%B1%D1%8A%D0%B5%D0%BA%D1%82%D0%BE%D0%B2%20%D0%90%D0%9D%D0%9E%20%D0%A1%D0%9C%D0%93/1115%20%D0%96%D0%9A%20%D0%A1%D0%B2%D0%B5%D1%82%D0%BB%D1%8B%D0%B9%20%D0%BC%D0%B8%D1%80%20(%D0%A1%D0%BA%D0%B0%D0%B7%D0%BE%D1%87%D0%BD%D1%8B%D0%B9%20%D0%BB%D0%B5%D1%81)%20%D0%9B%D0%BE%D1%81%D0%B8%D0%BD%D0%BE%D0%BE%D1%81%D1%82%D1%80%D0%BE%D0%B2%D1%81%D0%BA%D0%B0%D1%8F%20%D0%B2%D0%BB%2045%20</v>
      </c>
      <c r="J1236" s="50">
        <f>IFERROR(__xludf.DUMMYFUNCTION("""COMPUTED_VALUE"""),91.60447500000001)</f>
        <v>91.604475</v>
      </c>
      <c r="K1236" s="58">
        <f>IFERROR(__xludf.DUMMYFUNCTION("""COMPUTED_VALUE"""),45804.0)</f>
        <v>45804</v>
      </c>
      <c r="L1236" s="6">
        <v>14.0</v>
      </c>
      <c r="M1236" s="52">
        <v>45818.0</v>
      </c>
      <c r="N1236" s="53" t="s">
        <v>668</v>
      </c>
      <c r="O1236" s="19" t="s">
        <v>669</v>
      </c>
      <c r="P1236" s="6"/>
      <c r="Q1236" s="6"/>
      <c r="R1236" s="6"/>
    </row>
    <row r="1237">
      <c r="A1237" s="31" t="str">
        <f>IFERROR(__xludf.DUMMYFUNCTION("""COMPUTED_VALUE"""),"1114к3")</f>
        <v>1114к3</v>
      </c>
      <c r="B1237" s="14" t="str">
        <f>IFERROR(__xludf.DUMMYFUNCTION("""COMPUTED_VALUE"""),"ВНЕ СПИСКА")</f>
        <v>ВНЕ СПИСКА</v>
      </c>
      <c r="C1237" s="14" t="str">
        <f>IFERROR(__xludf.DUMMYFUNCTION("""COMPUTED_VALUE"""),"ОКС")</f>
        <v>ОКС</v>
      </c>
      <c r="D1237" s="6" t="str">
        <f>IFERROR(__xludf.DUMMYFUNCTION("""COMPUTED_VALUE"""),"да")</f>
        <v>да</v>
      </c>
      <c r="E1237" s="14" t="str">
        <f>IFERROR(__xludf.DUMMYFUNCTION("""COMPUTED_VALUE"""),"ул. Люблинская, вл. 72 (ЖК «Светлый мир», «Станция Л») корпус 3, ЮВАО ЮВАО, район Люблино, ул. Люблинская, вл. 72 , корп. 3
")</f>
        <v>ул. Люблинская, вл. 72 (ЖК «Светлый мир», «Станция Л») корпус 3, ЮВАО ЮВАО, район Люблино, ул. Люблинская, вл. 72 , корп. 3
</v>
      </c>
      <c r="F1237" s="25" t="str">
        <f>IFERROR(__xludf.DUMMYFUNCTION("""COMPUTED_VALUE"""),"#N/A")</f>
        <v>#N/A</v>
      </c>
      <c r="G1237" s="6" t="str">
        <f>IFERROR(__xludf.DUMMYFUNCTION("""COMPUTED_VALUE"""),"#N/A")</f>
        <v>#N/A</v>
      </c>
      <c r="H1237" s="18" t="str">
        <f>IFERROR(__xludf.DUMMYFUNCTION("""COMPUTED_VALUE"""),"https://docs.google.com/spreadsheets/d/1EI7qusa674eJhuaw-nWWtWMEHVSYMQv7HLsInEZTWpE/edit?gid=360147993#gid=360147993")</f>
        <v>https://docs.google.com/spreadsheets/d/1EI7qusa674eJhuaw-nWWtWMEHVSYMQv7HLsInEZTWpE/edit?gid=360147993#gid=360147993</v>
      </c>
      <c r="I1237"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7" s="50">
        <f>IFERROR(__xludf.DUMMYFUNCTION("""COMPUTED_VALUE"""),58.030325000000005)</f>
        <v>58.030325</v>
      </c>
      <c r="K1237" s="58">
        <f>IFERROR(__xludf.DUMMYFUNCTION("""COMPUTED_VALUE"""),45768.0)</f>
        <v>45768</v>
      </c>
      <c r="L1237" s="6">
        <v>14.0</v>
      </c>
      <c r="M1237" s="52">
        <v>45782.0</v>
      </c>
      <c r="N1237" s="53" t="s">
        <v>668</v>
      </c>
      <c r="O1237" s="19" t="s">
        <v>1193</v>
      </c>
      <c r="P1237" s="6"/>
      <c r="Q1237" s="6"/>
      <c r="R1237" s="6"/>
    </row>
    <row r="1238">
      <c r="A1238" s="31" t="str">
        <f>IFERROR(__xludf.DUMMYFUNCTION("""COMPUTED_VALUE"""),"1114к8")</f>
        <v>1114к8</v>
      </c>
      <c r="B1238" s="14" t="str">
        <f>IFERROR(__xludf.DUMMYFUNCTION("""COMPUTED_VALUE"""),"ВНЕ СПИСКА")</f>
        <v>ВНЕ СПИСКА</v>
      </c>
      <c r="C1238" s="14" t="str">
        <f>IFERROR(__xludf.DUMMYFUNCTION("""COMPUTED_VALUE"""),"ОКС")</f>
        <v>ОКС</v>
      </c>
      <c r="D1238" s="6" t="str">
        <f>IFERROR(__xludf.DUMMYFUNCTION("""COMPUTED_VALUE"""),"да")</f>
        <v>да</v>
      </c>
      <c r="E1238" s="14" t="str">
        <f>IFERROR(__xludf.DUMMYFUNCTION("""COMPUTED_VALUE"""),"ул. Люблинская, вл. 72 (ЖК «Светлый мир», «Станция Л») корпус 8, ЮВАО ЮВАО, район Люблино, ул. Люблинская, вл. 72 , корп. 8")</f>
        <v>ул. Люблинская, вл. 72 (ЖК «Светлый мир», «Станция Л») корпус 8, ЮВАО ЮВАО, район Люблино, ул. Люблинская, вл. 72 , корп. 8</v>
      </c>
      <c r="F1238" s="25" t="str">
        <f>IFERROR(__xludf.DUMMYFUNCTION("""COMPUTED_VALUE"""),"#N/A")</f>
        <v>#N/A</v>
      </c>
      <c r="G1238" s="6" t="str">
        <f>IFERROR(__xludf.DUMMYFUNCTION("""COMPUTED_VALUE"""),"#N/A")</f>
        <v>#N/A</v>
      </c>
      <c r="H1238" s="18" t="str">
        <f>IFERROR(__xludf.DUMMYFUNCTION("""COMPUTED_VALUE"""),"https://docs.google.com/spreadsheets/d/1EI7qusa674eJhuaw-nWWtWMEHVSYMQv7HLsInEZTWpE/edit?gid=1025924228#gid=1025924228")</f>
        <v>https://docs.google.com/spreadsheets/d/1EI7qusa674eJhuaw-nWWtWMEHVSYMQv7HLsInEZTWpE/edit?gid=1025924228#gid=1025924228</v>
      </c>
      <c r="I1238"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8" s="50">
        <f>IFERROR(__xludf.DUMMYFUNCTION("""COMPUTED_VALUE"""),8.64)</f>
        <v>8.64</v>
      </c>
      <c r="K1238" s="58">
        <f>IFERROR(__xludf.DUMMYFUNCTION("""COMPUTED_VALUE"""),45768.0)</f>
        <v>45768</v>
      </c>
      <c r="L1238" s="6">
        <v>30.0</v>
      </c>
      <c r="M1238" s="52">
        <v>45798.0</v>
      </c>
      <c r="N1238" s="53" t="s">
        <v>668</v>
      </c>
      <c r="O1238" s="19" t="s">
        <v>1193</v>
      </c>
      <c r="P1238" s="6"/>
      <c r="Q1238" s="6"/>
      <c r="R1238" s="6"/>
    </row>
    <row r="1239">
      <c r="A1239" s="31" t="str">
        <f>IFERROR(__xludf.DUMMYFUNCTION("""COMPUTED_VALUE"""),"1114к11")</f>
        <v>1114к11</v>
      </c>
      <c r="B1239" s="14" t="str">
        <f>IFERROR(__xludf.DUMMYFUNCTION("""COMPUTED_VALUE"""),"ВНЕ СПИСКА")</f>
        <v>ВНЕ СПИСКА</v>
      </c>
      <c r="C1239" s="14" t="str">
        <f>IFERROR(__xludf.DUMMYFUNCTION("""COMPUTED_VALUE"""),"ОКС")</f>
        <v>ОКС</v>
      </c>
      <c r="D1239" s="6" t="str">
        <f>IFERROR(__xludf.DUMMYFUNCTION("""COMPUTED_VALUE"""),"да")</f>
        <v>да</v>
      </c>
      <c r="E1239" s="14" t="str">
        <f>IFERROR(__xludf.DUMMYFUNCTION("""COMPUTED_VALUE"""),"ул. Люблинская, вл. 72 (ЖК «Светлый мир», «Станция Л») корпус 11, ЮВАО ул. Люблинская, вл. 72 (ЖК «Светлый мир», «Станция Л») корпус 11, ЮВАО")</f>
        <v>ул. Люблинская, вл. 72 (ЖК «Светлый мир», «Станция Л») корпус 11, ЮВАО ул. Люблинская, вл. 72 (ЖК «Светлый мир», «Станция Л») корпус 11, ЮВАО</v>
      </c>
      <c r="F1239" s="25" t="str">
        <f>IFERROR(__xludf.DUMMYFUNCTION("""COMPUTED_VALUE"""),"#N/A")</f>
        <v>#N/A</v>
      </c>
      <c r="G1239" s="6" t="str">
        <f>IFERROR(__xludf.DUMMYFUNCTION("""COMPUTED_VALUE"""),"#N/A")</f>
        <v>#N/A</v>
      </c>
      <c r="H1239" s="18" t="str">
        <f>IFERROR(__xludf.DUMMYFUNCTION("""COMPUTED_VALUE"""),"https://docs.google.com/spreadsheets/d/1EI7qusa674eJhuaw-nWWtWMEHVSYMQv7HLsInEZTWpE/edit?gid=318719186#gid=318719186")</f>
        <v>https://docs.google.com/spreadsheets/d/1EI7qusa674eJhuaw-nWWtWMEHVSYMQv7HLsInEZTWpE/edit?gid=318719186#gid=318719186</v>
      </c>
      <c r="I1239"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9" s="50">
        <f>IFERROR(__xludf.DUMMYFUNCTION("""COMPUTED_VALUE"""),60.092325)</f>
        <v>60.092325</v>
      </c>
      <c r="K1239" s="58">
        <f>IFERROR(__xludf.DUMMYFUNCTION("""COMPUTED_VALUE"""),45804.0)</f>
        <v>45804</v>
      </c>
      <c r="L1239" s="6">
        <v>14.0</v>
      </c>
      <c r="M1239" s="52">
        <v>45818.0</v>
      </c>
      <c r="N1239" s="53" t="s">
        <v>668</v>
      </c>
      <c r="O1239" s="19" t="s">
        <v>1193</v>
      </c>
      <c r="P1239" s="6"/>
      <c r="Q1239" s="6"/>
      <c r="R1239" s="6"/>
    </row>
    <row r="1240">
      <c r="A1240" s="31" t="str">
        <f>IFERROR(__xludf.DUMMYFUNCTION("""COMPUTED_VALUE"""),"1114к26")</f>
        <v>1114к26</v>
      </c>
      <c r="B1240" s="14" t="str">
        <f>IFERROR(__xludf.DUMMYFUNCTION("""COMPUTED_VALUE"""),"ВНЕ СПИСКА")</f>
        <v>ВНЕ СПИСКА</v>
      </c>
      <c r="C1240" s="14" t="str">
        <f>IFERROR(__xludf.DUMMYFUNCTION("""COMPUTED_VALUE"""),"ОКС")</f>
        <v>ОКС</v>
      </c>
      <c r="D1240" s="6" t="str">
        <f>IFERROR(__xludf.DUMMYFUNCTION("""COMPUTED_VALUE"""),"да")</f>
        <v>да</v>
      </c>
      <c r="E1240" s="14" t="str">
        <f>IFERROR(__xludf.DUMMYFUNCTION("""COMPUTED_VALUE"""),"ул. Люблинская, вл. 72 (ЖК «Светлый мир», «Станция Л») корпус 26, ЮВАО ЮВАО, район Люблино, ул. Люблинская, вл. 72, корп. 26
")</f>
        <v>ул. Люблинская, вл. 72 (ЖК «Светлый мир», «Станция Л») корпус 26, ЮВАО ЮВАО, район Люблино, ул. Люблинская, вл. 72, корп. 26
</v>
      </c>
      <c r="F1240" s="25" t="str">
        <f>IFERROR(__xludf.DUMMYFUNCTION("""COMPUTED_VALUE"""),"#N/A")</f>
        <v>#N/A</v>
      </c>
      <c r="G1240" s="6" t="str">
        <f>IFERROR(__xludf.DUMMYFUNCTION("""COMPUTED_VALUE"""),"#N/A")</f>
        <v>#N/A</v>
      </c>
      <c r="H1240" s="18" t="str">
        <f>IFERROR(__xludf.DUMMYFUNCTION("""COMPUTED_VALUE"""),"https://docs.google.com/spreadsheets/d/1EI7qusa674eJhuaw-nWWtWMEHVSYMQv7HLsInEZTWpE/edit?gid=2009717462#gid=2009717462")</f>
        <v>https://docs.google.com/spreadsheets/d/1EI7qusa674eJhuaw-nWWtWMEHVSYMQv7HLsInEZTWpE/edit?gid=2009717462#gid=2009717462</v>
      </c>
      <c r="I1240"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0" s="50">
        <f>IFERROR(__xludf.DUMMYFUNCTION("""COMPUTED_VALUE"""),2.52)</f>
        <v>2.52</v>
      </c>
      <c r="K1240" s="58">
        <f>IFERROR(__xludf.DUMMYFUNCTION("""COMPUTED_VALUE"""),45768.0)</f>
        <v>45768</v>
      </c>
      <c r="L1240" s="6">
        <v>30.0</v>
      </c>
      <c r="M1240" s="52">
        <v>45798.0</v>
      </c>
      <c r="N1240" s="53" t="s">
        <v>668</v>
      </c>
      <c r="O1240" s="19" t="s">
        <v>1193</v>
      </c>
      <c r="P1240" s="6"/>
      <c r="Q1240" s="6"/>
      <c r="R1240" s="6"/>
    </row>
    <row r="1241">
      <c r="A1241" s="31" t="str">
        <f>IFERROR(__xludf.DUMMYFUNCTION("""COMPUTED_VALUE"""),"1114к27")</f>
        <v>1114к27</v>
      </c>
      <c r="B1241" s="14" t="str">
        <f>IFERROR(__xludf.DUMMYFUNCTION("""COMPUTED_VALUE"""),"ВНЕ СПИСКА")</f>
        <v>ВНЕ СПИСКА</v>
      </c>
      <c r="C1241" s="14" t="str">
        <f>IFERROR(__xludf.DUMMYFUNCTION("""COMPUTED_VALUE"""),"ОКС")</f>
        <v>ОКС</v>
      </c>
      <c r="D1241" s="6" t="str">
        <f>IFERROR(__xludf.DUMMYFUNCTION("""COMPUTED_VALUE"""),"да")</f>
        <v>да</v>
      </c>
      <c r="E1241" s="14" t="str">
        <f>IFERROR(__xludf.DUMMYFUNCTION("""COMPUTED_VALUE"""),"ул. Люблинская, вл. 72 (ЖК «Светлый мир», «Станция Л») корпус 28, ЮВАО ЮВАО, район Люблино, ул. Люблинская, вл. 72, корп. 27
")</f>
        <v>ул. Люблинская, вл. 72 (ЖК «Светлый мир», «Станция Л») корпус 28, ЮВАО ЮВАО, район Люблино, ул. Люблинская, вл. 72, корп. 27
</v>
      </c>
      <c r="F1241" s="25" t="str">
        <f>IFERROR(__xludf.DUMMYFUNCTION("""COMPUTED_VALUE"""),"#N/A")</f>
        <v>#N/A</v>
      </c>
      <c r="G1241" s="6" t="str">
        <f>IFERROR(__xludf.DUMMYFUNCTION("""COMPUTED_VALUE"""),"#N/A")</f>
        <v>#N/A</v>
      </c>
      <c r="H1241" s="18" t="str">
        <f>IFERROR(__xludf.DUMMYFUNCTION("""COMPUTED_VALUE"""),"https://docs.google.com/spreadsheets/d/1EI7qusa674eJhuaw-nWWtWMEHVSYMQv7HLsInEZTWpE/edit?gid=852795389#gid=852795389")</f>
        <v>https://docs.google.com/spreadsheets/d/1EI7qusa674eJhuaw-nWWtWMEHVSYMQv7HLsInEZTWpE/edit?gid=852795389#gid=852795389</v>
      </c>
      <c r="I1241"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1" s="50">
        <f>IFERROR(__xludf.DUMMYFUNCTION("""COMPUTED_VALUE"""),1.7999999999999998)</f>
        <v>1.8</v>
      </c>
      <c r="K1241" s="58">
        <f>IFERROR(__xludf.DUMMYFUNCTION("""COMPUTED_VALUE"""),45768.0)</f>
        <v>45768</v>
      </c>
      <c r="L1241" s="6">
        <v>30.0</v>
      </c>
      <c r="M1241" s="52">
        <v>45798.0</v>
      </c>
      <c r="N1241" s="53" t="s">
        <v>668</v>
      </c>
      <c r="O1241" s="19" t="s">
        <v>1193</v>
      </c>
      <c r="P1241" s="6"/>
      <c r="Q1241" s="6"/>
      <c r="R1241" s="6"/>
    </row>
    <row r="1242">
      <c r="A1242" s="31" t="str">
        <f>IFERROR(__xludf.DUMMYFUNCTION("""COMPUTED_VALUE"""),"1114к31")</f>
        <v>1114к31</v>
      </c>
      <c r="B1242" s="14" t="str">
        <f>IFERROR(__xludf.DUMMYFUNCTION("""COMPUTED_VALUE"""),"ВНЕ СПИСКА")</f>
        <v>ВНЕ СПИСКА</v>
      </c>
      <c r="C1242" s="14" t="str">
        <f>IFERROR(__xludf.DUMMYFUNCTION("""COMPUTED_VALUE"""),"ОКС")</f>
        <v>ОКС</v>
      </c>
      <c r="D1242" s="6" t="str">
        <f>IFERROR(__xludf.DUMMYFUNCTION("""COMPUTED_VALUE"""),"да")</f>
        <v>да</v>
      </c>
      <c r="E1242" s="14" t="str">
        <f>IFERROR(__xludf.DUMMYFUNCTION("""COMPUTED_VALUE"""),"ул. Люблинская, вл. 72 (ЖК «Светлый мир», «Станция Л») корпус 31, ЮВАО ЮВАО, район Люблино, ул. Люблинская, вл. 72, корп. 31
")</f>
        <v>ул. Люблинская, вл. 72 (ЖК «Светлый мир», «Станция Л») корпус 31, ЮВАО ЮВАО, район Люблино, ул. Люблинская, вл. 72, корп. 31
</v>
      </c>
      <c r="F1242" s="25" t="str">
        <f>IFERROR(__xludf.DUMMYFUNCTION("""COMPUTED_VALUE"""),"#N/A")</f>
        <v>#N/A</v>
      </c>
      <c r="G1242" s="6" t="str">
        <f>IFERROR(__xludf.DUMMYFUNCTION("""COMPUTED_VALUE"""),"#N/A")</f>
        <v>#N/A</v>
      </c>
      <c r="H1242" s="18" t="str">
        <f>IFERROR(__xludf.DUMMYFUNCTION("""COMPUTED_VALUE"""),"https://docs.google.com/spreadsheets/d/1EI7qusa674eJhuaw-nWWtWMEHVSYMQv7HLsInEZTWpE/edit?gid=1610184965#gid=1610184965")</f>
        <v>https://docs.google.com/spreadsheets/d/1EI7qusa674eJhuaw-nWWtWMEHVSYMQv7HLsInEZTWpE/edit?gid=1610184965#gid=1610184965</v>
      </c>
      <c r="I1242"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2" s="50">
        <f>IFERROR(__xludf.DUMMYFUNCTION("""COMPUTED_VALUE"""),1.7999999999999998)</f>
        <v>1.8</v>
      </c>
      <c r="K1242" s="58">
        <f>IFERROR(__xludf.DUMMYFUNCTION("""COMPUTED_VALUE"""),45768.0)</f>
        <v>45768</v>
      </c>
      <c r="L1242" s="6">
        <v>30.0</v>
      </c>
      <c r="M1242" s="52">
        <v>45798.0</v>
      </c>
      <c r="N1242" s="53" t="s">
        <v>668</v>
      </c>
      <c r="O1242" s="19" t="s">
        <v>1193</v>
      </c>
      <c r="P1242" s="6"/>
      <c r="Q1242" s="6"/>
      <c r="R1242" s="6"/>
    </row>
    <row r="1243">
      <c r="A1243" s="70" t="str">
        <f>IFERROR(__xludf.DUMMYFUNCTION("""COMPUTED_VALUE"""),"1279")</f>
        <v>1279</v>
      </c>
      <c r="B1243" s="14" t="str">
        <f>IFERROR(__xludf.DUMMYFUNCTION("""COMPUTED_VALUE"""),"ВНЕ СПИСКА")</f>
        <v>ВНЕ СПИСКА</v>
      </c>
      <c r="C1243" s="14" t="str">
        <f>IFERROR(__xludf.DUMMYFUNCTION("""COMPUTED_VALUE"""),"ОКС")</f>
        <v>ОКС</v>
      </c>
      <c r="D1243" s="6"/>
      <c r="E1243" s="14" t="str">
        <f>IFERROR(__xludf.DUMMYFUNCTION("""COMPUTED_VALUE"""),"Реконструкция колумбариев  Донского кладбища по адресу: Донская пл., влд. 1 (со сносом существующих сооружений)  Донская площадь, вл. 1")</f>
        <v>Реконструкция колумбариев  Донского кладбища по адресу: Донская пл., влд. 1 (со сносом существующих сооружений)  Донская площадь, вл. 1</v>
      </c>
      <c r="F1243" s="25" t="str">
        <f>IFERROR(__xludf.DUMMYFUNCTION("""COMPUTED_VALUE"""),"#N/A")</f>
        <v>#N/A</v>
      </c>
      <c r="G1243" s="6" t="str">
        <f>IFERROR(__xludf.DUMMYFUNCTION("""COMPUTED_VALUE"""),"#N/A")</f>
        <v>#N/A</v>
      </c>
      <c r="H1243" s="18" t="str">
        <f>IFERROR(__xludf.DUMMYFUNCTION("""COMPUTED_VALUE"""),"https://docs.google.com/spreadsheets/d/1EI7qusa674eJhuaw-nWWtWMEHVSYMQv7HLsInEZTWpE/edit?gid=1343663490#gid=1343663490")</f>
        <v>https://docs.google.com/spreadsheets/d/1EI7qusa674eJhuaw-nWWtWMEHVSYMQv7HLsInEZTWpE/edit?gid=1343663490#gid=1343663490</v>
      </c>
      <c r="I1243" s="19"/>
      <c r="J1243" s="50">
        <f>IFERROR(__xludf.DUMMYFUNCTION("""COMPUTED_VALUE"""),0.0)</f>
        <v>0</v>
      </c>
      <c r="K1243" s="58">
        <f>IFERROR(__xludf.DUMMYFUNCTION("""COMPUTED_VALUE"""),45874.0)</f>
        <v>45874</v>
      </c>
      <c r="L1243" s="6">
        <v>30.0</v>
      </c>
      <c r="M1243" s="52">
        <v>45904.0</v>
      </c>
      <c r="N1243" s="53" t="s">
        <v>668</v>
      </c>
      <c r="O1243" s="19" t="s">
        <v>1295</v>
      </c>
      <c r="P1243" s="6"/>
      <c r="Q1243" s="6"/>
      <c r="R1243" s="6"/>
    </row>
    <row r="1244">
      <c r="A1244" s="31" t="str">
        <f>IFERROR(__xludf.DUMMYFUNCTION("""COMPUTED_VALUE"""),"1187")</f>
        <v>1187</v>
      </c>
      <c r="B1244" s="14" t="str">
        <f>IFERROR(__xludf.DUMMYFUNCTION("""COMPUTED_VALUE"""),"ВНЕ СПИСКА")</f>
        <v>ВНЕ СПИСКА</v>
      </c>
      <c r="C1244" s="14" t="str">
        <f>IFERROR(__xludf.DUMMYFUNCTION("""COMPUTED_VALUE"""),"ОКС")</f>
        <v>ОКС</v>
      </c>
      <c r="D1244" s="6" t="str">
        <f>IFERROR(__xludf.DUMMYFUNCTION("""COMPUTED_VALUE"""),"да")</f>
        <v>да</v>
      </c>
      <c r="E1244" s="14" t="str">
        <f>IFERROR(__xludf.DUMMYFUNCTION("""COMPUTED_VALUE"""),"Школьное здание на 825 мест с пристроенным зданием блока начальных классов на 270 мест ЖК GREEN PARK, ул. Сельскохозяйственная, вл. 35")</f>
        <v>Школьное здание на 825 мест с пристроенным зданием блока начальных классов на 270 мест ЖК GREEN PARK, ул. Сельскохозяйственная, вл. 35</v>
      </c>
      <c r="F1244" s="25" t="str">
        <f>IFERROR(__xludf.DUMMYFUNCTION("""COMPUTED_VALUE"""),"#N/A")</f>
        <v>#N/A</v>
      </c>
      <c r="G1244" s="6" t="str">
        <f>IFERROR(__xludf.DUMMYFUNCTION("""COMPUTED_VALUE"""),"#N/A")</f>
        <v>#N/A</v>
      </c>
      <c r="H1244" s="18" t="str">
        <f>IFERROR(__xludf.DUMMYFUNCTION("""COMPUTED_VALUE"""),"https://docs.google.com/spreadsheets/d/1EI7qusa674eJhuaw-nWWtWMEHVSYMQv7HLsInEZTWpE/edit?gid=1381479506#gid=1381479506")</f>
        <v>https://docs.google.com/spreadsheets/d/1EI7qusa674eJhuaw-nWWtWMEHVSYMQv7HLsInEZTWpE/edit?gid=1381479506#gid=1381479506</v>
      </c>
      <c r="I1244" s="19" t="str">
        <f>IFERROR(__xludf.DUMMYFUNCTION("""COMPUTED_VALUE"""),"https://disk.yandex.ru/client/disk/Осмотры%20объектов%20АНО%20СМГ/1187.%20Школьное%20здание%20на%20825%20мест%20ЖК%20Green%20Park%2C%20ул.%20Сельскохозяйственная%2C%20вл.35")</f>
        <v>https://disk.yandex.ru/client/disk/Осмотры%20объектов%20АНО%20СМГ/1187.%20Школьное%20здание%20на%20825%20мест%20ЖК%20Green%20Park%2C%20ул.%20Сельскохозяйственная%2C%20вл.35</v>
      </c>
      <c r="J1244" s="50">
        <f>IFERROR(__xludf.DUMMYFUNCTION("""COMPUTED_VALUE"""),0.0)</f>
        <v>0</v>
      </c>
      <c r="K1244" s="58">
        <f>IFERROR(__xludf.DUMMYFUNCTION("""COMPUTED_VALUE"""),45811.0)</f>
        <v>45811</v>
      </c>
      <c r="L1244" s="6">
        <v>30.0</v>
      </c>
      <c r="M1244" s="52">
        <v>45841.0</v>
      </c>
      <c r="N1244" s="53" t="s">
        <v>668</v>
      </c>
      <c r="O1244" s="19" t="s">
        <v>1296</v>
      </c>
      <c r="P1244" s="6"/>
      <c r="Q1244" s="6"/>
      <c r="R1244" s="6"/>
    </row>
    <row r="1245">
      <c r="A1245" s="31" t="str">
        <f>IFERROR(__xludf.DUMMYFUNCTION("""COMPUTED_VALUE"""),"490")</f>
        <v>490</v>
      </c>
      <c r="B1245" s="14" t="str">
        <f>IFERROR(__xludf.DUMMYFUNCTION("""COMPUTED_VALUE"""),"РЕН-25")</f>
        <v>РЕН-25</v>
      </c>
      <c r="C1245" s="14" t="str">
        <f>IFERROR(__xludf.DUMMYFUNCTION("""COMPUTED_VALUE"""),"ОКС")</f>
        <v>ОКС</v>
      </c>
      <c r="D1245" s="6"/>
      <c r="E1245" s="14" t="str">
        <f>IFERROR(__xludf.DUMMYFUNCTION("""COMPUTED_VALUE"""),"Жилой дом с приспособлением гаража/подземной автостоянкой под защитное сооружение гражданской обороны – «укрытие» (ЗСГО), с инженерными сетями и благоустройством территории по адресу: район Проспект Вернадского, ул. Воейкова д. 2 (проспект Вернадского, зе"&amp;"мельный участок 75) район Проспект Вернадского, проспект Вернадского, земельный участок 75 (пр-кт Вернадского, влд. 75/3)")</f>
        <v>Жилой дом с приспособлением гаража/подземной автостоянкой под защитное сооружение гражданской обороны – «укрытие» (ЗСГО), с инженерными сетями и благоустройством территории по адресу: район Проспект Вернадского, ул. Воейкова д. 2 (проспект Вернадского, земельный участок 75) район Проспект Вернадского, проспект Вернадского, земельный участок 75 (пр-кт Вернадского, влд. 75/3)</v>
      </c>
      <c r="F1245" s="25" t="str">
        <f>IFERROR(__xludf.DUMMYFUNCTION("""COMPUTED_VALUE"""),"55.671189")</f>
        <v>55.671189</v>
      </c>
      <c r="G1245" s="6" t="str">
        <f>IFERROR(__xludf.DUMMYFUNCTION("""COMPUTED_VALUE"""),"37.507430")</f>
        <v>37.507430</v>
      </c>
      <c r="H1245" s="18" t="str">
        <f>IFERROR(__xludf.DUMMYFUNCTION("""COMPUTED_VALUE"""),"https://docs.google.com/spreadsheets/d/1H1MjbG2y0oC0hhID4do1G0_gfyI1jag72lQd7nL3WDQ/edit?gid=1877547333#gid=1877547333")</f>
        <v>https://docs.google.com/spreadsheets/d/1H1MjbG2y0oC0hhID4do1G0_gfyI1jag72lQd7nL3WDQ/edit?gid=1877547333#gid=1877547333</v>
      </c>
      <c r="I1245" s="19" t="str">
        <f>IFERROR(__xludf.DUMMYFUNCTION("""COMPUTED_VALUE"""),"https://disk.yandex.ru/client/disk/Осмотры%20объектов%20АНО%20СМГ/490.%20проспект%20Вернадского%2C%20з-у%2075%20квартал32-33%2C34-35%2C%20зона%208.2")</f>
        <v>https://disk.yandex.ru/client/disk/Осмотры%20объектов%20АНО%20СМГ/490.%20проспект%20Вернадского%2C%20з-у%2075%20квартал32-33%2C34-35%2C%20зона%208.2</v>
      </c>
      <c r="J1245" s="50">
        <f>IFERROR(__xludf.DUMMYFUNCTION("""COMPUTED_VALUE"""),100.0)</f>
        <v>100</v>
      </c>
      <c r="K1245" s="58">
        <f>IFERROR(__xludf.DUMMYFUNCTION("""COMPUTED_VALUE"""),45952.0)</f>
        <v>45952</v>
      </c>
      <c r="L1245" s="6" t="s">
        <v>654</v>
      </c>
      <c r="M1245" s="52" t="s">
        <v>655</v>
      </c>
      <c r="N1245" s="53" t="s">
        <v>656</v>
      </c>
      <c r="O1245" s="19" t="s">
        <v>1297</v>
      </c>
      <c r="P1245" s="6"/>
      <c r="Q1245" s="6"/>
      <c r="R1245" s="6"/>
    </row>
    <row r="1246">
      <c r="A1246" s="31" t="str">
        <f>IFERROR(__xludf.DUMMYFUNCTION("""COMPUTED_VALUE"""),"073")</f>
        <v>073</v>
      </c>
      <c r="B1246" s="14" t="str">
        <f>IFERROR(__xludf.DUMMYFUNCTION("""COMPUTED_VALUE"""),"ВНЕ СПИСКА")</f>
        <v>ВНЕ СПИСКА</v>
      </c>
      <c r="C1246" s="14" t="str">
        <f>IFERROR(__xludf.DUMMYFUNCTION("""COMPUTED_VALUE"""),"ОКС")</f>
        <v>ОКС</v>
      </c>
      <c r="D1246" s="6" t="str">
        <f>IFERROR(__xludf.DUMMYFUNCTION("""COMPUTED_VALUE"""),"да")</f>
        <v>да</v>
      </c>
      <c r="E1246" s="14" t="str">
        <f>IFERROR(__xludf.DUMMYFUNCTION("""COMPUTED_VALUE"""),"СОШ на 1150 учащихся (корп. 70) ЖК ""Саларьево Парк"", 
НАО, п. Московский, район Коммунарка п. Московский, р-н Коммунарка, трехполье, кв. 75, з/у 3")</f>
        <v>СОШ на 1150 учащихся (корп. 70) ЖК "Саларьево Парк", 
НАО, п. Московский, район Коммунарка п. Московский, р-н Коммунарка, трехполье, кв. 75, з/у 3</v>
      </c>
      <c r="F1246" s="25" t="str">
        <f>IFERROR(__xludf.DUMMYFUNCTION("""COMPUTED_VALUE"""),"#N/A")</f>
        <v>#N/A</v>
      </c>
      <c r="G1246" s="6" t="str">
        <f>IFERROR(__xludf.DUMMYFUNCTION("""COMPUTED_VALUE"""),"#N/A")</f>
        <v>#N/A</v>
      </c>
      <c r="H1246" s="18" t="str">
        <f>IFERROR(__xludf.DUMMYFUNCTION("""COMPUTED_VALUE"""),"https://docs.google.com/spreadsheets/d/1EI7qusa674eJhuaw-nWWtWMEHVSYMQv7HLsInEZTWpE/edit?gid=1434119046#gid=1434119046")</f>
        <v>https://docs.google.com/spreadsheets/d/1EI7qusa674eJhuaw-nWWtWMEHVSYMQv7HLsInEZTWpE/edit?gid=1434119046#gid=1434119046</v>
      </c>
      <c r="I1246" s="19" t="str">
        <f>IFERROR(__xludf.DUMMYFUNCTION("""COMPUTED_VALUE"""),"https://disk.yandex.ru/client/disk/Осмотры%20объектов%20АНО%20СМГ/073.%20СОШ%201150%20корп.70%2C%20Коммунарка%2C%20Новомосковский%2C%20Ул.%20Трехполье%2C%20д.%206")</f>
        <v>https://disk.yandex.ru/client/disk/Осмотры%20объектов%20АНО%20СМГ/073.%20СОШ%201150%20корп.70%2C%20Коммунарка%2C%20Новомосковский%2C%20Ул.%20Трехполье%2C%20д.%206</v>
      </c>
      <c r="J1246" s="50">
        <f>IFERROR(__xludf.DUMMYFUNCTION("""COMPUTED_VALUE"""),100.0)</f>
        <v>100</v>
      </c>
      <c r="K1246" s="58">
        <f>IFERROR(__xludf.DUMMYFUNCTION("""COMPUTED_VALUE"""),45889.0)</f>
        <v>45889</v>
      </c>
      <c r="L1246" s="6" t="s">
        <v>654</v>
      </c>
      <c r="M1246" s="52" t="s">
        <v>655</v>
      </c>
      <c r="N1246" s="53" t="s">
        <v>656</v>
      </c>
      <c r="O1246" s="19" t="s">
        <v>1298</v>
      </c>
      <c r="P1246" s="6"/>
      <c r="Q1246" s="6"/>
      <c r="R1246" s="6"/>
    </row>
    <row r="1247">
      <c r="A1247" s="31" t="str">
        <f>IFERROR(__xludf.DUMMYFUNCTION("""COMPUTED_VALUE"""),"066")</f>
        <v>066</v>
      </c>
      <c r="B1247" s="14" t="str">
        <f>IFERROR(__xludf.DUMMYFUNCTION("""COMPUTED_VALUE"""),"ВНЕ СПИСКА")</f>
        <v>ВНЕ СПИСКА</v>
      </c>
      <c r="C1247" s="14" t="str">
        <f>IFERROR(__xludf.DUMMYFUNCTION("""COMPUTED_VALUE"""),"ОКС")</f>
        <v>ОКС</v>
      </c>
      <c r="D1247" s="6" t="str">
        <f>IFERROR(__xludf.DUMMYFUNCTION("""COMPUTED_VALUE"""),"да")</f>
        <v>да</v>
      </c>
      <c r="E1247" s="14" t="str">
        <f>IFERROR(__xludf.DUMMYFUNCTION("""COMPUTED_VALUE"""),"Средняя общеобразовательная школа на 1100 мест ЖК БУНИНСКИЕ ЛУГА, поселок Коммунарка, улица Александры Монаховой, земельный участок 87")</f>
        <v>Средняя общеобразовательная школа на 1100 мест ЖК БУНИНСКИЕ ЛУГА, поселок Коммунарка, улица Александры Монаховой, земельный участок 87</v>
      </c>
      <c r="F1247" s="25" t="str">
        <f>IFERROR(__xludf.DUMMYFUNCTION("""COMPUTED_VALUE"""),"55.54794027077919")</f>
        <v>55.54794027077919</v>
      </c>
      <c r="G1247" s="6" t="str">
        <f>IFERROR(__xludf.DUMMYFUNCTION("""COMPUTED_VALUE"""),"37.48944130953867")</f>
        <v>37.48944130953867</v>
      </c>
      <c r="H1247" s="18" t="str">
        <f>IFERROR(__xludf.DUMMYFUNCTION("""COMPUTED_VALUE"""),"https://docs.google.com/spreadsheets/d/1EI7qusa674eJhuaw-nWWtWMEHVSYMQv7HLsInEZTWpE/edit?gid=270470148#gid=270470148")</f>
        <v>https://docs.google.com/spreadsheets/d/1EI7qusa674eJhuaw-nWWtWMEHVSYMQv7HLsInEZTWpE/edit?gid=270470148#gid=270470148</v>
      </c>
      <c r="I1247" s="19" t="str">
        <f>IFERROR(__xludf.DUMMYFUNCTION("""COMPUTED_VALUE"""),"https://disk.yandex.ru/client/disk/Осмотры%20объектов%20АНО%20СМГ/066.%20СОШ%201100%20(корп%203.13)%20ЖК%20Бунинские%20Луга")</f>
        <v>https://disk.yandex.ru/client/disk/Осмотры%20объектов%20АНО%20СМГ/066.%20СОШ%201100%20(корп%203.13)%20ЖК%20Бунинские%20Луга</v>
      </c>
      <c r="J1247" s="50">
        <f>IFERROR(__xludf.DUMMYFUNCTION("""COMPUTED_VALUE"""),99.8525)</f>
        <v>99.8525</v>
      </c>
      <c r="K1247" s="58">
        <f>IFERROR(__xludf.DUMMYFUNCTION("""COMPUTED_VALUE"""),45973.0)</f>
        <v>45973</v>
      </c>
      <c r="L1247" s="6">
        <v>7.0</v>
      </c>
      <c r="M1247" s="52">
        <v>45980.0</v>
      </c>
      <c r="N1247" s="53" t="s">
        <v>711</v>
      </c>
      <c r="O1247" s="19" t="s">
        <v>1299</v>
      </c>
      <c r="P1247" s="6"/>
      <c r="Q1247" s="6"/>
      <c r="R1247" s="6"/>
    </row>
    <row r="1248">
      <c r="A1248" s="31" t="str">
        <f>IFERROR(__xludf.DUMMYFUNCTION("""COMPUTED_VALUE"""),"1188")</f>
        <v>1188</v>
      </c>
      <c r="B1248" s="14" t="str">
        <f>IFERROR(__xludf.DUMMYFUNCTION("""COMPUTED_VALUE"""),"ВНЕ СПИСКА")</f>
        <v>ВНЕ СПИСКА</v>
      </c>
      <c r="C1248" s="14" t="str">
        <f>IFERROR(__xludf.DUMMYFUNCTION("""COMPUTED_VALUE"""),"ОКС")</f>
        <v>ОКС</v>
      </c>
      <c r="D1248" s="6" t="str">
        <f>IFERROR(__xludf.DUMMYFUNCTION("""COMPUTED_VALUE"""),"да")</f>
        <v>да</v>
      </c>
      <c r="E1248" s="14" t="str">
        <f>IFERROR(__xludf.DUMMYFUNCTION("""COMPUTED_VALUE"""),"Этап 13. Общеобразовательная организация на 1100 мест. Корпаус 7 ЖК ПОЛЯРНАЯ 25, Полярная ул. вл. 25")</f>
        <v>Этап 13. Общеобразовательная организация на 1100 мест. Корпаус 7 ЖК ПОЛЯРНАЯ 25, Полярная ул. вл. 25</v>
      </c>
      <c r="F1248" s="25" t="str">
        <f>IFERROR(__xludf.DUMMYFUNCTION("""COMPUTED_VALUE"""),"#N/A")</f>
        <v>#N/A</v>
      </c>
      <c r="G1248" s="6" t="str">
        <f>IFERROR(__xludf.DUMMYFUNCTION("""COMPUTED_VALUE"""),"#N/A")</f>
        <v>#N/A</v>
      </c>
      <c r="H1248" s="18" t="str">
        <f>IFERROR(__xludf.DUMMYFUNCTION("""COMPUTED_VALUE"""),"https://docs.google.com/spreadsheets/d/1EI7qusa674eJhuaw-nWWtWMEHVSYMQv7HLsInEZTWpE/edit?gid=473932196#gid=473932196")</f>
        <v>https://docs.google.com/spreadsheets/d/1EI7qusa674eJhuaw-nWWtWMEHVSYMQv7HLsInEZTWpE/edit?gid=473932196#gid=473932196</v>
      </c>
      <c r="I1248" s="21" t="str">
        <f>IFERROR(__xludf.DUMMYFUNCTION("""COMPUTED_VALUE"""),"https://disk.yandex.ru/client/disk/%D0%9E%D1%81%D0%BC%D0%BE%D1%82%D1%80%D1%8B%20%D0%BE%D0%B1%D1%8A%D0%B5%D0%BA%D1%82%D0%BE%D0%B2%20%D0%90%D0%9D%D0%9E%20%D0%A1%D0%9C%D0%93/1188.%20%D0%9E%D0%B1%D1%89%D0%B5%D0%BE%D0%B1%D1%80%D0%B0%D0%B7%D0%BE%D0%B2%D0%B0%D1%"&amp;"82%D0%B5%D0%BB%D1%8C%D0%BD%D0%B0%D1%8F%20%D0%BE%D1%80%D0%B3%D0%B0%D0%BD%D0%B8%D0%B7%D0%B0%D1%86%D0%B8%D1%8F%20%D0%BD%D0%B0%201100%20%D0%BC%D0%B5%D1%81%D1%82%20%D0%BA%D0%BE%D1%80%D0%BF%D1%83%D1%81%207%2C%20%D0%9F%D0%BE%D0%BB%D1%8F%D1%80%D0%BD%D0%B0%D1%8F%2"&amp;"0%D1%83%D0%BB.%20%D0%B2%D0%BB.%2025%20")</f>
        <v>https://disk.yandex.ru/client/disk/%D0%9E%D1%81%D0%BC%D0%BE%D1%82%D1%80%D1%8B%20%D0%BE%D0%B1%D1%8A%D0%B5%D0%BA%D1%82%D0%BE%D0%B2%20%D0%90%D0%9D%D0%9E%20%D0%A1%D0%9C%D0%93/1188.%20%D0%9E%D0%B1%D1%89%D0%B5%D0%BE%D0%B1%D1%80%D0%B0%D0%B7%D0%BE%D0%B2%D0%B0%D1%82%D0%B5%D0%BB%D1%8C%D0%BD%D0%B0%D1%8F%20%D0%BE%D1%80%D0%B3%D0%B0%D0%BD%D0%B8%D0%B7%D0%B0%D1%86%D0%B8%D1%8F%20%D0%BD%D0%B0%201100%20%D0%BC%D0%B5%D1%81%D1%82%20%D0%BA%D0%BE%D1%80%D0%BF%D1%83%D1%81%207%2C%20%D0%9F%D0%BE%D0%BB%D1%8F%D1%80%D0%BD%D0%B0%D1%8F%20%D1%83%D0%BB.%20%D0%B2%D0%BB.%2025%20</v>
      </c>
      <c r="J1248" s="50">
        <f>IFERROR(__xludf.DUMMYFUNCTION("""COMPUTED_VALUE"""),100.0)</f>
        <v>100</v>
      </c>
      <c r="K1248" s="58">
        <f>IFERROR(__xludf.DUMMYFUNCTION("""COMPUTED_VALUE"""),45959.0)</f>
        <v>45959</v>
      </c>
      <c r="L1248" s="6" t="s">
        <v>654</v>
      </c>
      <c r="M1248" s="52" t="s">
        <v>655</v>
      </c>
      <c r="N1248" s="53" t="s">
        <v>656</v>
      </c>
      <c r="O1248" s="19" t="s">
        <v>1300</v>
      </c>
      <c r="P1248" s="6"/>
      <c r="Q1248" s="6"/>
      <c r="R1248" s="6"/>
    </row>
    <row r="1249">
      <c r="A1249" s="31" t="str">
        <f>IFERROR(__xludf.DUMMYFUNCTION("""COMPUTED_VALUE"""),"1193")</f>
        <v>1193</v>
      </c>
      <c r="B1249" s="14" t="str">
        <f>IFERROR(__xludf.DUMMYFUNCTION("""COMPUTED_VALUE"""),"ВНЕ СПИСКА")</f>
        <v>ВНЕ СПИСКА</v>
      </c>
      <c r="C1249" s="14" t="str">
        <f>IFERROR(__xludf.DUMMYFUNCTION("""COMPUTED_VALUE"""),"ОКС")</f>
        <v>ОКС</v>
      </c>
      <c r="D1249" s="6" t="str">
        <f>IFERROR(__xludf.DUMMYFUNCTION("""COMPUTED_VALUE"""),"да")</f>
        <v>да</v>
      </c>
      <c r="E1249" s="14" t="str">
        <f>IFERROR(__xludf.DUMMYFUNCTION("""COMPUTED_VALUE"""),"Средняя общеобразовательная организация на 775 мест, корп.15 ЖК МАТВЕЕВСКИЙ ПАРК, Очаковское шоссе, вл. 3")</f>
        <v>Средняя общеобразовательная организация на 775 мест, корп.15 ЖК МАТВЕЕВСКИЙ ПАРК, Очаковское шоссе, вл. 3</v>
      </c>
      <c r="F1249" s="25" t="str">
        <f>IFERROR(__xludf.DUMMYFUNCTION("""COMPUTED_VALUE"""),"55.69534020478627")</f>
        <v>55.69534020478627</v>
      </c>
      <c r="G1249" s="6" t="str">
        <f>IFERROR(__xludf.DUMMYFUNCTION("""COMPUTED_VALUE"""),"37.46296323025414")</f>
        <v>37.46296323025414</v>
      </c>
      <c r="H1249" s="18" t="str">
        <f>IFERROR(__xludf.DUMMYFUNCTION("""COMPUTED_VALUE"""),"https://docs.google.com/spreadsheets/d/1EI7qusa674eJhuaw-nWWtWMEHVSYMQv7HLsInEZTWpE/edit?gid=413594252#gid=413594252")</f>
        <v>https://docs.google.com/spreadsheets/d/1EI7qusa674eJhuaw-nWWtWMEHVSYMQv7HLsInEZTWpE/edit?gid=413594252#gid=413594252</v>
      </c>
      <c r="I1249" s="19" t="str">
        <f>IFERROR(__xludf.DUMMYFUNCTION("""COMPUTED_VALUE"""),"https://disk.yandex.ru/client/disk/Осмотры%20объектов%20АНО%20СМГ/1193.%20Очаковское%20ш.%20ЖК%20Матвеевский%20Парк.%20школа%20на%20775")</f>
        <v>https://disk.yandex.ru/client/disk/Осмотры%20объектов%20АНО%20СМГ/1193.%20Очаковское%20ш.%20ЖК%20Матвеевский%20Парк.%20школа%20на%20775</v>
      </c>
      <c r="J1249" s="50">
        <f>IFERROR(__xludf.DUMMYFUNCTION("""COMPUTED_VALUE"""),38.08799499999999)</f>
        <v>38.087995</v>
      </c>
      <c r="K1249" s="58">
        <f>IFERROR(__xludf.DUMMYFUNCTION("""COMPUTED_VALUE"""),45972.0)</f>
        <v>45972</v>
      </c>
      <c r="L1249" s="6">
        <v>30.0</v>
      </c>
      <c r="M1249" s="52">
        <v>46002.0</v>
      </c>
      <c r="N1249" s="53" t="s">
        <v>711</v>
      </c>
      <c r="O1249" s="19" t="s">
        <v>1301</v>
      </c>
      <c r="P1249" s="6"/>
      <c r="Q1249" s="6"/>
      <c r="R1249" s="6"/>
    </row>
    <row r="1250">
      <c r="A1250" s="31" t="str">
        <f>IFERROR(__xludf.DUMMYFUNCTION("""COMPUTED_VALUE"""),"1185")</f>
        <v>1185</v>
      </c>
      <c r="B1250" s="14" t="str">
        <f>IFERROR(__xludf.DUMMYFUNCTION("""COMPUTED_VALUE"""),"ВНЕ СПИСКА")</f>
        <v>ВНЕ СПИСКА</v>
      </c>
      <c r="C1250" s="14" t="str">
        <f>IFERROR(__xludf.DUMMYFUNCTION("""COMPUTED_VALUE"""),"ОКС")</f>
        <v>ОКС</v>
      </c>
      <c r="D1250" s="6" t="str">
        <f>IFERROR(__xludf.DUMMYFUNCTION("""COMPUTED_VALUE"""),"да")</f>
        <v>да</v>
      </c>
      <c r="E1250" s="14" t="str">
        <f>IFERROR(__xludf.DUMMYFUNCTION("""COMPUTED_VALUE"""),"Общеобразовательная организация на 1050 мест. Корпус 9 ЖК БУСИНОВСКИЙ ПАРК, Москва, внутригородское муниципальное образование Западное Дегунино, шоссе Коровинское")</f>
        <v>Общеобразовательная организация на 1050 мест. Корпус 9 ЖК БУСИНОВСКИЙ ПАРК, Москва, внутригородское муниципальное образование Западное Дегунино, шоссе Коровинское</v>
      </c>
      <c r="F1250" s="25" t="str">
        <f>IFERROR(__xludf.DUMMYFUNCTION("""COMPUTED_VALUE"""),"55.87968019652028")</f>
        <v>55.87968019652028</v>
      </c>
      <c r="G1250" s="6" t="str">
        <f>IFERROR(__xludf.DUMMYFUNCTION("""COMPUTED_VALUE"""),"37.503466291014234")</f>
        <v>37.503466291014234</v>
      </c>
      <c r="H1250" s="18" t="str">
        <f>IFERROR(__xludf.DUMMYFUNCTION("""COMPUTED_VALUE"""),"https://docs.google.com/spreadsheets/d/1EI7qusa674eJhuaw-nWWtWMEHVSYMQv7HLsInEZTWpE/edit?gid=2077416738#gid=2077416738")</f>
        <v>https://docs.google.com/spreadsheets/d/1EI7qusa674eJhuaw-nWWtWMEHVSYMQv7HLsInEZTWpE/edit?gid=2077416738#gid=2077416738</v>
      </c>
      <c r="I1250" s="19" t="str">
        <f>IFERROR(__xludf.DUMMYFUNCTION("""COMPUTED_VALUE"""),"https://disk.yandex.ru/client/disk/Осмотры%20объектов%20АНО%20СМГ/1185%20Бусиновский%20парк%20Общеобразовательная%20организация%20на%201050%20мест.%20Корпус%209")</f>
        <v>https://disk.yandex.ru/client/disk/Осмотры%20объектов%20АНО%20СМГ/1185%20Бусиновский%20парк%20Общеобразовательная%20организация%20на%201050%20мест.%20Корпус%209</v>
      </c>
      <c r="J1250" s="50">
        <f>IFERROR(__xludf.DUMMYFUNCTION("""COMPUTED_VALUE"""),46.2280475)</f>
        <v>46.2280475</v>
      </c>
      <c r="K1250" s="58">
        <f>IFERROR(__xludf.DUMMYFUNCTION("""COMPUTED_VALUE"""),45972.0)</f>
        <v>45972</v>
      </c>
      <c r="L1250" s="6">
        <v>30.0</v>
      </c>
      <c r="M1250" s="52">
        <v>46002.0</v>
      </c>
      <c r="N1250" s="53" t="s">
        <v>711</v>
      </c>
      <c r="O1250" s="19" t="s">
        <v>1302</v>
      </c>
      <c r="P1250" s="6"/>
      <c r="Q1250" s="6"/>
      <c r="R1250" s="6"/>
    </row>
    <row r="1251">
      <c r="A1251" s="31" t="str">
        <f>IFERROR(__xludf.DUMMYFUNCTION("""COMPUTED_VALUE"""),"1190")</f>
        <v>1190</v>
      </c>
      <c r="B1251" s="14" t="str">
        <f>IFERROR(__xludf.DUMMYFUNCTION("""COMPUTED_VALUE"""),"ВНЕ СПИСКА")</f>
        <v>ВНЕ СПИСКА</v>
      </c>
      <c r="C1251" s="14" t="str">
        <f>IFERROR(__xludf.DUMMYFUNCTION("""COMPUTED_VALUE"""),"ОКС")</f>
        <v>ОКС</v>
      </c>
      <c r="D1251" s="6" t="str">
        <f>IFERROR(__xludf.DUMMYFUNCTION("""COMPUTED_VALUE"""),"да")</f>
        <v>да</v>
      </c>
      <c r="E1251" s="14" t="str">
        <f>IFERROR(__xludf.DUMMYFUNCTION("""COMPUTED_VALUE"""),"Общеобразовательная школа на 1100 мест ЖК МИТИНСКИЙ ЛЕС, вблизи с. Рождествено (Муравская ул.)")</f>
        <v>Общеобразовательная школа на 1100 мест ЖК МИТИНСКИЙ ЛЕС, вблизи с. Рождествено (Муравская ул.)</v>
      </c>
      <c r="F1251" s="25" t="str">
        <f>IFERROR(__xludf.DUMMYFUNCTION("""COMPUTED_VALUE"""),"#N/A")</f>
        <v>#N/A</v>
      </c>
      <c r="G1251" s="6" t="str">
        <f>IFERROR(__xludf.DUMMYFUNCTION("""COMPUTED_VALUE"""),"#N/A")</f>
        <v>#N/A</v>
      </c>
      <c r="H1251" s="18" t="str">
        <f>IFERROR(__xludf.DUMMYFUNCTION("""COMPUTED_VALUE"""),"https://docs.google.com/spreadsheets/d/1EI7qusa674eJhuaw-nWWtWMEHVSYMQv7HLsInEZTWpE/edit?gid=321356533#gid=321356533")</f>
        <v>https://docs.google.com/spreadsheets/d/1EI7qusa674eJhuaw-nWWtWMEHVSYMQv7HLsInEZTWpE/edit?gid=321356533#gid=321356533</v>
      </c>
      <c r="I1251" s="19" t="str">
        <f>IFERROR(__xludf.DUMMYFUNCTION("""COMPUTED_VALUE"""),"https://disk.yandex.ru/client/disk/Осмотры%20объектов%20АНО%20СМГ/1190.%20Школа%201100%20мест%20ЖК%20Митинский%20лес")</f>
        <v>https://disk.yandex.ru/client/disk/Осмотры%20объектов%20АНО%20СМГ/1190.%20Школа%201100%20мест%20ЖК%20Митинский%20лес</v>
      </c>
      <c r="J1251" s="50">
        <f>IFERROR(__xludf.DUMMYFUNCTION("""COMPUTED_VALUE"""),40.39157)</f>
        <v>40.39157</v>
      </c>
      <c r="K1251" s="58">
        <f>IFERROR(__xludf.DUMMYFUNCTION("""COMPUTED_VALUE"""),45967.0)</f>
        <v>45967</v>
      </c>
      <c r="L1251" s="6">
        <v>30.0</v>
      </c>
      <c r="M1251" s="52">
        <v>45997.0</v>
      </c>
      <c r="N1251" s="53" t="s">
        <v>711</v>
      </c>
      <c r="O1251" s="19" t="s">
        <v>669</v>
      </c>
      <c r="P1251" s="6"/>
      <c r="Q1251" s="6"/>
      <c r="R1251" s="6"/>
    </row>
    <row r="1252">
      <c r="A1252" s="31" t="str">
        <f>IFERROR(__xludf.DUMMYFUNCTION("""COMPUTED_VALUE"""),"1192")</f>
        <v>1192</v>
      </c>
      <c r="B1252" s="14" t="str">
        <f>IFERROR(__xludf.DUMMYFUNCTION("""COMPUTED_VALUE"""),"ВНЕ СПИСКА")</f>
        <v>ВНЕ СПИСКА</v>
      </c>
      <c r="C1252" s="14" t="str">
        <f>IFERROR(__xludf.DUMMYFUNCTION("""COMPUTED_VALUE"""),"ОКС")</f>
        <v>ОКС</v>
      </c>
      <c r="D1252" s="6" t="str">
        <f>IFERROR(__xludf.DUMMYFUNCTION("""COMPUTED_VALUE"""),"да")</f>
        <v>да</v>
      </c>
      <c r="E1252" s="14" t="str">
        <f>IFERROR(__xludf.DUMMYFUNCTION("""COMPUTED_VALUE"""),"Здание общеобразовательной организации (общее образование) на 675 мест ЖК ВТОРОЙ НАГАТИНСКИЙ, 2-й Нагатинский проезд, вл. 2/3")</f>
        <v>Здание общеобразовательной организации (общее образование) на 675 мест ЖК ВТОРОЙ НАГАТИНСКИЙ, 2-й Нагатинский проезд, вл. 2/3</v>
      </c>
      <c r="F1252" s="25" t="str">
        <f>IFERROR(__xludf.DUMMYFUNCTION("""COMPUTED_VALUE"""),"#N/A")</f>
        <v>#N/A</v>
      </c>
      <c r="G1252" s="6" t="str">
        <f>IFERROR(__xludf.DUMMYFUNCTION("""COMPUTED_VALUE"""),"#N/A")</f>
        <v>#N/A</v>
      </c>
      <c r="H1252" s="18" t="str">
        <f>IFERROR(__xludf.DUMMYFUNCTION("""COMPUTED_VALUE"""),"https://docs.google.com/spreadsheets/d/1EI7qusa674eJhuaw-nWWtWMEHVSYMQv7HLsInEZTWpE/edit?gid=1984759556#gid=1984759556")</f>
        <v>https://docs.google.com/spreadsheets/d/1EI7qusa674eJhuaw-nWWtWMEHVSYMQv7HLsInEZTWpE/edit?gid=1984759556#gid=1984759556</v>
      </c>
      <c r="I1252" s="19" t="str">
        <f>IFERROR(__xludf.DUMMYFUNCTION("""COMPUTED_VALUE"""),"https://disk.yandex.ru/client/disk/Осмотры%20объектов%20АНО%20СМГ/1192.%202-й%20Нагатинский%20пр-зд%202!3%20школа%20на%20675%20мест")</f>
        <v>https://disk.yandex.ru/client/disk/Осмотры%20объектов%20АНО%20СМГ/1192.%202-й%20Нагатинский%20пр-зд%202!3%20школа%20на%20675%20мест</v>
      </c>
      <c r="J1252" s="50">
        <f>IFERROR(__xludf.DUMMYFUNCTION("""COMPUTED_VALUE"""),0.0)</f>
        <v>0</v>
      </c>
      <c r="K1252" s="58">
        <f>IFERROR(__xludf.DUMMYFUNCTION("""COMPUTED_VALUE"""),45811.0)</f>
        <v>45811</v>
      </c>
      <c r="L1252" s="6">
        <v>30.0</v>
      </c>
      <c r="M1252" s="52">
        <v>45841.0</v>
      </c>
      <c r="N1252" s="53" t="s">
        <v>668</v>
      </c>
      <c r="O1252" s="19" t="s">
        <v>669</v>
      </c>
      <c r="P1252" s="6"/>
      <c r="Q1252" s="6"/>
      <c r="R1252" s="6"/>
    </row>
    <row r="1253">
      <c r="A1253" s="31" t="str">
        <f>IFERROR(__xludf.DUMMYFUNCTION("""COMPUTED_VALUE"""),"1184")</f>
        <v>1184</v>
      </c>
      <c r="B1253" s="14" t="str">
        <f>IFERROR(__xludf.DUMMYFUNCTION("""COMPUTED_VALUE"""),"ВНЕ СПИСКА")</f>
        <v>ВНЕ СПИСКА</v>
      </c>
      <c r="C1253" s="14" t="str">
        <f>IFERROR(__xludf.DUMMYFUNCTION("""COMPUTED_VALUE"""),"ОКС")</f>
        <v>ОКС</v>
      </c>
      <c r="D1253" s="6" t="str">
        <f>IFERROR(__xludf.DUMMYFUNCTION("""COMPUTED_VALUE"""),"да")</f>
        <v>да</v>
      </c>
      <c r="E1253" s="14" t="str">
        <f>IFERROR(__xludf.DUMMYFUNCTION("""COMPUTED_VALUE"""),"Здание общеобразовательной образовательной организации на 550 мест, корпус 14 ЖК ЗЕЛЁНЫЙ ПАРК, Зеленоград, промзона ЦИЭ")</f>
        <v>Здание общеобразовательной образовательной организации на 550 мест, корпус 14 ЖК ЗЕЛЁНЫЙ ПАРК, Зеленоград, промзона ЦИЭ</v>
      </c>
      <c r="F1253" s="25" t="str">
        <f>IFERROR(__xludf.DUMMYFUNCTION("""COMPUTED_VALUE"""),"#N/A")</f>
        <v>#N/A</v>
      </c>
      <c r="G1253" s="6" t="str">
        <f>IFERROR(__xludf.DUMMYFUNCTION("""COMPUTED_VALUE"""),"#N/A")</f>
        <v>#N/A</v>
      </c>
      <c r="H1253" s="18" t="str">
        <f>IFERROR(__xludf.DUMMYFUNCTION("""COMPUTED_VALUE"""),"https://docs.google.com/spreadsheets/d/1EI7qusa674eJhuaw-nWWtWMEHVSYMQv7HLsInEZTWpE/edit?gid=989349893#gid=989349893")</f>
        <v>https://docs.google.com/spreadsheets/d/1EI7qusa674eJhuaw-nWWtWMEHVSYMQv7HLsInEZTWpE/edit?gid=989349893#gid=989349893</v>
      </c>
      <c r="I1253" s="19" t="str">
        <f>IFERROR(__xludf.DUMMYFUNCTION("""COMPUTED_VALUE"""),"https://disk.yandex.ru/client/disk/Осмотры%20объектов%20АНО%20СМГ/1184%20Зеленоград%20Здание%20общеобразовательной%20организации%20на%20550%20мест%2C%20корпус%2014")</f>
        <v>https://disk.yandex.ru/client/disk/Осмотры%20объектов%20АНО%20СМГ/1184%20Зеленоград%20Здание%20общеобразовательной%20организации%20на%20550%20мест%2C%20корпус%2014</v>
      </c>
      <c r="J1253" s="50">
        <f>IFERROR(__xludf.DUMMYFUNCTION("""COMPUTED_VALUE"""),97.98594)</f>
        <v>97.98594</v>
      </c>
      <c r="K1253" s="58">
        <f>IFERROR(__xludf.DUMMYFUNCTION("""COMPUTED_VALUE"""),45889.0)</f>
        <v>45889</v>
      </c>
      <c r="L1253" s="6">
        <v>7.0</v>
      </c>
      <c r="M1253" s="52">
        <v>45896.0</v>
      </c>
      <c r="N1253" s="53" t="s">
        <v>668</v>
      </c>
      <c r="O1253" s="19" t="s">
        <v>1303</v>
      </c>
      <c r="P1253" s="6"/>
      <c r="Q1253" s="6"/>
      <c r="R1253" s="6"/>
    </row>
    <row r="1254">
      <c r="A1254" s="31" t="str">
        <f>IFERROR(__xludf.DUMMYFUNCTION("""COMPUTED_VALUE"""),"1186")</f>
        <v>1186</v>
      </c>
      <c r="B1254" s="14" t="str">
        <f>IFERROR(__xludf.DUMMYFUNCTION("""COMPUTED_VALUE"""),"ВНЕ СПИСКА")</f>
        <v>ВНЕ СПИСКА</v>
      </c>
      <c r="C1254" s="14" t="str">
        <f>IFERROR(__xludf.DUMMYFUNCTION("""COMPUTED_VALUE"""),"ОКС")</f>
        <v>ОКС</v>
      </c>
      <c r="D1254" s="6" t="str">
        <f>IFERROR(__xludf.DUMMYFUNCTION("""COMPUTED_VALUE"""),"да")</f>
        <v>да</v>
      </c>
      <c r="E1254" s="14" t="str">
        <f>IFERROR(__xludf.DUMMYFUNCTION("""COMPUTED_VALUE"""),"Здание образовательной организации (общее образование) на 800 мест ЖК ЛЕТНИЙ САД, Дмитровское шоссе, земельный участок 107/1")</f>
        <v>Здание образовательной организации (общее образование) на 800 мест ЖК ЛЕТНИЙ САД, Дмитровское шоссе, земельный участок 107/1</v>
      </c>
      <c r="F1254" s="25" t="str">
        <f>IFERROR(__xludf.DUMMYFUNCTION("""COMPUTED_VALUE"""),"55.88033712319728")</f>
        <v>55.88033712319728</v>
      </c>
      <c r="G1254" s="6" t="str">
        <f>IFERROR(__xludf.DUMMYFUNCTION("""COMPUTED_VALUE"""),"37.53748705026227")</f>
        <v>37.53748705026227</v>
      </c>
      <c r="H1254" s="18" t="str">
        <f>IFERROR(__xludf.DUMMYFUNCTION("""COMPUTED_VALUE"""),"https://docs.google.com/spreadsheets/d/1EI7qusa674eJhuaw-nWWtWMEHVSYMQv7HLsInEZTWpE/edit?gid=234009661#gid=234009661")</f>
        <v>https://docs.google.com/spreadsheets/d/1EI7qusa674eJhuaw-nWWtWMEHVSYMQv7HLsInEZTWpE/edit?gid=234009661#gid=234009661</v>
      </c>
      <c r="I1254" s="19" t="str">
        <f>IFERROR(__xludf.DUMMYFUNCTION("""COMPUTED_VALUE"""),"https://disk.yandex.ru/client/disk/Осмотры%20объектов%20АНО%20СМГ/1186%20Дмитровское%20шоссе%2C%20земельный%20участок%20107%5C1%20Здание%20образовательной%20организации%20(среднее%20образование)%20на%20800%20мест")</f>
        <v>https://disk.yandex.ru/client/disk/Осмотры%20объектов%20АНО%20СМГ/1186%20Дмитровское%20шоссе%2C%20земельный%20участок%20107%5C1%20Здание%20образовательной%20организации%20(среднее%20образование)%20на%20800%20мест</v>
      </c>
      <c r="J1254" s="50"/>
      <c r="K1254" s="58">
        <f>IFERROR(__xludf.DUMMYFUNCTION("""COMPUTED_VALUE"""),45958.0)</f>
        <v>45958</v>
      </c>
      <c r="L1254" s="6">
        <v>30.0</v>
      </c>
      <c r="M1254" s="52">
        <v>45988.0</v>
      </c>
      <c r="N1254" s="53" t="s">
        <v>741</v>
      </c>
      <c r="O1254" s="19" t="s">
        <v>669</v>
      </c>
      <c r="P1254" s="6"/>
      <c r="Q1254" s="6"/>
      <c r="R1254" s="6"/>
    </row>
    <row r="1255">
      <c r="A1255" s="31" t="str">
        <f>IFERROR(__xludf.DUMMYFUNCTION("""COMPUTED_VALUE"""),"1212")</f>
        <v>1212</v>
      </c>
      <c r="B1255" s="14" t="str">
        <f>IFERROR(__xludf.DUMMYFUNCTION("""COMPUTED_VALUE"""),"ВНЕ СПИСКА")</f>
        <v>ВНЕ СПИСКА</v>
      </c>
      <c r="C1255" s="14" t="str">
        <f>IFERROR(__xludf.DUMMYFUNCTION("""COMPUTED_VALUE"""),"ОКС")</f>
        <v>ОКС</v>
      </c>
      <c r="D1255" s="6" t="str">
        <f>IFERROR(__xludf.DUMMYFUNCTION("""COMPUTED_VALUE"""),"да")</f>
        <v>да</v>
      </c>
      <c r="E1255" s="14" t="str">
        <f>IFERROR(__xludf.DUMMYFUNCTION("""COMPUTED_VALUE"""),"ДОУ на 150 мест Дмитровское шоссе, земельный участок 107/2 (107/1)")</f>
        <v>ДОУ на 150 мест Дмитровское шоссе, земельный участок 107/2 (107/1)</v>
      </c>
      <c r="F1255" s="25" t="str">
        <f>IFERROR(__xludf.DUMMYFUNCTION("""COMPUTED_VALUE"""),"55.879384242908166")</f>
        <v>55.879384242908166</v>
      </c>
      <c r="G1255" s="6" t="str">
        <f>IFERROR(__xludf.DUMMYFUNCTION("""COMPUTED_VALUE"""),"37.53763725396719")</f>
        <v>37.53763725396719</v>
      </c>
      <c r="H1255" s="18" t="str">
        <f>IFERROR(__xludf.DUMMYFUNCTION("""COMPUTED_VALUE"""),"https://docs.google.com/spreadsheets/d/1EI7qusa674eJhuaw-nWWtWMEHVSYMQv7HLsInEZTWpE/edit?gid=1381599542#gid=1381599542")</f>
        <v>https://docs.google.com/spreadsheets/d/1EI7qusa674eJhuaw-nWWtWMEHVSYMQv7HLsInEZTWpE/edit?gid=1381599542#gid=1381599542</v>
      </c>
      <c r="I1255" s="19"/>
      <c r="J1255" s="50"/>
      <c r="K1255" s="58">
        <f>IFERROR(__xludf.DUMMYFUNCTION("""COMPUTED_VALUE"""),45958.0)</f>
        <v>45958</v>
      </c>
      <c r="L1255" s="6">
        <v>30.0</v>
      </c>
      <c r="M1255" s="52">
        <v>45988.0</v>
      </c>
      <c r="N1255" s="53" t="s">
        <v>741</v>
      </c>
      <c r="O1255" s="19" t="s">
        <v>669</v>
      </c>
      <c r="P1255" s="6"/>
      <c r="Q1255" s="6"/>
      <c r="R1255" s="6"/>
    </row>
    <row r="1256">
      <c r="A1256" s="31" t="str">
        <f>IFERROR(__xludf.DUMMYFUNCTION("""COMPUTED_VALUE"""),"1195")</f>
        <v>1195</v>
      </c>
      <c r="B1256" s="14" t="str">
        <f>IFERROR(__xludf.DUMMYFUNCTION("""COMPUTED_VALUE"""),"ВНЕ СПИСКА")</f>
        <v>ВНЕ СПИСКА</v>
      </c>
      <c r="C1256" s="14" t="str">
        <f>IFERROR(__xludf.DUMMYFUNCTION("""COMPUTED_VALUE"""),"ОКС")</f>
        <v>ОКС</v>
      </c>
      <c r="D1256" s="6" t="str">
        <f>IFERROR(__xludf.DUMMYFUNCTION("""COMPUTED_VALUE"""),"да")</f>
        <v>да</v>
      </c>
      <c r="E1256" s="14" t="str">
        <f>IFERROR(__xludf.DUMMYFUNCTION("""COMPUTED_VALUE"""),"Здание образовательной организации (общее образование 350 мест и дошкольное образование 150 мест) ЖК ПЕРВЫЙ ДУБРОВСКИЙ, р-н Южнопортовый, 1-й Дубровский проезд, вл. 78/14")</f>
        <v>Здание образовательной организации (общее образование 350 мест и дошкольное образование 150 мест) ЖК ПЕРВЫЙ ДУБРОВСКИЙ, р-н Южнопортовый, 1-й Дубровский проезд, вл. 78/14</v>
      </c>
      <c r="F1256" s="25" t="str">
        <f>IFERROR(__xludf.DUMMYFUNCTION("""COMPUTED_VALUE"""),"55.724818")</f>
        <v>55.724818</v>
      </c>
      <c r="G1256" s="6" t="str">
        <f>IFERROR(__xludf.DUMMYFUNCTION("""COMPUTED_VALUE"""),"37.682008")</f>
        <v>37.682008</v>
      </c>
      <c r="H1256" s="18" t="str">
        <f>IFERROR(__xludf.DUMMYFUNCTION("""COMPUTED_VALUE"""),"https://docs.google.com/spreadsheets/d/1EI7qusa674eJhuaw-nWWtWMEHVSYMQv7HLsInEZTWpE/edit?gid=1927186728#gid=1927186728")</f>
        <v>https://docs.google.com/spreadsheets/d/1EI7qusa674eJhuaw-nWWtWMEHVSYMQv7HLsInEZTWpE/edit?gid=1927186728#gid=1927186728</v>
      </c>
      <c r="I1256" s="19" t="str">
        <f>IFERROR(__xludf.DUMMYFUNCTION("""COMPUTED_VALUE"""),"https://disk.yandex.ru/client/disk/Осмотры%20объектов%20АНО%20СМГ/1195%201-й%20Дубровский%20проезд%2C%20вл.%2078.14%20Здание%20образовательной%20организации%20(общее%20образование%20350%20мест%20и%20дошкольное%20образование%20150%20мест)")</f>
        <v>https://disk.yandex.ru/client/disk/Осмотры%20объектов%20АНО%20СМГ/1195%201-й%20Дубровский%20проезд%2C%20вл.%2078.14%20Здание%20образовательной%20организации%20(общее%20образование%20350%20мест%20и%20дошкольное%20образование%20150%20мест)</v>
      </c>
      <c r="J1256" s="50">
        <f>IFERROR(__xludf.DUMMYFUNCTION("""COMPUTED_VALUE"""),99.565)</f>
        <v>99.565</v>
      </c>
      <c r="K1256" s="58">
        <f>IFERROR(__xludf.DUMMYFUNCTION("""COMPUTED_VALUE"""),45958.0)</f>
        <v>45958</v>
      </c>
      <c r="L1256" s="6">
        <v>7.0</v>
      </c>
      <c r="M1256" s="52">
        <v>45965.0</v>
      </c>
      <c r="N1256" s="53" t="s">
        <v>668</v>
      </c>
      <c r="O1256" s="19" t="s">
        <v>1304</v>
      </c>
      <c r="P1256" s="6"/>
      <c r="Q1256" s="6"/>
      <c r="R1256" s="6"/>
    </row>
    <row r="1257">
      <c r="A1257" s="31" t="str">
        <f>IFERROR(__xludf.DUMMYFUNCTION("""COMPUTED_VALUE"""),"1189")</f>
        <v>1189</v>
      </c>
      <c r="B1257" s="14" t="str">
        <f>IFERROR(__xludf.DUMMYFUNCTION("""COMPUTED_VALUE"""),"ВНЕ СПИСКА")</f>
        <v>ВНЕ СПИСКА</v>
      </c>
      <c r="C1257" s="14" t="str">
        <f>IFERROR(__xludf.DUMMYFUNCTION("""COMPUTED_VALUE"""),"ОКС")</f>
        <v>ОКС</v>
      </c>
      <c r="D1257" s="6" t="str">
        <f>IFERROR(__xludf.DUMMYFUNCTION("""COMPUTED_VALUE"""),"да")</f>
        <v>да</v>
      </c>
      <c r="E1257" s="14" t="str">
        <f>IFERROR(__xludf.DUMMYFUNCTION("""COMPUTED_VALUE"""),"Учебный комплекс с блоком начальных классов на 300 мест и ДОО на 150 мест ЖК КРОНШТАДТСКИЙ 14, Кронштадтский бульвар, вл. 14")</f>
        <v>Учебный комплекс с блоком начальных классов на 300 мест и ДОО на 150 мест ЖК КРОНШТАДТСКИЙ 14, Кронштадтский бульвар, вл. 14</v>
      </c>
      <c r="F1257" s="25" t="str">
        <f>IFERROR(__xludf.DUMMYFUNCTION("""COMPUTED_VALUE"""),"#N/A")</f>
        <v>#N/A</v>
      </c>
      <c r="G1257" s="6" t="str">
        <f>IFERROR(__xludf.DUMMYFUNCTION("""COMPUTED_VALUE"""),"#N/A")</f>
        <v>#N/A</v>
      </c>
      <c r="H1257" s="18" t="str">
        <f>IFERROR(__xludf.DUMMYFUNCTION("""COMPUTED_VALUE"""),"https://docs.google.com/spreadsheets/d/1EI7qusa674eJhuaw-nWWtWMEHVSYMQv7HLsInEZTWpE/edit?gid=1752517199#gid=1752517199")</f>
        <v>https://docs.google.com/spreadsheets/d/1EI7qusa674eJhuaw-nWWtWMEHVSYMQv7HLsInEZTWpE/edit?gid=1752517199#gid=1752517199</v>
      </c>
      <c r="I1257" s="21" t="str">
        <f>IFERROR(__xludf.DUMMYFUNCTION("""COMPUTED_VALUE"""),"https://disk.yandex.ru/client/disk/%D0%9E%D1%81%D0%BC%D0%BE%D1%82%D1%80%D1%8B%20%D0%BE%D0%B1%D1%8A%D0%B5%D0%BA%D1%82%D0%BE%D0%B2%20%D0%90%D0%9D%D0%9E%20%D0%A1%D0%9C%D0%93/1189.%20%D0%A3%D1%87%D0%B5%D0%B1%D0%BD%D1%8B%D0%B9%20%D0%BA%D0%BE%D0%BC%D0%BF%D0%BB%"&amp;"D0%B5%D0%BA%D1%81%20%D1%81%20%D0%B1%D0%BB%D0%BE%D0%BA%D0%BE%D0%BC%20%D0%BD%D0%B0%D1%87%D0%B0%D0%BB%D1%8C%D0%BD%D1%8B%D1%85%20%D0%BA%D0%BB%D0%B0%D1%81%D1%81%D0%BE%D0%B2%20%D0%BD%D0%B0%20300%20%D0%BC%D0%B5%D1%81%D1%82%20%D0%B8%20%D0%94%D0%9E%D0%9E%20%D0%BD%"&amp;"D0%B0%20150%20%D0%BC%D0%B5%D1%81%D1%82%2C%20%D0%9A%D1%80%D0%BE%D0%BD%D1%88%D1%82%D0%B0%D0%B4%D1%82%D1%81%D0%BA%D0%B8%D0%B9%20%D0%B1%D1%83%D0%BB%D1%8C%D0%B2%D0%B0%D1%80%2C%20%D0%B2%D0%BB.%2014%20")</f>
        <v>https://disk.yandex.ru/client/disk/%D0%9E%D1%81%D0%BC%D0%BE%D1%82%D1%80%D1%8B%20%D0%BE%D0%B1%D1%8A%D0%B5%D0%BA%D1%82%D0%BE%D0%B2%20%D0%90%D0%9D%D0%9E%20%D0%A1%D0%9C%D0%93/1189.%20%D0%A3%D1%87%D0%B5%D0%B1%D0%BD%D1%8B%D0%B9%20%D0%BA%D0%BE%D0%BC%D0%BF%D0%BB%D0%B5%D0%BA%D1%81%20%D1%81%20%D0%B1%D0%BB%D0%BE%D0%BA%D0%BE%D0%BC%20%D0%BD%D0%B0%D1%87%D0%B0%D0%BB%D1%8C%D0%BD%D1%8B%D1%85%20%D0%BA%D0%BB%D0%B0%D1%81%D1%81%D0%BE%D0%B2%20%D0%BD%D0%B0%20300%20%D0%BC%D0%B5%D1%81%D1%82%20%D0%B8%20%D0%94%D0%9E%D0%9E%20%D0%BD%D0%B0%20150%20%D0%BC%D0%B5%D1%81%D1%82%2C%20%D0%9A%D1%80%D0%BE%D0%BD%D1%88%D1%82%D0%B0%D0%B4%D1%82%D1%81%D0%BA%D0%B8%D0%B9%20%D0%B1%D1%83%D0%BB%D1%8C%D0%B2%D0%B0%D1%80%2C%20%D0%B2%D0%BB.%2014%20</v>
      </c>
      <c r="J1257" s="50">
        <f>IFERROR(__xludf.DUMMYFUNCTION("""COMPUTED_VALUE"""),58.79651249999999)</f>
        <v>58.7965125</v>
      </c>
      <c r="K1257" s="58">
        <f>IFERROR(__xludf.DUMMYFUNCTION("""COMPUTED_VALUE"""),45811.0)</f>
        <v>45811</v>
      </c>
      <c r="L1257" s="6">
        <v>14.0</v>
      </c>
      <c r="M1257" s="52">
        <v>45825.0</v>
      </c>
      <c r="N1257" s="53" t="s">
        <v>668</v>
      </c>
      <c r="O1257" s="19" t="s">
        <v>669</v>
      </c>
      <c r="P1257" s="6"/>
      <c r="Q1257" s="6"/>
      <c r="R1257" s="6"/>
    </row>
    <row r="1258">
      <c r="A1258" s="31" t="str">
        <f>IFERROR(__xludf.DUMMYFUNCTION("""COMPUTED_VALUE"""),"1194")</f>
        <v>1194</v>
      </c>
      <c r="B1258" s="14" t="str">
        <f>IFERROR(__xludf.DUMMYFUNCTION("""COMPUTED_VALUE"""),"ВНЕ СПИСКА")</f>
        <v>ВНЕ СПИСКА</v>
      </c>
      <c r="C1258" s="14" t="str">
        <f>IFERROR(__xludf.DUMMYFUNCTION("""COMPUTED_VALUE"""),"ОКС")</f>
        <v>ОКС</v>
      </c>
      <c r="D1258" s="6" t="str">
        <f>IFERROR(__xludf.DUMMYFUNCTION("""COMPUTED_VALUE"""),"да")</f>
        <v>да</v>
      </c>
      <c r="E1258" s="14" t="str">
        <f>IFERROR(__xludf.DUMMYFUNCTION("""COMPUTED_VALUE"""),"Учебный корпус на 200 школьных мест и 200 дошкольных мест ЖК ПЕРОВСКОЕ 2, р-н Нижегородский, шоссе Перовское, земельный участок 2")</f>
        <v>Учебный корпус на 200 школьных мест и 200 дошкольных мест ЖК ПЕРОВСКОЕ 2, р-н Нижегородский, шоссе Перовское, земельный участок 2</v>
      </c>
      <c r="F1258" s="25" t="str">
        <f>IFERROR(__xludf.DUMMYFUNCTION("""COMPUTED_VALUE"""),"#N/A")</f>
        <v>#N/A</v>
      </c>
      <c r="G1258" s="6" t="str">
        <f>IFERROR(__xludf.DUMMYFUNCTION("""COMPUTED_VALUE"""),"#N/A")</f>
        <v>#N/A</v>
      </c>
      <c r="H1258" s="18" t="str">
        <f>IFERROR(__xludf.DUMMYFUNCTION("""COMPUTED_VALUE"""),"https://docs.google.com/spreadsheets/d/1EI7qusa674eJhuaw-nWWtWMEHVSYMQv7HLsInEZTWpE/edit?gid=1206342730#gid=1206342730")</f>
        <v>https://docs.google.com/spreadsheets/d/1EI7qusa674eJhuaw-nWWtWMEHVSYMQv7HLsInEZTWpE/edit?gid=1206342730#gid=1206342730</v>
      </c>
      <c r="I1258" s="21" t="str">
        <f>IFERROR(__xludf.DUMMYFUNCTION("""COMPUTED_VALUE"""),"https://disk.yandex.ru/client/disk/%D0%9E%D1%81%D0%BC%D0%BE%D1%82%D1%80%D1%8B%20%D0%BE%D0%B1%D1%8A%D0%B5%D0%BA%D1%82%D0%BE%D0%B2%20%D0%90%D0%9D%D0%9E%20%D0%A1%D0%9C%D0%93/1194.%20%D0%9F%D0%B5%D1%80%D0%BE%D0%B2%D1%81%D0%BA%D0%BE%D0%B5%20%D1%88%D0%BE%D1%81%"&amp;"D1%81%D0%B5%2C%202.%20%D0%A3%D1%87%D0%B5%D0%B1%D0%BD%D1%8B%D0%B9%20%D0%BA%D0%BE%D1%80%D0%BF%D1%83%D1%81%20%D0%BD%D0%B0%20200%20%D1%88%D0%BA%D0%BE%D0%BB%D1%8C%D0%BD%D1%8B%D1%85%20%D0%BC%D0%B5%D1%81%D1%82%20%D0%B8%20200%20%D0%B4%D0%BE%D1%88%D0%BA%D0%BE%D0%B"&amp;"B%D1%8C%D0%BD%D1%8B%D1%85%20%D0%BC%D0%B5%D1%81%D1%82")</f>
        <v>https://disk.yandex.ru/client/disk/%D0%9E%D1%81%D0%BC%D0%BE%D1%82%D1%80%D1%8B%20%D0%BE%D0%B1%D1%8A%D0%B5%D0%BA%D1%82%D0%BE%D0%B2%20%D0%90%D0%9D%D0%9E%20%D0%A1%D0%9C%D0%93/1194.%20%D0%9F%D0%B5%D1%80%D0%BE%D0%B2%D1%81%D0%BA%D0%BE%D0%B5%20%D1%88%D0%BE%D1%81%D1%81%D0%B5%2C%202.%20%D0%A3%D1%87%D0%B5%D0%B1%D0%BD%D1%8B%D0%B9%20%D0%BA%D0%BE%D1%80%D0%BF%D1%83%D1%81%20%D0%BD%D0%B0%20200%20%D1%88%D0%BA%D0%BE%D0%BB%D1%8C%D0%BD%D1%8B%D1%85%20%D0%BC%D0%B5%D1%81%D1%82%20%D0%B8%20200%20%D0%B4%D0%BE%D1%88%D0%BA%D0%BE%D0%BB%D1%8C%D0%BD%D1%8B%D1%85%20%D0%BC%D0%B5%D1%81%D1%82</v>
      </c>
      <c r="J1258" s="50">
        <f>IFERROR(__xludf.DUMMYFUNCTION("""COMPUTED_VALUE"""),99.955)</f>
        <v>99.955</v>
      </c>
      <c r="K1258" s="58">
        <f>IFERROR(__xludf.DUMMYFUNCTION("""COMPUTED_VALUE"""),45888.0)</f>
        <v>45888</v>
      </c>
      <c r="L1258" s="6">
        <v>7.0</v>
      </c>
      <c r="M1258" s="52">
        <v>45895.0</v>
      </c>
      <c r="N1258" s="53" t="s">
        <v>652</v>
      </c>
      <c r="O1258" s="19" t="s">
        <v>1305</v>
      </c>
      <c r="P1258" s="6"/>
      <c r="Q1258" s="6"/>
      <c r="R1258" s="6"/>
    </row>
    <row r="1259">
      <c r="A1259" s="31" t="str">
        <f>IFERROR(__xludf.DUMMYFUNCTION("""COMPUTED_VALUE"""),"1191")</f>
        <v>1191</v>
      </c>
      <c r="B1259" s="14" t="str">
        <f>IFERROR(__xludf.DUMMYFUNCTION("""COMPUTED_VALUE"""),"ВНЕ СПИСКА")</f>
        <v>ВНЕ СПИСКА</v>
      </c>
      <c r="C1259" s="14" t="str">
        <f>IFERROR(__xludf.DUMMYFUNCTION("""COMPUTED_VALUE"""),"ОКС")</f>
        <v>ОКС</v>
      </c>
      <c r="D1259" s="6" t="str">
        <f>IFERROR(__xludf.DUMMYFUNCTION("""COMPUTED_VALUE"""),"да")</f>
        <v>да</v>
      </c>
      <c r="E1259" s="14" t="str">
        <f>IFERROR(__xludf.DUMMYFUNCTION("""COMPUTED_VALUE"""),"Учебный комплекс с блоком начальных классов на 225 мест и ДОО на 125 мести ДОО на 125 мест (4 этап) ЖК БАРКЛАЯ 6, ул. Барклая, вл.6, вл.6Т")</f>
        <v>Учебный комплекс с блоком начальных классов на 225 мест и ДОО на 125 мести ДОО на 125 мест (4 этап) ЖК БАРКЛАЯ 6, ул. Барклая, вл.6, вл.6Т</v>
      </c>
      <c r="F1259" s="25" t="str">
        <f>IFERROR(__xludf.DUMMYFUNCTION("""COMPUTED_VALUE"""),"#N/A")</f>
        <v>#N/A</v>
      </c>
      <c r="G1259" s="6" t="str">
        <f>IFERROR(__xludf.DUMMYFUNCTION("""COMPUTED_VALUE"""),"#N/A")</f>
        <v>#N/A</v>
      </c>
      <c r="H1259" s="18" t="str">
        <f>IFERROR(__xludf.DUMMYFUNCTION("""COMPUTED_VALUE"""),"https://docs.google.com/spreadsheets/d/1EI7qusa674eJhuaw-nWWtWMEHVSYMQv7HLsInEZTWpE/edit?gid=194199893#gid=194199893")</f>
        <v>https://docs.google.com/spreadsheets/d/1EI7qusa674eJhuaw-nWWtWMEHVSYMQv7HLsInEZTWpE/edit?gid=194199893#gid=194199893</v>
      </c>
      <c r="I1259" s="21" t="str">
        <f>IFERROR(__xludf.DUMMYFUNCTION("""COMPUTED_VALUE"""),"https://disk.yandex.ru/client/disk/%D0%9E%D1%81%D0%BC%D0%BE%D1%82%D1%80%D1%8B%20%D0%BE%D0%B1%D1%8A%D0%B5%D0%BA%D1%82%D0%BE%D0%B2%20%D0%90%D0%9D%D0%9E%20%D0%A1%D0%9C%D0%93/1191.%20%D0%A3%D1%87%D0%B5%D0%B1%D0%BD%D1%8B%D0%B9%20%D0%BA%D0%BE%D0%BC%D0%BF%D0%BB%"&amp;"D0%B5%D0%BA%D1%81%20%D1%81%20%D0%B1%D0%BB%D0%BE%D0%BA%D0%BE%D0%BC%20%D0%BD%D0%B0%D1%87%D0%B0%D0%BB%D1%8C%D0%BD%D1%8B%D1%85%20%D0%BA%D0%BB%D0%B0%D1%81%D1%81%D0%BE%D0%B2%20%D0%BD%D0%B0%20225%20%D0%BC%D0%B5%D1%81%D1%82%20%D0%B8%20%D0%94%D0%9E%D0%9E%20%D0%BD%"&amp;"D0%B0%20125%20%D0%BC%D0%B5%D1%81%D1%82%20(4%20%D1%8D%D1%82%D0%B0%D0%BF)")</f>
        <v>https://disk.yandex.ru/client/disk/%D0%9E%D1%81%D0%BC%D0%BE%D1%82%D1%80%D1%8B%20%D0%BE%D0%B1%D1%8A%D0%B5%D0%BA%D1%82%D0%BE%D0%B2%20%D0%90%D0%9D%D0%9E%20%D0%A1%D0%9C%D0%93/1191.%20%D0%A3%D1%87%D0%B5%D0%B1%D0%BD%D1%8B%D0%B9%20%D0%BA%D0%BE%D0%BC%D0%BF%D0%BB%D0%B5%D0%BA%D1%81%20%D1%81%20%D0%B1%D0%BB%D0%BE%D0%BA%D0%BE%D0%BC%20%D0%BD%D0%B0%D1%87%D0%B0%D0%BB%D1%8C%D0%BD%D1%8B%D1%85%20%D0%BA%D0%BB%D0%B0%D1%81%D1%81%D0%BE%D0%B2%20%D0%BD%D0%B0%20225%20%D0%BC%D0%B5%D1%81%D1%82%20%D0%B8%20%D0%94%D0%9E%D0%9E%20%D0%BD%D0%B0%20125%20%D0%BC%D0%B5%D1%81%D1%82%20(4%20%D1%8D%D1%82%D0%B0%D0%BF)</v>
      </c>
      <c r="J1259" s="50">
        <f>IFERROR(__xludf.DUMMYFUNCTION("""COMPUTED_VALUE"""),90.6736075)</f>
        <v>90.6736075</v>
      </c>
      <c r="K1259" s="58">
        <f>IFERROR(__xludf.DUMMYFUNCTION("""COMPUTED_VALUE"""),45889.0)</f>
        <v>45889</v>
      </c>
      <c r="L1259" s="6">
        <v>14.0</v>
      </c>
      <c r="M1259" s="52">
        <v>45903.0</v>
      </c>
      <c r="N1259" s="53" t="s">
        <v>668</v>
      </c>
      <c r="O1259" s="19" t="s">
        <v>1306</v>
      </c>
      <c r="P1259" s="6"/>
      <c r="Q1259" s="6"/>
      <c r="R1259" s="6"/>
    </row>
    <row r="1260">
      <c r="A1260" s="31" t="str">
        <f>IFERROR(__xludf.DUMMYFUNCTION("""COMPUTED_VALUE"""),"1197")</f>
        <v>1197</v>
      </c>
      <c r="B1260" s="14" t="str">
        <f>IFERROR(__xludf.DUMMYFUNCTION("""COMPUTED_VALUE"""),"ВНЕ СПИСКА")</f>
        <v>ВНЕ СПИСКА</v>
      </c>
      <c r="C1260" s="14" t="str">
        <f>IFERROR(__xludf.DUMMYFUNCTION("""COMPUTED_VALUE"""),"ОКС")</f>
        <v>ОКС</v>
      </c>
      <c r="D1260" s="6" t="str">
        <f>IFERROR(__xludf.DUMMYFUNCTION("""COMPUTED_VALUE"""),"да")</f>
        <v>да</v>
      </c>
      <c r="E1260" s="14" t="str">
        <f>IFERROR(__xludf.DUMMYFUNCTION("""COMPUTED_VALUE"""),"Корпус 34. Общеобразовательная организация на 2200 мест ЖК ЛЮБЛИНСКИЙ ПАРК, ул. Люблинская, вл.72")</f>
        <v>Корпус 34. Общеобразовательная организация на 2200 мест ЖК ЛЮБЛИНСКИЙ ПАРК, ул. Люблинская, вл.72</v>
      </c>
      <c r="F1260" s="25" t="str">
        <f>IFERROR(__xludf.DUMMYFUNCTION("""COMPUTED_VALUE"""),"#N/A")</f>
        <v>#N/A</v>
      </c>
      <c r="G1260" s="6" t="str">
        <f>IFERROR(__xludf.DUMMYFUNCTION("""COMPUTED_VALUE"""),"#N/A")</f>
        <v>#N/A</v>
      </c>
      <c r="H1260" s="18" t="str">
        <f>IFERROR(__xludf.DUMMYFUNCTION("""COMPUTED_VALUE"""),"https://docs.google.com/spreadsheets/d/1EI7qusa674eJhuaw-nWWtWMEHVSYMQv7HLsInEZTWpE/edit?gid=1736090729#gid=1736090729")</f>
        <v>https://docs.google.com/spreadsheets/d/1EI7qusa674eJhuaw-nWWtWMEHVSYMQv7HLsInEZTWpE/edit?gid=1736090729#gid=1736090729</v>
      </c>
      <c r="I1260" s="21" t="str">
        <f>IFERROR(__xludf.DUMMYFUNCTION("""COMPUTED_VALUE"""),"https://disk.yandex.ru/client/disk/%D0%9E%D1%81%D0%BC%D0%BE%D1%82%D1%80%D1%8B%20%D0%BE%D0%B1%D1%8A%D0%B5%D0%BA%D1%82%D0%BE%D0%B2%20%D0%90%D0%9D%D0%9E%20%D0%A1%D0%9C%D0%93/1197%20%D0%BB%D1%8E%D0%B1%D0%BB%D0%B8%D0%BD%D1%81%D0%BA%D0%B0%D1%8F%2072%20%D0%A8%D0"&amp;"%BA%D0%BE%D0%BB%D0%B0%20%D0%BD%D0%B0%202200%20%D0%BC%D0%B5%D1%81%D1%82%20")</f>
        <v>https://disk.yandex.ru/client/disk/%D0%9E%D1%81%D0%BC%D0%BE%D1%82%D1%80%D1%8B%20%D0%BE%D0%B1%D1%8A%D0%B5%D0%BA%D1%82%D0%BE%D0%B2%20%D0%90%D0%9D%D0%9E%20%D0%A1%D0%9C%D0%93/1197%20%D0%BB%D1%8E%D0%B1%D0%BB%D0%B8%D0%BD%D1%81%D0%BA%D0%B0%D1%8F%2072%20%D0%A8%D0%BA%D0%BE%D0%BB%D0%B0%20%D0%BD%D0%B0%202200%20%D0%BC%D0%B5%D1%81%D1%82%20</v>
      </c>
      <c r="J1260" s="50">
        <f>IFERROR(__xludf.DUMMYFUNCTION("""COMPUTED_VALUE"""),25.797)</f>
        <v>25.797</v>
      </c>
      <c r="K1260" s="58">
        <f>IFERROR(__xludf.DUMMYFUNCTION("""COMPUTED_VALUE"""),45811.0)</f>
        <v>45811</v>
      </c>
      <c r="L1260" s="6">
        <v>30.0</v>
      </c>
      <c r="M1260" s="52">
        <v>45841.0</v>
      </c>
      <c r="N1260" s="53" t="s">
        <v>668</v>
      </c>
      <c r="O1260" s="19" t="s">
        <v>669</v>
      </c>
      <c r="P1260" s="6"/>
      <c r="Q1260" s="6"/>
      <c r="R1260" s="6"/>
    </row>
    <row r="1261">
      <c r="A1261" s="31" t="str">
        <f>IFERROR(__xludf.DUMMYFUNCTION("""COMPUTED_VALUE"""),"1032")</f>
        <v>1032</v>
      </c>
      <c r="B1261" s="14" t="str">
        <f>IFERROR(__xludf.DUMMYFUNCTION("""COMPUTED_VALUE"""),"ВНЕ СПИСКА")</f>
        <v>ВНЕ СПИСКА</v>
      </c>
      <c r="C1261" s="14" t="str">
        <f>IFERROR(__xludf.DUMMYFUNCTION("""COMPUTED_VALUE"""),"ОКС")</f>
        <v>ОКС</v>
      </c>
      <c r="D1261" s="6" t="str">
        <f>IFERROR(__xludf.DUMMYFUNCTION("""COMPUTED_VALUE"""),"да")</f>
        <v>да</v>
      </c>
      <c r="E1261" s="14" t="str">
        <f>IFERROR(__xludf.DUMMYFUNCTION("""COMPUTED_VALUE"""),"Общеобразовательная школа 84 класса на 2100 мест ЖК ПЕРЕДЕЛКИНО БЛИЖНЕЕ. ГОРОД-ПАРК, ул. Бориса Пастернака, з/у 8А")</f>
        <v>Общеобразовательная школа 84 класса на 2100 мест ЖК ПЕРЕДЕЛКИНО БЛИЖНЕЕ. ГОРОД-ПАРК, ул. Бориса Пастернака, з/у 8А</v>
      </c>
      <c r="F1261" s="25" t="str">
        <f>IFERROR(__xludf.DUMMYFUNCTION("""COMPUTED_VALUE"""),"55.641334593008715")</f>
        <v>55.641334593008715</v>
      </c>
      <c r="G1261" s="6" t="str">
        <f>IFERROR(__xludf.DUMMYFUNCTION("""COMPUTED_VALUE"""),"37.32539234658745")</f>
        <v>37.32539234658745</v>
      </c>
      <c r="H1261" s="18" t="str">
        <f>IFERROR(__xludf.DUMMYFUNCTION("""COMPUTED_VALUE"""),"https://docs.google.com/spreadsheets/d/1EI7qusa674eJhuaw-nWWtWMEHVSYMQv7HLsInEZTWpE/edit?gid=44399105#gid=44399105")</f>
        <v>https://docs.google.com/spreadsheets/d/1EI7qusa674eJhuaw-nWWtWMEHVSYMQv7HLsInEZTWpE/edit?gid=44399105#gid=44399105</v>
      </c>
      <c r="I1261" s="19" t="str">
        <f>IFERROR(__xludf.DUMMYFUNCTION("""COMPUTED_VALUE"""),"https://disk.yandex.ru/client/disk/Осмотры%20объектов%20АНО%20СМГ/1032.%20ул.%20Бориса%20Пастернака%2C%20з-у%208А%20Школа%20на%202100%20мест")</f>
        <v>https://disk.yandex.ru/client/disk/Осмотры%20объектов%20АНО%20СМГ/1032.%20ул.%20Бориса%20Пастернака%2C%20з-у%208А%20Школа%20на%202100%20мест</v>
      </c>
      <c r="J1261" s="50">
        <f>IFERROR(__xludf.DUMMYFUNCTION("""COMPUTED_VALUE"""),99.68648)</f>
        <v>99.68648</v>
      </c>
      <c r="K1261" s="58">
        <f>IFERROR(__xludf.DUMMYFUNCTION("""COMPUTED_VALUE"""),45972.0)</f>
        <v>45972</v>
      </c>
      <c r="L1261" s="6">
        <v>7.0</v>
      </c>
      <c r="M1261" s="52">
        <v>45979.0</v>
      </c>
      <c r="N1261" s="53" t="s">
        <v>692</v>
      </c>
      <c r="O1261" s="19" t="s">
        <v>1307</v>
      </c>
      <c r="P1261" s="6"/>
      <c r="Q1261" s="6"/>
      <c r="R1261" s="6"/>
    </row>
    <row r="1262">
      <c r="A1262" s="31" t="str">
        <f>IFERROR(__xludf.DUMMYFUNCTION("""COMPUTED_VALUE"""),"430")</f>
        <v>430</v>
      </c>
      <c r="B1262" s="14" t="str">
        <f>IFERROR(__xludf.DUMMYFUNCTION("""COMPUTED_VALUE"""),"ВНЕ СПИСКА")</f>
        <v>ВНЕ СПИСКА</v>
      </c>
      <c r="C1262" s="14" t="str">
        <f>IFERROR(__xludf.DUMMYFUNCTION("""COMPUTED_VALUE"""),"ОКС")</f>
        <v>ОКС</v>
      </c>
      <c r="D1262" s="6" t="str">
        <f>IFERROR(__xludf.DUMMYFUNCTION("""COMPUTED_VALUE"""),"да")</f>
        <v>да</v>
      </c>
      <c r="E1262" s="14" t="str">
        <f>IFERROR(__xludf.DUMMYFUNCTION("""COMPUTED_VALUE"""),"Частная общеобразовательная организация «Летово Джуниор» ШКОЛА ЛЕТОВО, Проспект Вернадского, земельный участок 8Б")</f>
        <v>Частная общеобразовательная организация «Летово Джуниор» ШКОЛА ЛЕТОВО, Проспект Вернадского, земельный участок 8Б</v>
      </c>
      <c r="F1262" s="25" t="str">
        <f>IFERROR(__xludf.DUMMYFUNCTION("""COMPUTED_VALUE"""),"#N/A")</f>
        <v>#N/A</v>
      </c>
      <c r="G1262" s="6" t="str">
        <f>IFERROR(__xludf.DUMMYFUNCTION("""COMPUTED_VALUE"""),"#N/A")</f>
        <v>#N/A</v>
      </c>
      <c r="H1262" s="18" t="str">
        <f>IFERROR(__xludf.DUMMYFUNCTION("""COMPUTED_VALUE"""),"https://docs.google.com/spreadsheets/d/1EI7qusa674eJhuaw-nWWtWMEHVSYMQv7HLsInEZTWpE/edit?gid=694232256#gid=694232256")</f>
        <v>https://docs.google.com/spreadsheets/d/1EI7qusa674eJhuaw-nWWtWMEHVSYMQv7HLsInEZTWpE/edit?gid=694232256#gid=694232256</v>
      </c>
      <c r="I1262" s="19" t="str">
        <f>IFERROR(__xludf.DUMMYFUNCTION("""COMPUTED_VALUE"""),"https://disk.yandex.ru/client/disk/Осмотры%20объектов%20АНО%20СМГ/430.%20Школа%20частная%20%22Летово%20Джуниор%22%2C%20пр-т%20Вернадского%208б")</f>
        <v>https://disk.yandex.ru/client/disk/Осмотры%20объектов%20АНО%20СМГ/430.%20Школа%20частная%20%22Летово%20Джуниор%22%2C%20пр-т%20Вернадского%208б</v>
      </c>
      <c r="J1262" s="50">
        <f>IFERROR(__xludf.DUMMYFUNCTION("""COMPUTED_VALUE"""),98.5)</f>
        <v>98.5</v>
      </c>
      <c r="K1262" s="58">
        <f>IFERROR(__xludf.DUMMYFUNCTION("""COMPUTED_VALUE"""),45888.0)</f>
        <v>45888</v>
      </c>
      <c r="L1262" s="6">
        <v>7.0</v>
      </c>
      <c r="M1262" s="52">
        <v>45895.0</v>
      </c>
      <c r="N1262" s="53" t="s">
        <v>652</v>
      </c>
      <c r="O1262" s="19" t="s">
        <v>1308</v>
      </c>
      <c r="P1262" s="6"/>
      <c r="Q1262" s="6"/>
      <c r="R1262" s="6"/>
    </row>
    <row r="1263">
      <c r="A1263" s="31" t="str">
        <f>IFERROR(__xludf.DUMMYFUNCTION("""COMPUTED_VALUE"""),"355")</f>
        <v>355</v>
      </c>
      <c r="B1263" s="14" t="str">
        <f>IFERROR(__xludf.DUMMYFUNCTION("""COMPUTED_VALUE"""),"ВНЕ СПИСКА")</f>
        <v>ВНЕ СПИСКА</v>
      </c>
      <c r="C1263" s="14" t="str">
        <f>IFERROR(__xludf.DUMMYFUNCTION("""COMPUTED_VALUE"""),"ОКС")</f>
        <v>ОКС</v>
      </c>
      <c r="D1263" s="6" t="str">
        <f>IFERROR(__xludf.DUMMYFUNCTION("""COMPUTED_VALUE"""),"да")</f>
        <v>да</v>
      </c>
      <c r="E1263" s="14" t="str">
        <f>IFERROR(__xludf.DUMMYFUNCTION("""COMPUTED_VALUE"""),"Общеобразовательное школьное учреждение на 1200 мест ЖК ЛУЧИ, Производственная улица, вл. 6")</f>
        <v>Общеобразовательное школьное учреждение на 1200 мест ЖК ЛУЧИ, Производственная улица, вл. 6</v>
      </c>
      <c r="F1263" s="25" t="str">
        <f>IFERROR(__xludf.DUMMYFUNCTION("""COMPUTED_VALUE"""),"55.6441236609596")</f>
        <v>55.6441236609596</v>
      </c>
      <c r="G1263" s="6" t="str">
        <f>IFERROR(__xludf.DUMMYFUNCTION("""COMPUTED_VALUE"""),"37.395131804320165")</f>
        <v>37.395131804320165</v>
      </c>
      <c r="H1263" s="18" t="str">
        <f>IFERROR(__xludf.DUMMYFUNCTION("""COMPUTED_VALUE"""),"https://docs.google.com/spreadsheets/d/1EI7qusa674eJhuaw-nWWtWMEHVSYMQv7HLsInEZTWpE/edit?gid=1853146413#gid=1853146413")</f>
        <v>https://docs.google.com/spreadsheets/d/1EI7qusa674eJhuaw-nWWtWMEHVSYMQv7HLsInEZTWpE/edit?gid=1853146413#gid=1853146413</v>
      </c>
      <c r="I1263" s="19" t="str">
        <f>IFERROR(__xludf.DUMMYFUNCTION("""COMPUTED_VALUE"""),"https://disk.yandex.ru/client/disk/Осмотры%20объектов%20АНО%20СМГ/355.%20Школа%20на%201200%20мест%2C%20Производственная%20улица%2C%20вл.%206")</f>
        <v>https://disk.yandex.ru/client/disk/Осмотры%20объектов%20АНО%20СМГ/355.%20Школа%20на%201200%20мест%2C%20Производственная%20улица%2C%20вл.%206</v>
      </c>
      <c r="J1263" s="50">
        <f>IFERROR(__xludf.DUMMYFUNCTION("""COMPUTED_VALUE"""),70.99915)</f>
        <v>70.99915</v>
      </c>
      <c r="K1263" s="58">
        <f>IFERROR(__xludf.DUMMYFUNCTION("""COMPUTED_VALUE"""),45958.0)</f>
        <v>45958</v>
      </c>
      <c r="L1263" s="6">
        <v>14.0</v>
      </c>
      <c r="M1263" s="52">
        <v>45972.0</v>
      </c>
      <c r="N1263" s="53" t="s">
        <v>668</v>
      </c>
      <c r="O1263" s="19" t="s">
        <v>1309</v>
      </c>
      <c r="P1263" s="6"/>
      <c r="Q1263" s="6"/>
      <c r="R1263" s="6"/>
    </row>
    <row r="1264">
      <c r="A1264" s="31" t="str">
        <f>IFERROR(__xludf.DUMMYFUNCTION("""COMPUTED_VALUE"""),"1099")</f>
        <v>1099</v>
      </c>
      <c r="B1264" s="14" t="str">
        <f>IFERROR(__xludf.DUMMYFUNCTION("""COMPUTED_VALUE"""),"ВНЕ СПИСКА")</f>
        <v>ВНЕ СПИСКА</v>
      </c>
      <c r="C1264" s="14" t="str">
        <f>IFERROR(__xludf.DUMMYFUNCTION("""COMPUTED_VALUE"""),"ОКС")</f>
        <v>ОКС</v>
      </c>
      <c r="D1264" s="6" t="str">
        <f>IFERROR(__xludf.DUMMYFUNCTION("""COMPUTED_VALUE"""),"да")</f>
        <v>да</v>
      </c>
      <c r="E1264" s="14" t="str">
        <f>IFERROR(__xludf.DUMMYFUNCTION("""COMPUTED_VALUE"""),"Общеобразовательная организация 44 класса на 1100 мест ЖК ПЕРВЫЙ МОСКОВСКИЙ. ГОРОД-ПАРК, район тепличного комбината №1, третий микрорайон, квартал 1 (никитина 9Б)")</f>
        <v>Общеобразовательная организация 44 класса на 1100 мест ЖК ПЕРВЫЙ МОСКОВСКИЙ. ГОРОД-ПАРК, район тепличного комбината №1, третий микрорайон, квартал 1 (никитина 9Б)</v>
      </c>
      <c r="F1264" s="25" t="str">
        <f>IFERROR(__xludf.DUMMYFUNCTION("""COMPUTED_VALUE"""),"55.60437840965101")</f>
        <v>55.60437840965101</v>
      </c>
      <c r="G1264" s="6" t="str">
        <f>IFERROR(__xludf.DUMMYFUNCTION("""COMPUTED_VALUE"""),"37.37362945767209")</f>
        <v>37.37362945767209</v>
      </c>
      <c r="H1264" s="18" t="str">
        <f>IFERROR(__xludf.DUMMYFUNCTION("""COMPUTED_VALUE"""),"https://docs.google.com/spreadsheets/d/1EI7qusa674eJhuaw-nWWtWMEHVSYMQv7HLsInEZTWpE/edit?gid=930912850#gid=930912850")</f>
        <v>https://docs.google.com/spreadsheets/d/1EI7qusa674eJhuaw-nWWtWMEHVSYMQv7HLsInEZTWpE/edit?gid=930912850#gid=930912850</v>
      </c>
      <c r="I1264" s="19" t="str">
        <f>IFERROR(__xludf.DUMMYFUNCTION("""COMPUTED_VALUE"""),"https://disk.yandex.ru/client/disk/Осмотры%20объектов%20АНО%20СМГ/1099.%20Общеобразовательная%20организация%2044%20класса%20на%201100%20мест")</f>
        <v>https://disk.yandex.ru/client/disk/Осмотры%20объектов%20АНО%20СМГ/1099.%20Общеобразовательная%20организация%2044%20класса%20на%201100%20мест</v>
      </c>
      <c r="J1264" s="50"/>
      <c r="K1264" s="58">
        <f>IFERROR(__xludf.DUMMYFUNCTION("""COMPUTED_VALUE"""),45972.0)</f>
        <v>45972</v>
      </c>
      <c r="L1264" s="6">
        <v>30.0</v>
      </c>
      <c r="M1264" s="52">
        <v>46002.0</v>
      </c>
      <c r="N1264" s="53" t="s">
        <v>652</v>
      </c>
      <c r="O1264" s="19" t="s">
        <v>1310</v>
      </c>
      <c r="P1264" s="6"/>
      <c r="Q1264" s="6"/>
      <c r="R1264" s="6"/>
    </row>
    <row r="1265">
      <c r="A1265" s="31" t="str">
        <f>IFERROR(__xludf.DUMMYFUNCTION("""COMPUTED_VALUE"""),"1196")</f>
        <v>1196</v>
      </c>
      <c r="B1265" s="14" t="str">
        <f>IFERROR(__xludf.DUMMYFUNCTION("""COMPUTED_VALUE"""),"ВНЕ СПИСКА")</f>
        <v>ВНЕ СПИСКА</v>
      </c>
      <c r="C1265" s="14" t="str">
        <f>IFERROR(__xludf.DUMMYFUNCTION("""COMPUTED_VALUE"""),"ОКС")</f>
        <v>ОКС</v>
      </c>
      <c r="D1265" s="6" t="str">
        <f>IFERROR(__xludf.DUMMYFUNCTION("""COMPUTED_VALUE"""),"да")</f>
        <v>да</v>
      </c>
      <c r="E1265" s="14" t="str">
        <f>IFERROR(__xludf.DUMMYFUNCTION("""COMPUTED_VALUE"""),"Общеобразовательная организация на 550 мест (начальное общее образование на 400 мест, дошкольное образование на 150 мест) ЖК МЕТРОПОЛИЯ, пр-кт Волгоградский, вл 32/4")</f>
        <v>Общеобразовательная организация на 550 мест (начальное общее образование на 400 мест, дошкольное образование на 150 мест) ЖК МЕТРОПОЛИЯ, пр-кт Волгоградский, вл 32/4</v>
      </c>
      <c r="F1265" s="25" t="str">
        <f>IFERROR(__xludf.DUMMYFUNCTION("""COMPUTED_VALUE"""),"55.719103")</f>
        <v>55.719103</v>
      </c>
      <c r="G1265" s="6" t="str">
        <f>IFERROR(__xludf.DUMMYFUNCTION("""COMPUTED_VALUE"""),"37.691879")</f>
        <v>37.691879</v>
      </c>
      <c r="H1265" s="18" t="str">
        <f>IFERROR(__xludf.DUMMYFUNCTION("""COMPUTED_VALUE"""),"https://docs.google.com/spreadsheets/d/1EI7qusa674eJhuaw-nWWtWMEHVSYMQv7HLsInEZTWpE/edit?gid=2002546597#gid=2002546597")</f>
        <v>https://docs.google.com/spreadsheets/d/1EI7qusa674eJhuaw-nWWtWMEHVSYMQv7HLsInEZTWpE/edit?gid=2002546597#gid=2002546597</v>
      </c>
      <c r="I1265" s="19" t="str">
        <f>IFERROR(__xludf.DUMMYFUNCTION("""COMPUTED_VALUE"""),"https://disk.yandex.ru/client/disk/Осмотры%20объектов%20АНО%20СМГ/1196%20пр-кт%20Волгоградский%2C%20вл%2032-4%22Общеобразовательная%20организация%20на%20550%20мест%20(начальное%20общее%20образование%20на%20400%20мест%2C%20дошкольное%20образование%20на%201"&amp;"50%20мест)%20%0AЖК%20%22%22Метрополия%22%22")</f>
        <v>https://disk.yandex.ru/client/disk/Осмотры%20объектов%20АНО%20СМГ/1196%20пр-кт%20Волгоградский%2C%20вл%2032-4%22Общеобразовательная%20организация%20на%20550%20мест%20(начальное%20общее%20образование%20на%20400%20мест%2C%20дошкольное%20образование%20на%20150%20мест)%20%0AЖК%20%22%22Метрополия%22%22</v>
      </c>
      <c r="J1265" s="50">
        <f>IFERROR(__xludf.DUMMYFUNCTION("""COMPUTED_VALUE"""),87.37347000000001)</f>
        <v>87.37347</v>
      </c>
      <c r="K1265" s="58">
        <f>IFERROR(__xludf.DUMMYFUNCTION("""COMPUTED_VALUE"""),45958.0)</f>
        <v>45958</v>
      </c>
      <c r="L1265" s="6">
        <v>14.0</v>
      </c>
      <c r="M1265" s="52">
        <v>45972.0</v>
      </c>
      <c r="N1265" s="53" t="s">
        <v>668</v>
      </c>
      <c r="O1265" s="19" t="s">
        <v>669</v>
      </c>
      <c r="P1265" s="6"/>
      <c r="Q1265" s="6"/>
      <c r="R1265" s="6"/>
    </row>
    <row r="1266">
      <c r="A1266" s="31" t="str">
        <f>IFERROR(__xludf.DUMMYFUNCTION("""COMPUTED_VALUE"""),"1290")</f>
        <v>1290</v>
      </c>
      <c r="B1266" s="14" t="str">
        <f>IFERROR(__xludf.DUMMYFUNCTION("""COMPUTED_VALUE"""),"ВНЕ СПИСКА")</f>
        <v>ВНЕ СПИСКА</v>
      </c>
      <c r="C1266" s="14" t="str">
        <f>IFERROR(__xludf.DUMMYFUNCTION("""COMPUTED_VALUE"""),"ОКС")</f>
        <v>ОКС</v>
      </c>
      <c r="D1266" s="6"/>
      <c r="E1266" s="14" t="str">
        <f>IFERROR(__xludf.DUMMYFUNCTION("""COMPUTED_VALUE"""),"ГБОУ Школа № 1474. ДОУ на 200 мест, р-н Ховрино, ул. Левобережная, влд. 4 и 4а (участок № 2) (строительство) ул. Левобережная, д. 4А")</f>
        <v>ГБОУ Школа № 1474. ДОУ на 200 мест, р-н Ховрино, ул. Левобережная, влд. 4 и 4а (участок № 2) (строительство) ул. Левобережная, д. 4А</v>
      </c>
      <c r="F1266" s="25" t="str">
        <f>IFERROR(__xludf.DUMMYFUNCTION("""COMPUTED_VALUE"""),"#N/A")</f>
        <v>#N/A</v>
      </c>
      <c r="G1266" s="6" t="str">
        <f>IFERROR(__xludf.DUMMYFUNCTION("""COMPUTED_VALUE"""),"#N/A")</f>
        <v>#N/A</v>
      </c>
      <c r="H1266" s="18" t="str">
        <f>IFERROR(__xludf.DUMMYFUNCTION("""COMPUTED_VALUE"""),"https://docs.google.com/spreadsheets/d/1EI7qusa674eJhuaw-nWWtWMEHVSYMQv7HLsInEZTWpE/edit?gid=527260036#gid=527260036")</f>
        <v>https://docs.google.com/spreadsheets/d/1EI7qusa674eJhuaw-nWWtWMEHVSYMQv7HLsInEZTWpE/edit?gid=527260036#gid=527260036</v>
      </c>
      <c r="I1266" s="19"/>
      <c r="J1266" s="50">
        <f>IFERROR(__xludf.DUMMYFUNCTION("""COMPUTED_VALUE"""),99.973)</f>
        <v>99.973</v>
      </c>
      <c r="K1266" s="58">
        <f>IFERROR(__xludf.DUMMYFUNCTION("""COMPUTED_VALUE"""),45889.0)</f>
        <v>45889</v>
      </c>
      <c r="L1266" s="6">
        <v>7.0</v>
      </c>
      <c r="M1266" s="52">
        <v>45896.0</v>
      </c>
      <c r="N1266" s="53" t="s">
        <v>652</v>
      </c>
      <c r="O1266" s="19" t="s">
        <v>1311</v>
      </c>
      <c r="P1266" s="6"/>
      <c r="Q1266" s="6"/>
      <c r="R1266" s="6"/>
    </row>
    <row r="1267">
      <c r="A1267" s="31" t="str">
        <f>IFERROR(__xludf.DUMMYFUNCTION("""COMPUTED_VALUE"""),"1345")</f>
        <v>1345</v>
      </c>
      <c r="B1267" s="14" t="str">
        <f>IFERROR(__xludf.DUMMYFUNCTION("""COMPUTED_VALUE"""),"ВНЕ СПИСКА")</f>
        <v>ВНЕ СПИСКА</v>
      </c>
      <c r="C1267" s="14" t="str">
        <f>IFERROR(__xludf.DUMMYFUNCTION("""COMPUTED_VALUE"""),"ОКС")</f>
        <v>ОКС</v>
      </c>
      <c r="D1267" s="6" t="str">
        <f>IFERROR(__xludf.DUMMYFUNCTION("""COMPUTED_VALUE"""),"да")</f>
        <v>да</v>
      </c>
      <c r="E1267" s="14" t="str">
        <f>IFERROR(__xludf.DUMMYFUNCTION("""COMPUTED_VALUE"""),"Общеобразовательная организация на 1470 мест (№11 по генплану, 1 этап) ЖК РАССКАЗОВО, д. Рассказовка, Бульвар Андрея Тарковского дом 2А")</f>
        <v>Общеобразовательная организация на 1470 мест (№11 по генплану, 1 этап) ЖК РАССКАЗОВО, д. Рассказовка, Бульвар Андрея Тарковского дом 2А</v>
      </c>
      <c r="F1267" s="25" t="str">
        <f>IFERROR(__xludf.DUMMYFUNCTION("""COMPUTED_VALUE"""),"55.626453")</f>
        <v>55.626453</v>
      </c>
      <c r="G1267" s="6" t="str">
        <f>IFERROR(__xludf.DUMMYFUNCTION("""COMPUTED_VALUE"""),"37.338868")</f>
        <v>37.338868</v>
      </c>
      <c r="H1267" s="18" t="str">
        <f>IFERROR(__xludf.DUMMYFUNCTION("""COMPUTED_VALUE"""),"https://docs.google.com/spreadsheets/d/1EI7qusa674eJhuaw-nWWtWMEHVSYMQv7HLsInEZTWpE/edit?gid=368087767#gid=368087767")</f>
        <v>https://docs.google.com/spreadsheets/d/1EI7qusa674eJhuaw-nWWtWMEHVSYMQv7HLsInEZTWpE/edit?gid=368087767#gid=368087767</v>
      </c>
      <c r="I1267" s="19"/>
      <c r="J1267" s="50">
        <f>IFERROR(__xludf.DUMMYFUNCTION("""COMPUTED_VALUE"""),81.55278999999999)</f>
        <v>81.55279</v>
      </c>
      <c r="K1267" s="58">
        <f>IFERROR(__xludf.DUMMYFUNCTION("""COMPUTED_VALUE"""),45958.0)</f>
        <v>45958</v>
      </c>
      <c r="L1267" s="6">
        <v>14.0</v>
      </c>
      <c r="M1267" s="52">
        <v>45972.0</v>
      </c>
      <c r="N1267" s="53" t="s">
        <v>668</v>
      </c>
      <c r="O1267" s="19" t="s">
        <v>669</v>
      </c>
      <c r="P1267" s="6"/>
      <c r="Q1267" s="6"/>
      <c r="R1267" s="6"/>
    </row>
    <row r="1268">
      <c r="A1268" s="31" t="str">
        <f>IFERROR(__xludf.DUMMYFUNCTION("""COMPUTED_VALUE"""),"НД")</f>
        <v>НД</v>
      </c>
      <c r="B1268" s="14" t="str">
        <f>IFERROR(__xludf.DUMMYFUNCTION("""COMPUTED_VALUE"""),"ВНЕ СПИСКА")</f>
        <v>ВНЕ СПИСКА</v>
      </c>
      <c r="C1268" s="14" t="str">
        <f>IFERROR(__xludf.DUMMYFUNCTION("""COMPUTED_VALUE"""),"ОКС")</f>
        <v>ОКС</v>
      </c>
      <c r="D1268" s="6" t="str">
        <f>IFERROR(__xludf.DUMMYFUNCTION("""COMPUTED_VALUE"""),"да")</f>
        <v>да</v>
      </c>
      <c r="E1268" s="14" t="str">
        <f>IFERROR(__xludf.DUMMYFUNCTION("""COMPUTED_VALUE"""),"Общеобразовательная организация на 1840 мест (№11 по генплану, 2 этап) ЖК РАССКАЗОВО, д. Рассказовка")</f>
        <v>Общеобразовательная организация на 1840 мест (№11 по генплану, 2 этап) ЖК РАССКАЗОВО, д. Рассказовка</v>
      </c>
      <c r="F1268" s="25" t="str">
        <f>IFERROR(__xludf.DUMMYFUNCTION("""COMPUTED_VALUE"""),"#N/A")</f>
        <v>#N/A</v>
      </c>
      <c r="G1268" s="6" t="str">
        <f>IFERROR(__xludf.DUMMYFUNCTION("""COMPUTED_VALUE"""),"#N/A")</f>
        <v>#N/A</v>
      </c>
      <c r="H1268" s="6"/>
      <c r="I1268" s="19"/>
      <c r="J1268" s="50"/>
      <c r="K1268" s="58"/>
      <c r="L1268" s="6">
        <v>30.0</v>
      </c>
      <c r="M1268" s="52" t="s">
        <v>655</v>
      </c>
      <c r="N1268" s="53" t="s">
        <v>698</v>
      </c>
      <c r="O1268" s="19" t="s">
        <v>669</v>
      </c>
      <c r="P1268" s="6"/>
      <c r="Q1268" s="6"/>
      <c r="R1268" s="6"/>
    </row>
    <row r="1269">
      <c r="A1269" s="31" t="str">
        <f>IFERROR(__xludf.DUMMYFUNCTION("""COMPUTED_VALUE"""),"1176")</f>
        <v>1176</v>
      </c>
      <c r="B1269" s="14" t="str">
        <f>IFERROR(__xludf.DUMMYFUNCTION("""COMPUTED_VALUE"""),"ВНЕ СПИСКА")</f>
        <v>ВНЕ СПИСКА</v>
      </c>
      <c r="C1269" s="14" t="str">
        <f>IFERROR(__xludf.DUMMYFUNCTION("""COMPUTED_VALUE"""),"ОКС")</f>
        <v>ОКС</v>
      </c>
      <c r="D1269" s="6" t="str">
        <f>IFERROR(__xludf.DUMMYFUNCTION("""COMPUTED_VALUE"""),"да")</f>
        <v>да</v>
      </c>
      <c r="E1269" s="14" t="str">
        <f>IFERROR(__xludf.DUMMYFUNCTION("""COMPUTED_VALUE"""),"Этап 5. Школа на 250 мест ул. Чоботовская, д.2, стр.6")</f>
        <v>Этап 5. Школа на 250 мест ул. Чоботовская, д.2, стр.6</v>
      </c>
      <c r="F1269" s="25" t="str">
        <f>IFERROR(__xludf.DUMMYFUNCTION("""COMPUTED_VALUE"""),"55.644940")</f>
        <v>55.644940</v>
      </c>
      <c r="G1269" s="6" t="str">
        <f>IFERROR(__xludf.DUMMYFUNCTION("""COMPUTED_VALUE"""),"37.358509")</f>
        <v>37.358509</v>
      </c>
      <c r="H1269" s="18" t="str">
        <f>IFERROR(__xludf.DUMMYFUNCTION("""COMPUTED_VALUE"""),"https://docs.google.com/spreadsheets/d/1EI7qusa674eJhuaw-nWWtWMEHVSYMQv7HLsInEZTWpE/edit?gid=338449454#gid=338449454")</f>
        <v>https://docs.google.com/spreadsheets/d/1EI7qusa674eJhuaw-nWWtWMEHVSYMQv7HLsInEZTWpE/edit?gid=338449454#gid=338449454</v>
      </c>
      <c r="I1269" s="19" t="str">
        <f>IFERROR(__xludf.DUMMYFUNCTION("""COMPUTED_VALUE"""),"https://disk.yandex.ru/client/disk/Осмотры%20объектов%20АНО%20СМГ/1176.%20СОШ%20на%20250%20мест%20Чеботовская%20зу%202")</f>
        <v>https://disk.yandex.ru/client/disk/Осмотры%20объектов%20АНО%20СМГ/1176.%20СОШ%20на%20250%20мест%20Чеботовская%20зу%202</v>
      </c>
      <c r="J1269" s="50">
        <f>IFERROR(__xludf.DUMMYFUNCTION("""COMPUTED_VALUE"""),97.55106250000001)</f>
        <v>97.5510625</v>
      </c>
      <c r="K1269" s="58">
        <f>IFERROR(__xludf.DUMMYFUNCTION("""COMPUTED_VALUE"""),45972.0)</f>
        <v>45972</v>
      </c>
      <c r="L1269" s="6">
        <v>7.0</v>
      </c>
      <c r="M1269" s="52">
        <v>45979.0</v>
      </c>
      <c r="N1269" s="53" t="s">
        <v>692</v>
      </c>
      <c r="O1269" s="19" t="s">
        <v>1312</v>
      </c>
      <c r="P1269" s="6"/>
      <c r="Q1269" s="6"/>
      <c r="R1269" s="6"/>
    </row>
    <row r="1270">
      <c r="A1270" s="31" t="str">
        <f>IFERROR(__xludf.DUMMYFUNCTION("""COMPUTED_VALUE"""),"1221")</f>
        <v>1221</v>
      </c>
      <c r="B1270" s="14" t="str">
        <f>IFERROR(__xludf.DUMMYFUNCTION("""COMPUTED_VALUE"""),"ВНЕ СПИСКА")</f>
        <v>ВНЕ СПИСКА</v>
      </c>
      <c r="C1270" s="14" t="str">
        <f>IFERROR(__xludf.DUMMYFUNCTION("""COMPUTED_VALUE"""),"ОКС")</f>
        <v>ОКС</v>
      </c>
      <c r="D1270" s="6" t="str">
        <f>IFERROR(__xludf.DUMMYFUNCTION("""COMPUTED_VALUE"""),"да")</f>
        <v>да</v>
      </c>
      <c r="E1270" s="14" t="str">
        <f>IFERROR(__xludf.DUMMYFUNCTION("""COMPUTED_VALUE"""),"Здание с дошкольными группами на 300 мест с бассейном 1-й Грайвороновский проезд, вл.3")</f>
        <v>Здание с дошкольными группами на 300 мест с бассейном 1-й Грайвороновский проезд, вл.3</v>
      </c>
      <c r="F1270" s="25" t="str">
        <f>IFERROR(__xludf.DUMMYFUNCTION("""COMPUTED_VALUE"""),"#N/A")</f>
        <v>#N/A</v>
      </c>
      <c r="G1270" s="6" t="str">
        <f>IFERROR(__xludf.DUMMYFUNCTION("""COMPUTED_VALUE"""),"#N/A")</f>
        <v>#N/A</v>
      </c>
      <c r="H1270" s="18" t="str">
        <f>IFERROR(__xludf.DUMMYFUNCTION("""COMPUTED_VALUE"""),"https://docs.google.com/spreadsheets/d/1EI7qusa674eJhuaw-nWWtWMEHVSYMQv7HLsInEZTWpE/edit?gid=1656884297#gid=1656884297")</f>
        <v>https://docs.google.com/spreadsheets/d/1EI7qusa674eJhuaw-nWWtWMEHVSYMQv7HLsInEZTWpE/edit?gid=1656884297#gid=1656884297</v>
      </c>
      <c r="I1270" s="21" t="str">
        <f>IFERROR(__xludf.DUMMYFUNCTION("""COMPUTED_VALUE"""),"https://disk.yandex.ru/client/disk/%D0%9E%D1%81%D0%BC%D0%BE%D1%82%D1%80%D1%8B%20%D0%BE%D0%B1%D1%8A%D0%B5%D0%BA%D1%82%D0%BE%D0%B2%20%D0%90%D0%9D%D0%9E%20%D0%A1%D0%9C%D0%93/12211-%D0%B9%20%D0%93%D1%80%D0%B0%D0%B9%D0%B2%D0%BE%D1%80%D0%BE%D0%BD%D0%BE%D0%B2%D1"&amp;"%81%D0%BA%D0%B8%D0%B9%20%D0%BF%D1%80%D0%BE%D0%B5%D0%B7%D0%B4%2C%203%20%D0%96%D0%9A%20%22%D0%92%D0%BE%D0%BB%D0%B6%D1%81%D0%BA%D0%B8%D0%B9%20%D0%BF%D0%B0%D1%80%D0%BA%22%20%D0%94%D0%9E%D0%9E%20%D0%BD%D0%B0%20300%20%D0%BC%D0%B5%D1%81%D1%82%20%D1%81%20%D0%B1%D"&amp;"0%B0%D1%81%D1%81%D0%B5%D0%B9%D0%BD%D0%BE%D0%BC%20")</f>
        <v>https://disk.yandex.ru/client/disk/%D0%9E%D1%81%D0%BC%D0%BE%D1%82%D1%80%D1%8B%20%D0%BE%D0%B1%D1%8A%D0%B5%D0%BA%D1%82%D0%BE%D0%B2%20%D0%90%D0%9D%D0%9E%20%D0%A1%D0%9C%D0%93/12211-%D0%B9%20%D0%93%D1%80%D0%B0%D0%B9%D0%B2%D0%BE%D1%80%D0%BE%D0%BD%D0%BE%D0%B2%D1%81%D0%BA%D0%B8%D0%B9%20%D0%BF%D1%80%D0%BE%D0%B5%D0%B7%D0%B4%2C%203%20%D0%96%D0%9A%20%22%D0%92%D0%BE%D0%BB%D0%B6%D1%81%D0%BA%D0%B8%D0%B9%20%D0%BF%D0%B0%D1%80%D0%BA%22%20%D0%94%D0%9E%D0%9E%20%D0%BD%D0%B0%20300%20%D0%BC%D0%B5%D1%81%D1%82%20%D1%81%20%D0%B1%D0%B0%D1%81%D1%81%D0%B5%D0%B9%D0%BD%D0%BE%D0%BC%20</v>
      </c>
      <c r="J1270" s="50">
        <f>IFERROR(__xludf.DUMMYFUNCTION("""COMPUTED_VALUE"""),97.18528)</f>
        <v>97.18528</v>
      </c>
      <c r="K1270" s="58">
        <f>IFERROR(__xludf.DUMMYFUNCTION("""COMPUTED_VALUE"""),45819.0)</f>
        <v>45819</v>
      </c>
      <c r="L1270" s="6">
        <v>7.0</v>
      </c>
      <c r="M1270" s="52">
        <v>45826.0</v>
      </c>
      <c r="N1270" s="53" t="s">
        <v>652</v>
      </c>
      <c r="O1270" s="19" t="s">
        <v>1313</v>
      </c>
      <c r="P1270" s="6"/>
      <c r="Q1270" s="6"/>
      <c r="R1270" s="6"/>
    </row>
    <row r="1271">
      <c r="A1271" s="31" t="str">
        <f>IFERROR(__xludf.DUMMYFUNCTION("""COMPUTED_VALUE"""),"1045")</f>
        <v>1045</v>
      </c>
      <c r="B1271" s="14" t="str">
        <f>IFERROR(__xludf.DUMMYFUNCTION("""COMPUTED_VALUE"""),"ВНЕ СПИСКА")</f>
        <v>ВНЕ СПИСКА</v>
      </c>
      <c r="C1271" s="14" t="str">
        <f>IFERROR(__xludf.DUMMYFUNCTION("""COMPUTED_VALUE"""),"ОКС")</f>
        <v>ОКС</v>
      </c>
      <c r="D1271" s="6" t="str">
        <f>IFERROR(__xludf.DUMMYFUNCTION("""COMPUTED_VALUE"""),"да")</f>
        <v>да</v>
      </c>
      <c r="E1271" s="14" t="str">
        <f>IFERROR(__xludf.DUMMYFUNCTION("""COMPUTED_VALUE"""),"Дошкольное образовательное учреждение №5 ДОУ на 150 мест ш. Волоколамское, з/у 71/13")</f>
        <v>Дошкольное образовательное учреждение №5 ДОУ на 150 мест ш. Волоколамское, з/у 71/13</v>
      </c>
      <c r="F1271" s="25" t="str">
        <f>IFERROR(__xludf.DUMMYFUNCTION("""COMPUTED_VALUE"""),"#N/A")</f>
        <v>#N/A</v>
      </c>
      <c r="G1271" s="6" t="str">
        <f>IFERROR(__xludf.DUMMYFUNCTION("""COMPUTED_VALUE"""),"#N/A")</f>
        <v>#N/A</v>
      </c>
      <c r="H1271" s="18" t="str">
        <f>IFERROR(__xludf.DUMMYFUNCTION("""COMPUTED_VALUE"""),"https://docs.google.com/spreadsheets/d/1EI7qusa674eJhuaw-nWWtWMEHVSYMQv7HLsInEZTWpE/edit?gid=1198270379#gid=1198270379")</f>
        <v>https://docs.google.com/spreadsheets/d/1EI7qusa674eJhuaw-nWWtWMEHVSYMQv7HLsInEZTWpE/edit?gid=1198270379#gid=1198270379</v>
      </c>
      <c r="I1271" s="19" t="str">
        <f>IFERROR(__xludf.DUMMYFUNCTION("""COMPUTED_VALUE"""),"https://disk.yandex.ru/client/disk/Осмотры%20объектов%20АНО%20СМГ/1045.%20%20ДОУ%20150%20мест%20Holland%20park")</f>
        <v>https://disk.yandex.ru/client/disk/Осмотры%20объектов%20АНО%20СМГ/1045.%20%20ДОУ%20150%20мест%20Holland%20park</v>
      </c>
      <c r="J1271" s="50">
        <f>IFERROR(__xludf.DUMMYFUNCTION("""COMPUTED_VALUE"""),75.0273625)</f>
        <v>75.0273625</v>
      </c>
      <c r="K1271" s="58">
        <f>IFERROR(__xludf.DUMMYFUNCTION("""COMPUTED_VALUE"""),45701.0)</f>
        <v>45701</v>
      </c>
      <c r="L1271" s="6">
        <v>14.0</v>
      </c>
      <c r="M1271" s="52">
        <v>45715.0</v>
      </c>
      <c r="N1271" s="53" t="s">
        <v>668</v>
      </c>
      <c r="O1271" s="19" t="s">
        <v>669</v>
      </c>
      <c r="P1271" s="6"/>
      <c r="Q1271" s="6"/>
      <c r="R1271" s="6"/>
    </row>
    <row r="1272">
      <c r="A1272" s="31" t="str">
        <f>IFERROR(__xludf.DUMMYFUNCTION("""COMPUTED_VALUE"""),"1233")</f>
        <v>1233</v>
      </c>
      <c r="B1272" s="14" t="str">
        <f>IFERROR(__xludf.DUMMYFUNCTION("""COMPUTED_VALUE"""),"ВНЕ СПИСКА")</f>
        <v>ВНЕ СПИСКА</v>
      </c>
      <c r="C1272" s="14" t="str">
        <f>IFERROR(__xludf.DUMMYFUNCTION("""COMPUTED_VALUE"""),"ОКС")</f>
        <v>ОКС</v>
      </c>
      <c r="D1272" s="6" t="str">
        <f>IFERROR(__xludf.DUMMYFUNCTION("""COMPUTED_VALUE"""),"да")</f>
        <v>да</v>
      </c>
      <c r="E1272" s="14" t="str">
        <f>IFERROR(__xludf.DUMMYFUNCTION("""COMPUTED_VALUE"""),"Дошкольное образовательное учреждение №5 ДОУ на 300 мест ш. Волоколамское, з/у 71/13")</f>
        <v>Дошкольное образовательное учреждение №5 ДОУ на 300 мест ш. Волоколамское, з/у 71/13</v>
      </c>
      <c r="F1272" s="25" t="str">
        <f>IFERROR(__xludf.DUMMYFUNCTION("""COMPUTED_VALUE"""),"55.814642")</f>
        <v>55.814642</v>
      </c>
      <c r="G1272" s="6" t="str">
        <f>IFERROR(__xludf.DUMMYFUNCTION("""COMPUTED_VALUE"""),"37.426336")</f>
        <v>37.426336</v>
      </c>
      <c r="H1272" s="18" t="str">
        <f>IFERROR(__xludf.DUMMYFUNCTION("""COMPUTED_VALUE"""),"https://docs.google.com/spreadsheets/d/1EI7qusa674eJhuaw-nWWtWMEHVSYMQv7HLsInEZTWpE/edit?gid=58875188#gid=58875188")</f>
        <v>https://docs.google.com/spreadsheets/d/1EI7qusa674eJhuaw-nWWtWMEHVSYMQv7HLsInEZTWpE/edit?gid=58875188#gid=58875188</v>
      </c>
      <c r="I1272" s="19" t="str">
        <f>IFERROR(__xludf.DUMMYFUNCTION("""COMPUTED_VALUE"""),"https://disk.yandex.ru/client/disk/Осмотры%20объектов%20АНО%20СМГ/1233.%20ДОУ%20300%20мест%20Волоколамское%2071.13")</f>
        <v>https://disk.yandex.ru/client/disk/Осмотры%20объектов%20АНО%20СМГ/1233.%20ДОУ%20300%20мест%20Волоколамское%2071.13</v>
      </c>
      <c r="J1272" s="50">
        <f>IFERROR(__xludf.DUMMYFUNCTION("""COMPUTED_VALUE"""),94.47492500000001)</f>
        <v>94.474925</v>
      </c>
      <c r="K1272" s="58">
        <f>IFERROR(__xludf.DUMMYFUNCTION("""COMPUTED_VALUE"""),45959.0)</f>
        <v>45959</v>
      </c>
      <c r="L1272" s="6">
        <v>7.0</v>
      </c>
      <c r="M1272" s="52">
        <v>45966.0</v>
      </c>
      <c r="N1272" s="53" t="s">
        <v>668</v>
      </c>
      <c r="O1272" s="19" t="s">
        <v>669</v>
      </c>
      <c r="P1272" s="6"/>
      <c r="Q1272" s="6"/>
      <c r="R1272" s="6"/>
    </row>
    <row r="1273">
      <c r="A1273" s="31" t="str">
        <f>IFERROR(__xludf.DUMMYFUNCTION("""COMPUTED_VALUE"""),"1225")</f>
        <v>1225</v>
      </c>
      <c r="B1273" s="14" t="str">
        <f>IFERROR(__xludf.DUMMYFUNCTION("""COMPUTED_VALUE"""),"ВНЕ СПИСКА")</f>
        <v>ВНЕ СПИСКА</v>
      </c>
      <c r="C1273" s="14" t="str">
        <f>IFERROR(__xludf.DUMMYFUNCTION("""COMPUTED_VALUE"""),"ОКС")</f>
        <v>ОКС</v>
      </c>
      <c r="D1273" s="6" t="str">
        <f>IFERROR(__xludf.DUMMYFUNCTION("""COMPUTED_VALUE"""),"да")</f>
        <v>да</v>
      </c>
      <c r="E1273" s="14" t="str">
        <f>IFERROR(__xludf.DUMMYFUNCTION("""COMPUTED_VALUE"""),"Дошкольная образовательная организация на 250 мест с бассейном Кавказский бульвар, земельный участок 51/6 (51/4)")</f>
        <v>Дошкольная образовательная организация на 250 мест с бассейном Кавказский бульвар, земельный участок 51/6 (51/4)</v>
      </c>
      <c r="F1273" s="25" t="str">
        <f>IFERROR(__xludf.DUMMYFUNCTION("""COMPUTED_VALUE"""),"55.626099")</f>
        <v>55.626099</v>
      </c>
      <c r="G1273" s="6" t="str">
        <f>IFERROR(__xludf.DUMMYFUNCTION("""COMPUTED_VALUE"""),"37.640842")</f>
        <v>37.640842</v>
      </c>
      <c r="H1273" s="18" t="str">
        <f>IFERROR(__xludf.DUMMYFUNCTION("""COMPUTED_VALUE"""),"https://docs.google.com/spreadsheets/d/1EI7qusa674eJhuaw-nWWtWMEHVSYMQv7HLsInEZTWpE/edit?gid=1628808837#gid=1628808837")</f>
        <v>https://docs.google.com/spreadsheets/d/1EI7qusa674eJhuaw-nWWtWMEHVSYMQv7HLsInEZTWpE/edit?gid=1628808837#gid=1628808837</v>
      </c>
      <c r="I1273" s="19" t="str">
        <f>IFERROR(__xludf.DUMMYFUNCTION("""COMPUTED_VALUE"""),"https://disk.yandex.ru/client/disk/Осмотры%20объектов%20АНО%20СМГ/1225%20ДОУ_3%20Кавказский%20бульвар%2C%20д.%2051")</f>
        <v>https://disk.yandex.ru/client/disk/Осмотры%20объектов%20АНО%20СМГ/1225%20ДОУ_3%20Кавказский%20бульвар%2C%20д.%2051</v>
      </c>
      <c r="J1273" s="50">
        <f>IFERROR(__xludf.DUMMYFUNCTION("""COMPUTED_VALUE"""),90.61391250000001)</f>
        <v>90.6139125</v>
      </c>
      <c r="K1273" s="58">
        <f>IFERROR(__xludf.DUMMYFUNCTION("""COMPUTED_VALUE"""),45958.0)</f>
        <v>45958</v>
      </c>
      <c r="L1273" s="6">
        <v>14.0</v>
      </c>
      <c r="M1273" s="52">
        <v>45972.0</v>
      </c>
      <c r="N1273" s="53" t="s">
        <v>668</v>
      </c>
      <c r="O1273" s="19" t="s">
        <v>1314</v>
      </c>
      <c r="P1273" s="6"/>
      <c r="Q1273" s="6"/>
      <c r="R1273" s="6"/>
    </row>
    <row r="1274">
      <c r="A1274" s="31" t="str">
        <f>IFERROR(__xludf.DUMMYFUNCTION("""COMPUTED_VALUE"""),"1209")</f>
        <v>1209</v>
      </c>
      <c r="B1274" s="14" t="str">
        <f>IFERROR(__xludf.DUMMYFUNCTION("""COMPUTED_VALUE"""),"ВНЕ СПИСКА")</f>
        <v>ВНЕ СПИСКА</v>
      </c>
      <c r="C1274" s="14" t="str">
        <f>IFERROR(__xludf.DUMMYFUNCTION("""COMPUTED_VALUE"""),"ОКС")</f>
        <v>ОКС</v>
      </c>
      <c r="D1274" s="6" t="str">
        <f>IFERROR(__xludf.DUMMYFUNCTION("""COMPUTED_VALUE"""),"да")</f>
        <v>да</v>
      </c>
      <c r="E1274" s="14" t="str">
        <f>IFERROR(__xludf.DUMMYFUNCTION("""COMPUTED_VALUE"""),"Дошкольная образовательная организация на 350 мест, корпус 14 шоссе Очаковское, земельный участок 5А/16")</f>
        <v>Дошкольная образовательная организация на 350 мест, корпус 14 шоссе Очаковское, земельный участок 5А/16</v>
      </c>
      <c r="F1274" s="25" t="str">
        <f>IFERROR(__xludf.DUMMYFUNCTION("""COMPUTED_VALUE"""),"55.693155")</f>
        <v>55.693155</v>
      </c>
      <c r="G1274" s="6" t="str">
        <f>IFERROR(__xludf.DUMMYFUNCTION("""COMPUTED_VALUE"""),"37.458892")</f>
        <v>37.458892</v>
      </c>
      <c r="H1274" s="18" t="str">
        <f>IFERROR(__xludf.DUMMYFUNCTION("""COMPUTED_VALUE"""),"https://docs.google.com/spreadsheets/d/1EI7qusa674eJhuaw-nWWtWMEHVSYMQv7HLsInEZTWpE/edit?gid=900012262#gid=900012262")</f>
        <v>https://docs.google.com/spreadsheets/d/1EI7qusa674eJhuaw-nWWtWMEHVSYMQv7HLsInEZTWpE/edit?gid=900012262#gid=900012262</v>
      </c>
      <c r="I1274" s="19" t="str">
        <f>IFERROR(__xludf.DUMMYFUNCTION("""COMPUTED_VALUE"""),"https://disk.yandex.ru/client/disk/Осмотры%20объектов%20АНО%20СМГ/1209.%20ДОУ%20350%20Очаковское%20ш.")</f>
        <v>https://disk.yandex.ru/client/disk/Осмотры%20объектов%20АНО%20СМГ/1209.%20ДОУ%20350%20Очаковское%20ш.</v>
      </c>
      <c r="J1274" s="50">
        <f>IFERROR(__xludf.DUMMYFUNCTION("""COMPUTED_VALUE"""),99.4167)</f>
        <v>99.4167</v>
      </c>
      <c r="K1274" s="58">
        <f>IFERROR(__xludf.DUMMYFUNCTION("""COMPUTED_VALUE"""),45958.0)</f>
        <v>45958</v>
      </c>
      <c r="L1274" s="6">
        <v>7.0</v>
      </c>
      <c r="M1274" s="52">
        <v>45965.0</v>
      </c>
      <c r="N1274" s="53" t="s">
        <v>668</v>
      </c>
      <c r="O1274" s="19" t="s">
        <v>1315</v>
      </c>
      <c r="P1274" s="6"/>
      <c r="Q1274" s="6"/>
      <c r="R1274" s="6"/>
    </row>
    <row r="1275">
      <c r="A1275" s="31" t="str">
        <f>IFERROR(__xludf.DUMMYFUNCTION("""COMPUTED_VALUE"""),"065")</f>
        <v>065</v>
      </c>
      <c r="B1275" s="14" t="str">
        <f>IFERROR(__xludf.DUMMYFUNCTION("""COMPUTED_VALUE"""),"ВНЕ СПИСКА")</f>
        <v>ВНЕ СПИСКА</v>
      </c>
      <c r="C1275" s="14" t="str">
        <f>IFERROR(__xludf.DUMMYFUNCTION("""COMPUTED_VALUE"""),"ОКС")</f>
        <v>ОКС</v>
      </c>
      <c r="D1275" s="6" t="str">
        <f>IFERROR(__xludf.DUMMYFUNCTION("""COMPUTED_VALUE"""),"да")</f>
        <v>да</v>
      </c>
      <c r="E1275" s="14" t="str">
        <f>IFERROR(__xludf.DUMMYFUNCTION("""COMPUTED_VALUE"""),"Дошкольная образовательная организация на 300 мест, корпус 3.12 ул. Александры Монаховой, зу 87")</f>
        <v>Дошкольная образовательная организация на 300 мест, корпус 3.12 ул. Александры Монаховой, зу 87</v>
      </c>
      <c r="F1275" s="25" t="str">
        <f>IFERROR(__xludf.DUMMYFUNCTION("""COMPUTED_VALUE"""),"55.548500")</f>
        <v>55.548500</v>
      </c>
      <c r="G1275" s="6" t="str">
        <f>IFERROR(__xludf.DUMMYFUNCTION("""COMPUTED_VALUE"""),"37.489000")</f>
        <v>37.489000</v>
      </c>
      <c r="H1275" s="18" t="str">
        <f>IFERROR(__xludf.DUMMYFUNCTION("""COMPUTED_VALUE"""),"https://docs.google.com/spreadsheets/d/1EI7qusa674eJhuaw-nWWtWMEHVSYMQv7HLsInEZTWpE/edit?gid=701601389#gid=701601389")</f>
        <v>https://docs.google.com/spreadsheets/d/1EI7qusa674eJhuaw-nWWtWMEHVSYMQv7HLsInEZTWpE/edit?gid=701601389#gid=701601389</v>
      </c>
      <c r="I1275" s="19" t="str">
        <f>IFERROR(__xludf.DUMMYFUNCTION("""COMPUTED_VALUE"""),"https://disk.yandex.ru/client/disk/Осмотры%20объектов%20АНО%20СМГ/065.%20ДОУ%20на%20300%20мест.%20Сосенское%2C%20д.%20Столбово%2C%20ЖК%20%22Бунинские%20луга%22")</f>
        <v>https://disk.yandex.ru/client/disk/Осмотры%20объектов%20АНО%20СМГ/065.%20ДОУ%20на%20300%20мест.%20Сосенское%2C%20д.%20Столбово%2C%20ЖК%20%22Бунинские%20луга%22</v>
      </c>
      <c r="J1275" s="50">
        <f>IFERROR(__xludf.DUMMYFUNCTION("""COMPUTED_VALUE"""),99.99448)</f>
        <v>99.99448</v>
      </c>
      <c r="K1275" s="58">
        <f>IFERROR(__xludf.DUMMYFUNCTION("""COMPUTED_VALUE"""),45972.0)</f>
        <v>45972</v>
      </c>
      <c r="L1275" s="6">
        <v>7.0</v>
      </c>
      <c r="M1275" s="52">
        <v>45979.0</v>
      </c>
      <c r="N1275" s="53" t="s">
        <v>652</v>
      </c>
      <c r="O1275" s="19" t="s">
        <v>1316</v>
      </c>
      <c r="P1275" s="6"/>
      <c r="Q1275" s="6"/>
      <c r="R1275" s="6"/>
    </row>
    <row r="1276">
      <c r="A1276" s="31" t="str">
        <f>IFERROR(__xludf.DUMMYFUNCTION("""COMPUTED_VALUE"""),"1215")</f>
        <v>1215</v>
      </c>
      <c r="B1276" s="14" t="str">
        <f>IFERROR(__xludf.DUMMYFUNCTION("""COMPUTED_VALUE"""),"ВНЕ СПИСКА")</f>
        <v>ВНЕ СПИСКА</v>
      </c>
      <c r="C1276" s="14" t="str">
        <f>IFERROR(__xludf.DUMMYFUNCTION("""COMPUTED_VALUE"""),"ОКС")</f>
        <v>ОКС</v>
      </c>
      <c r="D1276" s="6" t="str">
        <f>IFERROR(__xludf.DUMMYFUNCTION("""COMPUTED_VALUE"""),"да")</f>
        <v>да</v>
      </c>
      <c r="E1276" s="14" t="str">
        <f>IFERROR(__xludf.DUMMYFUNCTION("""COMPUTED_VALUE"""),"Дошкольное образовательное учреждение на 250 мест с бассейном Крюково, промзона ЦИЭ, кор.13")</f>
        <v>Дошкольное образовательное учреждение на 250 мест с бассейном Крюково, промзона ЦИЭ, кор.13</v>
      </c>
      <c r="F1276" s="25" t="str">
        <f>IFERROR(__xludf.DUMMYFUNCTION("""COMPUTED_VALUE"""),"#N/A")</f>
        <v>#N/A</v>
      </c>
      <c r="G1276" s="6" t="str">
        <f>IFERROR(__xludf.DUMMYFUNCTION("""COMPUTED_VALUE"""),"#N/A")</f>
        <v>#N/A</v>
      </c>
      <c r="H1276" s="18" t="str">
        <f>IFERROR(__xludf.DUMMYFUNCTION("""COMPUTED_VALUE"""),"https://docs.google.com/spreadsheets/d/1EI7qusa674eJhuaw-nWWtWMEHVSYMQv7HLsInEZTWpE/edit?gid=565397007#gid=565397007")</f>
        <v>https://docs.google.com/spreadsheets/d/1EI7qusa674eJhuaw-nWWtWMEHVSYMQv7HLsInEZTWpE/edit?gid=565397007#gid=565397007</v>
      </c>
      <c r="I1276" s="19" t="str">
        <f>IFERROR(__xludf.DUMMYFUNCTION("""COMPUTED_VALUE"""),"https://disk.yandex.ru/client/disk/Осмотры%20объектов%20АНО%20СМГ/1215%20Крюково%20%20Дошкольное%20образовательное%20учреждение%20на%20250%20мест%20с%20бассейном")</f>
        <v>https://disk.yandex.ru/client/disk/Осмотры%20объектов%20АНО%20СМГ/1215%20Крюково%20%20Дошкольное%20образовательное%20учреждение%20на%20250%20мест%20с%20бассейном</v>
      </c>
      <c r="J1276" s="50">
        <f>IFERROR(__xludf.DUMMYFUNCTION("""COMPUTED_VALUE"""),100.0)</f>
        <v>100</v>
      </c>
      <c r="K1276" s="58">
        <f>IFERROR(__xludf.DUMMYFUNCTION("""COMPUTED_VALUE"""),45889.0)</f>
        <v>45889</v>
      </c>
      <c r="L1276" s="6" t="s">
        <v>654</v>
      </c>
      <c r="M1276" s="52" t="s">
        <v>655</v>
      </c>
      <c r="N1276" s="53" t="s">
        <v>656</v>
      </c>
      <c r="O1276" s="19" t="s">
        <v>1317</v>
      </c>
      <c r="P1276" s="6"/>
      <c r="Q1276" s="6"/>
      <c r="R1276" s="6"/>
    </row>
    <row r="1277">
      <c r="A1277" s="31" t="str">
        <f>IFERROR(__xludf.DUMMYFUNCTION("""COMPUTED_VALUE"""),"1232")</f>
        <v>1232</v>
      </c>
      <c r="B1277" s="14" t="str">
        <f>IFERROR(__xludf.DUMMYFUNCTION("""COMPUTED_VALUE"""),"ВНЕ СПИСКА")</f>
        <v>ВНЕ СПИСКА</v>
      </c>
      <c r="C1277" s="14" t="str">
        <f>IFERROR(__xludf.DUMMYFUNCTION("""COMPUTED_VALUE"""),"ОКС")</f>
        <v>ОКС</v>
      </c>
      <c r="D1277" s="6" t="str">
        <f>IFERROR(__xludf.DUMMYFUNCTION("""COMPUTED_VALUE"""),"да")</f>
        <v>да</v>
      </c>
      <c r="E1277" s="14" t="str">
        <f>IFERROR(__xludf.DUMMYFUNCTION("""COMPUTED_VALUE"""),"Дошкольная образовательная организация на 235 мест вблизи с.Рождествено, з.у. 77:08:0000000:3308")</f>
        <v>Дошкольная образовательная организация на 235 мест вблизи с.Рождествено, з.у. 77:08:0000000:3308</v>
      </c>
      <c r="F1277" s="25" t="str">
        <f>IFERROR(__xludf.DUMMYFUNCTION("""COMPUTED_VALUE"""),"55.864356")</f>
        <v>55.864356</v>
      </c>
      <c r="G1277" s="6" t="str">
        <f>IFERROR(__xludf.DUMMYFUNCTION("""COMPUTED_VALUE"""),"37.376649")</f>
        <v>37.376649</v>
      </c>
      <c r="H1277" s="18" t="str">
        <f>IFERROR(__xludf.DUMMYFUNCTION("""COMPUTED_VALUE"""),"https://docs.google.com/spreadsheets/d/1EI7qusa674eJhuaw-nWWtWMEHVSYMQv7HLsInEZTWpE/edit?gid=675585882#gid=675585882")</f>
        <v>https://docs.google.com/spreadsheets/d/1EI7qusa674eJhuaw-nWWtWMEHVSYMQv7HLsInEZTWpE/edit?gid=675585882#gid=675585882</v>
      </c>
      <c r="I1277" s="19" t="str">
        <f>IFERROR(__xludf.DUMMYFUNCTION("""COMPUTED_VALUE"""),"https://disk.yandex.ru/client/disk/Осмотры%20объектов%20АНО%20СМГ/1232%20р-н%20Митино%2C%20ул.%20Муравская%2C%2038%20В.%20ДОУ%20на%20235")</f>
        <v>https://disk.yandex.ru/client/disk/Осмотры%20объектов%20АНО%20СМГ/1232%20р-н%20Митино%2C%20ул.%20Муравская%2C%2038%20В.%20ДОУ%20на%20235</v>
      </c>
      <c r="J1277" s="50">
        <f>IFERROR(__xludf.DUMMYFUNCTION("""COMPUTED_VALUE"""),98.18005500000002)</f>
        <v>98.180055</v>
      </c>
      <c r="K1277" s="58">
        <f>IFERROR(__xludf.DUMMYFUNCTION("""COMPUTED_VALUE"""),45959.0)</f>
        <v>45959</v>
      </c>
      <c r="L1277" s="6">
        <v>7.0</v>
      </c>
      <c r="M1277" s="52">
        <v>45966.0</v>
      </c>
      <c r="N1277" s="53" t="s">
        <v>668</v>
      </c>
      <c r="O1277" s="19" t="s">
        <v>1318</v>
      </c>
      <c r="P1277" s="6"/>
      <c r="Q1277" s="6"/>
      <c r="R1277" s="6"/>
    </row>
    <row r="1278">
      <c r="A1278" s="31" t="str">
        <f>IFERROR(__xludf.DUMMYFUNCTION("""COMPUTED_VALUE"""),"050")</f>
        <v>050</v>
      </c>
      <c r="B1278" s="14" t="str">
        <f>IFERROR(__xludf.DUMMYFUNCTION("""COMPUTED_VALUE"""),"ВНЕ СПИСКА")</f>
        <v>ВНЕ СПИСКА</v>
      </c>
      <c r="C1278" s="14" t="str">
        <f>IFERROR(__xludf.DUMMYFUNCTION("""COMPUTED_VALUE"""),"ОКС")</f>
        <v>ОКС</v>
      </c>
      <c r="D1278" s="6" t="str">
        <f>IFERROR(__xludf.DUMMYFUNCTION("""COMPUTED_VALUE"""),"да")</f>
        <v>да</v>
      </c>
      <c r="E1278" s="14" t="str">
        <f>IFERROR(__xludf.DUMMYFUNCTION("""COMPUTED_VALUE"""),"Дошкольная образовательная организация на 350 мест район тепличного комбината № 1, третий микрорайон, квартал 1")</f>
        <v>Дошкольная образовательная организация на 350 мест район тепличного комбината № 1, третий микрорайон, квартал 1</v>
      </c>
      <c r="F1278" s="25" t="str">
        <f>IFERROR(__xludf.DUMMYFUNCTION("""COMPUTED_VALUE"""),"#N/A")</f>
        <v>#N/A</v>
      </c>
      <c r="G1278" s="6" t="str">
        <f>IFERROR(__xludf.DUMMYFUNCTION("""COMPUTED_VALUE"""),"#N/A")</f>
        <v>#N/A</v>
      </c>
      <c r="H1278" s="18" t="str">
        <f>IFERROR(__xludf.DUMMYFUNCTION("""COMPUTED_VALUE"""),"https://docs.google.com/spreadsheets/d/1EI7qusa674eJhuaw-nWWtWMEHVSYMQv7HLsInEZTWpE/edit?gid=1992128330#gid=1992128330")</f>
        <v>https://docs.google.com/spreadsheets/d/1EI7qusa674eJhuaw-nWWtWMEHVSYMQv7HLsInEZTWpE/edit?gid=1992128330#gid=1992128330</v>
      </c>
      <c r="I1278" s="19" t="str">
        <f>IFERROR(__xludf.DUMMYFUNCTION("""COMPUTED_VALUE"""),"https://disk.yandex.ru/client/disk/Осмотры%20объектов%20АНО%20СМГ/050.%20ДОУ%20на%20350%20мест%20ЖК%20«Первый%20Московский%20Город%20Парк»")</f>
        <v>https://disk.yandex.ru/client/disk/Осмотры%20объектов%20АНО%20СМГ/050.%20ДОУ%20на%20350%20мест%20ЖК%20«Первый%20Московский%20Город%20Парк»</v>
      </c>
      <c r="J1278" s="50">
        <f>IFERROR(__xludf.DUMMYFUNCTION("""COMPUTED_VALUE"""),100.0)</f>
        <v>100</v>
      </c>
      <c r="K1278" s="58">
        <f>IFERROR(__xludf.DUMMYFUNCTION("""COMPUTED_VALUE"""),45888.0)</f>
        <v>45888</v>
      </c>
      <c r="L1278" s="6" t="s">
        <v>654</v>
      </c>
      <c r="M1278" s="52" t="s">
        <v>655</v>
      </c>
      <c r="N1278" s="53" t="s">
        <v>656</v>
      </c>
      <c r="O1278" s="19" t="s">
        <v>1319</v>
      </c>
      <c r="P1278" s="6"/>
      <c r="Q1278" s="6"/>
      <c r="R1278" s="6"/>
    </row>
    <row r="1279">
      <c r="A1279" s="31" t="str">
        <f>IFERROR(__xludf.DUMMYFUNCTION("""COMPUTED_VALUE"""),"355.1")</f>
        <v>355.1</v>
      </c>
      <c r="B1279" s="14" t="str">
        <f>IFERROR(__xludf.DUMMYFUNCTION("""COMPUTED_VALUE"""),"ВНЕ СПИСКА")</f>
        <v>ВНЕ СПИСКА</v>
      </c>
      <c r="C1279" s="14" t="str">
        <f>IFERROR(__xludf.DUMMYFUNCTION("""COMPUTED_VALUE"""),"ОКС")</f>
        <v>ОКС</v>
      </c>
      <c r="D1279" s="6" t="str">
        <f>IFERROR(__xludf.DUMMYFUNCTION("""COMPUTED_VALUE"""),"да")</f>
        <v>да</v>
      </c>
      <c r="E1279" s="14" t="str">
        <f>IFERROR(__xludf.DUMMYFUNCTION("""COMPUTED_VALUE"""),"Дошкольная образовательная организацияна 350 мест корпус № 13 г. Москва, улица Производственная, вл. 6")</f>
        <v>Дошкольная образовательная организацияна 350 мест корпус № 13 г. Москва, улица Производственная, вл. 6</v>
      </c>
      <c r="F1279" s="25" t="str">
        <f>IFERROR(__xludf.DUMMYFUNCTION("""COMPUTED_VALUE"""),"#N/A")</f>
        <v>#N/A</v>
      </c>
      <c r="G1279" s="6" t="str">
        <f>IFERROR(__xludf.DUMMYFUNCTION("""COMPUTED_VALUE"""),"#N/A")</f>
        <v>#N/A</v>
      </c>
      <c r="H1279" s="18" t="str">
        <f>IFERROR(__xludf.DUMMYFUNCTION("""COMPUTED_VALUE"""),"https://docs.google.com/spreadsheets/d/1EI7qusa674eJhuaw-nWWtWMEHVSYMQv7HLsInEZTWpE/edit?gid=2131274545#gid=2131274545")</f>
        <v>https://docs.google.com/spreadsheets/d/1EI7qusa674eJhuaw-nWWtWMEHVSYMQv7HLsInEZTWpE/edit?gid=2131274545#gid=2131274545</v>
      </c>
      <c r="I1279" s="19" t="str">
        <f>IFERROR(__xludf.DUMMYFUNCTION("""COMPUTED_VALUE"""),"https://disk.yandex.ru/client/disk/Осмотры%20объектов%20АНО%20СМГ/355.1%20Осмотр%20ДОУ%20на%20300%20мест%20Производственная%20влд.6")</f>
        <v>https://disk.yandex.ru/client/disk/Осмотры%20объектов%20АНО%20СМГ/355.1%20Осмотр%20ДОУ%20на%20300%20мест%20Производственная%20влд.6</v>
      </c>
      <c r="J1279" s="50">
        <f>IFERROR(__xludf.DUMMYFUNCTION("""COMPUTED_VALUE"""),99.973)</f>
        <v>99.973</v>
      </c>
      <c r="K1279" s="58">
        <f>IFERROR(__xludf.DUMMYFUNCTION("""COMPUTED_VALUE"""),45888.0)</f>
        <v>45888</v>
      </c>
      <c r="L1279" s="6">
        <v>7.0</v>
      </c>
      <c r="M1279" s="52">
        <v>45895.0</v>
      </c>
      <c r="N1279" s="53" t="s">
        <v>652</v>
      </c>
      <c r="O1279" s="19" t="s">
        <v>1320</v>
      </c>
      <c r="P1279" s="6"/>
      <c r="Q1279" s="6"/>
      <c r="R1279" s="6"/>
    </row>
    <row r="1280">
      <c r="A1280" s="31" t="str">
        <f>IFERROR(__xludf.DUMMYFUNCTION("""COMPUTED_VALUE"""),"064")</f>
        <v>064</v>
      </c>
      <c r="B1280" s="14" t="str">
        <f>IFERROR(__xludf.DUMMYFUNCTION("""COMPUTED_VALUE"""),"ВНЕ СПИСКА")</f>
        <v>ВНЕ СПИСКА</v>
      </c>
      <c r="C1280" s="14" t="str">
        <f>IFERROR(__xludf.DUMMYFUNCTION("""COMPUTED_VALUE"""),"ОКС")</f>
        <v>ОКС</v>
      </c>
      <c r="D1280" s="6" t="str">
        <f>IFERROR(__xludf.DUMMYFUNCTION("""COMPUTED_VALUE"""),"да")</f>
        <v>да</v>
      </c>
      <c r="E1280" s="14" t="str">
        <f>IFERROR(__xludf.DUMMYFUNCTION("""COMPUTED_VALUE"""),"Дошкольная образовательная организация на 220 мест вблизи д. Николо-Хованское")</f>
        <v>Дошкольная образовательная организация на 220 мест вблизи д. Николо-Хованское</v>
      </c>
      <c r="F1280" s="25" t="str">
        <f>IFERROR(__xludf.DUMMYFUNCTION("""COMPUTED_VALUE"""),"#N/A")</f>
        <v>#N/A</v>
      </c>
      <c r="G1280" s="6" t="str">
        <f>IFERROR(__xludf.DUMMYFUNCTION("""COMPUTED_VALUE"""),"#N/A")</f>
        <v>#N/A</v>
      </c>
      <c r="H1280" s="18" t="str">
        <f>IFERROR(__xludf.DUMMYFUNCTION("""COMPUTED_VALUE"""),"https://docs.google.com/spreadsheets/d/1EI7qusa674eJhuaw-nWWtWMEHVSYMQv7HLsInEZTWpE/edit?gid=1726026331#gid=1726026331")</f>
        <v>https://docs.google.com/spreadsheets/d/1EI7qusa674eJhuaw-nWWtWMEHVSYMQv7HLsInEZTWpE/edit?gid=1726026331#gid=1726026331</v>
      </c>
      <c r="I1280" s="19" t="str">
        <f>IFERROR(__xludf.DUMMYFUNCTION("""COMPUTED_VALUE"""),"https://disk.yandex.ru/client/disk/Осмотры%20объектов%20АНО%20СМГ/064.%20ДОУ%20на%20220%20мест%20(Корп.%2064.1)%2C%20ЖК%20%22Саларьево%20парк%22%2C%20ул.%20Большое%20Понизовье%2C%20д.%206")</f>
        <v>https://disk.yandex.ru/client/disk/Осмотры%20объектов%20АНО%20СМГ/064.%20ДОУ%20на%20220%20мест%20(Корп.%2064.1)%2C%20ЖК%20%22Саларьево%20парк%22%2C%20ул.%20Большое%20Понизовье%2C%20д.%206</v>
      </c>
      <c r="J1280" s="50">
        <f>IFERROR(__xludf.DUMMYFUNCTION("""COMPUTED_VALUE"""),100.0)</f>
        <v>100</v>
      </c>
      <c r="K1280" s="58">
        <f>IFERROR(__xludf.DUMMYFUNCTION("""COMPUTED_VALUE"""),45889.0)</f>
        <v>45889</v>
      </c>
      <c r="L1280" s="6" t="s">
        <v>654</v>
      </c>
      <c r="M1280" s="52" t="s">
        <v>655</v>
      </c>
      <c r="N1280" s="53" t="s">
        <v>656</v>
      </c>
      <c r="O1280" s="19" t="s">
        <v>1321</v>
      </c>
      <c r="P1280" s="6"/>
      <c r="Q1280" s="6"/>
      <c r="R1280" s="6"/>
    </row>
    <row r="1281">
      <c r="A1281" s="31" t="str">
        <f>IFERROR(__xludf.DUMMYFUNCTION("""COMPUTED_VALUE"""),"067")</f>
        <v>067</v>
      </c>
      <c r="B1281" s="14" t="str">
        <f>IFERROR(__xludf.DUMMYFUNCTION("""COMPUTED_VALUE"""),"ВНЕ СПИСКА")</f>
        <v>ВНЕ СПИСКА</v>
      </c>
      <c r="C1281" s="14" t="str">
        <f>IFERROR(__xludf.DUMMYFUNCTION("""COMPUTED_VALUE"""),"ОКС")</f>
        <v>ОКС</v>
      </c>
      <c r="D1281" s="6" t="str">
        <f>IFERROR(__xludf.DUMMYFUNCTION("""COMPUTED_VALUE"""),"да")</f>
        <v>да</v>
      </c>
      <c r="E1281" s="14" t="str">
        <f>IFERROR(__xludf.DUMMYFUNCTION("""COMPUTED_VALUE"""),"Здание образовательной организации на 250 мест (ДО) Эдварда Грига, з/у 14б (проспект Куприна, з/у 3)")</f>
        <v>Здание образовательной организации на 250 мест (ДО) Эдварда Грига, з/у 14б (проспект Куприна, з/у 3)</v>
      </c>
      <c r="F1281" s="25" t="str">
        <f>IFERROR(__xludf.DUMMYFUNCTION("""COMPUTED_VALUE"""),"55.555759")</f>
        <v>55.555759</v>
      </c>
      <c r="G1281" s="6" t="str">
        <f>IFERROR(__xludf.DUMMYFUNCTION("""COMPUTED_VALUE"""),"37.498887")</f>
        <v>37.498887</v>
      </c>
      <c r="H1281" s="18" t="str">
        <f>IFERROR(__xludf.DUMMYFUNCTION("""COMPUTED_VALUE"""),"https://docs.google.com/spreadsheets/d/1EI7qusa674eJhuaw-nWWtWMEHVSYMQv7HLsInEZTWpE/edit?gid=1351279015#gid=1351279015")</f>
        <v>https://docs.google.com/spreadsheets/d/1EI7qusa674eJhuaw-nWWtWMEHVSYMQv7HLsInEZTWpE/edit?gid=1351279015#gid=1351279015</v>
      </c>
      <c r="I1281" s="19" t="str">
        <f>IFERROR(__xludf.DUMMYFUNCTION("""COMPUTED_VALUE"""),"https://disk.yandex.ru/client/disk/Осмотры%20объектов%20АНО%20СМГ/067.%20ДОУ%20на%20250%20мест%20НАО%2C%20п.%20Сосенское%2C%20ЖК%20«Скандинавия»")</f>
        <v>https://disk.yandex.ru/client/disk/Осмотры%20объектов%20АНО%20СМГ/067.%20ДОУ%20на%20250%20мест%20НАО%2C%20п.%20Сосенское%2C%20ЖК%20«Скандинавия»</v>
      </c>
      <c r="J1281" s="50">
        <f>IFERROR(__xludf.DUMMYFUNCTION("""COMPUTED_VALUE"""),99.0175)</f>
        <v>99.0175</v>
      </c>
      <c r="K1281" s="58">
        <f>IFERROR(__xludf.DUMMYFUNCTION("""COMPUTED_VALUE"""),45958.0)</f>
        <v>45958</v>
      </c>
      <c r="L1281" s="6">
        <v>7.0</v>
      </c>
      <c r="M1281" s="52">
        <v>45965.0</v>
      </c>
      <c r="N1281" s="53" t="s">
        <v>668</v>
      </c>
      <c r="O1281" s="19" t="s">
        <v>1322</v>
      </c>
      <c r="P1281" s="6"/>
      <c r="Q1281" s="6"/>
      <c r="R1281" s="6"/>
    </row>
    <row r="1282">
      <c r="A1282" s="31" t="str">
        <f>IFERROR(__xludf.DUMMYFUNCTION("""COMPUTED_VALUE"""),"882")</f>
        <v>882</v>
      </c>
      <c r="B1282" s="14" t="str">
        <f>IFERROR(__xludf.DUMMYFUNCTION("""COMPUTED_VALUE"""),"ВНЕ СПИСКА")</f>
        <v>ВНЕ СПИСКА</v>
      </c>
      <c r="C1282" s="14" t="str">
        <f>IFERROR(__xludf.DUMMYFUNCTION("""COMPUTED_VALUE"""),"ОКС")</f>
        <v>ОКС</v>
      </c>
      <c r="D1282" s="6" t="str">
        <f>IFERROR(__xludf.DUMMYFUNCTION("""COMPUTED_VALUE"""),"да")</f>
        <v>да</v>
      </c>
      <c r="E1282" s="14" t="str">
        <f>IFERROR(__xludf.DUMMYFUNCTION("""COMPUTED_VALUE"""),"Дошкольная образовательная организация на 350 мест Молжаниновская, земельный участок 7 (территория Коллективного сельскохозяйственного предприятия (КСХП ) Химки, уч. 49)")</f>
        <v>Дошкольная образовательная организация на 350 мест Молжаниновская, земельный участок 7 (территория Коллективного сельскохозяйственного предприятия (КСХП ) Химки, уч. 49)</v>
      </c>
      <c r="F1282" s="25" t="str">
        <f>IFERROR(__xludf.DUMMYFUNCTION("""COMPUTED_VALUE"""),"55.937494")</f>
        <v>55.937494</v>
      </c>
      <c r="G1282" s="6" t="str">
        <f>IFERROR(__xludf.DUMMYFUNCTION("""COMPUTED_VALUE"""),"37.364104")</f>
        <v>37.364104</v>
      </c>
      <c r="H1282" s="18" t="str">
        <f>IFERROR(__xludf.DUMMYFUNCTION("""COMPUTED_VALUE"""),"https://docs.google.com/spreadsheets/d/1EI7qusa674eJhuaw-nWWtWMEHVSYMQv7HLsInEZTWpE/edit?gid=1438023663#gid=1438023663")</f>
        <v>https://docs.google.com/spreadsheets/d/1EI7qusa674eJhuaw-nWWtWMEHVSYMQv7HLsInEZTWpE/edit?gid=1438023663#gid=1438023663</v>
      </c>
      <c r="I1282" s="19" t="str">
        <f>IFERROR(__xludf.DUMMYFUNCTION("""COMPUTED_VALUE"""),"https://disk.yandex.ru/client/disk/Осмотры%20объектов%20АНО%20СМГ/1165.%20зона%209.2%20пр-к%20Вернадского")</f>
        <v>https://disk.yandex.ru/client/disk/Осмотры%20объектов%20АНО%20СМГ/1165.%20зона%209.2%20пр-к%20Вернадского</v>
      </c>
      <c r="J1282" s="50">
        <f>IFERROR(__xludf.DUMMYFUNCTION("""COMPUTED_VALUE"""),88.1873375)</f>
        <v>88.1873375</v>
      </c>
      <c r="K1282" s="58">
        <f>IFERROR(__xludf.DUMMYFUNCTION("""COMPUTED_VALUE"""),45959.0)</f>
        <v>45959</v>
      </c>
      <c r="L1282" s="6">
        <v>14.0</v>
      </c>
      <c r="M1282" s="52">
        <v>45973.0</v>
      </c>
      <c r="N1282" s="53" t="s">
        <v>668</v>
      </c>
      <c r="O1282" s="19" t="s">
        <v>1322</v>
      </c>
      <c r="P1282" s="6"/>
      <c r="Q1282" s="6"/>
      <c r="R1282" s="6"/>
    </row>
    <row r="1283">
      <c r="A1283" s="31" t="str">
        <f>IFERROR(__xludf.DUMMYFUNCTION("""COMPUTED_VALUE"""),"1222")</f>
        <v>1222</v>
      </c>
      <c r="B1283" s="14" t="str">
        <f>IFERROR(__xludf.DUMMYFUNCTION("""COMPUTED_VALUE"""),"ВНЕ СПИСКА")</f>
        <v>ВНЕ СПИСКА</v>
      </c>
      <c r="C1283" s="14" t="str">
        <f>IFERROR(__xludf.DUMMYFUNCTION("""COMPUTED_VALUE"""),"ОКС")</f>
        <v>ОКС</v>
      </c>
      <c r="D1283" s="6" t="str">
        <f>IFERROR(__xludf.DUMMYFUNCTION("""COMPUTED_VALUE"""),"да")</f>
        <v>да</v>
      </c>
      <c r="E1283" s="14" t="str">
        <f>IFERROR(__xludf.DUMMYFUNCTION("""COMPUTED_VALUE"""),"дошкольная образовательная организация на 200 мест проезд Нагатинский 2-й, вл. 2/3")</f>
        <v>дошкольная образовательная организация на 200 мест проезд Нагатинский 2-й, вл. 2/3</v>
      </c>
      <c r="F1283" s="25" t="str">
        <f>IFERROR(__xludf.DUMMYFUNCTION("""COMPUTED_VALUE"""),"#N/A")</f>
        <v>#N/A</v>
      </c>
      <c r="G1283" s="6" t="str">
        <f>IFERROR(__xludf.DUMMYFUNCTION("""COMPUTED_VALUE"""),"#N/A")</f>
        <v>#N/A</v>
      </c>
      <c r="H1283" s="18" t="str">
        <f>IFERROR(__xludf.DUMMYFUNCTION("""COMPUTED_VALUE"""),"https://docs.google.com/spreadsheets/d/1EI7qusa674eJhuaw-nWWtWMEHVSYMQv7HLsInEZTWpE/edit?gid=1074412945#gid=1074412945")</f>
        <v>https://docs.google.com/spreadsheets/d/1EI7qusa674eJhuaw-nWWtWMEHVSYMQv7HLsInEZTWpE/edit?gid=1074412945#gid=1074412945</v>
      </c>
      <c r="I1283" s="19" t="str">
        <f>IFERROR(__xludf.DUMMYFUNCTION("""COMPUTED_VALUE"""),"https://disk.yandex.ru/client/disk/Осмотры%20объектов%20АНО%20СМГ/1222%20ДОО%20на%20200%20мест%20%202-й%20Нагатинский%20проезд%2C%202.3%20ЖК%20%22Второй%20Нагатинский%22")</f>
        <v>https://disk.yandex.ru/client/disk/Осмотры%20объектов%20АНО%20СМГ/1222%20ДОО%20на%20200%20мест%20%202-й%20Нагатинский%20проезд%2C%202.3%20ЖК%20%22Второй%20Нагатинский%22</v>
      </c>
      <c r="J1283" s="50">
        <f>IFERROR(__xludf.DUMMYFUNCTION("""COMPUTED_VALUE"""),99.91)</f>
        <v>99.91</v>
      </c>
      <c r="K1283" s="58">
        <f>IFERROR(__xludf.DUMMYFUNCTION("""COMPUTED_VALUE"""),45888.0)</f>
        <v>45888</v>
      </c>
      <c r="L1283" s="6">
        <v>7.0</v>
      </c>
      <c r="M1283" s="52">
        <v>45895.0</v>
      </c>
      <c r="N1283" s="53" t="s">
        <v>652</v>
      </c>
      <c r="O1283" s="19" t="s">
        <v>1323</v>
      </c>
      <c r="P1283" s="6"/>
      <c r="Q1283" s="6"/>
      <c r="R1283" s="6"/>
    </row>
    <row r="1284">
      <c r="A1284" s="31" t="str">
        <f>IFERROR(__xludf.DUMMYFUNCTION("""COMPUTED_VALUE"""),"1217")</f>
        <v>1217</v>
      </c>
      <c r="B1284" s="14" t="str">
        <f>IFERROR(__xludf.DUMMYFUNCTION("""COMPUTED_VALUE"""),"ВНЕ СПИСКА")</f>
        <v>ВНЕ СПИСКА</v>
      </c>
      <c r="C1284" s="14" t="str">
        <f>IFERROR(__xludf.DUMMYFUNCTION("""COMPUTED_VALUE"""),"ОКС")</f>
        <v>ОКС</v>
      </c>
      <c r="D1284" s="6" t="str">
        <f>IFERROR(__xludf.DUMMYFUNCTION("""COMPUTED_VALUE"""),"да")</f>
        <v>да</v>
      </c>
      <c r="E1284" s="14" t="str">
        <f>IFERROR(__xludf.DUMMYFUNCTION("""COMPUTED_VALUE"""),"ДОО на 275 мест шоссе Ленинградское, земельный участок 228/4")</f>
        <v>ДОО на 275 мест шоссе Ленинградское, земельный участок 228/4</v>
      </c>
      <c r="F1284" s="25" t="str">
        <f>IFERROR(__xludf.DUMMYFUNCTION("""COMPUTED_VALUE"""),"55.931699")</f>
        <v>55.931699</v>
      </c>
      <c r="G1284" s="6" t="str">
        <f>IFERROR(__xludf.DUMMYFUNCTION("""COMPUTED_VALUE"""),"37.383409")</f>
        <v>37.383409</v>
      </c>
      <c r="H1284" s="18" t="str">
        <f>IFERROR(__xludf.DUMMYFUNCTION("""COMPUTED_VALUE"""),"https://docs.google.com/spreadsheets/d/1EI7qusa674eJhuaw-nWWtWMEHVSYMQv7HLsInEZTWpE/edit?gid=2082838360#gid=2082838360")</f>
        <v>https://docs.google.com/spreadsheets/d/1EI7qusa674eJhuaw-nWWtWMEHVSYMQv7HLsInEZTWpE/edit?gid=2082838360#gid=2082838360</v>
      </c>
      <c r="I1284" s="19" t="str">
        <f>IFERROR(__xludf.DUMMYFUNCTION("""COMPUTED_VALUE"""),"https://disk.yandex.ru/client/disk/Осмотры%20объектов%20АНО%20СМГ/1217%20%20ДОУ%20275%20Ленинградский%20228")</f>
        <v>https://disk.yandex.ru/client/disk/Осмотры%20объектов%20АНО%20СМГ/1217%20%20ДОУ%20275%20Ленинградский%20228</v>
      </c>
      <c r="J1284" s="50">
        <f>IFERROR(__xludf.DUMMYFUNCTION("""COMPUTED_VALUE"""),99.39643999999998)</f>
        <v>99.39644</v>
      </c>
      <c r="K1284" s="58">
        <f>IFERROR(__xludf.DUMMYFUNCTION("""COMPUTED_VALUE"""),45959.0)</f>
        <v>45959</v>
      </c>
      <c r="L1284" s="6">
        <v>7.0</v>
      </c>
      <c r="M1284" s="52">
        <v>45966.0</v>
      </c>
      <c r="N1284" s="53" t="s">
        <v>668</v>
      </c>
      <c r="O1284" s="19" t="s">
        <v>1324</v>
      </c>
      <c r="P1284" s="6"/>
      <c r="Q1284" s="6"/>
      <c r="R1284" s="6"/>
    </row>
    <row r="1285">
      <c r="A1285" s="31" t="str">
        <f>IFERROR(__xludf.DUMMYFUNCTION("""COMPUTED_VALUE"""),"1224")</f>
        <v>1224</v>
      </c>
      <c r="B1285" s="14" t="str">
        <f>IFERROR(__xludf.DUMMYFUNCTION("""COMPUTED_VALUE"""),"ВНЕ СПИСКА")</f>
        <v>ВНЕ СПИСКА</v>
      </c>
      <c r="C1285" s="14" t="str">
        <f>IFERROR(__xludf.DUMMYFUNCTION("""COMPUTED_VALUE"""),"ОКС")</f>
        <v>ОКС</v>
      </c>
      <c r="D1285" s="6" t="str">
        <f>IFERROR(__xludf.DUMMYFUNCTION("""COMPUTED_VALUE"""),"да")</f>
        <v>да</v>
      </c>
      <c r="E1285" s="14" t="str">
        <f>IFERROR(__xludf.DUMMYFUNCTION("""COMPUTED_VALUE"""),"Дошкольная образовательная организация на 220 мест корпус 9 Полярная ул. вл. 25")</f>
        <v>Дошкольная образовательная организация на 220 мест корпус 9 Полярная ул. вл. 25</v>
      </c>
      <c r="F1285" s="25" t="str">
        <f>IFERROR(__xludf.DUMMYFUNCTION("""COMPUTED_VALUE"""),"55.881153")</f>
        <v>55.881153</v>
      </c>
      <c r="G1285" s="6" t="str">
        <f>IFERROR(__xludf.DUMMYFUNCTION("""COMPUTED_VALUE"""),"37.636433")</f>
        <v>37.636433</v>
      </c>
      <c r="H1285" s="18" t="str">
        <f>IFERROR(__xludf.DUMMYFUNCTION("""COMPUTED_VALUE"""),"https://docs.google.com/spreadsheets/d/1EI7qusa674eJhuaw-nWWtWMEHVSYMQv7HLsInEZTWpE/edit?gid=1482027373#gid=1482027373")</f>
        <v>https://docs.google.com/spreadsheets/d/1EI7qusa674eJhuaw-nWWtWMEHVSYMQv7HLsInEZTWpE/edit?gid=1482027373#gid=1482027373</v>
      </c>
      <c r="I1285" s="19" t="str">
        <f>IFERROR(__xludf.DUMMYFUNCTION("""COMPUTED_VALUE"""),"https://disk.yandex.ru/client/disk/Осмотры%20объектов%20АНО%20СМГ/1224%20ул.%20Полярная%2C%20зу%2025%20ДОУ%20%20220%20мест")</f>
        <v>https://disk.yandex.ru/client/disk/Осмотры%20объектов%20АНО%20СМГ/1224%20ул.%20Полярная%2C%20зу%2025%20ДОУ%20%20220%20мест</v>
      </c>
      <c r="J1285" s="50">
        <f>IFERROR(__xludf.DUMMYFUNCTION("""COMPUTED_VALUE"""),99.84450000000001)</f>
        <v>99.8445</v>
      </c>
      <c r="K1285" s="58">
        <f>IFERROR(__xludf.DUMMYFUNCTION("""COMPUTED_VALUE"""),45959.0)</f>
        <v>45959</v>
      </c>
      <c r="L1285" s="6">
        <v>7.0</v>
      </c>
      <c r="M1285" s="52">
        <v>45966.0</v>
      </c>
      <c r="N1285" s="53" t="s">
        <v>668</v>
      </c>
      <c r="O1285" s="19" t="s">
        <v>1325</v>
      </c>
      <c r="P1285" s="6"/>
      <c r="Q1285" s="6"/>
      <c r="R1285" s="6"/>
    </row>
    <row r="1286">
      <c r="A1286" s="31" t="str">
        <f>IFERROR(__xludf.DUMMYFUNCTION("""COMPUTED_VALUE"""),"1231")</f>
        <v>1231</v>
      </c>
      <c r="B1286" s="14" t="str">
        <f>IFERROR(__xludf.DUMMYFUNCTION("""COMPUTED_VALUE"""),"ВНЕ СПИСКА")</f>
        <v>ВНЕ СПИСКА</v>
      </c>
      <c r="C1286" s="14" t="str">
        <f>IFERROR(__xludf.DUMMYFUNCTION("""COMPUTED_VALUE"""),"ОКС")</f>
        <v>ОКС</v>
      </c>
      <c r="D1286" s="6" t="str">
        <f>IFERROR(__xludf.DUMMYFUNCTION("""COMPUTED_VALUE"""),"да")</f>
        <v>да</v>
      </c>
      <c r="E1286" s="14" t="str">
        <f>IFERROR(__xludf.DUMMYFUNCTION("""COMPUTED_VALUE"""),"
ДОУ на 200 мест Сельскохозяйственная, вл. 35")</f>
        <v>
ДОУ на 200 мест Сельскохозяйственная, вл. 35</v>
      </c>
      <c r="F1286" s="25" t="str">
        <f>IFERROR(__xludf.DUMMYFUNCTION("""COMPUTED_VALUE"""),"55.856863")</f>
        <v>55.856863</v>
      </c>
      <c r="G1286" s="6" t="str">
        <f>IFERROR(__xludf.DUMMYFUNCTION("""COMPUTED_VALUE"""),"37.623581")</f>
        <v>37.623581</v>
      </c>
      <c r="H1286" s="18" t="str">
        <f>IFERROR(__xludf.DUMMYFUNCTION("""COMPUTED_VALUE"""),"https://docs.google.com/spreadsheets/d/1EI7qusa674eJhuaw-nWWtWMEHVSYMQv7HLsInEZTWpE/edit?gid=373541859#gid=373541859")</f>
        <v>https://docs.google.com/spreadsheets/d/1EI7qusa674eJhuaw-nWWtWMEHVSYMQv7HLsInEZTWpE/edit?gid=373541859#gid=373541859</v>
      </c>
      <c r="I1286" s="19" t="str">
        <f>IFERROR(__xludf.DUMMYFUNCTION("""COMPUTED_VALUE"""),"https://disk.yandex.ru/client/disk/Осмотры%20объектов%20АНО%20СМГ/1231%20ДОУ%20на%20200%20мест%20ул.%20Сельскохозяйственная%2C%20вл%2035")</f>
        <v>https://disk.yandex.ru/client/disk/Осмотры%20объектов%20АНО%20СМГ/1231%20ДОУ%20на%20200%20мест%20ул.%20Сельскохозяйственная%2C%20вл%2035</v>
      </c>
      <c r="J1286" s="50">
        <f>IFERROR(__xludf.DUMMYFUNCTION("""COMPUTED_VALUE"""),70.0497225)</f>
        <v>70.0497225</v>
      </c>
      <c r="K1286" s="58">
        <f>IFERROR(__xludf.DUMMYFUNCTION("""COMPUTED_VALUE"""),45959.0)</f>
        <v>45959</v>
      </c>
      <c r="L1286" s="6">
        <v>14.0</v>
      </c>
      <c r="M1286" s="52">
        <v>45973.0</v>
      </c>
      <c r="N1286" s="53" t="s">
        <v>668</v>
      </c>
      <c r="O1286" s="19" t="s">
        <v>1326</v>
      </c>
      <c r="P1286" s="6"/>
      <c r="Q1286" s="6"/>
      <c r="R1286" s="6"/>
    </row>
    <row r="1287">
      <c r="A1287" s="31" t="str">
        <f>IFERROR(__xludf.DUMMYFUNCTION("""COMPUTED_VALUE"""),"1213")</f>
        <v>1213</v>
      </c>
      <c r="B1287" s="14" t="str">
        <f>IFERROR(__xludf.DUMMYFUNCTION("""COMPUTED_VALUE"""),"ВНЕ СПИСКА")</f>
        <v>ВНЕ СПИСКА</v>
      </c>
      <c r="C1287" s="14" t="str">
        <f>IFERROR(__xludf.DUMMYFUNCTION("""COMPUTED_VALUE"""),"ОКС")</f>
        <v>ОКС</v>
      </c>
      <c r="D1287" s="6" t="str">
        <f>IFERROR(__xludf.DUMMYFUNCTION("""COMPUTED_VALUE"""),"да")</f>
        <v>да</v>
      </c>
      <c r="E1287" s="14" t="str">
        <f>IFERROR(__xludf.DUMMYFUNCTION("""COMPUTED_VALUE"""),"Дошкольная образовательная организация на 250 мест Лобненская ул., вл. 13")</f>
        <v>Дошкольная образовательная организация на 250 мест Лобненская ул., вл. 13</v>
      </c>
      <c r="F1287" s="25" t="str">
        <f>IFERROR(__xludf.DUMMYFUNCTION("""COMPUTED_VALUE"""),"#N/A")</f>
        <v>#N/A</v>
      </c>
      <c r="G1287" s="6" t="str">
        <f>IFERROR(__xludf.DUMMYFUNCTION("""COMPUTED_VALUE"""),"#N/A")</f>
        <v>#N/A</v>
      </c>
      <c r="H1287" s="18" t="str">
        <f>IFERROR(__xludf.DUMMYFUNCTION("""COMPUTED_VALUE"""),"https://docs.google.com/spreadsheets/d/1EI7qusa674eJhuaw-nWWtWMEHVSYMQv7HLsInEZTWpE/edit?gid=1325521747#gid=1325521747")</f>
        <v>https://docs.google.com/spreadsheets/d/1EI7qusa674eJhuaw-nWWtWMEHVSYMQv7HLsInEZTWpE/edit?gid=1325521747#gid=1325521747</v>
      </c>
      <c r="I1287" s="19" t="str">
        <f>IFERROR(__xludf.DUMMYFUNCTION("""COMPUTED_VALUE"""),"https://disk.yandex.ru/client/disk/Осмотры%20объектов%20АНО%20СМГ/1213.%20Дошкольная%20образовательная%20организация%20на%20250%20мест%2C%20Лобненская%20ул.%2C%20вл.%2013")</f>
        <v>https://disk.yandex.ru/client/disk/Осмотры%20объектов%20АНО%20СМГ/1213.%20Дошкольная%20образовательная%20организация%20на%20250%20мест%2C%20Лобненская%20ул.%2C%20вл.%2013</v>
      </c>
      <c r="J1287" s="50">
        <f>IFERROR(__xludf.DUMMYFUNCTION("""COMPUTED_VALUE"""),99.38060000000002)</f>
        <v>99.3806</v>
      </c>
      <c r="K1287" s="58">
        <f>IFERROR(__xludf.DUMMYFUNCTION("""COMPUTED_VALUE"""),45889.0)</f>
        <v>45889</v>
      </c>
      <c r="L1287" s="6">
        <v>7.0</v>
      </c>
      <c r="M1287" s="52">
        <v>45896.0</v>
      </c>
      <c r="N1287" s="53" t="s">
        <v>668</v>
      </c>
      <c r="O1287" s="19" t="s">
        <v>1327</v>
      </c>
      <c r="P1287" s="6"/>
      <c r="Q1287" s="6"/>
      <c r="R1287" s="6"/>
    </row>
    <row r="1288">
      <c r="A1288" s="31" t="str">
        <f>IFERROR(__xludf.DUMMYFUNCTION("""COMPUTED_VALUE"""),"1219")</f>
        <v>1219</v>
      </c>
      <c r="B1288" s="14" t="str">
        <f>IFERROR(__xludf.DUMMYFUNCTION("""COMPUTED_VALUE"""),"ВНЕ СПИСКА")</f>
        <v>ВНЕ СПИСКА</v>
      </c>
      <c r="C1288" s="14" t="str">
        <f>IFERROR(__xludf.DUMMYFUNCTION("""COMPUTED_VALUE"""),"ОКС")</f>
        <v>ОКС</v>
      </c>
      <c r="D1288" s="6" t="str">
        <f>IFERROR(__xludf.DUMMYFUNCTION("""COMPUTED_VALUE"""),"да")</f>
        <v>да</v>
      </c>
      <c r="E1288" s="14" t="str">
        <f>IFERROR(__xludf.DUMMYFUNCTION("""COMPUTED_VALUE"""),"Дошкольная образовательная организацияна 300 мест (ДОО-4) переулок Любучанский, зу 2, п. Рязановское, с. Остафьево,  ЖК Остафьево")</f>
        <v>Дошкольная образовательная организацияна 300 мест (ДОО-4) переулок Любучанский, зу 2, п. Рязановское, с. Остафьево,  ЖК Остафьево</v>
      </c>
      <c r="F1288" s="25" t="str">
        <f>IFERROR(__xludf.DUMMYFUNCTION("""COMPUTED_VALUE"""),"55.500342")</f>
        <v>55.500342</v>
      </c>
      <c r="G1288" s="6" t="str">
        <f>IFERROR(__xludf.DUMMYFUNCTION("""COMPUTED_VALUE"""),"37.528419")</f>
        <v>37.528419</v>
      </c>
      <c r="H1288" s="18" t="str">
        <f>IFERROR(__xludf.DUMMYFUNCTION("""COMPUTED_VALUE"""),"https://docs.google.com/spreadsheets/d/1EI7qusa674eJhuaw-nWWtWMEHVSYMQv7HLsInEZTWpE/edit?gid=1256869366#gid=1256869366")</f>
        <v>https://docs.google.com/spreadsheets/d/1EI7qusa674eJhuaw-nWWtWMEHVSYMQv7HLsInEZTWpE/edit?gid=1256869366#gid=1256869366</v>
      </c>
      <c r="I1288" s="19" t="str">
        <f>IFERROR(__xludf.DUMMYFUNCTION("""COMPUTED_VALUE"""),"https://disk.yandex.ru/client/disk/Осмотры%20объектов%20АНО%20СМГ/1219.%20Дошкольная%20образовательная%20организацияна%20300%20мест%20(ДОО-4)%20переулок%20Любучанский%2C%20зу%202")</f>
        <v>https://disk.yandex.ru/client/disk/Осмотры%20объектов%20АНО%20СМГ/1219.%20Дошкольная%20образовательная%20организацияна%20300%20мест%20(ДОО-4)%20переулок%20Любучанский%2C%20зу%202</v>
      </c>
      <c r="J1288" s="50">
        <f>IFERROR(__xludf.DUMMYFUNCTION("""COMPUTED_VALUE"""),99.84400000000001)</f>
        <v>99.844</v>
      </c>
      <c r="K1288" s="58">
        <f>IFERROR(__xludf.DUMMYFUNCTION("""COMPUTED_VALUE"""),45958.0)</f>
        <v>45958</v>
      </c>
      <c r="L1288" s="6">
        <v>7.0</v>
      </c>
      <c r="M1288" s="52">
        <v>45965.0</v>
      </c>
      <c r="N1288" s="53" t="s">
        <v>668</v>
      </c>
      <c r="O1288" s="19" t="s">
        <v>1328</v>
      </c>
      <c r="P1288" s="6"/>
      <c r="Q1288" s="6"/>
      <c r="R1288" s="6"/>
    </row>
    <row r="1289">
      <c r="A1289" s="31" t="str">
        <f>IFERROR(__xludf.DUMMYFUNCTION("""COMPUTED_VALUE"""),"1226")</f>
        <v>1226</v>
      </c>
      <c r="B1289" s="14" t="str">
        <f>IFERROR(__xludf.DUMMYFUNCTION("""COMPUTED_VALUE"""),"ВНЕ СПИСКА")</f>
        <v>ВНЕ СПИСКА</v>
      </c>
      <c r="C1289" s="14" t="str">
        <f>IFERROR(__xludf.DUMMYFUNCTION("""COMPUTED_VALUE"""),"ОКС")</f>
        <v>ОКС</v>
      </c>
      <c r="D1289" s="6" t="str">
        <f>IFERROR(__xludf.DUMMYFUNCTION("""COMPUTED_VALUE"""),"да")</f>
        <v>да</v>
      </c>
      <c r="E1289" s="14" t="str">
        <f>IFERROR(__xludf.DUMMYFUNCTION("""COMPUTED_VALUE"""),"Дошкольная образовательная организация на 150 мест Газопровод ул. уч. 6Г/24")</f>
        <v>Дошкольная образовательная организация на 150 мест Газопровод ул. уч. 6Г/24</v>
      </c>
      <c r="F1289" s="25" t="str">
        <f>IFERROR(__xludf.DUMMYFUNCTION("""COMPUTED_VALUE"""),"55.585796")</f>
        <v>55.585796</v>
      </c>
      <c r="G1289" s="6" t="str">
        <f>IFERROR(__xludf.DUMMYFUNCTION("""COMPUTED_VALUE"""),"37.611891")</f>
        <v>37.611891</v>
      </c>
      <c r="H1289" s="18" t="str">
        <f>IFERROR(__xludf.DUMMYFUNCTION("""COMPUTED_VALUE"""),"https://docs.google.com/spreadsheets/d/1EI7qusa674eJhuaw-nWWtWMEHVSYMQv7HLsInEZTWpE/edit?gid=2022013037#gid=2022013037")</f>
        <v>https://docs.google.com/spreadsheets/d/1EI7qusa674eJhuaw-nWWtWMEHVSYMQv7HLsInEZTWpE/edit?gid=2022013037#gid=2022013037</v>
      </c>
      <c r="I1289" s="19" t="str">
        <f>IFERROR(__xludf.DUMMYFUNCTION("""COMPUTED_VALUE"""),"https://disk.yandex.ru/client/disk/Осмотры%20объектов%20АНО%20СМГ/1226%20“ДОУ_19“%20ул.%20Газопровод%20уч.%206%20Г.%2024")</f>
        <v>https://disk.yandex.ru/client/disk/Осмотры%20объектов%20АНО%20СМГ/1226%20“ДОУ_19“%20ул.%20Газопровод%20уч.%206%20Г.%2024</v>
      </c>
      <c r="J1289" s="50">
        <f>IFERROR(__xludf.DUMMYFUNCTION("""COMPUTED_VALUE"""),96.30022500000001)</f>
        <v>96.300225</v>
      </c>
      <c r="K1289" s="58">
        <f>IFERROR(__xludf.DUMMYFUNCTION("""COMPUTED_VALUE"""),45958.0)</f>
        <v>45958</v>
      </c>
      <c r="L1289" s="6">
        <v>7.0</v>
      </c>
      <c r="M1289" s="52">
        <v>45965.0</v>
      </c>
      <c r="N1289" s="53" t="s">
        <v>668</v>
      </c>
      <c r="O1289" s="19" t="s">
        <v>1324</v>
      </c>
      <c r="P1289" s="6"/>
      <c r="Q1289" s="6"/>
      <c r="R1289" s="6"/>
    </row>
    <row r="1290">
      <c r="A1290" s="31" t="str">
        <f>IFERROR(__xludf.DUMMYFUNCTION("""COMPUTED_VALUE"""),"1210")</f>
        <v>1210</v>
      </c>
      <c r="B1290" s="14" t="str">
        <f>IFERROR(__xludf.DUMMYFUNCTION("""COMPUTED_VALUE"""),"ВНЕ СПИСКА")</f>
        <v>ВНЕ СПИСКА</v>
      </c>
      <c r="C1290" s="14" t="str">
        <f>IFERROR(__xludf.DUMMYFUNCTION("""COMPUTED_VALUE"""),"ОКС")</f>
        <v>ОКС</v>
      </c>
      <c r="D1290" s="6" t="str">
        <f>IFERROR(__xludf.DUMMYFUNCTION("""COMPUTED_VALUE"""),"да")</f>
        <v>да</v>
      </c>
      <c r="E1290" s="14" t="str">
        <f>IFERROR(__xludf.DUMMYFUNCTION("""COMPUTED_VALUE"""),"ДОУ на 200 мест вблизи деревни Санино")</f>
        <v>ДОУ на 200 мест вблизи деревни Санино</v>
      </c>
      <c r="F1290" s="25" t="str">
        <f>IFERROR(__xludf.DUMMYFUNCTION("""COMPUTED_VALUE"""),"#N/A")</f>
        <v>#N/A</v>
      </c>
      <c r="G1290" s="6" t="str">
        <f>IFERROR(__xludf.DUMMYFUNCTION("""COMPUTED_VALUE"""),"#N/A")</f>
        <v>#N/A</v>
      </c>
      <c r="H1290" s="18" t="str">
        <f>IFERROR(__xludf.DUMMYFUNCTION("""COMPUTED_VALUE"""),"https://docs.google.com/spreadsheets/d/1EI7qusa674eJhuaw-nWWtWMEHVSYMQv7HLsInEZTWpE/edit?gid=118234582#gid=118234582")</f>
        <v>https://docs.google.com/spreadsheets/d/1EI7qusa674eJhuaw-nWWtWMEHVSYMQv7HLsInEZTWpE/edit?gid=118234582#gid=118234582</v>
      </c>
      <c r="I1290" s="19" t="str">
        <f>IFERROR(__xludf.DUMMYFUNCTION("""COMPUTED_VALUE"""),"https://disk.yandex.ru/client/disk/Осмотры%20объектов%20АНО%20СМГ/1210%20ДОУ%20на%20200%20мест%20НАО%20г.Москва%2C%20поселение%20Кокошкино%2C%20вблизи%20д.%20Санино%20ЖК%20Новое%20Внуково")</f>
        <v>https://disk.yandex.ru/client/disk/Осмотры%20объектов%20АНО%20СМГ/1210%20ДОУ%20на%20200%20мест%20НАО%20г.Москва%2C%20поселение%20Кокошкино%2C%20вблизи%20д.%20Санино%20ЖК%20Новое%20Внуково</v>
      </c>
      <c r="J1290" s="50">
        <f>IFERROR(__xludf.DUMMYFUNCTION("""COMPUTED_VALUE"""),0.0)</f>
        <v>0</v>
      </c>
      <c r="K1290" s="58">
        <f>IFERROR(__xludf.DUMMYFUNCTION("""COMPUTED_VALUE"""),45819.0)</f>
        <v>45819</v>
      </c>
      <c r="L1290" s="6">
        <v>30.0</v>
      </c>
      <c r="M1290" s="52">
        <v>45849.0</v>
      </c>
      <c r="N1290" s="53" t="s">
        <v>668</v>
      </c>
      <c r="O1290" s="19" t="s">
        <v>669</v>
      </c>
      <c r="P1290" s="6"/>
      <c r="Q1290" s="6"/>
      <c r="R1290" s="6"/>
    </row>
    <row r="1291">
      <c r="A1291" s="31" t="str">
        <f>IFERROR(__xludf.DUMMYFUNCTION("""COMPUTED_VALUE"""),"1218")</f>
        <v>1218</v>
      </c>
      <c r="B1291" s="14" t="str">
        <f>IFERROR(__xludf.DUMMYFUNCTION("""COMPUTED_VALUE"""),"ВНЕ СПИСКА")</f>
        <v>ВНЕ СПИСКА</v>
      </c>
      <c r="C1291" s="14" t="str">
        <f>IFERROR(__xludf.DUMMYFUNCTION("""COMPUTED_VALUE"""),"ОКС")</f>
        <v>ОКС</v>
      </c>
      <c r="D1291" s="6" t="str">
        <f>IFERROR(__xludf.DUMMYFUNCTION("""COMPUTED_VALUE"""),"да")</f>
        <v>да</v>
      </c>
      <c r="E1291" s="14" t="str">
        <f>IFERROR(__xludf.DUMMYFUNCTION("""COMPUTED_VALUE"""),"Здание образовательной организации (дошкольноеобразование) на 150 мест, корпус 16 Варшавское шоссе, 1-й планировочный комплекс промзоны""Бутово""")</f>
        <v>Здание образовательной организации (дошкольноеобразование) на 150 мест, корпус 16 Варшавское шоссе, 1-й планировочный комплекс промзоны"Бутово"</v>
      </c>
      <c r="F1291" s="25" t="str">
        <f>IFERROR(__xludf.DUMMYFUNCTION("""COMPUTED_VALUE"""),"#N/A")</f>
        <v>#N/A</v>
      </c>
      <c r="G1291" s="6" t="str">
        <f>IFERROR(__xludf.DUMMYFUNCTION("""COMPUTED_VALUE"""),"#N/A")</f>
        <v>#N/A</v>
      </c>
      <c r="H1291" s="18" t="str">
        <f>IFERROR(__xludf.DUMMYFUNCTION("""COMPUTED_VALUE"""),"https://docs.google.com/spreadsheets/d/1EI7qusa674eJhuaw-nWWtWMEHVSYMQv7HLsInEZTWpE/edit?gid=428989507#gid=428989507")</f>
        <v>https://docs.google.com/spreadsheets/d/1EI7qusa674eJhuaw-nWWtWMEHVSYMQv7HLsInEZTWpE/edit?gid=428989507#gid=428989507</v>
      </c>
      <c r="I1291" s="19" t="str">
        <f>IFERROR(__xludf.DUMMYFUNCTION("""COMPUTED_VALUE"""),"https://disk.yandex.ru/client/disk/Осмотры%20объектов%20АНО%20СМГ/1218.%20Здание%20образовательной%20организации%20(дошкольноеобразование)%20на%20150%20мест%2C%20корпус%2016Варшавское%20шоссе%2C%201-й%20планировочный%20комплекс%20промзоны%22Бутово%22")</f>
        <v>https://disk.yandex.ru/client/disk/Осмотры%20объектов%20АНО%20СМГ/1218.%20Здание%20образовательной%20организации%20(дошкольноеобразование)%20на%20150%20мест%2C%20корпус%2016Варшавское%20шоссе%2C%201-й%20планировочный%20комплекс%20промзоны%22Бутово%22</v>
      </c>
      <c r="J1291" s="50">
        <f>IFERROR(__xludf.DUMMYFUNCTION("""COMPUTED_VALUE"""),100.0)</f>
        <v>100</v>
      </c>
      <c r="K1291" s="58">
        <f>IFERROR(__xludf.DUMMYFUNCTION("""COMPUTED_VALUE"""),45888.0)</f>
        <v>45888</v>
      </c>
      <c r="L1291" s="6" t="s">
        <v>654</v>
      </c>
      <c r="M1291" s="52" t="s">
        <v>655</v>
      </c>
      <c r="N1291" s="53" t="s">
        <v>656</v>
      </c>
      <c r="O1291" s="19" t="s">
        <v>1329</v>
      </c>
      <c r="P1291" s="6"/>
      <c r="Q1291" s="6"/>
      <c r="R1291" s="6"/>
    </row>
    <row r="1292">
      <c r="A1292" s="31" t="str">
        <f>IFERROR(__xludf.DUMMYFUNCTION("""COMPUTED_VALUE"""),"055")</f>
        <v>055</v>
      </c>
      <c r="B1292" s="14" t="str">
        <f>IFERROR(__xludf.DUMMYFUNCTION("""COMPUTED_VALUE"""),"ВНЕ СПИСКА")</f>
        <v>ВНЕ СПИСКА</v>
      </c>
      <c r="C1292" s="14" t="str">
        <f>IFERROR(__xludf.DUMMYFUNCTION("""COMPUTED_VALUE"""),"ОКС")</f>
        <v>ОКС</v>
      </c>
      <c r="D1292" s="6" t="str">
        <f>IFERROR(__xludf.DUMMYFUNCTION("""COMPUTED_VALUE"""),"да")</f>
        <v>да</v>
      </c>
      <c r="E1292" s="14" t="str">
        <f>IFERROR(__xludf.DUMMYFUNCTION("""COMPUTED_VALUE"""),"Комплексная жилая застройка с объектами инфраструктуры. Первая очередь строительства: Дошкольная образовательная организация на 200 мест Поселение Рязановское, д. Алхимово")</f>
        <v>Комплексная жилая застройка с объектами инфраструктуры. Первая очередь строительства: Дошкольная образовательная организация на 200 мест Поселение Рязановское, д. Алхимово</v>
      </c>
      <c r="F1292" s="25" t="str">
        <f>IFERROR(__xludf.DUMMYFUNCTION("""COMPUTED_VALUE"""),"55.475259")</f>
        <v>55.475259</v>
      </c>
      <c r="G1292" s="6" t="str">
        <f>IFERROR(__xludf.DUMMYFUNCTION("""COMPUTED_VALUE"""),"37.519318")</f>
        <v>37.519318</v>
      </c>
      <c r="H1292" s="18" t="str">
        <f>IFERROR(__xludf.DUMMYFUNCTION("""COMPUTED_VALUE"""),"https://docs.google.com/spreadsheets/d/1EI7qusa674eJhuaw-nWWtWMEHVSYMQv7HLsInEZTWpE/edit?gid=388114595#gid=388114595")</f>
        <v>https://docs.google.com/spreadsheets/d/1EI7qusa674eJhuaw-nWWtWMEHVSYMQv7HLsInEZTWpE/edit?gid=388114595#gid=388114595</v>
      </c>
      <c r="I1292" s="19" t="str">
        <f>IFERROR(__xludf.DUMMYFUNCTION("""COMPUTED_VALUE"""),"https://disk.yandex.ru/client/disk/Осмотры%20объектов%20АНО%20СМГ/055.%20ДОУ%20200%2C%20ЖК%20Подольские%20Кварталы")</f>
        <v>https://disk.yandex.ru/client/disk/Осмотры%20объектов%20АНО%20СМГ/055.%20ДОУ%20200%2C%20ЖК%20Подольские%20Кварталы</v>
      </c>
      <c r="J1292" s="50">
        <f>IFERROR(__xludf.DUMMYFUNCTION("""COMPUTED_VALUE"""),71.17974999999998)</f>
        <v>71.17975</v>
      </c>
      <c r="K1292" s="58">
        <f>IFERROR(__xludf.DUMMYFUNCTION("""COMPUTED_VALUE"""),45958.0)</f>
        <v>45958</v>
      </c>
      <c r="L1292" s="6">
        <v>14.0</v>
      </c>
      <c r="M1292" s="52">
        <v>45972.0</v>
      </c>
      <c r="N1292" s="53" t="s">
        <v>668</v>
      </c>
      <c r="O1292" s="19" t="s">
        <v>669</v>
      </c>
      <c r="P1292" s="6"/>
      <c r="Q1292" s="6"/>
      <c r="R1292" s="6"/>
    </row>
    <row r="1293">
      <c r="A1293" s="31" t="str">
        <f>IFERROR(__xludf.DUMMYFUNCTION("""COMPUTED_VALUE"""),"1206")</f>
        <v>1206</v>
      </c>
      <c r="B1293" s="14" t="str">
        <f>IFERROR(__xludf.DUMMYFUNCTION("""COMPUTED_VALUE"""),"ВНЕ СПИСКА")</f>
        <v>ВНЕ СПИСКА</v>
      </c>
      <c r="C1293" s="14" t="str">
        <f>IFERROR(__xludf.DUMMYFUNCTION("""COMPUTED_VALUE"""),"ОКС")</f>
        <v>ОКС</v>
      </c>
      <c r="D1293" s="6" t="str">
        <f>IFERROR(__xludf.DUMMYFUNCTION("""COMPUTED_VALUE"""),"да")</f>
        <v>да</v>
      </c>
      <c r="E1293" s="14" t="str">
        <f>IFERROR(__xludf.DUMMYFUNCTION("""COMPUTED_VALUE"""),"Дошкольная образовательная организация на 150 мест Коровинское шоссе, вл. 35, Ижорская ул., д.6, стр.5")</f>
        <v>Дошкольная образовательная организация на 150 мест Коровинское шоссе, вл. 35, Ижорская ул., д.6, стр.5</v>
      </c>
      <c r="F1293" s="25" t="str">
        <f>IFERROR(__xludf.DUMMYFUNCTION("""COMPUTED_VALUE"""),"#N/A")</f>
        <v>#N/A</v>
      </c>
      <c r="G1293" s="6" t="str">
        <f>IFERROR(__xludf.DUMMYFUNCTION("""COMPUTED_VALUE"""),"#N/A")</f>
        <v>#N/A</v>
      </c>
      <c r="H1293" s="18" t="str">
        <f>IFERROR(__xludf.DUMMYFUNCTION("""COMPUTED_VALUE"""),"https://docs.google.com/spreadsheets/d/1EI7qusa674eJhuaw-nWWtWMEHVSYMQv7HLsInEZTWpE/edit?gid=32220211#gid=32220211")</f>
        <v>https://docs.google.com/spreadsheets/d/1EI7qusa674eJhuaw-nWWtWMEHVSYMQv7HLsInEZTWpE/edit?gid=32220211#gid=32220211</v>
      </c>
      <c r="I1293" s="21" t="str">
        <f>IFERROR(__xludf.DUMMYFUNCTION("""COMPUTED_VALUE"""),"https://disk.yandex.ru/client/disk/%D0%9E%D1%81%D0%BC%D0%BE%D1%82%D1%80%D1%8B%20%D0%BE%D0%B1%D1%8A%D0%B5%D0%BA%D1%82%D0%BE%D0%B2%20%D0%90%D0%9D%D0%9E%20%D0%A1%D0%9C%D0%93/1207%20%D0%94%D0%9E%D0%A3%20150%20%D0%9A%D0%BE%D1%80%D0%BE%D0%B2%D0%B8%D0%BD%D1%81%D"&amp;"0%BA%D0%BE%D0%B5%20%D1%88%D0%BE%D1%81%D1%81%D0%B5")</f>
        <v>https://disk.yandex.ru/client/disk/%D0%9E%D1%81%D0%BC%D0%BE%D1%82%D1%80%D1%8B%20%D0%BE%D0%B1%D1%8A%D0%B5%D0%BA%D1%82%D0%BE%D0%B2%20%D0%90%D0%9D%D0%9E%20%D0%A1%D0%9C%D0%93/1207%20%D0%94%D0%9E%D0%A3%20150%20%D0%9A%D0%BE%D1%80%D0%BE%D0%B2%D0%B8%D0%BD%D1%81%D0%BA%D0%BE%D0%B5%20%D1%88%D0%BE%D1%81%D1%81%D0%B5</v>
      </c>
      <c r="J1293" s="50">
        <f>IFERROR(__xludf.DUMMYFUNCTION("""COMPUTED_VALUE"""),98.50750000000001)</f>
        <v>98.5075</v>
      </c>
      <c r="K1293" s="58">
        <f>IFERROR(__xludf.DUMMYFUNCTION("""COMPUTED_VALUE"""),45889.0)</f>
        <v>45889</v>
      </c>
      <c r="L1293" s="6">
        <v>7.0</v>
      </c>
      <c r="M1293" s="52">
        <v>45896.0</v>
      </c>
      <c r="N1293" s="53" t="s">
        <v>652</v>
      </c>
      <c r="O1293" s="19" t="s">
        <v>1330</v>
      </c>
      <c r="P1293" s="6"/>
      <c r="Q1293" s="6"/>
      <c r="R1293" s="6"/>
    </row>
    <row r="1294">
      <c r="A1294" s="31" t="str">
        <f>IFERROR(__xludf.DUMMYFUNCTION("""COMPUTED_VALUE"""),"1207")</f>
        <v>1207</v>
      </c>
      <c r="B1294" s="14" t="str">
        <f>IFERROR(__xludf.DUMMYFUNCTION("""COMPUTED_VALUE"""),"ВНЕ СПИСКА")</f>
        <v>ВНЕ СПИСКА</v>
      </c>
      <c r="C1294" s="14" t="str">
        <f>IFERROR(__xludf.DUMMYFUNCTION("""COMPUTED_VALUE"""),"ОКС")</f>
        <v>ОКС</v>
      </c>
      <c r="D1294" s="6" t="str">
        <f>IFERROR(__xludf.DUMMYFUNCTION("""COMPUTED_VALUE"""),"да")</f>
        <v>да</v>
      </c>
      <c r="E1294" s="14" t="str">
        <f>IFERROR(__xludf.DUMMYFUNCTION("""COMPUTED_VALUE"""),"Дошкольная образовательная организация на 150 мест зу 77:09:0002016:7576 (ул. Ижорская, вл. 6 и 8)")</f>
        <v>Дошкольная образовательная организация на 150 мест зу 77:09:0002016:7576 (ул. Ижорская, вл. 6 и 8)</v>
      </c>
      <c r="F1294" s="25" t="str">
        <f>IFERROR(__xludf.DUMMYFUNCTION("""COMPUTED_VALUE"""),"55.879546")</f>
        <v>55.879546</v>
      </c>
      <c r="G1294" s="6" t="str">
        <f>IFERROR(__xludf.DUMMYFUNCTION("""COMPUTED_VALUE"""),"37.505808")</f>
        <v>37.505808</v>
      </c>
      <c r="H1294" s="18" t="str">
        <f>IFERROR(__xludf.DUMMYFUNCTION("""COMPUTED_VALUE"""),"https://docs.google.com/spreadsheets/d/1EI7qusa674eJhuaw-nWWtWMEHVSYMQv7HLsInEZTWpE/edit?gid=1542653489#gid=1542653489")</f>
        <v>https://docs.google.com/spreadsheets/d/1EI7qusa674eJhuaw-nWWtWMEHVSYMQv7HLsInEZTWpE/edit?gid=1542653489#gid=1542653489</v>
      </c>
      <c r="I1294" s="19"/>
      <c r="J1294" s="50"/>
      <c r="K1294" s="58">
        <f>IFERROR(__xludf.DUMMYFUNCTION("""COMPUTED_VALUE"""),45958.0)</f>
        <v>45958</v>
      </c>
      <c r="L1294" s="6">
        <v>30.0</v>
      </c>
      <c r="M1294" s="52">
        <v>45988.0</v>
      </c>
      <c r="N1294" s="53" t="s">
        <v>741</v>
      </c>
      <c r="O1294" s="19" t="s">
        <v>669</v>
      </c>
      <c r="P1294" s="6"/>
      <c r="Q1294" s="6"/>
      <c r="R1294" s="6"/>
    </row>
    <row r="1295">
      <c r="A1295" s="31" t="str">
        <f>IFERROR(__xludf.DUMMYFUNCTION("""COMPUTED_VALUE"""),"1223")</f>
        <v>1223</v>
      </c>
      <c r="B1295" s="14" t="str">
        <f>IFERROR(__xludf.DUMMYFUNCTION("""COMPUTED_VALUE"""),"ВНЕ СПИСКА")</f>
        <v>ВНЕ СПИСКА</v>
      </c>
      <c r="C1295" s="14" t="str">
        <f>IFERROR(__xludf.DUMMYFUNCTION("""COMPUTED_VALUE"""),"ОКС")</f>
        <v>ОКС</v>
      </c>
      <c r="D1295" s="6" t="str">
        <f>IFERROR(__xludf.DUMMYFUNCTION("""COMPUTED_VALUE"""),"да")</f>
        <v>да</v>
      </c>
      <c r="E1295" s="14" t="str">
        <f>IFERROR(__xludf.DUMMYFUNCTION("""COMPUTED_VALUE"""),"ДОО на 150 мест, корпус 8 ул. Михайлова, з/у 30А/1")</f>
        <v>ДОО на 150 мест, корпус 8 ул. Михайлова, з/у 30А/1</v>
      </c>
      <c r="F1295" s="25" t="str">
        <f>IFERROR(__xludf.DUMMYFUNCTION("""COMPUTED_VALUE"""),"#N/A")</f>
        <v>#N/A</v>
      </c>
      <c r="G1295" s="6" t="str">
        <f>IFERROR(__xludf.DUMMYFUNCTION("""COMPUTED_VALUE"""),"#N/A")</f>
        <v>#N/A</v>
      </c>
      <c r="H1295" s="18" t="str">
        <f>IFERROR(__xludf.DUMMYFUNCTION("""COMPUTED_VALUE"""),"https://docs.google.com/spreadsheets/d/1EI7qusa674eJhuaw-nWWtWMEHVSYMQv7HLsInEZTWpE/edit?gid=1756552387#gid=1756552387")</f>
        <v>https://docs.google.com/spreadsheets/d/1EI7qusa674eJhuaw-nWWtWMEHVSYMQv7HLsInEZTWpE/edit?gid=1756552387#gid=1756552387</v>
      </c>
      <c r="I1295" s="19" t="str">
        <f>IFERROR(__xludf.DUMMYFUNCTION("""COMPUTED_VALUE"""),"https://disk.yandex.ru/client/disk/Осмотры%20объектов%20АНО%20СМГ/1223%20ДОО%20на%20150%20мест%2C%20корпус%208%20ул.%20Михайлова%2C%20зу%2030А1%20ЖК%20%22Михайловский%20парк%22")</f>
        <v>https://disk.yandex.ru/client/disk/Осмотры%20объектов%20АНО%20СМГ/1223%20ДОО%20на%20150%20мест%2C%20корпус%208%20ул.%20Михайлова%2C%20зу%2030А1%20ЖК%20%22Михайловский%20парк%22</v>
      </c>
      <c r="J1295" s="50">
        <f>IFERROR(__xludf.DUMMYFUNCTION("""COMPUTED_VALUE"""),0.0)</f>
        <v>0</v>
      </c>
      <c r="K1295" s="58"/>
      <c r="L1295" s="6">
        <v>30.0</v>
      </c>
      <c r="M1295" s="52" t="s">
        <v>655</v>
      </c>
      <c r="N1295" s="53" t="s">
        <v>652</v>
      </c>
      <c r="O1295" s="19" t="s">
        <v>1331</v>
      </c>
      <c r="P1295" s="6"/>
      <c r="Q1295" s="6"/>
      <c r="R1295" s="6"/>
    </row>
    <row r="1296">
      <c r="A1296" s="31" t="str">
        <f>IFERROR(__xludf.DUMMYFUNCTION("""COMPUTED_VALUE"""),"1211")</f>
        <v>1211</v>
      </c>
      <c r="B1296" s="14" t="str">
        <f>IFERROR(__xludf.DUMMYFUNCTION("""COMPUTED_VALUE"""),"ВНЕ СПИСКА")</f>
        <v>ВНЕ СПИСКА</v>
      </c>
      <c r="C1296" s="14" t="str">
        <f>IFERROR(__xludf.DUMMYFUNCTION("""COMPUTED_VALUE"""),"ОКС")</f>
        <v>ОКС</v>
      </c>
      <c r="D1296" s="6" t="str">
        <f>IFERROR(__xludf.DUMMYFUNCTION("""COMPUTED_VALUE"""),"да")</f>
        <v>да</v>
      </c>
      <c r="E1296" s="14" t="str">
        <f>IFERROR(__xludf.DUMMYFUNCTION("""COMPUTED_VALUE"""),"Здание образовательной организации (дошкольное образование) на 150 мест ул. Озерная, вл. 42")</f>
        <v>Здание образовательной организации (дошкольное образование) на 150 мест ул. Озерная, вл. 42</v>
      </c>
      <c r="F1296" s="25" t="str">
        <f>IFERROR(__xludf.DUMMYFUNCTION("""COMPUTED_VALUE"""),"#N/A")</f>
        <v>#N/A</v>
      </c>
      <c r="G1296" s="6" t="str">
        <f>IFERROR(__xludf.DUMMYFUNCTION("""COMPUTED_VALUE"""),"#N/A")</f>
        <v>#N/A</v>
      </c>
      <c r="H1296" s="18" t="str">
        <f>IFERROR(__xludf.DUMMYFUNCTION("""COMPUTED_VALUE"""),"https://docs.google.com/spreadsheets/d/1EI7qusa674eJhuaw-nWWtWMEHVSYMQv7HLsInEZTWpE/edit?gid=186003248#gid=186003248")</f>
        <v>https://docs.google.com/spreadsheets/d/1EI7qusa674eJhuaw-nWWtWMEHVSYMQv7HLsInEZTWpE/edit?gid=186003248#gid=186003248</v>
      </c>
      <c r="I1296" s="19" t="str">
        <f>IFERROR(__xludf.DUMMYFUNCTION("""COMPUTED_VALUE"""),"https://disk.yandex.ru/client/disk/Осмотры%20объектов%20АНО%20СМГ/1211.%20ДОУ%20на%20150%20ул.%20Озерная%2042")</f>
        <v>https://disk.yandex.ru/client/disk/Осмотры%20объектов%20АНО%20СМГ/1211.%20ДОУ%20на%20150%20ул.%20Озерная%2042</v>
      </c>
      <c r="J1296" s="50">
        <f>IFERROR(__xludf.DUMMYFUNCTION("""COMPUTED_VALUE"""),29.912)</f>
        <v>29.912</v>
      </c>
      <c r="K1296" s="58">
        <f>IFERROR(__xludf.DUMMYFUNCTION("""COMPUTED_VALUE"""),45819.0)</f>
        <v>45819</v>
      </c>
      <c r="L1296" s="6">
        <v>30.0</v>
      </c>
      <c r="M1296" s="52">
        <v>45849.0</v>
      </c>
      <c r="N1296" s="53" t="s">
        <v>668</v>
      </c>
      <c r="O1296" s="19" t="s">
        <v>669</v>
      </c>
      <c r="P1296" s="6"/>
      <c r="Q1296" s="6"/>
      <c r="R1296" s="6"/>
    </row>
    <row r="1297">
      <c r="A1297" s="31" t="str">
        <f>IFERROR(__xludf.DUMMYFUNCTION("""COMPUTED_VALUE"""),"052")</f>
        <v>052</v>
      </c>
      <c r="B1297" s="14" t="str">
        <f>IFERROR(__xludf.DUMMYFUNCTION("""COMPUTED_VALUE"""),"ВНЕ СПИСКА")</f>
        <v>ВНЕ СПИСКА</v>
      </c>
      <c r="C1297" s="14" t="str">
        <f>IFERROR(__xludf.DUMMYFUNCTION("""COMPUTED_VALUE"""),"ОКС")</f>
        <v>ОКС</v>
      </c>
      <c r="D1297" s="6" t="str">
        <f>IFERROR(__xludf.DUMMYFUNCTION("""COMPUTED_VALUE"""),"да")</f>
        <v>да</v>
      </c>
      <c r="E1297" s="14" t="str">
        <f>IFERROR(__xludf.DUMMYFUNCTION("""COMPUTED_VALUE"""),"ДОУ на 225 мест, этап 2.2. тер. ТПУ ""Рассказовка"", з/у 13/6А, 13/9А (улица Анны Ахматовой, земельный участок 11, Боровское шоссе, 28-й километр, земельный участок 2Б)")</f>
        <v>ДОУ на 225 мест, этап 2.2. тер. ТПУ "Рассказовка", з/у 13/6А, 13/9А (улица Анны Ахматовой, земельный участок 11, Боровское шоссе, 28-й километр, земельный участок 2Б)</v>
      </c>
      <c r="F1297" s="25" t="str">
        <f>IFERROR(__xludf.DUMMYFUNCTION("""COMPUTED_VALUE"""),"55.634185")</f>
        <v>55.634185</v>
      </c>
      <c r="G1297" s="6" t="str">
        <f>IFERROR(__xludf.DUMMYFUNCTION("""COMPUTED_VALUE"""),"37.331287")</f>
        <v>37.331287</v>
      </c>
      <c r="H1297" s="18" t="str">
        <f>IFERROR(__xludf.DUMMYFUNCTION("""COMPUTED_VALUE"""),"https://docs.google.com/spreadsheets/d/1EI7qusa674eJhuaw-nWWtWMEHVSYMQv7HLsInEZTWpE/edit?gid=233188902#gid=233188902")</f>
        <v>https://docs.google.com/spreadsheets/d/1EI7qusa674eJhuaw-nWWtWMEHVSYMQv7HLsInEZTWpE/edit?gid=233188902#gid=233188902</v>
      </c>
      <c r="I1297" s="19" t="str">
        <f>IFERROR(__xludf.DUMMYFUNCTION("""COMPUTED_VALUE"""),"https://disk.yandex.ru/client/disk/Осмотры%20объектов%20АНО%20СМГ/052.%20ДОУ225%20ЖК%20Городские%20истории")</f>
        <v>https://disk.yandex.ru/client/disk/Осмотры%20объектов%20АНО%20СМГ/052.%20ДОУ225%20ЖК%20Городские%20истории</v>
      </c>
      <c r="J1297" s="50">
        <f>IFERROR(__xludf.DUMMYFUNCTION("""COMPUTED_VALUE"""),100.0)</f>
        <v>100</v>
      </c>
      <c r="K1297" s="58">
        <f>IFERROR(__xludf.DUMMYFUNCTION("""COMPUTED_VALUE"""),45958.0)</f>
        <v>45958</v>
      </c>
      <c r="L1297" s="6" t="s">
        <v>654</v>
      </c>
      <c r="M1297" s="52" t="s">
        <v>655</v>
      </c>
      <c r="N1297" s="53" t="s">
        <v>656</v>
      </c>
      <c r="O1297" s="19" t="s">
        <v>1332</v>
      </c>
      <c r="P1297" s="6"/>
      <c r="Q1297" s="6"/>
      <c r="R1297" s="6"/>
    </row>
    <row r="1298">
      <c r="A1298" s="31" t="str">
        <f>IFERROR(__xludf.DUMMYFUNCTION("""COMPUTED_VALUE"""),"062")</f>
        <v>062</v>
      </c>
      <c r="B1298" s="14" t="str">
        <f>IFERROR(__xludf.DUMMYFUNCTION("""COMPUTED_VALUE"""),"ВНЕ СПИСКА")</f>
        <v>ВНЕ СПИСКА</v>
      </c>
      <c r="C1298" s="14" t="str">
        <f>IFERROR(__xludf.DUMMYFUNCTION("""COMPUTED_VALUE"""),"ОКС")</f>
        <v>ОКС</v>
      </c>
      <c r="D1298" s="6" t="str">
        <f>IFERROR(__xludf.DUMMYFUNCTION("""COMPUTED_VALUE"""),"да")</f>
        <v>да</v>
      </c>
      <c r="E1298" s="14" t="str">
        <f>IFERROR(__xludf.DUMMYFUNCTION("""COMPUTED_VALUE"""),"ДОУ на 250 мест вблизи д. Алхимово, ЖК ""Алхимово""")</f>
        <v>ДОУ на 250 мест вблизи д. Алхимово, ЖК "Алхимово"</v>
      </c>
      <c r="F1298" s="25" t="str">
        <f>IFERROR(__xludf.DUMMYFUNCTION("""COMPUTED_VALUE"""),"55.473662")</f>
        <v>55.473662</v>
      </c>
      <c r="G1298" s="6" t="str">
        <f>IFERROR(__xludf.DUMMYFUNCTION("""COMPUTED_VALUE"""),"37.533213")</f>
        <v>37.533213</v>
      </c>
      <c r="H1298" s="18" t="str">
        <f>IFERROR(__xludf.DUMMYFUNCTION("""COMPUTED_VALUE"""),"https://docs.google.com/spreadsheets/d/1EI7qusa674eJhuaw-nWWtWMEHVSYMQv7HLsInEZTWpE/edit?gid=380520667#gid=380520667")</f>
        <v>https://docs.google.com/spreadsheets/d/1EI7qusa674eJhuaw-nWWtWMEHVSYMQv7HLsInEZTWpE/edit?gid=380520667#gid=380520667</v>
      </c>
      <c r="I1298" s="19" t="str">
        <f>IFERROR(__xludf.DUMMYFUNCTION("""COMPUTED_VALUE"""),"https://disk.yandex.ru/client/disk/Осмотры%20объектов%20АНО%20СМГ/062.%20ДОУ%20250%20ЖК%20Алхимово")</f>
        <v>https://disk.yandex.ru/client/disk/Осмотры%20объектов%20АНО%20СМГ/062.%20ДОУ%20250%20ЖК%20Алхимово</v>
      </c>
      <c r="J1298" s="50">
        <f>IFERROR(__xludf.DUMMYFUNCTION("""COMPUTED_VALUE"""),87.47386250000001)</f>
        <v>87.4738625</v>
      </c>
      <c r="K1298" s="58">
        <f>IFERROR(__xludf.DUMMYFUNCTION("""COMPUTED_VALUE"""),45958.0)</f>
        <v>45958</v>
      </c>
      <c r="L1298" s="6">
        <v>14.0</v>
      </c>
      <c r="M1298" s="52">
        <v>45972.0</v>
      </c>
      <c r="N1298" s="53" t="s">
        <v>668</v>
      </c>
      <c r="O1298" s="19" t="s">
        <v>669</v>
      </c>
      <c r="P1298" s="6"/>
      <c r="Q1298" s="6"/>
      <c r="R1298" s="6"/>
    </row>
    <row r="1299">
      <c r="A1299" s="31" t="str">
        <f>IFERROR(__xludf.DUMMYFUNCTION("""COMPUTED_VALUE"""),"1220")</f>
        <v>1220</v>
      </c>
      <c r="B1299" s="14" t="str">
        <f>IFERROR(__xludf.DUMMYFUNCTION("""COMPUTED_VALUE"""),"ВНЕ СПИСКА")</f>
        <v>ВНЕ СПИСКА</v>
      </c>
      <c r="C1299" s="14" t="str">
        <f>IFERROR(__xludf.DUMMYFUNCTION("""COMPUTED_VALUE"""),"ОКС")</f>
        <v>ОКС</v>
      </c>
      <c r="D1299" s="6" t="str">
        <f>IFERROR(__xludf.DUMMYFUNCTION("""COMPUTED_VALUE"""),"да")</f>
        <v>да</v>
      </c>
      <c r="E1299" s="14" t="str">
        <f>IFERROR(__xludf.DUMMYFUNCTION("""COMPUTED_VALUE"""),"Дошкольная образовательная организация на 110 мест ул. Красноказарменная, вл. 15")</f>
        <v>Дошкольная образовательная организация на 110 мест ул. Красноказарменная, вл. 15</v>
      </c>
      <c r="F1299" s="25" t="str">
        <f>IFERROR(__xludf.DUMMYFUNCTION("""COMPUTED_VALUE"""),"#N/A")</f>
        <v>#N/A</v>
      </c>
      <c r="G1299" s="6" t="str">
        <f>IFERROR(__xludf.DUMMYFUNCTION("""COMPUTED_VALUE"""),"#N/A")</f>
        <v>#N/A</v>
      </c>
      <c r="H1299" s="18" t="str">
        <f>IFERROR(__xludf.DUMMYFUNCTION("""COMPUTED_VALUE"""),"https://docs.google.com/spreadsheets/d/1EI7qusa674eJhuaw-nWWtWMEHVSYMQv7HLsInEZTWpE/edit?gid=813124693#gid=813124693")</f>
        <v>https://docs.google.com/spreadsheets/d/1EI7qusa674eJhuaw-nWWtWMEHVSYMQv7HLsInEZTWpE/edit?gid=813124693#gid=813124693</v>
      </c>
      <c r="I1299" s="21" t="str">
        <f>IFERROR(__xludf.DUMMYFUNCTION("""COMPUTED_VALUE"""),"https://disk.yandex.ru/client/disk/%D0%9E%D1%81%D0%BC%D0%BE%D1%82%D1%80%D1%8B%20%D0%BE%D0%B1%D1%8A%D0%B5%D0%BA%D1%82%D0%BE%D0%B2%20%D0%90%D0%9D%D0%9E%20%D0%A1%D0%9C%D0%93/1220%20%D0%9A%D1%80%D0%B0%D1%81%D0%BD%D0%BE%D0%BA%D0%B0%D0%B7%D0%B0%D1%80%D0%BC%D0%B"&amp;"5%D0%BD%D0%BD%D0%B0%D1%8F%2015%20%D0%94%D0%9E%D0%9E%20%D0%BD%D0%B0%20110%20%D0%BC%D0%B5%D1%81%D1%82%20")</f>
        <v>https://disk.yandex.ru/client/disk/%D0%9E%D1%81%D0%BC%D0%BE%D1%82%D1%80%D1%8B%20%D0%BE%D0%B1%D1%8A%D0%B5%D0%BA%D1%82%D0%BE%D0%B2%20%D0%90%D0%9D%D0%9E%20%D0%A1%D0%9C%D0%93/1220%20%D0%9A%D1%80%D0%B0%D1%81%D0%BD%D0%BE%D0%BA%D0%B0%D0%B7%D0%B0%D1%80%D0%BC%D0%B5%D0%BD%D0%BD%D0%B0%D1%8F%2015%20%D0%94%D0%9E%D0%9E%20%D0%BD%D0%B0%20110%20%D0%BC%D0%B5%D1%81%D1%82%20</v>
      </c>
      <c r="J1299" s="50">
        <f>IFERROR(__xludf.DUMMYFUNCTION("""COMPUTED_VALUE"""),100.0)</f>
        <v>100</v>
      </c>
      <c r="K1299" s="58">
        <f>IFERROR(__xludf.DUMMYFUNCTION("""COMPUTED_VALUE"""),45888.0)</f>
        <v>45888</v>
      </c>
      <c r="L1299" s="6" t="s">
        <v>654</v>
      </c>
      <c r="M1299" s="52" t="s">
        <v>655</v>
      </c>
      <c r="N1299" s="53" t="s">
        <v>656</v>
      </c>
      <c r="O1299" s="19" t="s">
        <v>1333</v>
      </c>
      <c r="P1299" s="6"/>
      <c r="Q1299" s="6"/>
      <c r="R1299" s="6"/>
    </row>
    <row r="1300">
      <c r="A1300" s="31" t="str">
        <f>IFERROR(__xludf.DUMMYFUNCTION("""COMPUTED_VALUE"""),"053")</f>
        <v>053</v>
      </c>
      <c r="B1300" s="14" t="str">
        <f>IFERROR(__xludf.DUMMYFUNCTION("""COMPUTED_VALUE"""),"ВНЕ СПИСКА")</f>
        <v>ВНЕ СПИСКА</v>
      </c>
      <c r="C1300" s="14" t="str">
        <f>IFERROR(__xludf.DUMMYFUNCTION("""COMPUTED_VALUE"""),"ОКС")</f>
        <v>ОКС</v>
      </c>
      <c r="D1300" s="6" t="str">
        <f>IFERROR(__xludf.DUMMYFUNCTION("""COMPUTED_VALUE"""),"да")</f>
        <v>да</v>
      </c>
      <c r="E1300" s="14" t="str">
        <f>IFERROR(__xludf.DUMMYFUNCTION("""COMPUTED_VALUE"""),"Дошкольная образовательная организация на 225 мест в районе пос. Газопровод (ЖК Новая Звезда)")</f>
        <v>Дошкольная образовательная организация на 225 мест в районе пос. Газопровод (ЖК Новая Звезда)</v>
      </c>
      <c r="F1300" s="25" t="str">
        <f>IFERROR(__xludf.DUMMYFUNCTION("""COMPUTED_VALUE"""),"55.577398")</f>
        <v>55.577398</v>
      </c>
      <c r="G1300" s="6" t="str">
        <f>IFERROR(__xludf.DUMMYFUNCTION("""COMPUTED_VALUE"""),"37.479500")</f>
        <v>37.479500</v>
      </c>
      <c r="H1300" s="18" t="str">
        <f>IFERROR(__xludf.DUMMYFUNCTION("""COMPUTED_VALUE"""),"https://docs.google.com/spreadsheets/d/1EI7qusa674eJhuaw-nWWtWMEHVSYMQv7HLsInEZTWpE/edit?gid=482272231#gid=482272231")</f>
        <v>https://docs.google.com/spreadsheets/d/1EI7qusa674eJhuaw-nWWtWMEHVSYMQv7HLsInEZTWpE/edit?gid=482272231#gid=482272231</v>
      </c>
      <c r="I1300" s="21" t="str">
        <f>IFERROR(__xludf.DUMMYFUNCTION("""COMPUTED_VALUE"""),"https://disk.yandex.ru/client/disk/%D0%9E%D1%81%D0%BC%D0%BE%D1%82%D1%80%D1%8B%20%D0%BE%D0%B1%D1%8A%D0%B5%D0%BA%D1%82%D0%BE%D0%B2%20%D0%90%D0%9D%D0%9E%20%D0%A1%D0%9C%D0%93/053.%20%D0%94%D0%9E%D0%A3%20%D0%BD%D0%B0%20225%20%D0%BC%D0%B5%D1%81%D1%82.%20%D0%A1%"&amp;"D0%BE%D1%81%D0%B5%D0%BD%D1%81%D0%BA%D0%BE%D0%B5%2C%20%D0%BF%D0%BE%D1%81.%20%D0%93%D0%B0%D0%B7%D0%BE%D0%BF%D1%80%D0%BE%D0%B2%D0%BE%D0%B4.%20%D0%96%D0%9A%20%D0%9D%D0%BE%D0%B2%D0%B0%D1%8F%20%D0%97%D0%B2%D0%B5%D0%B7%D0%B4%D0%B0")</f>
        <v>https://disk.yandex.ru/client/disk/%D0%9E%D1%81%D0%BC%D0%BE%D1%82%D1%80%D1%8B%20%D0%BE%D0%B1%D1%8A%D0%B5%D0%BA%D1%82%D0%BE%D0%B2%20%D0%90%D0%9D%D0%9E%20%D0%A1%D0%9C%D0%93/053.%20%D0%94%D0%9E%D0%A3%20%D0%BD%D0%B0%20225%20%D0%BC%D0%B5%D1%81%D1%82.%20%D0%A1%D0%BE%D1%81%D0%B5%D0%BD%D1%81%D0%BA%D0%BE%D0%B5%2C%20%D0%BF%D0%BE%D1%81.%20%D0%93%D0%B0%D0%B7%D0%BE%D0%BF%D1%80%D0%BE%D0%B2%D0%BE%D0%B4.%20%D0%96%D0%9A%20%D0%9D%D0%BE%D0%B2%D0%B0%D1%8F%20%D0%97%D0%B2%D0%B5%D0%B7%D0%B4%D0%B0</v>
      </c>
      <c r="J1300" s="50">
        <f>IFERROR(__xludf.DUMMYFUNCTION("""COMPUTED_VALUE"""),95.46853250000001)</f>
        <v>95.4685325</v>
      </c>
      <c r="K1300" s="58">
        <f>IFERROR(__xludf.DUMMYFUNCTION("""COMPUTED_VALUE"""),45958.0)</f>
        <v>45958</v>
      </c>
      <c r="L1300" s="6">
        <v>7.0</v>
      </c>
      <c r="M1300" s="52">
        <v>45965.0</v>
      </c>
      <c r="N1300" s="53" t="s">
        <v>668</v>
      </c>
      <c r="O1300" s="19" t="s">
        <v>1334</v>
      </c>
      <c r="P1300" s="6"/>
      <c r="Q1300" s="6"/>
      <c r="R1300" s="6"/>
    </row>
    <row r="1301">
      <c r="A1301" s="31" t="str">
        <f>IFERROR(__xludf.DUMMYFUNCTION("""COMPUTED_VALUE"""),"1214")</f>
        <v>1214</v>
      </c>
      <c r="B1301" s="14" t="str">
        <f>IFERROR(__xludf.DUMMYFUNCTION("""COMPUTED_VALUE"""),"ВНЕ СПИСКА")</f>
        <v>ВНЕ СПИСКА</v>
      </c>
      <c r="C1301" s="14" t="str">
        <f>IFERROR(__xludf.DUMMYFUNCTION("""COMPUTED_VALUE"""),"ОКС")</f>
        <v>ОКС</v>
      </c>
      <c r="D1301" s="6" t="str">
        <f>IFERROR(__xludf.DUMMYFUNCTION("""COMPUTED_VALUE"""),"да")</f>
        <v>да</v>
      </c>
      <c r="E1301" s="14" t="str">
        <f>IFERROR(__xludf.DUMMYFUNCTION("""COMPUTED_VALUE"""),"Дошкольная образовательная организация на 100 мест Кронштадтский бульвар, вл. 9")</f>
        <v>Дошкольная образовательная организация на 100 мест Кронштадтский бульвар, вл. 9</v>
      </c>
      <c r="F1301" s="25" t="str">
        <f>IFERROR(__xludf.DUMMYFUNCTION("""COMPUTED_VALUE"""),"#N/A")</f>
        <v>#N/A</v>
      </c>
      <c r="G1301" s="6" t="str">
        <f>IFERROR(__xludf.DUMMYFUNCTION("""COMPUTED_VALUE"""),"#N/A")</f>
        <v>#N/A</v>
      </c>
      <c r="H1301" s="18" t="str">
        <f>IFERROR(__xludf.DUMMYFUNCTION("""COMPUTED_VALUE"""),"https://docs.google.com/spreadsheets/d/1EI7qusa674eJhuaw-nWWtWMEHVSYMQv7HLsInEZTWpE/edit?gid=975659733#gid=975659733")</f>
        <v>https://docs.google.com/spreadsheets/d/1EI7qusa674eJhuaw-nWWtWMEHVSYMQv7HLsInEZTWpE/edit?gid=975659733#gid=975659733</v>
      </c>
      <c r="I1301" s="19" t="str">
        <f>IFERROR(__xludf.DUMMYFUNCTION("""COMPUTED_VALUE"""),"https://disk.yandex.ru/client/disk/Осмотры%20объектов%20АНО%20СМГ/1214.%20Дошкольная%20образовательная%20организация%20на%20100%20мест%2C%20Кронштадтский%20бульвар%2C%20вл.%209")</f>
        <v>https://disk.yandex.ru/client/disk/Осмотры%20объектов%20АНО%20СМГ/1214.%20Дошкольная%20образовательная%20организация%20на%20100%20мест%2C%20Кронштадтский%20бульвар%2C%20вл.%209</v>
      </c>
      <c r="J1301" s="50">
        <f>IFERROR(__xludf.DUMMYFUNCTION("""COMPUTED_VALUE"""),77.5690625)</f>
        <v>77.5690625</v>
      </c>
      <c r="K1301" s="58">
        <f>IFERROR(__xludf.DUMMYFUNCTION("""COMPUTED_VALUE"""),45819.0)</f>
        <v>45819</v>
      </c>
      <c r="L1301" s="6">
        <v>14.0</v>
      </c>
      <c r="M1301" s="52">
        <v>45833.0</v>
      </c>
      <c r="N1301" s="53" t="s">
        <v>668</v>
      </c>
      <c r="O1301" s="19" t="s">
        <v>669</v>
      </c>
      <c r="P1301" s="6"/>
      <c r="Q1301" s="6"/>
      <c r="R1301" s="6"/>
    </row>
    <row r="1302">
      <c r="A1302" s="31" t="str">
        <f>IFERROR(__xludf.DUMMYFUNCTION("""COMPUTED_VALUE"""),"НД")</f>
        <v>НД</v>
      </c>
      <c r="B1302" s="14" t="str">
        <f>IFERROR(__xludf.DUMMYFUNCTION("""COMPUTED_VALUE"""),"ВНЕ СПИСКА")</f>
        <v>ВНЕ СПИСКА</v>
      </c>
      <c r="C1302" s="14" t="str">
        <f>IFERROR(__xludf.DUMMYFUNCTION("""COMPUTED_VALUE"""),"ОКС")</f>
        <v>ОКС</v>
      </c>
      <c r="D1302" s="6" t="str">
        <f>IFERROR(__xludf.DUMMYFUNCTION("""COMPUTED_VALUE"""),"да")</f>
        <v>да</v>
      </c>
      <c r="E1302" s="14" t="str">
        <f>IFERROR(__xludf.DUMMYFUNCTION("""COMPUTED_VALUE"""),"        Реконструкция торгового комплекса проспект Вернадского, д. 14Б")</f>
        <v>        Реконструкция торгового комплекса проспект Вернадского, д. 14Б</v>
      </c>
      <c r="F1302" s="25" t="str">
        <f>IFERROR(__xludf.DUMMYFUNCTION("""COMPUTED_VALUE"""),"#N/A")</f>
        <v>#N/A</v>
      </c>
      <c r="G1302" s="6" t="str">
        <f>IFERROR(__xludf.DUMMYFUNCTION("""COMPUTED_VALUE"""),"#N/A")</f>
        <v>#N/A</v>
      </c>
      <c r="H1302" s="6"/>
      <c r="I1302" s="19" t="str">
        <f>IFERROR(__xludf.DUMMYFUNCTION("""COMPUTED_VALUE"""),"https://disk.yandex.ru/client/disk/Осмотры%20объектов%20АНО%20СМГ/Реконструкция%20торгового%20комплекса%20по%20адресу%3A%20г.%20Москва%2C%20проспект%20Вернадского%2C%2014Б")</f>
        <v>https://disk.yandex.ru/client/disk/Осмотры%20объектов%20АНО%20СМГ/Реконструкция%20торгового%20комплекса%20по%20адресу%3A%20г.%20Москва%2C%20проспект%20Вернадского%2C%2014Б</v>
      </c>
      <c r="J1302" s="50"/>
      <c r="K1302" s="58"/>
      <c r="L1302" s="6">
        <v>30.0</v>
      </c>
      <c r="M1302" s="52" t="s">
        <v>655</v>
      </c>
      <c r="N1302" s="53" t="s">
        <v>698</v>
      </c>
      <c r="O1302" s="19" t="s">
        <v>1335</v>
      </c>
      <c r="P1302" s="6"/>
      <c r="Q1302" s="6"/>
      <c r="R1302" s="6"/>
    </row>
    <row r="1303">
      <c r="A1303" s="31" t="str">
        <f>IFERROR(__xludf.DUMMYFUNCTION("""COMPUTED_VALUE"""),"057")</f>
        <v>057</v>
      </c>
      <c r="B1303" s="14" t="str">
        <f>IFERROR(__xludf.DUMMYFUNCTION("""COMPUTED_VALUE"""),"ВНЕ СПИСКА")</f>
        <v>ВНЕ СПИСКА</v>
      </c>
      <c r="C1303" s="14" t="str">
        <f>IFERROR(__xludf.DUMMYFUNCTION("""COMPUTED_VALUE"""),"ОКС")</f>
        <v>ОКС</v>
      </c>
      <c r="D1303" s="6" t="str">
        <f>IFERROR(__xludf.DUMMYFUNCTION("""COMPUTED_VALUE"""),"да")</f>
        <v>да</v>
      </c>
      <c r="E1303" s="14" t="str">
        <f>IFERROR(__xludf.DUMMYFUNCTION("""COMPUTED_VALUE""")," Образовательный комплекс на 1625 мест
 район Внуково, вблизи дер. Большое Свинорье, ЖК «Квартал Западный»")</f>
        <v> Образовательный комплекс на 1625 мест
 район Внуково, вблизи дер. Большое Свинорье, ЖК «Квартал Западный»</v>
      </c>
      <c r="F1303" s="25" t="str">
        <f>IFERROR(__xludf.DUMMYFUNCTION("""COMPUTED_VALUE"""),"55.58231204143675")</f>
        <v>55.58231204143675</v>
      </c>
      <c r="G1303" s="6" t="str">
        <f>IFERROR(__xludf.DUMMYFUNCTION("""COMPUTED_VALUE"""),"37.14631837035806")</f>
        <v>37.14631837035806</v>
      </c>
      <c r="H1303" s="18" t="str">
        <f>IFERROR(__xludf.DUMMYFUNCTION("""COMPUTED_VALUE"""),"https://docs.google.com/spreadsheets/d/1EI7qusa674eJhuaw-nWWtWMEHVSYMQv7HLsInEZTWpE/edit?gid=1550603494#gid=1550603494")</f>
        <v>https://docs.google.com/spreadsheets/d/1EI7qusa674eJhuaw-nWWtWMEHVSYMQv7HLsInEZTWpE/edit?gid=1550603494#gid=1550603494</v>
      </c>
      <c r="I1303" s="19" t="str">
        <f>IFERROR(__xludf.DUMMYFUNCTION("""COMPUTED_VALUE"""),"https://disk.yandex.ru/client/disk/Осмотры%20объектов%20АНО%20СМГ/057.%20Образовательный%20комплекс%20(СОШ%201275%2C%20ДОУ%20350)")</f>
        <v>https://disk.yandex.ru/client/disk/Осмотры%20объектов%20АНО%20СМГ/057.%20Образовательный%20комплекс%20(СОШ%201275%2C%20ДОУ%20350)</v>
      </c>
      <c r="J1303" s="50">
        <f>IFERROR(__xludf.DUMMYFUNCTION("""COMPUTED_VALUE"""),18.152)</f>
        <v>18.152</v>
      </c>
      <c r="K1303" s="58">
        <f>IFERROR(__xludf.DUMMYFUNCTION("""COMPUTED_VALUE"""),45959.0)</f>
        <v>45959</v>
      </c>
      <c r="L1303" s="6">
        <v>30.0</v>
      </c>
      <c r="M1303" s="52">
        <v>45989.0</v>
      </c>
      <c r="N1303" s="53" t="s">
        <v>692</v>
      </c>
      <c r="O1303" s="19" t="s">
        <v>669</v>
      </c>
      <c r="P1303" s="6"/>
      <c r="Q1303" s="6"/>
      <c r="R1303" s="6"/>
    </row>
    <row r="1304">
      <c r="A1304" s="31" t="str">
        <f>IFERROR(__xludf.DUMMYFUNCTION("""COMPUTED_VALUE"""),"1200")</f>
        <v>1200</v>
      </c>
      <c r="B1304" s="14" t="str">
        <f>IFERROR(__xludf.DUMMYFUNCTION("""COMPUTED_VALUE"""),"ВНЕ СПИСКА")</f>
        <v>ВНЕ СПИСКА</v>
      </c>
      <c r="C1304" s="14" t="str">
        <f>IFERROR(__xludf.DUMMYFUNCTION("""COMPUTED_VALUE"""),"ОКС")</f>
        <v>ОКС</v>
      </c>
      <c r="D1304" s="6" t="str">
        <f>IFERROR(__xludf.DUMMYFUNCTION("""COMPUTED_VALUE"""),"да")</f>
        <v>да</v>
      </c>
      <c r="E1304" s="14" t="str">
        <f>IFERROR(__xludf.DUMMYFUNCTION("""COMPUTED_VALUE"""),"Школа на 825 мест Рязанский проспект, вл. 2")</f>
        <v>Школа на 825 мест Рязанский проспект, вл. 2</v>
      </c>
      <c r="F1304" s="25" t="str">
        <f>IFERROR(__xludf.DUMMYFUNCTION("""COMPUTED_VALUE"""),"#N/A")</f>
        <v>#N/A</v>
      </c>
      <c r="G1304" s="6" t="str">
        <f>IFERROR(__xludf.DUMMYFUNCTION("""COMPUTED_VALUE"""),"#N/A")</f>
        <v>#N/A</v>
      </c>
      <c r="H1304" s="18" t="str">
        <f>IFERROR(__xludf.DUMMYFUNCTION("""COMPUTED_VALUE"""),"https://docs.google.com/spreadsheets/d/1EI7qusa674eJhuaw-nWWtWMEHVSYMQv7HLsInEZTWpE/edit?gid=1822571783#gid=1822571783")</f>
        <v>https://docs.google.com/spreadsheets/d/1EI7qusa674eJhuaw-nWWtWMEHVSYMQv7HLsInEZTWpE/edit?gid=1822571783#gid=1822571783</v>
      </c>
      <c r="I1304" s="19" t="str">
        <f>IFERROR(__xludf.DUMMYFUNCTION("""COMPUTED_VALUE"""),"https://disk.yandex.ru/client/disk/Осмотры%20объектов%20АНО%20СМГ/1200%20Общеобразовательная%20школа%20на%20825%20мест%2C%20Рязанский%20проспект%2C%20вл.2")</f>
        <v>https://disk.yandex.ru/client/disk/Осмотры%20объектов%20АНО%20СМГ/1200%20Общеобразовательная%20школа%20на%20825%20мест%2C%20Рязанский%20проспект%2C%20вл.2</v>
      </c>
      <c r="J1304" s="50">
        <f>IFERROR(__xludf.DUMMYFUNCTION("""COMPUTED_VALUE"""),0.0)</f>
        <v>0</v>
      </c>
      <c r="K1304" s="58"/>
      <c r="L1304" s="6">
        <v>30.0</v>
      </c>
      <c r="M1304" s="52" t="s">
        <v>655</v>
      </c>
      <c r="N1304" s="53" t="s">
        <v>698</v>
      </c>
      <c r="O1304" s="19" t="s">
        <v>669</v>
      </c>
      <c r="P1304" s="6"/>
      <c r="Q1304" s="6"/>
      <c r="R1304" s="6"/>
    </row>
    <row r="1305">
      <c r="A1305" s="31" t="str">
        <f>IFERROR(__xludf.DUMMYFUNCTION("""COMPUTED_VALUE"""),"НД")</f>
        <v>НД</v>
      </c>
      <c r="B1305" s="14" t="str">
        <f>IFERROR(__xludf.DUMMYFUNCTION("""COMPUTED_VALUE"""),"ВНЕ СПИСКА")</f>
        <v>ВНЕ СПИСКА</v>
      </c>
      <c r="C1305" s="14" t="str">
        <f>IFERROR(__xludf.DUMMYFUNCTION("""COMPUTED_VALUE"""),"ОКС")</f>
        <v>ОКС</v>
      </c>
      <c r="D1305" s="6" t="str">
        <f>IFERROR(__xludf.DUMMYFUNCTION("""COMPUTED_VALUE"""),"да")</f>
        <v>да</v>
      </c>
      <c r="E1305" s="14" t="str">
        <f>IFERROR(__xludf.DUMMYFUNCTION("""COMPUTED_VALUE"""),"Детский сад «Жемчужина» на 150 мест район Внуково, поселение Сосенское, кв-л 160, з/у 1В, подзона №3")</f>
        <v>Детский сад «Жемчужина» на 150 мест район Внуково, поселение Сосенское, кв-л 160, з/у 1В, подзона №3</v>
      </c>
      <c r="F1305" s="25" t="str">
        <f>IFERROR(__xludf.DUMMYFUNCTION("""COMPUTED_VALUE"""),"#N/A")</f>
        <v>#N/A</v>
      </c>
      <c r="G1305" s="6" t="str">
        <f>IFERROR(__xludf.DUMMYFUNCTION("""COMPUTED_VALUE"""),"#N/A")</f>
        <v>#N/A</v>
      </c>
      <c r="H1305" s="6"/>
      <c r="I1305" s="19"/>
      <c r="J1305" s="50"/>
      <c r="K1305" s="58"/>
      <c r="L1305" s="6">
        <v>30.0</v>
      </c>
      <c r="M1305" s="52" t="s">
        <v>655</v>
      </c>
      <c r="N1305" s="53" t="s">
        <v>698</v>
      </c>
      <c r="O1305" s="19" t="s">
        <v>669</v>
      </c>
      <c r="P1305" s="6"/>
      <c r="Q1305" s="6"/>
      <c r="R1305" s="6"/>
    </row>
    <row r="1306">
      <c r="A1306" s="31" t="str">
        <f>IFERROR(__xludf.DUMMYFUNCTION("""COMPUTED_VALUE"""),"1201")</f>
        <v>1201</v>
      </c>
      <c r="B1306" s="14" t="str">
        <f>IFERROR(__xludf.DUMMYFUNCTION("""COMPUTED_VALUE"""),"ВНЕ СПИСКА")</f>
        <v>ВНЕ СПИСКА</v>
      </c>
      <c r="C1306" s="14" t="str">
        <f>IFERROR(__xludf.DUMMYFUNCTION("""COMPUTED_VALUE"""),"ОКС")</f>
        <v>ОКС</v>
      </c>
      <c r="D1306" s="6" t="str">
        <f>IFERROR(__xludf.DUMMYFUNCTION("""COMPUTED_VALUE"""),"да")</f>
        <v>да</v>
      </c>
      <c r="E1306" s="14" t="str">
        <f>IFERROR(__xludf.DUMMYFUNCTION("""COMPUTED_VALUE"""),"Гостиница, входящая в состав Многофункционального комплекса спортивной направленности с соответствующей инфраструктурой Волоколамское шоссе, вл. 71/17 район Покровское-Стрешнево, Волоколамское шоссе вл. 71/17")</f>
        <v>Гостиница, входящая в состав Многофункционального комплекса спортивной направленности с соответствующей инфраструктурой Волоколамское шоссе, вл. 71/17 район Покровское-Стрешнево, Волоколамское шоссе вл. 71/17</v>
      </c>
      <c r="F1306" s="25" t="str">
        <f>IFERROR(__xludf.DUMMYFUNCTION("""COMPUTED_VALUE"""),"55.813618")</f>
        <v>55.813618</v>
      </c>
      <c r="G1306" s="6" t="str">
        <f>IFERROR(__xludf.DUMMYFUNCTION("""COMPUTED_VALUE"""),"37.436142")</f>
        <v>37.436142</v>
      </c>
      <c r="H1306" s="18" t="str">
        <f>IFERROR(__xludf.DUMMYFUNCTION("""COMPUTED_VALUE"""),"https://docs.google.com/spreadsheets/d/1EI7qusa674eJhuaw-nWWtWMEHVSYMQv7HLsInEZTWpE/edit?gid=82996176#gid=82996176")</f>
        <v>https://docs.google.com/spreadsheets/d/1EI7qusa674eJhuaw-nWWtWMEHVSYMQv7HLsInEZTWpE/edit?gid=82996176#gid=82996176</v>
      </c>
      <c r="I1306" s="19" t="str">
        <f>IFERROR(__xludf.DUMMYFUNCTION("""COMPUTED_VALUE"""),"https://disk.yandex.ru/client/disk/Осмотры%20объектов%20АНО%20СМГ/1201.%20Гостиница%2C%20Волоколамское%20шоссе%2C%20влд.%2071-17")</f>
        <v>https://disk.yandex.ru/client/disk/Осмотры%20объектов%20АНО%20СМГ/1201.%20Гостиница%2C%20Волоколамское%20шоссе%2C%20влд.%2071-17</v>
      </c>
      <c r="J1306" s="50">
        <f>IFERROR(__xludf.DUMMYFUNCTION("""COMPUTED_VALUE"""),37.553)</f>
        <v>37.553</v>
      </c>
      <c r="K1306" s="58">
        <f>IFERROR(__xludf.DUMMYFUNCTION("""COMPUTED_VALUE"""),45966.0)</f>
        <v>45966</v>
      </c>
      <c r="L1306" s="6">
        <v>30.0</v>
      </c>
      <c r="M1306" s="52">
        <v>45996.0</v>
      </c>
      <c r="N1306" s="53" t="s">
        <v>711</v>
      </c>
      <c r="O1306" s="19" t="s">
        <v>1336</v>
      </c>
      <c r="P1306" s="6"/>
      <c r="Q1306" s="6"/>
      <c r="R1306" s="6"/>
    </row>
    <row r="1307">
      <c r="A1307" s="31" t="str">
        <f>IFERROR(__xludf.DUMMYFUNCTION("""COMPUTED_VALUE"""),"338")</f>
        <v>338</v>
      </c>
      <c r="B1307" s="14" t="str">
        <f>IFERROR(__xludf.DUMMYFUNCTION("""COMPUTED_VALUE"""),"ВНЕ СПИСКА")</f>
        <v>ВНЕ СПИСКА</v>
      </c>
      <c r="C1307" s="14"/>
      <c r="D1307" s="6"/>
      <c r="E1307" s="14" t="str">
        <f>IFERROR(__xludf.DUMMYFUNCTION("""COMPUTED_VALUE"""),"Осмотри хода строительства станции ""Липовая Роща"" ")</f>
        <v>Осмотри хода строительства станции "Липовая Роща" </v>
      </c>
      <c r="F1307" s="25" t="str">
        <f>IFERROR(__xludf.DUMMYFUNCTION("""COMPUTED_VALUE"""),"#N/A")</f>
        <v>#N/A</v>
      </c>
      <c r="G1307" s="6" t="str">
        <f>IFERROR(__xludf.DUMMYFUNCTION("""COMPUTED_VALUE"""),"#N/A")</f>
        <v>#N/A</v>
      </c>
      <c r="H1307" s="18" t="str">
        <f>IFERROR(__xludf.DUMMYFUNCTION("""COMPUTED_VALUE"""),"https://docs.google.com/spreadsheets/d/1EI7qusa674eJhuaw-nWWtWMEHVSYMQv7HLsInEZTWpE/edit?gid=336437889#gid=336437889")</f>
        <v>https://docs.google.com/spreadsheets/d/1EI7qusa674eJhuaw-nWWtWMEHVSYMQv7HLsInEZTWpE/edit?gid=336437889#gid=336437889</v>
      </c>
      <c r="I1307" s="19" t="str">
        <f>IFERROR(__xludf.DUMMYFUNCTION("""COMPUTED_VALUE"""),"https://disk.yandex.ru/client/disk/Осмотры%20объектов%20АНО%20СМГ/338.%20Станция%20метро%20Липовая%20роща")</f>
        <v>https://disk.yandex.ru/client/disk/Осмотры%20объектов%20АНО%20СМГ/338.%20Станция%20метро%20Липовая%20роща</v>
      </c>
      <c r="J1307" s="50">
        <f>IFERROR(__xludf.DUMMYFUNCTION("""COMPUTED_VALUE"""),8.474000000000002)</f>
        <v>8.474</v>
      </c>
      <c r="K1307" s="58">
        <f>IFERROR(__xludf.DUMMYFUNCTION("""COMPUTED_VALUE"""),45747.0)</f>
        <v>45747</v>
      </c>
      <c r="L1307" s="6">
        <v>30.0</v>
      </c>
      <c r="M1307" s="52">
        <v>45777.0</v>
      </c>
      <c r="N1307" s="53" t="s">
        <v>668</v>
      </c>
      <c r="O1307" s="19" t="s">
        <v>669</v>
      </c>
      <c r="P1307" s="6"/>
      <c r="Q1307" s="6"/>
      <c r="R1307" s="6"/>
    </row>
    <row r="1308">
      <c r="A1308" s="31" t="str">
        <f>IFERROR(__xludf.DUMMYFUNCTION("""COMPUTED_VALUE"""),"092")</f>
        <v>092</v>
      </c>
      <c r="B1308" s="14" t="str">
        <f>IFERROR(__xludf.DUMMYFUNCTION("""COMPUTED_VALUE"""),"ВНЕ СПИСКА")</f>
        <v>ВНЕ СПИСКА</v>
      </c>
      <c r="C1308" s="14" t="str">
        <f>IFERROR(__xludf.DUMMYFUNCTION("""COMPUTED_VALUE"""),"ОКС")</f>
        <v>ОКС</v>
      </c>
      <c r="D1308" s="6"/>
      <c r="E1308" s="14" t="str">
        <f>IFERROR(__xludf.DUMMYFUNCTION("""COMPUTED_VALUE"""),"        Консультативно-диагностический центр с поликлиникой на 750 посещений в смену на территории Городской клинической больницы № 64 (уровень 2) (завершение строительства) Вавилова ул., д.61А")</f>
        <v>        Консультативно-диагностический центр с поликлиникой на 750 посещений в смену на территории Городской клинической больницы № 64 (уровень 2) (завершение строительства) Вавилова ул., д.61А</v>
      </c>
      <c r="F1308" s="25" t="str">
        <f>IFERROR(__xludf.DUMMYFUNCTION("""COMPUTED_VALUE"""),"#N/A")</f>
        <v>#N/A</v>
      </c>
      <c r="G1308" s="6" t="str">
        <f>IFERROR(__xludf.DUMMYFUNCTION("""COMPUTED_VALUE"""),"#N/A")</f>
        <v>#N/A</v>
      </c>
      <c r="H1308" s="18" t="str">
        <f>IFERROR(__xludf.DUMMYFUNCTION("""COMPUTED_VALUE"""),"https://docs.google.com/spreadsheets/d/1EI7qusa674eJhuaw-nWWtWMEHVSYMQv7HLsInEZTWpE/edit?gid=370620314#gid=370620314")</f>
        <v>https://docs.google.com/spreadsheets/d/1EI7qusa674eJhuaw-nWWtWMEHVSYMQv7HLsInEZTWpE/edit?gid=370620314#gid=370620314</v>
      </c>
      <c r="I1308" s="19" t="str">
        <f>IFERROR(__xludf.DUMMYFUNCTION("""COMPUTED_VALUE"""),"https://disk.yandex.ru/client/disk/Осмотры%20объектов%20АНО%20СМГ/092.%20Вавилова%2061%20(уровень%202)")</f>
        <v>https://disk.yandex.ru/client/disk/Осмотры%20объектов%20АНО%20СМГ/092.%20Вавилова%2061%20(уровень%202)</v>
      </c>
      <c r="J1308" s="50">
        <f>IFERROR(__xludf.DUMMYFUNCTION("""COMPUTED_VALUE"""),100.0)</f>
        <v>100</v>
      </c>
      <c r="K1308" s="58">
        <f>IFERROR(__xludf.DUMMYFUNCTION("""COMPUTED_VALUE"""),45817.0)</f>
        <v>45817</v>
      </c>
      <c r="L1308" s="6" t="s">
        <v>654</v>
      </c>
      <c r="M1308" s="52" t="s">
        <v>655</v>
      </c>
      <c r="N1308" s="53" t="s">
        <v>656</v>
      </c>
      <c r="O1308" s="19" t="s">
        <v>1337</v>
      </c>
      <c r="P1308" s="6"/>
      <c r="Q1308" s="6"/>
      <c r="R1308" s="6"/>
    </row>
    <row r="1309">
      <c r="A1309" s="31" t="str">
        <f>IFERROR(__xludf.DUMMYFUNCTION("""COMPUTED_VALUE"""),"495")</f>
        <v>495</v>
      </c>
      <c r="B1309" s="14" t="str">
        <f>IFERROR(__xludf.DUMMYFUNCTION("""COMPUTED_VALUE"""),"РЕН-25")</f>
        <v>РЕН-25</v>
      </c>
      <c r="C1309" s="14" t="str">
        <f>IFERROR(__xludf.DUMMYFUNCTION("""COMPUTED_VALUE"""),"ОКС")</f>
        <v>ОКС</v>
      </c>
      <c r="D1309" s="6"/>
      <c r="E1309" s="14" t="str">
        <f>IFERROR(__xludf.DUMMYFUNCTION("""COMPUTED_VALUE"""),"Осмотр «стартового» жилого дома по программе реновации, ЖК ""Академик"" к.3 Троицк, тер. СНТ ""Ветеран-1"", ул. Городская 12")</f>
        <v>Осмотр «стартового» жилого дома по программе реновации, ЖК "Академик" к.3 Троицк, тер. СНТ "Ветеран-1", ул. Городская 12</v>
      </c>
      <c r="F1309" s="25" t="str">
        <f>IFERROR(__xludf.DUMMYFUNCTION("""COMPUTED_VALUE"""),"#N/A")</f>
        <v>#N/A</v>
      </c>
      <c r="G1309" s="6" t="str">
        <f>IFERROR(__xludf.DUMMYFUNCTION("""COMPUTED_VALUE"""),"#N/A")</f>
        <v>#N/A</v>
      </c>
      <c r="H1309" s="18" t="str">
        <f>IFERROR(__xludf.DUMMYFUNCTION("""COMPUTED_VALUE"""),"https://docs.google.com/spreadsheets/d/1H1MjbG2y0oC0hhID4do1G0_gfyI1jag72lQd7nL3WDQ/edit?gid=1483885127#gid=1483885127")</f>
        <v>https://docs.google.com/spreadsheets/d/1H1MjbG2y0oC0hhID4do1G0_gfyI1jag72lQd7nL3WDQ/edit?gid=1483885127#gid=1483885127</v>
      </c>
      <c r="I1309" s="19" t="str">
        <f>IFERROR(__xludf.DUMMYFUNCTION("""COMPUTED_VALUE"""),"https://disk.yandex.ru/client/disk/Осмотры%20объектов%20АНО%20СМГ/495.%20СНТ%20Ветеран%201%20реновация")</f>
        <v>https://disk.yandex.ru/client/disk/Осмотры%20объектов%20АНО%20СМГ/495.%20СНТ%20Ветеран%201%20реновация</v>
      </c>
      <c r="J1309" s="50">
        <f>IFERROR(__xludf.DUMMYFUNCTION("""COMPUTED_VALUE"""),100.0)</f>
        <v>100</v>
      </c>
      <c r="K1309" s="58">
        <f>IFERROR(__xludf.DUMMYFUNCTION("""COMPUTED_VALUE"""),45852.0)</f>
        <v>45852</v>
      </c>
      <c r="L1309" s="6" t="s">
        <v>654</v>
      </c>
      <c r="M1309" s="52" t="s">
        <v>655</v>
      </c>
      <c r="N1309" s="53" t="s">
        <v>656</v>
      </c>
      <c r="O1309" s="19" t="s">
        <v>1338</v>
      </c>
      <c r="P1309" s="6"/>
      <c r="Q1309" s="6"/>
      <c r="R1309" s="6"/>
    </row>
    <row r="1310">
      <c r="A1310" s="31" t="str">
        <f>IFERROR(__xludf.DUMMYFUNCTION("""COMPUTED_VALUE"""),"495")</f>
        <v>495</v>
      </c>
      <c r="B1310" s="14" t="str">
        <f>IFERROR(__xludf.DUMMYFUNCTION("""COMPUTED_VALUE"""),"РЕН-25")</f>
        <v>РЕН-25</v>
      </c>
      <c r="C1310" s="14" t="str">
        <f>IFERROR(__xludf.DUMMYFUNCTION("""COMPUTED_VALUE"""),"ОКС")</f>
        <v>ОКС</v>
      </c>
      <c r="D1310" s="6"/>
      <c r="E1310" s="14" t="str">
        <f>IFERROR(__xludf.DUMMYFUNCTION("""COMPUTED_VALUE"""),"Осмотр «стартового» жилого дома по программе реновации, ЖК ""Академик"", к.2 Троицк, тер. СНТ ""Ветеран-1"", ул. Городская 14")</f>
        <v>Осмотр «стартового» жилого дома по программе реновации, ЖК "Академик", к.2 Троицк, тер. СНТ "Ветеран-1", ул. Городская 14</v>
      </c>
      <c r="F1310" s="25" t="str">
        <f>IFERROR(__xludf.DUMMYFUNCTION("""COMPUTED_VALUE"""),"#N/A")</f>
        <v>#N/A</v>
      </c>
      <c r="G1310" s="6" t="str">
        <f>IFERROR(__xludf.DUMMYFUNCTION("""COMPUTED_VALUE"""),"#N/A")</f>
        <v>#N/A</v>
      </c>
      <c r="H1310" s="18" t="str">
        <f>IFERROR(__xludf.DUMMYFUNCTION("""COMPUTED_VALUE"""),"https://docs.google.com/spreadsheets/d/1H1MjbG2y0oC0hhID4do1G0_gfyI1jag72lQd7nL3WDQ/edit?gid=1483885127#gid=1483885127")</f>
        <v>https://docs.google.com/spreadsheets/d/1H1MjbG2y0oC0hhID4do1G0_gfyI1jag72lQd7nL3WDQ/edit?gid=1483885127#gid=1483885127</v>
      </c>
      <c r="I1310" s="19" t="str">
        <f>IFERROR(__xludf.DUMMYFUNCTION("""COMPUTED_VALUE"""),"https://disk.yandex.ru/client/disk/Осмотры%20объектов%20АНО%20СМГ/495.%20СНТ%20Ветеран%201%20реновация")</f>
        <v>https://disk.yandex.ru/client/disk/Осмотры%20объектов%20АНО%20СМГ/495.%20СНТ%20Ветеран%201%20реновация</v>
      </c>
      <c r="J1310" s="50">
        <f>IFERROR(__xludf.DUMMYFUNCTION("""COMPUTED_VALUE"""),100.0)</f>
        <v>100</v>
      </c>
      <c r="K1310" s="58">
        <f>IFERROR(__xludf.DUMMYFUNCTION("""COMPUTED_VALUE"""),45852.0)</f>
        <v>45852</v>
      </c>
      <c r="L1310" s="6" t="s">
        <v>654</v>
      </c>
      <c r="M1310" s="52" t="s">
        <v>655</v>
      </c>
      <c r="N1310" s="53" t="s">
        <v>656</v>
      </c>
      <c r="O1310" s="19" t="s">
        <v>1339</v>
      </c>
      <c r="P1310" s="6"/>
      <c r="Q1310" s="6"/>
      <c r="R1310" s="6"/>
    </row>
    <row r="1311">
      <c r="A1311" s="70" t="str">
        <f>IFERROR(__xludf.DUMMYFUNCTION("""COMPUTED_VALUE"""),"322")</f>
        <v>322</v>
      </c>
      <c r="B1311" s="14" t="str">
        <f>IFERROR(__xludf.DUMMYFUNCTION("""COMPUTED_VALUE"""),"ВНЕ СПИСКА")</f>
        <v>ВНЕ СПИСКА</v>
      </c>
      <c r="C1311" s="14" t="str">
        <f>IFERROR(__xludf.DUMMYFUNCTION("""COMPUTED_VALUE"""),"ОКС")</f>
        <v>ОКС</v>
      </c>
      <c r="D1311" s="6"/>
      <c r="E1311" s="14" t="str">
        <f>IFERROR(__xludf.DUMMYFUNCTION("""COMPUTED_VALUE"""),"Реконструкция дворца спорта ""Лужники""   ул. Лужники, влд. 24,  стр. 2")</f>
        <v>Реконструкция дворца спорта "Лужники"   ул. Лужники, влд. 24,  стр. 2</v>
      </c>
      <c r="F1311" s="25" t="str">
        <f>IFERROR(__xludf.DUMMYFUNCTION("""COMPUTED_VALUE"""),"#N/A")</f>
        <v>#N/A</v>
      </c>
      <c r="G1311" s="6" t="str">
        <f>IFERROR(__xludf.DUMMYFUNCTION("""COMPUTED_VALUE"""),"#N/A")</f>
        <v>#N/A</v>
      </c>
      <c r="H1311" s="18" t="str">
        <f>IFERROR(__xludf.DUMMYFUNCTION("""COMPUTED_VALUE"""),"https://docs.google.com/spreadsheets/d/1EI7qusa674eJhuaw-nWWtWMEHVSYMQv7HLsInEZTWpE/edit?gid=1258137078#gid=1258137078")</f>
        <v>https://docs.google.com/spreadsheets/d/1EI7qusa674eJhuaw-nWWtWMEHVSYMQv7HLsInEZTWpE/edit?gid=1258137078#gid=1258137078</v>
      </c>
      <c r="I1311" s="19" t="str">
        <f>IFERROR(__xludf.DUMMYFUNCTION("""COMPUTED_VALUE"""),"https://disk.yandex.ru/client/disk/Осмотры%20объектов%20АНО%20СМГ/322.%20Лужники%2C%20Дворец%20спорта")</f>
        <v>https://disk.yandex.ru/client/disk/Осмотры%20объектов%20АНО%20СМГ/322.%20Лужники%2C%20Дворец%20спорта</v>
      </c>
      <c r="J1311" s="50">
        <f>IFERROR(__xludf.DUMMYFUNCTION("""COMPUTED_VALUE"""),0.19125)</f>
        <v>0.19125</v>
      </c>
      <c r="K1311" s="58">
        <f>IFERROR(__xludf.DUMMYFUNCTION("""COMPUTED_VALUE"""),45882.0)</f>
        <v>45882</v>
      </c>
      <c r="L1311" s="6">
        <v>30.0</v>
      </c>
      <c r="M1311" s="52">
        <v>45912.0</v>
      </c>
      <c r="N1311" s="53" t="s">
        <v>668</v>
      </c>
      <c r="O1311" s="19" t="s">
        <v>1340</v>
      </c>
      <c r="P1311" s="6"/>
      <c r="Q1311" s="6"/>
      <c r="R1311" s="6"/>
    </row>
    <row r="1312">
      <c r="A1312" s="70" t="str">
        <f>IFERROR(__xludf.DUMMYFUNCTION("""COMPUTED_VALUE"""),"324")</f>
        <v>324</v>
      </c>
      <c r="B1312" s="14" t="str">
        <f>IFERROR(__xludf.DUMMYFUNCTION("""COMPUTED_VALUE"""),"ВНЕ СПИСКА")</f>
        <v>ВНЕ СПИСКА</v>
      </c>
      <c r="C1312" s="14" t="str">
        <f>IFERROR(__xludf.DUMMYFUNCTION("""COMPUTED_VALUE"""),"ОКС")</f>
        <v>ОКС</v>
      </c>
      <c r="D1312" s="6"/>
      <c r="E1312" s="14" t="str">
        <f>IFERROR(__xludf.DUMMYFUNCTION("""COMPUTED_VALUE"""),"Многофункциональный комплекс с ареной для керлинга (Малая керлинг арена, Многофункциональные спортивные площадки). район Хорошево-Мневники, Нижние Мневники ул., 3")</f>
        <v>Многофункциональный комплекс с ареной для керлинга (Малая керлинг арена, Многофункциональные спортивные площадки). район Хорошево-Мневники, Нижние Мневники ул., 3</v>
      </c>
      <c r="F1312" s="25" t="str">
        <f>IFERROR(__xludf.DUMMYFUNCTION("""COMPUTED_VALUE"""),"55.744145")</f>
        <v>55.744145</v>
      </c>
      <c r="G1312" s="6" t="str">
        <f>IFERROR(__xludf.DUMMYFUNCTION("""COMPUTED_VALUE"""),"37.460758")</f>
        <v>37.460758</v>
      </c>
      <c r="H1312" s="18" t="str">
        <f>IFERROR(__xludf.DUMMYFUNCTION("""COMPUTED_VALUE"""),"https://docs.google.com/spreadsheets/d/1EI7qusa674eJhuaw-nWWtWMEHVSYMQv7HLsInEZTWpE/edit?gid=1777992828#gid=1777992828")</f>
        <v>https://docs.google.com/spreadsheets/d/1EI7qusa674eJhuaw-nWWtWMEHVSYMQv7HLsInEZTWpE/edit?gid=1777992828#gid=1777992828</v>
      </c>
      <c r="I1312" s="19" t="str">
        <f>IFERROR(__xludf.DUMMYFUNCTION("""COMPUTED_VALUE"""),"https://disk.yandex.ru/client/disk/Осмотры%20объектов%20АНО%20СМГ/324.%20Многофункциональный%20комплекс%20с%20ареной%20для%20керлинга%20(Малая%20керлинг%20арена%2C%20Многофункциональные%20спортивные%20площадки).%20Н.%20Мневники%20зу%203")</f>
        <v>https://disk.yandex.ru/client/disk/Осмотры%20объектов%20АНО%20СМГ/324.%20Многофункциональный%20комплекс%20с%20ареной%20для%20керлинга%20(Малая%20керлинг%20арена%2C%20Многофункциональные%20спортивные%20площадки).%20Н.%20Мневники%20зу%203</v>
      </c>
      <c r="J1312" s="50"/>
      <c r="K1312" s="58">
        <f>IFERROR(__xludf.DUMMYFUNCTION("""COMPUTED_VALUE"""),45937.0)</f>
        <v>45937</v>
      </c>
      <c r="L1312" s="6">
        <v>30.0</v>
      </c>
      <c r="M1312" s="52">
        <v>45967.0</v>
      </c>
      <c r="N1312" s="53" t="s">
        <v>668</v>
      </c>
      <c r="O1312" s="19" t="s">
        <v>1341</v>
      </c>
      <c r="P1312" s="6"/>
      <c r="Q1312" s="6"/>
      <c r="R1312" s="6"/>
    </row>
    <row r="1313">
      <c r="A1313" s="31" t="str">
        <f>IFERROR(__xludf.DUMMYFUNCTION("""COMPUTED_VALUE"""),"325")</f>
        <v>325</v>
      </c>
      <c r="B1313" s="14" t="str">
        <f>IFERROR(__xludf.DUMMYFUNCTION("""COMPUTED_VALUE"""),"ВНЕ СПИСКА")</f>
        <v>ВНЕ СПИСКА</v>
      </c>
      <c r="C1313" s="14" t="str">
        <f>IFERROR(__xludf.DUMMYFUNCTION("""COMPUTED_VALUE"""),"ОКС")</f>
        <v>ОКС</v>
      </c>
      <c r="D1313" s="6" t="str">
        <f>IFERROR(__xludf.DUMMYFUNCTION("""COMPUTED_VALUE"""),"да")</f>
        <v>да</v>
      </c>
      <c r="E1313" s="14" t="str">
        <f>IFERROR(__xludf.DUMMYFUNCTION("""COMPUTED_VALUE"""),"Научно-клинический нейроонкологический центр с устройством подземного перехода в ПЭТ район Тверской, Фадеева ул., д. 5, стр. 1")</f>
        <v>Научно-клинический нейроонкологический центр с устройством подземного перехода в ПЭТ район Тверской, Фадеева ул., д. 5, стр. 1</v>
      </c>
      <c r="F1313" s="25" t="str">
        <f>IFERROR(__xludf.DUMMYFUNCTION("""COMPUTED_VALUE"""),"#N/A")</f>
        <v>#N/A</v>
      </c>
      <c r="G1313" s="6" t="str">
        <f>IFERROR(__xludf.DUMMYFUNCTION("""COMPUTED_VALUE"""),"#N/A")</f>
        <v>#N/A</v>
      </c>
      <c r="H1313" s="18" t="str">
        <f>IFERROR(__xludf.DUMMYFUNCTION("""COMPUTED_VALUE"""),"https://docs.google.com/spreadsheets/d/1EI7qusa674eJhuaw-nWWtWMEHVSYMQv7HLsInEZTWpE/edit?gid=1173454533#gid=1173454533")</f>
        <v>https://docs.google.com/spreadsheets/d/1EI7qusa674eJhuaw-nWWtWMEHVSYMQv7HLsInEZTWpE/edit?gid=1173454533#gid=1173454533</v>
      </c>
      <c r="I1313" s="19" t="str">
        <f>IFERROR(__xludf.DUMMYFUNCTION("""COMPUTED_VALUE"""),"https://disk.yandex.ru/client/disk/Осмотры%20объектов%20АНО%20СМГ/325.%20Фадеева%20д.%205%20стр.%201")</f>
        <v>https://disk.yandex.ru/client/disk/Осмотры%20объектов%20АНО%20СМГ/325.%20Фадеева%20д.%205%20стр.%201</v>
      </c>
      <c r="J1313" s="50">
        <f>IFERROR(__xludf.DUMMYFUNCTION("""COMPUTED_VALUE"""),0.0)</f>
        <v>0</v>
      </c>
      <c r="K1313" s="58">
        <f>IFERROR(__xludf.DUMMYFUNCTION("""COMPUTED_VALUE"""),45852.0)</f>
        <v>45852</v>
      </c>
      <c r="L1313" s="6">
        <v>30.0</v>
      </c>
      <c r="M1313" s="52">
        <v>45882.0</v>
      </c>
      <c r="N1313" s="53" t="s">
        <v>668</v>
      </c>
      <c r="O1313" s="19" t="s">
        <v>1342</v>
      </c>
      <c r="P1313" s="6"/>
      <c r="Q1313" s="6"/>
      <c r="R1313" s="6"/>
    </row>
    <row r="1314">
      <c r="A1314" s="70" t="str">
        <f>IFERROR(__xludf.DUMMYFUNCTION("""COMPUTED_VALUE"""),"309")</f>
        <v>309</v>
      </c>
      <c r="B1314" s="14" t="str">
        <f>IFERROR(__xludf.DUMMYFUNCTION("""COMPUTED_VALUE"""),"ВНЕ СПИСКА")</f>
        <v>ВНЕ СПИСКА</v>
      </c>
      <c r="C1314" s="14" t="str">
        <f>IFERROR(__xludf.DUMMYFUNCTION("""COMPUTED_VALUE"""),"ОКС")</f>
        <v>ОКС</v>
      </c>
      <c r="D1314" s="6"/>
      <c r="E1314" s="14" t="str">
        <f>IFERROR(__xludf.DUMMYFUNCTION("""COMPUTED_VALUE"""),"Строительство спортивно-стрелкового комплекса АО ""Лужники"" район Хамовники, Лужники ул., вл. 24")</f>
        <v>Строительство спортивно-стрелкового комплекса АО "Лужники" район Хамовники, Лужники ул., вл. 24</v>
      </c>
      <c r="F1314" s="25" t="str">
        <f>IFERROR(__xludf.DUMMYFUNCTION("""COMPUTED_VALUE"""),"#N/A")</f>
        <v>#N/A</v>
      </c>
      <c r="G1314" s="6" t="str">
        <f>IFERROR(__xludf.DUMMYFUNCTION("""COMPUTED_VALUE"""),"#N/A")</f>
        <v>#N/A</v>
      </c>
      <c r="H1314" s="18" t="str">
        <f>IFERROR(__xludf.DUMMYFUNCTION("""COMPUTED_VALUE"""),"https://docs.google.com/spreadsheets/d/1EI7qusa674eJhuaw-nWWtWMEHVSYMQv7HLsInEZTWpE/edit?gid=1902497282#gid=1902497282")</f>
        <v>https://docs.google.com/spreadsheets/d/1EI7qusa674eJhuaw-nWWtWMEHVSYMQv7HLsInEZTWpE/edit?gid=1902497282#gid=1902497282</v>
      </c>
      <c r="I1314" s="19" t="str">
        <f>IFERROR(__xludf.DUMMYFUNCTION("""COMPUTED_VALUE"""),"https://disk.yandex.ru/client/disk/Осмотры%20объектов%20АНО%20СМГ/309.%20Лужники%2C%20Стрелковый%20клуб")</f>
        <v>https://disk.yandex.ru/client/disk/Осмотры%20объектов%20АНО%20СМГ/309.%20Лужники%2C%20Стрелковый%20клуб</v>
      </c>
      <c r="J1314" s="50">
        <f>IFERROR(__xludf.DUMMYFUNCTION("""COMPUTED_VALUE"""),0.0)</f>
        <v>0</v>
      </c>
      <c r="K1314" s="58">
        <f>IFERROR(__xludf.DUMMYFUNCTION("""COMPUTED_VALUE"""),45846.0)</f>
        <v>45846</v>
      </c>
      <c r="L1314" s="6">
        <v>30.0</v>
      </c>
      <c r="M1314" s="52">
        <v>45876.0</v>
      </c>
      <c r="N1314" s="53" t="s">
        <v>668</v>
      </c>
      <c r="O1314" s="19" t="s">
        <v>1343</v>
      </c>
      <c r="P1314" s="6"/>
      <c r="Q1314" s="6"/>
      <c r="R1314" s="6"/>
    </row>
    <row r="1315">
      <c r="A1315" s="31" t="str">
        <f>IFERROR(__xludf.DUMMYFUNCTION("""COMPUTED_VALUE"""),"1237")</f>
        <v>1237</v>
      </c>
      <c r="B1315" s="14" t="str">
        <f>IFERROR(__xludf.DUMMYFUNCTION("""COMPUTED_VALUE"""),"ВНЕ СПИСКА")</f>
        <v>ВНЕ СПИСКА</v>
      </c>
      <c r="C1315" s="14" t="str">
        <f>IFERROR(__xludf.DUMMYFUNCTION("""COMPUTED_VALUE"""),"УДС")</f>
        <v>УДС</v>
      </c>
      <c r="D1315" s="6" t="str">
        <f>IFERROR(__xludf.DUMMYFUNCTION("""COMPUTED_VALUE"""),"да")</f>
        <v>да</v>
      </c>
      <c r="E1315" s="14" t="str">
        <f>IFERROR(__xludf.DUMMYFUNCTION("""COMPUTED_VALUE"""),"Открытие пешеходного моста через пруд Дальний район Коммунарка, квартал 226, з/у 3/3")</f>
        <v>Открытие пешеходного моста через пруд Дальний район Коммунарка, квартал 226, з/у 3/3</v>
      </c>
      <c r="F1315" s="25" t="str">
        <f>IFERROR(__xludf.DUMMYFUNCTION("""COMPUTED_VALUE"""),"#N/A")</f>
        <v>#N/A</v>
      </c>
      <c r="G1315" s="6" t="str">
        <f>IFERROR(__xludf.DUMMYFUNCTION("""COMPUTED_VALUE"""),"#N/A")</f>
        <v>#N/A</v>
      </c>
      <c r="H1315" s="18" t="str">
        <f>IFERROR(__xludf.DUMMYFUNCTION("""COMPUTED_VALUE"""),"https://docs.google.com/spreadsheets/d/1EI7qusa674eJhuaw-nWWtWMEHVSYMQv7HLsInEZTWpE/edit?gid=250650053#gid=250650053")</f>
        <v>https://docs.google.com/spreadsheets/d/1EI7qusa674eJhuaw-nWWtWMEHVSYMQv7HLsInEZTWpE/edit?gid=250650053#gid=250650053</v>
      </c>
      <c r="I1315" s="19" t="str">
        <f>IFERROR(__xludf.DUMMYFUNCTION("""COMPUTED_VALUE"""),"https://disk.yandex.ru/client/disk/Осмотры%20объектов%20АНО%20СМГ/1237.%20Пешеходный%20мост%20через%20пруд%20Дальний%20ТиНАО%2C%20район%20Коммунарка%2C%20квартал%20226%2C%20зу%203-3")</f>
        <v>https://disk.yandex.ru/client/disk/Осмотры%20объектов%20АНО%20СМГ/1237.%20Пешеходный%20мост%20через%20пруд%20Дальний%20ТиНАО%2C%20район%20Коммунарка%2C%20квартал%20226%2C%20зу%203-3</v>
      </c>
      <c r="J1315" s="50">
        <f>IFERROR(__xludf.DUMMYFUNCTION("""COMPUTED_VALUE"""),98.599)</f>
        <v>98.599</v>
      </c>
      <c r="K1315" s="58">
        <f>IFERROR(__xludf.DUMMYFUNCTION("""COMPUTED_VALUE"""),45854.0)</f>
        <v>45854</v>
      </c>
      <c r="L1315" s="6">
        <v>7.0</v>
      </c>
      <c r="M1315" s="52">
        <v>45861.0</v>
      </c>
      <c r="N1315" s="53" t="s">
        <v>668</v>
      </c>
      <c r="O1315" s="19" t="s">
        <v>1344</v>
      </c>
      <c r="P1315" s="6"/>
      <c r="Q1315" s="6"/>
      <c r="R1315" s="6"/>
    </row>
    <row r="1316">
      <c r="A1316" s="31" t="str">
        <f>IFERROR(__xludf.DUMMYFUNCTION("""COMPUTED_VALUE"""),"813")</f>
        <v>813</v>
      </c>
      <c r="B1316" s="14" t="str">
        <f>IFERROR(__xludf.DUMMYFUNCTION("""COMPUTED_VALUE"""),"ВНЕ СПИСКА")</f>
        <v>ВНЕ СПИСКА</v>
      </c>
      <c r="C1316" s="14" t="str">
        <f>IFERROR(__xludf.DUMMYFUNCTION("""COMPUTED_VALUE"""),"ОКС")</f>
        <v>ОКС</v>
      </c>
      <c r="D1316" s="6"/>
      <c r="E1316" s="14" t="str">
        <f>IFERROR(__xludf.DUMMYFUNCTION("""COMPUTED_VALUE"""),"О ходе строительства здания суда Гагаринский и Хамовнический: Б.Черёмушкинская ул., влд. 2А (ЮЗАО) Б.Черемушкинская ул., вл.2А/4")</f>
        <v>О ходе строительства здания суда Гагаринский и Хамовнический: Б.Черёмушкинская ул., влд. 2А (ЮЗАО) Б.Черемушкинская ул., вл.2А/4</v>
      </c>
      <c r="F1316" s="25" t="str">
        <f>IFERROR(__xludf.DUMMYFUNCTION("""COMPUTED_VALUE"""),"55.692816")</f>
        <v>55.692816</v>
      </c>
      <c r="G1316" s="6" t="str">
        <f>IFERROR(__xludf.DUMMYFUNCTION("""COMPUTED_VALUE"""),"37.598639")</f>
        <v>37.598639</v>
      </c>
      <c r="H1316" s="18" t="str">
        <f>IFERROR(__xludf.DUMMYFUNCTION("""COMPUTED_VALUE"""),"https://docs.google.com/spreadsheets/d/1EI7qusa674eJhuaw-nWWtWMEHVSYMQv7HLsInEZTWpE/edit?gid=1920949313#gid=1920949313")</f>
        <v>https://docs.google.com/spreadsheets/d/1EI7qusa674eJhuaw-nWWtWMEHVSYMQv7HLsInEZTWpE/edit?gid=1920949313#gid=1920949313</v>
      </c>
      <c r="I1316" s="6" t="str">
        <f>IFERROR(__xludf.DUMMYFUNCTION("""COMPUTED_VALUE"""),"https://disk.yandex.ru/client/disk/Осмотры%20объектов%20АНО%20СМГ/813.%20Строительство%202-х%20зданий%20судов%20Гагаринский%20и%20Хамовнический_Черемушкинская%202А")</f>
        <v>https://disk.yandex.ru/client/disk/Осмотры%20объектов%20АНО%20СМГ/813.%20Строительство%202-х%20зданий%20судов%20Гагаринский%20и%20Хамовнический_Черемушкинская%202А</v>
      </c>
      <c r="J1316" s="50">
        <f>IFERROR(__xludf.DUMMYFUNCTION("""COMPUTED_VALUE"""),0.125)</f>
        <v>0.125</v>
      </c>
      <c r="K1316" s="58">
        <f>IFERROR(__xludf.DUMMYFUNCTION("""COMPUTED_VALUE"""),45967.0)</f>
        <v>45967</v>
      </c>
      <c r="L1316" s="6">
        <v>30.0</v>
      </c>
      <c r="M1316" s="52">
        <v>45997.0</v>
      </c>
      <c r="N1316" s="53" t="s">
        <v>711</v>
      </c>
      <c r="O1316" s="6" t="s">
        <v>1345</v>
      </c>
      <c r="P1316" s="6"/>
      <c r="Q1316" s="6"/>
      <c r="R1316" s="6"/>
    </row>
    <row r="1317">
      <c r="A1317" s="31" t="str">
        <f>IFERROR(__xludf.DUMMYFUNCTION("""COMPUTED_VALUE"""),"814")</f>
        <v>814</v>
      </c>
      <c r="B1317" s="14" t="str">
        <f>IFERROR(__xludf.DUMMYFUNCTION("""COMPUTED_VALUE"""),"ВНЕ СПИСКА")</f>
        <v>ВНЕ СПИСКА</v>
      </c>
      <c r="C1317" s="14" t="str">
        <f>IFERROR(__xludf.DUMMYFUNCTION("""COMPUTED_VALUE"""),"ОКС")</f>
        <v>ОКС</v>
      </c>
      <c r="D1317" s="6"/>
      <c r="E1317" s="14" t="str">
        <f>IFERROR(__xludf.DUMMYFUNCTION("""COMPUTED_VALUE"""),"О ходе строительства здания суда Лефортовский и Таганский: Таможенный пр-д, влд. 3 (ЮВАО г. Москва, Таможенный пр-д, з/у 3/5")</f>
        <v>О ходе строительства здания суда Лефортовский и Таганский: Таможенный пр-д, влд. 3 (ЮВАО г. Москва, Таможенный пр-д, з/у 3/5</v>
      </c>
      <c r="F1317" s="25" t="str">
        <f>IFERROR(__xludf.DUMMYFUNCTION("""COMPUTED_VALUE"""),"55.752074")</f>
        <v>55.752074</v>
      </c>
      <c r="G1317" s="6" t="str">
        <f>IFERROR(__xludf.DUMMYFUNCTION("""COMPUTED_VALUE"""),"37.683623")</f>
        <v>37.683623</v>
      </c>
      <c r="H1317" s="18" t="str">
        <f>IFERROR(__xludf.DUMMYFUNCTION("""COMPUTED_VALUE"""),"https://docs.google.com/spreadsheets/d/1EI7qusa674eJhuaw-nWWtWMEHVSYMQv7HLsInEZTWpE/edit?gid=284186374#gid=284186374")</f>
        <v>https://docs.google.com/spreadsheets/d/1EI7qusa674eJhuaw-nWWtWMEHVSYMQv7HLsInEZTWpE/edit?gid=284186374#gid=284186374</v>
      </c>
      <c r="I1317" s="19" t="str">
        <f>IFERROR(__xludf.DUMMYFUNCTION("""COMPUTED_VALUE"""),"https://disk.yandex.ru/client/disk/Осмотры%20объектов%20АНО%20СМГ/814.%20О%20ходе%20проектирования%20и%20строительства%202-х%20зданий%20районных%20судов%3AЛефортовский%20и%20Таганский%2C%20по%20адресу%3A%20Таможенный%20пр-д%2C%20влд.%203")</f>
        <v>https://disk.yandex.ru/client/disk/Осмотры%20объектов%20АНО%20СМГ/814.%20О%20ходе%20проектирования%20и%20строительства%202-х%20зданий%20районных%20судов%3AЛефортовский%20и%20Таганский%2C%20по%20адресу%3A%20Таможенный%20пр-д%2C%20влд.%203</v>
      </c>
      <c r="J1317" s="50">
        <f>IFERROR(__xludf.DUMMYFUNCTION("""COMPUTED_VALUE"""),1.4812500000000002)</f>
        <v>1.48125</v>
      </c>
      <c r="K1317" s="58">
        <f>IFERROR(__xludf.DUMMYFUNCTION("""COMPUTED_VALUE"""),45967.0)</f>
        <v>45967</v>
      </c>
      <c r="L1317" s="6">
        <v>30.0</v>
      </c>
      <c r="M1317" s="52">
        <v>45997.0</v>
      </c>
      <c r="N1317" s="53" t="s">
        <v>711</v>
      </c>
      <c r="O1317" s="19" t="s">
        <v>1346</v>
      </c>
      <c r="P1317" s="6"/>
      <c r="Q1317" s="6"/>
      <c r="R1317" s="6"/>
    </row>
    <row r="1318">
      <c r="A1318" s="31" t="str">
        <f>IFERROR(__xludf.DUMMYFUNCTION("""COMPUTED_VALUE"""),"094")</f>
        <v>094</v>
      </c>
      <c r="B1318" s="14" t="str">
        <f>IFERROR(__xludf.DUMMYFUNCTION("""COMPUTED_VALUE"""),"ВНЕ СПИСКА")</f>
        <v>ВНЕ СПИСКА</v>
      </c>
      <c r="C1318" s="14" t="str">
        <f>IFERROR(__xludf.DUMMYFUNCTION("""COMPUTED_VALUE"""),"ОКС")</f>
        <v>ОКС</v>
      </c>
      <c r="D1318" s="6"/>
      <c r="E1318" s="14" t="str">
        <f>IFERROR(__xludf.DUMMYFUNCTION("""COMPUTED_VALUE"""),"ЖК «Марушкино», комплекс многоэтажных домов по адресу: г. Москва, НАО, поселение Марушкинское, деревня Марушкино, дом 1, 2, 3, 4 (завершение строительства), ЛОС г. Москва, внутригородская территория поселения Марушкинское, д. Марушкино, ул. Северная, д.21"&amp;", корп. 1,2,3,4")</f>
        <v>ЖК «Марушкино», комплекс многоэтажных домов по адресу: г. Москва, НАО, поселение Марушкинское, деревня Марушкино, дом 1, 2, 3, 4 (завершение строительства), ЛОС г. Москва, внутригородская территория поселения Марушкинское, д. Марушкино, ул. Северная, д.21, корп. 1,2,3,4</v>
      </c>
      <c r="F1318" s="25" t="str">
        <f>IFERROR(__xludf.DUMMYFUNCTION("""COMPUTED_VALUE"""),"#N/A")</f>
        <v>#N/A</v>
      </c>
      <c r="G1318" s="6" t="str">
        <f>IFERROR(__xludf.DUMMYFUNCTION("""COMPUTED_VALUE"""),"#N/A")</f>
        <v>#N/A</v>
      </c>
      <c r="H1318" s="18" t="str">
        <f>IFERROR(__xludf.DUMMYFUNCTION("""COMPUTED_VALUE"""),"https://docs.google.com/spreadsheets/d/1EI7qusa674eJhuaw-nWWtWMEHVSYMQv7HLsInEZTWpE/edit?gid=625849428#gid=625849428")</f>
        <v>https://docs.google.com/spreadsheets/d/1EI7qusa674eJhuaw-nWWtWMEHVSYMQv7HLsInEZTWpE/edit?gid=625849428#gid=625849428</v>
      </c>
      <c r="I1318" s="21" t="str">
        <f>IFERROR(__xludf.DUMMYFUNCTION("""COMPUTED_VALUE"""),"https://disk.yandex.ru/d/Ty3YtVPOrmVJ6A")</f>
        <v>https://disk.yandex.ru/d/Ty3YtVPOrmVJ6A</v>
      </c>
      <c r="J1318" s="50">
        <f>IFERROR(__xludf.DUMMYFUNCTION("""COMPUTED_VALUE"""),100.0)</f>
        <v>100</v>
      </c>
      <c r="K1318" s="58">
        <f>IFERROR(__xludf.DUMMYFUNCTION("""COMPUTED_VALUE"""),45861.0)</f>
        <v>45861</v>
      </c>
      <c r="L1318" s="6" t="s">
        <v>654</v>
      </c>
      <c r="M1318" s="52" t="s">
        <v>655</v>
      </c>
      <c r="N1318" s="53" t="s">
        <v>656</v>
      </c>
      <c r="O1318" s="19" t="s">
        <v>1347</v>
      </c>
      <c r="P1318" s="6"/>
      <c r="Q1318" s="6"/>
      <c r="R1318" s="6"/>
    </row>
    <row r="1319">
      <c r="A1319" s="31" t="str">
        <f>IFERROR(__xludf.DUMMYFUNCTION("""COMPUTED_VALUE"""),"1269")</f>
        <v>1269</v>
      </c>
      <c r="B1319" s="14" t="str">
        <f>IFERROR(__xludf.DUMMYFUNCTION("""COMPUTED_VALUE"""),"ВНЕ СПИСКА")</f>
        <v>ВНЕ СПИСКА</v>
      </c>
      <c r="C1319" s="14" t="str">
        <f>IFERROR(__xludf.DUMMYFUNCTION("""COMPUTED_VALUE"""),"ОКС")</f>
        <v>ОКС</v>
      </c>
      <c r="D1319" s="6"/>
      <c r="E1319" s="14" t="str">
        <f>IFERROR(__xludf.DUMMYFUNCTION("""COMPUTED_VALUE"""),"ЖК «Марушкино», комплекс многоэтажных домов по адресу: г. Москва, НАО, поселение Марушкинское, деревня Марушкино, дом 1, 2, 3, 4 (завершение строительства) г. Москва, внутригородская территория поселения Марушкинское, д. Марушкино, ул. Северная, д.21, кор"&amp;"п. 1,2,3,4")</f>
        <v>ЖК «Марушкино», комплекс многоэтажных домов по адресу: г. Москва, НАО, поселение Марушкинское, деревня Марушкино, дом 1, 2, 3, 4 (завершение строительства) г. Москва, внутригородская территория поселения Марушкинское, д. Марушкино, ул. Северная, д.21, корп. 1,2,3,4</v>
      </c>
      <c r="F1319" s="25" t="str">
        <f>IFERROR(__xludf.DUMMYFUNCTION("""COMPUTED_VALUE"""),"#N/A")</f>
        <v>#N/A</v>
      </c>
      <c r="G1319" s="6" t="str">
        <f>IFERROR(__xludf.DUMMYFUNCTION("""COMPUTED_VALUE"""),"#N/A")</f>
        <v>#N/A</v>
      </c>
      <c r="H1319" s="18" t="str">
        <f>IFERROR(__xludf.DUMMYFUNCTION("""COMPUTED_VALUE"""),"https://docs.google.com/spreadsheets/d/1EI7qusa674eJhuaw-nWWtWMEHVSYMQv7HLsInEZTWpE/edit?gid=1718528248#gid=1718528248")</f>
        <v>https://docs.google.com/spreadsheets/d/1EI7qusa674eJhuaw-nWWtWMEHVSYMQv7HLsInEZTWpE/edit?gid=1718528248#gid=1718528248</v>
      </c>
      <c r="I1319" s="21" t="str">
        <f>IFERROR(__xludf.DUMMYFUNCTION("""COMPUTED_VALUE"""),"https://disk.yandex.ru/client/disk/%D0%9E%D1%81%D0%BC%D0%BE%D1%82%D1%80%D1%8B%20%D0%BE%D0%B1%D1%8A%D0%B5%D0%BA%D1%82%D0%BE%D0%B2%20%D0%90%D0%9D%D0%9E%20%D0%A1%D0%9C%D0%93/1269.%20%D0%96%D0%9A%20%D0%9C%D0%B0%D1%80%D1%83%D1%88%D0%BA%D0%B8%D0%BD%D0%BE%2C%20%"&amp;"D1%83%D0%BB.%20%D0%A1%D0%B5%D0%B2%D0%B5%D1%80%D0%BD%D0%B0%D1%8F%2C%20%D0%B4.%2021%2C%20%D0%BA.%201-4")</f>
        <v>https://disk.yandex.ru/client/disk/%D0%9E%D1%81%D0%BC%D0%BE%D1%82%D1%80%D1%8B%20%D0%BE%D0%B1%D1%8A%D0%B5%D0%BA%D1%82%D0%BE%D0%B2%20%D0%90%D0%9D%D0%9E%20%D0%A1%D0%9C%D0%93/1269.%20%D0%96%D0%9A%20%D0%9C%D0%B0%D1%80%D1%83%D1%88%D0%BA%D0%B8%D0%BD%D0%BE%2C%20%D1%83%D0%BB.%20%D0%A1%D0%B5%D0%B2%D0%B5%D1%80%D0%BD%D0%B0%D1%8F%2C%20%D0%B4.%2021%2C%20%D0%BA.%201-4</v>
      </c>
      <c r="J1319" s="50">
        <f>IFERROR(__xludf.DUMMYFUNCTION("""COMPUTED_VALUE"""),100.0)</f>
        <v>100</v>
      </c>
      <c r="K1319" s="58">
        <f>IFERROR(__xludf.DUMMYFUNCTION("""COMPUTED_VALUE"""),45861.0)</f>
        <v>45861</v>
      </c>
      <c r="L1319" s="6" t="s">
        <v>654</v>
      </c>
      <c r="M1319" s="52" t="s">
        <v>655</v>
      </c>
      <c r="N1319" s="53" t="s">
        <v>656</v>
      </c>
      <c r="O1319" s="19" t="s">
        <v>1348</v>
      </c>
      <c r="P1319" s="6"/>
      <c r="Q1319" s="6"/>
      <c r="R1319" s="6"/>
    </row>
    <row r="1320">
      <c r="A1320" s="31" t="str">
        <f>IFERROR(__xludf.DUMMYFUNCTION("""COMPUTED_VALUE"""),"454д")</f>
        <v>454д</v>
      </c>
      <c r="B1320" s="14" t="str">
        <f>IFERROR(__xludf.DUMMYFUNCTION("""COMPUTED_VALUE"""),"ДСТИ")</f>
        <v>ДСТИ</v>
      </c>
      <c r="C1320" s="14" t="str">
        <f>IFERROR(__xludf.DUMMYFUNCTION("""COMPUTED_VALUE"""),"УДС")</f>
        <v>УДС</v>
      </c>
      <c r="D1320" s="6"/>
      <c r="E1320" s="14" t="str">
        <f>IFERROR(__xludf.DUMMYFUNCTION("""COMPUTED_VALUE"""),"Строительство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f>
        <v>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v>
      </c>
      <c r="F1320" s="25" t="str">
        <f>IFERROR(__xludf.DUMMYFUNCTION("""COMPUTED_VALUE"""),"#N/A")</f>
        <v>#N/A</v>
      </c>
      <c r="G1320" s="6" t="str">
        <f>IFERROR(__xludf.DUMMYFUNCTION("""COMPUTED_VALUE"""),"#N/A")</f>
        <v>#N/A</v>
      </c>
      <c r="H1320" s="6"/>
      <c r="I1320" s="19"/>
      <c r="J1320" s="50">
        <f>IFERROR(__xludf.DUMMYFUNCTION("""COMPUTED_VALUE"""),71.72900000000001)</f>
        <v>71.729</v>
      </c>
      <c r="K1320" s="58">
        <f>IFERROR(__xludf.DUMMYFUNCTION("""COMPUTED_VALUE"""),45923.0)</f>
        <v>45923</v>
      </c>
      <c r="L1320" s="6">
        <v>14.0</v>
      </c>
      <c r="M1320" s="52">
        <v>45937.0</v>
      </c>
      <c r="N1320" s="53" t="s">
        <v>668</v>
      </c>
      <c r="O1320" s="19" t="s">
        <v>1349</v>
      </c>
      <c r="P1320" s="6"/>
      <c r="Q1320" s="6"/>
      <c r="R1320" s="6"/>
    </row>
    <row r="1321">
      <c r="A1321" s="31" t="str">
        <f>IFERROR(__xludf.DUMMYFUNCTION("""COMPUTED_VALUE"""),"нд")</f>
        <v>нд</v>
      </c>
      <c r="B1321" s="14" t="str">
        <f>IFERROR(__xludf.DUMMYFUNCTION("""COMPUTED_VALUE"""),"ВНЕ СПИСКА")</f>
        <v>ВНЕ СПИСКА</v>
      </c>
      <c r="C1321" s="14" t="str">
        <f>IFERROR(__xludf.DUMMYFUNCTION("""COMPUTED_VALUE"""),"УДС")</f>
        <v>УДС</v>
      </c>
      <c r="D1321" s="6"/>
      <c r="E1321" s="14" t="str">
        <f>IFERROR(__xludf.DUMMYFUNCTION("""COMPUTED_VALUE"""),"Строительство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5 Этап - Этап V - «Ст"&amp;"роитльство конечных станций в районе станций метро «Филатов луг», «Прокшино» «Столбово», «Ольховая». г. Москва, п. Московский")</f>
        <v>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5 Этап - Этап V - «Строитльство конечных станций в районе станций метро «Филатов луг», «Прокшино» «Столбово», «Ольховая». г. Москва, п. Московский</v>
      </c>
      <c r="F1321" s="25" t="str">
        <f>IFERROR(__xludf.DUMMYFUNCTION("""COMPUTED_VALUE"""),"#N/A")</f>
        <v>#N/A</v>
      </c>
      <c r="G1321" s="6" t="str">
        <f>IFERROR(__xludf.DUMMYFUNCTION("""COMPUTED_VALUE"""),"#N/A")</f>
        <v>#N/A</v>
      </c>
      <c r="H1321" s="6"/>
      <c r="I1321" s="6"/>
      <c r="J1321" s="50"/>
      <c r="K1321" s="58"/>
      <c r="L1321" s="6">
        <v>30.0</v>
      </c>
      <c r="M1321" s="52" t="s">
        <v>655</v>
      </c>
      <c r="N1321" s="53" t="s">
        <v>698</v>
      </c>
      <c r="O1321" s="6" t="s">
        <v>1350</v>
      </c>
      <c r="P1321" s="6"/>
      <c r="Q1321" s="6"/>
      <c r="R1321" s="6"/>
    </row>
    <row r="1322">
      <c r="A1322" s="31" t="str">
        <f>IFERROR(__xludf.DUMMYFUNCTION("""COMPUTED_VALUE"""),"1238")</f>
        <v>1238</v>
      </c>
      <c r="B1322" s="14" t="str">
        <f>IFERROR(__xludf.DUMMYFUNCTION("""COMPUTED_VALUE"""),"ВНЕ СПИСКА")</f>
        <v>ВНЕ СПИСКА</v>
      </c>
      <c r="C1322" s="14" t="str">
        <f>IFERROR(__xludf.DUMMYFUNCTION("""COMPUTED_VALUE"""),"ОКС")</f>
        <v>ОКС</v>
      </c>
      <c r="D1322" s="6"/>
      <c r="E1322" s="14" t="str">
        <f>IFERROR(__xludf.DUMMYFUNCTION("""COMPUTED_VALUE"""),"Жилой дом с инженерными сетями и благоустройством территории, САО, район Головинский, 2-й Лихачевский переулок дом 4/1 (2-й Лихачевский переулок, зу 4) 2-й Лихачевский пер., з/у 4")</f>
        <v>Жилой дом с инженерными сетями и благоустройством территории, САО, район Головинский, 2-й Лихачевский переулок дом 4/1 (2-й Лихачевский переулок, зу 4) 2-й Лихачевский пер., з/у 4</v>
      </c>
      <c r="F1322" s="25" t="str">
        <f>IFERROR(__xludf.DUMMYFUNCTION("""COMPUTED_VALUE"""),"#N/A")</f>
        <v>#N/A</v>
      </c>
      <c r="G1322" s="6" t="str">
        <f>IFERROR(__xludf.DUMMYFUNCTION("""COMPUTED_VALUE"""),"#N/A")</f>
        <v>#N/A</v>
      </c>
      <c r="H1322" s="18" t="str">
        <f>IFERROR(__xludf.DUMMYFUNCTION("""COMPUTED_VALUE"""),"https://docs.google.com/spreadsheets/d/1EI7qusa674eJhuaw-nWWtWMEHVSYMQv7HLsInEZTWpE/edit?gid=706983585#gid=706983585")</f>
        <v>https://docs.google.com/spreadsheets/d/1EI7qusa674eJhuaw-nWWtWMEHVSYMQv7HLsInEZTWpE/edit?gid=706983585#gid=706983585</v>
      </c>
      <c r="I1322" s="6" t="str">
        <f>IFERROR(__xludf.DUMMYFUNCTION("""COMPUTED_VALUE"""),"https://disk.yandex.ru/client/disk/Осмотры%20объектов%20АНО%20СМГ/1238.%202%20Лизачевакий%20переулок%204")</f>
        <v>https://disk.yandex.ru/client/disk/Осмотры%20объектов%20АНО%20СМГ/1238.%202%20Лизачевакий%20переулок%204</v>
      </c>
      <c r="J1322" s="50">
        <f>IFERROR(__xludf.DUMMYFUNCTION("""COMPUTED_VALUE"""),97.314)</f>
        <v>97.314</v>
      </c>
      <c r="K1322" s="58">
        <f>IFERROR(__xludf.DUMMYFUNCTION("""COMPUTED_VALUE"""),45846.0)</f>
        <v>45846</v>
      </c>
      <c r="L1322" s="6">
        <v>7.0</v>
      </c>
      <c r="M1322" s="52">
        <v>45853.0</v>
      </c>
      <c r="N1322" s="53" t="s">
        <v>652</v>
      </c>
      <c r="O1322" s="6" t="s">
        <v>1351</v>
      </c>
      <c r="P1322" s="6"/>
      <c r="Q1322" s="6"/>
      <c r="R1322" s="6"/>
    </row>
    <row r="1323">
      <c r="A1323" s="31" t="str">
        <f>IFERROR(__xludf.DUMMYFUNCTION("""COMPUTED_VALUE"""),"1239")</f>
        <v>1239</v>
      </c>
      <c r="B1323" s="14" t="str">
        <f>IFERROR(__xludf.DUMMYFUNCTION("""COMPUTED_VALUE"""),"РЕН-25")</f>
        <v>РЕН-25</v>
      </c>
      <c r="C1323" s="14" t="str">
        <f>IFERROR(__xludf.DUMMYFUNCTION("""COMPUTED_VALUE"""),"ОКС")</f>
        <v>ОКС</v>
      </c>
      <c r="D1323" s="6"/>
      <c r="E1323" s="14" t="str">
        <f>IFERROR(__xludf.DUMMYFUNCTION("""COMPUTED_VALUE"""),"Жилой дом с инженерными сетями и благоустройством территории (со сносом жилых домов по адресам: Волгоградский пр-т, д. 107, к.3 и Волгоградский пр-т, д. 107, к.4), ЮВАО, внутригородское муниципальное образование Кузьминки, Волгоградский проспект, дом 107 "&amp;"корпус 4 (земельный участок 107/4) Волгоградский пр-т, з/у 107/4")</f>
        <v>Жилой дом с инженерными сетями и благоустройством территории (со сносом жилых домов по адресам: Волгоградский пр-т, д. 107, к.3 и Волгоградский пр-т, д. 107, к.4), ЮВАО, внутригородское муниципальное образование Кузьминки, Волгоградский проспект, дом 107 корпус 4 (земельный участок 107/4) Волгоградский пр-т, з/у 107/4</v>
      </c>
      <c r="F1323" s="25" t="str">
        <f>IFERROR(__xludf.DUMMYFUNCTION("""COMPUTED_VALUE"""),"#N/A")</f>
        <v>#N/A</v>
      </c>
      <c r="G1323" s="6" t="str">
        <f>IFERROR(__xludf.DUMMYFUNCTION("""COMPUTED_VALUE"""),"#N/A")</f>
        <v>#N/A</v>
      </c>
      <c r="H1323" s="18" t="str">
        <f>IFERROR(__xludf.DUMMYFUNCTION("""COMPUTED_VALUE"""),"https://docs.google.com/spreadsheets/d/1H1MjbG2y0oC0hhID4do1G0_gfyI1jag72lQd7nL3WDQ/edit?gid=1207523393#gid=1207523393")</f>
        <v>https://docs.google.com/spreadsheets/d/1H1MjbG2y0oC0hhID4do1G0_gfyI1jag72lQd7nL3WDQ/edit?gid=1207523393#gid=1207523393</v>
      </c>
      <c r="I1323" s="19" t="str">
        <f>IFERROR(__xludf.DUMMYFUNCTION("""COMPUTED_VALUE"""),"https://disk.yandex.ru/client/disk/Осмотры%20объектов%20АНО%20СМГ/1239%20Волгоградский%20пр-т%20107%2C%20к.4")</f>
        <v>https://disk.yandex.ru/client/disk/Осмотры%20объектов%20АНО%20СМГ/1239%20Волгоградский%20пр-т%20107%2C%20к.4</v>
      </c>
      <c r="J1323" s="50">
        <f>IFERROR(__xludf.DUMMYFUNCTION("""COMPUTED_VALUE"""),99.84281)</f>
        <v>99.84281</v>
      </c>
      <c r="K1323" s="58">
        <f>IFERROR(__xludf.DUMMYFUNCTION("""COMPUTED_VALUE"""),45874.0)</f>
        <v>45874</v>
      </c>
      <c r="L1323" s="6">
        <v>7.0</v>
      </c>
      <c r="M1323" s="52">
        <v>45881.0</v>
      </c>
      <c r="N1323" s="53" t="s">
        <v>652</v>
      </c>
      <c r="O1323" s="19" t="s">
        <v>1352</v>
      </c>
      <c r="P1323" s="6"/>
      <c r="Q1323" s="6"/>
      <c r="R1323" s="6"/>
    </row>
    <row r="1324">
      <c r="A1324" s="31" t="str">
        <f>IFERROR(__xludf.DUMMYFUNCTION("""COMPUTED_VALUE"""),"НД")</f>
        <v>НД</v>
      </c>
      <c r="B1324" s="14" t="str">
        <f>IFERROR(__xludf.DUMMYFUNCTION("""COMPUTED_VALUE"""),"ВНЕ СПИСКА")</f>
        <v>ВНЕ СПИСКА</v>
      </c>
      <c r="C1324" s="14" t="str">
        <f>IFERROR(__xludf.DUMMYFUNCTION("""COMPUTED_VALUE"""),"ОКС")</f>
        <v>ОКС</v>
      </c>
      <c r="D1324" s="6" t="str">
        <f>IFERROR(__xludf.DUMMYFUNCTION("""COMPUTED_VALUE"""),"да")</f>
        <v>да</v>
      </c>
      <c r="E1324" s="14" t="str">
        <f>IFERROR(__xludf.DUMMYFUNCTION("""COMPUTED_VALUE"""),"Хамовники, ул. Усачева, 22 Хамовники, ул. Усачева, 22")</f>
        <v>Хамовники, ул. Усачева, 22 Хамовники, ул. Усачева, 22</v>
      </c>
      <c r="F1324" s="25" t="str">
        <f>IFERROR(__xludf.DUMMYFUNCTION("""COMPUTED_VALUE"""),"#N/A")</f>
        <v>#N/A</v>
      </c>
      <c r="G1324" s="6" t="str">
        <f>IFERROR(__xludf.DUMMYFUNCTION("""COMPUTED_VALUE"""),"#N/A")</f>
        <v>#N/A</v>
      </c>
      <c r="H1324" s="6"/>
      <c r="I1324" s="19" t="str">
        <f>IFERROR(__xludf.DUMMYFUNCTION("""COMPUTED_VALUE"""),"https://disk.yandex.ru/client/disk/Осмотры%20объектов%20АНО%20СМГ/Усачева%2022")</f>
        <v>https://disk.yandex.ru/client/disk/Осмотры%20объектов%20АНО%20СМГ/Усачева%2022</v>
      </c>
      <c r="J1324" s="50"/>
      <c r="K1324" s="58"/>
      <c r="L1324" s="6">
        <v>30.0</v>
      </c>
      <c r="M1324" s="52" t="s">
        <v>655</v>
      </c>
      <c r="N1324" s="53" t="s">
        <v>698</v>
      </c>
      <c r="O1324" s="19" t="s">
        <v>1353</v>
      </c>
      <c r="P1324" s="6"/>
      <c r="Q1324" s="6"/>
      <c r="R1324" s="6"/>
    </row>
    <row r="1325">
      <c r="A1325" s="31" t="str">
        <f>IFERROR(__xludf.DUMMYFUNCTION("""COMPUTED_VALUE"""),"НД")</f>
        <v>НД</v>
      </c>
      <c r="B1325" s="14" t="str">
        <f>IFERROR(__xludf.DUMMYFUNCTION("""COMPUTED_VALUE"""),"ВНЕ СПИСКА")</f>
        <v>ВНЕ СПИСКА</v>
      </c>
      <c r="C1325" s="14" t="str">
        <f>IFERROR(__xludf.DUMMYFUNCTION("""COMPUTED_VALUE"""),"ОКС")</f>
        <v>ОКС</v>
      </c>
      <c r="D1325" s="6"/>
      <c r="E1325" s="14" t="str">
        <f>IFERROR(__xludf.DUMMYFUNCTION("""COMPUTED_VALUE"""),"Выполнение проектно-изыскательских работ по объекту: ""Спортивный комплекс по адресу: р-н Выхино-Жулебино, пересечение ул. Привольная и ул. Авиаконструктора Миля"" пересечение ул. Привольная и ул. Авиаконструктора Миля")</f>
        <v>Выполнение проектно-изыскательских работ по объекту: "Спортивный комплекс по адресу: р-н Выхино-Жулебино, пересечение ул. Привольная и ул. Авиаконструктора Миля" пересечение ул. Привольная и ул. Авиаконструктора Миля</v>
      </c>
      <c r="F1325" s="25" t="str">
        <f>IFERROR(__xludf.DUMMYFUNCTION("""COMPUTED_VALUE"""),"#N/A")</f>
        <v>#N/A</v>
      </c>
      <c r="G1325" s="6" t="str">
        <f>IFERROR(__xludf.DUMMYFUNCTION("""COMPUTED_VALUE"""),"#N/A")</f>
        <v>#N/A</v>
      </c>
      <c r="H1325" s="6"/>
      <c r="I1325" s="19"/>
      <c r="J1325" s="50"/>
      <c r="K1325" s="58"/>
      <c r="L1325" s="6">
        <v>30.0</v>
      </c>
      <c r="M1325" s="52" t="s">
        <v>655</v>
      </c>
      <c r="N1325" s="53" t="s">
        <v>698</v>
      </c>
      <c r="O1325" s="19" t="s">
        <v>1354</v>
      </c>
      <c r="P1325" s="6"/>
      <c r="Q1325" s="6"/>
      <c r="R1325" s="6"/>
    </row>
    <row r="1326">
      <c r="A1326" s="31" t="str">
        <f>IFERROR(__xludf.DUMMYFUNCTION("""COMPUTED_VALUE"""),"НД")</f>
        <v>НД</v>
      </c>
      <c r="B1326" s="14" t="str">
        <f>IFERROR(__xludf.DUMMYFUNCTION("""COMPUTED_VALUE"""),"ВНЕ СПИСКА")</f>
        <v>ВНЕ СПИСКА</v>
      </c>
      <c r="C1326" s="14" t="str">
        <f>IFERROR(__xludf.DUMMYFUNCTION("""COMPUTED_VALUE"""),"УДС")</f>
        <v>УДС</v>
      </c>
      <c r="D1326" s="6"/>
      <c r="E1326" s="14" t="str">
        <f>IFERROR(__xludf.DUMMYFUNCTION("""COMPUTED_VALUE"""),"Выполнение проектно-изыскательских работ и работ по строительству объекта капитального строительства «Улично-дорожная сеть к ТПУ «Терешково», включая проезд от ул. 50 лет Октября до ул. Татьянин парк» 2 этап» Улично-дорожная сеть к ТПУ ""Терешково"", вклю"&amp;"чая проезд от ул. 50 лет Октября до ул. Татьянин парк")</f>
        <v>Выполнение проектно-изыскательских работ и работ по строительству объекта капитального строительства «Улично-дорожная сеть к ТПУ «Терешково», включая проезд от ул. 50 лет Октября до ул. Татьянин парк» 2 этап» Улично-дорожная сеть к ТПУ "Терешково", включая проезд от ул. 50 лет Октября до ул. Татьянин парк</v>
      </c>
      <c r="F1326" s="25" t="str">
        <f>IFERROR(__xludf.DUMMYFUNCTION("""COMPUTED_VALUE"""),"#N/A")</f>
        <v>#N/A</v>
      </c>
      <c r="G1326" s="6" t="str">
        <f>IFERROR(__xludf.DUMMYFUNCTION("""COMPUTED_VALUE"""),"#N/A")</f>
        <v>#N/A</v>
      </c>
      <c r="H1326" s="6"/>
      <c r="I1326" s="19"/>
      <c r="J1326" s="50"/>
      <c r="K1326" s="58"/>
      <c r="L1326" s="6">
        <v>30.0</v>
      </c>
      <c r="M1326" s="52" t="s">
        <v>655</v>
      </c>
      <c r="N1326" s="53" t="s">
        <v>698</v>
      </c>
      <c r="O1326" s="19" t="s">
        <v>1355</v>
      </c>
      <c r="P1326" s="6"/>
      <c r="Q1326" s="6"/>
      <c r="R1326" s="6"/>
    </row>
    <row r="1327">
      <c r="A1327" s="31" t="str">
        <f>IFERROR(__xludf.DUMMYFUNCTION("""COMPUTED_VALUE"""),"НД")</f>
        <v>НД</v>
      </c>
      <c r="B1327" s="14" t="str">
        <f>IFERROR(__xludf.DUMMYFUNCTION("""COMPUTED_VALUE"""),"ВНЕ СПИСКА")</f>
        <v>ВНЕ СПИСКА</v>
      </c>
      <c r="C1327" s="14" t="str">
        <f>IFERROR(__xludf.DUMMYFUNCTION("""COMPUTED_VALUE"""),"ОКС")</f>
        <v>ОКС</v>
      </c>
      <c r="D1327" s="6" t="str">
        <f>IFERROR(__xludf.DUMMYFUNCTION("""COMPUTED_VALUE"""),"да")</f>
        <v>да</v>
      </c>
      <c r="E1327" s="14" t="str">
        <f>IFERROR(__xludf.DUMMYFUNCTION("""COMPUTED_VALUE"""),"О размещении Национального центра ""Россия"" Краснопресненская набережная, влд. 14")</f>
        <v>О размещении Национального центра "Россия" Краснопресненская набережная, влд. 14</v>
      </c>
      <c r="F1327" s="25" t="str">
        <f>IFERROR(__xludf.DUMMYFUNCTION("""COMPUTED_VALUE"""),"#N/A")</f>
        <v>#N/A</v>
      </c>
      <c r="G1327" s="6" t="str">
        <f>IFERROR(__xludf.DUMMYFUNCTION("""COMPUTED_VALUE"""),"#N/A")</f>
        <v>#N/A</v>
      </c>
      <c r="H1327" s="6"/>
      <c r="I1327" s="6" t="str">
        <f>IFERROR(__xludf.DUMMYFUNCTION("""COMPUTED_VALUE"""),"https://disk.yandex.ru/client/disk/Осмотры%20объектов%20АНО%20СМГ/Национальный%20центр%20%22РОССИЯ%22%20%2C%20Краснопресненская%20набережная%2C%20вл.14%2C%20ЦАО")</f>
        <v>https://disk.yandex.ru/client/disk/Осмотры%20объектов%20АНО%20СМГ/Национальный%20центр%20%22РОССИЯ%22%20%2C%20Краснопресненская%20набережная%2C%20вл.14%2C%20ЦАО</v>
      </c>
      <c r="J1327" s="50"/>
      <c r="K1327" s="58"/>
      <c r="L1327" s="6">
        <v>30.0</v>
      </c>
      <c r="M1327" s="52" t="s">
        <v>655</v>
      </c>
      <c r="N1327" s="53" t="s">
        <v>698</v>
      </c>
      <c r="O1327" s="6" t="s">
        <v>1356</v>
      </c>
      <c r="P1327" s="6"/>
      <c r="Q1327" s="6"/>
      <c r="R1327" s="6"/>
    </row>
    <row r="1328">
      <c r="A1328" s="31" t="str">
        <f>IFERROR(__xludf.DUMMYFUNCTION("""COMPUTED_VALUE"""),"058")</f>
        <v>058</v>
      </c>
      <c r="B1328" s="14" t="str">
        <f>IFERROR(__xludf.DUMMYFUNCTION("""COMPUTED_VALUE"""),"ВНЕ СПИСКА")</f>
        <v>ВНЕ СПИСКА</v>
      </c>
      <c r="C1328" s="14" t="str">
        <f>IFERROR(__xludf.DUMMYFUNCTION("""COMPUTED_VALUE"""),"ОКС")</f>
        <v>ОКС</v>
      </c>
      <c r="D1328" s="6" t="str">
        <f>IFERROR(__xludf.DUMMYFUNCTION("""COMPUTED_VALUE"""),"да")</f>
        <v>да</v>
      </c>
      <c r="E1328" s="14" t="str">
        <f>IFERROR(__xludf.DUMMYFUNCTION("""COMPUTED_VALUE"""),"Комплекс СОШ+ДОУ Образовательный комплекс (СОШ 750, ДОУ 300) п. Филимонковское, ОАО «Марьинская птицефабрика», вблизи д. Марьино, ЖК «Квартал Марьино» вблизи д. Марьино, квартал 176, земельный участок 1/3")</f>
        <v>Комплекс СОШ+ДОУ Образовательный комплекс (СОШ 750, ДОУ 300) п. Филимонковское, ОАО «Марьинская птицефабрика», вблизи д. Марьино, ЖК «Квартал Марьино» вблизи д. Марьино, квартал 176, земельный участок 1/3</v>
      </c>
      <c r="F1328" s="25" t="str">
        <f>IFERROR(__xludf.DUMMYFUNCTION("""COMPUTED_VALUE"""),"55.549503401242475")</f>
        <v>55.549503401242475</v>
      </c>
      <c r="G1328" s="6" t="str">
        <f>IFERROR(__xludf.DUMMYFUNCTION("""COMPUTED_VALUE"""),"37.305016193144255")</f>
        <v>37.305016193144255</v>
      </c>
      <c r="H1328" s="18" t="str">
        <f>IFERROR(__xludf.DUMMYFUNCTION("""COMPUTED_VALUE"""),"https://docs.google.com/spreadsheets/d/1EI7qusa674eJhuaw-nWWtWMEHVSYMQv7HLsInEZTWpE/edit?gid=1499291407#gid=1499291407")</f>
        <v>https://docs.google.com/spreadsheets/d/1EI7qusa674eJhuaw-nWWtWMEHVSYMQv7HLsInEZTWpE/edit?gid=1499291407#gid=1499291407</v>
      </c>
      <c r="I1328" s="19" t="str">
        <f>IFERROR(__xludf.DUMMYFUNCTION("""COMPUTED_VALUE"""),"https://disk.yandex.ru/client/disk/Осмотры%20объектов%20АНО%20СМГ/058.%20Образовательный%20комплекс%20(СОШ%20750%2C%20ДОУ%20300)%20НАО%2C%20п.%20Филимонковское%2C%20ОАО%20«Марьинская%20птицефабрика»%2C%20вблизи%20д.%20Марьино%2C%20ЖК%20«Квартал%20Марьино»")</f>
        <v>https://disk.yandex.ru/client/disk/Осмотры%20объектов%20АНО%20СМГ/058.%20Образовательный%20комплекс%20(СОШ%20750%2C%20ДОУ%20300)%20НАО%2C%20п.%20Филимонковское%2C%20ОАО%20«Марьинская%20птицефабрика»%2C%20вблизи%20д.%20Марьино%2C%20ЖК%20«Квартал%20Марьино»</v>
      </c>
      <c r="J1328" s="50">
        <f>IFERROR(__xludf.DUMMYFUNCTION("""COMPUTED_VALUE"""),28.003657500000003)</f>
        <v>28.0036575</v>
      </c>
      <c r="K1328" s="58">
        <f>IFERROR(__xludf.DUMMYFUNCTION("""COMPUTED_VALUE"""),45959.0)</f>
        <v>45959</v>
      </c>
      <c r="L1328" s="6">
        <v>30.0</v>
      </c>
      <c r="M1328" s="52">
        <v>45989.0</v>
      </c>
      <c r="N1328" s="53" t="s">
        <v>692</v>
      </c>
      <c r="O1328" s="19" t="s">
        <v>1357</v>
      </c>
      <c r="P1328" s="6"/>
      <c r="Q1328" s="6"/>
      <c r="R1328" s="6"/>
    </row>
    <row r="1329">
      <c r="A1329" s="31" t="str">
        <f>IFERROR(__xludf.DUMMYFUNCTION("""COMPUTED_VALUE"""),"395")</f>
        <v>395</v>
      </c>
      <c r="B1329" s="14" t="str">
        <f>IFERROR(__xludf.DUMMYFUNCTION("""COMPUTED_VALUE"""),"РЕН-25")</f>
        <v>РЕН-25</v>
      </c>
      <c r="C1329" s="14" t="str">
        <f>IFERROR(__xludf.DUMMYFUNCTION("""COMPUTED_VALUE"""),"ОКС")</f>
        <v>ОКС</v>
      </c>
      <c r="D1329" s="6"/>
      <c r="E1329" s="14" t="str">
        <f>IFERROR(__xludf.DUMMYFUNCTION("""COMPUTED_VALUE"""),"Жилой дом с инженерными сетями и благоустройством территории (со сносом жилого дома по адресу: г. Москва, ул. Артюхиной, д.26А), ЮВАО, район Текстильщики, ул. Артюхиной дом 26А (ул. Артюхиной, земелный участок 26А/1) улица Артюхиной, земельный участок 26А"&amp;"/2")</f>
        <v>Жилой дом с инженерными сетями и благоустройством территории (со сносом жилого дома по адресу: г. Москва, ул. Артюхиной, д.26А), ЮВАО, район Текстильщики, ул. Артюхиной дом 26А (ул. Артюхиной, земелный участок 26А/1) улица Артюхиной, земельный участок 26А/2</v>
      </c>
      <c r="F1329" s="25" t="str">
        <f>IFERROR(__xludf.DUMMYFUNCTION("""COMPUTED_VALUE"""),"#N/A")</f>
        <v>#N/A</v>
      </c>
      <c r="G1329" s="6" t="str">
        <f>IFERROR(__xludf.DUMMYFUNCTION("""COMPUTED_VALUE"""),"#N/A")</f>
        <v>#N/A</v>
      </c>
      <c r="H1329" s="18" t="str">
        <f>IFERROR(__xludf.DUMMYFUNCTION("""COMPUTED_VALUE"""),"https://docs.google.com/spreadsheets/d/1H1MjbG2y0oC0hhID4do1G0_gfyI1jag72lQd7nL3WDQ/edit?gid=64389007#gid=64389007")</f>
        <v>https://docs.google.com/spreadsheets/d/1H1MjbG2y0oC0hhID4do1G0_gfyI1jag72lQd7nL3WDQ/edit?gid=64389007#gid=64389007</v>
      </c>
      <c r="I1329" s="19" t="str">
        <f>IFERROR(__xludf.DUMMYFUNCTION("""COMPUTED_VALUE"""),"https://disk.yandex.ru/client/disk/Осмотры%20объектов%20АНО%20СМГ/395.%20ул.%20Артюхиной%20д.26%20А")</f>
        <v>https://disk.yandex.ru/client/disk/Осмотры%20объектов%20АНО%20СМГ/395.%20ул.%20Артюхиной%20д.26%20А</v>
      </c>
      <c r="J1329" s="50">
        <f>IFERROR(__xludf.DUMMYFUNCTION("""COMPUTED_VALUE"""),99.919)</f>
        <v>99.919</v>
      </c>
      <c r="K1329" s="58">
        <f>IFERROR(__xludf.DUMMYFUNCTION("""COMPUTED_VALUE"""),45859.0)</f>
        <v>45859</v>
      </c>
      <c r="L1329" s="6">
        <v>7.0</v>
      </c>
      <c r="M1329" s="52">
        <v>45866.0</v>
      </c>
      <c r="N1329" s="53" t="s">
        <v>652</v>
      </c>
      <c r="O1329" s="19" t="s">
        <v>1358</v>
      </c>
      <c r="P1329" s="6"/>
      <c r="Q1329" s="6"/>
      <c r="R1329" s="6"/>
    </row>
    <row r="1330">
      <c r="A1330" s="31" t="str">
        <f>IFERROR(__xludf.DUMMYFUNCTION("""COMPUTED_VALUE"""),"НД")</f>
        <v>НД</v>
      </c>
      <c r="B1330" s="14" t="str">
        <f>IFERROR(__xludf.DUMMYFUNCTION("""COMPUTED_VALUE"""),"ВНЕ СПИСКА")</f>
        <v>ВНЕ СПИСКА</v>
      </c>
      <c r="C1330" s="14"/>
      <c r="D1330" s="6"/>
      <c r="E1330" s="14" t="str">
        <f>IFERROR(__xludf.DUMMYFUNCTION("""COMPUTED_VALUE"""),"Троицкая линия метрополитена на уч. ""Новаторская""- ""Коммунарка"" (Метро ""Славянский Мир"" переименовано в ""Тютчевская"" районе Коммунарка")</f>
        <v>Троицкая линия метрополитена на уч. "Новаторская"- "Коммунарка" (Метро "Славянский Мир" переименовано в "Тютчевская" районе Коммунарка</v>
      </c>
      <c r="F1330" s="25" t="str">
        <f>IFERROR(__xludf.DUMMYFUNCTION("""COMPUTED_VALUE"""),"#N/A")</f>
        <v>#N/A</v>
      </c>
      <c r="G1330" s="6" t="str">
        <f>IFERROR(__xludf.DUMMYFUNCTION("""COMPUTED_VALUE"""),"#N/A")</f>
        <v>#N/A</v>
      </c>
      <c r="H1330" s="6"/>
      <c r="I1330" s="19"/>
      <c r="J1330" s="50"/>
      <c r="K1330" s="58"/>
      <c r="L1330" s="6">
        <v>30.0</v>
      </c>
      <c r="M1330" s="52" t="s">
        <v>655</v>
      </c>
      <c r="N1330" s="53" t="s">
        <v>698</v>
      </c>
      <c r="O1330" s="19"/>
      <c r="P1330" s="6"/>
      <c r="Q1330" s="6"/>
      <c r="R1330" s="6"/>
    </row>
    <row r="1331">
      <c r="A1331" s="31" t="str">
        <f>IFERROR(__xludf.DUMMYFUNCTION("""COMPUTED_VALUE"""),"947")</f>
        <v>947</v>
      </c>
      <c r="B1331" s="14" t="str">
        <f>IFERROR(__xludf.DUMMYFUNCTION("""COMPUTED_VALUE"""),"ВНЕ СПИСКА")</f>
        <v>ВНЕ СПИСКА</v>
      </c>
      <c r="C1331" s="14" t="str">
        <f>IFERROR(__xludf.DUMMYFUNCTION("""COMPUTED_VALUE"""),"ОКС")</f>
        <v>ОКС</v>
      </c>
      <c r="D1331" s="6"/>
      <c r="E1331" s="14" t="str">
        <f>IFERROR(__xludf.DUMMYFUNCTION("""COMPUTED_VALUE"""),"Реконструкция со строительством культурно-образовательного центра, ул. Вавилова, д. 57, стр. 1 ул. Вавилова, д. 57, стр. 1")</f>
        <v>Реконструкция со строительством культурно-образовательного центра, ул. Вавилова, д. 57, стр. 1 ул. Вавилова, д. 57, стр. 1</v>
      </c>
      <c r="F1331" s="25" t="str">
        <f>IFERROR(__xludf.DUMMYFUNCTION("""COMPUTED_VALUE"""),"#N/A")</f>
        <v>#N/A</v>
      </c>
      <c r="G1331" s="6" t="str">
        <f>IFERROR(__xludf.DUMMYFUNCTION("""COMPUTED_VALUE"""),"#N/A")</f>
        <v>#N/A</v>
      </c>
      <c r="H1331" s="18" t="str">
        <f>IFERROR(__xludf.DUMMYFUNCTION("""COMPUTED_VALUE"""),"https://docs.google.com/spreadsheets/d/1EI7qusa674eJhuaw-nWWtWMEHVSYMQv7HLsInEZTWpE/edit?gid=1454177438#gid=1454177438")</f>
        <v>https://docs.google.com/spreadsheets/d/1EI7qusa674eJhuaw-nWWtWMEHVSYMQv7HLsInEZTWpE/edit?gid=1454177438#gid=1454177438</v>
      </c>
      <c r="I1331" s="19" t="str">
        <f>IFERROR(__xludf.DUMMYFUNCTION("""COMPUTED_VALUE"""),"https://disk.yandex.ru/client/disk/Осмотры%20объектов%20АНО%20СМГ/947.Вавилова%2057%20стр.1%20реконструкция%20со%20строительством%20культурно-образовательного%20центра")</f>
        <v>https://disk.yandex.ru/client/disk/Осмотры%20объектов%20АНО%20СМГ/947.Вавилова%2057%20стр.1%20реконструкция%20со%20строительством%20культурно-образовательного%20центра</v>
      </c>
      <c r="J1331" s="50">
        <f>IFERROR(__xludf.DUMMYFUNCTION("""COMPUTED_VALUE"""),0.0)</f>
        <v>0</v>
      </c>
      <c r="K1331" s="58">
        <f>IFERROR(__xludf.DUMMYFUNCTION("""COMPUTED_VALUE"""),45865.0)</f>
        <v>45865</v>
      </c>
      <c r="L1331" s="6">
        <v>30.0</v>
      </c>
      <c r="M1331" s="52">
        <v>45895.0</v>
      </c>
      <c r="N1331" s="53" t="s">
        <v>668</v>
      </c>
      <c r="O1331" s="19" t="s">
        <v>1359</v>
      </c>
      <c r="P1331" s="6"/>
      <c r="Q1331" s="6"/>
      <c r="R1331" s="6"/>
    </row>
    <row r="1332">
      <c r="A1332" s="31" t="str">
        <f>IFERROR(__xludf.DUMMYFUNCTION("""COMPUTED_VALUE"""),"479")</f>
        <v>479</v>
      </c>
      <c r="B1332" s="14" t="str">
        <f>IFERROR(__xludf.DUMMYFUNCTION("""COMPUTED_VALUE"""),"РЕН-25")</f>
        <v>РЕН-25</v>
      </c>
      <c r="C1332" s="14" t="str">
        <f>IFERROR(__xludf.DUMMYFUNCTION("""COMPUTED_VALUE"""),"ОКС")</f>
        <v>ОКС</v>
      </c>
      <c r="D1332" s="6"/>
      <c r="E1332" s="14" t="str">
        <f>IFERROR(__xludf.DUMMYFUNCTION("""COMPUTED_VALUE"""),"Жилой дом с инженерными сетями и благоустройством территории по адресу: район Царицыно, кварталы 1,4,14,14Б, ул. Бехтерева д. 29, корп. 1, 2 (ул. Севанская, земельный участок 60, зона 38.1) район Царицыно, кварталы 1,4,14,14Б, ул. Севанская, земельный уча"&amp;"сток 60, зона 38.1 3 секц.")</f>
        <v>Жилой дом с инженерными сетями и благоустройством территории по адресу: район Царицыно, кварталы 1,4,14,14Б, ул. Бехтерева д. 29, корп. 1, 2 (ул. Севанская, земельный участок 60, зона 38.1) район Царицыно, кварталы 1,4,14,14Б, ул. Севанская, земельный участок 60, зона 38.1 3 секц.</v>
      </c>
      <c r="F1332" s="25" t="str">
        <f>IFERROR(__xludf.DUMMYFUNCTION("""COMPUTED_VALUE"""),"#N/A")</f>
        <v>#N/A</v>
      </c>
      <c r="G1332" s="6" t="str">
        <f>IFERROR(__xludf.DUMMYFUNCTION("""COMPUTED_VALUE"""),"#N/A")</f>
        <v>#N/A</v>
      </c>
      <c r="H1332" s="18" t="str">
        <f>IFERROR(__xludf.DUMMYFUNCTION("""COMPUTED_VALUE"""),"https://docs.google.com/spreadsheets/d/1H1MjbG2y0oC0hhID4do1G0_gfyI1jag72lQd7nL3WDQ/edit?gid=305005516#gid=305005516")</f>
        <v>https://docs.google.com/spreadsheets/d/1H1MjbG2y0oC0hhID4do1G0_gfyI1jag72lQd7nL3WDQ/edit?gid=305005516#gid=305005516</v>
      </c>
      <c r="I1332" s="19" t="str">
        <f>IFERROR(__xludf.DUMMYFUNCTION("""COMPUTED_VALUE"""),"https://disk.yandex.ru/client/disk/Осмотры%20объектов%20АНО%20СМГ/479.%20Севанская%20ул.%2C%20з-у%2060%20(зона%2038.1)")</f>
        <v>https://disk.yandex.ru/client/disk/Осмотры%20объектов%20АНО%20СМГ/479.%20Севанская%20ул.%2C%20з-у%2060%20(зона%2038.1)</v>
      </c>
      <c r="J1332" s="50">
        <f>IFERROR(__xludf.DUMMYFUNCTION("""COMPUTED_VALUE"""),100.0)</f>
        <v>100</v>
      </c>
      <c r="K1332" s="58">
        <f>IFERROR(__xludf.DUMMYFUNCTION("""COMPUTED_VALUE"""),45859.0)</f>
        <v>45859</v>
      </c>
      <c r="L1332" s="6" t="s">
        <v>654</v>
      </c>
      <c r="M1332" s="52" t="s">
        <v>655</v>
      </c>
      <c r="N1332" s="53" t="s">
        <v>656</v>
      </c>
      <c r="O1332" s="19" t="s">
        <v>1360</v>
      </c>
      <c r="P1332" s="6"/>
      <c r="Q1332" s="6"/>
      <c r="R1332" s="6"/>
    </row>
    <row r="1333">
      <c r="A1333" s="31" t="str">
        <f>IFERROR(__xludf.DUMMYFUNCTION("""COMPUTED_VALUE"""),"379")</f>
        <v>379</v>
      </c>
      <c r="B1333" s="14" t="str">
        <f>IFERROR(__xludf.DUMMYFUNCTION("""COMPUTED_VALUE"""),"РЕН-25")</f>
        <v>РЕН-25</v>
      </c>
      <c r="C1333" s="14" t="str">
        <f>IFERROR(__xludf.DUMMYFUNCTION("""COMPUTED_VALUE"""),"ОКС")</f>
        <v>ОКС</v>
      </c>
      <c r="D1333" s="6"/>
      <c r="E133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район Новогиреево, Кусковская улица, д. 12/1 (Кусковская ул., зу 12"&amp;"/1) район Новогиреево, Кусковская улица, земельный участок 12/1 (Кусковская ул., вл. 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район Новогиреево, Кусковская улица, д. 12/1 (Кусковская ул., зу 12/1) район Новогиреево, Кусковская улица, земельный участок 12/1 (Кусковская ул., вл. 12)</v>
      </c>
      <c r="F1333" s="25" t="str">
        <f>IFERROR(__xludf.DUMMYFUNCTION("""COMPUTED_VALUE"""),"#N/A")</f>
        <v>#N/A</v>
      </c>
      <c r="G1333" s="6" t="str">
        <f>IFERROR(__xludf.DUMMYFUNCTION("""COMPUTED_VALUE"""),"#N/A")</f>
        <v>#N/A</v>
      </c>
      <c r="H1333" s="18" t="str">
        <f>IFERROR(__xludf.DUMMYFUNCTION("""COMPUTED_VALUE"""),"https://docs.google.com/spreadsheets/d/1H1MjbG2y0oC0hhID4do1G0_gfyI1jag72lQd7nL3WDQ/edit?gid=2058620396#gid=2058620396")</f>
        <v>https://docs.google.com/spreadsheets/d/1H1MjbG2y0oC0hhID4do1G0_gfyI1jag72lQd7nL3WDQ/edit?gid=2058620396#gid=2058620396</v>
      </c>
      <c r="I1333" s="19" t="str">
        <f>IFERROR(__xludf.DUMMYFUNCTION("""COMPUTED_VALUE"""),"https://disk.yandex.ru/client/disk/Осмотры%20объектов%20АНО%20СМГ/379.%20Новогиреево%2C%20Кусковская%20ул.%20вл12")</f>
        <v>https://disk.yandex.ru/client/disk/Осмотры%20объектов%20АНО%20СМГ/379.%20Новогиреево%2C%20Кусковская%20ул.%20вл12</v>
      </c>
      <c r="J1333" s="50">
        <f>IFERROR(__xludf.DUMMYFUNCTION("""COMPUTED_VALUE"""),99.58349999999999)</f>
        <v>99.5835</v>
      </c>
      <c r="K1333" s="58">
        <f>IFERROR(__xludf.DUMMYFUNCTION("""COMPUTED_VALUE"""),45859.0)</f>
        <v>45859</v>
      </c>
      <c r="L1333" s="6">
        <v>7.0</v>
      </c>
      <c r="M1333" s="52">
        <v>45866.0</v>
      </c>
      <c r="N1333" s="53" t="s">
        <v>652</v>
      </c>
      <c r="O1333" s="19" t="s">
        <v>1361</v>
      </c>
      <c r="P1333" s="6"/>
      <c r="Q1333" s="6"/>
      <c r="R1333" s="6"/>
    </row>
    <row r="1334">
      <c r="A1334" s="31" t="str">
        <f>IFERROR(__xludf.DUMMYFUNCTION("""COMPUTED_VALUE"""),"1240")</f>
        <v>1240</v>
      </c>
      <c r="B1334" s="14" t="str">
        <f>IFERROR(__xludf.DUMMYFUNCTION("""COMPUTED_VALUE"""),"ВНЕ СПИСКА")</f>
        <v>ВНЕ СПИСКА</v>
      </c>
      <c r="C1334" s="14" t="str">
        <f>IFERROR(__xludf.DUMMYFUNCTION("""COMPUTED_VALUE"""),"ОКС")</f>
        <v>ОКС</v>
      </c>
      <c r="D1334" s="6" t="str">
        <f>IFERROR(__xludf.DUMMYFUNCTION("""COMPUTED_VALUE"""),"да")</f>
        <v>да</v>
      </c>
      <c r="E1334" s="14" t="str">
        <f>IFERROR(__xludf.DUMMYFUNCTION("""COMPUTED_VALUE"""),"Храм Успения Пресвятой Богородицы в Останкино Березовая аллея, вл. 5 /1")</f>
        <v>Храм Успения Пресвятой Богородицы в Останкино Березовая аллея, вл. 5 /1</v>
      </c>
      <c r="F1334" s="25" t="str">
        <f>IFERROR(__xludf.DUMMYFUNCTION("""COMPUTED_VALUE"""),"#N/A")</f>
        <v>#N/A</v>
      </c>
      <c r="G1334" s="6" t="str">
        <f>IFERROR(__xludf.DUMMYFUNCTION("""COMPUTED_VALUE"""),"#N/A")</f>
        <v>#N/A</v>
      </c>
      <c r="H1334" s="18" t="str">
        <f>IFERROR(__xludf.DUMMYFUNCTION("""COMPUTED_VALUE"""),"https://docs.google.com/spreadsheets/d/1EI7qusa674eJhuaw-nWWtWMEHVSYMQv7HLsInEZTWpE/edit?gid=1295237501#gid=1295237501")</f>
        <v>https://docs.google.com/spreadsheets/d/1EI7qusa674eJhuaw-nWWtWMEHVSYMQv7HLsInEZTWpE/edit?gid=1295237501#gid=1295237501</v>
      </c>
      <c r="I1334" s="19" t="str">
        <f>IFERROR(__xludf.DUMMYFUNCTION("""COMPUTED_VALUE"""),"https://disk.yandex.ru/client/disk/Осмотры%20объектов%20АНО%20СМГ/1240.%20Храм%20Успения%20Пресвятой%20Богородицы%20СВАО%2C%20р-н%20Останкинский")</f>
        <v>https://disk.yandex.ru/client/disk/Осмотры%20объектов%20АНО%20СМГ/1240.%20Храм%20Успения%20Пресвятой%20Богородицы%20СВАО%2C%20р-н%20Останкинский</v>
      </c>
      <c r="J1334" s="50">
        <f>IFERROR(__xludf.DUMMYFUNCTION("""COMPUTED_VALUE"""),99.64999999999999)</f>
        <v>99.65</v>
      </c>
      <c r="K1334" s="58">
        <f>IFERROR(__xludf.DUMMYFUNCTION("""COMPUTED_VALUE"""),45853.0)</f>
        <v>45853</v>
      </c>
      <c r="L1334" s="6">
        <v>7.0</v>
      </c>
      <c r="M1334" s="52">
        <v>45860.0</v>
      </c>
      <c r="N1334" s="53" t="s">
        <v>668</v>
      </c>
      <c r="O1334" s="19"/>
      <c r="P1334" s="6"/>
      <c r="Q1334" s="6"/>
      <c r="R1334" s="6"/>
    </row>
    <row r="1335">
      <c r="A1335" s="31" t="str">
        <f>IFERROR(__xludf.DUMMYFUNCTION("""COMPUTED_VALUE"""),"НД")</f>
        <v>НД</v>
      </c>
      <c r="B1335" s="14" t="str">
        <f>IFERROR(__xludf.DUMMYFUNCTION("""COMPUTED_VALUE"""),"ВНЕ СПИСКА")</f>
        <v>ВНЕ СПИСКА</v>
      </c>
      <c r="C1335" s="14" t="str">
        <f>IFERROR(__xludf.DUMMYFUNCTION("""COMPUTED_VALUE"""),"ОКС")</f>
        <v>ОКС</v>
      </c>
      <c r="D1335" s="6" t="str">
        <f>IFERROR(__xludf.DUMMYFUNCTION("""COMPUTED_VALUE"""),"да")</f>
        <v>да</v>
      </c>
      <c r="E1335" s="14" t="str">
        <f>IFERROR(__xludf.DUMMYFUNCTION("""COMPUTED_VALUE"""),"Многофункциональный комплекс «Порт Савеловск»  Марьина Роща, Сущевский Вал, влд. 5, стр.1")</f>
        <v>Многофункциональный комплекс «Порт Савеловск»  Марьина Роща, Сущевский Вал, влд. 5, стр.1</v>
      </c>
      <c r="F1335" s="25" t="str">
        <f>IFERROR(__xludf.DUMMYFUNCTION("""COMPUTED_VALUE"""),"#N/A")</f>
        <v>#N/A</v>
      </c>
      <c r="G1335" s="6" t="str">
        <f>IFERROR(__xludf.DUMMYFUNCTION("""COMPUTED_VALUE"""),"#N/A")</f>
        <v>#N/A</v>
      </c>
      <c r="H1335" s="6"/>
      <c r="I1335" s="19"/>
      <c r="J1335" s="50"/>
      <c r="K1335" s="58"/>
      <c r="L1335" s="6">
        <v>30.0</v>
      </c>
      <c r="M1335" s="52" t="s">
        <v>655</v>
      </c>
      <c r="N1335" s="53" t="s">
        <v>698</v>
      </c>
      <c r="O1335" s="19" t="s">
        <v>1362</v>
      </c>
      <c r="P1335" s="6"/>
      <c r="Q1335" s="6"/>
      <c r="R1335" s="6"/>
    </row>
    <row r="1336">
      <c r="A1336" s="31" t="str">
        <f>IFERROR(__xludf.DUMMYFUNCTION("""COMPUTED_VALUE"""),"НД")</f>
        <v>НД</v>
      </c>
      <c r="B1336" s="14" t="str">
        <f>IFERROR(__xludf.DUMMYFUNCTION("""COMPUTED_VALUE"""),"ВНЕ СПИСКА")</f>
        <v>ВНЕ СПИСКА</v>
      </c>
      <c r="C1336" s="14" t="str">
        <f>IFERROR(__xludf.DUMMYFUNCTION("""COMPUTED_VALUE"""),"ОКС")</f>
        <v>ОКС</v>
      </c>
      <c r="D1336" s="6"/>
      <c r="E1336" s="14" t="str">
        <f>IFERROR(__xludf.DUMMYFUNCTION("""COMPUTED_VALUE"""),"Прокладка водопровода Д1000 мм от д. Сосенки до г. Троицк со строительством регулирующих водопроводных узлов «Станиславль» и «Красная Пахра» от деревни Сосенки до города Троицк")</f>
        <v>Прокладка водопровода Д1000 мм от д. Сосенки до г. Троицк со строительством регулирующих водопроводных узлов «Станиславль» и «Красная Пахра» от деревни Сосенки до города Троицк</v>
      </c>
      <c r="F1336" s="25" t="str">
        <f>IFERROR(__xludf.DUMMYFUNCTION("""COMPUTED_VALUE"""),"#N/A")</f>
        <v>#N/A</v>
      </c>
      <c r="G1336" s="6" t="str">
        <f>IFERROR(__xludf.DUMMYFUNCTION("""COMPUTED_VALUE"""),"#N/A")</f>
        <v>#N/A</v>
      </c>
      <c r="H1336" s="6"/>
      <c r="I1336" s="19" t="str">
        <f>IFERROR(__xludf.DUMMYFUNCTION("""COMPUTED_VALUE"""),"https://disk.yandex.ru/client/disk/Осмотры%20объектов%20АНО%20СМГ/1153.%20РВУ%20Станиславль%20этап%201")</f>
        <v>https://disk.yandex.ru/client/disk/Осмотры%20объектов%20АНО%20СМГ/1153.%20РВУ%20Станиславль%20этап%201</v>
      </c>
      <c r="J1336" s="50"/>
      <c r="K1336" s="58"/>
      <c r="L1336" s="6">
        <v>30.0</v>
      </c>
      <c r="M1336" s="52" t="s">
        <v>655</v>
      </c>
      <c r="N1336" s="53" t="s">
        <v>698</v>
      </c>
      <c r="O1336" s="19"/>
      <c r="P1336" s="6"/>
      <c r="Q1336" s="6"/>
      <c r="R1336" s="6"/>
    </row>
    <row r="1337">
      <c r="A1337" s="31" t="str">
        <f>IFERROR(__xludf.DUMMYFUNCTION("""COMPUTED_VALUE"""),"НД")</f>
        <v>НД</v>
      </c>
      <c r="B1337" s="14" t="str">
        <f>IFERROR(__xludf.DUMMYFUNCTION("""COMPUTED_VALUE"""),"ВНЕ СПИСКА")</f>
        <v>ВНЕ СПИСКА</v>
      </c>
      <c r="C1337" s="14"/>
      <c r="D1337" s="6" t="str">
        <f>IFERROR(__xludf.DUMMYFUNCTION("""COMPUTED_VALUE"""),"да")</f>
        <v>да</v>
      </c>
      <c r="E1337" s="14" t="str">
        <f>IFERROR(__xludf.DUMMYFUNCTION("""COMPUTED_VALUE"""),"Разработка  стандарта ""Мой детский сад"" Разработка  стандарта ""Мой детский сад""")</f>
        <v>Разработка  стандарта "Мой детский сад" Разработка  стандарта "Мой детский сад"</v>
      </c>
      <c r="F1337" s="25" t="str">
        <f>IFERROR(__xludf.DUMMYFUNCTION("""COMPUTED_VALUE"""),"#N/A")</f>
        <v>#N/A</v>
      </c>
      <c r="G1337" s="6" t="str">
        <f>IFERROR(__xludf.DUMMYFUNCTION("""COMPUTED_VALUE"""),"#N/A")</f>
        <v>#N/A</v>
      </c>
      <c r="H1337" s="6"/>
      <c r="I1337" s="19"/>
      <c r="J1337" s="50"/>
      <c r="K1337" s="58"/>
      <c r="L1337" s="6">
        <v>30.0</v>
      </c>
      <c r="M1337" s="52" t="s">
        <v>655</v>
      </c>
      <c r="N1337" s="53" t="s">
        <v>698</v>
      </c>
      <c r="O1337" s="19"/>
      <c r="P1337" s="6"/>
      <c r="Q1337" s="6"/>
      <c r="R1337" s="6"/>
    </row>
    <row r="1338">
      <c r="A1338" s="31" t="str">
        <f>IFERROR(__xludf.DUMMYFUNCTION("""COMPUTED_VALUE"""),"1241")</f>
        <v>1241</v>
      </c>
      <c r="B1338" s="14" t="str">
        <f>IFERROR(__xludf.DUMMYFUNCTION("""COMPUTED_VALUE"""),"ВНЕ СПИСКА")</f>
        <v>ВНЕ СПИСКА</v>
      </c>
      <c r="C1338" s="14" t="str">
        <f>IFERROR(__xludf.DUMMYFUNCTION("""COMPUTED_VALUE"""),"ОКС")</f>
        <v>ОКС</v>
      </c>
      <c r="D1338" s="6" t="str">
        <f>IFERROR(__xludf.DUMMYFUNCTION("""COMPUTED_VALUE"""),"да")</f>
        <v>да</v>
      </c>
      <c r="E1338" s="14" t="str">
        <f>IFERROR(__xludf.DUMMYFUNCTION("""COMPUTED_VALUE"""),"Здание с дошкольными группами на 350 мест поселение Десеновское, проект 46/ А ( кадастровый номер земельного участка 77:17:015039:1243)")</f>
        <v>Здание с дошкольными группами на 350 мест поселение Десеновское, проект 46/ А ( кадастровый номер земельного участка 77:17:015039:1243)</v>
      </c>
      <c r="F1338" s="25" t="str">
        <f>IFERROR(__xludf.DUMMYFUNCTION("""COMPUTED_VALUE"""),"#N/A")</f>
        <v>#N/A</v>
      </c>
      <c r="G1338" s="6" t="str">
        <f>IFERROR(__xludf.DUMMYFUNCTION("""COMPUTED_VALUE"""),"#N/A")</f>
        <v>#N/A</v>
      </c>
      <c r="H1338" s="18" t="str">
        <f>IFERROR(__xludf.DUMMYFUNCTION("""COMPUTED_VALUE"""),"https://docs.google.com/spreadsheets/d/1EI7qusa674eJhuaw-nWWtWMEHVSYMQv7HLsInEZTWpE/edit?gid=1445477701#gid=1445477701")</f>
        <v>https://docs.google.com/spreadsheets/d/1EI7qusa674eJhuaw-nWWtWMEHVSYMQv7HLsInEZTWpE/edit?gid=1445477701#gid=1445477701</v>
      </c>
      <c r="I1338" s="19" t="str">
        <f>IFERROR(__xludf.DUMMYFUNCTION("""COMPUTED_VALUE"""),"https://disk.yandex.ru/client/disk/Осмотры%20объектов%20АНО%20СМГ/1241.%20ДОУ%20на%20350%20мест%2C%20Десеновское%2C%20проект%2046-А")</f>
        <v>https://disk.yandex.ru/client/disk/Осмотры%20объектов%20АНО%20СМГ/1241.%20ДОУ%20на%20350%20мест%2C%20Десеновское%2C%20проект%2046-А</v>
      </c>
      <c r="J1338" s="50">
        <f>IFERROR(__xludf.DUMMYFUNCTION("""COMPUTED_VALUE"""),47.5)</f>
        <v>47.5</v>
      </c>
      <c r="K1338" s="58">
        <f>IFERROR(__xludf.DUMMYFUNCTION("""COMPUTED_VALUE"""),45847.0)</f>
        <v>45847</v>
      </c>
      <c r="L1338" s="6">
        <v>30.0</v>
      </c>
      <c r="M1338" s="52">
        <v>45877.0</v>
      </c>
      <c r="N1338" s="53" t="s">
        <v>652</v>
      </c>
      <c r="O1338" s="19" t="s">
        <v>1363</v>
      </c>
      <c r="P1338" s="6"/>
      <c r="Q1338" s="6"/>
      <c r="R1338" s="6"/>
    </row>
    <row r="1339">
      <c r="A1339" s="31" t="str">
        <f>IFERROR(__xludf.DUMMYFUNCTION("""COMPUTED_VALUE"""),"1242")</f>
        <v>1242</v>
      </c>
      <c r="B1339" s="14" t="str">
        <f>IFERROR(__xludf.DUMMYFUNCTION("""COMPUTED_VALUE"""),"ВНЕ СПИСКА")</f>
        <v>ВНЕ СПИСКА</v>
      </c>
      <c r="C1339" s="14" t="str">
        <f>IFERROR(__xludf.DUMMYFUNCTION("""COMPUTED_VALUE"""),"ОКС")</f>
        <v>ОКС</v>
      </c>
      <c r="D1339" s="6" t="str">
        <f>IFERROR(__xludf.DUMMYFUNCTION("""COMPUTED_VALUE"""),"да")</f>
        <v>да</v>
      </c>
      <c r="E1339" s="14" t="str">
        <f>IFERROR(__xludf.DUMMYFUNCTION("""COMPUTED_VALUE"""),"Дошкольное здание на 250 мест с бассейном г. Москва, ЗАО, ул. Озерная, вл.44, корп. 7")</f>
        <v>Дошкольное здание на 250 мест с бассейном г. Москва, ЗАО, ул. Озерная, вл.44, корп. 7</v>
      </c>
      <c r="F1339" s="25" t="str">
        <f>IFERROR(__xludf.DUMMYFUNCTION("""COMPUTED_VALUE"""),"#N/A")</f>
        <v>#N/A</v>
      </c>
      <c r="G1339" s="6" t="str">
        <f>IFERROR(__xludf.DUMMYFUNCTION("""COMPUTED_VALUE"""),"#N/A")</f>
        <v>#N/A</v>
      </c>
      <c r="H1339" s="18" t="str">
        <f>IFERROR(__xludf.DUMMYFUNCTION("""COMPUTED_VALUE"""),"https://docs.google.com/spreadsheets/d/1EI7qusa674eJhuaw-nWWtWMEHVSYMQv7HLsInEZTWpE/edit?gid=789970235#gid=789970235")</f>
        <v>https://docs.google.com/spreadsheets/d/1EI7qusa674eJhuaw-nWWtWMEHVSYMQv7HLsInEZTWpE/edit?gid=789970235#gid=789970235</v>
      </c>
      <c r="I1339" s="19" t="str">
        <f>IFERROR(__xludf.DUMMYFUNCTION("""COMPUTED_VALUE"""),"https://disk.yandex.ru/client/disk/Осмотры%20объектов%20АНО%20СМГ/1242%20Малая%20Очаковская%20д.%205А%20Садик%20%201741%20на%20250%20мест")</f>
        <v>https://disk.yandex.ru/client/disk/Осмотры%20объектов%20АНО%20СМГ/1242%20Малая%20Очаковская%20д.%205А%20Садик%20%201741%20на%20250%20мест</v>
      </c>
      <c r="J1339" s="50">
        <f>IFERROR(__xludf.DUMMYFUNCTION("""COMPUTED_VALUE"""),100.0)</f>
        <v>100</v>
      </c>
      <c r="K1339" s="58">
        <f>IFERROR(__xludf.DUMMYFUNCTION("""COMPUTED_VALUE"""),45847.0)</f>
        <v>45847</v>
      </c>
      <c r="L1339" s="6" t="s">
        <v>654</v>
      </c>
      <c r="M1339" s="52" t="s">
        <v>655</v>
      </c>
      <c r="N1339" s="53" t="s">
        <v>656</v>
      </c>
      <c r="O1339" s="19" t="s">
        <v>1364</v>
      </c>
      <c r="P1339" s="6"/>
      <c r="Q1339" s="6"/>
      <c r="R1339" s="6"/>
    </row>
    <row r="1340">
      <c r="A1340" s="31" t="str">
        <f>IFERROR(__xludf.DUMMYFUNCTION("""COMPUTED_VALUE"""),"1243")</f>
        <v>1243</v>
      </c>
      <c r="B1340" s="14" t="str">
        <f>IFERROR(__xludf.DUMMYFUNCTION("""COMPUTED_VALUE"""),"ВНЕ СПИСКА")</f>
        <v>ВНЕ СПИСКА</v>
      </c>
      <c r="C1340" s="14" t="str">
        <f>IFERROR(__xludf.DUMMYFUNCTION("""COMPUTED_VALUE"""),"ОКС")</f>
        <v>ОКС</v>
      </c>
      <c r="D1340" s="6" t="str">
        <f>IFERROR(__xludf.DUMMYFUNCTION("""COMPUTED_VALUE"""),"да")</f>
        <v>да</v>
      </c>
      <c r="E1340" s="14" t="str">
        <f>IFERROR(__xludf.DUMMYFUNCTION("""COMPUTED_VALUE""")," Общеобразовательная организация на 550 мест  г. Москва, 2-й Грайвороновский пр-д, вл. 38, стр.1-10; Рязанский пр-т, вл. 6а")</f>
        <v> Общеобразовательная организация на 550 мест  г. Москва, 2-й Грайвороновский пр-д, вл. 38, стр.1-10; Рязанский пр-т, вл. 6а</v>
      </c>
      <c r="F1340" s="25" t="str">
        <f>IFERROR(__xludf.DUMMYFUNCTION("""COMPUTED_VALUE"""),"#N/A")</f>
        <v>#N/A</v>
      </c>
      <c r="G1340" s="6" t="str">
        <f>IFERROR(__xludf.DUMMYFUNCTION("""COMPUTED_VALUE"""),"#N/A")</f>
        <v>#N/A</v>
      </c>
      <c r="H1340" s="18" t="str">
        <f>IFERROR(__xludf.DUMMYFUNCTION("""COMPUTED_VALUE"""),"https://docs.google.com/spreadsheets/d/1EI7qusa674eJhuaw-nWWtWMEHVSYMQv7HLsInEZTWpE/edit?gid=166966295#gid=166966295")</f>
        <v>https://docs.google.com/spreadsheets/d/1EI7qusa674eJhuaw-nWWtWMEHVSYMQv7HLsInEZTWpE/edit?gid=166966295#gid=166966295</v>
      </c>
      <c r="I1340" s="19" t="str">
        <f>IFERROR(__xludf.DUMMYFUNCTION("""COMPUTED_VALUE"""),"https://disk.yandex.ru/client/disk/Осмотры%20объектов%20АНО%20СМГ/1243%20ГБОУ%20Школа%20№1367%20по%20адресу%202-й%20Грайвороновский%20проезд%2044А.")</f>
        <v>https://disk.yandex.ru/client/disk/Осмотры%20объектов%20АНО%20СМГ/1243%20ГБОУ%20Школа%20№1367%20по%20адресу%202-й%20Грайвороновский%20проезд%2044А.</v>
      </c>
      <c r="J1340" s="50">
        <f>IFERROR(__xludf.DUMMYFUNCTION("""COMPUTED_VALUE"""),90.25)</f>
        <v>90.25</v>
      </c>
      <c r="K1340" s="58">
        <f>IFERROR(__xludf.DUMMYFUNCTION("""COMPUTED_VALUE"""),45847.0)</f>
        <v>45847</v>
      </c>
      <c r="L1340" s="6">
        <v>14.0</v>
      </c>
      <c r="M1340" s="52">
        <v>45861.0</v>
      </c>
      <c r="N1340" s="53" t="s">
        <v>652</v>
      </c>
      <c r="O1340" s="19" t="s">
        <v>1365</v>
      </c>
      <c r="P1340" s="6"/>
      <c r="Q1340" s="6"/>
      <c r="R1340" s="6"/>
    </row>
    <row r="1341">
      <c r="A1341" s="31" t="str">
        <f>IFERROR(__xludf.DUMMYFUNCTION("""COMPUTED_VALUE"""),"1244")</f>
        <v>1244</v>
      </c>
      <c r="B1341" s="14" t="str">
        <f>IFERROR(__xludf.DUMMYFUNCTION("""COMPUTED_VALUE"""),"ВНЕ СПИСКА")</f>
        <v>ВНЕ СПИСКА</v>
      </c>
      <c r="C1341" s="14" t="str">
        <f>IFERROR(__xludf.DUMMYFUNCTION("""COMPUTED_VALUE"""),"ОКС")</f>
        <v>ОКС</v>
      </c>
      <c r="D1341" s="6" t="str">
        <f>IFERROR(__xludf.DUMMYFUNCTION("""COMPUTED_VALUE"""),"да")</f>
        <v>да</v>
      </c>
      <c r="E1341" s="14" t="str">
        <f>IFERROR(__xludf.DUMMYFUNCTION("""COMPUTED_VALUE"""),"ДОО на 275 мест г. Москва, ВАО, Тюменский проезд, влд. 3, стр. 10, 11, 12")</f>
        <v>ДОО на 275 мест г. Москва, ВАО, Тюменский проезд, влд. 3, стр. 10, 11, 12</v>
      </c>
      <c r="F1341" s="25" t="str">
        <f>IFERROR(__xludf.DUMMYFUNCTION("""COMPUTED_VALUE"""),"#N/A")</f>
        <v>#N/A</v>
      </c>
      <c r="G1341" s="6" t="str">
        <f>IFERROR(__xludf.DUMMYFUNCTION("""COMPUTED_VALUE"""),"#N/A")</f>
        <v>#N/A</v>
      </c>
      <c r="H1341" s="18" t="str">
        <f>IFERROR(__xludf.DUMMYFUNCTION("""COMPUTED_VALUE"""),"https://docs.google.com/spreadsheets/d/1EI7qusa674eJhuaw-nWWtWMEHVSYMQv7HLsInEZTWpE/edit?gid=316384092#gid=316384092")</f>
        <v>https://docs.google.com/spreadsheets/d/1EI7qusa674eJhuaw-nWWtWMEHVSYMQv7HLsInEZTWpE/edit?gid=316384092#gid=316384092</v>
      </c>
      <c r="I1341" s="19" t="str">
        <f>IFERROR(__xludf.DUMMYFUNCTION("""COMPUTED_VALUE"""),"https://disk.yandex.ru/client/disk/Осмотры%20объектов%20АНО%20СМГ/1244.%20ДОО%20на%20275%20мест%20по%20адресу%3A%20г.%20Москва%2C%20ВАО%2C%20Тюменский%20проезд%2C%20влд.%203%2C%20стр.%2010%2C%2011%2C%2012")</f>
        <v>https://disk.yandex.ru/client/disk/Осмотры%20объектов%20АНО%20СМГ/1244.%20ДОО%20на%20275%20мест%20по%20адресу%3A%20г.%20Москва%2C%20ВАО%2C%20Тюменский%20проезд%2C%20влд.%203%2C%20стр.%2010%2C%2011%2C%2012</v>
      </c>
      <c r="J1341" s="50">
        <f>IFERROR(__xludf.DUMMYFUNCTION("""COMPUTED_VALUE"""),98.01087750000002)</f>
        <v>98.0108775</v>
      </c>
      <c r="K1341" s="58">
        <f>IFERROR(__xludf.DUMMYFUNCTION("""COMPUTED_VALUE"""),45847.0)</f>
        <v>45847</v>
      </c>
      <c r="L1341" s="6">
        <v>7.0</v>
      </c>
      <c r="M1341" s="52">
        <v>45854.0</v>
      </c>
      <c r="N1341" s="53" t="s">
        <v>652</v>
      </c>
      <c r="O1341" s="19" t="s">
        <v>1366</v>
      </c>
      <c r="P1341" s="6"/>
      <c r="Q1341" s="6"/>
      <c r="R1341" s="6"/>
    </row>
    <row r="1342">
      <c r="A1342" s="31" t="str">
        <f>IFERROR(__xludf.DUMMYFUNCTION("""COMPUTED_VALUE"""),"1245")</f>
        <v>1245</v>
      </c>
      <c r="B1342" s="14" t="str">
        <f>IFERROR(__xludf.DUMMYFUNCTION("""COMPUTED_VALUE"""),"ВНЕ СПИСКА")</f>
        <v>ВНЕ СПИСКА</v>
      </c>
      <c r="C1342" s="14" t="str">
        <f>IFERROR(__xludf.DUMMYFUNCTION("""COMPUTED_VALUE"""),"ОКС")</f>
        <v>ОКС</v>
      </c>
      <c r="D1342" s="6" t="str">
        <f>IFERROR(__xludf.DUMMYFUNCTION("""COMPUTED_VALUE"""),"да")</f>
        <v>да</v>
      </c>
      <c r="E1342" s="14" t="str">
        <f>IFERROR(__xludf.DUMMYFUNCTION("""COMPUTED_VALUE"""),"Здание общеобразовательного учреждения на 825 мест Москва, р-н Покровское-Стрешнево, ул. Лётная, вл. 95Б")</f>
        <v>Здание общеобразовательного учреждения на 825 мест Москва, р-н Покровское-Стрешнево, ул. Лётная, вл. 95Б</v>
      </c>
      <c r="F1342" s="25" t="str">
        <f>IFERROR(__xludf.DUMMYFUNCTION("""COMPUTED_VALUE"""),"#N/A")</f>
        <v>#N/A</v>
      </c>
      <c r="G1342" s="6" t="str">
        <f>IFERROR(__xludf.DUMMYFUNCTION("""COMPUTED_VALUE"""),"#N/A")</f>
        <v>#N/A</v>
      </c>
      <c r="H1342" s="18" t="str">
        <f>IFERROR(__xludf.DUMMYFUNCTION("""COMPUTED_VALUE"""),"https://docs.google.com/spreadsheets/d/1EI7qusa674eJhuaw-nWWtWMEHVSYMQv7HLsInEZTWpE/edit?gid=1823447590#gid=1823447590")</f>
        <v>https://docs.google.com/spreadsheets/d/1EI7qusa674eJhuaw-nWWtWMEHVSYMQv7HLsInEZTWpE/edit?gid=1823447590#gid=1823447590</v>
      </c>
      <c r="I1342" s="19"/>
      <c r="J1342" s="50">
        <f>IFERROR(__xludf.DUMMYFUNCTION("""COMPUTED_VALUE"""),99.9145)</f>
        <v>99.9145</v>
      </c>
      <c r="K1342" s="58">
        <f>IFERROR(__xludf.DUMMYFUNCTION("""COMPUTED_VALUE"""),45847.0)</f>
        <v>45847</v>
      </c>
      <c r="L1342" s="6">
        <v>7.0</v>
      </c>
      <c r="M1342" s="52">
        <v>45854.0</v>
      </c>
      <c r="N1342" s="53" t="s">
        <v>652</v>
      </c>
      <c r="O1342" s="19" t="s">
        <v>1367</v>
      </c>
      <c r="P1342" s="6"/>
      <c r="Q1342" s="6"/>
      <c r="R1342" s="6"/>
    </row>
    <row r="1343">
      <c r="A1343" s="31" t="str">
        <f>IFERROR(__xludf.DUMMYFUNCTION("""COMPUTED_VALUE"""),"1246")</f>
        <v>1246</v>
      </c>
      <c r="B1343" s="14" t="str">
        <f>IFERROR(__xludf.DUMMYFUNCTION("""COMPUTED_VALUE"""),"ВНЕ СПИСКА")</f>
        <v>ВНЕ СПИСКА</v>
      </c>
      <c r="C1343" s="14" t="str">
        <f>IFERROR(__xludf.DUMMYFUNCTION("""COMPUTED_VALUE"""),"ОКС")</f>
        <v>ОКС</v>
      </c>
      <c r="D1343" s="6" t="str">
        <f>IFERROR(__xludf.DUMMYFUNCTION("""COMPUTED_VALUE"""),"да")</f>
        <v>да</v>
      </c>
      <c r="E1343" s="14" t="str">
        <f>IFERROR(__xludf.DUMMYFUNCTION("""COMPUTED_VALUE"""),"Здание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f>
        <v>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v>
      </c>
      <c r="F1343" s="25" t="str">
        <f>IFERROR(__xludf.DUMMYFUNCTION("""COMPUTED_VALUE"""),"55.766754")</f>
        <v>55.766754</v>
      </c>
      <c r="G1343" s="6" t="str">
        <f>IFERROR(__xludf.DUMMYFUNCTION("""COMPUTED_VALUE"""),"37.503549")</f>
        <v>37.503549</v>
      </c>
      <c r="H1343" s="18" t="str">
        <f>IFERROR(__xludf.DUMMYFUNCTION("""COMPUTED_VALUE"""),"https://docs.google.com/spreadsheets/d/1EI7qusa674eJhuaw-nWWtWMEHVSYMQv7HLsInEZTWpE/edit?gid=1839942165#gid=1839942165")</f>
        <v>https://docs.google.com/spreadsheets/d/1EI7qusa674eJhuaw-nWWtWMEHVSYMQv7HLsInEZTWpE/edit?gid=1839942165#gid=1839942165</v>
      </c>
      <c r="I1343" s="19" t="str">
        <f>IFERROR(__xludf.DUMMYFUNCTION("""COMPUTED_VALUE"""),"https://disk.yandex.ru/client/disk/Осмотры%20объектов%20АНО%20СМГ/1246.%20ДОО%20НА%20350%20мест%2C%20ул.Шеногина%2C%20зу%202-21")</f>
        <v>https://disk.yandex.ru/client/disk/Осмотры%20объектов%20АНО%20СМГ/1246.%20ДОО%20НА%20350%20мест%2C%20ул.Шеногина%2C%20зу%202-21</v>
      </c>
      <c r="J1343" s="50">
        <f>IFERROR(__xludf.DUMMYFUNCTION("""COMPUTED_VALUE"""),99.99448)</f>
        <v>99.99448</v>
      </c>
      <c r="K1343" s="58">
        <f>IFERROR(__xludf.DUMMYFUNCTION("""COMPUTED_VALUE"""),45973.0)</f>
        <v>45973</v>
      </c>
      <c r="L1343" s="6">
        <v>7.0</v>
      </c>
      <c r="M1343" s="52">
        <v>45980.0</v>
      </c>
      <c r="N1343" s="53" t="s">
        <v>652</v>
      </c>
      <c r="O1343" s="19" t="s">
        <v>1368</v>
      </c>
      <c r="P1343" s="6"/>
      <c r="Q1343" s="6"/>
      <c r="R1343" s="6"/>
    </row>
    <row r="1344">
      <c r="A1344" s="31" t="str">
        <f>IFERROR(__xludf.DUMMYFUNCTION("""COMPUTED_VALUE"""),"1247")</f>
        <v>1247</v>
      </c>
      <c r="B1344" s="14" t="str">
        <f>IFERROR(__xludf.DUMMYFUNCTION("""COMPUTED_VALUE"""),"ВНЕ СПИСКА")</f>
        <v>ВНЕ СПИСКА</v>
      </c>
      <c r="C1344" s="14" t="str">
        <f>IFERROR(__xludf.DUMMYFUNCTION("""COMPUTED_VALUE"""),"ОКС")</f>
        <v>ОКС</v>
      </c>
      <c r="D1344" s="6" t="str">
        <f>IFERROR(__xludf.DUMMYFUNCTION("""COMPUTED_VALUE"""),"да")</f>
        <v>да</v>
      </c>
      <c r="E1344" s="14" t="str">
        <f>IFERROR(__xludf.DUMMYFUNCTION("""COMPUTED_VALUE"""),"Здание образовательной организации (дошкольное образование) на 150 мест, корпус 16 Москва, внутригородское муниципальное образование Южное Бутово, промышленная зона ЮБ-1 в границах производственной зоны «Южное Бутово»")</f>
        <v>Здание образовательной организации (дошкольное образование) на 150 мест, корпус 16 Москва, внутригородское муниципальное образование Южное Бутово, промышленная зона ЮБ-1 в границах производственной зоны «Южное Бутово»</v>
      </c>
      <c r="F1344" s="25" t="str">
        <f>IFERROR(__xludf.DUMMYFUNCTION("""COMPUTED_VALUE"""),"#N/A")</f>
        <v>#N/A</v>
      </c>
      <c r="G1344" s="6" t="str">
        <f>IFERROR(__xludf.DUMMYFUNCTION("""COMPUTED_VALUE"""),"#N/A")</f>
        <v>#N/A</v>
      </c>
      <c r="H1344" s="18" t="str">
        <f>IFERROR(__xludf.DUMMYFUNCTION("""COMPUTED_VALUE"""),"https://docs.google.com/spreadsheets/d/1EI7qusa674eJhuaw-nWWtWMEHVSYMQv7HLsInEZTWpE/edit?gid=104937382#gid=104937382")</f>
        <v>https://docs.google.com/spreadsheets/d/1EI7qusa674eJhuaw-nWWtWMEHVSYMQv7HLsInEZTWpE/edit?gid=104937382#gid=104937382</v>
      </c>
      <c r="I1344" s="19" t="str">
        <f>IFERROR(__xludf.DUMMYFUNCTION("""COMPUTED_VALUE"""),"https://disk.yandex.ru/client/disk/Осмотры%20объектов%20АНО%20СМГ/1247.%20ДОУ%20на%20150%20мест%2C%20к.16%2C%20Варшавское%20ш.%2C%20280А%2C%20школа%20№1355")</f>
        <v>https://disk.yandex.ru/client/disk/Осмотры%20объектов%20АНО%20СМГ/1247.%20ДОУ%20на%20150%20мест%2C%20к.16%2C%20Варшавское%20ш.%2C%20280А%2C%20школа%20№1355</v>
      </c>
      <c r="J1344" s="50">
        <f>IFERROR(__xludf.DUMMYFUNCTION("""COMPUTED_VALUE"""),99.0389)</f>
        <v>99.0389</v>
      </c>
      <c r="K1344" s="58">
        <f>IFERROR(__xludf.DUMMYFUNCTION("""COMPUTED_VALUE"""),45847.0)</f>
        <v>45847</v>
      </c>
      <c r="L1344" s="6">
        <v>7.0</v>
      </c>
      <c r="M1344" s="52">
        <v>45854.0</v>
      </c>
      <c r="N1344" s="53" t="s">
        <v>668</v>
      </c>
      <c r="O1344" s="19" t="s">
        <v>669</v>
      </c>
      <c r="P1344" s="6"/>
      <c r="Q1344" s="6"/>
      <c r="R1344" s="6"/>
    </row>
    <row r="1345">
      <c r="A1345" s="31" t="str">
        <f>IFERROR(__xludf.DUMMYFUNCTION("""COMPUTED_VALUE"""),"1248")</f>
        <v>1248</v>
      </c>
      <c r="B1345" s="14" t="str">
        <f>IFERROR(__xludf.DUMMYFUNCTION("""COMPUTED_VALUE"""),"ВНЕ СПИСКА")</f>
        <v>ВНЕ СПИСКА</v>
      </c>
      <c r="C1345" s="14" t="str">
        <f>IFERROR(__xludf.DUMMYFUNCTION("""COMPUTED_VALUE"""),"ОКС")</f>
        <v>ОКС</v>
      </c>
      <c r="D1345" s="6" t="str">
        <f>IFERROR(__xludf.DUMMYFUNCTION("""COMPUTED_VALUE"""),"да")</f>
        <v>да</v>
      </c>
      <c r="E1345" s="14" t="str">
        <f>IFERROR(__xludf.DUMMYFUNCTION("""COMPUTED_VALUE"""),"Дошкольная образовательная организация на 350 мест г. Москва, поселение Внуковское, деревня Рассказовка")</f>
        <v>Дошкольная образовательная организация на 350 мест г. Москва, поселение Внуковское, деревня Рассказовка</v>
      </c>
      <c r="F1345" s="25" t="str">
        <f>IFERROR(__xludf.DUMMYFUNCTION("""COMPUTED_VALUE"""),"#N/A")</f>
        <v>#N/A</v>
      </c>
      <c r="G1345" s="6" t="str">
        <f>IFERROR(__xludf.DUMMYFUNCTION("""COMPUTED_VALUE"""),"#N/A")</f>
        <v>#N/A</v>
      </c>
      <c r="H1345" s="18" t="str">
        <f>IFERROR(__xludf.DUMMYFUNCTION("""COMPUTED_VALUE"""),"https://docs.google.com/spreadsheets/d/1EI7qusa674eJhuaw-nWWtWMEHVSYMQv7HLsInEZTWpE/edit?gid=371216580#gid=371216580")</f>
        <v>https://docs.google.com/spreadsheets/d/1EI7qusa674eJhuaw-nWWtWMEHVSYMQv7HLsInEZTWpE/edit?gid=371216580#gid=371216580</v>
      </c>
      <c r="I1345" s="19" t="str">
        <f>IFERROR(__xludf.DUMMYFUNCTION("""COMPUTED_VALUE"""),"https://disk.yandex.ru/client/disk/Осмотры%20объектов%20АНО%20СМГ/1248.%20ДОО%20на%20350%20мест%20Школа%201788.%20Бульвар%20Андрея%20Тарковского%202")</f>
        <v>https://disk.yandex.ru/client/disk/Осмотры%20объектов%20АНО%20СМГ/1248.%20ДОО%20на%20350%20мест%20Школа%201788.%20Бульвар%20Андрея%20Тарковского%202</v>
      </c>
      <c r="J1345" s="50">
        <f>IFERROR(__xludf.DUMMYFUNCTION("""COMPUTED_VALUE"""),100.0)</f>
        <v>100</v>
      </c>
      <c r="K1345" s="58">
        <f>IFERROR(__xludf.DUMMYFUNCTION("""COMPUTED_VALUE"""),45847.0)</f>
        <v>45847</v>
      </c>
      <c r="L1345" s="6" t="s">
        <v>654</v>
      </c>
      <c r="M1345" s="52" t="s">
        <v>655</v>
      </c>
      <c r="N1345" s="53" t="s">
        <v>656</v>
      </c>
      <c r="O1345" s="19" t="s">
        <v>1369</v>
      </c>
      <c r="P1345" s="6"/>
      <c r="Q1345" s="6"/>
      <c r="R1345" s="6"/>
    </row>
    <row r="1346">
      <c r="A1346" s="31" t="str">
        <f>IFERROR(__xludf.DUMMYFUNCTION("""COMPUTED_VALUE"""),"1249")</f>
        <v>1249</v>
      </c>
      <c r="B1346" s="14" t="str">
        <f>IFERROR(__xludf.DUMMYFUNCTION("""COMPUTED_VALUE"""),"ВНЕ СПИСКА")</f>
        <v>ВНЕ СПИСКА</v>
      </c>
      <c r="C1346" s="14" t="str">
        <f>IFERROR(__xludf.DUMMYFUNCTION("""COMPUTED_VALUE"""),"ОКС")</f>
        <v>ОКС</v>
      </c>
      <c r="D1346" s="6" t="str">
        <f>IFERROR(__xludf.DUMMYFUNCTION("""COMPUTED_VALUE"""),"да")</f>
        <v>да</v>
      </c>
      <c r="E1346" s="14" t="str">
        <f>IFERROR(__xludf.DUMMYFUNCTION("""COMPUTED_VALUE"""),"Встроенно-пристроенное к корп.4 дошкольное образовательное учреждение на 125 мест жилого комплекса г. Москва, Рублевское шоссе, вл.68-70")</f>
        <v>Встроенно-пристроенное к корп.4 дошкольное образовательное учреждение на 125 мест жилого комплекса г. Москва, Рублевское шоссе, вл.68-70</v>
      </c>
      <c r="F1346" s="25" t="str">
        <f>IFERROR(__xludf.DUMMYFUNCTION("""COMPUTED_VALUE"""),"#N/A")</f>
        <v>#N/A</v>
      </c>
      <c r="G1346" s="6" t="str">
        <f>IFERROR(__xludf.DUMMYFUNCTION("""COMPUTED_VALUE"""),"#N/A")</f>
        <v>#N/A</v>
      </c>
      <c r="H1346" s="18" t="str">
        <f>IFERROR(__xludf.DUMMYFUNCTION("""COMPUTED_VALUE"""),"https://docs.google.com/spreadsheets/d/1EI7qusa674eJhuaw-nWWtWMEHVSYMQv7HLsInEZTWpE/edit?gid=1431037231#gid=1431037231")</f>
        <v>https://docs.google.com/spreadsheets/d/1EI7qusa674eJhuaw-nWWtWMEHVSYMQv7HLsInEZTWpE/edit?gid=1431037231#gid=1431037231</v>
      </c>
      <c r="I1346" s="19" t="str">
        <f>IFERROR(__xludf.DUMMYFUNCTION("""COMPUTED_VALUE"""),"https://disk.yandex.ru/client/disk/Осмотры%20объектов%20АНО%20СМГ/1249.%20Встроенное-пристроенное%20ДОУ%20на%20125_Рублевское%20шоссе%20вл.%2068-70")</f>
        <v>https://disk.yandex.ru/client/disk/Осмотры%20объектов%20АНО%20СМГ/1249.%20Встроенное-пристроенное%20ДОУ%20на%20125_Рублевское%20шоссе%20вл.%2068-70</v>
      </c>
      <c r="J1346" s="50">
        <f>IFERROR(__xludf.DUMMYFUNCTION("""COMPUTED_VALUE"""),0.0)</f>
        <v>0</v>
      </c>
      <c r="K1346" s="58">
        <f>IFERROR(__xludf.DUMMYFUNCTION("""COMPUTED_VALUE"""),45847.0)</f>
        <v>45847</v>
      </c>
      <c r="L1346" s="6">
        <v>30.0</v>
      </c>
      <c r="M1346" s="52">
        <v>45877.0</v>
      </c>
      <c r="N1346" s="53" t="s">
        <v>652</v>
      </c>
      <c r="O1346" s="19" t="s">
        <v>1370</v>
      </c>
      <c r="P1346" s="6"/>
      <c r="Q1346" s="6"/>
      <c r="R1346" s="6"/>
    </row>
    <row r="1347">
      <c r="A1347" s="31" t="str">
        <f>IFERROR(__xludf.DUMMYFUNCTION("""COMPUTED_VALUE"""),"1252")</f>
        <v>1252</v>
      </c>
      <c r="B1347" s="14" t="str">
        <f>IFERROR(__xludf.DUMMYFUNCTION("""COMPUTED_VALUE"""),"ВНЕ СПИСКА")</f>
        <v>ВНЕ СПИСКА</v>
      </c>
      <c r="C1347" s="14" t="str">
        <f>IFERROR(__xludf.DUMMYFUNCTION("""COMPUTED_VALUE"""),"ОКС")</f>
        <v>ОКС</v>
      </c>
      <c r="D1347" s="6" t="str">
        <f>IFERROR(__xludf.DUMMYFUNCTION("""COMPUTED_VALUE"""),"да")</f>
        <v>да</v>
      </c>
      <c r="E1347" s="14" t="str">
        <f>IFERROR(__xludf.DUMMYFUNCTION("""COMPUTED_VALUE"""),"Школа на 350 мест, д. Румянцево, ЖК ""Home City"" г. Москва, ул. Инженера Балинского, д. 5")</f>
        <v>Школа на 350 мест, д. Румянцево, ЖК "Home City" г. Москва, ул. Инженера Балинского, д. 5</v>
      </c>
      <c r="F1347" s="25" t="str">
        <f>IFERROR(__xludf.DUMMYFUNCTION("""COMPUTED_VALUE"""),"#N/A")</f>
        <v>#N/A</v>
      </c>
      <c r="G1347" s="6" t="str">
        <f>IFERROR(__xludf.DUMMYFUNCTION("""COMPUTED_VALUE"""),"#N/A")</f>
        <v>#N/A</v>
      </c>
      <c r="H1347" s="18" t="str">
        <f>IFERROR(__xludf.DUMMYFUNCTION("""COMPUTED_VALUE"""),"https://docs.google.com/spreadsheets/d/1EI7qusa674eJhuaw-nWWtWMEHVSYMQv7HLsInEZTWpE/edit?gid=1963162360#gid=1963162360")</f>
        <v>https://docs.google.com/spreadsheets/d/1EI7qusa674eJhuaw-nWWtWMEHVSYMQv7HLsInEZTWpE/edit?gid=1963162360#gid=1963162360</v>
      </c>
      <c r="I1347" s="19" t="str">
        <f>IFERROR(__xludf.DUMMYFUNCTION("""COMPUTED_VALUE"""),"https://disk.yandex.ru/client/disk/Осмотры%20объектов%20АНО%20СМГ/1252%20г.%20Москва%2C%20ул.%20Инженера%20Балинского%2C%20д.%205%20Школа%20на%20350%20мест%2C%20д.%20Румянцево%2C%20ЖК%20%22Home%20City%22")</f>
        <v>https://disk.yandex.ru/client/disk/Осмотры%20объектов%20АНО%20СМГ/1252%20г.%20Москва%2C%20ул.%20Инженера%20Балинского%2C%20д.%205%20Школа%20на%20350%20мест%2C%20д.%20Румянцево%2C%20ЖК%20%22Home%20City%22</v>
      </c>
      <c r="J1347" s="50">
        <f>IFERROR(__xludf.DUMMYFUNCTION("""COMPUTED_VALUE"""),100.0)</f>
        <v>100</v>
      </c>
      <c r="K1347" s="58">
        <f>IFERROR(__xludf.DUMMYFUNCTION("""COMPUTED_VALUE"""),45849.0)</f>
        <v>45849</v>
      </c>
      <c r="L1347" s="6" t="s">
        <v>654</v>
      </c>
      <c r="M1347" s="52" t="s">
        <v>655</v>
      </c>
      <c r="N1347" s="53" t="s">
        <v>656</v>
      </c>
      <c r="O1347" s="19" t="s">
        <v>1371</v>
      </c>
      <c r="P1347" s="6"/>
      <c r="Q1347" s="6"/>
      <c r="R1347" s="6"/>
    </row>
    <row r="1348">
      <c r="A1348" s="31" t="str">
        <f>IFERROR(__xludf.DUMMYFUNCTION("""COMPUTED_VALUE"""),"292д")</f>
        <v>292д</v>
      </c>
      <c r="B1348" s="14" t="str">
        <f>IFERROR(__xludf.DUMMYFUNCTION("""COMPUTED_VALUE"""),"ВНЕ СПИСКА")</f>
        <v>ВНЕ СПИСКА</v>
      </c>
      <c r="C1348" s="14" t="str">
        <f>IFERROR(__xludf.DUMMYFUNCTION("""COMPUTED_VALUE"""),"УДС")</f>
        <v>УДС</v>
      </c>
      <c r="D1348" s="6"/>
      <c r="E1348" s="14" t="str">
        <f>IFERROR(__xludf.DUMMYFUNCTION("""COMPUTED_VALUE"""),"Реконструкция ул. Верхние Поля на участке от ул. Марьинский парк до МКАД. Этап 4.2 (ЮР-4) ул. Верхние Поля на участке от ул. Марьинский парк до МКАД")</f>
        <v>Реконструкция ул. Верхние Поля на участке от ул. Марьинский парк до МКАД. Этап 4.2 (ЮР-4) ул. Верхние Поля на участке от ул. Марьинский парк до МКАД</v>
      </c>
      <c r="F1348" s="25" t="str">
        <f>IFERROR(__xludf.DUMMYFUNCTION("""COMPUTED_VALUE"""),"#N/A")</f>
        <v>#N/A</v>
      </c>
      <c r="G1348" s="6" t="str">
        <f>IFERROR(__xludf.DUMMYFUNCTION("""COMPUTED_VALUE"""),"#N/A")</f>
        <v>#N/A</v>
      </c>
      <c r="H1348" s="6"/>
      <c r="I1348" s="19"/>
      <c r="J1348" s="50">
        <f>IFERROR(__xludf.DUMMYFUNCTION("""COMPUTED_VALUE"""),100.0)</f>
        <v>100</v>
      </c>
      <c r="K1348" s="58">
        <f>IFERROR(__xludf.DUMMYFUNCTION("""COMPUTED_VALUE"""),45852.0)</f>
        <v>45852</v>
      </c>
      <c r="L1348" s="6" t="s">
        <v>654</v>
      </c>
      <c r="M1348" s="52" t="s">
        <v>655</v>
      </c>
      <c r="N1348" s="53" t="s">
        <v>656</v>
      </c>
      <c r="O1348" s="19"/>
      <c r="P1348" s="6"/>
      <c r="Q1348" s="6"/>
      <c r="R1348" s="6"/>
    </row>
    <row r="1349">
      <c r="A1349" s="31" t="str">
        <f>IFERROR(__xludf.DUMMYFUNCTION("""COMPUTED_VALUE"""),"1253")</f>
        <v>1253</v>
      </c>
      <c r="B1349" s="14" t="str">
        <f>IFERROR(__xludf.DUMMYFUNCTION("""COMPUTED_VALUE"""),"ВНЕ СПИСКА")</f>
        <v>ВНЕ СПИСКА</v>
      </c>
      <c r="C1349" s="14" t="str">
        <f>IFERROR(__xludf.DUMMYFUNCTION("""COMPUTED_VALUE"""),"ОКС")</f>
        <v>ОКС</v>
      </c>
      <c r="D1349" s="6" t="str">
        <f>IFERROR(__xludf.DUMMYFUNCTION("""COMPUTED_VALUE"""),"да")</f>
        <v>да</v>
      </c>
      <c r="E1349" s="14" t="str">
        <f>IFERROR(__xludf.DUMMYFUNCTION("""COMPUTED_VALUE"""),"Офисное здание ул. Заречная, вл. 2/1")</f>
        <v>Офисное здание ул. Заречная, вл. 2/1</v>
      </c>
      <c r="F1349" s="25" t="str">
        <f>IFERROR(__xludf.DUMMYFUNCTION("""COMPUTED_VALUE"""),"#N/A")</f>
        <v>#N/A</v>
      </c>
      <c r="G1349" s="6" t="str">
        <f>IFERROR(__xludf.DUMMYFUNCTION("""COMPUTED_VALUE"""),"#N/A")</f>
        <v>#N/A</v>
      </c>
      <c r="H1349" s="18" t="str">
        <f>IFERROR(__xludf.DUMMYFUNCTION("""COMPUTED_VALUE"""),"https://docs.google.com/spreadsheets/d/1EI7qusa674eJhuaw-nWWtWMEHVSYMQv7HLsInEZTWpE/edit?gid=1488450314#gid=1488450314")</f>
        <v>https://docs.google.com/spreadsheets/d/1EI7qusa674eJhuaw-nWWtWMEHVSYMQv7HLsInEZTWpE/edit?gid=1488450314#gid=1488450314</v>
      </c>
      <c r="I1349" s="18" t="str">
        <f>IFERROR(__xludf.DUMMYFUNCTION("""COMPUTED_VALUE"""),"https://disk.yandex.ru/client/disk/%D0%9E%D1%81%D0%BC%D0%BE%D1%82%D1%80%D1%8B%20%D0%BE%D0%B1%D1%8A%D0%B5%D0%BA%D1%82%D0%BE%D0%B2%20%D0%90%D0%9D%D0%9E%20%D0%A1%D0%9C%D0%93/1253%20%D1%83%D0%BB.%20%D0%97%D0%B0%D1%80%D0%B5%D1%87%D0%BD%D0%B0%D1%8F%2C%20%D0%B2%"&amp;"D0%BB.%202%20%D0%B4%D1%80%D0%BE%D0%B1%D1%8C%201.%20%D0%9E%D1%84%D0%B8%D1%81%D0%BD%D0%BE%D0%B5%20%D0%B7%D0%B4%D0%B0%D0%BD%D0%B8%D0%B5.")</f>
        <v>https://disk.yandex.ru/client/disk/%D0%9E%D1%81%D0%BC%D0%BE%D1%82%D1%80%D1%8B%20%D0%BE%D0%B1%D1%8A%D0%B5%D0%BA%D1%82%D0%BE%D0%B2%20%D0%90%D0%9D%D0%9E%20%D0%A1%D0%9C%D0%93/1253%20%D1%83%D0%BB.%20%D0%97%D0%B0%D1%80%D0%B5%D1%87%D0%BD%D0%B0%D1%8F%2C%20%D0%B2%D0%BB.%202%20%D0%B4%D1%80%D0%BE%D0%B1%D1%8C%201.%20%D0%9E%D1%84%D0%B8%D1%81%D0%BD%D0%BE%D0%B5%20%D0%B7%D0%B4%D0%B0%D0%BD%D0%B8%D0%B5.</v>
      </c>
      <c r="J1349" s="50">
        <f>IFERROR(__xludf.DUMMYFUNCTION("""COMPUTED_VALUE"""),60.670424999999994)</f>
        <v>60.670425</v>
      </c>
      <c r="K1349" s="58">
        <f>IFERROR(__xludf.DUMMYFUNCTION("""COMPUTED_VALUE"""),45861.0)</f>
        <v>45861</v>
      </c>
      <c r="L1349" s="6">
        <v>14.0</v>
      </c>
      <c r="M1349" s="52">
        <v>45875.0</v>
      </c>
      <c r="N1349" s="53" t="s">
        <v>668</v>
      </c>
      <c r="O1349" s="6" t="s">
        <v>1372</v>
      </c>
      <c r="P1349" s="6"/>
      <c r="Q1349" s="6"/>
      <c r="R1349" s="6"/>
    </row>
    <row r="1350">
      <c r="A1350" s="31" t="str">
        <f>IFERROR(__xludf.DUMMYFUNCTION("""COMPUTED_VALUE"""),"1254")</f>
        <v>1254</v>
      </c>
      <c r="B1350" s="14" t="str">
        <f>IFERROR(__xludf.DUMMYFUNCTION("""COMPUTED_VALUE"""),"ВНЕ СПИСКА")</f>
        <v>ВНЕ СПИСКА</v>
      </c>
      <c r="C1350" s="14" t="str">
        <f>IFERROR(__xludf.DUMMYFUNCTION("""COMPUTED_VALUE"""),"ОКС")</f>
        <v>ОКС</v>
      </c>
      <c r="D1350" s="6" t="str">
        <f>IFERROR(__xludf.DUMMYFUNCTION("""COMPUTED_VALUE"""),"да")</f>
        <v>да</v>
      </c>
      <c r="E1350" s="14" t="str">
        <f>IFERROR(__xludf.DUMMYFUNCTION("""COMPUTED_VALUE"""),"Административное здание с подземной автостоянкой Промышленный проезд, вл. 5")</f>
        <v>Административное здание с подземной автостоянкой Промышленный проезд, вл. 5</v>
      </c>
      <c r="F1350" s="25" t="str">
        <f>IFERROR(__xludf.DUMMYFUNCTION("""COMPUTED_VALUE"""),"#N/A")</f>
        <v>#N/A</v>
      </c>
      <c r="G1350" s="6" t="str">
        <f>IFERROR(__xludf.DUMMYFUNCTION("""COMPUTED_VALUE"""),"#N/A")</f>
        <v>#N/A</v>
      </c>
      <c r="H1350" s="18" t="str">
        <f>IFERROR(__xludf.DUMMYFUNCTION("""COMPUTED_VALUE"""),"https://docs.google.com/spreadsheets/d/1EI7qusa674eJhuaw-nWWtWMEHVSYMQv7HLsInEZTWpE/edit?gid=1656230982#gid=1656230982")</f>
        <v>https://docs.google.com/spreadsheets/d/1EI7qusa674eJhuaw-nWWtWMEHVSYMQv7HLsInEZTWpE/edit?gid=1656230982#gid=1656230982</v>
      </c>
      <c r="I1350" s="21" t="str">
        <f>IFERROR(__xludf.DUMMYFUNCTION("""COMPUTED_VALUE"""),"https://disk.yandex.ru/client/disk/%D0%9E%D1%81%D0%BC%D0%BE%D1%82%D1%80%D1%8B%20%D0%BE%D0%B1%D1%8A%D0%B5%D0%BA%D1%82%D0%BE%D0%B2%20%D0%90%D0%9D%D0%9E%20%D0%A1%D0%9C%D0%93/1254%20%D0%9F%D1%80%D0%BE%D0%BC%D1%8B%D1%88%D0%BB%D0%B5%D0%BD%D0%BD%D1%8B%D0%B9%20%D"&amp;"0%BF%D1%80%D0%BE%D0%B5%D0%B7%D0%B4%2C%20%D0%B2%D0%BB.%205.%20%D0%90%D0%B4%D0%BC%D0%B8%D0%BD%D0%B8%D1%81%D1%82%D1%80%D0%B0%D1%82%D0%B8%D0%B2%D0%BD%D0%BE%D0%B5%20%D0%B7%D0%B4%D0%B0%D0%BD%D0%B8%D0%B5%20%D1%81%20%D0%BF%D0%BE%D0%B4%D0%B7%D0%B5%D0%BC%D0%BD%D0%B"&amp;"E%D0%B9%20%D0%B0%D0%B2%D1%82%D0%BE%D1%81%D1%82%D0%BE%D1%8F%D0%BD%D0%BA%D0%BE%D0%B9.")</f>
        <v>https://disk.yandex.ru/client/disk/%D0%9E%D1%81%D0%BC%D0%BE%D1%82%D1%80%D1%8B%20%D0%BE%D0%B1%D1%8A%D0%B5%D0%BA%D1%82%D0%BE%D0%B2%20%D0%90%D0%9D%D0%9E%20%D0%A1%D0%9C%D0%93/1254%20%D0%9F%D1%80%D0%BE%D0%BC%D1%8B%D1%88%D0%BB%D0%B5%D0%BD%D0%BD%D1%8B%D0%B9%20%D0%BF%D1%80%D0%BE%D0%B5%D0%B7%D0%B4%2C%20%D0%B2%D0%BB.%205.%20%D0%90%D0%B4%D0%BC%D0%B8%D0%BD%D0%B8%D1%81%D1%82%D1%80%D0%B0%D1%82%D0%B8%D0%B2%D0%BD%D0%BE%D0%B5%20%D0%B7%D0%B4%D0%B0%D0%BD%D0%B8%D0%B5%20%D1%81%20%D0%BF%D0%BE%D0%B4%D0%B7%D0%B5%D0%BC%D0%BD%D0%BE%D0%B9%20%D0%B0%D0%B2%D1%82%D0%BE%D1%81%D1%82%D0%BE%D1%8F%D0%BD%D0%BA%D0%BE%D0%B9.</v>
      </c>
      <c r="J1350" s="50">
        <f>IFERROR(__xludf.DUMMYFUNCTION("""COMPUTED_VALUE"""),80.8343625)</f>
        <v>80.8343625</v>
      </c>
      <c r="K1350" s="58">
        <f>IFERROR(__xludf.DUMMYFUNCTION("""COMPUTED_VALUE"""),45862.0)</f>
        <v>45862</v>
      </c>
      <c r="L1350" s="6">
        <v>14.0</v>
      </c>
      <c r="M1350" s="52">
        <v>45876.0</v>
      </c>
      <c r="N1350" s="53" t="s">
        <v>668</v>
      </c>
      <c r="O1350" s="19" t="s">
        <v>1373</v>
      </c>
      <c r="P1350" s="6"/>
      <c r="Q1350" s="6"/>
      <c r="R1350" s="6"/>
    </row>
    <row r="1351">
      <c r="A1351" s="31" t="str">
        <f>IFERROR(__xludf.DUMMYFUNCTION("""COMPUTED_VALUE"""),"1255")</f>
        <v>1255</v>
      </c>
      <c r="B1351" s="14" t="str">
        <f>IFERROR(__xludf.DUMMYFUNCTION("""COMPUTED_VALUE"""),"ВНЕ СПИСКА")</f>
        <v>ВНЕ СПИСКА</v>
      </c>
      <c r="C1351" s="14" t="str">
        <f>IFERROR(__xludf.DUMMYFUNCTION("""COMPUTED_VALUE"""),"ОКС")</f>
        <v>ОКС</v>
      </c>
      <c r="D1351" s="6" t="str">
        <f>IFERROR(__xludf.DUMMYFUNCTION("""COMPUTED_VALUE"""),"да")</f>
        <v>да</v>
      </c>
      <c r="E1351" s="14" t="str">
        <f>IFERROR(__xludf.DUMMYFUNCTION("""COMPUTED_VALUE"""),"Административно-торговый комплекс с подземной автостоянкой, корпус В и Г Пересечение Кутузовского проспекта и улицы Кульнева")</f>
        <v>Административно-торговый комплекс с подземной автостоянкой, корпус В и Г Пересечение Кутузовского проспекта и улицы Кульнева</v>
      </c>
      <c r="F1351" s="25" t="str">
        <f>IFERROR(__xludf.DUMMYFUNCTION("""COMPUTED_VALUE"""),"#N/A")</f>
        <v>#N/A</v>
      </c>
      <c r="G1351" s="6" t="str">
        <f>IFERROR(__xludf.DUMMYFUNCTION("""COMPUTED_VALUE"""),"#N/A")</f>
        <v>#N/A</v>
      </c>
      <c r="H1351" s="18" t="str">
        <f>IFERROR(__xludf.DUMMYFUNCTION("""COMPUTED_VALUE"""),"https://docs.google.com/spreadsheets/d/1EI7qusa674eJhuaw-nWWtWMEHVSYMQv7HLsInEZTWpE/edit?gid=2128549332#gid=2128549332")</f>
        <v>https://docs.google.com/spreadsheets/d/1EI7qusa674eJhuaw-nWWtWMEHVSYMQv7HLsInEZTWpE/edit?gid=2128549332#gid=2128549332</v>
      </c>
      <c r="I1351" s="21" t="str">
        <f>IFERROR(__xludf.DUMMYFUNCTION("""COMPUTED_VALUE"""),"https://disk.yandex.ru/client/disk/%D0%9E%D1%81%D0%BC%D0%BE%D1%82%D1%80%D1%8B%20%D0%BE%D0%B1%D1%8A%D0%B5%D0%BA%D1%82%D0%BE%D0%B2%20%D0%90%D0%9D%D0%9E%20%D0%A1%D0%9C%D0%93/1255%20%D0%9F%D0%B5%D1%80%D0%B5%D1%81%D0%B5%D1%87%D0%B5%D0%BD%D0%B8%D0%B5%20%D0%9A%D"&amp;"1%83%D1%82%D1%83%D0%B7%D0%BE%D0%B2%D1%81%D0%BA%D0%BE%D0%B3%D0%BE%20%D0%BF%D1%80%D0%BE%D1%81%D0%BF%D0%B5%D0%BA%D1%82%D0%B0%20%D0%B8%20%D1%83%D0%BB%D0%B8%D1%86%D1%8B%20%D0%9A%D1%83%D0%BB%D1%8C%D0%BD%D0%B5%D0%B2%D0%B0.%20%D0%90%D0%B4%D0%BC%D0%B8%D0%BD%D0%B8%"&amp;"D1%81%D1%82%D1%80%D0%B0%D1%82%D0%B8%D0%B2%D0%BD%D0%BE-%D1%82%D0%BE%D1%80%D0%B3%D0%BE%D0%B2%D1%8B%D0%B9%20%D0%BA%D0%BE%D0%BC%D0%BF%D0%BB%D0%B5%D0%BA%D1%81%20%D1%81%20%D0%BF%D0%BE%D0%B4%D0%B7%D0%B5%D0%BC%D0%BD%D0%BE%D0%B9%20%D0%B0%D0%B2%D1%82%D0%BE%D1%81%D1"&amp;"%82%D0%BE%D1%8F%D0%BD%D0%BA%D0%BE%D0%B9%2C%20%D0%BA%D0%BE%D1%80%D0%BF%D1%83%D1%81%20%D0%92%20%D0%B8%20%D0%93.")</f>
        <v>https://disk.yandex.ru/client/disk/%D0%9E%D1%81%D0%BC%D0%BE%D1%82%D1%80%D1%8B%20%D0%BE%D0%B1%D1%8A%D0%B5%D0%BA%D1%82%D0%BE%D0%B2%20%D0%90%D0%9D%D0%9E%20%D0%A1%D0%9C%D0%93/1255%20%D0%9F%D0%B5%D1%80%D0%B5%D1%81%D0%B5%D1%87%D0%B5%D0%BD%D0%B8%D0%B5%20%D0%9A%D1%83%D1%82%D1%83%D0%B7%D0%BE%D0%B2%D1%81%D0%BA%D0%BE%D0%B3%D0%BE%20%D0%BF%D1%80%D0%BE%D1%81%D0%BF%D0%B5%D0%BA%D1%82%D0%B0%20%D0%B8%20%D1%83%D0%BB%D0%B8%D1%86%D1%8B%20%D0%9A%D1%83%D0%BB%D1%8C%D0%BD%D0%B5%D0%B2%D0%B0.%20%D0%90%D0%B4%D0%BC%D0%B8%D0%BD%D0%B8%D1%81%D1%82%D1%80%D0%B0%D1%82%D0%B8%D0%B2%D0%BD%D0%BE-%D1%82%D0%BE%D1%80%D0%B3%D0%BE%D0%B2%D1%8B%D0%B9%20%D0%BA%D0%BE%D0%BC%D0%BF%D0%BB%D0%B5%D0%BA%D1%81%20%D1%81%20%D0%BF%D0%BE%D0%B4%D0%B7%D0%B5%D0%BC%D0%BD%D0%BE%D0%B9%20%D0%B0%D0%B2%D1%82%D0%BE%D1%81%D1%82%D0%BE%D1%8F%D0%BD%D0%BA%D0%BE%D0%B9%2C%20%D0%BA%D0%BE%D1%80%D0%BF%D1%83%D1%81%20%D0%92%20%D0%B8%20%D0%93.</v>
      </c>
      <c r="J1351" s="50">
        <f>IFERROR(__xludf.DUMMYFUNCTION("""COMPUTED_VALUE"""),52.170075000000004)</f>
        <v>52.170075</v>
      </c>
      <c r="K1351" s="58">
        <f>IFERROR(__xludf.DUMMYFUNCTION("""COMPUTED_VALUE"""),45862.0)</f>
        <v>45862</v>
      </c>
      <c r="L1351" s="6">
        <v>14.0</v>
      </c>
      <c r="M1351" s="52">
        <v>45876.0</v>
      </c>
      <c r="N1351" s="53" t="s">
        <v>668</v>
      </c>
      <c r="O1351" s="19" t="s">
        <v>1374</v>
      </c>
      <c r="P1351" s="6"/>
      <c r="Q1351" s="6"/>
      <c r="R1351" s="6"/>
    </row>
    <row r="1352">
      <c r="A1352" s="31" t="str">
        <f>IFERROR(__xludf.DUMMYFUNCTION("""COMPUTED_VALUE"""),"1256")</f>
        <v>1256</v>
      </c>
      <c r="B1352" s="14" t="str">
        <f>IFERROR(__xludf.DUMMYFUNCTION("""COMPUTED_VALUE"""),"ВНЕ СПИСКА")</f>
        <v>ВНЕ СПИСКА</v>
      </c>
      <c r="C1352" s="14" t="str">
        <f>IFERROR(__xludf.DUMMYFUNCTION("""COMPUTED_VALUE"""),"ОКС")</f>
        <v>ОКС</v>
      </c>
      <c r="D1352" s="6" t="str">
        <f>IFERROR(__xludf.DUMMYFUNCTION("""COMPUTED_VALUE"""),"да")</f>
        <v>да</v>
      </c>
      <c r="E1352" s="14" t="str">
        <f>IFERROR(__xludf.DUMMYFUNCTION("""COMPUTED_VALUE"""),"Центр обработки данных (МегаЦОД-3) Южнопортовый 2-й пр. вл. 12а")</f>
        <v>Центр обработки данных (МегаЦОД-3) Южнопортовый 2-й пр. вл. 12а</v>
      </c>
      <c r="F1352" s="25" t="str">
        <f>IFERROR(__xludf.DUMMYFUNCTION("""COMPUTED_VALUE"""),"#N/A")</f>
        <v>#N/A</v>
      </c>
      <c r="G1352" s="6" t="str">
        <f>IFERROR(__xludf.DUMMYFUNCTION("""COMPUTED_VALUE"""),"#N/A")</f>
        <v>#N/A</v>
      </c>
      <c r="H1352" s="18" t="str">
        <f>IFERROR(__xludf.DUMMYFUNCTION("""COMPUTED_VALUE"""),"https://docs.google.com/spreadsheets/d/1EI7qusa674eJhuaw-nWWtWMEHVSYMQv7HLsInEZTWpE/edit?gid=721503388#gid=721503388")</f>
        <v>https://docs.google.com/spreadsheets/d/1EI7qusa674eJhuaw-nWWtWMEHVSYMQv7HLsInEZTWpE/edit?gid=721503388#gid=721503388</v>
      </c>
      <c r="I1352" s="21" t="str">
        <f>IFERROR(__xludf.DUMMYFUNCTION("""COMPUTED_VALUE"""),"https://disk.yandex.ru/client/disk/%D0%9E%D1%81%D0%BC%D0%BE%D1%82%D1%80%D1%8B%20%D0%BE%D0%B1%D1%8A%D0%B5%D0%BA%D1%82%D0%BE%D0%B2%20%D0%90%D0%9D%D0%9E%20%D0%A1%D0%9C%D0%93/1256.%20%D0%A6%D0%B5%D0%BD%D1%82%D1%80%20%D0%BE%D0%B1%D1%80%D0%B0%D0%B1%D0%BE%D1%82%"&amp;"D0%BA%D0%B8%20%D0%B4%D0%B0%D0%BD%D0%BD%D1%8B%D1%85(%D0%9C%D0%B5%D0%B3%D0%B0%D0%A6%D0%9E%D0%94-3)%D0%9C%D0%BE%D1%81%D0%BA%D0%B2%D0%B0%2C%202-%D0%B9%20%D0%AE%D0%B6%D0%BD%D0%BE%D0%BF%D0%BE%D1%80%D1%82%D0%BE%D0%B2%D1%8B%D0%B9%20%D0%BF%D1%80%D0%BE%D0%B5%D0%B7%"&amp;"D0%B4%2C%2012%20%D0%90")</f>
        <v>https://disk.yandex.ru/client/disk/%D0%9E%D1%81%D0%BC%D0%BE%D1%82%D1%80%D1%8B%20%D0%BE%D0%B1%D1%8A%D0%B5%D0%BA%D1%82%D0%BE%D0%B2%20%D0%90%D0%9D%D0%9E%20%D0%A1%D0%9C%D0%93/1256.%20%D0%A6%D0%B5%D0%BD%D1%82%D1%80%20%D0%BE%D0%B1%D1%80%D0%B0%D0%B1%D0%BE%D1%82%D0%BA%D0%B8%20%D0%B4%D0%B0%D0%BD%D0%BD%D1%8B%D1%85(%D0%9C%D0%B5%D0%B3%D0%B0%D0%A6%D0%9E%D0%94-3)%D0%9C%D0%BE%D1%81%D0%BA%D0%B2%D0%B0%2C%202-%D0%B9%20%D0%AE%D0%B6%D0%BD%D0%BE%D0%BF%D0%BE%D1%80%D1%82%D0%BE%D0%B2%D1%8B%D0%B9%20%D0%BF%D1%80%D0%BE%D0%B5%D0%B7%D0%B4%2C%2012%20%D0%90</v>
      </c>
      <c r="J1352" s="50">
        <f>IFERROR(__xludf.DUMMYFUNCTION("""COMPUTED_VALUE"""),0.0)</f>
        <v>0</v>
      </c>
      <c r="K1352" s="58">
        <f>IFERROR(__xludf.DUMMYFUNCTION("""COMPUTED_VALUE"""),45862.0)</f>
        <v>45862</v>
      </c>
      <c r="L1352" s="6">
        <v>30.0</v>
      </c>
      <c r="M1352" s="52">
        <v>45892.0</v>
      </c>
      <c r="N1352" s="53" t="s">
        <v>668</v>
      </c>
      <c r="O1352" s="19"/>
      <c r="P1352" s="6"/>
      <c r="Q1352" s="6"/>
      <c r="R1352" s="6"/>
    </row>
    <row r="1353">
      <c r="A1353" s="31" t="str">
        <f>IFERROR(__xludf.DUMMYFUNCTION("""COMPUTED_VALUE"""),"1257")</f>
        <v>1257</v>
      </c>
      <c r="B1353" s="14" t="str">
        <f>IFERROR(__xludf.DUMMYFUNCTION("""COMPUTED_VALUE"""),"ВНЕ СПИСКА")</f>
        <v>ВНЕ СПИСКА</v>
      </c>
      <c r="C1353" s="14" t="str">
        <f>IFERROR(__xludf.DUMMYFUNCTION("""COMPUTED_VALUE"""),"ОКС")</f>
        <v>ОКС</v>
      </c>
      <c r="D1353" s="6" t="str">
        <f>IFERROR(__xludf.DUMMYFUNCTION("""COMPUTED_VALUE"""),"да")</f>
        <v>да</v>
      </c>
      <c r="E1353" s="14" t="str">
        <f>IFERROR(__xludf.DUMMYFUNCTION("""COMPUTED_VALUE"""),"Офисно-деловой центр, Строения 2 и  3 ул. Лобненская, земельный участок 19А")</f>
        <v>Офисно-деловой центр, Строения 2 и  3 ул. Лобненская, земельный участок 19А</v>
      </c>
      <c r="F1353" s="25" t="str">
        <f>IFERROR(__xludf.DUMMYFUNCTION("""COMPUTED_VALUE"""),"#N/A")</f>
        <v>#N/A</v>
      </c>
      <c r="G1353" s="6" t="str">
        <f>IFERROR(__xludf.DUMMYFUNCTION("""COMPUTED_VALUE"""),"#N/A")</f>
        <v>#N/A</v>
      </c>
      <c r="H1353" s="18" t="str">
        <f>IFERROR(__xludf.DUMMYFUNCTION("""COMPUTED_VALUE"""),"https://docs.google.com/spreadsheets/d/1EI7qusa674eJhuaw-nWWtWMEHVSYMQv7HLsInEZTWpE/edit?gid=1028732980#gid=1028732980")</f>
        <v>https://docs.google.com/spreadsheets/d/1EI7qusa674eJhuaw-nWWtWMEHVSYMQv7HLsInEZTWpE/edit?gid=1028732980#gid=1028732980</v>
      </c>
      <c r="I1353" s="19"/>
      <c r="J1353" s="50">
        <f>IFERROR(__xludf.DUMMYFUNCTION("""COMPUTED_VALUE"""),0.0)</f>
        <v>0</v>
      </c>
      <c r="K1353" s="58">
        <f>IFERROR(__xludf.DUMMYFUNCTION("""COMPUTED_VALUE"""),45860.0)</f>
        <v>45860</v>
      </c>
      <c r="L1353" s="6">
        <v>30.0</v>
      </c>
      <c r="M1353" s="52">
        <v>45890.0</v>
      </c>
      <c r="N1353" s="53" t="s">
        <v>668</v>
      </c>
      <c r="O1353" s="19"/>
      <c r="P1353" s="6"/>
      <c r="Q1353" s="6"/>
      <c r="R1353" s="6"/>
    </row>
    <row r="1354">
      <c r="A1354" s="31" t="str">
        <f>IFERROR(__xludf.DUMMYFUNCTION("""COMPUTED_VALUE"""),"1258")</f>
        <v>1258</v>
      </c>
      <c r="B1354" s="14" t="str">
        <f>IFERROR(__xludf.DUMMYFUNCTION("""COMPUTED_VALUE"""),"ВНЕ СПИСКА")</f>
        <v>ВНЕ СПИСКА</v>
      </c>
      <c r="C1354" s="14" t="str">
        <f>IFERROR(__xludf.DUMMYFUNCTION("""COMPUTED_VALUE"""),"ОКС")</f>
        <v>ОКС</v>
      </c>
      <c r="D1354" s="6" t="str">
        <f>IFERROR(__xludf.DUMMYFUNCTION("""COMPUTED_VALUE"""),"да")</f>
        <v>да</v>
      </c>
      <c r="E1354" s="14" t="str">
        <f>IFERROR(__xludf.DUMMYFUNCTION("""COMPUTED_VALUE"""),"Многофункциональный компекс (с аппартаментами квартирного типа) 2 этап (очередь) Корпуса 4-5 Никулинская ул. вл. 11Г")</f>
        <v>Многофункциональный компекс (с аппартаментами квартирного типа) 2 этап (очередь) Корпуса 4-5 Никулинская ул. вл. 11Г</v>
      </c>
      <c r="F1354" s="25" t="str">
        <f>IFERROR(__xludf.DUMMYFUNCTION("""COMPUTED_VALUE"""),"#N/A")</f>
        <v>#N/A</v>
      </c>
      <c r="G1354" s="6" t="str">
        <f>IFERROR(__xludf.DUMMYFUNCTION("""COMPUTED_VALUE"""),"#N/A")</f>
        <v>#N/A</v>
      </c>
      <c r="H1354" s="18" t="str">
        <f>IFERROR(__xludf.DUMMYFUNCTION("""COMPUTED_VALUE"""),"https://docs.google.com/spreadsheets/d/1EI7qusa674eJhuaw-nWWtWMEHVSYMQv7HLsInEZTWpE/edit?gid=1050204202#gid=1050204202")</f>
        <v>https://docs.google.com/spreadsheets/d/1EI7qusa674eJhuaw-nWWtWMEHVSYMQv7HLsInEZTWpE/edit?gid=1050204202#gid=1050204202</v>
      </c>
      <c r="I1354" s="21" t="str">
        <f>IFERROR(__xludf.DUMMYFUNCTION("""COMPUTED_VALUE"""),"https://disk.yandex.ru/client/disk/%D0%9E%D1%81%D0%BC%D0%BE%D1%82%D1%80%D1%8B%20%D0%BE%D0%B1%D1%8A%D0%B5%D0%BA%D1%82%D0%BE%D0%B2%20%D0%90%D0%9D%D0%9E%20%D0%A1%D0%9C%D0%93/1258.%20%D0%9C%D0%BD%D0%BE%D0%B3%D0%BE%D1%84%D1%83%D0%BD%D0%BA%D1%86%D0%B8%D0%BE%D0%"&amp;"BD%D0%B0%D0%BB%D1%8C%D0%BD%D1%8B%D0%B9%20%D0%BA%D0%BE%D0%BC%D0%BF%D0%BB%D0%B5%D0%BA%D1%81%2C%20%D0%BA.%204-5%2C%20%D0%9D%D0%B8%D0%BA%D1%83%D0%BB%D0%B8%D0%BD%D1%81%D0%BA%D0%B0%D1%8F%2C%20%D0%B2%D0%BB.%2011%D0%B3")</f>
        <v>https://disk.yandex.ru/client/disk/%D0%9E%D1%81%D0%BC%D0%BE%D1%82%D1%80%D1%8B%20%D0%BE%D0%B1%D1%8A%D0%B5%D0%BA%D1%82%D0%BE%D0%B2%20%D0%90%D0%9D%D0%9E%20%D0%A1%D0%9C%D0%93/1258.%20%D0%9C%D0%BD%D0%BE%D0%B3%D0%BE%D1%84%D1%83%D0%BD%D0%BA%D1%86%D0%B8%D0%BE%D0%BD%D0%B0%D0%BB%D1%8C%D0%BD%D1%8B%D0%B9%20%D0%BA%D0%BE%D0%BC%D0%BF%D0%BB%D0%B5%D0%BA%D1%81%2C%20%D0%BA.%204-5%2C%20%D0%9D%D0%B8%D0%BA%D1%83%D0%BB%D0%B8%D0%BD%D1%81%D0%BA%D0%B0%D1%8F%2C%20%D0%B2%D0%BB.%2011%D0%B3</v>
      </c>
      <c r="J1354" s="50">
        <f>IFERROR(__xludf.DUMMYFUNCTION("""COMPUTED_VALUE"""),100.0)</f>
        <v>100</v>
      </c>
      <c r="K1354" s="58">
        <f>IFERROR(__xludf.DUMMYFUNCTION("""COMPUTED_VALUE"""),45860.0)</f>
        <v>45860</v>
      </c>
      <c r="L1354" s="6" t="s">
        <v>654</v>
      </c>
      <c r="M1354" s="52" t="s">
        <v>655</v>
      </c>
      <c r="N1354" s="53" t="s">
        <v>656</v>
      </c>
      <c r="O1354" s="19" t="s">
        <v>1375</v>
      </c>
      <c r="P1354" s="6"/>
      <c r="Q1354" s="6"/>
      <c r="R1354" s="6"/>
    </row>
    <row r="1355">
      <c r="A1355" s="31" t="str">
        <f>IFERROR(__xludf.DUMMYFUNCTION("""COMPUTED_VALUE"""),"1259")</f>
        <v>1259</v>
      </c>
      <c r="B1355" s="14" t="str">
        <f>IFERROR(__xludf.DUMMYFUNCTION("""COMPUTED_VALUE"""),"ВНЕ СПИСКА")</f>
        <v>ВНЕ СПИСКА</v>
      </c>
      <c r="C1355" s="14" t="str">
        <f>IFERROR(__xludf.DUMMYFUNCTION("""COMPUTED_VALUE"""),"ОКС")</f>
        <v>ОКС</v>
      </c>
      <c r="D1355" s="6" t="str">
        <f>IFERROR(__xludf.DUMMYFUNCTION("""COMPUTED_VALUE"""),"да")</f>
        <v>да</v>
      </c>
      <c r="E1355" s="14" t="str">
        <f>IFERROR(__xludf.DUMMYFUNCTION("""COMPUTED_VALUE"""),"Территория инновационного цетра Сколково Творческий квартал, корп. 3, 7, 8, 9, 10")</f>
        <v>Территория инновационного цетра Сколково Творческий квартал, корп. 3, 7, 8, 9, 10</v>
      </c>
      <c r="F1355" s="25" t="str">
        <f>IFERROR(__xludf.DUMMYFUNCTION("""COMPUTED_VALUE"""),"#N/A")</f>
        <v>#N/A</v>
      </c>
      <c r="G1355" s="6" t="str">
        <f>IFERROR(__xludf.DUMMYFUNCTION("""COMPUTED_VALUE"""),"#N/A")</f>
        <v>#N/A</v>
      </c>
      <c r="H1355" s="18" t="str">
        <f>IFERROR(__xludf.DUMMYFUNCTION("""COMPUTED_VALUE"""),"https://docs.google.com/spreadsheets/d/1EI7qusa674eJhuaw-nWWtWMEHVSYMQv7HLsInEZTWpE/edit?gid=394346053#gid=394346053")</f>
        <v>https://docs.google.com/spreadsheets/d/1EI7qusa674eJhuaw-nWWtWMEHVSYMQv7HLsInEZTWpE/edit?gid=394346053#gid=394346053</v>
      </c>
      <c r="I1355" s="21" t="str">
        <f>IFERROR(__xludf.DUMMYFUNCTION("""COMPUTED_VALUE"""),"https://disk.yandex.ru/client/disk/%D0%9E%D1%81%D0%BC%D0%BE%D1%82%D1%80%D1%8B%20%D0%BE%D0%B1%D1%8A%D0%B5%D0%BA%D1%82%D0%BE%D0%B2%20%D0%90%D0%9D%D0%9E%20%D0%A1%D0%9C%D0%93/1259.%20%D1%82%D0%B5%D1%80.%20%D0%A1%D0%BA%D0%BE%D0%BB%D0%BA%D0%BE%D0%B2%D0%BE%2C%20"&amp;"%D0%A2%D0%B2%D0%BE%D1%80%D1%87%D0%B5%D1%81%D0%BA%D0%B8%D0%B9%20%D0%BA%D0%B2%D0%B0%D1%80%D1%82%D0%B0%D0%BB%2C%20%D0%BA%D0%BE%D1%80%D0%BF.%203%2C%207%2C%208%2C%209%2C%2010")</f>
        <v>https://disk.yandex.ru/client/disk/%D0%9E%D1%81%D0%BC%D0%BE%D1%82%D1%80%D1%8B%20%D0%BE%D0%B1%D1%8A%D0%B5%D0%BA%D1%82%D0%BE%D0%B2%20%D0%90%D0%9D%D0%9E%20%D0%A1%D0%9C%D0%93/1259.%20%D1%82%D0%B5%D1%80.%20%D0%A1%D0%BA%D0%BE%D0%BB%D0%BA%D0%BE%D0%B2%D0%BE%2C%20%D0%A2%D0%B2%D0%BE%D1%80%D1%87%D0%B5%D1%81%D0%BA%D0%B8%D0%B9%20%D0%BA%D0%B2%D0%B0%D1%80%D1%82%D0%B0%D0%BB%2C%20%D0%BA%D0%BE%D1%80%D0%BF.%203%2C%207%2C%208%2C%209%2C%2010</v>
      </c>
      <c r="J1355" s="50">
        <f>IFERROR(__xludf.DUMMYFUNCTION("""COMPUTED_VALUE"""),52.7209225)</f>
        <v>52.7209225</v>
      </c>
      <c r="K1355" s="58">
        <f>IFERROR(__xludf.DUMMYFUNCTION("""COMPUTED_VALUE"""),45861.0)</f>
        <v>45861</v>
      </c>
      <c r="L1355" s="6">
        <v>14.0</v>
      </c>
      <c r="M1355" s="52">
        <v>45875.0</v>
      </c>
      <c r="N1355" s="53" t="s">
        <v>668</v>
      </c>
      <c r="O1355" s="19" t="s">
        <v>1376</v>
      </c>
      <c r="P1355" s="6"/>
      <c r="Q1355" s="6"/>
      <c r="R1355" s="6"/>
    </row>
    <row r="1356">
      <c r="A1356" s="31" t="str">
        <f>IFERROR(__xludf.DUMMYFUNCTION("""COMPUTED_VALUE"""),"1260")</f>
        <v>1260</v>
      </c>
      <c r="B1356" s="14" t="str">
        <f>IFERROR(__xludf.DUMMYFUNCTION("""COMPUTED_VALUE"""),"ВНЕ СПИСКА")</f>
        <v>ВНЕ СПИСКА</v>
      </c>
      <c r="C1356" s="14" t="str">
        <f>IFERROR(__xludf.DUMMYFUNCTION("""COMPUTED_VALUE"""),"ОКС")</f>
        <v>ОКС</v>
      </c>
      <c r="D1356" s="6" t="str">
        <f>IFERROR(__xludf.DUMMYFUNCTION("""COMPUTED_VALUE"""),"да")</f>
        <v>да</v>
      </c>
      <c r="E1356" s="14" t="str">
        <f>IFERROR(__xludf.DUMMYFUNCTION("""COMPUTED_VALUE"""),"Жилая и офисная застройк. Бизнес-центр. Этап 2 Дербеневская ул. вл. 1")</f>
        <v>Жилая и офисная застройк. Бизнес-центр. Этап 2 Дербеневская ул. вл. 1</v>
      </c>
      <c r="F1356" s="25" t="str">
        <f>IFERROR(__xludf.DUMMYFUNCTION("""COMPUTED_VALUE"""),"#N/A")</f>
        <v>#N/A</v>
      </c>
      <c r="G1356" s="6" t="str">
        <f>IFERROR(__xludf.DUMMYFUNCTION("""COMPUTED_VALUE"""),"#N/A")</f>
        <v>#N/A</v>
      </c>
      <c r="H1356" s="18" t="str">
        <f>IFERROR(__xludf.DUMMYFUNCTION("""COMPUTED_VALUE"""),"https://docs.google.com/spreadsheets/d/1EI7qusa674eJhuaw-nWWtWMEHVSYMQv7HLsInEZTWpE/edit?gid=1924857156#gid=1924857156")</f>
        <v>https://docs.google.com/spreadsheets/d/1EI7qusa674eJhuaw-nWWtWMEHVSYMQv7HLsInEZTWpE/edit?gid=1924857156#gid=1924857156</v>
      </c>
      <c r="I1356" s="21" t="str">
        <f>IFERROR(__xludf.DUMMYFUNCTION("""COMPUTED_VALUE"""),"https://disk.yandex.ru/client/disk/%D0%9E%D1%81%D0%BC%D0%BE%D1%82%D1%80%D1%8B%20%D0%BE%D0%B1%D1%8A%D0%B5%D0%BA%D1%82%D0%BE%D0%B2%20%D0%90%D0%9D%D0%9E%20%D0%A1%D0%9C%D0%93/1260%20%D0%96%D0%B8%D0%BB%D0%B0%D1%8F%20%D0%B8%20%D0%BE%D1%84%D0%B8%D1%81%D0%BD%D0%B"&amp;"0%D1%8F%20%D0%B7%D0%B0%D1%81%D1%82%D1%80%D0%BE%D0%B9%D0%BA%D0%B0.%20%D0%91%D0%B8%D0%B7%D0%BD%D0%B5%D1%81-%D1%86%D0%B5%D0%BD%D1%82%D1%80.%20%D0%AD%D1%82%D0%B0%D0%BF2%20%D0%9C%D0%BE%D1%81%D0%BA%D0%B2%D0%B0%2C%20%D0%94%D0%B5%D1%80%D0%B1%D0%B5%D0%BD%D0%B5%D0%"&amp;"B2%D1%81%D0%BA%D0%B0%D1%8F%20%D1%83%D0%BB%D0%B8%D1%86%D0%B0%2C%20%D0%B2%D0%BB1")</f>
        <v>https://disk.yandex.ru/client/disk/%D0%9E%D1%81%D0%BC%D0%BE%D1%82%D1%80%D1%8B%20%D0%BE%D0%B1%D1%8A%D0%B5%D0%BA%D1%82%D0%BE%D0%B2%20%D0%90%D0%9D%D0%9E%20%D0%A1%D0%9C%D0%93/1260%20%D0%96%D0%B8%D0%BB%D0%B0%D1%8F%20%D0%B8%20%D0%BE%D1%84%D0%B8%D1%81%D0%BD%D0%B0%D1%8F%20%D0%B7%D0%B0%D1%81%D1%82%D1%80%D0%BE%D0%B9%D0%BA%D0%B0.%20%D0%91%D0%B8%D0%B7%D0%BD%D0%B5%D1%81-%D1%86%D0%B5%D0%BD%D1%82%D1%80.%20%D0%AD%D1%82%D0%B0%D0%BF2%20%D0%9C%D0%BE%D1%81%D0%BA%D0%B2%D0%B0%2C%20%D0%94%D0%B5%D1%80%D0%B1%D0%B5%D0%BD%D0%B5%D0%B2%D1%81%D0%BA%D0%B0%D1%8F%20%D1%83%D0%BB%D0%B8%D1%86%D0%B0%2C%20%D0%B2%D0%BB1</v>
      </c>
      <c r="J1356" s="50">
        <f>IFERROR(__xludf.DUMMYFUNCTION("""COMPUTED_VALUE"""),24.272600000000004)</f>
        <v>24.2726</v>
      </c>
      <c r="K1356" s="58">
        <f>IFERROR(__xludf.DUMMYFUNCTION("""COMPUTED_VALUE"""),45861.0)</f>
        <v>45861</v>
      </c>
      <c r="L1356" s="6">
        <v>30.0</v>
      </c>
      <c r="M1356" s="52">
        <v>45891.0</v>
      </c>
      <c r="N1356" s="53" t="s">
        <v>668</v>
      </c>
      <c r="O1356" s="19"/>
      <c r="P1356" s="6"/>
      <c r="Q1356" s="6"/>
      <c r="R1356" s="6"/>
    </row>
    <row r="1357">
      <c r="A1357" s="31" t="str">
        <f>IFERROR(__xludf.DUMMYFUNCTION("""COMPUTED_VALUE"""),"1261")</f>
        <v>1261</v>
      </c>
      <c r="B1357" s="14" t="str">
        <f>IFERROR(__xludf.DUMMYFUNCTION("""COMPUTED_VALUE"""),"ВНЕ СПИСКА")</f>
        <v>ВНЕ СПИСКА</v>
      </c>
      <c r="C1357" s="14" t="str">
        <f>IFERROR(__xludf.DUMMYFUNCTION("""COMPUTED_VALUE"""),"ОКС")</f>
        <v>ОКС</v>
      </c>
      <c r="D1357" s="6" t="str">
        <f>IFERROR(__xludf.DUMMYFUNCTION("""COMPUTED_VALUE"""),"да")</f>
        <v>да</v>
      </c>
      <c r="E1357" s="14" t="str">
        <f>IFERROR(__xludf.DUMMYFUNCTION("""COMPUTED_VALUE"""),"Многофункциональный деловой компекс с гостиничными номерами и подземной парковкой ул. Василисы Кожиной, вл. 25/1")</f>
        <v>Многофункциональный деловой компекс с гостиничными номерами и подземной парковкой ул. Василисы Кожиной, вл. 25/1</v>
      </c>
      <c r="F1357" s="25" t="str">
        <f>IFERROR(__xludf.DUMMYFUNCTION("""COMPUTED_VALUE"""),"#N/A")</f>
        <v>#N/A</v>
      </c>
      <c r="G1357" s="6" t="str">
        <f>IFERROR(__xludf.DUMMYFUNCTION("""COMPUTED_VALUE"""),"#N/A")</f>
        <v>#N/A</v>
      </c>
      <c r="H1357" s="18" t="str">
        <f>IFERROR(__xludf.DUMMYFUNCTION("""COMPUTED_VALUE"""),"https://docs.google.com/spreadsheets/d/1EI7qusa674eJhuaw-nWWtWMEHVSYMQv7HLsInEZTWpE/edit?gid=1420606721#gid=1420606721")</f>
        <v>https://docs.google.com/spreadsheets/d/1EI7qusa674eJhuaw-nWWtWMEHVSYMQv7HLsInEZTWpE/edit?gid=1420606721#gid=1420606721</v>
      </c>
      <c r="I1357" s="21" t="str">
        <f>IFERROR(__xludf.DUMMYFUNCTION("""COMPUTED_VALUE"""),"https://disk.yandex.ru/client/disk/%D0%9E%D1%81%D0%BC%D0%BE%D1%82%D1%80%D1%8B%20%D0%BE%D0%B1%D1%8A%D0%B5%D0%BA%D1%82%D0%BE%D0%B2%20%D0%90%D0%9D%D0%9E%20%D0%A1%D0%9C%D0%93/1261%20%D1%83%D0%BB.%20%D0%92%D0%B0%D1%81%D0%B8%D0%BB%D0%B8%D1%81%D1%8B%20%D0%9A%D0%"&amp;"BE%D0%B6%D0%B8%D0%BD%D0%BE%D0%B9%2C%20%D0%B2%D0%BB.%2025%20%D0%B4%D1%80%D0%BE%D0%B1%D1%8C%201.%20%D0%9C%D0%BD%D0%BE%D0%B3%D0%BE%D1%84%D1%83%D0%BD%D0%BA%D1%86%D0%B8%D0%BE%D0%BD%D0%B0%D0%BB%D1%8C%D0%BD%D1%8B%D0%B9%20%D0%B4%D0%B5%D0%BB%D0%BE%D0%B2%D0%BE%D0%B"&amp;"9%20%D0%BA%D0%BE%D0%BC%D0%BF%D0%B5%D0%BA%D1%81%20%D1%81%20%D0%B3%D0%BE%D1%81%D1%82%D0%B8%D0%BD%D0%B8%D1%87%D0%BD%D1%8B%D0%BC%D0%B8%20%D0%BD%D0%BE%D0%BC%D0%B5%D1%80%D0%B0%D0%BC%D0%B8%20%D0%B8%20%D0%BF%D0%BE%D0%B4%D0%B7%D0%B5%D0%BC%D0%BD%D0%BE%D0%B9%20%D0%B"&amp;"F%D0%B0%D1%80%D0%BA%D0%BE%D0%B2%D0%BA%D0%BE%D0%B9")</f>
        <v>https://disk.yandex.ru/client/disk/%D0%9E%D1%81%D0%BC%D0%BE%D1%82%D1%80%D1%8B%20%D0%BE%D0%B1%D1%8A%D0%B5%D0%BA%D1%82%D0%BE%D0%B2%20%D0%90%D0%9D%D0%9E%20%D0%A1%D0%9C%D0%93/1261%20%D1%83%D0%BB.%20%D0%92%D0%B0%D1%81%D0%B8%D0%BB%D0%B8%D1%81%D1%8B%20%D0%9A%D0%BE%D0%B6%D0%B8%D0%BD%D0%BE%D0%B9%2C%20%D0%B2%D0%BB.%2025%20%D0%B4%D1%80%D0%BE%D0%B1%D1%8C%201.%20%D0%9C%D0%BD%D0%BE%D0%B3%D0%BE%D1%84%D1%83%D0%BD%D0%BA%D1%86%D0%B8%D0%BE%D0%BD%D0%B0%D0%BB%D1%8C%D0%BD%D1%8B%D0%B9%20%D0%B4%D0%B5%D0%BB%D0%BE%D0%B2%D0%BE%D0%B9%20%D0%BA%D0%BE%D0%BC%D0%BF%D0%B5%D0%BA%D1%81%20%D1%81%20%D0%B3%D0%BE%D1%81%D1%82%D0%B8%D0%BD%D0%B8%D1%87%D0%BD%D1%8B%D0%BC%D0%B8%20%D0%BD%D0%BE%D0%BC%D0%B5%D1%80%D0%B0%D0%BC%D0%B8%20%D0%B8%20%D0%BF%D0%BE%D0%B4%D0%B7%D0%B5%D0%BC%D0%BD%D0%BE%D0%B9%20%D0%BF%D0%B0%D1%80%D0%BA%D0%BE%D0%B2%D0%BA%D0%BE%D0%B9</v>
      </c>
      <c r="J1357" s="50">
        <f>IFERROR(__xludf.DUMMYFUNCTION("""COMPUTED_VALUE"""),77.38480000000001)</f>
        <v>77.3848</v>
      </c>
      <c r="K1357" s="58">
        <f>IFERROR(__xludf.DUMMYFUNCTION("""COMPUTED_VALUE"""),45860.0)</f>
        <v>45860</v>
      </c>
      <c r="L1357" s="6">
        <v>14.0</v>
      </c>
      <c r="M1357" s="52">
        <v>45874.0</v>
      </c>
      <c r="N1357" s="53" t="s">
        <v>668</v>
      </c>
      <c r="O1357" s="19" t="s">
        <v>1377</v>
      </c>
      <c r="P1357" s="6"/>
      <c r="Q1357" s="6"/>
      <c r="R1357" s="6"/>
    </row>
    <row r="1358">
      <c r="A1358" s="31" t="str">
        <f>IFERROR(__xludf.DUMMYFUNCTION("""COMPUTED_VALUE"""),"1262")</f>
        <v>1262</v>
      </c>
      <c r="B1358" s="14" t="str">
        <f>IFERROR(__xludf.DUMMYFUNCTION("""COMPUTED_VALUE"""),"ВНЕ СПИСКА")</f>
        <v>ВНЕ СПИСКА</v>
      </c>
      <c r="C1358" s="14" t="str">
        <f>IFERROR(__xludf.DUMMYFUNCTION("""COMPUTED_VALUE"""),"ОКС")</f>
        <v>ОКС</v>
      </c>
      <c r="D1358" s="6" t="str">
        <f>IFERROR(__xludf.DUMMYFUNCTION("""COMPUTED_VALUE"""),"да")</f>
        <v>да</v>
      </c>
      <c r="E1358" s="14" t="str">
        <f>IFERROR(__xludf.DUMMYFUNCTION("""COMPUTED_VALUE"""),"Офисное здание со встроенно-пристроенными торговыми площадями и подземным паркингом, корпус 12.1 ул. Озерная, вл. 42")</f>
        <v>Офисное здание со встроенно-пристроенными торговыми площадями и подземным паркингом, корпус 12.1 ул. Озерная, вл. 42</v>
      </c>
      <c r="F1358" s="25" t="str">
        <f>IFERROR(__xludf.DUMMYFUNCTION("""COMPUTED_VALUE"""),"#N/A")</f>
        <v>#N/A</v>
      </c>
      <c r="G1358" s="6" t="str">
        <f>IFERROR(__xludf.DUMMYFUNCTION("""COMPUTED_VALUE"""),"#N/A")</f>
        <v>#N/A</v>
      </c>
      <c r="H1358" s="18" t="str">
        <f>IFERROR(__xludf.DUMMYFUNCTION("""COMPUTED_VALUE"""),"https://docs.google.com/spreadsheets/d/1EI7qusa674eJhuaw-nWWtWMEHVSYMQv7HLsInEZTWpE/edit?gid=1959905549#gid=1959905549")</f>
        <v>https://docs.google.com/spreadsheets/d/1EI7qusa674eJhuaw-nWWtWMEHVSYMQv7HLsInEZTWpE/edit?gid=1959905549#gid=1959905549</v>
      </c>
      <c r="I1358" s="21" t="str">
        <f>IFERROR(__xludf.DUMMYFUNCTION("""COMPUTED_VALUE"""),"https://disk.yandex.ru/client/disk/%D0%9E%D1%81%D0%BC%D0%BE%D1%82%D1%80%D1%8B%20%D0%BE%D0%B1%D1%8A%D0%B5%D0%BA%D1%82%D0%BE%D0%B2%20%D0%90%D0%9D%D0%9E%20%D0%A1%D0%9C%D0%93/1262.%20%D0%9E%D1%84%D0%B8%D1%81%D0%BD%D0%BE%D0%B5%20%D0%B7%D0%B4%D0%B0%D0%BD%D0%B8%"&amp;"D0%B5%2C%20%D0%BA.%2012.1%2C%20%D0%9E%D0%B7%D1%91%D1%80%D0%BD%D0%B0%D1%8F%20%D1%83%D0%BB.%2C%20%D0%B2%D0%BB.%2042")</f>
        <v>https://disk.yandex.ru/client/disk/%D0%9E%D1%81%D0%BC%D0%BE%D1%82%D1%80%D1%8B%20%D0%BE%D0%B1%D1%8A%D0%B5%D0%BA%D1%82%D0%BE%D0%B2%20%D0%90%D0%9D%D0%9E%20%D0%A1%D0%9C%D0%93/1262.%20%D0%9E%D1%84%D0%B8%D1%81%D0%BD%D0%BE%D0%B5%20%D0%B7%D0%B4%D0%B0%D0%BD%D0%B8%D0%B5%2C%20%D0%BA.%2012.1%2C%20%D0%9E%D0%B7%D1%91%D1%80%D0%BD%D0%B0%D1%8F%20%D1%83%D0%BB.%2C%20%D0%B2%D0%BB.%2042</v>
      </c>
      <c r="J1358" s="50">
        <f>IFERROR(__xludf.DUMMYFUNCTION("""COMPUTED_VALUE"""),75.5214)</f>
        <v>75.5214</v>
      </c>
      <c r="K1358" s="58">
        <f>IFERROR(__xludf.DUMMYFUNCTION("""COMPUTED_VALUE"""),45860.0)</f>
        <v>45860</v>
      </c>
      <c r="L1358" s="6">
        <v>14.0</v>
      </c>
      <c r="M1358" s="52">
        <v>45874.0</v>
      </c>
      <c r="N1358" s="53" t="s">
        <v>668</v>
      </c>
      <c r="O1358" s="19" t="s">
        <v>1378</v>
      </c>
      <c r="P1358" s="6"/>
      <c r="Q1358" s="6"/>
      <c r="R1358" s="6"/>
    </row>
    <row r="1359">
      <c r="A1359" s="31" t="str">
        <f>IFERROR(__xludf.DUMMYFUNCTION("""COMPUTED_VALUE"""),"1263")</f>
        <v>1263</v>
      </c>
      <c r="B1359" s="14" t="str">
        <f>IFERROR(__xludf.DUMMYFUNCTION("""COMPUTED_VALUE"""),"ВНЕ СПИСКА")</f>
        <v>ВНЕ СПИСКА</v>
      </c>
      <c r="C1359" s="14" t="str">
        <f>IFERROR(__xludf.DUMMYFUNCTION("""COMPUTED_VALUE"""),"ОКС")</f>
        <v>ОКС</v>
      </c>
      <c r="D1359" s="6" t="str">
        <f>IFERROR(__xludf.DUMMYFUNCTION("""COMPUTED_VALUE"""),"да")</f>
        <v>да</v>
      </c>
      <c r="E1359" s="14" t="str">
        <f>IFERROR(__xludf.DUMMYFUNCTION("""COMPUTED_VALUE"""),"Офисно-деловой центр Жуков пр. вл. 8")</f>
        <v>Офисно-деловой центр Жуков пр. вл. 8</v>
      </c>
      <c r="F1359" s="25" t="str">
        <f>IFERROR(__xludf.DUMMYFUNCTION("""COMPUTED_VALUE"""),"#N/A")</f>
        <v>#N/A</v>
      </c>
      <c r="G1359" s="6" t="str">
        <f>IFERROR(__xludf.DUMMYFUNCTION("""COMPUTED_VALUE"""),"#N/A")</f>
        <v>#N/A</v>
      </c>
      <c r="H1359" s="18" t="str">
        <f>IFERROR(__xludf.DUMMYFUNCTION("""COMPUTED_VALUE"""),"https://docs.google.com/spreadsheets/d/1EI7qusa674eJhuaw-nWWtWMEHVSYMQv7HLsInEZTWpE/edit?gid=407138877#gid=407138877")</f>
        <v>https://docs.google.com/spreadsheets/d/1EI7qusa674eJhuaw-nWWtWMEHVSYMQv7HLsInEZTWpE/edit?gid=407138877#gid=407138877</v>
      </c>
      <c r="I1359" s="21" t="str">
        <f>IFERROR(__xludf.DUMMYFUNCTION("""COMPUTED_VALUE"""),"https://disk.yandex.ru/client/disk/%D0%9E%D1%81%D0%BC%D0%BE%D1%82%D1%80%D1%8B%20%D0%BE%D0%B1%D1%8A%D0%B5%D0%BA%D1%82%D0%BE%D0%B2%20%D0%90%D0%9D%D0%9E%20%D0%A1%D0%9C%D0%93/1263%20%D0%9E%D1%84%D0%B8%D1%81%D0%BD%D0%BE-%D0%B4%D0%B5%D0%BB%D0%BE%D0%B2%D0%BE%D0%"&amp;"B9%20%D1%86%D0%B5%D0%BD%D1%82%D1%80.%20%D0%96%D1%83%D0%BA%D0%BE%D0%B2%D0%B0%20%D0%BC%D1%80.%2C%20%D0%B2%D0%BB.%208")</f>
        <v>https://disk.yandex.ru/client/disk/%D0%9E%D1%81%D0%BC%D0%BE%D1%82%D1%80%D1%8B%20%D0%BE%D0%B1%D1%8A%D0%B5%D0%BA%D1%82%D0%BE%D0%B2%20%D0%90%D0%9D%D0%9E%20%D0%A1%D0%9C%D0%93/1263%20%D0%9E%D1%84%D0%B8%D1%81%D0%BD%D0%BE-%D0%B4%D0%B5%D0%BB%D0%BE%D0%B2%D0%BE%D0%B9%20%D1%86%D0%B5%D0%BD%D1%82%D1%80.%20%D0%96%D1%83%D0%BA%D0%BE%D0%B2%D0%B0%20%D0%BC%D1%80.%2C%20%D0%B2%D0%BB.%208</v>
      </c>
      <c r="J1359" s="50">
        <f>IFERROR(__xludf.DUMMYFUNCTION("""COMPUTED_VALUE"""),99.752)</f>
        <v>99.752</v>
      </c>
      <c r="K1359" s="58">
        <f>IFERROR(__xludf.DUMMYFUNCTION("""COMPUTED_VALUE"""),45861.0)</f>
        <v>45861</v>
      </c>
      <c r="L1359" s="6">
        <v>7.0</v>
      </c>
      <c r="M1359" s="52">
        <v>45868.0</v>
      </c>
      <c r="N1359" s="53" t="s">
        <v>668</v>
      </c>
      <c r="O1359" s="19" t="s">
        <v>1379</v>
      </c>
      <c r="P1359" s="6"/>
      <c r="Q1359" s="6"/>
      <c r="R1359" s="6"/>
    </row>
    <row r="1360">
      <c r="A1360" s="31" t="str">
        <f>IFERROR(__xludf.DUMMYFUNCTION("""COMPUTED_VALUE"""),"1264")</f>
        <v>1264</v>
      </c>
      <c r="B1360" s="14" t="str">
        <f>IFERROR(__xludf.DUMMYFUNCTION("""COMPUTED_VALUE"""),"ВНЕ СПИСКА")</f>
        <v>ВНЕ СПИСКА</v>
      </c>
      <c r="C1360" s="14" t="str">
        <f>IFERROR(__xludf.DUMMYFUNCTION("""COMPUTED_VALUE"""),"ОКС")</f>
        <v>ОКС</v>
      </c>
      <c r="D1360" s="6" t="str">
        <f>IFERROR(__xludf.DUMMYFUNCTION("""COMPUTED_VALUE"""),"да")</f>
        <v>да</v>
      </c>
      <c r="E1360" s="14" t="str">
        <f>IFERROR(__xludf.DUMMYFUNCTION("""COMPUTED_VALUE"""),"Административно-торговый комплекс, многоуровневая стоянка автомобилей. Административно-деловой центр ул. Двинцев, вл. 3")</f>
        <v>Административно-торговый комплекс, многоуровневая стоянка автомобилей. Административно-деловой центр ул. Двинцев, вл. 3</v>
      </c>
      <c r="F1360" s="25" t="str">
        <f>IFERROR(__xludf.DUMMYFUNCTION("""COMPUTED_VALUE"""),"#N/A")</f>
        <v>#N/A</v>
      </c>
      <c r="G1360" s="6" t="str">
        <f>IFERROR(__xludf.DUMMYFUNCTION("""COMPUTED_VALUE"""),"#N/A")</f>
        <v>#N/A</v>
      </c>
      <c r="H1360" s="18" t="str">
        <f>IFERROR(__xludf.DUMMYFUNCTION("""COMPUTED_VALUE"""),"https://docs.google.com/spreadsheets/d/1EI7qusa674eJhuaw-nWWtWMEHVSYMQv7HLsInEZTWpE/edit?gid=493919396#gid=493919396")</f>
        <v>https://docs.google.com/spreadsheets/d/1EI7qusa674eJhuaw-nWWtWMEHVSYMQv7HLsInEZTWpE/edit?gid=493919396#gid=493919396</v>
      </c>
      <c r="I1360" s="21" t="str">
        <f>IFERROR(__xludf.DUMMYFUNCTION("""COMPUTED_VALUE"""),"https://disk.yandex.ru/client/disk/%D0%9E%D1%81%D0%BC%D0%BE%D1%82%D1%80%D1%8B%20%D0%BE%D0%B1%D1%8A%D0%B5%D0%BA%D1%82%D0%BE%D0%B2%20%D0%90%D0%9D%D0%9E%20%D0%A1%D0%9C%D0%93/1264.%20%D0%90%D0%B4%D0%BC%D0%B8%D0%BD%D0%B8%D1%81%D1%82%D1%80%D0%B0%D1%82%D0%B8%D0%"&amp;"B2%D0%BD%D0%BE-%D0%B4%D0%B5%D0%BB%D0%BE%D0%B2%D0%BE%D0%B9%20%D0%BA%D0%BE%D0%BC%D0%BF%D0%BB%D0%B5%D0%BA%D1%81%2C%20%D0%BC%D0%BD%D0%BE%D0%B3%D0%BE%D1%83%D1%80%D0%BE%D0%B2%D0%BD%D0%B5%D0%B2%D0%B0%D1%8F%20%D1%81%D1%82%D0%BE%D1%8F%D0%BD%D0%BA%D0%B0%20%D0%B0%D0"&amp;"%B2%D1%82%D0%BE%D0%BC%D0%BE%D0%B1%D0%B8%D0%BB%D0%B5%D0%B9.%20%D0%90%D0%B4%D0%BC%D0%B8%D0%BD%D0%B8%D1%81%D1%82%D1%80%D0%B0%D1%82%D0%B8%D0%B2%D0%BD%D0%BE-%D0%B4%D0%B5%D0%BB%D0%BE%D0%B2%D0%BE%D0%B9%20%D1%86%D0%B5%D0%BD%D1%82%D1%80.%20%D0%9C%D0%BE%D1%81%D0%BA"&amp;"%D0%B2%D0%B0%2C%20%D1%83%D0%BB%D0%B8%D1%86%D0%B0%20%D0%94%D0%B2%D0%B8%D0%BD%D1%86%D0%B5%D0%B2%2C%20%D0%B2%D0%BB.%203")</f>
        <v>https://disk.yandex.ru/client/disk/%D0%9E%D1%81%D0%BC%D0%BE%D1%82%D1%80%D1%8B%20%D0%BE%D0%B1%D1%8A%D0%B5%D0%BA%D1%82%D0%BE%D0%B2%20%D0%90%D0%9D%D0%9E%20%D0%A1%D0%9C%D0%93/1264.%20%D0%90%D0%B4%D0%BC%D0%B8%D0%BD%D0%B8%D1%81%D1%82%D1%80%D0%B0%D1%82%D0%B8%D0%B2%D0%BD%D0%BE-%D0%B4%D0%B5%D0%BB%D0%BE%D0%B2%D0%BE%D0%B9%20%D0%BA%D0%BE%D0%BC%D0%BF%D0%BB%D0%B5%D0%BA%D1%81%2C%20%D0%BC%D0%BD%D0%BE%D0%B3%D0%BE%D1%83%D1%80%D0%BE%D0%B2%D0%BD%D0%B5%D0%B2%D0%B0%D1%8F%20%D1%81%D1%82%D0%BE%D1%8F%D0%BD%D0%BA%D0%B0%20%D0%B0%D0%B2%D1%82%D0%BE%D0%BC%D0%BE%D0%B1%D0%B8%D0%BB%D0%B5%D0%B9.%20%D0%90%D0%B4%D0%BC%D0%B8%D0%BD%D0%B8%D1%81%D1%82%D1%80%D0%B0%D1%82%D0%B8%D0%B2%D0%BD%D0%BE-%D0%B4%D0%B5%D0%BB%D0%BE%D0%B2%D0%BE%D0%B9%20%D1%86%D0%B5%D0%BD%D1%82%D1%80.%20%D0%9C%D0%BE%D1%81%D0%BA%D0%B2%D0%B0%2C%20%D1%83%D0%BB%D0%B8%D1%86%D0%B0%20%D0%94%D0%B2%D0%B8%D0%BD%D1%86%D0%B5%D0%B2%2C%20%D0%B2%D0%BB.%203</v>
      </c>
      <c r="J1360" s="50">
        <f>IFERROR(__xludf.DUMMYFUNCTION("""COMPUTED_VALUE"""),77.97005)</f>
        <v>77.97005</v>
      </c>
      <c r="K1360" s="58">
        <f>IFERROR(__xludf.DUMMYFUNCTION("""COMPUTED_VALUE"""),45862.0)</f>
        <v>45862</v>
      </c>
      <c r="L1360" s="6">
        <v>14.0</v>
      </c>
      <c r="M1360" s="52">
        <v>45876.0</v>
      </c>
      <c r="N1360" s="53" t="s">
        <v>668</v>
      </c>
      <c r="O1360" s="19" t="s">
        <v>1380</v>
      </c>
      <c r="P1360" s="6"/>
      <c r="Q1360" s="6"/>
      <c r="R1360" s="6"/>
    </row>
    <row r="1361">
      <c r="A1361" s="31" t="str">
        <f>IFERROR(__xludf.DUMMYFUNCTION("""COMPUTED_VALUE"""),"1265")</f>
        <v>1265</v>
      </c>
      <c r="B1361" s="14" t="str">
        <f>IFERROR(__xludf.DUMMYFUNCTION("""COMPUTED_VALUE"""),"ВНЕ СПИСКА")</f>
        <v>ВНЕ СПИСКА</v>
      </c>
      <c r="C1361" s="14" t="str">
        <f>IFERROR(__xludf.DUMMYFUNCTION("""COMPUTED_VALUE"""),"ОКС")</f>
        <v>ОКС</v>
      </c>
      <c r="D1361" s="6" t="str">
        <f>IFERROR(__xludf.DUMMYFUNCTION("""COMPUTED_VALUE"""),"да")</f>
        <v>да</v>
      </c>
      <c r="E1361" s="14" t="str">
        <f>IFERROR(__xludf.DUMMYFUNCTION("""COMPUTED_VALUE"""),"Многофункциональное здание Заречная ул. вл. 6, з/у 1")</f>
        <v>Многофункциональное здание Заречная ул. вл. 6, з/у 1</v>
      </c>
      <c r="F1361" s="25" t="str">
        <f>IFERROR(__xludf.DUMMYFUNCTION("""COMPUTED_VALUE"""),"#N/A")</f>
        <v>#N/A</v>
      </c>
      <c r="G1361" s="6" t="str">
        <f>IFERROR(__xludf.DUMMYFUNCTION("""COMPUTED_VALUE"""),"#N/A")</f>
        <v>#N/A</v>
      </c>
      <c r="H1361" s="18" t="str">
        <f>IFERROR(__xludf.DUMMYFUNCTION("""COMPUTED_VALUE"""),"https://docs.google.com/spreadsheets/d/1EI7qusa674eJhuaw-nWWtWMEHVSYMQv7HLsInEZTWpE/edit?gid=969432712#gid=969432712")</f>
        <v>https://docs.google.com/spreadsheets/d/1EI7qusa674eJhuaw-nWWtWMEHVSYMQv7HLsInEZTWpE/edit?gid=969432712#gid=969432712</v>
      </c>
      <c r="I1361" s="21" t="str">
        <f>IFERROR(__xludf.DUMMYFUNCTION("""COMPUTED_VALUE"""),"https://disk.yandex.ru/client/disk/%D0%9E%D1%81%D0%BC%D0%BE%D1%82%D1%80%D1%8B%20%D0%BE%D0%B1%D1%8A%D0%B5%D0%BA%D1%82%D0%BE%D0%B2%20%D0%90%D0%9D%D0%9E%20%D0%A1%D0%9C%D0%93/1265%20%D0%97%D0%B0%D1%80%D0%B5%D1%87%D0%BD%D0%B0%D1%8F%20%D1%83%D0%BB.%20%D0%B2%D0%"&amp;"BB.%206%2C%20%D0%B7.%D1%83.%201.%20%D0%9C%D0%BD%D0%BE%D0%B3%D0%BE%D1%84%D1%83%D0%BD%D0%BA%D1%86%D0%B8%D0%BE%D0%BD%D0%B0%D0%BB%D1%8C%D0%BD%D0%BE%D0%B5%20%D0%B7%D0%B4%D0%B0%D0%BD%D0%B8%D0%B5.")</f>
        <v>https://disk.yandex.ru/client/disk/%D0%9E%D1%81%D0%BC%D0%BE%D1%82%D1%80%D1%8B%20%D0%BE%D0%B1%D1%8A%D0%B5%D0%BA%D1%82%D0%BE%D0%B2%20%D0%90%D0%9D%D0%9E%20%D0%A1%D0%9C%D0%93/1265%20%D0%97%D0%B0%D1%80%D0%B5%D1%87%D0%BD%D0%B0%D1%8F%20%D1%83%D0%BB.%20%D0%B2%D0%BB.%206%2C%20%D0%B7.%D1%83.%201.%20%D0%9C%D0%BD%D0%BE%D0%B3%D0%BE%D1%84%D1%83%D0%BD%D0%BA%D1%86%D0%B8%D0%BE%D0%BD%D0%B0%D0%BB%D1%8C%D0%BD%D0%BE%D0%B5%20%D0%B7%D0%B4%D0%B0%D0%BD%D0%B8%D0%B5.</v>
      </c>
      <c r="J1361" s="50">
        <f>IFERROR(__xludf.DUMMYFUNCTION("""COMPUTED_VALUE"""),84.86852999999999)</f>
        <v>84.86853</v>
      </c>
      <c r="K1361" s="58">
        <f>IFERROR(__xludf.DUMMYFUNCTION("""COMPUTED_VALUE"""),45898.0)</f>
        <v>45898</v>
      </c>
      <c r="L1361" s="6">
        <v>14.0</v>
      </c>
      <c r="M1361" s="52">
        <v>45912.0</v>
      </c>
      <c r="N1361" s="53" t="s">
        <v>668</v>
      </c>
      <c r="O1361" s="19" t="s">
        <v>1381</v>
      </c>
      <c r="P1361" s="6"/>
      <c r="Q1361" s="6"/>
      <c r="R1361" s="6"/>
    </row>
    <row r="1362">
      <c r="A1362" s="31" t="str">
        <f>IFERROR(__xludf.DUMMYFUNCTION("""COMPUTED_VALUE"""),"н/д")</f>
        <v>н/д</v>
      </c>
      <c r="B1362" s="14" t="str">
        <f>IFERROR(__xludf.DUMMYFUNCTION("""COMPUTED_VALUE"""),"ВНЕ СПИСКА")</f>
        <v>ВНЕ СПИСКА</v>
      </c>
      <c r="C1362" s="14" t="str">
        <f>IFERROR(__xludf.DUMMYFUNCTION("""COMPUTED_VALUE"""),"ОКС")</f>
        <v>ОКС</v>
      </c>
      <c r="D1362" s="6" t="str">
        <f>IFERROR(__xludf.DUMMYFUNCTION("""COMPUTED_VALUE"""),"да")</f>
        <v>да</v>
      </c>
      <c r="E1362" s="14" t="str">
        <f>IFERROR(__xludf.DUMMYFUNCTION("""COMPUTED_VALUE"""),"Жилой комплекс многоэтажных домов с подземными паркингами и нежилыми встроенно-пристроенными помещениями. Корпус 1 ЖК Береговой 2 (Береговой проезд, вл.2Б)")</f>
        <v>Жилой комплекс многоэтажных домов с подземными паркингами и нежилыми встроенно-пристроенными помещениями. Корпус 1 ЖК Береговой 2 (Береговой проезд, вл.2Б)</v>
      </c>
      <c r="F1362" s="25" t="str">
        <f>IFERROR(__xludf.DUMMYFUNCTION("""COMPUTED_VALUE"""),"#N/A")</f>
        <v>#N/A</v>
      </c>
      <c r="G1362" s="6" t="str">
        <f>IFERROR(__xludf.DUMMYFUNCTION("""COMPUTED_VALUE"""),"#N/A")</f>
        <v>#N/A</v>
      </c>
      <c r="H1362" s="6"/>
      <c r="I1362" s="19"/>
      <c r="J1362" s="50"/>
      <c r="K1362" s="58"/>
      <c r="L1362" s="6">
        <v>30.0</v>
      </c>
      <c r="M1362" s="52" t="s">
        <v>655</v>
      </c>
      <c r="N1362" s="53" t="s">
        <v>652</v>
      </c>
      <c r="O1362" s="19" t="s">
        <v>1382</v>
      </c>
      <c r="P1362" s="6"/>
      <c r="Q1362" s="6"/>
      <c r="R1362" s="6"/>
    </row>
    <row r="1363">
      <c r="A1363" s="31" t="str">
        <f>IFERROR(__xludf.DUMMYFUNCTION("""COMPUTED_VALUE"""),"н/д")</f>
        <v>н/д</v>
      </c>
      <c r="B1363" s="14" t="str">
        <f>IFERROR(__xludf.DUMMYFUNCTION("""COMPUTED_VALUE"""),"ВНЕ СПИСКА")</f>
        <v>ВНЕ СПИСКА</v>
      </c>
      <c r="C1363" s="14" t="str">
        <f>IFERROR(__xludf.DUMMYFUNCTION("""COMPUTED_VALUE"""),"ОКС")</f>
        <v>ОКС</v>
      </c>
      <c r="D1363" s="6" t="str">
        <f>IFERROR(__xludf.DUMMYFUNCTION("""COMPUTED_VALUE"""),"да")</f>
        <v>да</v>
      </c>
      <c r="E1363" s="14" t="str">
        <f>IFERROR(__xludf.DUMMYFUNCTION("""COMPUTED_VALUE"""),"Жилой комплекс многоэтажных домов с подземными паркингами и нежилыми встроенно-пристроенными помещениями. Корпус 2,3 ЖК Береговой 2 (Береговой проезд, вл.2Б)")</f>
        <v>Жилой комплекс многоэтажных домов с подземными паркингами и нежилыми встроенно-пристроенными помещениями. Корпус 2,3 ЖК Береговой 2 (Береговой проезд, вл.2Б)</v>
      </c>
      <c r="F1363" s="25" t="str">
        <f>IFERROR(__xludf.DUMMYFUNCTION("""COMPUTED_VALUE"""),"#N/A")</f>
        <v>#N/A</v>
      </c>
      <c r="G1363" s="6" t="str">
        <f>IFERROR(__xludf.DUMMYFUNCTION("""COMPUTED_VALUE"""),"#N/A")</f>
        <v>#N/A</v>
      </c>
      <c r="H1363" s="6"/>
      <c r="I1363" s="19"/>
      <c r="J1363" s="50"/>
      <c r="K1363" s="58"/>
      <c r="L1363" s="6">
        <v>30.0</v>
      </c>
      <c r="M1363" s="52" t="s">
        <v>655</v>
      </c>
      <c r="N1363" s="53" t="s">
        <v>698</v>
      </c>
      <c r="O1363" s="19" t="s">
        <v>669</v>
      </c>
      <c r="P1363" s="6"/>
      <c r="Q1363" s="6"/>
      <c r="R1363" s="6"/>
    </row>
    <row r="1364">
      <c r="A1364" s="31" t="str">
        <f>IFERROR(__xludf.DUMMYFUNCTION("""COMPUTED_VALUE"""),"н/д")</f>
        <v>н/д</v>
      </c>
      <c r="B1364" s="14" t="str">
        <f>IFERROR(__xludf.DUMMYFUNCTION("""COMPUTED_VALUE"""),"ВНЕ СПИСКА")</f>
        <v>ВНЕ СПИСКА</v>
      </c>
      <c r="C1364" s="14" t="str">
        <f>IFERROR(__xludf.DUMMYFUNCTION("""COMPUTED_VALUE"""),"ОКС")</f>
        <v>ОКС</v>
      </c>
      <c r="D1364" s="6" t="str">
        <f>IFERROR(__xludf.DUMMYFUNCTION("""COMPUTED_VALUE"""),"да")</f>
        <v>да</v>
      </c>
      <c r="E1364" s="14" t="str">
        <f>IFERROR(__xludf.DUMMYFUNCTION("""COMPUTED_VALUE"""),"Жилой комплекс с подземной автотоянкой. Этап 3. Корпус 4. Поликдиника с подземной стоянкой. РП, ТП ЖК Береговой 2 (Береговой проезд, вл.2Б)")</f>
        <v>Жилой комплекс с подземной автотоянкой. Этап 3. Корпус 4. Поликдиника с подземной стоянкой. РП, ТП ЖК Береговой 2 (Береговой проезд, вл.2Б)</v>
      </c>
      <c r="F1364" s="25" t="str">
        <f>IFERROR(__xludf.DUMMYFUNCTION("""COMPUTED_VALUE"""),"#N/A")</f>
        <v>#N/A</v>
      </c>
      <c r="G1364" s="6" t="str">
        <f>IFERROR(__xludf.DUMMYFUNCTION("""COMPUTED_VALUE"""),"#N/A")</f>
        <v>#N/A</v>
      </c>
      <c r="H1364" s="6"/>
      <c r="I1364" s="19"/>
      <c r="J1364" s="50"/>
      <c r="K1364" s="58"/>
      <c r="L1364" s="6">
        <v>30.0</v>
      </c>
      <c r="M1364" s="52" t="s">
        <v>655</v>
      </c>
      <c r="N1364" s="53" t="s">
        <v>698</v>
      </c>
      <c r="O1364" s="19" t="s">
        <v>669</v>
      </c>
      <c r="P1364" s="6"/>
      <c r="Q1364" s="6"/>
      <c r="R1364" s="6"/>
    </row>
    <row r="1365">
      <c r="A1365" s="31" t="str">
        <f>IFERROR(__xludf.DUMMYFUNCTION("""COMPUTED_VALUE"""),"1266")</f>
        <v>1266</v>
      </c>
      <c r="B1365" s="14" t="str">
        <f>IFERROR(__xludf.DUMMYFUNCTION("""COMPUTED_VALUE"""),"ВНЕ СПИСКА")</f>
        <v>ВНЕ СПИСКА</v>
      </c>
      <c r="C1365" s="14" t="str">
        <f>IFERROR(__xludf.DUMMYFUNCTION("""COMPUTED_VALUE"""),"ОКС")</f>
        <v>ОКС</v>
      </c>
      <c r="D1365" s="6" t="str">
        <f>IFERROR(__xludf.DUMMYFUNCTION("""COMPUTED_VALUE"""),"да")</f>
        <v>да</v>
      </c>
      <c r="E1365" s="14" t="str">
        <f>IFERROR(__xludf.DUMMYFUNCTION("""COMPUTED_VALUE"""),"Центр обработки данных Сбербанка, фаза 4 территория инновационного центра ""Сколково""")</f>
        <v>Центр обработки данных Сбербанка, фаза 4 территория инновационного центра "Сколково"</v>
      </c>
      <c r="F1365" s="25" t="str">
        <f>IFERROR(__xludf.DUMMYFUNCTION("""COMPUTED_VALUE"""),"#N/A")</f>
        <v>#N/A</v>
      </c>
      <c r="G1365" s="6" t="str">
        <f>IFERROR(__xludf.DUMMYFUNCTION("""COMPUTED_VALUE"""),"#N/A")</f>
        <v>#N/A</v>
      </c>
      <c r="H1365" s="18" t="str">
        <f>IFERROR(__xludf.DUMMYFUNCTION("""COMPUTED_VALUE"""),"https://docs.google.com/spreadsheets/d/1EI7qusa674eJhuaw-nWWtWMEHVSYMQv7HLsInEZTWpE/edit?gid=51775177#gid=51775177")</f>
        <v>https://docs.google.com/spreadsheets/d/1EI7qusa674eJhuaw-nWWtWMEHVSYMQv7HLsInEZTWpE/edit?gid=51775177#gid=51775177</v>
      </c>
      <c r="I1365" s="21" t="str">
        <f>IFERROR(__xludf.DUMMYFUNCTION("""COMPUTED_VALUE"""),"https://disk.yandex.ru/client/disk/%D0%9E%D1%81%D0%BC%D0%BE%D1%82%D1%80%D1%8B%20%D0%BE%D0%B1%D1%8A%D0%B5%D0%BA%D1%82%D0%BE%D0%B2%20%D0%90%D0%9D%D0%9E%20%D0%A1%D0%9C%D0%93/1266.%20%D0%A6%D0%B5%D0%BD%D1%82%D1%80%20%D0%BE%D0%B1%D1%80%D0%B0%D0%B1%D0%BE%D1%82%"&amp;"D0%BA%D0%B8%20%D0%B4%D0%B0%D0%BD%D0%BD%D1%8B%D1%85%20%D0%A1%D0%B1%D0%B5%D1%80%D0%B1%D0%B0%D0%BD%D0%BA%D0%B0%2C%20%D1%84%D0%B0%D0%B7%D0%B0%204")</f>
        <v>https://disk.yandex.ru/client/disk/%D0%9E%D1%81%D0%BC%D0%BE%D1%82%D1%80%D1%8B%20%D0%BE%D0%B1%D1%8A%D0%B5%D0%BA%D1%82%D0%BE%D0%B2%20%D0%90%D0%9D%D0%9E%20%D0%A1%D0%9C%D0%93/1266.%20%D0%A6%D0%B5%D0%BD%D1%82%D1%80%20%D0%BE%D0%B1%D1%80%D0%B0%D0%B1%D0%BE%D1%82%D0%BA%D0%B8%20%D0%B4%D0%B0%D0%BD%D0%BD%D1%8B%D1%85%20%D0%A1%D0%B1%D0%B5%D1%80%D0%B1%D0%B0%D0%BD%D0%BA%D0%B0%2C%20%D1%84%D0%B0%D0%B7%D0%B0%204</v>
      </c>
      <c r="J1365" s="50">
        <f>IFERROR(__xludf.DUMMYFUNCTION("""COMPUTED_VALUE"""),99.944)</f>
        <v>99.944</v>
      </c>
      <c r="K1365" s="58">
        <f>IFERROR(__xludf.DUMMYFUNCTION("""COMPUTED_VALUE"""),45861.0)</f>
        <v>45861</v>
      </c>
      <c r="L1365" s="6">
        <v>7.0</v>
      </c>
      <c r="M1365" s="52">
        <v>45868.0</v>
      </c>
      <c r="N1365" s="53" t="s">
        <v>668</v>
      </c>
      <c r="O1365" s="19" t="s">
        <v>1383</v>
      </c>
      <c r="P1365" s="6"/>
      <c r="Q1365" s="6"/>
      <c r="R1365" s="6"/>
    </row>
    <row r="1366">
      <c r="A1366" s="31" t="str">
        <f>IFERROR(__xludf.DUMMYFUNCTION("""COMPUTED_VALUE"""),"1271")</f>
        <v>1271</v>
      </c>
      <c r="B1366" s="14" t="str">
        <f>IFERROR(__xludf.DUMMYFUNCTION("""COMPUTED_VALUE"""),"ВНЕ СПИСКА")</f>
        <v>ВНЕ СПИСКА</v>
      </c>
      <c r="C1366" s="14" t="str">
        <f>IFERROR(__xludf.DUMMYFUNCTION("""COMPUTED_VALUE"""),"ОКС")</f>
        <v>ОКС</v>
      </c>
      <c r="D1366" s="6"/>
      <c r="E1366" s="14" t="str">
        <f>IFERROR(__xludf.DUMMYFUNCTION("""COMPUTED_VALUE"""),"ЖК ""Легенда"" к1 г.о. Троицк, 42-й км Калужского шоссе, корп. 1")</f>
        <v>ЖК "Легенда" к1 г.о. Троицк, 42-й км Калужского шоссе, корп. 1</v>
      </c>
      <c r="F1366" s="25" t="str">
        <f>IFERROR(__xludf.DUMMYFUNCTION("""COMPUTED_VALUE"""),"#N/A")</f>
        <v>#N/A</v>
      </c>
      <c r="G1366" s="6" t="str">
        <f>IFERROR(__xludf.DUMMYFUNCTION("""COMPUTED_VALUE"""),"#N/A")</f>
        <v>#N/A</v>
      </c>
      <c r="H1366" s="18" t="str">
        <f>IFERROR(__xludf.DUMMYFUNCTION("""COMPUTED_VALUE"""),"https://docs.google.com/spreadsheets/d/1EI7qusa674eJhuaw-nWWtWMEHVSYMQv7HLsInEZTWpE/edit?gid=1470173465#gid=1470173465")</f>
        <v>https://docs.google.com/spreadsheets/d/1EI7qusa674eJhuaw-nWWtWMEHVSYMQv7HLsInEZTWpE/edit?gid=1470173465#gid=1470173465</v>
      </c>
      <c r="I1366"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6" s="50">
        <f>IFERROR(__xludf.DUMMYFUNCTION("""COMPUTED_VALUE"""),100.0)</f>
        <v>100</v>
      </c>
      <c r="K1366" s="58">
        <f>IFERROR(__xludf.DUMMYFUNCTION("""COMPUTED_VALUE"""),45861.0)</f>
        <v>45861</v>
      </c>
      <c r="L1366" s="6" t="s">
        <v>654</v>
      </c>
      <c r="M1366" s="52" t="s">
        <v>655</v>
      </c>
      <c r="N1366" s="53" t="s">
        <v>656</v>
      </c>
      <c r="O1366" s="19"/>
      <c r="P1366" s="6"/>
      <c r="Q1366" s="6"/>
      <c r="R1366" s="6"/>
    </row>
    <row r="1367">
      <c r="A1367" s="31" t="str">
        <f>IFERROR(__xludf.DUMMYFUNCTION("""COMPUTED_VALUE"""),"1272")</f>
        <v>1272</v>
      </c>
      <c r="B1367" s="14" t="str">
        <f>IFERROR(__xludf.DUMMYFUNCTION("""COMPUTED_VALUE"""),"ВНЕ СПИСКА")</f>
        <v>ВНЕ СПИСКА</v>
      </c>
      <c r="C1367" s="14" t="str">
        <f>IFERROR(__xludf.DUMMYFUNCTION("""COMPUTED_VALUE"""),"ОКС")</f>
        <v>ОКС</v>
      </c>
      <c r="D1367" s="6"/>
      <c r="E1367" s="14" t="str">
        <f>IFERROR(__xludf.DUMMYFUNCTION("""COMPUTED_VALUE"""),"ЖК Легенда к2 г.о. Троицк, 42-й км Калужского шоссе, корп. 2")</f>
        <v>ЖК Легенда к2 г.о. Троицк, 42-й км Калужского шоссе, корп. 2</v>
      </c>
      <c r="F1367" s="25" t="str">
        <f>IFERROR(__xludf.DUMMYFUNCTION("""COMPUTED_VALUE"""),"#N/A")</f>
        <v>#N/A</v>
      </c>
      <c r="G1367" s="6" t="str">
        <f>IFERROR(__xludf.DUMMYFUNCTION("""COMPUTED_VALUE"""),"#N/A")</f>
        <v>#N/A</v>
      </c>
      <c r="H1367" s="18" t="str">
        <f>IFERROR(__xludf.DUMMYFUNCTION("""COMPUTED_VALUE"""),"https://docs.google.com/spreadsheets/d/1EI7qusa674eJhuaw-nWWtWMEHVSYMQv7HLsInEZTWpE/edit?gid=1866713504#gid=1866713504")</f>
        <v>https://docs.google.com/spreadsheets/d/1EI7qusa674eJhuaw-nWWtWMEHVSYMQv7HLsInEZTWpE/edit?gid=1866713504#gid=1866713504</v>
      </c>
      <c r="I1367"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7" s="50">
        <f>IFERROR(__xludf.DUMMYFUNCTION("""COMPUTED_VALUE"""),100.0)</f>
        <v>100</v>
      </c>
      <c r="K1367" s="58">
        <f>IFERROR(__xludf.DUMMYFUNCTION("""COMPUTED_VALUE"""),45861.0)</f>
        <v>45861</v>
      </c>
      <c r="L1367" s="6" t="s">
        <v>654</v>
      </c>
      <c r="M1367" s="52" t="s">
        <v>655</v>
      </c>
      <c r="N1367" s="53" t="s">
        <v>656</v>
      </c>
      <c r="O1367" s="19"/>
      <c r="P1367" s="6"/>
      <c r="Q1367" s="6"/>
      <c r="R1367" s="6"/>
    </row>
    <row r="1368">
      <c r="A1368" s="31" t="str">
        <f>IFERROR(__xludf.DUMMYFUNCTION("""COMPUTED_VALUE"""),"1273")</f>
        <v>1273</v>
      </c>
      <c r="B1368" s="14" t="str">
        <f>IFERROR(__xludf.DUMMYFUNCTION("""COMPUTED_VALUE"""),"ВНЕ СПИСКА")</f>
        <v>ВНЕ СПИСКА</v>
      </c>
      <c r="C1368" s="14" t="str">
        <f>IFERROR(__xludf.DUMMYFUNCTION("""COMPUTED_VALUE"""),"ОКС")</f>
        <v>ОКС</v>
      </c>
      <c r="D1368" s="6"/>
      <c r="E1368" s="14" t="str">
        <f>IFERROR(__xludf.DUMMYFUNCTION("""COMPUTED_VALUE"""),"ЖК Легенда к3 г.о. Троицк, 42-й км Калужского шоссе, корп. 3")</f>
        <v>ЖК Легенда к3 г.о. Троицк, 42-й км Калужского шоссе, корп. 3</v>
      </c>
      <c r="F1368" s="25" t="str">
        <f>IFERROR(__xludf.DUMMYFUNCTION("""COMPUTED_VALUE"""),"#N/A")</f>
        <v>#N/A</v>
      </c>
      <c r="G1368" s="6" t="str">
        <f>IFERROR(__xludf.DUMMYFUNCTION("""COMPUTED_VALUE"""),"#N/A")</f>
        <v>#N/A</v>
      </c>
      <c r="H1368" s="18" t="str">
        <f>IFERROR(__xludf.DUMMYFUNCTION("""COMPUTED_VALUE"""),"https://docs.google.com/spreadsheets/d/1EI7qusa674eJhuaw-nWWtWMEHVSYMQv7HLsInEZTWpE/edit?gid=944669618#gid=944669618")</f>
        <v>https://docs.google.com/spreadsheets/d/1EI7qusa674eJhuaw-nWWtWMEHVSYMQv7HLsInEZTWpE/edit?gid=944669618#gid=944669618</v>
      </c>
      <c r="I1368"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8" s="50">
        <f>IFERROR(__xludf.DUMMYFUNCTION("""COMPUTED_VALUE"""),100.0)</f>
        <v>100</v>
      </c>
      <c r="K1368" s="58">
        <f>IFERROR(__xludf.DUMMYFUNCTION("""COMPUTED_VALUE"""),45861.0)</f>
        <v>45861</v>
      </c>
      <c r="L1368" s="6" t="s">
        <v>654</v>
      </c>
      <c r="M1368" s="52" t="s">
        <v>655</v>
      </c>
      <c r="N1368" s="53" t="s">
        <v>656</v>
      </c>
      <c r="O1368" s="19"/>
      <c r="P1368" s="6"/>
      <c r="Q1368" s="6"/>
      <c r="R1368" s="6"/>
    </row>
    <row r="1369">
      <c r="A1369" s="31" t="str">
        <f>IFERROR(__xludf.DUMMYFUNCTION("""COMPUTED_VALUE"""),"1274")</f>
        <v>1274</v>
      </c>
      <c r="B1369" s="14" t="str">
        <f>IFERROR(__xludf.DUMMYFUNCTION("""COMPUTED_VALUE"""),"ВНЕ СПИСКА")</f>
        <v>ВНЕ СПИСКА</v>
      </c>
      <c r="C1369" s="14" t="str">
        <f>IFERROR(__xludf.DUMMYFUNCTION("""COMPUTED_VALUE"""),"ОКС")</f>
        <v>ОКС</v>
      </c>
      <c r="D1369" s="6"/>
      <c r="E1369" s="14" t="str">
        <f>IFERROR(__xludf.DUMMYFUNCTION("""COMPUTED_VALUE"""),"ЖК Легенда к4 г.о. Троицк, 42-й км Калужского шоссе, корп. 4")</f>
        <v>ЖК Легенда к4 г.о. Троицк, 42-й км Калужского шоссе, корп. 4</v>
      </c>
      <c r="F1369" s="25" t="str">
        <f>IFERROR(__xludf.DUMMYFUNCTION("""COMPUTED_VALUE"""),"#N/A")</f>
        <v>#N/A</v>
      </c>
      <c r="G1369" s="6" t="str">
        <f>IFERROR(__xludf.DUMMYFUNCTION("""COMPUTED_VALUE"""),"#N/A")</f>
        <v>#N/A</v>
      </c>
      <c r="H1369" s="18" t="str">
        <f>IFERROR(__xludf.DUMMYFUNCTION("""COMPUTED_VALUE"""),"https://docs.google.com/spreadsheets/d/1EI7qusa674eJhuaw-nWWtWMEHVSYMQv7HLsInEZTWpE/edit?gid=322677971#gid=322677971")</f>
        <v>https://docs.google.com/spreadsheets/d/1EI7qusa674eJhuaw-nWWtWMEHVSYMQv7HLsInEZTWpE/edit?gid=322677971#gid=322677971</v>
      </c>
      <c r="I1369"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9" s="50">
        <f>IFERROR(__xludf.DUMMYFUNCTION("""COMPUTED_VALUE"""),100.0)</f>
        <v>100</v>
      </c>
      <c r="K1369" s="58">
        <f>IFERROR(__xludf.DUMMYFUNCTION("""COMPUTED_VALUE"""),45861.0)</f>
        <v>45861</v>
      </c>
      <c r="L1369" s="6" t="s">
        <v>654</v>
      </c>
      <c r="M1369" s="52" t="s">
        <v>655</v>
      </c>
      <c r="N1369" s="53" t="s">
        <v>656</v>
      </c>
      <c r="O1369" s="19"/>
      <c r="P1369" s="6"/>
      <c r="Q1369" s="6"/>
      <c r="R1369" s="6"/>
    </row>
    <row r="1370">
      <c r="A1370" s="31" t="str">
        <f>IFERROR(__xludf.DUMMYFUNCTION("""COMPUTED_VALUE"""),"1275")</f>
        <v>1275</v>
      </c>
      <c r="B1370" s="14" t="str">
        <f>IFERROR(__xludf.DUMMYFUNCTION("""COMPUTED_VALUE"""),"ВНЕ СПИСКА")</f>
        <v>ВНЕ СПИСКА</v>
      </c>
      <c r="C1370" s="14" t="str">
        <f>IFERROR(__xludf.DUMMYFUNCTION("""COMPUTED_VALUE"""),"ОКС")</f>
        <v>ОКС</v>
      </c>
      <c r="D1370" s="6" t="str">
        <f>IFERROR(__xludf.DUMMYFUNCTION("""COMPUTED_VALUE"""),"да")</f>
        <v>да</v>
      </c>
      <c r="E1370" s="14" t="str">
        <f>IFERROR(__xludf.DUMMYFUNCTION("""COMPUTED_VALUE"""),"Многофункциональный жилой комплекс, 1-й этап строительства. Корпуса 1, 2, 3, 4 (Шарикоподшипниковская вл. 13, стр2) Шарикоподшипниковская ул. вл. 11, стр.1,2,4,10, стр.5, стр.7")</f>
        <v>Многофункциональный жилой комплекс, 1-й этап строительства. Корпуса 1, 2, 3, 4 (Шарикоподшипниковская вл. 13, стр2) Шарикоподшипниковская ул. вл. 11, стр.1,2,4,10, стр.5, стр.7</v>
      </c>
      <c r="F1370" s="25" t="str">
        <f>IFERROR(__xludf.DUMMYFUNCTION("""COMPUTED_VALUE"""),"#N/A")</f>
        <v>#N/A</v>
      </c>
      <c r="G1370" s="6" t="str">
        <f>IFERROR(__xludf.DUMMYFUNCTION("""COMPUTED_VALUE"""),"#N/A")</f>
        <v>#N/A</v>
      </c>
      <c r="H1370" s="18" t="str">
        <f>IFERROR(__xludf.DUMMYFUNCTION("""COMPUTED_VALUE"""),"https://docs.google.com/spreadsheets/d/1EI7qusa674eJhuaw-nWWtWMEHVSYMQv7HLsInEZTWpE/edit?gid=948129229#gid=948129229")</f>
        <v>https://docs.google.com/spreadsheets/d/1EI7qusa674eJhuaw-nWWtWMEHVSYMQv7HLsInEZTWpE/edit?gid=948129229#gid=948129229</v>
      </c>
      <c r="I1370" s="21" t="str">
        <f>IFERROR(__xludf.DUMMYFUNCTION("""COMPUTED_VALUE"""),"https://disk.yandex.ru/client/disk/%D0%9E%D1%81%D0%BC%D0%BE%D1%82%D1%80%D1%8B%20%D0%BE%D0%B1%D1%8A%D0%B5%D0%BA%D1%82%D0%BE%D0%B2%20%D0%90%D0%9D%D0%9E%20%D0%A1%D0%9C%D0%93/1275.%20%D0%A8%D0%B0%D1%80%D0%B8%D0%BA%D0%BE%D0%BF%D0%BE%D0%B4%D1%88%D0%B8%D0%BF%D0%"&amp;"BD%D0%B8%D0%BA%D0%BE%D0%B2%D1%81%D0%BA%D0%B0%D1%8F%20%D0%B2%D0%BB.%2013%2C%20%D1%81%D1%82%D1%802")</f>
        <v>https://disk.yandex.ru/client/disk/%D0%9E%D1%81%D0%BC%D0%BE%D1%82%D1%80%D1%8B%20%D0%BE%D0%B1%D1%8A%D0%B5%D0%BA%D1%82%D0%BE%D0%B2%20%D0%90%D0%9D%D0%9E%20%D0%A1%D0%9C%D0%93/1275.%20%D0%A8%D0%B0%D1%80%D0%B8%D0%BA%D0%BE%D0%BF%D0%BE%D0%B4%D1%88%D0%B8%D0%BF%D0%BD%D0%B8%D0%BA%D0%BE%D0%B2%D1%81%D0%BA%D0%B0%D1%8F%20%D0%B2%D0%BB.%2013%2C%20%D1%81%D1%82%D1%802</v>
      </c>
      <c r="J1370" s="50">
        <f>IFERROR(__xludf.DUMMYFUNCTION("""COMPUTED_VALUE"""),0.0)</f>
        <v>0</v>
      </c>
      <c r="K1370" s="58">
        <f>IFERROR(__xludf.DUMMYFUNCTION("""COMPUTED_VALUE"""),45937.0)</f>
        <v>45937</v>
      </c>
      <c r="L1370" s="6">
        <v>30.0</v>
      </c>
      <c r="M1370" s="52">
        <v>45967.0</v>
      </c>
      <c r="N1370" s="53" t="s">
        <v>668</v>
      </c>
      <c r="O1370" s="19" t="s">
        <v>1384</v>
      </c>
      <c r="P1370" s="6"/>
      <c r="Q1370" s="6"/>
      <c r="R1370" s="6"/>
    </row>
    <row r="1371">
      <c r="A1371" s="31" t="str">
        <f>IFERROR(__xludf.DUMMYFUNCTION("""COMPUTED_VALUE"""),"1276")</f>
        <v>1276</v>
      </c>
      <c r="B1371" s="14" t="str">
        <f>IFERROR(__xludf.DUMMYFUNCTION("""COMPUTED_VALUE"""),"ВНЕ СПИСКА")</f>
        <v>ВНЕ СПИСКА</v>
      </c>
      <c r="C1371" s="14" t="str">
        <f>IFERROR(__xludf.DUMMYFUNCTION("""COMPUTED_VALUE"""),"ОКС")</f>
        <v>ОКС</v>
      </c>
      <c r="D1371" s="6"/>
      <c r="E1371" s="14" t="str">
        <f>IFERROR(__xludf.DUMMYFUNCTION("""COMPUTED_VALUE"""),"Колледж СЗАО, р-н Южное Тушино, пр-д Походный, вл. 6")</f>
        <v>Колледж СЗАО, р-н Южное Тушино, пр-д Походный, вл. 6</v>
      </c>
      <c r="F1371" s="25" t="str">
        <f>IFERROR(__xludf.DUMMYFUNCTION("""COMPUTED_VALUE"""),"#N/A")</f>
        <v>#N/A</v>
      </c>
      <c r="G1371" s="6" t="str">
        <f>IFERROR(__xludf.DUMMYFUNCTION("""COMPUTED_VALUE"""),"#N/A")</f>
        <v>#N/A</v>
      </c>
      <c r="H1371" s="18" t="str">
        <f>IFERROR(__xludf.DUMMYFUNCTION("""COMPUTED_VALUE"""),"https://docs.google.com/spreadsheets/d/1EI7qusa674eJhuaw-nWWtWMEHVSYMQv7HLsInEZTWpE/edit?gid=411393776#gid=411393776")</f>
        <v>https://docs.google.com/spreadsheets/d/1EI7qusa674eJhuaw-nWWtWMEHVSYMQv7HLsInEZTWpE/edit?gid=411393776#gid=411393776</v>
      </c>
      <c r="I1371" s="21" t="str">
        <f>IFERROR(__xludf.DUMMYFUNCTION("""COMPUTED_VALUE"""),"https://disk.yandex.ru/client/disk/%D0%9E%D1%81%D0%BC%D0%BE%D1%82%D1%80%D1%8B%20%D0%BE%D0%B1%D1%8A%D0%B5%D0%BA%D1%82%D0%BE%D0%B2%20%D0%90%D0%9D%D0%9E%20%D0%A1%D0%9C%D0%93/1276.%20%D0%9A%D0%BE%D0%BB%D0%BB%D0%B5%D0%B4%D0%B6%20%D0%9F%D0%BE%D1%85%D0%BE%D0%B4%"&amp;"D0%BD%D1%8B%D0%B9%20%D0%BF%D1%80%D0%BE%D0%B5%D0%B7%D0%B4%20%D0%B2%D0%BB6")</f>
        <v>https://disk.yandex.ru/client/disk/%D0%9E%D1%81%D0%BC%D0%BE%D1%82%D1%80%D1%8B%20%D0%BE%D0%B1%D1%8A%D0%B5%D0%BA%D1%82%D0%BE%D0%B2%20%D0%90%D0%9D%D0%9E%20%D0%A1%D0%9C%D0%93/1276.%20%D0%9A%D0%BE%D0%BB%D0%BB%D0%B5%D0%B4%D0%B6%20%D0%9F%D0%BE%D1%85%D0%BE%D0%B4%D0%BD%D1%8B%D0%B9%20%D0%BF%D1%80%D0%BE%D0%B5%D0%B7%D0%B4%20%D0%B2%D0%BB6</v>
      </c>
      <c r="J1371" s="50">
        <f>IFERROR(__xludf.DUMMYFUNCTION("""COMPUTED_VALUE"""),0.0)</f>
        <v>0</v>
      </c>
      <c r="K1371" s="58">
        <f>IFERROR(__xludf.DUMMYFUNCTION("""COMPUTED_VALUE"""),45866.0)</f>
        <v>45866</v>
      </c>
      <c r="L1371" s="6">
        <v>30.0</v>
      </c>
      <c r="M1371" s="52">
        <v>45896.0</v>
      </c>
      <c r="N1371" s="53" t="s">
        <v>668</v>
      </c>
      <c r="O1371" s="19" t="s">
        <v>1385</v>
      </c>
      <c r="P1371" s="6"/>
      <c r="Q1371" s="6"/>
      <c r="R1371" s="6"/>
    </row>
    <row r="1372">
      <c r="A1372" s="31" t="str">
        <f>IFERROR(__xludf.DUMMYFUNCTION("""COMPUTED_VALUE"""),"1277")</f>
        <v>1277</v>
      </c>
      <c r="B1372" s="14" t="str">
        <f>IFERROR(__xludf.DUMMYFUNCTION("""COMPUTED_VALUE"""),"РЕН-26")</f>
        <v>РЕН-26</v>
      </c>
      <c r="C1372" s="14" t="str">
        <f>IFERROR(__xludf.DUMMYFUNCTION("""COMPUTED_VALUE"""),"ОКС")</f>
        <v>ОКС</v>
      </c>
      <c r="D1372" s="6"/>
      <c r="E1372" s="14" t="str">
        <f>IFERROR(__xludf.DUMMYFUNCTION("""COMPUTED_VALUE"""),"р-н Троицк, тер. СНТ ""Ветеран-1"", корп.1 Троицк, тер. СНТ ""Ветеран-1"", ул. Городская ")</f>
        <v>р-н Троицк, тер. СНТ "Ветеран-1", корп.1 Троицк, тер. СНТ "Ветеран-1", ул. Городская </v>
      </c>
      <c r="F1372" s="25" t="str">
        <f>IFERROR(__xludf.DUMMYFUNCTION("""COMPUTED_VALUE"""),"55.492717")</f>
        <v>55.492717</v>
      </c>
      <c r="G1372" s="6" t="str">
        <f>IFERROR(__xludf.DUMMYFUNCTION("""COMPUTED_VALUE"""),"37.319359")</f>
        <v>37.319359</v>
      </c>
      <c r="H1372" s="18" t="str">
        <f>IFERROR(__xludf.DUMMYFUNCTION("""COMPUTED_VALUE"""),"https://docs.google.com/spreadsheets/d/1rbCD10ySi4YZEkJW2_Slmn9z7AI1WEsGsZaIJmnnT18/edit?gid=1030101240#gid=1030101240")</f>
        <v>https://docs.google.com/spreadsheets/d/1rbCD10ySi4YZEkJW2_Slmn9z7AI1WEsGsZaIJmnnT18/edit?gid=1030101240#gid=1030101240</v>
      </c>
      <c r="I1372" s="21" t="str">
        <f>IFERROR(__xludf.DUMMYFUNCTION("""COMPUTED_VALUE"""),"https://disk.yandex.ru/client/disk/%D0%9E%D1%81%D0%BC%D0%BE%D1%82%D1%80%D1%8B%20%D0%BE%D0%B1%D1%8A%D0%B5%D0%BA%D1%82%D0%BE%D0%B2%20%D0%90%D0%9D%D0%9E%20%D0%A1%D0%9C%D0%93/1277%20%D1%80-%D0%BD%20%D0%A2%D1%80%D0%BE%D0%B8%D1%86%D0%BA%2C%20%D1%82%D0%B5%D1%80."&amp;"%20%D0%A1%D0%9D%D0%A2%20%22%D0%92%D0%B5%D1%82%D0%B5%D1%80%D0%B0%D0%BD-1%22%20%D0%BA%D0%BE%D1%80%D0%BF.%201")</f>
        <v>https://disk.yandex.ru/client/disk/%D0%9E%D1%81%D0%BC%D0%BE%D1%82%D1%80%D1%8B%20%D0%BE%D0%B1%D1%8A%D0%B5%D0%BA%D1%82%D0%BE%D0%B2%20%D0%90%D0%9D%D0%9E%20%D0%A1%D0%9C%D0%93/1277%20%D1%80-%D0%BD%20%D0%A2%D1%80%D0%BE%D0%B8%D1%86%D0%BA%2C%20%D1%82%D0%B5%D1%80.%20%D0%A1%D0%9D%D0%A2%20%22%D0%92%D0%B5%D1%82%D0%B5%D1%80%D0%B0%D0%BD-1%22%20%D0%BA%D0%BE%D1%80%D0%BF.%201</v>
      </c>
      <c r="J1372" s="50">
        <f>IFERROR(__xludf.DUMMYFUNCTION("""COMPUTED_VALUE"""),100.0)</f>
        <v>100</v>
      </c>
      <c r="K1372" s="58">
        <f>IFERROR(__xludf.DUMMYFUNCTION("""COMPUTED_VALUE"""),45957.0)</f>
        <v>45957</v>
      </c>
      <c r="L1372" s="6" t="s">
        <v>654</v>
      </c>
      <c r="M1372" s="52" t="s">
        <v>655</v>
      </c>
      <c r="N1372" s="53" t="s">
        <v>656</v>
      </c>
      <c r="O1372" s="19" t="s">
        <v>1386</v>
      </c>
      <c r="P1372" s="6"/>
      <c r="Q1372" s="6"/>
      <c r="R1372" s="6"/>
    </row>
    <row r="1373">
      <c r="A1373" s="31" t="str">
        <f>IFERROR(__xludf.DUMMYFUNCTION("""COMPUTED_VALUE"""),"1278")</f>
        <v>1278</v>
      </c>
      <c r="B1373" s="14" t="str">
        <f>IFERROR(__xludf.DUMMYFUNCTION("""COMPUTED_VALUE"""),"ВНЕ СПИСКА")</f>
        <v>ВНЕ СПИСКА</v>
      </c>
      <c r="C1373" s="14" t="str">
        <f>IFERROR(__xludf.DUMMYFUNCTION("""COMPUTED_VALUE"""),"ОКС")</f>
        <v>ОКС</v>
      </c>
      <c r="D1373" s="6" t="str">
        <f>IFERROR(__xludf.DUMMYFUNCTION("""COMPUTED_VALUE"""),"да")</f>
        <v>да</v>
      </c>
      <c r="E1373" s="14" t="str">
        <f>IFERROR(__xludf.DUMMYFUNCTION("""COMPUTED_VALUE"""),"Реконструкция существующего объекта некапитального строительства под физкультурно-оздоровительный комплекс р-н Строгино, ул. Маршала Катукова, д.26
 (кад. номер ЗУ №77:08:0008009:48)")</f>
        <v>Реконструкция существующего объекта некапитального строительства под физкультурно-оздоровительный комплекс р-н Строгино, ул. Маршала Катукова, д.26
 (кад. номер ЗУ №77:08:0008009:48)</v>
      </c>
      <c r="F1373" s="25" t="str">
        <f>IFERROR(__xludf.DUMMYFUNCTION("""COMPUTED_VALUE"""),"#N/A")</f>
        <v>#N/A</v>
      </c>
      <c r="G1373" s="6" t="str">
        <f>IFERROR(__xludf.DUMMYFUNCTION("""COMPUTED_VALUE"""),"#N/A")</f>
        <v>#N/A</v>
      </c>
      <c r="H1373" s="18" t="str">
        <f>IFERROR(__xludf.DUMMYFUNCTION("""COMPUTED_VALUE"""),"https://docs.google.com/spreadsheets/d/1EI7qusa674eJhuaw-nWWtWMEHVSYMQv7HLsInEZTWpE/edit?gid=594480118#gid=594480118")</f>
        <v>https://docs.google.com/spreadsheets/d/1EI7qusa674eJhuaw-nWWtWMEHVSYMQv7HLsInEZTWpE/edit?gid=594480118#gid=594480118</v>
      </c>
      <c r="I1373" s="21" t="str">
        <f>IFERROR(__xludf.DUMMYFUNCTION("""COMPUTED_VALUE"""),"https://disk.yandex.ru/client/disk/%D0%9E%D1%81%D0%BC%D0%BE%D1%82%D1%80%D1%8B%20%D0%BE%D0%B1%D1%8A%D0%B5%D0%BA%D1%82%D0%BE%D0%B2%20%D0%90%D0%9D%D0%9E%20%D0%A1%D0%9C%D0%93/1278.%20%D0%A4%D1%83%D1%82%D0%B1%D0%BE%D0%BB%D1%8C%D0%BD%D1%8B%D0%B9%20%D0%BC%D0%B0%"&amp;"D0%BD%D0%B5%D0%B6.%20%D1%83%D0%BB.%20%D0%9C%D0%B0%D1%80%D1%88%D0%B0%D0%BB%D0%B0%20%D0%9A%D0%B0%D1%82%D1%83%D0%BA%D0%BE%D0%B2%D0%B0%2C%20%D0%B4.%2026")</f>
        <v>https://disk.yandex.ru/client/disk/%D0%9E%D1%81%D0%BC%D0%BE%D1%82%D1%80%D1%8B%20%D0%BE%D0%B1%D1%8A%D0%B5%D0%BA%D1%82%D0%BE%D0%B2%20%D0%90%D0%9D%D0%9E%20%D0%A1%D0%9C%D0%93/1278.%20%D0%A4%D1%83%D1%82%D0%B1%D0%BE%D0%BB%D1%8C%D0%BD%D1%8B%D0%B9%20%D0%BC%D0%B0%D0%BD%D0%B5%D0%B6.%20%D1%83%D0%BB.%20%D0%9C%D0%B0%D1%80%D1%88%D0%B0%D0%BB%D0%B0%20%D0%9A%D0%B0%D1%82%D1%83%D0%BA%D0%BE%D0%B2%D0%B0%2C%20%D0%B4.%2026</v>
      </c>
      <c r="J1373" s="50">
        <f>IFERROR(__xludf.DUMMYFUNCTION("""COMPUTED_VALUE"""),4.0337499999999995)</f>
        <v>4.03375</v>
      </c>
      <c r="K1373" s="58">
        <f>IFERROR(__xludf.DUMMYFUNCTION("""COMPUTED_VALUE"""),45930.0)</f>
        <v>45930</v>
      </c>
      <c r="L1373" s="6">
        <v>30.0</v>
      </c>
      <c r="M1373" s="52">
        <v>45960.0</v>
      </c>
      <c r="N1373" s="53" t="s">
        <v>668</v>
      </c>
      <c r="O1373" s="19" t="s">
        <v>1387</v>
      </c>
      <c r="P1373" s="6"/>
      <c r="Q1373" s="6"/>
      <c r="R1373" s="6"/>
    </row>
    <row r="1374">
      <c r="A1374" s="31" t="str">
        <f>IFERROR(__xludf.DUMMYFUNCTION("""COMPUTED_VALUE"""),"НД")</f>
        <v>НД</v>
      </c>
      <c r="B1374" s="14" t="str">
        <f>IFERROR(__xludf.DUMMYFUNCTION("""COMPUTED_VALUE"""),"ВНЕ СПИСКА")</f>
        <v>ВНЕ СПИСКА</v>
      </c>
      <c r="C1374" s="14" t="str">
        <f>IFERROR(__xludf.DUMMYFUNCTION("""COMPUTED_VALUE"""),"ОКС")</f>
        <v>ОКС</v>
      </c>
      <c r="D1374" s="6"/>
      <c r="E1374" s="14" t="str">
        <f>IFERROR(__xludf.DUMMYFUNCTION("""COMPUTED_VALUE"""),"Административное здание района Филимонковский р-н Филимонковский, вблизи ул. Мешковский лес, квартал № 40, 1с1")</f>
        <v>Административное здание района Филимонковский р-н Филимонковский, вблизи ул. Мешковский лес, квартал № 40, 1с1</v>
      </c>
      <c r="F1374" s="25" t="str">
        <f>IFERROR(__xludf.DUMMYFUNCTION("""COMPUTED_VALUE"""),"#N/A")</f>
        <v>#N/A</v>
      </c>
      <c r="G1374" s="6" t="str">
        <f>IFERROR(__xludf.DUMMYFUNCTION("""COMPUTED_VALUE"""),"#N/A")</f>
        <v>#N/A</v>
      </c>
      <c r="H1374" s="6"/>
      <c r="I1374" s="19"/>
      <c r="J1374" s="50"/>
      <c r="K1374" s="58"/>
      <c r="L1374" s="6">
        <v>30.0</v>
      </c>
      <c r="M1374" s="52" t="s">
        <v>655</v>
      </c>
      <c r="N1374" s="53" t="s">
        <v>698</v>
      </c>
      <c r="O1374" s="19" t="s">
        <v>1388</v>
      </c>
      <c r="P1374" s="6"/>
      <c r="Q1374" s="6"/>
      <c r="R1374" s="6"/>
    </row>
    <row r="1375">
      <c r="A1375" s="31" t="str">
        <f>IFERROR(__xludf.DUMMYFUNCTION("""COMPUTED_VALUE"""),"НД")</f>
        <v>НД</v>
      </c>
      <c r="B1375" s="14" t="str">
        <f>IFERROR(__xludf.DUMMYFUNCTION("""COMPUTED_VALUE"""),"ВНЕ СПИСКА")</f>
        <v>ВНЕ СПИСКА</v>
      </c>
      <c r="C1375" s="14" t="str">
        <f>IFERROR(__xludf.DUMMYFUNCTION("""COMPUTED_VALUE"""),"ОКС")</f>
        <v>ОКС</v>
      </c>
      <c r="D1375" s="6"/>
      <c r="E1375" s="14" t="str">
        <f>IFERROR(__xludf.DUMMYFUNCTION("""COMPUTED_VALUE"""),"Производственная база ГБУ ""Жилищник района Печатники"" 1-ый Курьяновский пр., 15 с35")</f>
        <v>Производственная база ГБУ "Жилищник района Печатники" 1-ый Курьяновский пр., 15 с35</v>
      </c>
      <c r="F1375" s="25" t="str">
        <f>IFERROR(__xludf.DUMMYFUNCTION("""COMPUTED_VALUE"""),"#N/A")</f>
        <v>#N/A</v>
      </c>
      <c r="G1375" s="6" t="str">
        <f>IFERROR(__xludf.DUMMYFUNCTION("""COMPUTED_VALUE"""),"#N/A")</f>
        <v>#N/A</v>
      </c>
      <c r="H1375" s="6"/>
      <c r="I1375" s="19"/>
      <c r="J1375" s="50"/>
      <c r="K1375" s="58"/>
      <c r="L1375" s="6">
        <v>30.0</v>
      </c>
      <c r="M1375" s="52" t="s">
        <v>655</v>
      </c>
      <c r="N1375" s="53" t="s">
        <v>698</v>
      </c>
      <c r="O1375" s="19" t="s">
        <v>1389</v>
      </c>
      <c r="P1375" s="6"/>
      <c r="Q1375" s="6"/>
      <c r="R1375" s="6"/>
    </row>
    <row r="1376">
      <c r="A1376" s="31" t="str">
        <f>IFERROR(__xludf.DUMMYFUNCTION("""COMPUTED_VALUE"""),"1333")</f>
        <v>1333</v>
      </c>
      <c r="B1376" s="14" t="str">
        <f>IFERROR(__xludf.DUMMYFUNCTION("""COMPUTED_VALUE"""),"ВНЕ СПИСКА")</f>
        <v>ВНЕ СПИСКА</v>
      </c>
      <c r="C1376" s="14" t="str">
        <f>IFERROR(__xludf.DUMMYFUNCTION("""COMPUTED_VALUE"""),"ОКС")</f>
        <v>ОКС</v>
      </c>
      <c r="D1376" s="6"/>
      <c r="E1376" s="14" t="str">
        <f>IFERROR(__xludf.DUMMYFUNCTION("""COMPUTED_VALUE"""),"Жилой дом с инженерными коммуникациями и благоустройством, р-н Раменки, ул. Лобачевского, д. 106 (со сносом жилого дома по адресу: ул. Лобачевского, д. 106) р-н Раменки, ул. Лобачевского, д. 106")</f>
        <v>Жилой дом с инженерными коммуникациями и благоустройством, р-н Раменки, ул. Лобачевского, д. 106 (со сносом жилого дома по адресу: ул. Лобачевского, д. 106) р-н Раменки, ул. Лобачевского, д. 106</v>
      </c>
      <c r="F1376" s="25" t="str">
        <f>IFERROR(__xludf.DUMMYFUNCTION("""COMPUTED_VALUE"""),"#N/A")</f>
        <v>#N/A</v>
      </c>
      <c r="G1376" s="6" t="str">
        <f>IFERROR(__xludf.DUMMYFUNCTION("""COMPUTED_VALUE"""),"#N/A")</f>
        <v>#N/A</v>
      </c>
      <c r="H1376" s="18" t="str">
        <f>IFERROR(__xludf.DUMMYFUNCTION("""COMPUTED_VALUE"""),"https://docs.google.com/spreadsheets/d/1EI7qusa674eJhuaw-nWWtWMEHVSYMQv7HLsInEZTWpE/edit?gid=1880951633#gid=1880951633")</f>
        <v>https://docs.google.com/spreadsheets/d/1EI7qusa674eJhuaw-nWWtWMEHVSYMQv7HLsInEZTWpE/edit?gid=1880951633#gid=1880951633</v>
      </c>
      <c r="I1376" s="19"/>
      <c r="J1376" s="50">
        <f>IFERROR(__xludf.DUMMYFUNCTION("""COMPUTED_VALUE"""),0.028499999999999998)</f>
        <v>0.0285</v>
      </c>
      <c r="K1376" s="58"/>
      <c r="L1376" s="6">
        <v>30.0</v>
      </c>
      <c r="M1376" s="52" t="s">
        <v>655</v>
      </c>
      <c r="N1376" s="53" t="s">
        <v>698</v>
      </c>
      <c r="O1376" s="19" t="s">
        <v>1390</v>
      </c>
      <c r="P1376" s="6"/>
      <c r="Q1376" s="6"/>
      <c r="R1376" s="6"/>
    </row>
    <row r="1377">
      <c r="A1377" s="31" t="str">
        <f>IFERROR(__xludf.DUMMYFUNCTION("""COMPUTED_VALUE"""),"315")</f>
        <v>315</v>
      </c>
      <c r="B1377" s="14" t="str">
        <f>IFERROR(__xludf.DUMMYFUNCTION("""COMPUTED_VALUE"""),"ВНЕ СПИСКА")</f>
        <v>ВНЕ СПИСКА</v>
      </c>
      <c r="C1377" s="14" t="str">
        <f>IFERROR(__xludf.DUMMYFUNCTION("""COMPUTED_VALUE"""),"ОКС")</f>
        <v>ОКС</v>
      </c>
      <c r="D1377" s="6"/>
      <c r="E1377" s="14" t="str">
        <f>IFERROR(__xludf.DUMMYFUNCTION("""COMPUTED_VALUE"""),"Взрослая поликлиника на 750 посещений в смену, р-н Головинский, ул. Онежская, влд. 14Б район Головинский, ул. Онежская, вл. 14Б")</f>
        <v>Взрослая поликлиника на 750 посещений в смену, р-н Головинский, ул. Онежская, влд. 14Б район Головинский, ул. Онежская, вл. 14Б</v>
      </c>
      <c r="F1377" s="25" t="str">
        <f>IFERROR(__xludf.DUMMYFUNCTION("""COMPUTED_VALUE"""),"#N/A")</f>
        <v>#N/A</v>
      </c>
      <c r="G1377" s="6" t="str">
        <f>IFERROR(__xludf.DUMMYFUNCTION("""COMPUTED_VALUE"""),"#N/A")</f>
        <v>#N/A</v>
      </c>
      <c r="H1377" s="18" t="str">
        <f>IFERROR(__xludf.DUMMYFUNCTION("""COMPUTED_VALUE"""),"https://docs.google.com/spreadsheets/d/1EI7qusa674eJhuaw-nWWtWMEHVSYMQv7HLsInEZTWpE/edit?gid=849348771#gid=849348771")</f>
        <v>https://docs.google.com/spreadsheets/d/1EI7qusa674eJhuaw-nWWtWMEHVSYMQv7HLsInEZTWpE/edit?gid=849348771#gid=849348771</v>
      </c>
      <c r="I1377" s="21" t="str">
        <f>IFERROR(__xludf.DUMMYFUNCTION("""COMPUTED_VALUE"""),"https://disk.yandex.ru/client/disk/%D0%9E%D1%81%D0%BC%D0%BE%D1%82%D1%80%D1%8B%20%D0%BE%D0%B1%D1%8A%D0%B5%D0%BA%D1%82%D0%BE%D0%B2%20%D0%90%D0%9D%D0%9E%20%D0%A1%D0%9C%D0%93/315.%20%D0%9E%D0%BD%D0%B5%D0%B6%D1%81%D0%BA%D0%B0%D1%8F%2C%20%D0%B2%D0%BB%D0%B4.%201"&amp;"4%D0%91")</f>
        <v>https://disk.yandex.ru/client/disk/%D0%9E%D1%81%D0%BC%D0%BE%D1%82%D1%80%D1%8B%20%D0%BE%D0%B1%D1%8A%D0%B5%D0%BA%D1%82%D0%BE%D0%B2%20%D0%90%D0%9D%D0%9E%20%D0%A1%D0%9C%D0%93/315.%20%D0%9E%D0%BD%D0%B5%D0%B6%D1%81%D0%BA%D0%B0%D1%8F%2C%20%D0%B2%D0%BB%D0%B4.%2014%D0%91</v>
      </c>
      <c r="J1377" s="50">
        <f>IFERROR(__xludf.DUMMYFUNCTION("""COMPUTED_VALUE"""),0.0)</f>
        <v>0</v>
      </c>
      <c r="K1377" s="58">
        <f>IFERROR(__xludf.DUMMYFUNCTION("""COMPUTED_VALUE"""),45874.0)</f>
        <v>45874</v>
      </c>
      <c r="L1377" s="6">
        <v>30.0</v>
      </c>
      <c r="M1377" s="52">
        <v>45904.0</v>
      </c>
      <c r="N1377" s="53" t="s">
        <v>668</v>
      </c>
      <c r="O1377" s="19" t="s">
        <v>1391</v>
      </c>
      <c r="P1377" s="6"/>
      <c r="Q1377" s="6"/>
      <c r="R1377" s="6"/>
    </row>
    <row r="1378">
      <c r="A1378" s="31" t="str">
        <f>IFERROR(__xludf.DUMMYFUNCTION("""COMPUTED_VALUE"""),"НД")</f>
        <v>НД</v>
      </c>
      <c r="B1378" s="14" t="str">
        <f>IFERROR(__xludf.DUMMYFUNCTION("""COMPUTED_VALUE"""),"ВНЕ СПИСКА")</f>
        <v>ВНЕ СПИСКА</v>
      </c>
      <c r="C1378" s="14" t="str">
        <f>IFERROR(__xludf.DUMMYFUNCTION("""COMPUTED_VALUE"""),"ОКС")</f>
        <v>ОКС</v>
      </c>
      <c r="D1378" s="6" t="str">
        <f>IFERROR(__xludf.DUMMYFUNCTION("""COMPUTED_VALUE"""),"да")</f>
        <v>да</v>
      </c>
      <c r="E1378" s="14" t="str">
        <f>IFERROR(__xludf.DUMMYFUNCTION("""COMPUTED_VALUE"""),"Многофункциоеальный жилой комплекс Краснопресненская наб. уч. 14/15")</f>
        <v>Многофункциоеальный жилой комплекс Краснопресненская наб. уч. 14/15</v>
      </c>
      <c r="F1378" s="25" t="str">
        <f>IFERROR(__xludf.DUMMYFUNCTION("""COMPUTED_VALUE"""),"#N/A")</f>
        <v>#N/A</v>
      </c>
      <c r="G1378" s="6" t="str">
        <f>IFERROR(__xludf.DUMMYFUNCTION("""COMPUTED_VALUE"""),"#N/A")</f>
        <v>#N/A</v>
      </c>
      <c r="H1378" s="6"/>
      <c r="I1378" s="19"/>
      <c r="J1378" s="50"/>
      <c r="K1378" s="58"/>
      <c r="L1378" s="6">
        <v>30.0</v>
      </c>
      <c r="M1378" s="52" t="s">
        <v>655</v>
      </c>
      <c r="N1378" s="53" t="s">
        <v>698</v>
      </c>
      <c r="O1378" s="19" t="s">
        <v>669</v>
      </c>
      <c r="P1378" s="6"/>
      <c r="Q1378" s="6"/>
      <c r="R1378" s="6"/>
    </row>
    <row r="1379">
      <c r="A1379" s="31" t="str">
        <f>IFERROR(__xludf.DUMMYFUNCTION("""COMPUTED_VALUE"""),"1282")</f>
        <v>1282</v>
      </c>
      <c r="B1379" s="14" t="str">
        <f>IFERROR(__xludf.DUMMYFUNCTION("""COMPUTED_VALUE"""),"ВНЕ СПИСКА")</f>
        <v>ВНЕ СПИСКА</v>
      </c>
      <c r="C1379" s="14" t="str">
        <f>IFERROR(__xludf.DUMMYFUNCTION("""COMPUTED_VALUE"""),"ОКС")</f>
        <v>ОКС</v>
      </c>
      <c r="D1379" s="6" t="str">
        <f>IFERROR(__xludf.DUMMYFUNCTION("""COMPUTED_VALUE"""),"да")</f>
        <v>да</v>
      </c>
      <c r="E1379" s="14" t="str">
        <f>IFERROR(__xludf.DUMMYFUNCTION("""COMPUTED_VALUE"""),"Реализация спортивной инфраструктуры в рамках проекта территории в Сокольниках Здание спортивной базы; задние службы эксплуатации
 Малый Олений пер. 23")</f>
        <v>Реализация спортивной инфраструктуры в рамках проекта территории в Сокольниках Здание спортивной базы; задние службы эксплуатации
 Малый Олений пер. 23</v>
      </c>
      <c r="F1379" s="25" t="str">
        <f>IFERROR(__xludf.DUMMYFUNCTION("""COMPUTED_VALUE"""),"55.803874")</f>
        <v>55.803874</v>
      </c>
      <c r="G1379" s="6" t="str">
        <f>IFERROR(__xludf.DUMMYFUNCTION("""COMPUTED_VALUE"""),"37.695999")</f>
        <v>37.695999</v>
      </c>
      <c r="H1379" s="18" t="str">
        <f>IFERROR(__xludf.DUMMYFUNCTION("""COMPUTED_VALUE"""),"https://docs.google.com/spreadsheets/d/1EI7qusa674eJhuaw-nWWtWMEHVSYMQv7HLsInEZTWpE/edit?gid=741067591#gid=741067591")</f>
        <v>https://docs.google.com/spreadsheets/d/1EI7qusa674eJhuaw-nWWtWMEHVSYMQv7HLsInEZTWpE/edit?gid=741067591#gid=741067591</v>
      </c>
      <c r="I1379" s="19" t="str">
        <f>IFERROR(__xludf.DUMMYFUNCTION("""COMPUTED_VALUE"""),"https://disk.yandex.ru/client/disk/%D0%9E%D1%81%D0%BC%D0%BE%D1%82%D1%80%D1%8B%20%D0%BE%D0%B1%D1%8A%D0%B5%D0%BA%D1%82%D0%BE%D0%B2%20%D0%90%D0%9D%D0%9E%20%D0%A1%D0%9C%D0%93/1282.%20%D0%A0%D0%B5%D0%B0%D0%BB%D0%B8%D0%B7%D0%B0%D1%86%D0%B8%D1%8F%20%D1%81%D1%82%"&amp;"D1%80%D0%BE%D0%B8%D1%82%D0%B5%D0%BB%D1%8C%D0%BD%D0%BE%D0%B9%20%D0%B8%D0%BD%D1%84%D1%80%D0%B0%D1%81%D1%82%D1%80%D1%83%D0%BA%D1%82%D1%83%D1%80%D1%8B%20%D0%B2%20%D1%80%D0%B0%D0%BC%D0%BA%D0%B0%D1%85%20%D0%BF%D1%80%D0%BE%D0%B5%D0%BA%D1%82%D0%B0%20%D1%82%D0%B5%"&amp;"D1%80%D1%80%D0%B8%D1%82%D0%BE%D1%80%D0%B8%D0%B8%20%D0%B2%20%D0%A1%D0%BE%D0%BA%D0%BE%D0%BB%D1%8C%D0%BD%D0%B8%D0%BA%D0%B0%D1%85%20%D0%97%D0%B4%D0%B0%D0%BD%D0%B8%D0%B5%20%D1%81%D0%BF%D0%BE%D1%80%D1%82%D0%B8%D0%B2%D0%BD%D0%BE%D0%B9%20%D0%B1%D0%B0%D0%B7%D1%8B%"&amp;"3B%20%D0%B7%D0%B4%D0%B0%D0%BD%D0%B8%D0%B5%20%D1%81%D0%BB%D1%83%D0%B6%D0%B1%D1%8B%20%D1%8D%D0%BA%D1%81%D0%BF%D0%BB%D1%83%D0%B0%D1%82%D0%B0%D1%86%D0%B8%D0%B8%20%D0%9C%D0%BE%D1%81%D0%BA%D0%B2%D0%B0%2C%20%D0%9C%D0%B0%D0%BB%D1%8B%D0%B9%20%D0%9E%D0%BB%D0%B5%D0%"&amp;"BD%D0%B8%D0%B9%20%D0%BF%D0%B5%D1%80%D0%B5%D1%83%D0%BB%D0%BE%D0%BA%2C%2023")</f>
        <v>https://disk.yandex.ru/client/disk/%D0%9E%D1%81%D0%BC%D0%BE%D1%82%D1%80%D1%8B%20%D0%BE%D0%B1%D1%8A%D0%B5%D0%BA%D1%82%D0%BE%D0%B2%20%D0%90%D0%9D%D0%9E%20%D0%A1%D0%9C%D0%93/1282.%20%D0%A0%D0%B5%D0%B0%D0%BB%D0%B8%D0%B7%D0%B0%D1%86%D0%B8%D1%8F%20%D1%81%D1%82%D1%80%D0%BE%D0%B8%D1%82%D0%B5%D0%BB%D1%8C%D0%BD%D0%BE%D0%B9%20%D0%B8%D0%BD%D1%84%D1%80%D0%B0%D1%81%D1%82%D1%80%D1%83%D0%BA%D1%82%D1%83%D1%80%D1%8B%20%D0%B2%20%D1%80%D0%B0%D0%BC%D0%BA%D0%B0%D1%85%20%D0%BF%D1%80%D0%BE%D0%B5%D0%BA%D1%82%D0%B0%20%D1%82%D0%B5%D1%80%D1%80%D0%B8%D1%82%D0%BE%D1%80%D0%B8%D0%B8%20%D0%B2%20%D0%A1%D0%BE%D0%BA%D0%BE%D0%BB%D1%8C%D0%BD%D0%B8%D0%BA%D0%B0%D1%85%20%D0%97%D0%B4%D0%B0%D0%BD%D0%B8%D0%B5%20%D1%81%D0%BF%D0%BE%D1%80%D1%82%D0%B8%D0%B2%D0%BD%D0%BE%D0%B9%20%D0%B1%D0%B0%D0%B7%D1%8B%3B%20%D0%B7%D0%B4%D0%B0%D0%BD%D0%B8%D0%B5%20%D1%81%D0%BB%D1%83%D0%B6%D0%B1%D1%8B%20%D1%8D%D0%BA%D1%81%D0%BF%D0%BB%D1%83%D0%B0%D1%82%D0%B0%D1%86%D0%B8%D0%B8%20%D0%9C%D0%BE%D1%81%D0%BA%D0%B2%D0%B0%2C%20%D0%9C%D0%B0%D0%BB%D1%8B%D0%B9%20%D0%9E%D0%BB%D0%B5%D0%BD%D0%B8%D0%B9%20%D0%BF%D0%B5%D1%80%D0%B5%D1%83%D0%BB%D0%BE%D0%BA%2C%2023</v>
      </c>
      <c r="J1379" s="50">
        <f>IFERROR(__xludf.DUMMYFUNCTION("""COMPUTED_VALUE"""),0.0)</f>
        <v>0</v>
      </c>
      <c r="K1379" s="58">
        <f>IFERROR(__xludf.DUMMYFUNCTION("""COMPUTED_VALUE"""),45966.0)</f>
        <v>45966</v>
      </c>
      <c r="L1379" s="6">
        <v>30.0</v>
      </c>
      <c r="M1379" s="52">
        <v>45996.0</v>
      </c>
      <c r="N1379" s="53" t="s">
        <v>711</v>
      </c>
      <c r="O1379" s="19" t="s">
        <v>1392</v>
      </c>
      <c r="P1379" s="6"/>
      <c r="Q1379" s="6"/>
      <c r="R1379" s="6"/>
    </row>
    <row r="1380">
      <c r="A1380" s="31" t="str">
        <f>IFERROR(__xludf.DUMMYFUNCTION("""COMPUTED_VALUE"""),"1281")</f>
        <v>1281</v>
      </c>
      <c r="B1380" s="14" t="str">
        <f>IFERROR(__xludf.DUMMYFUNCTION("""COMPUTED_VALUE"""),"ВНЕ СПИСКА")</f>
        <v>ВНЕ СПИСКА</v>
      </c>
      <c r="C1380" s="14" t="str">
        <f>IFERROR(__xludf.DUMMYFUNCTION("""COMPUTED_VALUE"""),"ОКС")</f>
        <v>ОКС</v>
      </c>
      <c r="D1380" s="6" t="str">
        <f>IFERROR(__xludf.DUMMYFUNCTION("""COMPUTED_VALUE"""),"да")</f>
        <v>да</v>
      </c>
      <c r="E1380" s="14" t="str">
        <f>IFERROR(__xludf.DUMMYFUNCTION("""COMPUTED_VALUE"""),"Инновационный научно-технологический центр МГУ «Воробьевы горы», кластеры «Космос», «Инфотех», «Инжиниринг», «Геотех», «Нанотех», «Биомед» Москва, Раменский бульвар")</f>
        <v>Инновационный научно-технологический центр МГУ «Воробьевы горы», кластеры «Космос», «Инфотех», «Инжиниринг», «Геотех», «Нанотех», «Биомед» Москва, Раменский бульвар</v>
      </c>
      <c r="F1380" s="25" t="str">
        <f>IFERROR(__xludf.DUMMYFUNCTION("""COMPUTED_VALUE"""),"#N/A")</f>
        <v>#N/A</v>
      </c>
      <c r="G1380" s="6" t="str">
        <f>IFERROR(__xludf.DUMMYFUNCTION("""COMPUTED_VALUE"""),"#N/A")</f>
        <v>#N/A</v>
      </c>
      <c r="H1380" s="18" t="str">
        <f>IFERROR(__xludf.DUMMYFUNCTION("""COMPUTED_VALUE"""),"https://docs.google.com/spreadsheets/d/1EI7qusa674eJhuaw-nWWtWMEHVSYMQv7HLsInEZTWpE/edit?gid=1740138408#gid=1740138408")</f>
        <v>https://docs.google.com/spreadsheets/d/1EI7qusa674eJhuaw-nWWtWMEHVSYMQv7HLsInEZTWpE/edit?gid=1740138408#gid=1740138408</v>
      </c>
      <c r="I1380" s="21" t="str">
        <f>IFERROR(__xludf.DUMMYFUNCTION("""COMPUTED_VALUE"""),"https://disk.yandex.ru/client/disk/%D0%9E%D1%81%D0%BC%D0%BE%D1%82%D1%80%D1%8B%20%D0%BE%D0%B1%D1%8A%D0%B5%D0%BA%D1%82%D0%BE%D0%B2%20%D0%90%D0%9D%D0%9E%20%D0%A1%D0%9C%D0%93/1281.%20%D0%98%D0%9D%D0%A2%D0%A6%20%D0%9C%D0%93%D0%A3%20%D0%92%D0%BE%D1%80%D0%BE%D0%"&amp;"B1%D1%8C%D0%B5%D0%B2%D1%8B%20%D0%B3%D0%BE%D1%80%D1%8B%20(%D0%BA%D0%BE%D1%81%D0%BC%D0%BE%D1%81%2C%20%D0%B8%D0%BD%D1%84%D0%BE%D1%82%D0%B5%D1%85%2C%20%D0%B8%D0%BD%D0%B6%D0%B8%D0%BD%D0%B8%D1%80%D0%B8%D0%BD%D0%B3%2C%20%D0%B3%D0%B5%D0%BE%D1%82%D0%B5%D1%85%2C%20"&amp;"%D0%BD%D0%B0%D0%BD%D0%BE%D1%82%D0%B5%D1%85%2C%20%D0%B1%D0%B8%D0%BE%D0%BC%D0%B5%D0%B4)")</f>
        <v>https://disk.yandex.ru/client/disk/%D0%9E%D1%81%D0%BC%D0%BE%D1%82%D1%80%D1%8B%20%D0%BE%D0%B1%D1%8A%D0%B5%D0%BA%D1%82%D0%BE%D0%B2%20%D0%90%D0%9D%D0%9E%20%D0%A1%D0%9C%D0%93/1281.%20%D0%98%D0%9D%D0%A2%D0%A6%20%D0%9C%D0%93%D0%A3%20%D0%92%D0%BE%D1%80%D0%BE%D0%B1%D1%8C%D0%B5%D0%B2%D1%8B%20%D0%B3%D0%BE%D1%80%D1%8B%20(%D0%BA%D0%BE%D1%81%D0%BC%D0%BE%D1%81%2C%20%D0%B8%D0%BD%D1%84%D0%BE%D1%82%D0%B5%D1%85%2C%20%D0%B8%D0%BD%D0%B6%D0%B8%D0%BD%D0%B8%D1%80%D0%B8%D0%BD%D0%B3%2C%20%D0%B3%D0%B5%D0%BE%D1%82%D0%B5%D1%85%2C%20%D0%BD%D0%B0%D0%BD%D0%BE%D1%82%D0%B5%D1%85%2C%20%D0%B1%D0%B8%D0%BE%D0%BC%D0%B5%D0%B4)</v>
      </c>
      <c r="J1380" s="50">
        <f>IFERROR(__xludf.DUMMYFUNCTION("""COMPUTED_VALUE"""),0.0)</f>
        <v>0</v>
      </c>
      <c r="K1380" s="58">
        <f>IFERROR(__xludf.DUMMYFUNCTION("""COMPUTED_VALUE"""),45882.0)</f>
        <v>45882</v>
      </c>
      <c r="L1380" s="6">
        <v>30.0</v>
      </c>
      <c r="M1380" s="52">
        <v>45912.0</v>
      </c>
      <c r="N1380" s="53" t="s">
        <v>668</v>
      </c>
      <c r="O1380" s="19"/>
      <c r="P1380" s="6"/>
      <c r="Q1380" s="6"/>
      <c r="R1380" s="6"/>
    </row>
    <row r="1381">
      <c r="A1381" s="31" t="str">
        <f>IFERROR(__xludf.DUMMYFUNCTION("""COMPUTED_VALUE"""),"НД")</f>
        <v>НД</v>
      </c>
      <c r="B1381" s="14" t="str">
        <f>IFERROR(__xludf.DUMMYFUNCTION("""COMPUTED_VALUE"""),"ВНЕ СПИСКА")</f>
        <v>ВНЕ СПИСКА</v>
      </c>
      <c r="C1381" s="14" t="str">
        <f>IFERROR(__xludf.DUMMYFUNCTION("""COMPUTED_VALUE"""),"ОКС")</f>
        <v>ОКС</v>
      </c>
      <c r="D1381" s="6"/>
      <c r="E1381" s="14" t="str">
        <f>IFERROR(__xludf.DUMMYFUNCTION("""COMPUTED_VALUE"""),"Соинвестирование проектирования и строительства 47,5% общей площади корпусов территории застройки района Левобережный, мкр. 1,2, подлежащих реализации. ул. Фестивальная, влд. 15, район Левобережный")</f>
        <v>Соинвестирование проектирования и строительства 47,5% общей площади корпусов территории застройки района Левобережный, мкр. 1,2, подлежащих реализации. ул. Фестивальная, влд. 15, район Левобережный</v>
      </c>
      <c r="F1381" s="25" t="str">
        <f>IFERROR(__xludf.DUMMYFUNCTION("""COMPUTED_VALUE"""),"#N/A")</f>
        <v>#N/A</v>
      </c>
      <c r="G1381" s="6" t="str">
        <f>IFERROR(__xludf.DUMMYFUNCTION("""COMPUTED_VALUE"""),"#N/A")</f>
        <v>#N/A</v>
      </c>
      <c r="H1381" s="6"/>
      <c r="I1381" s="19"/>
      <c r="J1381" s="50"/>
      <c r="K1381" s="58"/>
      <c r="L1381" s="6">
        <v>30.0</v>
      </c>
      <c r="M1381" s="52" t="s">
        <v>655</v>
      </c>
      <c r="N1381" s="53" t="s">
        <v>698</v>
      </c>
      <c r="O1381" s="19" t="s">
        <v>1393</v>
      </c>
      <c r="P1381" s="6"/>
      <c r="Q1381" s="6"/>
      <c r="R1381" s="6"/>
    </row>
    <row r="1382">
      <c r="A1382" s="31" t="str">
        <f>IFERROR(__xludf.DUMMYFUNCTION("""COMPUTED_VALUE"""),"НД")</f>
        <v>НД</v>
      </c>
      <c r="B1382" s="14" t="str">
        <f>IFERROR(__xludf.DUMMYFUNCTION("""COMPUTED_VALUE"""),"ВНЕ СПИСКА")</f>
        <v>ВНЕ СПИСКА</v>
      </c>
      <c r="C1382" s="14" t="str">
        <f>IFERROR(__xludf.DUMMYFUNCTION("""COMPUTED_VALUE"""),"ОКС")</f>
        <v>ОКС</v>
      </c>
      <c r="D1382" s="6"/>
      <c r="E1382" s="14" t="str">
        <f>IFERROR(__xludf.DUMMYFUNCTION("""COMPUTED_VALUE"""),"Административное здание, по адресу: 2-я ул. Измайловского зверинца, вл. 3а, район Измайлово  2-я ул. Измайловского зверинца, вл.3а")</f>
        <v>Административное здание, по адресу: 2-я ул. Измайловского зверинца, вл. 3а, район Измайлово  2-я ул. Измайловского зверинца, вл.3а</v>
      </c>
      <c r="F1382" s="25" t="str">
        <f>IFERROR(__xludf.DUMMYFUNCTION("""COMPUTED_VALUE"""),"#N/A")</f>
        <v>#N/A</v>
      </c>
      <c r="G1382" s="6" t="str">
        <f>IFERROR(__xludf.DUMMYFUNCTION("""COMPUTED_VALUE"""),"#N/A")</f>
        <v>#N/A</v>
      </c>
      <c r="H1382" s="6"/>
      <c r="I1382" s="19"/>
      <c r="J1382" s="50"/>
      <c r="K1382" s="58"/>
      <c r="L1382" s="6">
        <v>30.0</v>
      </c>
      <c r="M1382" s="52" t="s">
        <v>655</v>
      </c>
      <c r="N1382" s="53" t="s">
        <v>698</v>
      </c>
      <c r="O1382" s="19" t="s">
        <v>1394</v>
      </c>
      <c r="P1382" s="6"/>
      <c r="Q1382" s="6"/>
      <c r="R1382" s="6"/>
    </row>
    <row r="1383">
      <c r="A1383" s="31" t="str">
        <f>IFERROR(__xludf.DUMMYFUNCTION("""COMPUTED_VALUE"""),"464д (этап 1)")</f>
        <v>464д (этап 1)</v>
      </c>
      <c r="B1383" s="14" t="str">
        <f>IFERROR(__xludf.DUMMYFUNCTION("""COMPUTED_VALUE"""),"ВНЕ СПИСКА")</f>
        <v>ВНЕ СПИСКА</v>
      </c>
      <c r="C1383" s="14" t="str">
        <f>IFERROR(__xludf.DUMMYFUNCTION("""COMPUTED_VALUE"""),"УДС")</f>
        <v>УДС</v>
      </c>
      <c r="D1383" s="6"/>
      <c r="E1383" s="14" t="str">
        <f>IFERROR(__xludf.DUMMYFUNCTION("""COMPUTED_VALUE"""),"Набержная вдоль ЖК ""City Bay"" ГК ""MR group"" ")</f>
        <v>Набержная вдоль ЖК "City Bay" ГК "MR group" </v>
      </c>
      <c r="F1383" s="25" t="str">
        <f>IFERROR(__xludf.DUMMYFUNCTION("""COMPUTED_VALUE"""),"#N/A")</f>
        <v>#N/A</v>
      </c>
      <c r="G1383" s="6" t="str">
        <f>IFERROR(__xludf.DUMMYFUNCTION("""COMPUTED_VALUE"""),"#N/A")</f>
        <v>#N/A</v>
      </c>
      <c r="H1383" s="6"/>
      <c r="I1383" s="19"/>
      <c r="J1383" s="50">
        <f>IFERROR(__xludf.DUMMYFUNCTION("""COMPUTED_VALUE"""),93.44)</f>
        <v>93.44</v>
      </c>
      <c r="K1383" s="58">
        <f>IFERROR(__xludf.DUMMYFUNCTION("""COMPUTED_VALUE"""),45966.0)</f>
        <v>45966</v>
      </c>
      <c r="L1383" s="6">
        <v>14.0</v>
      </c>
      <c r="M1383" s="52">
        <v>45980.0</v>
      </c>
      <c r="N1383" s="53" t="s">
        <v>741</v>
      </c>
      <c r="O1383" s="19" t="s">
        <v>1395</v>
      </c>
      <c r="P1383" s="6"/>
      <c r="Q1383" s="6"/>
      <c r="R1383" s="6"/>
    </row>
    <row r="1384">
      <c r="A1384" s="31" t="str">
        <f>IFERROR(__xludf.DUMMYFUNCTION("""COMPUTED_VALUE"""),"464д (этап 2)")</f>
        <v>464д (этап 2)</v>
      </c>
      <c r="B1384" s="14" t="str">
        <f>IFERROR(__xludf.DUMMYFUNCTION("""COMPUTED_VALUE"""),"ВНЕ СПИСКА")</f>
        <v>ВНЕ СПИСКА</v>
      </c>
      <c r="C1384" s="14" t="str">
        <f>IFERROR(__xludf.DUMMYFUNCTION("""COMPUTED_VALUE"""),"УДС")</f>
        <v>УДС</v>
      </c>
      <c r="D1384" s="6"/>
      <c r="E1384" s="14" t="str">
        <f>IFERROR(__xludf.DUMMYFUNCTION("""COMPUTED_VALUE"""),"Набержная вдоль ЖК ""City Bay"" ГК ""MR group"" ")</f>
        <v>Набержная вдоль ЖК "City Bay" ГК "MR group" </v>
      </c>
      <c r="F1384" s="25" t="str">
        <f>IFERROR(__xludf.DUMMYFUNCTION("""COMPUTED_VALUE"""),"#N/A")</f>
        <v>#N/A</v>
      </c>
      <c r="G1384" s="6" t="str">
        <f>IFERROR(__xludf.DUMMYFUNCTION("""COMPUTED_VALUE"""),"#N/A")</f>
        <v>#N/A</v>
      </c>
      <c r="H1384" s="6"/>
      <c r="I1384" s="6"/>
      <c r="J1384" s="50">
        <f>IFERROR(__xludf.DUMMYFUNCTION("""COMPUTED_VALUE"""),48.1315)</f>
        <v>48.1315</v>
      </c>
      <c r="K1384" s="58">
        <f>IFERROR(__xludf.DUMMYFUNCTION("""COMPUTED_VALUE"""),45966.0)</f>
        <v>45966</v>
      </c>
      <c r="L1384" s="6">
        <v>30.0</v>
      </c>
      <c r="M1384" s="52">
        <v>45996.0</v>
      </c>
      <c r="N1384" s="53" t="s">
        <v>711</v>
      </c>
      <c r="O1384" s="6" t="s">
        <v>1395</v>
      </c>
      <c r="P1384" s="6"/>
      <c r="Q1384" s="6"/>
      <c r="R1384" s="6"/>
    </row>
    <row r="1385">
      <c r="A1385" s="31" t="str">
        <f>IFERROR(__xludf.DUMMYFUNCTION("""COMPUTED_VALUE"""),"463 (пока чек не делали)")</f>
        <v>463 (пока чек не делали)</v>
      </c>
      <c r="B1385" s="14"/>
      <c r="C1385" s="14" t="str">
        <f>IFERROR(__xludf.DUMMYFUNCTION("""COMPUTED_VALUE"""),"УДС")</f>
        <v>УДС</v>
      </c>
      <c r="D1385" s="6" t="str">
        <f>IFERROR(__xludf.DUMMYFUNCTION("""COMPUTED_VALUE"""),"да")</f>
        <v>да</v>
      </c>
      <c r="E1385" s="14" t="str">
        <f>IFERROR(__xludf.DUMMYFUNCTION("""COMPUTED_VALUE"""),"Мероприятия по  развитию  территории   набережной Москвы-реки от желзнодорожного моста Курского направления Московоской  железной дороги до Братеевского каскадного парка ")</f>
        <v>Мероприятия по  развитию  территории   набережной Москвы-реки от желзнодорожного моста Курского направления Московоской  железной дороги до Братеевского каскадного парка </v>
      </c>
      <c r="F1385" s="25" t="str">
        <f>IFERROR(__xludf.DUMMYFUNCTION("""COMPUTED_VALUE"""),"#N/A")</f>
        <v>#N/A</v>
      </c>
      <c r="G1385" s="6" t="str">
        <f>IFERROR(__xludf.DUMMYFUNCTION("""COMPUTED_VALUE"""),"#N/A")</f>
        <v>#N/A</v>
      </c>
      <c r="H1385" s="6"/>
      <c r="I1385" s="6"/>
      <c r="J1385" s="50"/>
      <c r="K1385" s="58"/>
      <c r="L1385" s="6">
        <v>30.0</v>
      </c>
      <c r="M1385" s="52" t="s">
        <v>655</v>
      </c>
      <c r="N1385" s="53" t="s">
        <v>698</v>
      </c>
      <c r="O1385" s="6"/>
      <c r="P1385" s="6"/>
      <c r="Q1385" s="6"/>
      <c r="R1385" s="6"/>
    </row>
    <row r="1386">
      <c r="A1386" s="31" t="str">
        <f>IFERROR(__xludf.DUMMYFUNCTION("""COMPUTED_VALUE"""),"1284")</f>
        <v>1284</v>
      </c>
      <c r="B1386" s="14" t="str">
        <f>IFERROR(__xludf.DUMMYFUNCTION("""COMPUTED_VALUE"""),"ВНЕ СПИСКА")</f>
        <v>ВНЕ СПИСКА</v>
      </c>
      <c r="C1386" s="14" t="str">
        <f>IFERROR(__xludf.DUMMYFUNCTION("""COMPUTED_VALUE"""),"ОКС")</f>
        <v>ОКС</v>
      </c>
      <c r="D1386" s="6" t="str">
        <f>IFERROR(__xludf.DUMMYFUNCTION("""COMPUTED_VALUE"""),"да")</f>
        <v>да</v>
      </c>
      <c r="E1386" s="14" t="str">
        <f>IFERROR(__xludf.DUMMYFUNCTION("""COMPUTED_VALUE"""),"Открытие завода крупномодульного домостроения ООО «Комбинат Инновационных Технологий – МонАрх» («Технополис модульного домостроения (завод по производству крупногабаритных модулей (квартир)» Этап 4. Строительство завода крупномодульного домостроения, скла"&amp;"да готовой продукции, бетоносмесительного узла, лаборатории) район Марушкинское, ОНО «ОПХ «Толстопальцево», к.н. 50:26:0170908:16")</f>
        <v>Открытие завода крупномодульного домостроения ООО «Комбинат Инновационных Технологий – МонАрх» («Технополис модульного домостроения (завод по производству крупногабаритных модулей (квартир)» Этап 4. Строительство завода крупномодульного домостроения, склада готовой продукции, бетоносмесительного узла, лаборатории) район Марушкинское, ОНО «ОПХ «Толстопальцево», к.н. 50:26:0170908:16</v>
      </c>
      <c r="F1386" s="25" t="str">
        <f>IFERROR(__xludf.DUMMYFUNCTION("""COMPUTED_VALUE"""),"#N/A")</f>
        <v>#N/A</v>
      </c>
      <c r="G1386" s="6" t="str">
        <f>IFERROR(__xludf.DUMMYFUNCTION("""COMPUTED_VALUE"""),"#N/A")</f>
        <v>#N/A</v>
      </c>
      <c r="H1386" s="18" t="str">
        <f>IFERROR(__xludf.DUMMYFUNCTION("""COMPUTED_VALUE"""),"https://docs.google.com/spreadsheets/d/1EI7qusa674eJhuaw-nWWtWMEHVSYMQv7HLsInEZTWpE/edit?gid=481612285#gid=481612285")</f>
        <v>https://docs.google.com/spreadsheets/d/1EI7qusa674eJhuaw-nWWtWMEHVSYMQv7HLsInEZTWpE/edit?gid=481612285#gid=481612285</v>
      </c>
      <c r="I1386" s="6"/>
      <c r="J1386" s="50">
        <f>IFERROR(__xludf.DUMMYFUNCTION("""COMPUTED_VALUE"""),99.78521500000001)</f>
        <v>99.785215</v>
      </c>
      <c r="K1386" s="58">
        <f>IFERROR(__xludf.DUMMYFUNCTION("""COMPUTED_VALUE"""),45936.0)</f>
        <v>45936</v>
      </c>
      <c r="L1386" s="6">
        <v>7.0</v>
      </c>
      <c r="M1386" s="52">
        <v>45943.0</v>
      </c>
      <c r="N1386" s="53" t="s">
        <v>668</v>
      </c>
      <c r="O1386" s="6" t="s">
        <v>1396</v>
      </c>
      <c r="P1386" s="6"/>
      <c r="Q1386" s="6"/>
      <c r="R1386" s="6"/>
    </row>
    <row r="1387">
      <c r="A1387" s="31" t="str">
        <f>IFERROR(__xludf.DUMMYFUNCTION("""COMPUTED_VALUE"""),"1285")</f>
        <v>1285</v>
      </c>
      <c r="B1387" s="14" t="str">
        <f>IFERROR(__xludf.DUMMYFUNCTION("""COMPUTED_VALUE"""),"ВНЕ СПИСКА")</f>
        <v>ВНЕ СПИСКА</v>
      </c>
      <c r="C1387" s="14" t="str">
        <f>IFERROR(__xludf.DUMMYFUNCTION("""COMPUTED_VALUE"""),"ОКС")</f>
        <v>ОКС</v>
      </c>
      <c r="D1387" s="6"/>
      <c r="E1387" s="14" t="str">
        <f>IFERROR(__xludf.DUMMYFUNCTION("""COMPUTED_VALUE"""),"Ремонтно-восстановительные работы по восстановлению прочностных и эксплуатационных характеристик стилобатной части с балюстрадой комплекса Храма Христа Спасителя по адресу: ул. Волхонка, д.15 (1) ВОЛХОНКА УЛ., Д.15")</f>
        <v>Ремонтно-восстановительные работы по восстановлению прочностных и эксплуатационных характеристик стилобатной части с балюстрадой комплекса Храма Христа Спасителя по адресу: ул. Волхонка, д.15 (1) ВОЛХОНКА УЛ., Д.15</v>
      </c>
      <c r="F1387" s="25" t="str">
        <f>IFERROR(__xludf.DUMMYFUNCTION("""COMPUTED_VALUE"""),"55.744585")</f>
        <v>55.744585</v>
      </c>
      <c r="G1387" s="6" t="str">
        <f>IFERROR(__xludf.DUMMYFUNCTION("""COMPUTED_VALUE"""),"37.604712")</f>
        <v>37.604712</v>
      </c>
      <c r="H1387" s="18" t="str">
        <f>IFERROR(__xludf.DUMMYFUNCTION("""COMPUTED_VALUE"""),"https://docs.google.com/spreadsheets/d/1EI7qusa674eJhuaw-nWWtWMEHVSYMQv7HLsInEZTWpE/edit?gid=1944955293#gid=1944955293")</f>
        <v>https://docs.google.com/spreadsheets/d/1EI7qusa674eJhuaw-nWWtWMEHVSYMQv7HLsInEZTWpE/edit?gid=1944955293#gid=1944955293</v>
      </c>
      <c r="I1387" s="21" t="str">
        <f>IFERROR(__xludf.DUMMYFUNCTION("""COMPUTED_VALUE"""),"https://disk.yandex.ru/d/BmVvbN_-KVryzA")</f>
        <v>https://disk.yandex.ru/d/BmVvbN_-KVryzA</v>
      </c>
      <c r="J1387" s="50">
        <f>IFERROR(__xludf.DUMMYFUNCTION("""COMPUTED_VALUE"""),99.475)</f>
        <v>99.475</v>
      </c>
      <c r="K1387" s="58">
        <f>IFERROR(__xludf.DUMMYFUNCTION("""COMPUTED_VALUE"""),45972.0)</f>
        <v>45972</v>
      </c>
      <c r="L1387" s="6">
        <v>7.0</v>
      </c>
      <c r="M1387" s="52">
        <v>45979.0</v>
      </c>
      <c r="N1387" s="53" t="s">
        <v>692</v>
      </c>
      <c r="O1387" s="19" t="s">
        <v>1397</v>
      </c>
      <c r="P1387" s="6"/>
      <c r="Q1387" s="6"/>
      <c r="R1387" s="6"/>
    </row>
    <row r="1388">
      <c r="A1388" s="31" t="str">
        <f>IFERROR(__xludf.DUMMYFUNCTION("""COMPUTED_VALUE"""),"002")</f>
        <v>002</v>
      </c>
      <c r="B1388" s="14" t="str">
        <f>IFERROR(__xludf.DUMMYFUNCTION("""COMPUTED_VALUE"""),"ДРНТ")</f>
        <v>ДРНТ</v>
      </c>
      <c r="C1388" s="14" t="str">
        <f>IFERROR(__xludf.DUMMYFUNCTION("""COMPUTED_VALUE"""),"ОКС")</f>
        <v>ОКС</v>
      </c>
      <c r="D1388" s="6"/>
      <c r="E1388" s="14" t="str">
        <f>IFERROR(__xludf.DUMMYFUNCTION("""COMPUTED_VALUE"""),"Выполнение подрядных работ по завершению строительства на объекте: «Пожарное депо на 4 машиноместа, пос. Рязановское» пос. Рязановсккое")</f>
        <v>Выполнение подрядных работ по завершению строительства на объекте: «Пожарное депо на 4 машиноместа, пос. Рязановское» пос. Рязановсккое</v>
      </c>
      <c r="F1388" s="25" t="str">
        <f>IFERROR(__xludf.DUMMYFUNCTION("""COMPUTED_VALUE"""),"#N/A")</f>
        <v>#N/A</v>
      </c>
      <c r="G1388" s="6" t="str">
        <f>IFERROR(__xludf.DUMMYFUNCTION("""COMPUTED_VALUE"""),"#N/A")</f>
        <v>#N/A</v>
      </c>
      <c r="H1388" s="18" t="str">
        <f>IFERROR(__xludf.DUMMYFUNCTION("""COMPUTED_VALUE"""),"https://docs.google.com/spreadsheets/d/19THEBTE9q0fhN2eApZr6BgenIvLGh0AckaYxHQfHk5w/edit?gid=555355320#gid=555355320")</f>
        <v>https://docs.google.com/spreadsheets/d/19THEBTE9q0fhN2eApZr6BgenIvLGh0AckaYxHQfHk5w/edit?gid=555355320#gid=555355320</v>
      </c>
      <c r="I1388" s="19"/>
      <c r="J1388" s="50">
        <f>IFERROR(__xludf.DUMMYFUNCTION("""COMPUTED_VALUE"""),99.97749999999999)</f>
        <v>99.9775</v>
      </c>
      <c r="K1388" s="58">
        <f>IFERROR(__xludf.DUMMYFUNCTION("""COMPUTED_VALUE"""),45923.0)</f>
        <v>45923</v>
      </c>
      <c r="L1388" s="6">
        <v>7.0</v>
      </c>
      <c r="M1388" s="52">
        <v>45930.0</v>
      </c>
      <c r="N1388" s="53" t="s">
        <v>652</v>
      </c>
      <c r="O1388" s="19" t="s">
        <v>1398</v>
      </c>
      <c r="P1388" s="6"/>
      <c r="Q1388" s="6"/>
      <c r="R1388" s="6"/>
    </row>
    <row r="1389">
      <c r="A1389" s="31" t="str">
        <f>IFERROR(__xludf.DUMMYFUNCTION("""COMPUTED_VALUE"""),"1280")</f>
        <v>1280</v>
      </c>
      <c r="B1389" s="14" t="str">
        <f>IFERROR(__xludf.DUMMYFUNCTION("""COMPUTED_VALUE"""),"ВНЕ СПИСКА")</f>
        <v>ВНЕ СПИСКА</v>
      </c>
      <c r="C1389" s="14" t="str">
        <f>IFERROR(__xludf.DUMMYFUNCTION("""COMPUTED_VALUE"""),"ОКС")</f>
        <v>ОКС</v>
      </c>
      <c r="D1389" s="6" t="str">
        <f>IFERROR(__xludf.DUMMYFUNCTION("""COMPUTED_VALUE"""),"да")</f>
        <v>да</v>
      </c>
      <c r="E1389" s="14" t="str">
        <f>IFERROR(__xludf.DUMMYFUNCTION("""COMPUTED_VALUE"""),"Круглогодичный водный комплекс отдыха и развлечений (ГК Регионы). Бассейновый комплекс с инфраструктурой, СПА комплекс, банные дома, футбольная Академия ")</f>
        <v>Круглогодичный водный комплекс отдыха и развлечений (ГК Регионы). Бассейновый комплекс с инфраструктурой, СПА комплекс, банные дома, футбольная Академия </v>
      </c>
      <c r="F1389" s="25" t="str">
        <f>IFERROR(__xludf.DUMMYFUNCTION("""COMPUTED_VALUE"""),"55.748698")</f>
        <v>55.748698</v>
      </c>
      <c r="G1389" s="6" t="str">
        <f>IFERROR(__xludf.DUMMYFUNCTION("""COMPUTED_VALUE"""),"37.472151")</f>
        <v>37.472151</v>
      </c>
      <c r="H1389" s="18" t="str">
        <f>IFERROR(__xludf.DUMMYFUNCTION("""COMPUTED_VALUE"""),"https://docs.google.com/spreadsheets/d/1EI7qusa674eJhuaw-nWWtWMEHVSYMQv7HLsInEZTWpE/edit?gid=1395505896#gid=1395505896")</f>
        <v>https://docs.google.com/spreadsheets/d/1EI7qusa674eJhuaw-nWWtWMEHVSYMQv7HLsInEZTWpE/edit?gid=1395505896#gid=1395505896</v>
      </c>
      <c r="I1389" s="19"/>
      <c r="J1389" s="50"/>
      <c r="K1389" s="58">
        <f>IFERROR(__xludf.DUMMYFUNCTION("""COMPUTED_VALUE"""),45937.0)</f>
        <v>45937</v>
      </c>
      <c r="L1389" s="6">
        <v>30.0</v>
      </c>
      <c r="M1389" s="52">
        <v>45967.0</v>
      </c>
      <c r="N1389" s="53" t="s">
        <v>668</v>
      </c>
      <c r="O1389" s="19" t="s">
        <v>1399</v>
      </c>
      <c r="P1389" s="6"/>
      <c r="Q1389" s="6"/>
      <c r="R1389" s="6"/>
    </row>
    <row r="1390">
      <c r="A1390" s="31" t="str">
        <f>IFERROR(__xludf.DUMMYFUNCTION("""COMPUTED_VALUE"""),"1202")</f>
        <v>1202</v>
      </c>
      <c r="B1390" s="14" t="str">
        <f>IFERROR(__xludf.DUMMYFUNCTION("""COMPUTED_VALUE"""),"ВНЕ СПИСКА")</f>
        <v>ВНЕ СПИСКА</v>
      </c>
      <c r="C1390" s="14" t="str">
        <f>IFERROR(__xludf.DUMMYFUNCTION("""COMPUTED_VALUE"""),"ОКС")</f>
        <v>ОКС</v>
      </c>
      <c r="D1390" s="6" t="str">
        <f>IFERROR(__xludf.DUMMYFUNCTION("""COMPUTED_VALUE"""),"да")</f>
        <v>да</v>
      </c>
      <c r="E1390" s="14" t="str">
        <f>IFERROR(__xludf.DUMMYFUNCTION("""COMPUTED_VALUE"""),"Развитие футбольной инфраструктуры ФК ""Спартак Москва"" в Покровско-Стрешнево
Дворец спорта, Стадион
р-н Покровское-Стрешнево ")</f>
        <v>Развитие футбольной инфраструктуры ФК "Спартак Москва" в Покровско-Стрешнево
Дворец спорта, Стадион
р-н Покровское-Стрешнево </v>
      </c>
      <c r="F1390" s="25" t="str">
        <f>IFERROR(__xludf.DUMMYFUNCTION("""COMPUTED_VALUE"""),"55.815362")</f>
        <v>55.815362</v>
      </c>
      <c r="G1390" s="6" t="str">
        <f>IFERROR(__xludf.DUMMYFUNCTION("""COMPUTED_VALUE"""),"37.441073")</f>
        <v>37.441073</v>
      </c>
      <c r="H1390" s="6"/>
      <c r="I1390" s="19"/>
      <c r="J1390" s="50">
        <f>IFERROR(__xludf.DUMMYFUNCTION("""COMPUTED_VALUE"""),0.0)</f>
        <v>0</v>
      </c>
      <c r="K1390" s="58">
        <f>IFERROR(__xludf.DUMMYFUNCTION("""COMPUTED_VALUE"""),45966.0)</f>
        <v>45966</v>
      </c>
      <c r="L1390" s="6">
        <v>30.0</v>
      </c>
      <c r="M1390" s="52">
        <v>45996.0</v>
      </c>
      <c r="N1390" s="53" t="s">
        <v>711</v>
      </c>
      <c r="O1390" s="19" t="s">
        <v>1400</v>
      </c>
      <c r="P1390" s="6"/>
      <c r="Q1390" s="6"/>
      <c r="R1390" s="6"/>
    </row>
    <row r="1391">
      <c r="A1391" s="31" t="str">
        <f>IFERROR(__xludf.DUMMYFUNCTION("""COMPUTED_VALUE"""),"467д")</f>
        <v>467д</v>
      </c>
      <c r="B1391" s="14"/>
      <c r="C1391" s="14" t="str">
        <f>IFERROR(__xludf.DUMMYFUNCTION("""COMPUTED_VALUE"""),"УДС")</f>
        <v>УДС</v>
      </c>
      <c r="D1391" s="6"/>
      <c r="E1391" s="14" t="str">
        <f>IFERROR(__xludf.DUMMYFUNCTION("""COMPUTED_VALUE"""),"Улично-дорожная сеть для транспортного обслуживания территории Южного порта ")</f>
        <v>Улично-дорожная сеть для транспортного обслуживания территории Южного порта </v>
      </c>
      <c r="F1391" s="25" t="str">
        <f>IFERROR(__xludf.DUMMYFUNCTION("""COMPUTED_VALUE"""),"#N/A")</f>
        <v>#N/A</v>
      </c>
      <c r="G1391" s="6" t="str">
        <f>IFERROR(__xludf.DUMMYFUNCTION("""COMPUTED_VALUE"""),"#N/A")</f>
        <v>#N/A</v>
      </c>
      <c r="H1391" s="6"/>
      <c r="I1391" s="19"/>
      <c r="J1391" s="50"/>
      <c r="K1391" s="58"/>
      <c r="L1391" s="6">
        <v>30.0</v>
      </c>
      <c r="M1391" s="52" t="s">
        <v>655</v>
      </c>
      <c r="N1391" s="53" t="s">
        <v>698</v>
      </c>
      <c r="O1391" s="19"/>
      <c r="P1391" s="6"/>
      <c r="Q1391" s="6"/>
      <c r="R1391" s="6"/>
    </row>
    <row r="1392">
      <c r="A1392" s="31" t="str">
        <f>IFERROR(__xludf.DUMMYFUNCTION("""COMPUTED_VALUE"""),"1295")</f>
        <v>1295</v>
      </c>
      <c r="B1392" s="14" t="str">
        <f>IFERROR(__xludf.DUMMYFUNCTION("""COMPUTED_VALUE"""),"ВНЕ СПИСКА")</f>
        <v>ВНЕ СПИСКА</v>
      </c>
      <c r="C1392" s="14" t="str">
        <f>IFERROR(__xludf.DUMMYFUNCTION("""COMPUTED_VALUE"""),"ОКС")</f>
        <v>ОКС</v>
      </c>
      <c r="D1392" s="6" t="str">
        <f>IFERROR(__xludf.DUMMYFUNCTION("""COMPUTED_VALUE"""),"да")</f>
        <v>да</v>
      </c>
      <c r="E1392" s="14" t="str">
        <f>IFERROR(__xludf.DUMMYFUNCTION("""COMPUTED_VALUE"""),"Монумент ""Метростроителям России"" Сокольническая пл., сквер Московского метро")</f>
        <v>Монумент "Метростроителям России" Сокольническая пл., сквер Московского метро</v>
      </c>
      <c r="F1392" s="25" t="str">
        <f>IFERROR(__xludf.DUMMYFUNCTION("""COMPUTED_VALUE"""),"#N/A")</f>
        <v>#N/A</v>
      </c>
      <c r="G1392" s="6" t="str">
        <f>IFERROR(__xludf.DUMMYFUNCTION("""COMPUTED_VALUE"""),"#N/A")</f>
        <v>#N/A</v>
      </c>
      <c r="H1392" s="18" t="str">
        <f>IFERROR(__xludf.DUMMYFUNCTION("""COMPUTED_VALUE"""),"https://docs.google.com/spreadsheets/d/1EI7qusa674eJhuaw-nWWtWMEHVSYMQv7HLsInEZTWpE/edit?gid=1378814711#gid=1378814711")</f>
        <v>https://docs.google.com/spreadsheets/d/1EI7qusa674eJhuaw-nWWtWMEHVSYMQv7HLsInEZTWpE/edit?gid=1378814711#gid=1378814711</v>
      </c>
      <c r="I1392" s="6"/>
      <c r="J1392" s="50"/>
      <c r="K1392" s="58">
        <f>IFERROR(__xludf.DUMMYFUNCTION("""COMPUTED_VALUE"""),45936.0)</f>
        <v>45936</v>
      </c>
      <c r="L1392" s="6">
        <v>30.0</v>
      </c>
      <c r="M1392" s="52">
        <v>45966.0</v>
      </c>
      <c r="N1392" s="53" t="s">
        <v>668</v>
      </c>
      <c r="O1392" s="6" t="s">
        <v>1401</v>
      </c>
      <c r="P1392" s="6"/>
      <c r="Q1392" s="6"/>
      <c r="R1392" s="6"/>
    </row>
    <row r="1393">
      <c r="A1393" s="31" t="str">
        <f>IFERROR(__xludf.DUMMYFUNCTION("""COMPUTED_VALUE"""),"1297")</f>
        <v>1297</v>
      </c>
      <c r="B1393" s="14" t="str">
        <f>IFERROR(__xludf.DUMMYFUNCTION("""COMPUTED_VALUE"""),"ВНЕ СПИСКА")</f>
        <v>ВНЕ СПИСКА</v>
      </c>
      <c r="C1393" s="14" t="str">
        <f>IFERROR(__xludf.DUMMYFUNCTION("""COMPUTED_VALUE"""),"ОКС")</f>
        <v>ОКС</v>
      </c>
      <c r="D1393" s="6" t="str">
        <f>IFERROR(__xludf.DUMMYFUNCTION("""COMPUTED_VALUE"""),"да")</f>
        <v>да</v>
      </c>
      <c r="E1393" s="14" t="str">
        <f>IFERROR(__xludf.DUMMYFUNCTION("""COMPUTED_VALUE"""),"Открытие завода префаб-конструкций ООО «Модуль-555», МО, Ленинский г.о., г. Видное, Белокаменное шоссе, вл. 10/2 ")</f>
        <v>Открытие завода префаб-конструкций ООО «Модуль-555», МО, Ленинский г.о., г. Видное, Белокаменное шоссе, вл. 10/2 </v>
      </c>
      <c r="F1393" s="25" t="str">
        <f>IFERROR(__xludf.DUMMYFUNCTION("""COMPUTED_VALUE"""),"#N/A")</f>
        <v>#N/A</v>
      </c>
      <c r="G1393" s="6" t="str">
        <f>IFERROR(__xludf.DUMMYFUNCTION("""COMPUTED_VALUE"""),"#N/A")</f>
        <v>#N/A</v>
      </c>
      <c r="H1393" s="18" t="str">
        <f>IFERROR(__xludf.DUMMYFUNCTION("""COMPUTED_VALUE"""),"https://docs.google.com/spreadsheets/d/1EI7qusa674eJhuaw-nWWtWMEHVSYMQv7HLsInEZTWpE/edit?gid=532300797#gid=532300797")</f>
        <v>https://docs.google.com/spreadsheets/d/1EI7qusa674eJhuaw-nWWtWMEHVSYMQv7HLsInEZTWpE/edit?gid=532300797#gid=532300797</v>
      </c>
      <c r="I1393" s="19"/>
      <c r="J1393" s="50"/>
      <c r="K1393" s="58">
        <f>IFERROR(__xludf.DUMMYFUNCTION("""COMPUTED_VALUE"""),45936.0)</f>
        <v>45936</v>
      </c>
      <c r="L1393" s="6">
        <v>30.0</v>
      </c>
      <c r="M1393" s="52">
        <v>45966.0</v>
      </c>
      <c r="N1393" s="53" t="s">
        <v>668</v>
      </c>
      <c r="O1393" s="19" t="s">
        <v>1402</v>
      </c>
      <c r="P1393" s="6"/>
      <c r="Q1393" s="6"/>
      <c r="R1393" s="6"/>
    </row>
    <row r="1394">
      <c r="A1394" s="31" t="str">
        <f>IFERROR(__xludf.DUMMYFUNCTION("""COMPUTED_VALUE"""),"1296")</f>
        <v>1296</v>
      </c>
      <c r="B1394" s="14" t="str">
        <f>IFERROR(__xludf.DUMMYFUNCTION("""COMPUTED_VALUE"""),"ВНЕ СПИСКА")</f>
        <v>ВНЕ СПИСКА</v>
      </c>
      <c r="C1394" s="14" t="str">
        <f>IFERROR(__xludf.DUMMYFUNCTION("""COMPUTED_VALUE"""),"ОКС")</f>
        <v>ОКС</v>
      </c>
      <c r="D1394" s="6"/>
      <c r="E1394" s="14" t="str">
        <f>IFERROR(__xludf.DUMMYFUNCTION("""COMPUTED_VALUE"""),"Освобождение территории (снос зданий, строений, сооружений) в целях реализации комплексного развития территории по адресу: Москворечье ул., влд.12  г.Москва, ул. Москворечье, вл.12")</f>
        <v>Освобождение территории (снос зданий, строений, сооружений) в целях реализации комплексного развития территории по адресу: Москворечье ул., влд.12  г.Москва, ул. Москворечье, вл.12</v>
      </c>
      <c r="F1394" s="25" t="str">
        <f>IFERROR(__xludf.DUMMYFUNCTION("""COMPUTED_VALUE"""),"55.643900")</f>
        <v>55.643900</v>
      </c>
      <c r="G1394" s="6" t="str">
        <f>IFERROR(__xludf.DUMMYFUNCTION("""COMPUTED_VALUE"""),"37.664500")</f>
        <v>37.664500</v>
      </c>
      <c r="H1394" s="18" t="str">
        <f>IFERROR(__xludf.DUMMYFUNCTION("""COMPUTED_VALUE"""),"https://docs.google.com/spreadsheets/d/1EI7qusa674eJhuaw-nWWtWMEHVSYMQv7HLsInEZTWpE/edit?gid=259875385#gid=259875385")</f>
        <v>https://docs.google.com/spreadsheets/d/1EI7qusa674eJhuaw-nWWtWMEHVSYMQv7HLsInEZTWpE/edit?gid=259875385#gid=259875385</v>
      </c>
      <c r="I1394" s="21" t="str">
        <f>IFERROR(__xludf.DUMMYFUNCTION("""COMPUTED_VALUE"""),"https://disk.yandex.ru/d/k7Rlj_WUN9ArOQ")</f>
        <v>https://disk.yandex.ru/d/k7Rlj_WUN9ArOQ</v>
      </c>
      <c r="J1394" s="50">
        <f>IFERROR(__xludf.DUMMYFUNCTION("""COMPUTED_VALUE"""),40.0)</f>
        <v>40</v>
      </c>
      <c r="K1394" s="58">
        <f>IFERROR(__xludf.DUMMYFUNCTION("""COMPUTED_VALUE"""),45902.0)</f>
        <v>45902</v>
      </c>
      <c r="L1394" s="6">
        <v>30.0</v>
      </c>
      <c r="M1394" s="52">
        <v>45932.0</v>
      </c>
      <c r="N1394" s="53" t="s">
        <v>668</v>
      </c>
      <c r="O1394" s="19" t="s">
        <v>1403</v>
      </c>
      <c r="P1394" s="6"/>
      <c r="Q1394" s="6"/>
      <c r="R1394" s="6"/>
    </row>
    <row r="1395">
      <c r="A1395" s="31" t="str">
        <f>IFERROR(__xludf.DUMMYFUNCTION("""COMPUTED_VALUE"""),"1298")</f>
        <v>1298</v>
      </c>
      <c r="B1395" s="14" t="str">
        <f>IFERROR(__xludf.DUMMYFUNCTION("""COMPUTED_VALUE"""),"ВНЕ СПИСКА")</f>
        <v>ВНЕ СПИСКА</v>
      </c>
      <c r="C1395" s="14" t="str">
        <f>IFERROR(__xludf.DUMMYFUNCTION("""COMPUTED_VALUE"""),"ОКС")</f>
        <v>ОКС</v>
      </c>
      <c r="D1395" s="6"/>
      <c r="E1395" s="14" t="str">
        <f>IFERROR(__xludf.DUMMYFUNCTION("""COMPUTED_VALUE"""),"«Освобождение территории (снос зданий, строений и сооружений) в целях комплексного развития территории нежилой застройки города Москвы № 62, расположенной в производственной зоне № 21 «Кирпичные улицы» ул. Кирпичная, д. 43 (учреждение)
ул. Кирпичная, д. 4"&amp;"3, строен. 2 (учреждение)
ул. Кирпичная, д. 43, строен. 3 (учреждение)
ул. Кирпичная, д. 43, строен. 4 (учреждение)
ул. Кирпичная, д. 43, строен. 5 (гараж)
ул. Кирпичная, д. 43, строен. 6 (проходная)
ул. Кирпичная, д. 43, строен. 7 (склад)
ул. Кирпичная, "&amp;"д. 43, строен. 8 (склад)")</f>
        <v>«Освобождение территории (снос зданий, строений и сооружений) в целях комплексного развития территории нежилой застройки города Москвы № 62, расположенной в производственной зоне № 21 «Кирпичные улицы» ул. Кирпичная, д. 43 (учреждение)
ул. Кирпичная, д. 43, строен. 2 (учреждение)
ул. Кирпичная, д. 43, строен. 3 (учреждение)
ул. Кирпичная, д. 43, строен. 4 (учреждение)
ул. Кирпичная, д. 43, строен. 5 (гараж)
ул. Кирпичная, д. 43, строен. 6 (проходная)
ул. Кирпичная, д. 43, строен. 7 (склад)
ул. Кирпичная, д. 43, строен. 8 (склад)</v>
      </c>
      <c r="F1395" s="25" t="str">
        <f>IFERROR(__xludf.DUMMYFUNCTION("""COMPUTED_VALUE"""),"#N/A")</f>
        <v>#N/A</v>
      </c>
      <c r="G1395" s="6" t="str">
        <f>IFERROR(__xludf.DUMMYFUNCTION("""COMPUTED_VALUE"""),"#N/A")</f>
        <v>#N/A</v>
      </c>
      <c r="H1395" s="18" t="str">
        <f>IFERROR(__xludf.DUMMYFUNCTION("""COMPUTED_VALUE"""),"https://docs.google.com/spreadsheets/d/1EI7qusa674eJhuaw-nWWtWMEHVSYMQv7HLsInEZTWpE/edit?gid=1779752983#gid=1779752983")</f>
        <v>https://docs.google.com/spreadsheets/d/1EI7qusa674eJhuaw-nWWtWMEHVSYMQv7HLsInEZTWpE/edit?gid=1779752983#gid=1779752983</v>
      </c>
      <c r="I1395" s="19"/>
      <c r="J1395" s="50">
        <f>IFERROR(__xludf.DUMMYFUNCTION("""COMPUTED_VALUE"""),40.0)</f>
        <v>40</v>
      </c>
      <c r="K1395" s="58">
        <f>IFERROR(__xludf.DUMMYFUNCTION("""COMPUTED_VALUE"""),45902.0)</f>
        <v>45902</v>
      </c>
      <c r="L1395" s="6">
        <v>30.0</v>
      </c>
      <c r="M1395" s="52">
        <v>45932.0</v>
      </c>
      <c r="N1395" s="53" t="s">
        <v>668</v>
      </c>
      <c r="O1395" s="19" t="s">
        <v>1404</v>
      </c>
      <c r="P1395" s="6"/>
      <c r="Q1395" s="6"/>
      <c r="R1395" s="6"/>
    </row>
    <row r="1396">
      <c r="A1396" s="31" t="str">
        <f>IFERROR(__xludf.DUMMYFUNCTION("""COMPUTED_VALUE"""),"470д")</f>
        <v>470д</v>
      </c>
      <c r="B1396" s="14" t="str">
        <f>IFERROR(__xludf.DUMMYFUNCTION("""COMPUTED_VALUE"""),"ДСТИ")</f>
        <v>ДСТИ</v>
      </c>
      <c r="C1396" s="14" t="str">
        <f>IFERROR(__xludf.DUMMYFUNCTION("""COMPUTED_VALUE"""),"УДС")</f>
        <v>УДС</v>
      </c>
      <c r="D1396" s="6"/>
      <c r="E1396" s="14" t="str">
        <f>IFERROR(__xludf.DUMMYFUNCTION("""COMPUTED_VALUE"""),"Строительство и благоустройство участка набережной Москвы-реки в нагатинской пойме ")</f>
        <v>Строительство и благоустройство участка набережной Москвы-реки в нагатинской пойме </v>
      </c>
      <c r="F1396" s="25" t="str">
        <f>IFERROR(__xludf.DUMMYFUNCTION("""COMPUTED_VALUE"""),"#N/A")</f>
        <v>#N/A</v>
      </c>
      <c r="G1396" s="6" t="str">
        <f>IFERROR(__xludf.DUMMYFUNCTION("""COMPUTED_VALUE"""),"#N/A")</f>
        <v>#N/A</v>
      </c>
      <c r="H1396" s="6"/>
      <c r="I1396" s="19"/>
      <c r="J1396" s="50"/>
      <c r="K1396" s="58"/>
      <c r="L1396" s="6">
        <v>30.0</v>
      </c>
      <c r="M1396" s="52" t="s">
        <v>655</v>
      </c>
      <c r="N1396" s="53" t="s">
        <v>698</v>
      </c>
      <c r="O1396" s="19"/>
      <c r="P1396" s="6"/>
      <c r="Q1396" s="6"/>
      <c r="R1396" s="6"/>
    </row>
    <row r="1397">
      <c r="A1397" s="31" t="str">
        <f>IFERROR(__xludf.DUMMYFUNCTION("""COMPUTED_VALUE"""),"468д")</f>
        <v>468д</v>
      </c>
      <c r="B1397" s="14" t="str">
        <f>IFERROR(__xludf.DUMMYFUNCTION("""COMPUTED_VALUE"""),"ДСТИ")</f>
        <v>ДСТИ</v>
      </c>
      <c r="C1397" s="14" t="str">
        <f>IFERROR(__xludf.DUMMYFUNCTION("""COMPUTED_VALUE"""),"УДС")</f>
        <v>УДС</v>
      </c>
      <c r="D1397" s="6"/>
      <c r="E1397" s="14" t="str">
        <f>IFERROR(__xludf.DUMMYFUNCTION("""COMPUTED_VALUE"""),"Эстакады-съезда к ЖК «Will Towers» в рамках реконструкции  участка Мосфильмовской улицы с ее продлением от Минской улицы  до Аминьевского шоссе ")</f>
        <v>Эстакады-съезда к ЖК «Will Towers» в рамках реконструкции  участка Мосфильмовской улицы с ее продлением от Минской улицы  до Аминьевского шоссе </v>
      </c>
      <c r="F1397" s="25" t="str">
        <f>IFERROR(__xludf.DUMMYFUNCTION("""COMPUTED_VALUE"""),"#N/A")</f>
        <v>#N/A</v>
      </c>
      <c r="G1397" s="6" t="str">
        <f>IFERROR(__xludf.DUMMYFUNCTION("""COMPUTED_VALUE"""),"#N/A")</f>
        <v>#N/A</v>
      </c>
      <c r="H1397" s="6"/>
      <c r="I1397" s="6"/>
      <c r="J1397" s="50"/>
      <c r="K1397" s="58"/>
      <c r="L1397" s="6">
        <v>30.0</v>
      </c>
      <c r="M1397" s="52" t="s">
        <v>655</v>
      </c>
      <c r="N1397" s="53" t="s">
        <v>698</v>
      </c>
      <c r="O1397" s="6"/>
      <c r="P1397" s="6"/>
      <c r="Q1397" s="6"/>
      <c r="R1397" s="6"/>
    </row>
    <row r="1398">
      <c r="A1398" s="31" t="str">
        <f>IFERROR(__xludf.DUMMYFUNCTION("""COMPUTED_VALUE"""),"469д")</f>
        <v>469д</v>
      </c>
      <c r="B1398" s="14" t="str">
        <f>IFERROR(__xludf.DUMMYFUNCTION("""COMPUTED_VALUE"""),"ДСТИ")</f>
        <v>ДСТИ</v>
      </c>
      <c r="C1398" s="14" t="str">
        <f>IFERROR(__xludf.DUMMYFUNCTION("""COMPUTED_VALUE"""),"УДС")</f>
        <v>УДС</v>
      </c>
      <c r="D1398" s="6"/>
      <c r="E1398" s="14" t="str">
        <f>IFERROR(__xludf.DUMMYFUNCTION("""COMPUTED_VALUE"""),"Направленный съезд от ЖК «West Garden» на проспект  Генерала Дорохова в сторону МКАД в рамках строительства Южного  дублера Кутузовского проспекта ")</f>
        <v>Направленный съезд от ЖК «West Garden» на проспект  Генерала Дорохова в сторону МКАД в рамках строительства Южного  дублера Кутузовского проспекта </v>
      </c>
      <c r="F1398" s="25" t="str">
        <f>IFERROR(__xludf.DUMMYFUNCTION("""COMPUTED_VALUE"""),"#N/A")</f>
        <v>#N/A</v>
      </c>
      <c r="G1398" s="6" t="str">
        <f>IFERROR(__xludf.DUMMYFUNCTION("""COMPUTED_VALUE"""),"#N/A")</f>
        <v>#N/A</v>
      </c>
      <c r="H1398" s="6"/>
      <c r="I1398" s="6"/>
      <c r="J1398" s="50"/>
      <c r="K1398" s="58"/>
      <c r="L1398" s="6">
        <v>30.0</v>
      </c>
      <c r="M1398" s="52" t="s">
        <v>655</v>
      </c>
      <c r="N1398" s="53" t="s">
        <v>698</v>
      </c>
      <c r="O1398" s="6"/>
      <c r="P1398" s="6"/>
      <c r="Q1398" s="6"/>
      <c r="R1398" s="6"/>
    </row>
    <row r="1399">
      <c r="A1399" s="31" t="str">
        <f>IFERROR(__xludf.DUMMYFUNCTION("""COMPUTED_VALUE"""),"нд")</f>
        <v>нд</v>
      </c>
      <c r="B1399" s="14"/>
      <c r="C1399" s="14" t="str">
        <f>IFERROR(__xludf.DUMMYFUNCTION("""COMPUTED_VALUE"""),"ОКС")</f>
        <v>ОКС</v>
      </c>
      <c r="D1399" s="6" t="str">
        <f>IFERROR(__xludf.DUMMYFUNCTION("""COMPUTED_VALUE"""),"да")</f>
        <v>да</v>
      </c>
      <c r="E1399" s="14" t="str">
        <f>IFERROR(__xludf.DUMMYFUNCTION("""COMPUTED_VALUE"""),"Строительство спального корпуса с медицинским блоком на территории ФГБУ «Санаторий РОП РФ «Россия» Республика Крым, г. Ялта, ул. Коммунаров, д. 12")</f>
        <v>Строительство спального корпуса с медицинским блоком на территории ФГБУ «Санаторий РОП РФ «Россия» Республика Крым, г. Ялта, ул. Коммунаров, д. 12</v>
      </c>
      <c r="F1399" s="25" t="str">
        <f>IFERROR(__xludf.DUMMYFUNCTION("""COMPUTED_VALUE"""),"#N/A")</f>
        <v>#N/A</v>
      </c>
      <c r="G1399" s="6" t="str">
        <f>IFERROR(__xludf.DUMMYFUNCTION("""COMPUTED_VALUE"""),"#N/A")</f>
        <v>#N/A</v>
      </c>
      <c r="H1399" s="6"/>
      <c r="I1399" s="6"/>
      <c r="J1399" s="50"/>
      <c r="K1399" s="58"/>
      <c r="L1399" s="6">
        <v>30.0</v>
      </c>
      <c r="M1399" s="52" t="s">
        <v>655</v>
      </c>
      <c r="N1399" s="53" t="s">
        <v>698</v>
      </c>
      <c r="O1399" s="6" t="s">
        <v>1405</v>
      </c>
      <c r="P1399" s="6"/>
      <c r="Q1399" s="6"/>
      <c r="R1399" s="6"/>
    </row>
    <row r="1400">
      <c r="A1400" s="31" t="str">
        <f>IFERROR(__xludf.DUMMYFUNCTION("""COMPUTED_VALUE"""),"1302")</f>
        <v>1302</v>
      </c>
      <c r="B1400" s="14" t="str">
        <f>IFERROR(__xludf.DUMMYFUNCTION("""COMPUTED_VALUE"""),"ВНЕ СПИСКА")</f>
        <v>ВНЕ СПИСКА</v>
      </c>
      <c r="C1400" s="14" t="str">
        <f>IFERROR(__xludf.DUMMYFUNCTION("""COMPUTED_VALUE"""),"ОКС")</f>
        <v>ОКС</v>
      </c>
      <c r="D1400" s="6"/>
      <c r="E1400" s="14" t="str">
        <f>IFERROR(__xludf.DUMMYFUNCTION("""COMPUTED_VALUE"""),"Подстанция скорой медицинской помощи р-н Ивановское, ул. Прокатная, влд. 4")</f>
        <v>Подстанция скорой медицинской помощи р-н Ивановское, ул. Прокатная, влд. 4</v>
      </c>
      <c r="F1400" s="25" t="str">
        <f>IFERROR(__xludf.DUMMYFUNCTION("""COMPUTED_VALUE"""),"#N/A")</f>
        <v>#N/A</v>
      </c>
      <c r="G1400" s="6" t="str">
        <f>IFERROR(__xludf.DUMMYFUNCTION("""COMPUTED_VALUE"""),"#N/A")</f>
        <v>#N/A</v>
      </c>
      <c r="H1400" s="18" t="str">
        <f>IFERROR(__xludf.DUMMYFUNCTION("""COMPUTED_VALUE"""),"https://docs.google.com/spreadsheets/d/1EI7qusa674eJhuaw-nWWtWMEHVSYMQv7HLsInEZTWpE/edit?gid=255205459#gid=255205459")</f>
        <v>https://docs.google.com/spreadsheets/d/1EI7qusa674eJhuaw-nWWtWMEHVSYMQv7HLsInEZTWpE/edit?gid=255205459#gid=255205459</v>
      </c>
      <c r="I1400" s="19"/>
      <c r="J1400" s="50">
        <f>IFERROR(__xludf.DUMMYFUNCTION("""COMPUTED_VALUE"""),0.0)</f>
        <v>0</v>
      </c>
      <c r="K1400" s="58">
        <f>IFERROR(__xludf.DUMMYFUNCTION("""COMPUTED_VALUE"""),45912.0)</f>
        <v>45912</v>
      </c>
      <c r="L1400" s="6">
        <v>30.0</v>
      </c>
      <c r="M1400" s="52">
        <v>45942.0</v>
      </c>
      <c r="N1400" s="53" t="s">
        <v>668</v>
      </c>
      <c r="O1400" s="19" t="s">
        <v>1406</v>
      </c>
      <c r="P1400" s="6"/>
      <c r="Q1400" s="6"/>
      <c r="R1400" s="6"/>
    </row>
    <row r="1401">
      <c r="A1401" s="31" t="str">
        <f>IFERROR(__xludf.DUMMYFUNCTION("""COMPUTED_VALUE"""),"1300")</f>
        <v>1300</v>
      </c>
      <c r="B1401" s="14" t="str">
        <f>IFERROR(__xludf.DUMMYFUNCTION("""COMPUTED_VALUE"""),"ВНЕ СПИСКА")</f>
        <v>ВНЕ СПИСКА</v>
      </c>
      <c r="C1401" s="14" t="str">
        <f>IFERROR(__xludf.DUMMYFUNCTION("""COMPUTED_VALUE"""),"ОКС")</f>
        <v>ОКС</v>
      </c>
      <c r="D1401" s="6" t="str">
        <f>IFERROR(__xludf.DUMMYFUNCTION("""COMPUTED_VALUE"""),"да")</f>
        <v>да</v>
      </c>
      <c r="E1401" s="14" t="str">
        <f>IFERROR(__xludf.DUMMYFUNCTION("""COMPUTED_VALUE"""),"Новый корпус ГБУЗ ММКЦ ""Коммунарка"" ДЗМ"" ")</f>
        <v>Новый корпус ГБУЗ ММКЦ "Коммунарка" ДЗМ" </v>
      </c>
      <c r="F1401" s="25" t="str">
        <f>IFERROR(__xludf.DUMMYFUNCTION("""COMPUTED_VALUE"""),"#N/A")</f>
        <v>#N/A</v>
      </c>
      <c r="G1401" s="6" t="str">
        <f>IFERROR(__xludf.DUMMYFUNCTION("""COMPUTED_VALUE"""),"#N/A")</f>
        <v>#N/A</v>
      </c>
      <c r="H1401" s="18" t="str">
        <f>IFERROR(__xludf.DUMMYFUNCTION("""COMPUTED_VALUE"""),"https://docs.google.com/spreadsheets/d/1EI7qusa674eJhuaw-nWWtWMEHVSYMQv7HLsInEZTWpE/edit?gid=254963674#gid=254963674")</f>
        <v>https://docs.google.com/spreadsheets/d/1EI7qusa674eJhuaw-nWWtWMEHVSYMQv7HLsInEZTWpE/edit?gid=254963674#gid=254963674</v>
      </c>
      <c r="I1401" s="19"/>
      <c r="J1401" s="50"/>
      <c r="K1401" s="58">
        <f>IFERROR(__xludf.DUMMYFUNCTION("""COMPUTED_VALUE"""),45912.0)</f>
        <v>45912</v>
      </c>
      <c r="L1401" s="6">
        <v>30.0</v>
      </c>
      <c r="M1401" s="52">
        <v>45942.0</v>
      </c>
      <c r="N1401" s="53" t="s">
        <v>668</v>
      </c>
      <c r="O1401" s="19"/>
      <c r="P1401" s="6"/>
      <c r="Q1401" s="6"/>
      <c r="R1401" s="6"/>
    </row>
    <row r="1402">
      <c r="A1402" s="31" t="str">
        <f>IFERROR(__xludf.DUMMYFUNCTION("""COMPUTED_VALUE"""),"1303")</f>
        <v>1303</v>
      </c>
      <c r="B1402" s="14" t="str">
        <f>IFERROR(__xludf.DUMMYFUNCTION("""COMPUTED_VALUE"""),"ВНЕ СПИСКА")</f>
        <v>ВНЕ СПИСКА</v>
      </c>
      <c r="C1402" s="14" t="str">
        <f>IFERROR(__xludf.DUMMYFUNCTION("""COMPUTED_VALUE"""),"ОКС")</f>
        <v>ОКС</v>
      </c>
      <c r="D1402" s="6" t="str">
        <f>IFERROR(__xludf.DUMMYFUNCTION("""COMPUTED_VALUE"""),"да")</f>
        <v>да</v>
      </c>
      <c r="E1402" s="14" t="str">
        <f>IFERROR(__xludf.DUMMYFUNCTION("""COMPUTED_VALUE"""),"Осмотр итогов строительства ЖК Событие-4.1, ЗАО, р-н Раменки между ул. Лобачевского и платформой ""Матвеевское""")</f>
        <v>Осмотр итогов строительства ЖК Событие-4.1, ЗАО, р-н Раменки между ул. Лобачевского и платформой "Матвеевское"</v>
      </c>
      <c r="F1402" s="25" t="str">
        <f>IFERROR(__xludf.DUMMYFUNCTION("""COMPUTED_VALUE"""),"#N/A")</f>
        <v>#N/A</v>
      </c>
      <c r="G1402" s="6" t="str">
        <f>IFERROR(__xludf.DUMMYFUNCTION("""COMPUTED_VALUE"""),"#N/A")</f>
        <v>#N/A</v>
      </c>
      <c r="H1402" s="18" t="str">
        <f>IFERROR(__xludf.DUMMYFUNCTION("""COMPUTED_VALUE"""),"https://docs.google.com/spreadsheets/d/1EI7qusa674eJhuaw-nWWtWMEHVSYMQv7HLsInEZTWpE/edit?gid=2138110336#gid=2138110336")</f>
        <v>https://docs.google.com/spreadsheets/d/1EI7qusa674eJhuaw-nWWtWMEHVSYMQv7HLsInEZTWpE/edit?gid=2138110336#gid=2138110336</v>
      </c>
      <c r="I1402" s="19"/>
      <c r="J1402" s="50"/>
      <c r="K1402" s="58">
        <f>IFERROR(__xludf.DUMMYFUNCTION("""COMPUTED_VALUE"""),45930.0)</f>
        <v>45930</v>
      </c>
      <c r="L1402" s="6">
        <v>30.0</v>
      </c>
      <c r="M1402" s="52">
        <v>45960.0</v>
      </c>
      <c r="N1402" s="53" t="s">
        <v>668</v>
      </c>
      <c r="O1402" s="19" t="s">
        <v>1407</v>
      </c>
      <c r="P1402" s="6"/>
      <c r="Q1402" s="6"/>
      <c r="R1402" s="6"/>
    </row>
    <row r="1403">
      <c r="A1403" s="31" t="str">
        <f>IFERROR(__xludf.DUMMYFUNCTION("""COMPUTED_VALUE"""),"1304")</f>
        <v>1304</v>
      </c>
      <c r="B1403" s="14" t="str">
        <f>IFERROR(__xludf.DUMMYFUNCTION("""COMPUTED_VALUE"""),"ВНЕ СПИСКА")</f>
        <v>ВНЕ СПИСКА</v>
      </c>
      <c r="C1403" s="14" t="str">
        <f>IFERROR(__xludf.DUMMYFUNCTION("""COMPUTED_VALUE"""),"ОКС")</f>
        <v>ОКС</v>
      </c>
      <c r="D1403" s="6" t="str">
        <f>IFERROR(__xludf.DUMMYFUNCTION("""COMPUTED_VALUE"""),"да")</f>
        <v>да</v>
      </c>
      <c r="E1403" s="14" t="str">
        <f>IFERROR(__xludf.DUMMYFUNCTION("""COMPUTED_VALUE"""),"Осмотр хода строительства ЖК Событие-4.2, ЗАО, р-н Раменки  между ул. Лобачевского и платформой ""Матвеевское""")</f>
        <v>Осмотр хода строительства ЖК Событие-4.2, ЗАО, р-н Раменки  между ул. Лобачевского и платформой "Матвеевское"</v>
      </c>
      <c r="F1403" s="25" t="str">
        <f>IFERROR(__xludf.DUMMYFUNCTION("""COMPUTED_VALUE"""),"#N/A")</f>
        <v>#N/A</v>
      </c>
      <c r="G1403" s="6" t="str">
        <f>IFERROR(__xludf.DUMMYFUNCTION("""COMPUTED_VALUE"""),"#N/A")</f>
        <v>#N/A</v>
      </c>
      <c r="H1403" s="18" t="str">
        <f>IFERROR(__xludf.DUMMYFUNCTION("""COMPUTED_VALUE"""),"https://docs.google.com/spreadsheets/d/1EI7qusa674eJhuaw-nWWtWMEHVSYMQv7HLsInEZTWpE/edit?gid=1064274892#gid=1064274892")</f>
        <v>https://docs.google.com/spreadsheets/d/1EI7qusa674eJhuaw-nWWtWMEHVSYMQv7HLsInEZTWpE/edit?gid=1064274892#gid=1064274892</v>
      </c>
      <c r="I1403" s="19"/>
      <c r="J1403" s="50"/>
      <c r="K1403" s="58">
        <f>IFERROR(__xludf.DUMMYFUNCTION("""COMPUTED_VALUE"""),45930.0)</f>
        <v>45930</v>
      </c>
      <c r="L1403" s="6">
        <v>30.0</v>
      </c>
      <c r="M1403" s="52">
        <v>45960.0</v>
      </c>
      <c r="N1403" s="53" t="s">
        <v>668</v>
      </c>
      <c r="O1403" s="19" t="s">
        <v>1408</v>
      </c>
      <c r="P1403" s="6"/>
      <c r="Q1403" s="6"/>
      <c r="R1403" s="6"/>
    </row>
    <row r="1404">
      <c r="A1404" s="31" t="str">
        <f>IFERROR(__xludf.DUMMYFUNCTION("""COMPUTED_VALUE"""),"1306")</f>
        <v>1306</v>
      </c>
      <c r="B1404" s="14" t="str">
        <f>IFERROR(__xludf.DUMMYFUNCTION("""COMPUTED_VALUE"""),"ВНЕ СПИСКА")</f>
        <v>ВНЕ СПИСКА</v>
      </c>
      <c r="C1404" s="14" t="str">
        <f>IFERROR(__xludf.DUMMYFUNCTION("""COMPUTED_VALUE"""),"ОКС")</f>
        <v>ОКС</v>
      </c>
      <c r="D1404" s="6" t="str">
        <f>IFERROR(__xludf.DUMMYFUNCTION("""COMPUTED_VALUE"""),"да")</f>
        <v>да</v>
      </c>
      <c r="E1404" s="14" t="str">
        <f>IFERROR(__xludf.DUMMYFUNCTION("""COMPUTED_VALUE"""),"ЖК СОБЫТИЕ-3 между ул. Лобачевского и платформой «Матвеевское», квартал 9.2")</f>
        <v>ЖК СОБЫТИЕ-3 между ул. Лобачевского и платформой «Матвеевское», квартал 9.2</v>
      </c>
      <c r="F1404" s="25" t="str">
        <f>IFERROR(__xludf.DUMMYFUNCTION("""COMPUTED_VALUE"""),"#N/A")</f>
        <v>#N/A</v>
      </c>
      <c r="G1404" s="6" t="str">
        <f>IFERROR(__xludf.DUMMYFUNCTION("""COMPUTED_VALUE"""),"#N/A")</f>
        <v>#N/A</v>
      </c>
      <c r="H1404" s="18" t="str">
        <f>IFERROR(__xludf.DUMMYFUNCTION("""COMPUTED_VALUE"""),"https://docs.google.com/spreadsheets/d/1EI7qusa674eJhuaw-nWWtWMEHVSYMQv7HLsInEZTWpE/edit?gid=188255576#gid=188255576")</f>
        <v>https://docs.google.com/spreadsheets/d/1EI7qusa674eJhuaw-nWWtWMEHVSYMQv7HLsInEZTWpE/edit?gid=188255576#gid=188255576</v>
      </c>
      <c r="I1404" s="19"/>
      <c r="J1404" s="50"/>
      <c r="K1404" s="58">
        <f>IFERROR(__xludf.DUMMYFUNCTION("""COMPUTED_VALUE"""),45930.0)</f>
        <v>45930</v>
      </c>
      <c r="L1404" s="6">
        <v>30.0</v>
      </c>
      <c r="M1404" s="52">
        <v>45960.0</v>
      </c>
      <c r="N1404" s="53" t="s">
        <v>652</v>
      </c>
      <c r="O1404" s="19" t="s">
        <v>1409</v>
      </c>
      <c r="P1404" s="6"/>
      <c r="Q1404" s="6"/>
      <c r="R1404" s="6"/>
    </row>
    <row r="1405">
      <c r="A1405" s="31" t="str">
        <f>IFERROR(__xludf.DUMMYFUNCTION("""COMPUTED_VALUE"""),"1305")</f>
        <v>1305</v>
      </c>
      <c r="B1405" s="14" t="str">
        <f>IFERROR(__xludf.DUMMYFUNCTION("""COMPUTED_VALUE"""),"ВНЕ СПИСКА")</f>
        <v>ВНЕ СПИСКА</v>
      </c>
      <c r="C1405" s="14" t="str">
        <f>IFERROR(__xludf.DUMMYFUNCTION("""COMPUTED_VALUE"""),"ОКС")</f>
        <v>ОКС</v>
      </c>
      <c r="D1405" s="6" t="str">
        <f>IFERROR(__xludf.DUMMYFUNCTION("""COMPUTED_VALUE"""),"да")</f>
        <v>да</v>
      </c>
      <c r="E1405" s="14" t="str">
        <f>IFERROR(__xludf.DUMMYFUNCTION("""COMPUTED_VALUE"""),"Строительство смотровой площадки р-н Раменки")</f>
        <v>Строительство смотровой площадки р-н Раменки</v>
      </c>
      <c r="F1405" s="25" t="str">
        <f>IFERROR(__xludf.DUMMYFUNCTION("""COMPUTED_VALUE"""),"#N/A")</f>
        <v>#N/A</v>
      </c>
      <c r="G1405" s="6" t="str">
        <f>IFERROR(__xludf.DUMMYFUNCTION("""COMPUTED_VALUE"""),"#N/A")</f>
        <v>#N/A</v>
      </c>
      <c r="H1405" s="18" t="str">
        <f>IFERROR(__xludf.DUMMYFUNCTION("""COMPUTED_VALUE"""),"https://docs.google.com/spreadsheets/d/1EI7qusa674eJhuaw-nWWtWMEHVSYMQv7HLsInEZTWpE/edit?gid=1237877981#gid=1237877981")</f>
        <v>https://docs.google.com/spreadsheets/d/1EI7qusa674eJhuaw-nWWtWMEHVSYMQv7HLsInEZTWpE/edit?gid=1237877981#gid=1237877981</v>
      </c>
      <c r="I1405" s="19"/>
      <c r="J1405" s="50"/>
      <c r="K1405" s="58">
        <f>IFERROR(__xludf.DUMMYFUNCTION("""COMPUTED_VALUE"""),45930.0)</f>
        <v>45930</v>
      </c>
      <c r="L1405" s="6">
        <v>30.0</v>
      </c>
      <c r="M1405" s="52">
        <v>45960.0</v>
      </c>
      <c r="N1405" s="53" t="s">
        <v>668</v>
      </c>
      <c r="O1405" s="19" t="s">
        <v>1410</v>
      </c>
      <c r="P1405" s="6"/>
      <c r="Q1405" s="6"/>
      <c r="R1405" s="6"/>
    </row>
    <row r="1406">
      <c r="A1406" s="31" t="str">
        <f>IFERROR(__xludf.DUMMYFUNCTION("""COMPUTED_VALUE"""),"1317")</f>
        <v>1317</v>
      </c>
      <c r="B1406" s="14" t="str">
        <f>IFERROR(__xludf.DUMMYFUNCTION("""COMPUTED_VALUE"""),"ВНЕ СПИСКА")</f>
        <v>ВНЕ СПИСКА</v>
      </c>
      <c r="C1406" s="14" t="str">
        <f>IFERROR(__xludf.DUMMYFUNCTION("""COMPUTED_VALUE"""),"ОКС")</f>
        <v>ОКС</v>
      </c>
      <c r="D1406" s="6"/>
      <c r="E1406" s="14" t="str">
        <f>IFERROR(__xludf.DUMMYFUNCTION("""COMPUTED_VALUE"""),"Проектирование и строительство объектов инженерной инфраструктуры для жилых домов в пос. Марушкинское (5 зданий) поселение Марушкинское, д. Марушкино")</f>
        <v>Проектирование и строительство объектов инженерной инфраструктуры для жилых домов в пос. Марушкинское (5 зданий) поселение Марушкинское, д. Марушкино</v>
      </c>
      <c r="F1406" s="25" t="str">
        <f>IFERROR(__xludf.DUMMYFUNCTION("""COMPUTED_VALUE"""),"#N/A")</f>
        <v>#N/A</v>
      </c>
      <c r="G1406" s="6" t="str">
        <f>IFERROR(__xludf.DUMMYFUNCTION("""COMPUTED_VALUE"""),"#N/A")</f>
        <v>#N/A</v>
      </c>
      <c r="H1406" s="18" t="str">
        <f>IFERROR(__xludf.DUMMYFUNCTION("""COMPUTED_VALUE"""),"https://docs.google.com/spreadsheets/d/1EI7qusa674eJhuaw-nWWtWMEHVSYMQv7HLsInEZTWpE/edit?gid=1217792882#gid=1217792882")</f>
        <v>https://docs.google.com/spreadsheets/d/1EI7qusa674eJhuaw-nWWtWMEHVSYMQv7HLsInEZTWpE/edit?gid=1217792882#gid=1217792882</v>
      </c>
      <c r="I1406" s="19"/>
      <c r="J1406" s="50">
        <f>IFERROR(__xludf.DUMMYFUNCTION("""COMPUTED_VALUE"""),100.0)</f>
        <v>100</v>
      </c>
      <c r="K1406" s="58">
        <f>IFERROR(__xludf.DUMMYFUNCTION("""COMPUTED_VALUE"""),45919.0)</f>
        <v>45919</v>
      </c>
      <c r="L1406" s="6" t="s">
        <v>654</v>
      </c>
      <c r="M1406" s="52" t="s">
        <v>655</v>
      </c>
      <c r="N1406" s="53" t="s">
        <v>656</v>
      </c>
      <c r="O1406" s="19" t="s">
        <v>1411</v>
      </c>
      <c r="P1406" s="6"/>
      <c r="Q1406" s="6"/>
      <c r="R1406" s="6"/>
    </row>
    <row r="1407">
      <c r="A1407" s="31" t="str">
        <f>IFERROR(__xludf.DUMMYFUNCTION("""COMPUTED_VALUE"""),"1319")</f>
        <v>1319</v>
      </c>
      <c r="B1407" s="14" t="str">
        <f>IFERROR(__xludf.DUMMYFUNCTION("""COMPUTED_VALUE"""),"ВНЕ СПИСКА")</f>
        <v>ВНЕ СПИСКА</v>
      </c>
      <c r="C1407" s="14" t="str">
        <f>IFERROR(__xludf.DUMMYFUNCTION("""COMPUTED_VALUE"""),"ОКС")</f>
        <v>ОКС</v>
      </c>
      <c r="D1407" s="6"/>
      <c r="E1407" s="14" t="str">
        <f>IFERROR(__xludf.DUMMYFUNCTION("""COMPUTED_VALUE"""),"3099-06 Реконструкция очистных сооружений дождевой канализации, п. Некрасовка ПОС. НЕКРАСОВКА, СНТ Зеленая Зона")</f>
        <v>3099-06 Реконструкция очистных сооружений дождевой канализации, п. Некрасовка ПОС. НЕКРАСОВКА, СНТ Зеленая Зона</v>
      </c>
      <c r="F1407" s="25" t="str">
        <f>IFERROR(__xludf.DUMMYFUNCTION("""COMPUTED_VALUE"""),"#N/A")</f>
        <v>#N/A</v>
      </c>
      <c r="G1407" s="6" t="str">
        <f>IFERROR(__xludf.DUMMYFUNCTION("""COMPUTED_VALUE"""),"#N/A")</f>
        <v>#N/A</v>
      </c>
      <c r="H1407" s="18" t="str">
        <f>IFERROR(__xludf.DUMMYFUNCTION("""COMPUTED_VALUE"""),"https://docs.google.com/spreadsheets/d/1EI7qusa674eJhuaw-nWWtWMEHVSYMQv7HLsInEZTWpE/edit?gid=1201892812#gid=1201892812")</f>
        <v>https://docs.google.com/spreadsheets/d/1EI7qusa674eJhuaw-nWWtWMEHVSYMQv7HLsInEZTWpE/edit?gid=1201892812#gid=1201892812</v>
      </c>
      <c r="I1407" s="19"/>
      <c r="J1407" s="50">
        <f>IFERROR(__xludf.DUMMYFUNCTION("""COMPUTED_VALUE"""),0.0)</f>
        <v>0</v>
      </c>
      <c r="K1407" s="58">
        <f>IFERROR(__xludf.DUMMYFUNCTION("""COMPUTED_VALUE"""),45919.0)</f>
        <v>45919</v>
      </c>
      <c r="L1407" s="6">
        <v>30.0</v>
      </c>
      <c r="M1407" s="52">
        <v>45949.0</v>
      </c>
      <c r="N1407" s="53" t="s">
        <v>668</v>
      </c>
      <c r="O1407" s="19" t="s">
        <v>1412</v>
      </c>
      <c r="P1407" s="6"/>
      <c r="Q1407" s="6"/>
      <c r="R1407" s="6"/>
    </row>
    <row r="1408">
      <c r="A1408" s="31" t="str">
        <f>IFERROR(__xludf.DUMMYFUNCTION("""COMPUTED_VALUE"""),"нд")</f>
        <v>нд</v>
      </c>
      <c r="B1408" s="14" t="str">
        <f>IFERROR(__xludf.DUMMYFUNCTION("""COMPUTED_VALUE"""),"ВНЕ СПИСКА")</f>
        <v>ВНЕ СПИСКА</v>
      </c>
      <c r="C1408" s="14" t="str">
        <f>IFERROR(__xludf.DUMMYFUNCTION("""COMPUTED_VALUE"""),"ОКС")</f>
        <v>ОКС</v>
      </c>
      <c r="D1408" s="6"/>
      <c r="E1408" s="14" t="str">
        <f>IFERROR(__xludf.DUMMYFUNCTION("""COMPUTED_VALUE"""),"Реабилитационный комплекс (1-я очередь) ДКС № 20 «Красная Пахра». 2 этап Г.ТРОИЦК, ДКРС №20 ""КРАСНАЯ ПАХРА""")</f>
        <v>Реабилитационный комплекс (1-я очередь) ДКС № 20 «Красная Пахра». 2 этап Г.ТРОИЦК, ДКРС №20 "КРАСНАЯ ПАХРА"</v>
      </c>
      <c r="F1408" s="25" t="str">
        <f>IFERROR(__xludf.DUMMYFUNCTION("""COMPUTED_VALUE"""),"#N/A")</f>
        <v>#N/A</v>
      </c>
      <c r="G1408" s="6" t="str">
        <f>IFERROR(__xludf.DUMMYFUNCTION("""COMPUTED_VALUE"""),"#N/A")</f>
        <v>#N/A</v>
      </c>
      <c r="H1408" s="6"/>
      <c r="I1408" s="19"/>
      <c r="J1408" s="50"/>
      <c r="K1408" s="58"/>
      <c r="L1408" s="6">
        <v>30.0</v>
      </c>
      <c r="M1408" s="52" t="s">
        <v>655</v>
      </c>
      <c r="N1408" s="53" t="s">
        <v>698</v>
      </c>
      <c r="O1408" s="19" t="s">
        <v>1413</v>
      </c>
      <c r="P1408" s="6"/>
      <c r="Q1408" s="6"/>
      <c r="R1408" s="6"/>
    </row>
    <row r="1409">
      <c r="A1409" s="31" t="str">
        <f>IFERROR(__xludf.DUMMYFUNCTION("""COMPUTED_VALUE"""),"1316")</f>
        <v>1316</v>
      </c>
      <c r="B1409" s="14" t="str">
        <f>IFERROR(__xludf.DUMMYFUNCTION("""COMPUTED_VALUE"""),"ВНЕ СПИСКА")</f>
        <v>ВНЕ СПИСКА</v>
      </c>
      <c r="C1409" s="14" t="str">
        <f>IFERROR(__xludf.DUMMYFUNCTION("""COMPUTED_VALUE"""),"ОКС")</f>
        <v>ОКС</v>
      </c>
      <c r="D1409" s="6"/>
      <c r="E1409" s="14" t="str">
        <f>IFERROR(__xludf.DUMMYFUNCTION("""COMPUTED_VALUE"""),"Здание кожно-венерологического диспансера № 9 Большой Предтеченский переулок, дом 15/8, стр. 3")</f>
        <v>Здание кожно-венерологического диспансера № 9 Большой Предтеченский переулок, дом 15/8, стр. 3</v>
      </c>
      <c r="F1409" s="25" t="str">
        <f>IFERROR(__xludf.DUMMYFUNCTION("""COMPUTED_VALUE"""),"#N/A")</f>
        <v>#N/A</v>
      </c>
      <c r="G1409" s="6" t="str">
        <f>IFERROR(__xludf.DUMMYFUNCTION("""COMPUTED_VALUE"""),"#N/A")</f>
        <v>#N/A</v>
      </c>
      <c r="H1409" s="18" t="str">
        <f>IFERROR(__xludf.DUMMYFUNCTION("""COMPUTED_VALUE"""),"https://docs.google.com/spreadsheets/d/1EI7qusa674eJhuaw-nWWtWMEHVSYMQv7HLsInEZTWpE/edit?gid=1513915226#gid=1513915226")</f>
        <v>https://docs.google.com/spreadsheets/d/1EI7qusa674eJhuaw-nWWtWMEHVSYMQv7HLsInEZTWpE/edit?gid=1513915226#gid=1513915226</v>
      </c>
      <c r="I1409" s="19"/>
      <c r="J1409" s="50">
        <f>IFERROR(__xludf.DUMMYFUNCTION("""COMPUTED_VALUE"""),0.0125)</f>
        <v>0.0125</v>
      </c>
      <c r="K1409" s="58">
        <f>IFERROR(__xludf.DUMMYFUNCTION("""COMPUTED_VALUE"""),45919.0)</f>
        <v>45919</v>
      </c>
      <c r="L1409" s="6">
        <v>30.0</v>
      </c>
      <c r="M1409" s="52">
        <v>45949.0</v>
      </c>
      <c r="N1409" s="53" t="s">
        <v>668</v>
      </c>
      <c r="O1409" s="19" t="s">
        <v>1414</v>
      </c>
      <c r="P1409" s="6"/>
      <c r="Q1409" s="6"/>
      <c r="R1409" s="6"/>
    </row>
    <row r="1410">
      <c r="A1410" s="31" t="str">
        <f>IFERROR(__xludf.DUMMYFUNCTION("""COMPUTED_VALUE"""),"1324")</f>
        <v>1324</v>
      </c>
      <c r="B1410" s="14" t="str">
        <f>IFERROR(__xludf.DUMMYFUNCTION("""COMPUTED_VALUE"""),"ВНЕ СПИСКА")</f>
        <v>ВНЕ СПИСКА</v>
      </c>
      <c r="C1410" s="14" t="str">
        <f>IFERROR(__xludf.DUMMYFUNCTION("""COMPUTED_VALUE"""),"ОКС")</f>
        <v>ОКС</v>
      </c>
      <c r="D1410" s="6" t="str">
        <f>IFERROR(__xludf.DUMMYFUNCTION("""COMPUTED_VALUE"""),"да")</f>
        <v>да</v>
      </c>
      <c r="E1410" s="14" t="str">
        <f>IFERROR(__xludf.DUMMYFUNCTION("""COMPUTED_VALUE"""),"Нежилое помещение (здание Центра социальной адаптации им. Е.П. Глинки) Дмитровский р-он, ул. Ижорская, д.21, стр.3")</f>
        <v>Нежилое помещение (здание Центра социальной адаптации им. Е.П. Глинки) Дмитровский р-он, ул. Ижорская, д.21, стр.3</v>
      </c>
      <c r="F1410" s="25" t="str">
        <f>IFERROR(__xludf.DUMMYFUNCTION("""COMPUTED_VALUE"""),"#N/A")</f>
        <v>#N/A</v>
      </c>
      <c r="G1410" s="6" t="str">
        <f>IFERROR(__xludf.DUMMYFUNCTION("""COMPUTED_VALUE"""),"#N/A")</f>
        <v>#N/A</v>
      </c>
      <c r="H1410" s="18" t="str">
        <f>IFERROR(__xludf.DUMMYFUNCTION("""COMPUTED_VALUE"""),"https://docs.google.com/spreadsheets/d/1EI7qusa674eJhuaw-nWWtWMEHVSYMQv7HLsInEZTWpE/edit?gid=1698914895#gid=1698914895")</f>
        <v>https://docs.google.com/spreadsheets/d/1EI7qusa674eJhuaw-nWWtWMEHVSYMQv7HLsInEZTWpE/edit?gid=1698914895#gid=1698914895</v>
      </c>
      <c r="I1410" s="19"/>
      <c r="J1410" s="50"/>
      <c r="K1410" s="58">
        <f>IFERROR(__xludf.DUMMYFUNCTION("""COMPUTED_VALUE"""),45919.0)</f>
        <v>45919</v>
      </c>
      <c r="L1410" s="6">
        <v>30.0</v>
      </c>
      <c r="M1410" s="52">
        <v>45949.0</v>
      </c>
      <c r="N1410" s="53" t="s">
        <v>668</v>
      </c>
      <c r="O1410" s="19" t="s">
        <v>1193</v>
      </c>
      <c r="P1410" s="6"/>
      <c r="Q1410" s="6"/>
      <c r="R1410" s="6"/>
    </row>
    <row r="1411">
      <c r="A1411" s="31" t="str">
        <f>IFERROR(__xludf.DUMMYFUNCTION("""COMPUTED_VALUE"""),"1327")</f>
        <v>1327</v>
      </c>
      <c r="B1411" s="14" t="str">
        <f>IFERROR(__xludf.DUMMYFUNCTION("""COMPUTED_VALUE"""),"ВНЕ СПИСКА")</f>
        <v>ВНЕ СПИСКА</v>
      </c>
      <c r="C1411" s="14" t="str">
        <f>IFERROR(__xludf.DUMMYFUNCTION("""COMPUTED_VALUE"""),"ОКС")</f>
        <v>ОКС</v>
      </c>
      <c r="D1411" s="6"/>
      <c r="E1411" s="14" t="str">
        <f>IFERROR(__xludf.DUMMYFUNCTION("""COMPUTED_VALUE"""),"Здание развлекательного центра комплекса ""Аквапарк"" (Центр социального обслуживания населения) (Центр социального обслуживания населения, р-н Матушкино, ул. Березовая ал., д. 15, стр. 1) ул. Березовая аллея, д. 15, стр. 1")</f>
        <v>Здание развлекательного центра комплекса "Аквапарк" (Центр социального обслуживания населения) (Центр социального обслуживания населения, р-н Матушкино, ул. Березовая ал., д. 15, стр. 1) ул. Березовая аллея, д. 15, стр. 1</v>
      </c>
      <c r="F1411" s="25" t="str">
        <f>IFERROR(__xludf.DUMMYFUNCTION("""COMPUTED_VALUE"""),"#N/A")</f>
        <v>#N/A</v>
      </c>
      <c r="G1411" s="6" t="str">
        <f>IFERROR(__xludf.DUMMYFUNCTION("""COMPUTED_VALUE"""),"#N/A")</f>
        <v>#N/A</v>
      </c>
      <c r="H1411" s="18" t="str">
        <f>IFERROR(__xludf.DUMMYFUNCTION("""COMPUTED_VALUE"""),"https://docs.google.com/spreadsheets/d/1EI7qusa674eJhuaw-nWWtWMEHVSYMQv7HLsInEZTWpE/edit?gid=239550778#gid=239550778")</f>
        <v>https://docs.google.com/spreadsheets/d/1EI7qusa674eJhuaw-nWWtWMEHVSYMQv7HLsInEZTWpE/edit?gid=239550778#gid=239550778</v>
      </c>
      <c r="I1411" s="19"/>
      <c r="J1411" s="50">
        <f>IFERROR(__xludf.DUMMYFUNCTION("""COMPUTED_VALUE"""),23.912499999999998)</f>
        <v>23.9125</v>
      </c>
      <c r="K1411" s="58">
        <f>IFERROR(__xludf.DUMMYFUNCTION("""COMPUTED_VALUE"""),45923.0)</f>
        <v>45923</v>
      </c>
      <c r="L1411" s="6">
        <v>30.0</v>
      </c>
      <c r="M1411" s="52">
        <v>45953.0</v>
      </c>
      <c r="N1411" s="53" t="s">
        <v>668</v>
      </c>
      <c r="O1411" s="19" t="s">
        <v>1193</v>
      </c>
      <c r="P1411" s="6"/>
      <c r="Q1411" s="6"/>
      <c r="R1411" s="6"/>
    </row>
    <row r="1412">
      <c r="A1412" s="31" t="str">
        <f>IFERROR(__xludf.DUMMYFUNCTION("""COMPUTED_VALUE"""),"1326")</f>
        <v>1326</v>
      </c>
      <c r="B1412" s="14" t="str">
        <f>IFERROR(__xludf.DUMMYFUNCTION("""COMPUTED_VALUE"""),"ВНЕ СПИСКА")</f>
        <v>ВНЕ СПИСКА</v>
      </c>
      <c r="C1412" s="14" t="str">
        <f>IFERROR(__xludf.DUMMYFUNCTION("""COMPUTED_VALUE"""),"ОКС")</f>
        <v>ОКС</v>
      </c>
      <c r="D1412" s="6"/>
      <c r="E1412" s="14" t="str">
        <f>IFERROR(__xludf.DUMMYFUNCTION("""COMPUTED_VALUE"""),"Здание отдыха локомотивных бригад на ст. ""Рассказовка"". Этап 5.1 Внуковское, дер. Рассказовка, вл.13/2")</f>
        <v>Здание отдыха локомотивных бригад на ст. "Рассказовка". Этап 5.1 Внуковское, дер. Рассказовка, вл.13/2</v>
      </c>
      <c r="F1412" s="25" t="str">
        <f>IFERROR(__xludf.DUMMYFUNCTION("""COMPUTED_VALUE"""),"#N/A")</f>
        <v>#N/A</v>
      </c>
      <c r="G1412" s="6" t="str">
        <f>IFERROR(__xludf.DUMMYFUNCTION("""COMPUTED_VALUE"""),"#N/A")</f>
        <v>#N/A</v>
      </c>
      <c r="H1412" s="18" t="str">
        <f>IFERROR(__xludf.DUMMYFUNCTION("""COMPUTED_VALUE"""),"https://docs.google.com/spreadsheets/d/1EI7qusa674eJhuaw-nWWtWMEHVSYMQv7HLsInEZTWpE/edit?gid=1264665053#gid=1264665053")</f>
        <v>https://docs.google.com/spreadsheets/d/1EI7qusa674eJhuaw-nWWtWMEHVSYMQv7HLsInEZTWpE/edit?gid=1264665053#gid=1264665053</v>
      </c>
      <c r="I1412" s="19"/>
      <c r="J1412" s="50">
        <f>IFERROR(__xludf.DUMMYFUNCTION("""COMPUTED_VALUE"""),100.0)</f>
        <v>100</v>
      </c>
      <c r="K1412" s="58">
        <f>IFERROR(__xludf.DUMMYFUNCTION("""COMPUTED_VALUE"""),45919.0)</f>
        <v>45919</v>
      </c>
      <c r="L1412" s="6" t="s">
        <v>654</v>
      </c>
      <c r="M1412" s="52" t="s">
        <v>655</v>
      </c>
      <c r="N1412" s="53" t="s">
        <v>656</v>
      </c>
      <c r="O1412" s="19" t="s">
        <v>905</v>
      </c>
      <c r="P1412" s="6"/>
      <c r="Q1412" s="6"/>
      <c r="R1412" s="6"/>
    </row>
    <row r="1413">
      <c r="A1413" s="31" t="str">
        <f>IFERROR(__xludf.DUMMYFUNCTION("""COMPUTED_VALUE"""),"1320")</f>
        <v>1320</v>
      </c>
      <c r="B1413" s="14" t="str">
        <f>IFERROR(__xludf.DUMMYFUNCTION("""COMPUTED_VALUE"""),"ВНЕ СПИСКА")</f>
        <v>ВНЕ СПИСКА</v>
      </c>
      <c r="C1413" s="14" t="str">
        <f>IFERROR(__xludf.DUMMYFUNCTION("""COMPUTED_VALUE"""),"ОКС")</f>
        <v>ОКС</v>
      </c>
      <c r="D1413" s="6"/>
      <c r="E1413" s="14" t="str">
        <f>IFERROR(__xludf.DUMMYFUNCTION("""COMPUTED_VALUE"""),"Жилой дом Е.А. Свечиной-С.Ф. Циммерман-С.П. Моргунова, 1-я треть ХIХв., 1902 г., гражданский инженер А.С. Гребенщиков», строение 1 и строение 2 (Реставрация и приспособление для современного использования объекта культурного наследия регионального значени"&amp;"я ""Жилой дом Е.А. Свечиной - С.Ф. Циммерман - С.П. Моргунова, 1-я треть XIX в., 1902 г., гражданский инженер А.С. Гребенщиков"" по адресу: пр-кт Мира, д. 25, стр. 1, 2) проспект Мира, д. 25, стр.1, 2")</f>
        <v>Жилой дом Е.А. Свечиной-С.Ф. Циммерман-С.П. Моргунова, 1-я треть ХIХв., 1902 г., гражданский инженер А.С. Гребенщиков», строение 1 и строение 2 (Реставрация и приспособление для современного использования объекта культурного наследия регионального значения "Жилой дом Е.А. Свечиной - С.Ф. Циммерман - С.П. Моргунова, 1-я треть XIX в., 1902 г., гражданский инженер А.С. Гребенщиков" по адресу: пр-кт Мира, д. 25, стр. 1, 2) проспект Мира, д. 25, стр.1, 2</v>
      </c>
      <c r="F1413" s="25" t="str">
        <f>IFERROR(__xludf.DUMMYFUNCTION("""COMPUTED_VALUE"""),"#N/A")</f>
        <v>#N/A</v>
      </c>
      <c r="G1413" s="6" t="str">
        <f>IFERROR(__xludf.DUMMYFUNCTION("""COMPUTED_VALUE"""),"#N/A")</f>
        <v>#N/A</v>
      </c>
      <c r="H1413" s="18" t="str">
        <f>IFERROR(__xludf.DUMMYFUNCTION("""COMPUTED_VALUE"""),"https://docs.google.com/spreadsheets/d/1EI7qusa674eJhuaw-nWWtWMEHVSYMQv7HLsInEZTWpE/edit?gid=5854245#gid=5854245")</f>
        <v>https://docs.google.com/spreadsheets/d/1EI7qusa674eJhuaw-nWWtWMEHVSYMQv7HLsInEZTWpE/edit?gid=5854245#gid=5854245</v>
      </c>
      <c r="I1413" s="19"/>
      <c r="J1413" s="50">
        <f>IFERROR(__xludf.DUMMYFUNCTION("""COMPUTED_VALUE"""),0.0)</f>
        <v>0</v>
      </c>
      <c r="K1413" s="58">
        <f>IFERROR(__xludf.DUMMYFUNCTION("""COMPUTED_VALUE"""),45919.0)</f>
        <v>45919</v>
      </c>
      <c r="L1413" s="6">
        <v>30.0</v>
      </c>
      <c r="M1413" s="52">
        <v>45949.0</v>
      </c>
      <c r="N1413" s="53" t="s">
        <v>668</v>
      </c>
      <c r="O1413" s="19" t="s">
        <v>1415</v>
      </c>
      <c r="P1413" s="6"/>
      <c r="Q1413" s="6"/>
      <c r="R1413" s="6"/>
    </row>
    <row r="1414">
      <c r="A1414" s="31" t="str">
        <f>IFERROR(__xludf.DUMMYFUNCTION("""COMPUTED_VALUE"""),"1315")</f>
        <v>1315</v>
      </c>
      <c r="B1414" s="14" t="str">
        <f>IFERROR(__xludf.DUMMYFUNCTION("""COMPUTED_VALUE"""),"ВНЕ СПИСКА")</f>
        <v>ВНЕ СПИСКА</v>
      </c>
      <c r="C1414" s="14" t="str">
        <f>IFERROR(__xludf.DUMMYFUNCTION("""COMPUTED_VALUE"""),"ОКС+УДС")</f>
        <v>ОКС+УДС</v>
      </c>
      <c r="D1414" s="6"/>
      <c r="E1414" s="14" t="str">
        <f>IFERROR(__xludf.DUMMYFUNCTION("""COMPUTED_VALUE"""),"Конечная станция городского пассажирского транспорта р-н Хорошевский, ул. Авиаконструктора Сухого, 1А, стр.1")</f>
        <v>Конечная станция городского пассажирского транспорта р-н Хорошевский, ул. Авиаконструктора Сухого, 1А, стр.1</v>
      </c>
      <c r="F1414" s="25" t="str">
        <f>IFERROR(__xludf.DUMMYFUNCTION("""COMPUTED_VALUE"""),"#N/A")</f>
        <v>#N/A</v>
      </c>
      <c r="G1414" s="6" t="str">
        <f>IFERROR(__xludf.DUMMYFUNCTION("""COMPUTED_VALUE"""),"#N/A")</f>
        <v>#N/A</v>
      </c>
      <c r="H1414" s="18" t="str">
        <f>IFERROR(__xludf.DUMMYFUNCTION("""COMPUTED_VALUE"""),"https://docs.google.com/spreadsheets/d/1EI7qusa674eJhuaw-nWWtWMEHVSYMQv7HLsInEZTWpE/edit?gid=547129883#gid=547129883")</f>
        <v>https://docs.google.com/spreadsheets/d/1EI7qusa674eJhuaw-nWWtWMEHVSYMQv7HLsInEZTWpE/edit?gid=547129883#gid=547129883</v>
      </c>
      <c r="I1414" s="19"/>
      <c r="J1414" s="50">
        <f>IFERROR(__xludf.DUMMYFUNCTION("""COMPUTED_VALUE"""),100.0)</f>
        <v>100</v>
      </c>
      <c r="K1414" s="58">
        <f>IFERROR(__xludf.DUMMYFUNCTION("""COMPUTED_VALUE"""),45919.0)</f>
        <v>45919</v>
      </c>
      <c r="L1414" s="6" t="s">
        <v>654</v>
      </c>
      <c r="M1414" s="52" t="s">
        <v>655</v>
      </c>
      <c r="N1414" s="53" t="s">
        <v>656</v>
      </c>
      <c r="O1414" s="19" t="s">
        <v>1416</v>
      </c>
      <c r="P1414" s="6"/>
      <c r="Q1414" s="6"/>
      <c r="R1414" s="6"/>
    </row>
    <row r="1415">
      <c r="A1415" s="31" t="str">
        <f>IFERROR(__xludf.DUMMYFUNCTION("""COMPUTED_VALUE"""),"1289")</f>
        <v>1289</v>
      </c>
      <c r="B1415" s="14" t="str">
        <f>IFERROR(__xludf.DUMMYFUNCTION("""COMPUTED_VALUE"""),"АИП-25")</f>
        <v>АИП-25</v>
      </c>
      <c r="C1415" s="14" t="str">
        <f>IFERROR(__xludf.DUMMYFUNCTION("""COMPUTED_VALUE"""),"УДС")</f>
        <v>УДС</v>
      </c>
      <c r="D1415" s="6"/>
      <c r="E1415" s="14" t="str">
        <f>IFERROR(__xludf.DUMMYFUNCTION("""COMPUTED_VALUE"""),"ПР-543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1 ЛЮБЛИНО, ТИХОРЕЦКИЙ Б-Р")</f>
        <v>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1 ЛЮБЛИНО, ТИХОРЕЦКИЙ Б-Р</v>
      </c>
      <c r="F1415" s="25" t="str">
        <f>IFERROR(__xludf.DUMMYFUNCTION("""COMPUTED_VALUE"""),"#N/A")</f>
        <v>#N/A</v>
      </c>
      <c r="G1415" s="6" t="str">
        <f>IFERROR(__xludf.DUMMYFUNCTION("""COMPUTED_VALUE"""),"#N/A")</f>
        <v>#N/A</v>
      </c>
      <c r="H1415" s="18" t="str">
        <f>IFERROR(__xludf.DUMMYFUNCTION("""COMPUTED_VALUE"""),"https://docs.google.com/spreadsheets/d/1MW8OIVEKRJEaLcG-KS0zwZPEQ0eRUWE2y9Gj77rgoxo/edit?gid=641965304#gid=641965304")</f>
        <v>https://docs.google.com/spreadsheets/d/1MW8OIVEKRJEaLcG-KS0zwZPEQ0eRUWE2y9Gj77rgoxo/edit?gid=641965304#gid=641965304</v>
      </c>
      <c r="I1415" s="19"/>
      <c r="J1415" s="50"/>
      <c r="K1415" s="58">
        <f>IFERROR(__xludf.DUMMYFUNCTION("""COMPUTED_VALUE"""),45954.0)</f>
        <v>45954</v>
      </c>
      <c r="L1415" s="6">
        <v>30.0</v>
      </c>
      <c r="M1415" s="52">
        <v>45984.0</v>
      </c>
      <c r="N1415" s="53" t="s">
        <v>741</v>
      </c>
      <c r="O1415" s="19" t="s">
        <v>1417</v>
      </c>
      <c r="P1415" s="6"/>
      <c r="Q1415" s="6"/>
      <c r="R1415" s="6"/>
    </row>
    <row r="1416">
      <c r="A1416" s="31" t="str">
        <f>IFERROR(__xludf.DUMMYFUNCTION("""COMPUTED_VALUE"""),"1289")</f>
        <v>1289</v>
      </c>
      <c r="B1416" s="14" t="str">
        <f>IFERROR(__xludf.DUMMYFUNCTION("""COMPUTED_VALUE"""),"АИП-25")</f>
        <v>АИП-25</v>
      </c>
      <c r="C1416" s="14" t="str">
        <f>IFERROR(__xludf.DUMMYFUNCTION("""COMPUTED_VALUE"""),"УДС")</f>
        <v>УДС</v>
      </c>
      <c r="D1416" s="6"/>
      <c r="E1416" s="14" t="str">
        <f>IFERROR(__xludf.DUMMYFUNCTION("""COMPUTED_VALUE"""),"ПР-543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2 ЛЮБЛИНО, ТИХОРЕЦКИЙ Б-Р")</f>
        <v>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2 ЛЮБЛИНО, ТИХОРЕЦКИЙ Б-Р</v>
      </c>
      <c r="F1416" s="25" t="str">
        <f>IFERROR(__xludf.DUMMYFUNCTION("""COMPUTED_VALUE"""),"#N/A")</f>
        <v>#N/A</v>
      </c>
      <c r="G1416" s="6" t="str">
        <f>IFERROR(__xludf.DUMMYFUNCTION("""COMPUTED_VALUE"""),"#N/A")</f>
        <v>#N/A</v>
      </c>
      <c r="H1416" s="18" t="str">
        <f>IFERROR(__xludf.DUMMYFUNCTION("""COMPUTED_VALUE"""),"https://docs.google.com/spreadsheets/d/1MW8OIVEKRJEaLcG-KS0zwZPEQ0eRUWE2y9Gj77rgoxo/edit?gid=641965304#gid=641965304")</f>
        <v>https://docs.google.com/spreadsheets/d/1MW8OIVEKRJEaLcG-KS0zwZPEQ0eRUWE2y9Gj77rgoxo/edit?gid=641965304#gid=641965304</v>
      </c>
      <c r="I1416" s="6"/>
      <c r="J1416" s="50"/>
      <c r="K1416" s="58">
        <f>IFERROR(__xludf.DUMMYFUNCTION("""COMPUTED_VALUE"""),45954.0)</f>
        <v>45954</v>
      </c>
      <c r="L1416" s="6">
        <v>30.0</v>
      </c>
      <c r="M1416" s="52">
        <v>45984.0</v>
      </c>
      <c r="N1416" s="53" t="s">
        <v>741</v>
      </c>
      <c r="O1416" s="6" t="s">
        <v>1418</v>
      </c>
      <c r="P1416" s="6"/>
      <c r="Q1416" s="6"/>
      <c r="R1416" s="6"/>
    </row>
    <row r="1417">
      <c r="A1417" s="31" t="str">
        <f>IFERROR(__xludf.DUMMYFUNCTION("""COMPUTED_VALUE"""),"1312")</f>
        <v>1312</v>
      </c>
      <c r="B1417" s="14" t="str">
        <f>IFERROR(__xludf.DUMMYFUNCTION("""COMPUTED_VALUE"""),"ВНЕ СПИСКА")</f>
        <v>ВНЕ СПИСКА</v>
      </c>
      <c r="C1417" s="14" t="str">
        <f>IFERROR(__xludf.DUMMYFUNCTION("""COMPUTED_VALUE"""),"ОКС")</f>
        <v>ОКС</v>
      </c>
      <c r="D1417" s="6"/>
      <c r="E1417" s="14" t="str">
        <f>IFERROR(__xludf.DUMMYFUNCTION("""COMPUTED_VALUE"""),"Здание центрального павильона проката улица Крымский Вал, д. 9, стр. 38")</f>
        <v>Здание центрального павильона проката улица Крымский Вал, д. 9, стр. 38</v>
      </c>
      <c r="F1417" s="25" t="str">
        <f>IFERROR(__xludf.DUMMYFUNCTION("""COMPUTED_VALUE"""),"#N/A")</f>
        <v>#N/A</v>
      </c>
      <c r="G1417" s="6" t="str">
        <f>IFERROR(__xludf.DUMMYFUNCTION("""COMPUTED_VALUE"""),"#N/A")</f>
        <v>#N/A</v>
      </c>
      <c r="H1417" s="18" t="str">
        <f>IFERROR(__xludf.DUMMYFUNCTION("""COMPUTED_VALUE"""),"https://docs.google.com/spreadsheets/d/1EI7qusa674eJhuaw-nWWtWMEHVSYMQv7HLsInEZTWpE/edit?gid=1075878373#gid=1075878373")</f>
        <v>https://docs.google.com/spreadsheets/d/1EI7qusa674eJhuaw-nWWtWMEHVSYMQv7HLsInEZTWpE/edit?gid=1075878373#gid=1075878373</v>
      </c>
      <c r="I1417" s="6"/>
      <c r="J1417" s="50">
        <f>IFERROR(__xludf.DUMMYFUNCTION("""COMPUTED_VALUE"""),0.0)</f>
        <v>0</v>
      </c>
      <c r="K1417" s="58">
        <f>IFERROR(__xludf.DUMMYFUNCTION("""COMPUTED_VALUE"""),45919.0)</f>
        <v>45919</v>
      </c>
      <c r="L1417" s="6">
        <v>30.0</v>
      </c>
      <c r="M1417" s="52">
        <v>45949.0</v>
      </c>
      <c r="N1417" s="53" t="s">
        <v>668</v>
      </c>
      <c r="O1417" s="6" t="s">
        <v>1193</v>
      </c>
      <c r="P1417" s="6"/>
      <c r="Q1417" s="6"/>
      <c r="R1417" s="6"/>
    </row>
    <row r="1418">
      <c r="A1418" s="31" t="str">
        <f>IFERROR(__xludf.DUMMYFUNCTION("""COMPUTED_VALUE"""),"1321")</f>
        <v>1321</v>
      </c>
      <c r="B1418" s="14" t="str">
        <f>IFERROR(__xludf.DUMMYFUNCTION("""COMPUTED_VALUE"""),"ВНЕ СПИСКА")</f>
        <v>ВНЕ СПИСКА</v>
      </c>
      <c r="C1418" s="14" t="str">
        <f>IFERROR(__xludf.DUMMYFUNCTION("""COMPUTED_VALUE"""),"ОКС")</f>
        <v>ОКС</v>
      </c>
      <c r="D1418" s="6"/>
      <c r="E1418" s="14" t="str">
        <f>IFERROR(__xludf.DUMMYFUNCTION("""COMPUTED_VALUE"""),"02-6015 Строительство инженерных коммуникаций на территории ""Дьяково"" (1, 2  пусковые  комплексы) проспект Андропова, вл. 39")</f>
        <v>02-6015 Строительство инженерных коммуникаций на территории "Дьяково" (1, 2  пусковые  комплексы) проспект Андропова, вл. 39</v>
      </c>
      <c r="F1418" s="25" t="str">
        <f>IFERROR(__xludf.DUMMYFUNCTION("""COMPUTED_VALUE"""),"#N/A")</f>
        <v>#N/A</v>
      </c>
      <c r="G1418" s="6" t="str">
        <f>IFERROR(__xludf.DUMMYFUNCTION("""COMPUTED_VALUE"""),"#N/A")</f>
        <v>#N/A</v>
      </c>
      <c r="H1418" s="18" t="str">
        <f>IFERROR(__xludf.DUMMYFUNCTION("""COMPUTED_VALUE"""),"https://docs.google.com/spreadsheets/d/1EI7qusa674eJhuaw-nWWtWMEHVSYMQv7HLsInEZTWpE/edit?gid=1502613642#gid=1502613642")</f>
        <v>https://docs.google.com/spreadsheets/d/1EI7qusa674eJhuaw-nWWtWMEHVSYMQv7HLsInEZTWpE/edit?gid=1502613642#gid=1502613642</v>
      </c>
      <c r="I1418" s="19"/>
      <c r="J1418" s="50">
        <f>IFERROR(__xludf.DUMMYFUNCTION("""COMPUTED_VALUE"""),0.0)</f>
        <v>0</v>
      </c>
      <c r="K1418" s="58">
        <f>IFERROR(__xludf.DUMMYFUNCTION("""COMPUTED_VALUE"""),45919.0)</f>
        <v>45919</v>
      </c>
      <c r="L1418" s="6">
        <v>30.0</v>
      </c>
      <c r="M1418" s="52">
        <v>45949.0</v>
      </c>
      <c r="N1418" s="53" t="s">
        <v>668</v>
      </c>
      <c r="O1418" s="19" t="s">
        <v>1419</v>
      </c>
      <c r="P1418" s="6"/>
      <c r="Q1418" s="6"/>
      <c r="R1418" s="6"/>
    </row>
    <row r="1419">
      <c r="A1419" s="31" t="str">
        <f>IFERROR(__xludf.DUMMYFUNCTION("""COMPUTED_VALUE"""),"1323")</f>
        <v>1323</v>
      </c>
      <c r="B1419" s="14" t="str">
        <f>IFERROR(__xludf.DUMMYFUNCTION("""COMPUTED_VALUE"""),"ВНЕ СПИСКА")</f>
        <v>ВНЕ СПИСКА</v>
      </c>
      <c r="C1419" s="14" t="str">
        <f>IFERROR(__xludf.DUMMYFUNCTION("""COMPUTED_VALUE"""),"УДС")</f>
        <v>УДС</v>
      </c>
      <c r="D1419" s="6"/>
      <c r="E1419" s="14" t="str">
        <f>IFERROR(__xludf.DUMMYFUNCTION("""COMPUTED_VALUE"""),"Развитие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 2.2 Очистные сооружения поверхностного стока и главный коллект"&amp;"ор с водовыпуском. Этап 2.2.1 Трубопровод Городской округ Троицк, ул. Промышленная")</f>
        <v>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 2.2 Очистные сооружения поверхностного стока и главный коллектор с водовыпуском. Этап 2.2.1 Трубопровод Городской округ Троицк, ул. Промышленная</v>
      </c>
      <c r="F1419" s="25" t="str">
        <f>IFERROR(__xludf.DUMMYFUNCTION("""COMPUTED_VALUE"""),"#N/A")</f>
        <v>#N/A</v>
      </c>
      <c r="G1419" s="6" t="str">
        <f>IFERROR(__xludf.DUMMYFUNCTION("""COMPUTED_VALUE"""),"#N/A")</f>
        <v>#N/A</v>
      </c>
      <c r="H1419" s="18" t="str">
        <f>IFERROR(__xludf.DUMMYFUNCTION("""COMPUTED_VALUE"""),"https://docs.google.com/spreadsheets/d/1EI7qusa674eJhuaw-nWWtWMEHVSYMQv7HLsInEZTWpE/edit?gid=1360222736#gid=1360222736")</f>
        <v>https://docs.google.com/spreadsheets/d/1EI7qusa674eJhuaw-nWWtWMEHVSYMQv7HLsInEZTWpE/edit?gid=1360222736#gid=1360222736</v>
      </c>
      <c r="I1419" s="19"/>
      <c r="J1419" s="50"/>
      <c r="K1419" s="58">
        <f>IFERROR(__xludf.DUMMYFUNCTION("""COMPUTED_VALUE"""),45919.0)</f>
        <v>45919</v>
      </c>
      <c r="L1419" s="6">
        <v>30.0</v>
      </c>
      <c r="M1419" s="52">
        <v>45949.0</v>
      </c>
      <c r="N1419" s="53" t="s">
        <v>668</v>
      </c>
      <c r="O1419" s="19" t="s">
        <v>1420</v>
      </c>
      <c r="P1419" s="6"/>
      <c r="Q1419" s="6"/>
      <c r="R1419" s="6"/>
    </row>
    <row r="1420">
      <c r="A1420" s="31" t="str">
        <f>IFERROR(__xludf.DUMMYFUNCTION("""COMPUTED_VALUE"""),"1323")</f>
        <v>1323</v>
      </c>
      <c r="B1420" s="14" t="str">
        <f>IFERROR(__xludf.DUMMYFUNCTION("""COMPUTED_VALUE"""),"ВНЕ СПИСКА")</f>
        <v>ВНЕ СПИСКА</v>
      </c>
      <c r="C1420" s="14" t="str">
        <f>IFERROR(__xludf.DUMMYFUNCTION("""COMPUTED_VALUE"""),"УДС")</f>
        <v>УДС</v>
      </c>
      <c r="D1420" s="6"/>
      <c r="E1420" s="14" t="str">
        <f>IFERROR(__xludf.DUMMYFUNCTION("""COMPUTED_VALUE"""),"Строительство многоуровневых транспортных развязок на участке магистрали Солнцево-Бутово-Варшавское шоссе от ТПУ Столбово до улицы Поляны с необходимой для их функционирования улично-дорожной сетью». Этап 1.2. Участок улично-дорожной сети от ТПУ Столбово "&amp;"до улицы Поляны. Этап 1.2.2.3. (Инфраструктура зарядных станций электробусов) ")</f>
        <v>Строительство многоуровневых транспортных развязок на участке магистрали Солнцево-Бутово-Варшавское шоссе от ТПУ Столбово до улицы Поляны с необходимой для их функционирования улично-дорожной сетью». Этап 1.2. Участок улично-дорожной сети от ТПУ Столбово до улицы Поляны. Этап 1.2.2.3. (Инфраструктура зарядных станций электробусов) </v>
      </c>
      <c r="F1420" s="25" t="str">
        <f>IFERROR(__xludf.DUMMYFUNCTION("""COMPUTED_VALUE"""),"#N/A")</f>
        <v>#N/A</v>
      </c>
      <c r="G1420" s="6" t="str">
        <f>IFERROR(__xludf.DUMMYFUNCTION("""COMPUTED_VALUE"""),"#N/A")</f>
        <v>#N/A</v>
      </c>
      <c r="H1420" s="18" t="str">
        <f>IFERROR(__xludf.DUMMYFUNCTION("""COMPUTED_VALUE"""),"https://docs.google.com/spreadsheets/d/1EI7qusa674eJhuaw-nWWtWMEHVSYMQv7HLsInEZTWpE/edit?gid=1360222736#gid=1360222736")</f>
        <v>https://docs.google.com/spreadsheets/d/1EI7qusa674eJhuaw-nWWtWMEHVSYMQv7HLsInEZTWpE/edit?gid=1360222736#gid=1360222736</v>
      </c>
      <c r="I1420" s="6"/>
      <c r="J1420" s="50"/>
      <c r="K1420" s="58">
        <f>IFERROR(__xludf.DUMMYFUNCTION("""COMPUTED_VALUE"""),45919.0)</f>
        <v>45919</v>
      </c>
      <c r="L1420" s="6">
        <v>30.0</v>
      </c>
      <c r="M1420" s="52">
        <v>45949.0</v>
      </c>
      <c r="N1420" s="53" t="s">
        <v>668</v>
      </c>
      <c r="O1420" s="6" t="s">
        <v>1421</v>
      </c>
      <c r="P1420" s="6"/>
      <c r="Q1420" s="6"/>
      <c r="R1420" s="6"/>
    </row>
    <row r="1421">
      <c r="A1421" s="31" t="str">
        <f>IFERROR(__xludf.DUMMYFUNCTION("""COMPUTED_VALUE"""),"1318")</f>
        <v>1318</v>
      </c>
      <c r="B1421" s="14" t="str">
        <f>IFERROR(__xludf.DUMMYFUNCTION("""COMPUTED_VALUE"""),"ВНЕ СПИСКА")</f>
        <v>ВНЕ СПИСКА</v>
      </c>
      <c r="C1421" s="14" t="str">
        <f>IFERROR(__xludf.DUMMYFUNCTION("""COMPUTED_VALUE"""),"ОКС")</f>
        <v>ОКС</v>
      </c>
      <c r="D1421" s="6"/>
      <c r="E1421" s="14" t="str">
        <f>IFERROR(__xludf.DUMMYFUNCTION("""COMPUTED_VALUE"""),"Очистные сооружения для застройки м/р 9 Кожухово (Заказ № 05-015)  Очистные сооружения для застройки м/р 9 Кожухово (Заказ № 05-015)         Кожухово, мкр. 9 (ул. Лухмановская, вл.11 Б)        55.719384, 37.899356")</f>
        <v>Очистные сооружения для застройки м/р 9 Кожухово (Заказ № 05-015)  Очистные сооружения для застройки м/р 9 Кожухово (Заказ № 05-015)         Кожухово, мкр. 9 (ул. Лухмановская, вл.11 Б)        55.719384, 37.899356</v>
      </c>
      <c r="F1421" s="25" t="str">
        <f>IFERROR(__xludf.DUMMYFUNCTION("""COMPUTED_VALUE"""),"#N/A")</f>
        <v>#N/A</v>
      </c>
      <c r="G1421" s="6" t="str">
        <f>IFERROR(__xludf.DUMMYFUNCTION("""COMPUTED_VALUE"""),"#N/A")</f>
        <v>#N/A</v>
      </c>
      <c r="H1421" s="18" t="str">
        <f>IFERROR(__xludf.DUMMYFUNCTION("""COMPUTED_VALUE"""),"https://docs.google.com/spreadsheets/d/1EI7qusa674eJhuaw-nWWtWMEHVSYMQv7HLsInEZTWpE/edit?gid=874601105#gid=874601105")</f>
        <v>https://docs.google.com/spreadsheets/d/1EI7qusa674eJhuaw-nWWtWMEHVSYMQv7HLsInEZTWpE/edit?gid=874601105#gid=874601105</v>
      </c>
      <c r="I1421" s="6"/>
      <c r="J1421" s="50">
        <f>IFERROR(__xludf.DUMMYFUNCTION("""COMPUTED_VALUE"""),55.539)</f>
        <v>55.539</v>
      </c>
      <c r="K1421" s="58">
        <f>IFERROR(__xludf.DUMMYFUNCTION("""COMPUTED_VALUE"""),45919.0)</f>
        <v>45919</v>
      </c>
      <c r="L1421" s="6">
        <v>14.0</v>
      </c>
      <c r="M1421" s="52">
        <v>45933.0</v>
      </c>
      <c r="N1421" s="53" t="s">
        <v>668</v>
      </c>
      <c r="O1421" s="6" t="s">
        <v>1422</v>
      </c>
      <c r="P1421" s="6"/>
      <c r="Q1421" s="6"/>
      <c r="R1421" s="6"/>
    </row>
    <row r="1422">
      <c r="A1422" s="31" t="str">
        <f>IFERROR(__xludf.DUMMYFUNCTION("""COMPUTED_VALUE"""),"1307")</f>
        <v>1307</v>
      </c>
      <c r="B1422" s="14" t="str">
        <f>IFERROR(__xludf.DUMMYFUNCTION("""COMPUTED_VALUE"""),"МЕТРО")</f>
        <v>МЕТРО</v>
      </c>
      <c r="C1422" s="14" t="str">
        <f>IFERROR(__xludf.DUMMYFUNCTION("""COMPUTED_VALUE"""),"УДС")</f>
        <v>УДС</v>
      </c>
      <c r="D1422" s="6"/>
      <c r="E1422" s="14" t="str">
        <f>IFERROR(__xludf.DUMMYFUNCTION("""COMPUTED_VALUE"""),"Технологическая часть ТПУ на станции метро ""Тимирязевская"" ")</f>
        <v>Технологическая часть ТПУ на станции метро "Тимирязевская" </v>
      </c>
      <c r="F1422" s="25" t="str">
        <f>IFERROR(__xludf.DUMMYFUNCTION("""COMPUTED_VALUE"""),"#N/A")</f>
        <v>#N/A</v>
      </c>
      <c r="G1422" s="6" t="str">
        <f>IFERROR(__xludf.DUMMYFUNCTION("""COMPUTED_VALUE"""),"#N/A")</f>
        <v>#N/A</v>
      </c>
      <c r="H1422" s="18" t="str">
        <f>IFERROR(__xludf.DUMMYFUNCTION("""COMPUTED_VALUE"""),"https://docs.google.com/spreadsheets/d/1jonEGMB3UFHiUZpltF1zURon8gYN7jGSHu-k9t5TXnA/edit?gid=658853919#gid=658853919")</f>
        <v>https://docs.google.com/spreadsheets/d/1jonEGMB3UFHiUZpltF1zURon8gYN7jGSHu-k9t5TXnA/edit?gid=658853919#gid=658853919</v>
      </c>
      <c r="I1422" s="19"/>
      <c r="J1422" s="50"/>
      <c r="K1422" s="58">
        <f>IFERROR(__xludf.DUMMYFUNCTION("""COMPUTED_VALUE"""),45918.0)</f>
        <v>45918</v>
      </c>
      <c r="L1422" s="6">
        <v>30.0</v>
      </c>
      <c r="M1422" s="52">
        <v>45948.0</v>
      </c>
      <c r="N1422" s="53" t="s">
        <v>668</v>
      </c>
      <c r="O1422" s="19"/>
      <c r="P1422" s="6"/>
      <c r="Q1422" s="6"/>
      <c r="R1422" s="6"/>
    </row>
    <row r="1423">
      <c r="A1423" s="31" t="str">
        <f>IFERROR(__xludf.DUMMYFUNCTION("""COMPUTED_VALUE"""),"1308")</f>
        <v>1308</v>
      </c>
      <c r="B1423" s="14" t="str">
        <f>IFERROR(__xludf.DUMMYFUNCTION("""COMPUTED_VALUE"""),"МЕТРО")</f>
        <v>МЕТРО</v>
      </c>
      <c r="C1423" s="14" t="str">
        <f>IFERROR(__xludf.DUMMYFUNCTION("""COMPUTED_VALUE"""),"УДС")</f>
        <v>УДС</v>
      </c>
      <c r="D1423" s="6"/>
      <c r="E1423" s="14" t="str">
        <f>IFERROR(__xludf.DUMMYFUNCTION("""COMPUTED_VALUE"""),"Технологическая часть ТПУ на станции метро ""Люблино"" ")</f>
        <v>Технологическая часть ТПУ на станции метро "Люблино" </v>
      </c>
      <c r="F1423" s="25" t="str">
        <f>IFERROR(__xludf.DUMMYFUNCTION("""COMPUTED_VALUE"""),"55.676615644663535")</f>
        <v>55.676615644663535</v>
      </c>
      <c r="G1423" s="6" t="str">
        <f>IFERROR(__xludf.DUMMYFUNCTION("""COMPUTED_VALUE"""),"37.76245908598237")</f>
        <v>37.76245908598237</v>
      </c>
      <c r="H1423" s="18" t="str">
        <f>IFERROR(__xludf.DUMMYFUNCTION("""COMPUTED_VALUE"""),"https://docs.google.com/spreadsheets/d/1jonEGMB3UFHiUZpltF1zURon8gYN7jGSHu-k9t5TXnA/edit?gid=2025902554#gid=2025902554")</f>
        <v>https://docs.google.com/spreadsheets/d/1jonEGMB3UFHiUZpltF1zURon8gYN7jGSHu-k9t5TXnA/edit?gid=2025902554#gid=2025902554</v>
      </c>
      <c r="I1423" s="6"/>
      <c r="J1423" s="50"/>
      <c r="K1423" s="58">
        <f>IFERROR(__xludf.DUMMYFUNCTION("""COMPUTED_VALUE"""),45954.0)</f>
        <v>45954</v>
      </c>
      <c r="L1423" s="6">
        <v>30.0</v>
      </c>
      <c r="M1423" s="52">
        <v>45984.0</v>
      </c>
      <c r="N1423" s="53" t="s">
        <v>741</v>
      </c>
      <c r="O1423" s="6"/>
      <c r="P1423" s="6"/>
      <c r="Q1423" s="6"/>
      <c r="R1423" s="6"/>
    </row>
    <row r="1424">
      <c r="A1424" s="31" t="str">
        <f>IFERROR(__xludf.DUMMYFUNCTION("""COMPUTED_VALUE"""),"1309")</f>
        <v>1309</v>
      </c>
      <c r="B1424" s="14" t="str">
        <f>IFERROR(__xludf.DUMMYFUNCTION("""COMPUTED_VALUE"""),"МЕТРО")</f>
        <v>МЕТРО</v>
      </c>
      <c r="C1424" s="14" t="str">
        <f>IFERROR(__xludf.DUMMYFUNCTION("""COMPUTED_VALUE"""),"УДС")</f>
        <v>УДС</v>
      </c>
      <c r="D1424" s="6"/>
      <c r="E1424" s="14" t="str">
        <f>IFERROR(__xludf.DUMMYFUNCTION("""COMPUTED_VALUE"""),"Технологическая часть ТПУ на станции метро ""Нагатинская"" ")</f>
        <v>Технологическая часть ТПУ на станции метро "Нагатинская" </v>
      </c>
      <c r="F1424" s="25" t="str">
        <f>IFERROR(__xludf.DUMMYFUNCTION("""COMPUTED_VALUE"""),"55.683452983520034")</f>
        <v>55.683452983520034</v>
      </c>
      <c r="G1424" s="6" t="str">
        <f>IFERROR(__xludf.DUMMYFUNCTION("""COMPUTED_VALUE"""),"37.6210443359666")</f>
        <v>37.6210443359666</v>
      </c>
      <c r="H1424" s="18" t="str">
        <f>IFERROR(__xludf.DUMMYFUNCTION("""COMPUTED_VALUE"""),"https://docs.google.com/spreadsheets/d/1jonEGMB3UFHiUZpltF1zURon8gYN7jGSHu-k9t5TXnA/edit?gid=1885490900#gid=1885490900")</f>
        <v>https://docs.google.com/spreadsheets/d/1jonEGMB3UFHiUZpltF1zURon8gYN7jGSHu-k9t5TXnA/edit?gid=1885490900#gid=1885490900</v>
      </c>
      <c r="I1424" s="6"/>
      <c r="J1424" s="50"/>
      <c r="K1424" s="58">
        <f>IFERROR(__xludf.DUMMYFUNCTION("""COMPUTED_VALUE"""),45954.0)</f>
        <v>45954</v>
      </c>
      <c r="L1424" s="6">
        <v>30.0</v>
      </c>
      <c r="M1424" s="52">
        <v>45984.0</v>
      </c>
      <c r="N1424" s="53" t="s">
        <v>741</v>
      </c>
      <c r="O1424" s="6"/>
      <c r="P1424" s="6"/>
      <c r="Q1424" s="6"/>
      <c r="R1424" s="6"/>
    </row>
    <row r="1425">
      <c r="A1425" s="31" t="str">
        <f>IFERROR(__xludf.DUMMYFUNCTION("""COMPUTED_VALUE"""),"1310")</f>
        <v>1310</v>
      </c>
      <c r="B1425" s="14" t="str">
        <f>IFERROR(__xludf.DUMMYFUNCTION("""COMPUTED_VALUE"""),"МЕТРО")</f>
        <v>МЕТРО</v>
      </c>
      <c r="C1425" s="14" t="str">
        <f>IFERROR(__xludf.DUMMYFUNCTION("""COMPUTED_VALUE"""),"УДС")</f>
        <v>УДС</v>
      </c>
      <c r="D1425" s="6"/>
      <c r="E1425" s="14" t="str">
        <f>IFERROR(__xludf.DUMMYFUNCTION("""COMPUTED_VALUE"""),"Технологическая часть ТПУ на станции метро ""Молодежная"" ")</f>
        <v>Технологическая часть ТПУ на станции метро "Молодежная" </v>
      </c>
      <c r="F1425" s="25" t="str">
        <f>IFERROR(__xludf.DUMMYFUNCTION("""COMPUTED_VALUE"""),"55.74093068293902")</f>
        <v>55.74093068293902</v>
      </c>
      <c r="G1425" s="6" t="str">
        <f>IFERROR(__xludf.DUMMYFUNCTION("""COMPUTED_VALUE"""),"37.414742165328526")</f>
        <v>37.414742165328526</v>
      </c>
      <c r="H1425" s="18" t="str">
        <f>IFERROR(__xludf.DUMMYFUNCTION("""COMPUTED_VALUE"""),"https://docs.google.com/spreadsheets/d/1jonEGMB3UFHiUZpltF1zURon8gYN7jGSHu-k9t5TXnA/edit?gid=1197282762#gid=1197282762")</f>
        <v>https://docs.google.com/spreadsheets/d/1jonEGMB3UFHiUZpltF1zURon8gYN7jGSHu-k9t5TXnA/edit?gid=1197282762#gid=1197282762</v>
      </c>
      <c r="I1425" s="6"/>
      <c r="J1425" s="50"/>
      <c r="K1425" s="58">
        <f>IFERROR(__xludf.DUMMYFUNCTION("""COMPUTED_VALUE"""),45954.0)</f>
        <v>45954</v>
      </c>
      <c r="L1425" s="6">
        <v>30.0</v>
      </c>
      <c r="M1425" s="52">
        <v>45984.0</v>
      </c>
      <c r="N1425" s="53" t="s">
        <v>741</v>
      </c>
      <c r="O1425" s="6"/>
      <c r="P1425" s="6"/>
      <c r="Q1425" s="6"/>
      <c r="R1425" s="6"/>
    </row>
    <row r="1426">
      <c r="A1426" s="31" t="str">
        <f>IFERROR(__xludf.DUMMYFUNCTION("""COMPUTED_VALUE"""),"н/д")</f>
        <v>н/д</v>
      </c>
      <c r="B1426" s="14"/>
      <c r="C1426" s="14" t="str">
        <f>IFERROR(__xludf.DUMMYFUNCTION("""COMPUTED_VALUE"""),"УДС")</f>
        <v>УДС</v>
      </c>
      <c r="D1426" s="6"/>
      <c r="E1426" s="14" t="str">
        <f>IFERROR(__xludf.DUMMYFUNCTION("""COMPUTED_VALUE""")," 
«Размещение отстойно-разворотной площадки наземного городского пассажирского транспорта площадью 0,87 га и строительство здания конечной станции (зона № 28.1)   г.Москва, внутригородское муниципальное образование Зюзино, Балаклавский проспект,"&amp;" владение 28А, строение 5»")</f>
        <v> 
«Размещение отстойно-разворотной площадки наземного городского пассажирского транспорта площадью 0,87 га и строительство здания конечной станции (зона № 28.1)   г.Москва, внутригородское муниципальное образование Зюзино, Балаклавский проспект, владение 28А, строение 5»</v>
      </c>
      <c r="F1426" s="25" t="str">
        <f>IFERROR(__xludf.DUMMYFUNCTION("""COMPUTED_VALUE"""),"#N/A")</f>
        <v>#N/A</v>
      </c>
      <c r="G1426" s="6" t="str">
        <f>IFERROR(__xludf.DUMMYFUNCTION("""COMPUTED_VALUE"""),"#N/A")</f>
        <v>#N/A</v>
      </c>
      <c r="H1426" s="6"/>
      <c r="I1426" s="6"/>
      <c r="J1426" s="50"/>
      <c r="K1426" s="58"/>
      <c r="L1426" s="6">
        <v>30.0</v>
      </c>
      <c r="M1426" s="52" t="s">
        <v>655</v>
      </c>
      <c r="N1426" s="53" t="s">
        <v>698</v>
      </c>
      <c r="O1426" s="6" t="s">
        <v>669</v>
      </c>
      <c r="P1426" s="6"/>
      <c r="Q1426" s="6"/>
      <c r="R1426" s="6"/>
    </row>
    <row r="1427">
      <c r="A1427" s="31"/>
      <c r="B1427" s="14" t="str">
        <f>IFERROR(__xludf.DUMMYFUNCTION("""COMPUTED_VALUE"""),"МЕТРО")</f>
        <v>МЕТРО</v>
      </c>
      <c r="C1427" s="14" t="str">
        <f>IFERROR(__xludf.DUMMYFUNCTION("""COMPUTED_VALUE"""),"УДС")</f>
        <v>УДС</v>
      </c>
      <c r="D1427" s="6"/>
      <c r="E1427" s="14" t="str">
        <f>IFERROR(__xludf.DUMMYFUNCTION("""COMPUTED_VALUE"""),"Калининско-Солнцевскаялиния метрополитена от станции метро «Рассказовка» до станции
метро «Внуково». Этап «Благоустройство». Этап 1.3: «Благоустройство станции «Пыхтино».
Отстойно-разворотная площадка со зданием конечной станции» ")</f>
        <v>Калининско-Солнцевскаялиния метрополитена от станции метро «Рассказовка» до станции
метро «Внуково». Этап «Благоустройство». Этап 1.3: «Благоустройство станции «Пыхтино».
Отстойно-разворотная площадка со зданием конечной станции» </v>
      </c>
      <c r="F1427" s="25" t="str">
        <f>IFERROR(__xludf.DUMMYFUNCTION("""COMPUTED_VALUE"""),"#N/A")</f>
        <v>#N/A</v>
      </c>
      <c r="G1427" s="6" t="str">
        <f>IFERROR(__xludf.DUMMYFUNCTION("""COMPUTED_VALUE"""),"#N/A")</f>
        <v>#N/A</v>
      </c>
      <c r="H1427" s="6"/>
      <c r="I1427" s="6"/>
      <c r="J1427" s="50"/>
      <c r="K1427" s="58"/>
      <c r="L1427" s="6" t="s">
        <v>655</v>
      </c>
      <c r="M1427" s="52" t="s">
        <v>655</v>
      </c>
      <c r="N1427" s="53" t="s">
        <v>655</v>
      </c>
      <c r="O1427" s="6"/>
      <c r="P1427" s="6"/>
      <c r="Q1427" s="6"/>
      <c r="R1427" s="6"/>
    </row>
    <row r="1428">
      <c r="A1428" s="31"/>
      <c r="B1428" s="14" t="str">
        <f>IFERROR(__xludf.DUMMYFUNCTION("""COMPUTED_VALUE"""),"МЕТРО")</f>
        <v>МЕТРО</v>
      </c>
      <c r="C1428" s="14" t="str">
        <f>IFERROR(__xludf.DUMMYFUNCTION("""COMPUTED_VALUE"""),"УДС")</f>
        <v>УДС</v>
      </c>
      <c r="D1428" s="6"/>
      <c r="E1428" s="14" t="str">
        <f>IFERROR(__xludf.DUMMYFUNCTION("""COMPUTED_VALUE"""),"Технологическая часть транспортно пересадочного узла на станции метро «Селигерская улица». Уширение Коровинского шоссе и Селигерской улицы. Этап 1.3 Станция метро ""Селигерская""")</f>
        <v>Технологическая часть транспортно пересадочного узла на станции метро «Селигерская улица». Уширение Коровинского шоссе и Селигерской улицы. Этап 1.3 Станция метро "Селигерская"</v>
      </c>
      <c r="F1428" s="25" t="str">
        <f>IFERROR(__xludf.DUMMYFUNCTION("""COMPUTED_VALUE"""),"#N/A")</f>
        <v>#N/A</v>
      </c>
      <c r="G1428" s="6" t="str">
        <f>IFERROR(__xludf.DUMMYFUNCTION("""COMPUTED_VALUE"""),"#N/A")</f>
        <v>#N/A</v>
      </c>
      <c r="H1428" s="6"/>
      <c r="I1428" s="6"/>
      <c r="J1428" s="50"/>
      <c r="K1428" s="58"/>
      <c r="L1428" s="6" t="s">
        <v>655</v>
      </c>
      <c r="M1428" s="52" t="s">
        <v>655</v>
      </c>
      <c r="N1428" s="53" t="s">
        <v>655</v>
      </c>
      <c r="O1428" s="6"/>
      <c r="P1428" s="6"/>
      <c r="Q1428" s="6"/>
      <c r="R1428" s="6"/>
    </row>
    <row r="1429">
      <c r="A1429" s="31"/>
      <c r="B1429" s="14" t="str">
        <f>IFERROR(__xludf.DUMMYFUNCTION("""COMPUTED_VALUE"""),"МЕТРО")</f>
        <v>МЕТРО</v>
      </c>
      <c r="C1429" s="14" t="str">
        <f>IFERROR(__xludf.DUMMYFUNCTION("""COMPUTED_VALUE"""),"УДС")</f>
        <v>УДС</v>
      </c>
      <c r="D1429" s="6"/>
      <c r="E1429" s="14" t="str">
        <f>IFERROR(__xludf.DUMMYFUNCTION("""COMPUTED_VALUE"""),"Технологическая часть ТПУ на станции метро «Лесопарковая. Этап 1 Станция метро ""Лесопарковая""")</f>
        <v>Технологическая часть ТПУ на станции метро «Лесопарковая. Этап 1 Станция метро "Лесопарковая"</v>
      </c>
      <c r="F1429" s="25" t="str">
        <f>IFERROR(__xludf.DUMMYFUNCTION("""COMPUTED_VALUE"""),"#N/A")</f>
        <v>#N/A</v>
      </c>
      <c r="G1429" s="6" t="str">
        <f>IFERROR(__xludf.DUMMYFUNCTION("""COMPUTED_VALUE"""),"#N/A")</f>
        <v>#N/A</v>
      </c>
      <c r="H1429" s="6"/>
      <c r="I1429" s="6"/>
      <c r="J1429" s="50"/>
      <c r="K1429" s="58"/>
      <c r="L1429" s="6" t="s">
        <v>655</v>
      </c>
      <c r="M1429" s="52" t="s">
        <v>655</v>
      </c>
      <c r="N1429" s="53" t="s">
        <v>655</v>
      </c>
      <c r="O1429" s="6" t="s">
        <v>1423</v>
      </c>
      <c r="P1429" s="6"/>
      <c r="Q1429" s="6"/>
      <c r="R1429" s="6"/>
    </row>
    <row r="1430">
      <c r="A1430" s="31"/>
      <c r="B1430" s="14" t="str">
        <f>IFERROR(__xludf.DUMMYFUNCTION("""COMPUTED_VALUE"""),"МЕТРО")</f>
        <v>МЕТРО</v>
      </c>
      <c r="C1430" s="14" t="str">
        <f>IFERROR(__xludf.DUMMYFUNCTION("""COMPUTED_VALUE"""),"УДС")</f>
        <v>УДС</v>
      </c>
      <c r="D1430" s="6"/>
      <c r="E1430" s="14" t="str">
        <f>IFERROR(__xludf.DUMMYFUNCTION("""COMPUTED_VALUE"""),"Технологическая часть ТПУ на станции метро «Лесопарковая. Этап 2 Станция метро ""Лесопарковая""")</f>
        <v>Технологическая часть ТПУ на станции метро «Лесопарковая. Этап 2 Станция метро "Лесопарковая"</v>
      </c>
      <c r="F1430" s="25" t="str">
        <f>IFERROR(__xludf.DUMMYFUNCTION("""COMPUTED_VALUE"""),"#N/A")</f>
        <v>#N/A</v>
      </c>
      <c r="G1430" s="6" t="str">
        <f>IFERROR(__xludf.DUMMYFUNCTION("""COMPUTED_VALUE"""),"#N/A")</f>
        <v>#N/A</v>
      </c>
      <c r="H1430" s="6"/>
      <c r="I1430" s="6"/>
      <c r="J1430" s="50"/>
      <c r="K1430" s="58"/>
      <c r="L1430" s="6" t="s">
        <v>655</v>
      </c>
      <c r="M1430" s="52" t="s">
        <v>655</v>
      </c>
      <c r="N1430" s="53" t="s">
        <v>655</v>
      </c>
      <c r="O1430" s="6" t="s">
        <v>893</v>
      </c>
      <c r="P1430" s="6"/>
      <c r="Q1430" s="6"/>
      <c r="R1430" s="6"/>
    </row>
    <row r="1431">
      <c r="A1431" s="31"/>
      <c r="B1431" s="14"/>
      <c r="C1431" s="14" t="str">
        <f>IFERROR(__xludf.DUMMYFUNCTION("""COMPUTED_VALUE"""),"УДС")</f>
        <v>УДС</v>
      </c>
      <c r="D1431" s="6"/>
      <c r="E1431" s="14" t="str">
        <f>IFERROR(__xludf.DUMMYFUNCTION("""COMPUTED_VALUE"""),"Выполнение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необх"&amp;"одимыми для их функционирования подъездными дорогами, с переустройством инженерных сетей и коммуникаций (1 этап). 1.2 этап: Улично-дорожная сеть территории застройки Мневниковской поймы, инженерные коммуникации и сооружения, ОРП». ")</f>
        <v>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1.2 этап: Улично-дорожная сеть территории застройки Мневниковской поймы, инженерные коммуникации и сооружения, ОРП». </v>
      </c>
      <c r="F1431" s="25" t="str">
        <f>IFERROR(__xludf.DUMMYFUNCTION("""COMPUTED_VALUE"""),"#N/A")</f>
        <v>#N/A</v>
      </c>
      <c r="G1431" s="6" t="str">
        <f>IFERROR(__xludf.DUMMYFUNCTION("""COMPUTED_VALUE"""),"#N/A")</f>
        <v>#N/A</v>
      </c>
      <c r="H1431" s="6"/>
      <c r="I1431" s="6"/>
      <c r="J1431" s="50"/>
      <c r="K1431" s="58"/>
      <c r="L1431" s="6" t="s">
        <v>655</v>
      </c>
      <c r="M1431" s="52" t="s">
        <v>655</v>
      </c>
      <c r="N1431" s="53" t="s">
        <v>655</v>
      </c>
      <c r="O1431" s="6"/>
      <c r="P1431" s="6"/>
      <c r="Q1431" s="6"/>
      <c r="R1431" s="6"/>
    </row>
    <row r="1432">
      <c r="A1432" s="31"/>
      <c r="B1432" s="14"/>
      <c r="C1432" s="14" t="str">
        <f>IFERROR(__xludf.DUMMYFUNCTION("""COMPUTED_VALUE"""),"УДС")</f>
        <v>УДС</v>
      </c>
      <c r="D1432" s="6"/>
      <c r="E1432" s="14" t="str">
        <f>IFERROR(__xludf.DUMMYFUNCTION("""COMPUTED_VALUE"""),"Выполнение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необх"&amp;"одимыми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f>
        <v>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v>
      </c>
      <c r="F1432" s="25" t="str">
        <f>IFERROR(__xludf.DUMMYFUNCTION("""COMPUTED_VALUE"""),"#N/A")</f>
        <v>#N/A</v>
      </c>
      <c r="G1432" s="6" t="str">
        <f>IFERROR(__xludf.DUMMYFUNCTION("""COMPUTED_VALUE"""),"#N/A")</f>
        <v>#N/A</v>
      </c>
      <c r="H1432" s="6"/>
      <c r="I1432" s="6"/>
      <c r="J1432" s="50"/>
      <c r="K1432" s="58"/>
      <c r="L1432" s="6" t="s">
        <v>655</v>
      </c>
      <c r="M1432" s="52" t="s">
        <v>655</v>
      </c>
      <c r="N1432" s="53" t="s">
        <v>655</v>
      </c>
      <c r="O1432" s="6"/>
      <c r="P1432" s="6"/>
      <c r="Q1432" s="6"/>
      <c r="R1432" s="6"/>
    </row>
    <row r="1433">
      <c r="A1433" s="31"/>
      <c r="B1433" s="14"/>
      <c r="C1433" s="14" t="str">
        <f>IFERROR(__xludf.DUMMYFUNCTION("""COMPUTED_VALUE"""),"УДС")</f>
        <v>УДС</v>
      </c>
      <c r="D1433" s="6"/>
      <c r="E1433" s="14" t="str">
        <f>IFERROR(__xludf.DUMMYFUNCTION("""COMPUTED_VALUE"""),"Выполнение подрядных работ по строительству объекта капитального строительства: ""Строительство многоуровневой транспортной развязки на дороге ""Солнцево-Бутово-Видное"" и прилегающая улично-дорожная сеть. Этап 2. Переустройство ВЛ 110кВ и 220кВ. "" ")</f>
        <v>Выполнение подрядных работ по строительству объекта капитального строительства: "Строительство многоуровневой транспортной развязки на дороге "Солнцево-Бутово-Видное" и прилегающая улично-дорожная сеть. Этап 2. Переустройство ВЛ 110кВ и 220кВ. " </v>
      </c>
      <c r="F1433" s="25" t="str">
        <f>IFERROR(__xludf.DUMMYFUNCTION("""COMPUTED_VALUE"""),"#N/A")</f>
        <v>#N/A</v>
      </c>
      <c r="G1433" s="6" t="str">
        <f>IFERROR(__xludf.DUMMYFUNCTION("""COMPUTED_VALUE"""),"#N/A")</f>
        <v>#N/A</v>
      </c>
      <c r="H1433" s="6"/>
      <c r="I1433" s="6"/>
      <c r="J1433" s="50"/>
      <c r="K1433" s="58"/>
      <c r="L1433" s="6" t="s">
        <v>655</v>
      </c>
      <c r="M1433" s="52" t="s">
        <v>655</v>
      </c>
      <c r="N1433" s="53" t="s">
        <v>655</v>
      </c>
      <c r="O1433" s="6" t="s">
        <v>893</v>
      </c>
      <c r="P1433" s="6"/>
      <c r="Q1433" s="6"/>
      <c r="R1433" s="6"/>
    </row>
    <row r="1434">
      <c r="A1434" s="31" t="str">
        <f>IFERROR(__xludf.DUMMYFUNCTION("""COMPUTED_VALUE"""),"н/д")</f>
        <v>н/д</v>
      </c>
      <c r="B1434" s="14" t="str">
        <f>IFERROR(__xludf.DUMMYFUNCTION("""COMPUTED_VALUE"""),"ВНЕ СПИСКА")</f>
        <v>ВНЕ СПИСКА</v>
      </c>
      <c r="C1434" s="14" t="str">
        <f>IFERROR(__xludf.DUMMYFUNCTION("""COMPUTED_VALUE"""),"ОКС")</f>
        <v>ОКС</v>
      </c>
      <c r="D1434" s="6"/>
      <c r="E1434" s="14" t="str">
        <f>IFERROR(__xludf.DUMMYFUNCTION("""COMPUTED_VALUE"""),"Индивидуальный монолитный 4-х секционный 16-18-этажный жилой дом с подземной автостоянкой Бирюлево Восточное, 6-я Радиальная ул., вл.7, корп.24")</f>
        <v>Индивидуальный монолитный 4-х секционный 16-18-этажный жилой дом с подземной автостоянкой Бирюлево Восточное, 6-я Радиальная ул., вл.7, корп.24</v>
      </c>
      <c r="F1434" s="25" t="str">
        <f>IFERROR(__xludf.DUMMYFUNCTION("""COMPUTED_VALUE"""),"#N/A")</f>
        <v>#N/A</v>
      </c>
      <c r="G1434" s="6" t="str">
        <f>IFERROR(__xludf.DUMMYFUNCTION("""COMPUTED_VALUE"""),"#N/A")</f>
        <v>#N/A</v>
      </c>
      <c r="H1434" s="6"/>
      <c r="I1434" s="6"/>
      <c r="J1434" s="50"/>
      <c r="K1434" s="58"/>
      <c r="L1434" s="6">
        <v>30.0</v>
      </c>
      <c r="M1434" s="52" t="s">
        <v>655</v>
      </c>
      <c r="N1434" s="53" t="s">
        <v>652</v>
      </c>
      <c r="O1434" s="6" t="s">
        <v>1424</v>
      </c>
      <c r="P1434" s="6"/>
      <c r="Q1434" s="6"/>
      <c r="R1434" s="6"/>
    </row>
    <row r="1435">
      <c r="A1435" s="31" t="str">
        <f>IFERROR(__xludf.DUMMYFUNCTION("""COMPUTED_VALUE"""),"н/д")</f>
        <v>н/д</v>
      </c>
      <c r="B1435" s="14" t="str">
        <f>IFERROR(__xludf.DUMMYFUNCTION("""COMPUTED_VALUE"""),"ВНЕ СПИСКА")</f>
        <v>ВНЕ СПИСКА</v>
      </c>
      <c r="C1435" s="14" t="str">
        <f>IFERROR(__xludf.DUMMYFUNCTION("""COMPUTED_VALUE"""),"ОКС")</f>
        <v>ОКС</v>
      </c>
      <c r="D1435" s="6"/>
      <c r="E1435" s="14" t="str">
        <f>IFERROR(__xludf.DUMMYFUNCTION("""COMPUTED_VALUE"""),"Индивидуальный монолитный 4-х секционный 16-18-этажный жилой дом с подземной автостоянкой Бирюлево Восточное, 6-я Радиальная ул., вл.7, корп.23")</f>
        <v>Индивидуальный монолитный 4-х секционный 16-18-этажный жилой дом с подземной автостоянкой Бирюлево Восточное, 6-я Радиальная ул., вл.7, корп.23</v>
      </c>
      <c r="F1435" s="25" t="str">
        <f>IFERROR(__xludf.DUMMYFUNCTION("""COMPUTED_VALUE"""),"#N/A")</f>
        <v>#N/A</v>
      </c>
      <c r="G1435" s="6" t="str">
        <f>IFERROR(__xludf.DUMMYFUNCTION("""COMPUTED_VALUE"""),"#N/A")</f>
        <v>#N/A</v>
      </c>
      <c r="H1435" s="6"/>
      <c r="I1435" s="19"/>
      <c r="J1435" s="50"/>
      <c r="K1435" s="58"/>
      <c r="L1435" s="6">
        <v>30.0</v>
      </c>
      <c r="M1435" s="52" t="s">
        <v>655</v>
      </c>
      <c r="N1435" s="53" t="s">
        <v>652</v>
      </c>
      <c r="O1435" s="19" t="s">
        <v>1425</v>
      </c>
      <c r="P1435" s="6"/>
      <c r="Q1435" s="6"/>
      <c r="R1435" s="6"/>
    </row>
    <row r="1436">
      <c r="A1436" s="31" t="str">
        <f>IFERROR(__xludf.DUMMYFUNCTION("""COMPUTED_VALUE"""),"н/д")</f>
        <v>н/д</v>
      </c>
      <c r="B1436" s="14" t="str">
        <f>IFERROR(__xludf.DUMMYFUNCTION("""COMPUTED_VALUE"""),"ВНЕ СПИСКА")</f>
        <v>ВНЕ СПИСКА</v>
      </c>
      <c r="C1436" s="14" t="str">
        <f>IFERROR(__xludf.DUMMYFUNCTION("""COMPUTED_VALUE"""),"ОКС")</f>
        <v>ОКС</v>
      </c>
      <c r="D1436" s="6"/>
      <c r="E1436" s="14" t="str">
        <f>IFERROR(__xludf.DUMMYFUNCTION("""COMPUTED_VALUE"""),"Индивидуальный монолитный 11-и секционный 16-18-этажный жилой дом с подземной автостоянкой Бирюлево Восточное, 6-я Радиальная ул., вл.7, корп.25")</f>
        <v>Индивидуальный монолитный 11-и секционный 16-18-этажный жилой дом с подземной автостоянкой Бирюлево Восточное, 6-я Радиальная ул., вл.7, корп.25</v>
      </c>
      <c r="F1436" s="25" t="str">
        <f>IFERROR(__xludf.DUMMYFUNCTION("""COMPUTED_VALUE"""),"#N/A")</f>
        <v>#N/A</v>
      </c>
      <c r="G1436" s="6" t="str">
        <f>IFERROR(__xludf.DUMMYFUNCTION("""COMPUTED_VALUE"""),"#N/A")</f>
        <v>#N/A</v>
      </c>
      <c r="H1436" s="6"/>
      <c r="I1436" s="19"/>
      <c r="J1436" s="50"/>
      <c r="K1436" s="58"/>
      <c r="L1436" s="6">
        <v>30.0</v>
      </c>
      <c r="M1436" s="52" t="s">
        <v>655</v>
      </c>
      <c r="N1436" s="53" t="s">
        <v>652</v>
      </c>
      <c r="O1436" s="19" t="s">
        <v>1426</v>
      </c>
      <c r="P1436" s="6"/>
      <c r="Q1436" s="6"/>
      <c r="R1436" s="6"/>
    </row>
    <row r="1437">
      <c r="A1437" s="31" t="str">
        <f>IFERROR(__xludf.DUMMYFUNCTION("""COMPUTED_VALUE"""),"н/д")</f>
        <v>н/д</v>
      </c>
      <c r="B1437" s="14" t="str">
        <f>IFERROR(__xludf.DUMMYFUNCTION("""COMPUTED_VALUE"""),"ВНЕ СПИСКА")</f>
        <v>ВНЕ СПИСКА</v>
      </c>
      <c r="C1437" s="14" t="str">
        <f>IFERROR(__xludf.DUMMYFUNCTION("""COMPUTED_VALUE"""),"ОКС")</f>
        <v>ОКС</v>
      </c>
      <c r="D1437" s="6"/>
      <c r="E1437" s="14" t="str">
        <f>IFERROR(__xludf.DUMMYFUNCTION("""COMPUTED_VALUE"""),"Административно-деловой центр Бирюлево Восточное, 6-я Радиальная ул., вл.7, корп.35")</f>
        <v>Административно-деловой центр Бирюлево Восточное, 6-я Радиальная ул., вл.7, корп.35</v>
      </c>
      <c r="F1437" s="25" t="str">
        <f>IFERROR(__xludf.DUMMYFUNCTION("""COMPUTED_VALUE"""),"#N/A")</f>
        <v>#N/A</v>
      </c>
      <c r="G1437" s="6" t="str">
        <f>IFERROR(__xludf.DUMMYFUNCTION("""COMPUTED_VALUE"""),"#N/A")</f>
        <v>#N/A</v>
      </c>
      <c r="H1437" s="6"/>
      <c r="I1437" s="19"/>
      <c r="J1437" s="50"/>
      <c r="K1437" s="58"/>
      <c r="L1437" s="6">
        <v>30.0</v>
      </c>
      <c r="M1437" s="52" t="s">
        <v>655</v>
      </c>
      <c r="N1437" s="53" t="s">
        <v>698</v>
      </c>
      <c r="O1437" s="19" t="s">
        <v>1427</v>
      </c>
      <c r="P1437" s="6"/>
      <c r="Q1437" s="6"/>
      <c r="R1437" s="6"/>
    </row>
    <row r="1438">
      <c r="A1438" s="31" t="str">
        <f>IFERROR(__xludf.DUMMYFUNCTION("""COMPUTED_VALUE"""),"нд")</f>
        <v>нд</v>
      </c>
      <c r="B1438" s="14" t="str">
        <f>IFERROR(__xludf.DUMMYFUNCTION("""COMPUTED_VALUE"""),"ВНЕ СПИСКА")</f>
        <v>ВНЕ СПИСКА</v>
      </c>
      <c r="C1438" s="14"/>
      <c r="D1438" s="6"/>
      <c r="E1438" s="14" t="str">
        <f>IFERROR(__xludf.DUMMYFUNCTION("""COMPUTED_VALUE"""),"Выполнение проектно-изыскательских работ по объекту капитального строительства: «Реконструкция очистного сооружения «Пруд-отстойник «Нищенка» Шоссейная улица, 72")</f>
        <v>Выполнение проектно-изыскательских работ по объекту капитального строительства: «Реконструкция очистного сооружения «Пруд-отстойник «Нищенка» Шоссейная улица, 72</v>
      </c>
      <c r="F1438" s="25" t="str">
        <f>IFERROR(__xludf.DUMMYFUNCTION("""COMPUTED_VALUE"""),"#N/A")</f>
        <v>#N/A</v>
      </c>
      <c r="G1438" s="6" t="str">
        <f>IFERROR(__xludf.DUMMYFUNCTION("""COMPUTED_VALUE"""),"#N/A")</f>
        <v>#N/A</v>
      </c>
      <c r="H1438" s="6"/>
      <c r="I1438" s="19"/>
      <c r="J1438" s="50"/>
      <c r="K1438" s="58"/>
      <c r="L1438" s="6">
        <v>30.0</v>
      </c>
      <c r="M1438" s="52" t="s">
        <v>655</v>
      </c>
      <c r="N1438" s="53" t="s">
        <v>698</v>
      </c>
      <c r="O1438" s="19" t="s">
        <v>1428</v>
      </c>
      <c r="P1438" s="6"/>
      <c r="Q1438" s="6"/>
      <c r="R1438" s="6"/>
    </row>
    <row r="1439">
      <c r="A1439" s="31" t="str">
        <f>IFERROR(__xludf.DUMMYFUNCTION("""COMPUTED_VALUE"""),"нд")</f>
        <v>нд</v>
      </c>
      <c r="B1439" s="14" t="str">
        <f>IFERROR(__xludf.DUMMYFUNCTION("""COMPUTED_VALUE"""),"ВНЕ СПИСКА")</f>
        <v>ВНЕ СПИСКА</v>
      </c>
      <c r="C1439" s="14" t="str">
        <f>IFERROR(__xludf.DUMMYFUNCTION("""COMPUTED_VALUE"""),"УДС")</f>
        <v>УДС</v>
      </c>
      <c r="D1439" s="6"/>
      <c r="E1439" s="14" t="str">
        <f>IFERROR(__xludf.DUMMYFUNCTION("""COMPUTED_VALUE"""),"Строительство улицы районного значения к ж/д ст. Санино (с ОРП и конечной станцией) дер. Санино, СНТ Крекшино (вдоль путей Киевского направления МЖД)")</f>
        <v>Строительство улицы районного значения к ж/д ст. Санино (с ОРП и конечной станцией) дер. Санино, СНТ Крекшино (вдоль путей Киевского направления МЖД)</v>
      </c>
      <c r="F1439" s="25" t="str">
        <f>IFERROR(__xludf.DUMMYFUNCTION("""COMPUTED_VALUE"""),"#N/A")</f>
        <v>#N/A</v>
      </c>
      <c r="G1439" s="6" t="str">
        <f>IFERROR(__xludf.DUMMYFUNCTION("""COMPUTED_VALUE"""),"#N/A")</f>
        <v>#N/A</v>
      </c>
      <c r="H1439" s="6"/>
      <c r="I1439" s="19"/>
      <c r="J1439" s="50"/>
      <c r="K1439" s="58"/>
      <c r="L1439" s="6">
        <v>30.0</v>
      </c>
      <c r="M1439" s="52" t="s">
        <v>655</v>
      </c>
      <c r="N1439" s="53" t="s">
        <v>698</v>
      </c>
      <c r="O1439" s="19" t="s">
        <v>1429</v>
      </c>
      <c r="P1439" s="6"/>
      <c r="Q1439" s="6"/>
      <c r="R1439" s="6"/>
    </row>
    <row r="1440">
      <c r="A1440" s="31" t="str">
        <f>IFERROR(__xludf.DUMMYFUNCTION("""COMPUTED_VALUE"""),"нд")</f>
        <v>нд</v>
      </c>
      <c r="B1440" s="14" t="str">
        <f>IFERROR(__xludf.DUMMYFUNCTION("""COMPUTED_VALUE"""),"ВНЕ СПИСКА")</f>
        <v>ВНЕ СПИСКА</v>
      </c>
      <c r="C1440" s="14" t="str">
        <f>IFERROR(__xludf.DUMMYFUNCTION("""COMPUTED_VALUE"""),"УДС")</f>
        <v>УДС</v>
      </c>
      <c r="D1440" s="6"/>
      <c r="E1440" s="14" t="str">
        <f>IFERROR(__xludf.DUMMYFUNCTION("""COMPUTED_VALUE"""),"Выполнение подрядных работ по строительству объекта капитального строительства ""Мероприятия по развитию территории набережной Москвы-реки от железнодорожного моста Курского направления Московской железной дороги до Братеевского каскадного парка. Этап 2.1"&amp;". Благоустройство набережной Москвы-реки от существующих очистных сооружений до Братеевского каскадного парка"" Ул.Борисовские пруды, Братеевский парк")</f>
        <v>Выполнение подрядных работ по строительству объекта капитального строительства "Мероприятия по развитию территории набережной Москвы-реки от железнодорожного моста Курского направления Московской железной дороги до Братеевского каскадного парка. Этап 2.1. Благоустройство набережной Москвы-реки от существующих очистных сооружений до Братеевского каскадного парка" Ул.Борисовские пруды, Братеевский парк</v>
      </c>
      <c r="F1440" s="25" t="str">
        <f>IFERROR(__xludf.DUMMYFUNCTION("""COMPUTED_VALUE"""),"#N/A")</f>
        <v>#N/A</v>
      </c>
      <c r="G1440" s="6" t="str">
        <f>IFERROR(__xludf.DUMMYFUNCTION("""COMPUTED_VALUE"""),"#N/A")</f>
        <v>#N/A</v>
      </c>
      <c r="H1440" s="6"/>
      <c r="I1440" s="6"/>
      <c r="J1440" s="50"/>
      <c r="K1440" s="58"/>
      <c r="L1440" s="6">
        <v>30.0</v>
      </c>
      <c r="M1440" s="52" t="s">
        <v>655</v>
      </c>
      <c r="N1440" s="53" t="s">
        <v>698</v>
      </c>
      <c r="O1440" s="6" t="s">
        <v>936</v>
      </c>
      <c r="P1440" s="6"/>
      <c r="Q1440" s="6"/>
      <c r="R1440" s="6"/>
    </row>
    <row r="1441">
      <c r="A1441" s="31" t="str">
        <f>IFERROR(__xludf.DUMMYFUNCTION("""COMPUTED_VALUE"""),"1328")</f>
        <v>1328</v>
      </c>
      <c r="B1441" s="14" t="str">
        <f>IFERROR(__xludf.DUMMYFUNCTION("""COMPUTED_VALUE"""),"МЕТРО")</f>
        <v>МЕТРО</v>
      </c>
      <c r="C1441" s="14" t="str">
        <f>IFERROR(__xludf.DUMMYFUNCTION("""COMPUTED_VALUE"""),"УДС")</f>
        <v>УДС</v>
      </c>
      <c r="D1441" s="6"/>
      <c r="E1441" s="14" t="str">
        <f>IFERROR(__xludf.DUMMYFUNCTION("""COMPUTED_VALUE"""),"Технологическая часть ТПУ на станции метро ""Ховрино"" (""ул. Дыбенко""). Этап 4.1 ""Технологическая часть транспортно-пересадочноо узла на станции метро ""Ховрино"" (""Улица Дыбенко""). Развитие транспортной и пешеходной инфраструктуры. Благоустройство С"&amp;"танция метро ""Ховрино""")</f>
        <v>Технологическая часть ТПУ на станции метро "Ховрино" ("ул. Дыбенко"). Этап 4.1 "Технологическая часть транспортно-пересадочноо узла на станции метро "Ховрино" ("Улица Дыбенко"). Развитие транспортной и пешеходной инфраструктуры. Благоустройство Станция метро "Ховрино"</v>
      </c>
      <c r="F1441" s="25" t="str">
        <f>IFERROR(__xludf.DUMMYFUNCTION("""COMPUTED_VALUE"""),"#N/A")</f>
        <v>#N/A</v>
      </c>
      <c r="G1441" s="6" t="str">
        <f>IFERROR(__xludf.DUMMYFUNCTION("""COMPUTED_VALUE"""),"#N/A")</f>
        <v>#N/A</v>
      </c>
      <c r="H1441" s="18" t="str">
        <f>IFERROR(__xludf.DUMMYFUNCTION("""COMPUTED_VALUE"""),"https://docs.google.com/spreadsheets/d/1jonEGMB3UFHiUZpltF1zURon8gYN7jGSHu-k9t5TXnA/edit?gid=1276297244#gid=1276297244")</f>
        <v>https://docs.google.com/spreadsheets/d/1jonEGMB3UFHiUZpltF1zURon8gYN7jGSHu-k9t5TXnA/edit?gid=1276297244#gid=1276297244</v>
      </c>
      <c r="I1441" s="6"/>
      <c r="J1441" s="50"/>
      <c r="K1441" s="58">
        <f>IFERROR(__xludf.DUMMYFUNCTION("""COMPUTED_VALUE"""),45973.0)</f>
        <v>45973</v>
      </c>
      <c r="L1441" s="6">
        <v>30.0</v>
      </c>
      <c r="M1441" s="52">
        <v>46003.0</v>
      </c>
      <c r="N1441" s="53" t="s">
        <v>711</v>
      </c>
      <c r="O1441" s="6" t="s">
        <v>1430</v>
      </c>
      <c r="P1441" s="6"/>
      <c r="Q1441" s="6"/>
      <c r="R1441" s="6"/>
    </row>
    <row r="1442">
      <c r="A1442" s="31" t="str">
        <f>IFERROR(__xludf.DUMMYFUNCTION("""COMPUTED_VALUE"""),"1329")</f>
        <v>1329</v>
      </c>
      <c r="B1442" s="14" t="str">
        <f>IFERROR(__xludf.DUMMYFUNCTION("""COMPUTED_VALUE"""),"ВНЕ СПИСКА")</f>
        <v>ВНЕ СПИСКА</v>
      </c>
      <c r="C1442" s="14" t="str">
        <f>IFERROR(__xludf.DUMMYFUNCTION("""COMPUTED_VALUE"""),"ОКС")</f>
        <v>ОКС</v>
      </c>
      <c r="D1442" s="6" t="str">
        <f>IFERROR(__xludf.DUMMYFUNCTION("""COMPUTED_VALUE"""),"да")</f>
        <v>да</v>
      </c>
      <c r="E1442" s="14" t="str">
        <f>IFERROR(__xludf.DUMMYFUNCTION("""COMPUTED_VALUE"""),"Многоэтажный многоквартирный дом. Очередь 1. Этап 1.1. Корпуса 1-5 ул. Вишневая вл. 7")</f>
        <v>Многоэтажный многоквартирный дом. Очередь 1. Этап 1.1. Корпуса 1-5 ул. Вишневая вл. 7</v>
      </c>
      <c r="F1442" s="25" t="str">
        <f>IFERROR(__xludf.DUMMYFUNCTION("""COMPUTED_VALUE"""),"#N/A")</f>
        <v>#N/A</v>
      </c>
      <c r="G1442" s="6" t="str">
        <f>IFERROR(__xludf.DUMMYFUNCTION("""COMPUTED_VALUE"""),"#N/A")</f>
        <v>#N/A</v>
      </c>
      <c r="H1442" s="18" t="str">
        <f>IFERROR(__xludf.DUMMYFUNCTION("""COMPUTED_VALUE"""),"https://docs.google.com/spreadsheets/d/1EI7qusa674eJhuaw-nWWtWMEHVSYMQv7HLsInEZTWpE/edit?gid=757624793#gid=757624793")</f>
        <v>https://docs.google.com/spreadsheets/d/1EI7qusa674eJhuaw-nWWtWMEHVSYMQv7HLsInEZTWpE/edit?gid=757624793#gid=757624793</v>
      </c>
      <c r="I1442" s="6"/>
      <c r="J1442" s="50"/>
      <c r="K1442" s="58">
        <f>IFERROR(__xludf.DUMMYFUNCTION("""COMPUTED_VALUE"""),45933.0)</f>
        <v>45933</v>
      </c>
      <c r="L1442" s="6">
        <v>30.0</v>
      </c>
      <c r="M1442" s="52">
        <v>45963.0</v>
      </c>
      <c r="N1442" s="53" t="s">
        <v>668</v>
      </c>
      <c r="O1442" s="6" t="s">
        <v>669</v>
      </c>
      <c r="P1442" s="6"/>
      <c r="Q1442" s="6"/>
      <c r="R1442" s="6"/>
    </row>
    <row r="1443">
      <c r="A1443" s="31" t="str">
        <f>IFERROR(__xludf.DUMMYFUNCTION("""COMPUTED_VALUE"""),"1329")</f>
        <v>1329</v>
      </c>
      <c r="B1443" s="14" t="str">
        <f>IFERROR(__xludf.DUMMYFUNCTION("""COMPUTED_VALUE"""),"ВНЕ СПИСКА")</f>
        <v>ВНЕ СПИСКА</v>
      </c>
      <c r="C1443" s="14" t="str">
        <f>IFERROR(__xludf.DUMMYFUNCTION("""COMPUTED_VALUE"""),"ОКС")</f>
        <v>ОКС</v>
      </c>
      <c r="D1443" s="6" t="str">
        <f>IFERROR(__xludf.DUMMYFUNCTION("""COMPUTED_VALUE"""),"да")</f>
        <v>да</v>
      </c>
      <c r="E1443" s="14" t="str">
        <f>IFERROR(__xludf.DUMMYFUNCTION("""COMPUTED_VALUE"""),"Многоэтажный многоквартирный дом. Очередь 1. Этап 1.2. Корпуса 6-9 ул. Вишневая вл. 7")</f>
        <v>Многоэтажный многоквартирный дом. Очередь 1. Этап 1.2. Корпуса 6-9 ул. Вишневая вл. 7</v>
      </c>
      <c r="F1443" s="25" t="str">
        <f>IFERROR(__xludf.DUMMYFUNCTION("""COMPUTED_VALUE"""),"#N/A")</f>
        <v>#N/A</v>
      </c>
      <c r="G1443" s="6" t="str">
        <f>IFERROR(__xludf.DUMMYFUNCTION("""COMPUTED_VALUE"""),"#N/A")</f>
        <v>#N/A</v>
      </c>
      <c r="H1443" s="18" t="str">
        <f>IFERROR(__xludf.DUMMYFUNCTION("""COMPUTED_VALUE"""),"https://docs.google.com/spreadsheets/d/1EI7qusa674eJhuaw-nWWtWMEHVSYMQv7HLsInEZTWpE/edit?gid=757624793#gid=757624793")</f>
        <v>https://docs.google.com/spreadsheets/d/1EI7qusa674eJhuaw-nWWtWMEHVSYMQv7HLsInEZTWpE/edit?gid=757624793#gid=757624793</v>
      </c>
      <c r="I1443" s="19"/>
      <c r="J1443" s="50"/>
      <c r="K1443" s="58">
        <f>IFERROR(__xludf.DUMMYFUNCTION("""COMPUTED_VALUE"""),45933.0)</f>
        <v>45933</v>
      </c>
      <c r="L1443" s="6">
        <v>30.0</v>
      </c>
      <c r="M1443" s="52">
        <v>45963.0</v>
      </c>
      <c r="N1443" s="53" t="s">
        <v>668</v>
      </c>
      <c r="O1443" s="19" t="s">
        <v>669</v>
      </c>
      <c r="P1443" s="6"/>
      <c r="Q1443" s="6"/>
      <c r="R1443" s="6"/>
    </row>
    <row r="1444">
      <c r="A1444" s="31" t="str">
        <f>IFERROR(__xludf.DUMMYFUNCTION("""COMPUTED_VALUE"""),"н/д")</f>
        <v>н/д</v>
      </c>
      <c r="B1444" s="14"/>
      <c r="C1444" s="14" t="str">
        <f>IFERROR(__xludf.DUMMYFUNCTION("""COMPUTED_VALUE"""),"ОКС")</f>
        <v>ОКС</v>
      </c>
      <c r="D1444" s="6" t="str">
        <f>IFERROR(__xludf.DUMMYFUNCTION("""COMPUTED_VALUE"""),"да")</f>
        <v>да</v>
      </c>
      <c r="E1444" s="14" t="str">
        <f>IFERROR(__xludf.DUMMYFUNCTION("""COMPUTED_VALUE"""),"Реконструкция здания Энтузиастов ш., з/у 31/2")</f>
        <v>Реконструкция здания Энтузиастов ш., з/у 31/2</v>
      </c>
      <c r="F1444" s="25" t="str">
        <f>IFERROR(__xludf.DUMMYFUNCTION("""COMPUTED_VALUE"""),"#N/A")</f>
        <v>#N/A</v>
      </c>
      <c r="G1444" s="6" t="str">
        <f>IFERROR(__xludf.DUMMYFUNCTION("""COMPUTED_VALUE"""),"#N/A")</f>
        <v>#N/A</v>
      </c>
      <c r="H1444" s="6"/>
      <c r="I1444" s="19"/>
      <c r="J1444" s="50"/>
      <c r="K1444" s="58"/>
      <c r="L1444" s="6">
        <v>30.0</v>
      </c>
      <c r="M1444" s="52" t="s">
        <v>655</v>
      </c>
      <c r="N1444" s="53" t="s">
        <v>698</v>
      </c>
      <c r="O1444" s="19"/>
      <c r="P1444" s="6"/>
      <c r="Q1444" s="6"/>
      <c r="R1444" s="6"/>
    </row>
    <row r="1445">
      <c r="A1445" s="31" t="str">
        <f>IFERROR(__xludf.DUMMYFUNCTION("""COMPUTED_VALUE"""),"н/д")</f>
        <v>н/д</v>
      </c>
      <c r="B1445" s="14" t="str">
        <f>IFERROR(__xludf.DUMMYFUNCTION("""COMPUTED_VALUE"""),"ВНЕ СПИСКА")</f>
        <v>ВНЕ СПИСКА</v>
      </c>
      <c r="C1445" s="14" t="str">
        <f>IFERROR(__xludf.DUMMYFUNCTION("""COMPUTED_VALUE"""),"ОКС")</f>
        <v>ОКС</v>
      </c>
      <c r="D1445" s="6" t="str">
        <f>IFERROR(__xludf.DUMMYFUNCTION("""COMPUTED_VALUE"""),"да")</f>
        <v>да</v>
      </c>
      <c r="E1445" s="14" t="str">
        <f>IFERROR(__xludf.DUMMYFUNCTION("""COMPUTED_VALUE"""),"Реконструкция жилого дома ул. Пятницкая, вл. 37, стр. 2")</f>
        <v>Реконструкция жилого дома ул. Пятницкая, вл. 37, стр. 2</v>
      </c>
      <c r="F1445" s="25" t="str">
        <f>IFERROR(__xludf.DUMMYFUNCTION("""COMPUTED_VALUE"""),"#N/A")</f>
        <v>#N/A</v>
      </c>
      <c r="G1445" s="6" t="str">
        <f>IFERROR(__xludf.DUMMYFUNCTION("""COMPUTED_VALUE"""),"#N/A")</f>
        <v>#N/A</v>
      </c>
      <c r="H1445" s="6"/>
      <c r="I1445" s="19"/>
      <c r="J1445" s="50"/>
      <c r="K1445" s="58"/>
      <c r="L1445" s="6">
        <v>30.0</v>
      </c>
      <c r="M1445" s="52" t="s">
        <v>655</v>
      </c>
      <c r="N1445" s="53" t="s">
        <v>698</v>
      </c>
      <c r="O1445" s="19"/>
      <c r="P1445" s="6"/>
      <c r="Q1445" s="6"/>
      <c r="R1445" s="6"/>
    </row>
    <row r="1446">
      <c r="A1446" s="31"/>
      <c r="B1446" s="14" t="str">
        <f>IFERROR(__xludf.DUMMYFUNCTION("""COMPUTED_VALUE"""),"ВНЕ СПИСКА")</f>
        <v>ВНЕ СПИСКА</v>
      </c>
      <c r="C1446" s="14" t="str">
        <f>IFERROR(__xludf.DUMMYFUNCTION("""COMPUTED_VALUE"""),"ОКС")</f>
        <v>ОКС</v>
      </c>
      <c r="D1446" s="6" t="str">
        <f>IFERROR(__xludf.DUMMYFUNCTION("""COMPUTED_VALUE"""),"да")</f>
        <v>да</v>
      </c>
      <c r="E1446" s="14" t="str">
        <f>IFERROR(__xludf.DUMMYFUNCTION("""COMPUTED_VALUE"""),"Петропавловская церковь Вернадского пр-кт, влд. 76")</f>
        <v>Петропавловская церковь Вернадского пр-кт, влд. 76</v>
      </c>
      <c r="F1446" s="25" t="str">
        <f>IFERROR(__xludf.DUMMYFUNCTION("""COMPUTED_VALUE"""),"#N/A")</f>
        <v>#N/A</v>
      </c>
      <c r="G1446" s="6" t="str">
        <f>IFERROR(__xludf.DUMMYFUNCTION("""COMPUTED_VALUE"""),"#N/A")</f>
        <v>#N/A</v>
      </c>
      <c r="H1446" s="6"/>
      <c r="I1446" s="19"/>
      <c r="J1446" s="50"/>
      <c r="K1446" s="58"/>
      <c r="L1446" s="6" t="s">
        <v>655</v>
      </c>
      <c r="M1446" s="52" t="s">
        <v>655</v>
      </c>
      <c r="N1446" s="53" t="s">
        <v>655</v>
      </c>
      <c r="O1446" s="19"/>
      <c r="P1446" s="6"/>
      <c r="Q1446" s="6"/>
      <c r="R1446" s="6"/>
    </row>
    <row r="1447">
      <c r="A1447" s="31"/>
      <c r="B1447" s="14"/>
      <c r="C1447" s="14"/>
      <c r="D1447" s="6" t="str">
        <f>IFERROR(__xludf.DUMMYFUNCTION("""COMPUTED_VALUE"""),"да")</f>
        <v>да</v>
      </c>
      <c r="E1447" s="14" t="str">
        <f>IFERROR(__xludf.DUMMYFUNCTION("""COMPUTED_VALUE"""),"- Боровское шоссе, 17Б")</f>
        <v>- Боровское шоссе, 17Б</v>
      </c>
      <c r="F1447" s="25" t="str">
        <f>IFERROR(__xludf.DUMMYFUNCTION("""COMPUTED_VALUE"""),"#N/A")</f>
        <v>#N/A</v>
      </c>
      <c r="G1447" s="6" t="str">
        <f>IFERROR(__xludf.DUMMYFUNCTION("""COMPUTED_VALUE"""),"#N/A")</f>
        <v>#N/A</v>
      </c>
      <c r="H1447" s="6"/>
      <c r="I1447" s="19"/>
      <c r="J1447" s="50"/>
      <c r="K1447" s="58"/>
      <c r="L1447" s="6" t="s">
        <v>655</v>
      </c>
      <c r="M1447" s="52" t="s">
        <v>655</v>
      </c>
      <c r="N1447" s="53" t="s">
        <v>655</v>
      </c>
      <c r="O1447" s="19"/>
      <c r="P1447" s="6"/>
      <c r="Q1447" s="6"/>
      <c r="R1447" s="6"/>
    </row>
    <row r="1448">
      <c r="A1448" s="31" t="str">
        <f>IFERROR(__xludf.DUMMYFUNCTION("""COMPUTED_VALUE"""),"н/д")</f>
        <v>н/д</v>
      </c>
      <c r="B1448" s="14" t="str">
        <f>IFERROR(__xludf.DUMMYFUNCTION("""COMPUTED_VALUE"""),"ВНЕ СПИСКА")</f>
        <v>ВНЕ СПИСКА</v>
      </c>
      <c r="C1448" s="14" t="str">
        <f>IFERROR(__xludf.DUMMYFUNCTION("""COMPUTED_VALUE"""),"ОКС")</f>
        <v>ОКС</v>
      </c>
      <c r="D1448" s="6" t="str">
        <f>IFERROR(__xludf.DUMMYFUNCTION("""COMPUTED_VALUE"""),"да")</f>
        <v>да</v>
      </c>
      <c r="E1448" s="14" t="str">
        <f>IFERROR(__xludf.DUMMYFUNCTION("""COMPUTED_VALUE"""),"Многофункциональная комплексная жилая застройка ""Событие 6.2"" г.Москва, ЗАО, район Раменки, между ул. Лобачевского и платформой «Матвеевское», квартал 3, 2-я очередь, этап 2")</f>
        <v>Многофункциональная комплексная жилая застройка "Событие 6.2" г.Москва, ЗАО, район Раменки, между ул. Лобачевского и платформой «Матвеевское», квартал 3, 2-я очередь, этап 2</v>
      </c>
      <c r="F1448" s="25" t="str">
        <f>IFERROR(__xludf.DUMMYFUNCTION("""COMPUTED_VALUE"""),"#N/A")</f>
        <v>#N/A</v>
      </c>
      <c r="G1448" s="6" t="str">
        <f>IFERROR(__xludf.DUMMYFUNCTION("""COMPUTED_VALUE"""),"#N/A")</f>
        <v>#N/A</v>
      </c>
      <c r="H1448" s="6"/>
      <c r="I1448" s="19"/>
      <c r="J1448" s="50"/>
      <c r="K1448" s="58"/>
      <c r="L1448" s="6">
        <v>30.0</v>
      </c>
      <c r="M1448" s="52" t="s">
        <v>655</v>
      </c>
      <c r="N1448" s="53" t="s">
        <v>698</v>
      </c>
      <c r="O1448" s="19"/>
      <c r="P1448" s="6"/>
      <c r="Q1448" s="6"/>
      <c r="R1448" s="6"/>
    </row>
    <row r="1449">
      <c r="A1449" s="31" t="str">
        <f>IFERROR(__xludf.DUMMYFUNCTION("""COMPUTED_VALUE"""),"н/д")</f>
        <v>н/д</v>
      </c>
      <c r="B1449" s="14" t="str">
        <f>IFERROR(__xludf.DUMMYFUNCTION("""COMPUTED_VALUE"""),"ВНЕ СПИСКА")</f>
        <v>ВНЕ СПИСКА</v>
      </c>
      <c r="C1449" s="14" t="str">
        <f>IFERROR(__xludf.DUMMYFUNCTION("""COMPUTED_VALUE"""),"ОКС")</f>
        <v>ОКС</v>
      </c>
      <c r="D1449" s="6" t="str">
        <f>IFERROR(__xludf.DUMMYFUNCTION("""COMPUTED_VALUE"""),"да")</f>
        <v>да</v>
      </c>
      <c r="E1449" s="14" t="str">
        <f>IFERROR(__xludf.DUMMYFUNCTION("""COMPUTED_VALUE"""),"Многофункциональная комплексная жилая застройка ""Событие 6.1"" г.Москва, ЗАО, район Раменки, между ул. Лобачевского и платформой «Матвеевское», квартал 3, 2-я очередь, этап 2")</f>
        <v>Многофункциональная комплексная жилая застройка "Событие 6.1" г.Москва, ЗАО, район Раменки, между ул. Лобачевского и платформой «Матвеевское», квартал 3, 2-я очередь, этап 2</v>
      </c>
      <c r="F1449" s="25" t="str">
        <f>IFERROR(__xludf.DUMMYFUNCTION("""COMPUTED_VALUE"""),"#N/A")</f>
        <v>#N/A</v>
      </c>
      <c r="G1449" s="6" t="str">
        <f>IFERROR(__xludf.DUMMYFUNCTION("""COMPUTED_VALUE"""),"#N/A")</f>
        <v>#N/A</v>
      </c>
      <c r="H1449" s="6"/>
      <c r="I1449" s="19"/>
      <c r="J1449" s="50"/>
      <c r="K1449" s="58"/>
      <c r="L1449" s="6">
        <v>30.0</v>
      </c>
      <c r="M1449" s="52" t="s">
        <v>655</v>
      </c>
      <c r="N1449" s="53" t="s">
        <v>698</v>
      </c>
      <c r="O1449" s="19"/>
      <c r="P1449" s="6"/>
      <c r="Q1449" s="6"/>
      <c r="R1449" s="6"/>
    </row>
    <row r="1450">
      <c r="A1450" s="31" t="str">
        <f>IFERROR(__xludf.DUMMYFUNCTION("""COMPUTED_VALUE"""),"н/д")</f>
        <v>н/д</v>
      </c>
      <c r="B1450" s="14" t="str">
        <f>IFERROR(__xludf.DUMMYFUNCTION("""COMPUTED_VALUE"""),"ВНЕ СПИСКА")</f>
        <v>ВНЕ СПИСКА</v>
      </c>
      <c r="C1450" s="14" t="str">
        <f>IFERROR(__xludf.DUMMYFUNCTION("""COMPUTED_VALUE"""),"ОКС")</f>
        <v>ОКС</v>
      </c>
      <c r="D1450" s="6" t="str">
        <f>IFERROR(__xludf.DUMMYFUNCTION("""COMPUTED_VALUE"""),"да")</f>
        <v>да</v>
      </c>
      <c r="E1450" s="14" t="str">
        <f>IFERROR(__xludf.DUMMYFUNCTION("""COMPUTED_VALUE"""),"Здание ГК Росатом Китайгородский проезд, д. 7, стр. 1")</f>
        <v>Здание ГК Росатом Китайгородский проезд, д. 7, стр. 1</v>
      </c>
      <c r="F1450" s="25" t="str">
        <f>IFERROR(__xludf.DUMMYFUNCTION("""COMPUTED_VALUE"""),"#N/A")</f>
        <v>#N/A</v>
      </c>
      <c r="G1450" s="6" t="str">
        <f>IFERROR(__xludf.DUMMYFUNCTION("""COMPUTED_VALUE"""),"#N/A")</f>
        <v>#N/A</v>
      </c>
      <c r="H1450" s="6"/>
      <c r="I1450" s="19"/>
      <c r="J1450" s="50"/>
      <c r="K1450" s="58"/>
      <c r="L1450" s="6">
        <v>30.0</v>
      </c>
      <c r="M1450" s="52" t="s">
        <v>655</v>
      </c>
      <c r="N1450" s="53" t="s">
        <v>698</v>
      </c>
      <c r="O1450" s="19"/>
      <c r="P1450" s="6"/>
      <c r="Q1450" s="6"/>
      <c r="R1450" s="6"/>
    </row>
    <row r="1451">
      <c r="A1451" s="31"/>
      <c r="B1451" s="14"/>
      <c r="C1451" s="14"/>
      <c r="D1451" s="6" t="str">
        <f>IFERROR(__xludf.DUMMYFUNCTION("""COMPUTED_VALUE"""),"да")</f>
        <v>да</v>
      </c>
      <c r="E1451" s="14" t="str">
        <f>IFERROR(__xludf.DUMMYFUNCTION("""COMPUTED_VALUE"""),"- Рязанский пр-кт., влд.65,к.2")</f>
        <v>- Рязанский пр-кт., влд.65,к.2</v>
      </c>
      <c r="F1451" s="25" t="str">
        <f>IFERROR(__xludf.DUMMYFUNCTION("""COMPUTED_VALUE"""),"#N/A")</f>
        <v>#N/A</v>
      </c>
      <c r="G1451" s="6" t="str">
        <f>IFERROR(__xludf.DUMMYFUNCTION("""COMPUTED_VALUE"""),"#N/A")</f>
        <v>#N/A</v>
      </c>
      <c r="H1451" s="6"/>
      <c r="I1451" s="19"/>
      <c r="J1451" s="50"/>
      <c r="K1451" s="58"/>
      <c r="L1451" s="6" t="s">
        <v>655</v>
      </c>
      <c r="M1451" s="52" t="s">
        <v>655</v>
      </c>
      <c r="N1451" s="53" t="s">
        <v>655</v>
      </c>
      <c r="O1451" s="19"/>
      <c r="P1451" s="6"/>
      <c r="Q1451" s="6"/>
      <c r="R1451" s="6"/>
    </row>
    <row r="1452">
      <c r="A1452" s="31"/>
      <c r="B1452" s="14"/>
      <c r="C1452" s="14"/>
      <c r="D1452" s="6"/>
      <c r="E1452" s="14" t="str">
        <f>IFERROR(__xludf.DUMMYFUNCTION("""COMPUTED_VALUE"""),"- Комсомольская станция метро")</f>
        <v>- Комсомольская станция метро</v>
      </c>
      <c r="F1452" s="25" t="str">
        <f>IFERROR(__xludf.DUMMYFUNCTION("""COMPUTED_VALUE"""),"#N/A")</f>
        <v>#N/A</v>
      </c>
      <c r="G1452" s="6" t="str">
        <f>IFERROR(__xludf.DUMMYFUNCTION("""COMPUTED_VALUE"""),"#N/A")</f>
        <v>#N/A</v>
      </c>
      <c r="H1452" s="6"/>
      <c r="I1452" s="19"/>
      <c r="J1452" s="50"/>
      <c r="K1452" s="58"/>
      <c r="L1452" s="6" t="s">
        <v>655</v>
      </c>
      <c r="M1452" s="52" t="s">
        <v>655</v>
      </c>
      <c r="N1452" s="53" t="s">
        <v>655</v>
      </c>
      <c r="O1452" s="19"/>
      <c r="P1452" s="6"/>
      <c r="Q1452" s="6"/>
      <c r="R1452" s="6"/>
    </row>
    <row r="1453">
      <c r="A1453" s="31"/>
      <c r="B1453" s="14"/>
      <c r="C1453" s="14"/>
      <c r="D1453" s="6"/>
      <c r="E1453" s="14" t="str">
        <f>IFERROR(__xludf.DUMMYFUNCTION("""COMPUTED_VALUE"""),"- станция метро ""Фили""")</f>
        <v>- станция метро "Фили"</v>
      </c>
      <c r="F1453" s="25" t="str">
        <f>IFERROR(__xludf.DUMMYFUNCTION("""COMPUTED_VALUE"""),"#N/A")</f>
        <v>#N/A</v>
      </c>
      <c r="G1453" s="6" t="str">
        <f>IFERROR(__xludf.DUMMYFUNCTION("""COMPUTED_VALUE"""),"#N/A")</f>
        <v>#N/A</v>
      </c>
      <c r="H1453" s="6"/>
      <c r="I1453" s="19"/>
      <c r="J1453" s="50"/>
      <c r="K1453" s="58"/>
      <c r="L1453" s="6" t="s">
        <v>655</v>
      </c>
      <c r="M1453" s="52" t="s">
        <v>655</v>
      </c>
      <c r="N1453" s="53" t="s">
        <v>655</v>
      </c>
      <c r="O1453" s="19"/>
      <c r="P1453" s="6"/>
      <c r="Q1453" s="6"/>
      <c r="R1453" s="6"/>
    </row>
    <row r="1454">
      <c r="A1454" s="31" t="str">
        <f>IFERROR(__xludf.DUMMYFUNCTION("""COMPUTED_VALUE"""),"н/д")</f>
        <v>н/д</v>
      </c>
      <c r="B1454" s="14" t="str">
        <f>IFERROR(__xludf.DUMMYFUNCTION("""COMPUTED_VALUE"""),"ВНЕ СПИСКА")</f>
        <v>ВНЕ СПИСКА</v>
      </c>
      <c r="C1454" s="14" t="str">
        <f>IFERROR(__xludf.DUMMYFUNCTION("""COMPUTED_VALUE"""),"ОКС")</f>
        <v>ОКС</v>
      </c>
      <c r="D1454" s="6"/>
      <c r="E1454" s="14" t="str">
        <f>IFERROR(__xludf.DUMMYFUNCTION("""COMPUTED_VALUE"""),"Жилой дом с подземной автостоянкой, инженерными сетями и благоустройством территории (со сносом жилого дома по адресу: Волгоградский пр-т, д. 143, корп.2) по адресу: вн. тер. г. Кузьминки, Волгоградский проспект, земельный участок 143/2/8 Волгоградский пр"&amp;"-т, з/у 143/2/8 (зона 2.8)")</f>
        <v>Жилой дом с подземной автостоянкой, инженерными сетями и благоустройством территории (со сносом жилого дома по адресу: Волгоградский пр-т, д. 143, корп.2) по адресу: вн. тер. г. Кузьминки, Волгоградский проспект, земельный участок 143/2/8 Волгоградский пр-т, з/у 143/2/8 (зона 2.8)</v>
      </c>
      <c r="F1454" s="25" t="str">
        <f>IFERROR(__xludf.DUMMYFUNCTION("""COMPUTED_VALUE"""),"#N/A")</f>
        <v>#N/A</v>
      </c>
      <c r="G1454" s="6" t="str">
        <f>IFERROR(__xludf.DUMMYFUNCTION("""COMPUTED_VALUE"""),"#N/A")</f>
        <v>#N/A</v>
      </c>
      <c r="H1454" s="6"/>
      <c r="I1454" s="19"/>
      <c r="J1454" s="50"/>
      <c r="K1454" s="58"/>
      <c r="L1454" s="6">
        <v>30.0</v>
      </c>
      <c r="M1454" s="52" t="s">
        <v>655</v>
      </c>
      <c r="N1454" s="53" t="s">
        <v>698</v>
      </c>
      <c r="O1454" s="19" t="s">
        <v>914</v>
      </c>
      <c r="P1454" s="6"/>
      <c r="Q1454" s="6"/>
      <c r="R1454" s="6"/>
    </row>
    <row r="1455">
      <c r="A1455" s="31" t="str">
        <f>IFERROR(__xludf.DUMMYFUNCTION("""COMPUTED_VALUE"""),"н/д")</f>
        <v>н/д</v>
      </c>
      <c r="B1455" s="14" t="str">
        <f>IFERROR(__xludf.DUMMYFUNCTION("""COMPUTED_VALUE"""),"ВНЕ СПИСКА")</f>
        <v>ВНЕ СПИСКА</v>
      </c>
      <c r="C1455" s="14" t="str">
        <f>IFERROR(__xludf.DUMMYFUNCTION("""COMPUTED_VALUE"""),"ОКС")</f>
        <v>ОКС</v>
      </c>
      <c r="D1455" s="6"/>
      <c r="E1455" s="14" t="str">
        <f>IFERROR(__xludf.DUMMYFUNCTION("""COMPUTED_VALUE"""),"Надземный пешеходный переход (мост), соединяющий многофункциональный терминальный комплекс на участке 11 ММДЦ ""Москва-Сити"" Пресненская наб., д.10, стр.2")</f>
        <v>Надземный пешеходный переход (мост), соединяющий многофункциональный терминальный комплекс на участке 11 ММДЦ "Москва-Сити" Пресненская наб., д.10, стр.2</v>
      </c>
      <c r="F1455" s="25" t="str">
        <f>IFERROR(__xludf.DUMMYFUNCTION("""COMPUTED_VALUE"""),"#N/A")</f>
        <v>#N/A</v>
      </c>
      <c r="G1455" s="6" t="str">
        <f>IFERROR(__xludf.DUMMYFUNCTION("""COMPUTED_VALUE"""),"#N/A")</f>
        <v>#N/A</v>
      </c>
      <c r="H1455" s="6"/>
      <c r="I1455" s="19"/>
      <c r="J1455" s="50"/>
      <c r="K1455" s="58"/>
      <c r="L1455" s="6">
        <v>30.0</v>
      </c>
      <c r="M1455" s="52" t="s">
        <v>655</v>
      </c>
      <c r="N1455" s="53" t="s">
        <v>698</v>
      </c>
      <c r="O1455" s="19" t="s">
        <v>1431</v>
      </c>
      <c r="P1455" s="6"/>
      <c r="Q1455" s="6"/>
      <c r="R1455" s="6"/>
    </row>
    <row r="1456">
      <c r="A1456" s="31"/>
      <c r="B1456" s="14"/>
      <c r="C1456" s="14"/>
      <c r="D1456" s="6" t="str">
        <f>IFERROR(__xludf.DUMMYFUNCTION("""COMPUTED_VALUE"""),"да")</f>
        <v>да</v>
      </c>
      <c r="E1456" s="14" t="str">
        <f>IFERROR(__xludf.DUMMYFUNCTION("""COMPUTED_VALUE"""),"- Орджоникидзе ул.")</f>
        <v>- Орджоникидзе ул.</v>
      </c>
      <c r="F1456" s="25" t="str">
        <f>IFERROR(__xludf.DUMMYFUNCTION("""COMPUTED_VALUE"""),"#N/A")</f>
        <v>#N/A</v>
      </c>
      <c r="G1456" s="6" t="str">
        <f>IFERROR(__xludf.DUMMYFUNCTION("""COMPUTED_VALUE"""),"#N/A")</f>
        <v>#N/A</v>
      </c>
      <c r="H1456" s="6"/>
      <c r="I1456" s="19"/>
      <c r="J1456" s="50"/>
      <c r="K1456" s="58"/>
      <c r="L1456" s="6" t="s">
        <v>655</v>
      </c>
      <c r="M1456" s="52" t="s">
        <v>655</v>
      </c>
      <c r="N1456" s="53" t="s">
        <v>655</v>
      </c>
      <c r="O1456" s="19"/>
      <c r="P1456" s="6"/>
      <c r="Q1456" s="6"/>
      <c r="R1456" s="6"/>
    </row>
    <row r="1457">
      <c r="A1457" s="31"/>
      <c r="B1457" s="14"/>
      <c r="C1457" s="14"/>
      <c r="D1457" s="6" t="str">
        <f>IFERROR(__xludf.DUMMYFUNCTION("""COMPUTED_VALUE"""),"да")</f>
        <v>да</v>
      </c>
      <c r="E1457" s="14" t="str">
        <f>IFERROR(__xludf.DUMMYFUNCTION("""COMPUTED_VALUE"""),"- 1-й Силикатный пр-д., з/у 13/1")</f>
        <v>- 1-й Силикатный пр-д., з/у 13/1</v>
      </c>
      <c r="F1457" s="25" t="str">
        <f>IFERROR(__xludf.DUMMYFUNCTION("""COMPUTED_VALUE"""),"#N/A")</f>
        <v>#N/A</v>
      </c>
      <c r="G1457" s="6" t="str">
        <f>IFERROR(__xludf.DUMMYFUNCTION("""COMPUTED_VALUE"""),"#N/A")</f>
        <v>#N/A</v>
      </c>
      <c r="H1457" s="6"/>
      <c r="I1457" s="19"/>
      <c r="J1457" s="50"/>
      <c r="K1457" s="58"/>
      <c r="L1457" s="6" t="s">
        <v>655</v>
      </c>
      <c r="M1457" s="52" t="s">
        <v>655</v>
      </c>
      <c r="N1457" s="53" t="s">
        <v>655</v>
      </c>
      <c r="O1457" s="19"/>
      <c r="P1457" s="6"/>
      <c r="Q1457" s="6"/>
      <c r="R1457" s="6"/>
    </row>
    <row r="1458">
      <c r="A1458" s="31" t="str">
        <f>IFERROR(__xludf.DUMMYFUNCTION("""COMPUTED_VALUE"""),"н/д")</f>
        <v>н/д</v>
      </c>
      <c r="B1458" s="14" t="str">
        <f>IFERROR(__xludf.DUMMYFUNCTION("""COMPUTED_VALUE"""),"ВНЕ СПИСКА")</f>
        <v>ВНЕ СПИСКА</v>
      </c>
      <c r="C1458" s="14" t="str">
        <f>IFERROR(__xludf.DUMMYFUNCTION("""COMPUTED_VALUE"""),"ОКС")</f>
        <v>ОКС</v>
      </c>
      <c r="D1458" s="6"/>
      <c r="E1458" s="14" t="str">
        <f>IFERROR(__xludf.DUMMYFUNCTION("""COMPUTED_VALUE"""),"Жилой дом с подземной автостоянкой, инженерными сетями и благоустройством территории по адресу: район Северное Измайлово, зона 72.1 (к.31) г. Москва, район Северное Измайлово, зона 72.1 (к.31)")</f>
        <v>Жилой дом с подземной автостоянкой, инженерными сетями и благоустройством территории по адресу: район Северное Измайлово, зона 72.1 (к.31) г. Москва, район Северное Измайлово, зона 72.1 (к.31)</v>
      </c>
      <c r="F1458" s="25" t="str">
        <f>IFERROR(__xludf.DUMMYFUNCTION("""COMPUTED_VALUE"""),"#N/A")</f>
        <v>#N/A</v>
      </c>
      <c r="G1458" s="6" t="str">
        <f>IFERROR(__xludf.DUMMYFUNCTION("""COMPUTED_VALUE"""),"#N/A")</f>
        <v>#N/A</v>
      </c>
      <c r="H1458" s="6"/>
      <c r="I1458" s="19"/>
      <c r="J1458" s="50"/>
      <c r="K1458" s="58"/>
      <c r="L1458" s="6">
        <v>30.0</v>
      </c>
      <c r="M1458" s="52" t="s">
        <v>655</v>
      </c>
      <c r="N1458" s="53" t="s">
        <v>698</v>
      </c>
      <c r="O1458" s="19" t="s">
        <v>1432</v>
      </c>
      <c r="P1458" s="6"/>
      <c r="Q1458" s="6"/>
      <c r="R1458" s="6"/>
    </row>
    <row r="1459">
      <c r="A1459" s="31" t="str">
        <f>IFERROR(__xludf.DUMMYFUNCTION("""COMPUTED_VALUE"""),"н/д")</f>
        <v>н/д</v>
      </c>
      <c r="B1459" s="14" t="str">
        <f>IFERROR(__xludf.DUMMYFUNCTION("""COMPUTED_VALUE"""),"ВНЕ СПИСКА")</f>
        <v>ВНЕ СПИСКА</v>
      </c>
      <c r="C1459" s="14" t="str">
        <f>IFERROR(__xludf.DUMMYFUNCTION("""COMPUTED_VALUE"""),"ОКС")</f>
        <v>ОКС</v>
      </c>
      <c r="D1459" s="6"/>
      <c r="E1459" s="14" t="str">
        <f>IFERROR(__xludf.DUMMYFUNCTION("""COMPUTED_VALUE"""),"Снос 5-ти этажных жилых домов ул. 9-я Парковая, д. 62, стр. 2, 14, 13, 4, 5 и д. 62")</f>
        <v>Снос 5-ти этажных жилых домов ул. 9-я Парковая, д. 62, стр. 2, 14, 13, 4, 5 и д. 62</v>
      </c>
      <c r="F1459" s="25" t="str">
        <f>IFERROR(__xludf.DUMMYFUNCTION("""COMPUTED_VALUE"""),"#N/A")</f>
        <v>#N/A</v>
      </c>
      <c r="G1459" s="6" t="str">
        <f>IFERROR(__xludf.DUMMYFUNCTION("""COMPUTED_VALUE"""),"#N/A")</f>
        <v>#N/A</v>
      </c>
      <c r="H1459" s="6"/>
      <c r="I1459" s="19"/>
      <c r="J1459" s="50"/>
      <c r="K1459" s="58"/>
      <c r="L1459" s="6">
        <v>30.0</v>
      </c>
      <c r="M1459" s="52" t="s">
        <v>655</v>
      </c>
      <c r="N1459" s="53" t="s">
        <v>698</v>
      </c>
      <c r="O1459" s="19"/>
      <c r="P1459" s="6"/>
      <c r="Q1459" s="6"/>
      <c r="R1459" s="6"/>
    </row>
    <row r="1460">
      <c r="A1460" s="31" t="str">
        <f>IFERROR(__xludf.DUMMYFUNCTION("""COMPUTED_VALUE"""),"1353")</f>
        <v>1353</v>
      </c>
      <c r="B1460" s="14" t="str">
        <f>IFERROR(__xludf.DUMMYFUNCTION("""COMPUTED_VALUE"""),"ДРНТ")</f>
        <v>ДРНТ</v>
      </c>
      <c r="C1460" s="14" t="str">
        <f>IFERROR(__xludf.DUMMYFUNCTION("""COMPUTED_VALUE"""),"ОКС")</f>
        <v>ОКС</v>
      </c>
      <c r="D1460" s="6"/>
      <c r="E1460" s="14" t="str">
        <f>IFERROR(__xludf.DUMMYFUNCTION("""COMPUTED_VALUE"""),"Реконструкция Здания корпусов № 5, 6, подземной автостоянки и трансформаторной подстанции МАРХИ улица Рождественка, вл. 11/3, корп. 5, 6")</f>
        <v>Реконструкция Здания корпусов № 5, 6, подземной автостоянки и трансформаторной подстанции МАРХИ улица Рождественка, вл. 11/3, корп. 5, 6</v>
      </c>
      <c r="F1460" s="25" t="str">
        <f>IFERROR(__xludf.DUMMYFUNCTION("""COMPUTED_VALUE"""),"55.762566")</f>
        <v>55.762566</v>
      </c>
      <c r="G1460" s="6" t="str">
        <f>IFERROR(__xludf.DUMMYFUNCTION("""COMPUTED_VALUE"""),"37.62255")</f>
        <v>37.62255</v>
      </c>
      <c r="H1460" s="18" t="str">
        <f>IFERROR(__xludf.DUMMYFUNCTION("""COMPUTED_VALUE"""),"https://docs.google.com/spreadsheets/d/19THEBTE9q0fhN2eApZr6BgenIvLGh0AckaYxHQfHk5w/edit?gid=549577801#gid=549577801")</f>
        <v>https://docs.google.com/spreadsheets/d/19THEBTE9q0fhN2eApZr6BgenIvLGh0AckaYxHQfHk5w/edit?gid=549577801#gid=549577801</v>
      </c>
      <c r="I1460" s="19"/>
      <c r="J1460" s="50"/>
      <c r="K1460" s="58">
        <f>IFERROR(__xludf.DUMMYFUNCTION("""COMPUTED_VALUE"""),45960.0)</f>
        <v>45960</v>
      </c>
      <c r="L1460" s="6">
        <v>30.0</v>
      </c>
      <c r="M1460" s="52">
        <v>45990.0</v>
      </c>
      <c r="N1460" s="53" t="s">
        <v>692</v>
      </c>
      <c r="O1460" s="19" t="s">
        <v>669</v>
      </c>
      <c r="P1460" s="6"/>
      <c r="Q1460" s="6"/>
      <c r="R1460" s="6"/>
    </row>
    <row r="1461">
      <c r="A1461" s="31" t="str">
        <f>IFERROR(__xludf.DUMMYFUNCTION("""COMPUTED_VALUE"""),"н/д")</f>
        <v>н/д</v>
      </c>
      <c r="B1461" s="14" t="str">
        <f>IFERROR(__xludf.DUMMYFUNCTION("""COMPUTED_VALUE"""),"ВНЕ СПИСКА")</f>
        <v>ВНЕ СПИСКА</v>
      </c>
      <c r="C1461" s="14" t="str">
        <f>IFERROR(__xludf.DUMMYFUNCTION("""COMPUTED_VALUE"""),"ОКС")</f>
        <v>ОКС</v>
      </c>
      <c r="D1461" s="6" t="str">
        <f>IFERROR(__xludf.DUMMYFUNCTION("""COMPUTED_VALUE"""),"да")</f>
        <v>да</v>
      </c>
      <c r="E1461" s="14" t="str">
        <f>IFERROR(__xludf.DUMMYFUNCTION("""COMPUTED_VALUE"""),"Многофункциональный деловой комплекс с назначением ""деловое управления"". Этап 1 3-я Хорошевская ул., з/у 18/2")</f>
        <v>Многофункциональный деловой комплекс с назначением "деловое управления". Этап 1 3-я Хорошевская ул., з/у 18/2</v>
      </c>
      <c r="F1461" s="25" t="str">
        <f>IFERROR(__xludf.DUMMYFUNCTION("""COMPUTED_VALUE"""),"#N/A")</f>
        <v>#N/A</v>
      </c>
      <c r="G1461" s="6" t="str">
        <f>IFERROR(__xludf.DUMMYFUNCTION("""COMPUTED_VALUE"""),"#N/A")</f>
        <v>#N/A</v>
      </c>
      <c r="H1461" s="6"/>
      <c r="I1461" s="19"/>
      <c r="J1461" s="50"/>
      <c r="K1461" s="58"/>
      <c r="L1461" s="6">
        <v>30.0</v>
      </c>
      <c r="M1461" s="52" t="s">
        <v>655</v>
      </c>
      <c r="N1461" s="53" t="s">
        <v>698</v>
      </c>
      <c r="O1461" s="19" t="s">
        <v>669</v>
      </c>
      <c r="P1461" s="6"/>
      <c r="Q1461" s="6"/>
      <c r="R1461" s="6"/>
    </row>
    <row r="1462">
      <c r="A1462" s="31" t="str">
        <f>IFERROR(__xludf.DUMMYFUNCTION("""COMPUTED_VALUE"""),"н/д")</f>
        <v>н/д</v>
      </c>
      <c r="B1462" s="14" t="str">
        <f>IFERROR(__xludf.DUMMYFUNCTION("""COMPUTED_VALUE"""),"ВНЕ СПИСКА")</f>
        <v>ВНЕ СПИСКА</v>
      </c>
      <c r="C1462" s="14"/>
      <c r="D1462" s="6" t="str">
        <f>IFERROR(__xludf.DUMMYFUNCTION("""COMPUTED_VALUE"""),"да")</f>
        <v>да</v>
      </c>
      <c r="E1462" s="14" t="str">
        <f>IFERROR(__xludf.DUMMYFUNCTION("""COMPUTED_VALUE"""),"- Парковая 9-я ул., влд. 62-64")</f>
        <v>- Парковая 9-я ул., влд. 62-64</v>
      </c>
      <c r="F1462" s="25" t="str">
        <f>IFERROR(__xludf.DUMMYFUNCTION("""COMPUTED_VALUE"""),"#N/A")</f>
        <v>#N/A</v>
      </c>
      <c r="G1462" s="6" t="str">
        <f>IFERROR(__xludf.DUMMYFUNCTION("""COMPUTED_VALUE"""),"#N/A")</f>
        <v>#N/A</v>
      </c>
      <c r="H1462" s="6"/>
      <c r="I1462" s="19"/>
      <c r="J1462" s="50"/>
      <c r="K1462" s="58"/>
      <c r="L1462" s="6">
        <v>30.0</v>
      </c>
      <c r="M1462" s="52" t="s">
        <v>655</v>
      </c>
      <c r="N1462" s="53" t="s">
        <v>698</v>
      </c>
      <c r="O1462" s="19"/>
      <c r="P1462" s="6"/>
      <c r="Q1462" s="6"/>
      <c r="R1462" s="6"/>
    </row>
    <row r="1463">
      <c r="A1463" s="31" t="str">
        <f>IFERROR(__xludf.DUMMYFUNCTION("""COMPUTED_VALUE"""),"н/д")</f>
        <v>н/д</v>
      </c>
      <c r="B1463" s="14" t="str">
        <f>IFERROR(__xludf.DUMMYFUNCTION("""COMPUTED_VALUE"""),"ВНЕ СПИСКА")</f>
        <v>ВНЕ СПИСКА</v>
      </c>
      <c r="C1463" s="14" t="str">
        <f>IFERROR(__xludf.DUMMYFUNCTION("""COMPUTED_VALUE"""),"УДС")</f>
        <v>УДС</v>
      </c>
      <c r="D1463" s="6"/>
      <c r="E1463" s="14" t="str">
        <f>IFERROR(__xludf.DUMMYFUNCTION("""COMPUTED_VALUE"""),"Строительство проезжей части пр. проезда №6121 на участке от существующего общественного здания по адресу: 9-я Парковая улица, вл.68, корпус 5 до 11-й Парковой улицы шириной в красных линиях УДС – 20,0 м пр.пр. № 6121 от ул.9-я Парковая, влд.68к.5 до 11-й"&amp;" Парковой ул.")</f>
        <v>Строительство проезжей части пр. проезда №6121 на участке от существующего общественного здания по адресу: 9-я Парковая улица, вл.68, корпус 5 до 11-й Парковой улицы шириной в красных линиях УДС – 20,0 м пр.пр. № 6121 от ул.9-я Парковая, влд.68к.5 до 11-й Парковой ул.</v>
      </c>
      <c r="F1463" s="25" t="str">
        <f>IFERROR(__xludf.DUMMYFUNCTION("""COMPUTED_VALUE"""),"#N/A")</f>
        <v>#N/A</v>
      </c>
      <c r="G1463" s="6" t="str">
        <f>IFERROR(__xludf.DUMMYFUNCTION("""COMPUTED_VALUE"""),"#N/A")</f>
        <v>#N/A</v>
      </c>
      <c r="H1463" s="6"/>
      <c r="I1463" s="19"/>
      <c r="J1463" s="50"/>
      <c r="K1463" s="58"/>
      <c r="L1463" s="6">
        <v>30.0</v>
      </c>
      <c r="M1463" s="52" t="s">
        <v>655</v>
      </c>
      <c r="N1463" s="53" t="s">
        <v>698</v>
      </c>
      <c r="O1463" s="19" t="s">
        <v>1433</v>
      </c>
      <c r="P1463" s="6"/>
      <c r="Q1463" s="6"/>
      <c r="R1463" s="6"/>
    </row>
    <row r="1464">
      <c r="A1464" s="31" t="str">
        <f>IFERROR(__xludf.DUMMYFUNCTION("""COMPUTED_VALUE"""),"н/д")</f>
        <v>н/д</v>
      </c>
      <c r="B1464" s="14" t="str">
        <f>IFERROR(__xludf.DUMMYFUNCTION("""COMPUTED_VALUE"""),"ВНЕ СПИСКА")</f>
        <v>ВНЕ СПИСКА</v>
      </c>
      <c r="C1464" s="14" t="str">
        <f>IFERROR(__xludf.DUMMYFUNCTION("""COMPUTED_VALUE"""),"ОКС")</f>
        <v>ОКС</v>
      </c>
      <c r="D1464" s="6" t="str">
        <f>IFERROR(__xludf.DUMMYFUNCTION("""COMPUTED_VALUE"""),"да")</f>
        <v>да</v>
      </c>
      <c r="E1464" s="14" t="str">
        <f>IFERROR(__xludf.DUMMYFUNCTION("""COMPUTED_VALUE"""),"Многоквартирный дом ЖК LUCE Крестовоздвиженский пер., д. 4")</f>
        <v>Многоквартирный дом ЖК LUCE Крестовоздвиженский пер., д. 4</v>
      </c>
      <c r="F1464" s="25" t="str">
        <f>IFERROR(__xludf.DUMMYFUNCTION("""COMPUTED_VALUE"""),"#N/A")</f>
        <v>#N/A</v>
      </c>
      <c r="G1464" s="6" t="str">
        <f>IFERROR(__xludf.DUMMYFUNCTION("""COMPUTED_VALUE"""),"#N/A")</f>
        <v>#N/A</v>
      </c>
      <c r="H1464" s="6"/>
      <c r="I1464" s="6"/>
      <c r="J1464" s="50"/>
      <c r="K1464" s="58"/>
      <c r="L1464" s="6">
        <v>30.0</v>
      </c>
      <c r="M1464" s="52" t="s">
        <v>655</v>
      </c>
      <c r="N1464" s="53" t="s">
        <v>698</v>
      </c>
      <c r="O1464" s="6" t="s">
        <v>669</v>
      </c>
      <c r="P1464" s="6"/>
      <c r="Q1464" s="6"/>
      <c r="R1464" s="6"/>
    </row>
    <row r="1465">
      <c r="A1465" s="31"/>
      <c r="B1465" s="14"/>
      <c r="C1465" s="14"/>
      <c r="D1465" s="6"/>
      <c r="E1465" s="14" t="str">
        <f>IFERROR(__xludf.DUMMYFUNCTION("""COMPUTED_VALUE"""),"- Царицино ст. м")</f>
        <v>- Царицино ст. м</v>
      </c>
      <c r="F1465" s="25" t="str">
        <f>IFERROR(__xludf.DUMMYFUNCTION("""COMPUTED_VALUE"""),"#N/A")</f>
        <v>#N/A</v>
      </c>
      <c r="G1465" s="6" t="str">
        <f>IFERROR(__xludf.DUMMYFUNCTION("""COMPUTED_VALUE"""),"#N/A")</f>
        <v>#N/A</v>
      </c>
      <c r="H1465" s="6"/>
      <c r="I1465" s="19"/>
      <c r="J1465" s="50"/>
      <c r="K1465" s="58"/>
      <c r="L1465" s="6" t="s">
        <v>655</v>
      </c>
      <c r="M1465" s="52" t="s">
        <v>655</v>
      </c>
      <c r="N1465" s="53" t="s">
        <v>655</v>
      </c>
      <c r="O1465" s="19"/>
      <c r="P1465" s="6"/>
      <c r="Q1465" s="6"/>
      <c r="R1465" s="6"/>
    </row>
    <row r="1466">
      <c r="A1466" s="31"/>
      <c r="B1466" s="14"/>
      <c r="C1466" s="14"/>
      <c r="D1466" s="6" t="str">
        <f>IFERROR(__xludf.DUMMYFUNCTION("""COMPUTED_VALUE"""),"да")</f>
        <v>да</v>
      </c>
      <c r="E1466" s="14" t="str">
        <f>IFERROR(__xludf.DUMMYFUNCTION("""COMPUTED_VALUE"""),"- Кировоградская ул., д. 5")</f>
        <v>- Кировоградская ул., д. 5</v>
      </c>
      <c r="F1466" s="25" t="str">
        <f>IFERROR(__xludf.DUMMYFUNCTION("""COMPUTED_VALUE"""),"#N/A")</f>
        <v>#N/A</v>
      </c>
      <c r="G1466" s="6" t="str">
        <f>IFERROR(__xludf.DUMMYFUNCTION("""COMPUTED_VALUE"""),"#N/A")</f>
        <v>#N/A</v>
      </c>
      <c r="H1466" s="6"/>
      <c r="I1466" s="19"/>
      <c r="J1466" s="50"/>
      <c r="K1466" s="58"/>
      <c r="L1466" s="6" t="s">
        <v>655</v>
      </c>
      <c r="M1466" s="52" t="s">
        <v>655</v>
      </c>
      <c r="N1466" s="53" t="s">
        <v>655</v>
      </c>
      <c r="O1466" s="19"/>
      <c r="P1466" s="6"/>
      <c r="Q1466" s="6"/>
      <c r="R1466" s="6"/>
    </row>
    <row r="1467">
      <c r="A1467" s="31"/>
      <c r="B1467" s="14"/>
      <c r="C1467" s="14"/>
      <c r="D1467" s="6" t="str">
        <f>IFERROR(__xludf.DUMMYFUNCTION("""COMPUTED_VALUE"""),"да")</f>
        <v>да</v>
      </c>
      <c r="E1467" s="14" t="str">
        <f>IFERROR(__xludf.DUMMYFUNCTION("""COMPUTED_VALUE"""),"- Халтуринская ул.")</f>
        <v>- Халтуринская ул.</v>
      </c>
      <c r="F1467" s="25" t="str">
        <f>IFERROR(__xludf.DUMMYFUNCTION("""COMPUTED_VALUE"""),"#N/A")</f>
        <v>#N/A</v>
      </c>
      <c r="G1467" s="6" t="str">
        <f>IFERROR(__xludf.DUMMYFUNCTION("""COMPUTED_VALUE"""),"#N/A")</f>
        <v>#N/A</v>
      </c>
      <c r="H1467" s="6"/>
      <c r="I1467" s="19"/>
      <c r="J1467" s="50"/>
      <c r="K1467" s="58"/>
      <c r="L1467" s="6" t="s">
        <v>655</v>
      </c>
      <c r="M1467" s="52" t="s">
        <v>655</v>
      </c>
      <c r="N1467" s="53" t="s">
        <v>655</v>
      </c>
      <c r="O1467" s="19"/>
      <c r="P1467" s="6"/>
      <c r="Q1467" s="6"/>
      <c r="R1467" s="6"/>
    </row>
    <row r="1468">
      <c r="A1468" s="31"/>
      <c r="B1468" s="14"/>
      <c r="C1468" s="14"/>
      <c r="D1468" s="6" t="str">
        <f>IFERROR(__xludf.DUMMYFUNCTION("""COMPUTED_VALUE"""),"да")</f>
        <v>да</v>
      </c>
      <c r="E1468" s="14" t="str">
        <f>IFERROR(__xludf.DUMMYFUNCTION("""COMPUTED_VALUE"""),"- Бутырская ул., д.,д.15,д.17А,21,д.19,д.53к.1,д.53к.2,д.53к.,д.65/68")</f>
        <v>- Бутырская ул., д.,д.15,д.17А,21,д.19,д.53к.1,д.53к.2,д.53к.,д.65/68</v>
      </c>
      <c r="F1468" s="25" t="str">
        <f>IFERROR(__xludf.DUMMYFUNCTION("""COMPUTED_VALUE"""),"#N/A")</f>
        <v>#N/A</v>
      </c>
      <c r="G1468" s="6" t="str">
        <f>IFERROR(__xludf.DUMMYFUNCTION("""COMPUTED_VALUE"""),"#N/A")</f>
        <v>#N/A</v>
      </c>
      <c r="H1468" s="6"/>
      <c r="I1468" s="19"/>
      <c r="J1468" s="50"/>
      <c r="K1468" s="58"/>
      <c r="L1468" s="6" t="s">
        <v>655</v>
      </c>
      <c r="M1468" s="52" t="s">
        <v>655</v>
      </c>
      <c r="N1468" s="53" t="s">
        <v>655</v>
      </c>
      <c r="O1468" s="19"/>
      <c r="P1468" s="6"/>
      <c r="Q1468" s="6"/>
      <c r="R1468" s="6"/>
    </row>
    <row r="1469">
      <c r="A1469" s="31"/>
      <c r="B1469" s="14"/>
      <c r="C1469" s="14"/>
      <c r="D1469" s="6"/>
      <c r="E1469" s="14" t="str">
        <f>IFERROR(__xludf.DUMMYFUNCTION("""COMPUTED_VALUE"""),"- МЖД Киевское направление, ул.Лобачевского, Мичуринский пр-кт.,Каменка река")</f>
        <v>- МЖД Киевское направление, ул.Лобачевского, Мичуринский пр-кт.,Каменка река</v>
      </c>
      <c r="F1469" s="25" t="str">
        <f>IFERROR(__xludf.DUMMYFUNCTION("""COMPUTED_VALUE"""),"#N/A")</f>
        <v>#N/A</v>
      </c>
      <c r="G1469" s="6" t="str">
        <f>IFERROR(__xludf.DUMMYFUNCTION("""COMPUTED_VALUE"""),"#N/A")</f>
        <v>#N/A</v>
      </c>
      <c r="H1469" s="6"/>
      <c r="I1469" s="19"/>
      <c r="J1469" s="50"/>
      <c r="K1469" s="58"/>
      <c r="L1469" s="6" t="s">
        <v>655</v>
      </c>
      <c r="M1469" s="52" t="s">
        <v>655</v>
      </c>
      <c r="N1469" s="53" t="s">
        <v>655</v>
      </c>
      <c r="O1469" s="19"/>
      <c r="P1469" s="6"/>
      <c r="Q1469" s="6"/>
      <c r="R1469" s="6"/>
    </row>
    <row r="1470">
      <c r="A1470" s="31"/>
      <c r="B1470" s="14"/>
      <c r="C1470" s="14"/>
      <c r="D1470" s="6"/>
      <c r="E1470" s="14" t="str">
        <f>IFERROR(__xludf.DUMMYFUNCTION("""COMPUTED_VALUE"""),"- Дмитровское ш. перед пересечением с Красностуденческим пр-дом.")</f>
        <v>- Дмитровское ш. перед пересечением с Красностуденческим пр-дом.</v>
      </c>
      <c r="F1470" s="25" t="str">
        <f>IFERROR(__xludf.DUMMYFUNCTION("""COMPUTED_VALUE"""),"#N/A")</f>
        <v>#N/A</v>
      </c>
      <c r="G1470" s="6" t="str">
        <f>IFERROR(__xludf.DUMMYFUNCTION("""COMPUTED_VALUE"""),"#N/A")</f>
        <v>#N/A</v>
      </c>
      <c r="H1470" s="6"/>
      <c r="I1470" s="19"/>
      <c r="J1470" s="50"/>
      <c r="K1470" s="58"/>
      <c r="L1470" s="6" t="s">
        <v>655</v>
      </c>
      <c r="M1470" s="52" t="s">
        <v>655</v>
      </c>
      <c r="N1470" s="53" t="s">
        <v>655</v>
      </c>
      <c r="O1470" s="19"/>
      <c r="P1470" s="6"/>
      <c r="Q1470" s="6"/>
      <c r="R1470" s="6"/>
    </row>
    <row r="1471">
      <c r="A1471" s="31"/>
      <c r="B1471" s="14"/>
      <c r="C1471" s="14" t="str">
        <f>IFERROR(__xludf.DUMMYFUNCTION("""COMPUTED_VALUE"""),"ОКС")</f>
        <v>ОКС</v>
      </c>
      <c r="D1471" s="6" t="str">
        <f>IFERROR(__xludf.DUMMYFUNCTION("""COMPUTED_VALUE"""),"да")</f>
        <v>да</v>
      </c>
      <c r="E1471" s="14" t="str">
        <f>IFERROR(__xludf.DUMMYFUNCTION("""COMPUTED_VALUE"""),"Производственная база Джаамгаровская, влд.7")</f>
        <v>Производственная база Джаамгаровская, влд.7</v>
      </c>
      <c r="F1471" s="25" t="str">
        <f>IFERROR(__xludf.DUMMYFUNCTION("""COMPUTED_VALUE"""),"#N/A")</f>
        <v>#N/A</v>
      </c>
      <c r="G1471" s="6" t="str">
        <f>IFERROR(__xludf.DUMMYFUNCTION("""COMPUTED_VALUE"""),"#N/A")</f>
        <v>#N/A</v>
      </c>
      <c r="H1471" s="6"/>
      <c r="I1471" s="19"/>
      <c r="J1471" s="50"/>
      <c r="K1471" s="58"/>
      <c r="L1471" s="6" t="s">
        <v>655</v>
      </c>
      <c r="M1471" s="52" t="s">
        <v>655</v>
      </c>
      <c r="N1471" s="53" t="s">
        <v>655</v>
      </c>
      <c r="O1471" s="19"/>
      <c r="P1471" s="6"/>
      <c r="Q1471" s="6"/>
      <c r="R1471" s="6"/>
    </row>
    <row r="1472">
      <c r="A1472" s="31"/>
      <c r="B1472" s="14"/>
      <c r="C1472" s="14"/>
      <c r="D1472" s="6" t="str">
        <f>IFERROR(__xludf.DUMMYFUNCTION("""COMPUTED_VALUE"""),"да")</f>
        <v>да</v>
      </c>
      <c r="E1472" s="14" t="str">
        <f>IFERROR(__xludf.DUMMYFUNCTION("""COMPUTED_VALUE"""),"- Вернадского пр-кт, влд.6А")</f>
        <v>- Вернадского пр-кт, влд.6А</v>
      </c>
      <c r="F1472" s="25" t="str">
        <f>IFERROR(__xludf.DUMMYFUNCTION("""COMPUTED_VALUE"""),"#N/A")</f>
        <v>#N/A</v>
      </c>
      <c r="G1472" s="6" t="str">
        <f>IFERROR(__xludf.DUMMYFUNCTION("""COMPUTED_VALUE"""),"#N/A")</f>
        <v>#N/A</v>
      </c>
      <c r="H1472" s="6"/>
      <c r="I1472" s="19"/>
      <c r="J1472" s="50"/>
      <c r="K1472" s="58"/>
      <c r="L1472" s="6" t="s">
        <v>655</v>
      </c>
      <c r="M1472" s="52" t="s">
        <v>655</v>
      </c>
      <c r="N1472" s="53" t="s">
        <v>655</v>
      </c>
      <c r="O1472" s="19"/>
      <c r="P1472" s="6"/>
      <c r="Q1472" s="6"/>
      <c r="R1472" s="6"/>
    </row>
    <row r="1473">
      <c r="A1473" s="31"/>
      <c r="B1473" s="14"/>
      <c r="C1473" s="14"/>
      <c r="D1473" s="6"/>
      <c r="E1473" s="14" t="str">
        <f>IFERROR(__xludf.DUMMYFUNCTION("""COMPUTED_VALUE"""),"- Кутузово о.п., Кутузовская ст.м.")</f>
        <v>- Кутузово о.п., Кутузовская ст.м.</v>
      </c>
      <c r="F1473" s="25" t="str">
        <f>IFERROR(__xludf.DUMMYFUNCTION("""COMPUTED_VALUE"""),"#N/A")</f>
        <v>#N/A</v>
      </c>
      <c r="G1473" s="6" t="str">
        <f>IFERROR(__xludf.DUMMYFUNCTION("""COMPUTED_VALUE"""),"#N/A")</f>
        <v>#N/A</v>
      </c>
      <c r="H1473" s="6"/>
      <c r="I1473" s="19"/>
      <c r="J1473" s="50"/>
      <c r="K1473" s="58"/>
      <c r="L1473" s="6" t="s">
        <v>655</v>
      </c>
      <c r="M1473" s="52" t="s">
        <v>655</v>
      </c>
      <c r="N1473" s="53" t="s">
        <v>655</v>
      </c>
      <c r="O1473" s="19"/>
      <c r="P1473" s="6"/>
      <c r="Q1473" s="6"/>
      <c r="R1473" s="6"/>
    </row>
    <row r="1474">
      <c r="A1474" s="31"/>
      <c r="B1474" s="14"/>
      <c r="C1474" s="14"/>
      <c r="D1474" s="6" t="str">
        <f>IFERROR(__xludf.DUMMYFUNCTION("""COMPUTED_VALUE"""),"да")</f>
        <v>да</v>
      </c>
      <c r="E1474" s="14" t="str">
        <f>IFERROR(__xludf.DUMMYFUNCTION("""COMPUTED_VALUE"""),"- Аминьевское шоссе, з/у 2А")</f>
        <v>- Аминьевское шоссе, з/у 2А</v>
      </c>
      <c r="F1474" s="25" t="str">
        <f>IFERROR(__xludf.DUMMYFUNCTION("""COMPUTED_VALUE"""),"#N/A")</f>
        <v>#N/A</v>
      </c>
      <c r="G1474" s="6" t="str">
        <f>IFERROR(__xludf.DUMMYFUNCTION("""COMPUTED_VALUE"""),"#N/A")</f>
        <v>#N/A</v>
      </c>
      <c r="H1474" s="6"/>
      <c r="I1474" s="19"/>
      <c r="J1474" s="50"/>
      <c r="K1474" s="58"/>
      <c r="L1474" s="6" t="s">
        <v>655</v>
      </c>
      <c r="M1474" s="52" t="s">
        <v>655</v>
      </c>
      <c r="N1474" s="53" t="s">
        <v>655</v>
      </c>
      <c r="O1474" s="19"/>
      <c r="P1474" s="6"/>
      <c r="Q1474" s="6"/>
      <c r="R1474" s="6"/>
    </row>
    <row r="1475">
      <c r="A1475" s="31" t="str">
        <f>IFERROR(__xludf.DUMMYFUNCTION("""COMPUTED_VALUE"""),"н/д")</f>
        <v>н/д</v>
      </c>
      <c r="B1475" s="14" t="str">
        <f>IFERROR(__xludf.DUMMYFUNCTION("""COMPUTED_VALUE"""),"ВНЕ СПИСКА")</f>
        <v>ВНЕ СПИСКА</v>
      </c>
      <c r="C1475" s="14" t="str">
        <f>IFERROR(__xludf.DUMMYFUNCTION("""COMPUTED_VALUE"""),"ОКС")</f>
        <v>ОКС</v>
      </c>
      <c r="D1475" s="6" t="str">
        <f>IFERROR(__xludf.DUMMYFUNCTION("""COMPUTED_VALUE"""),"да")</f>
        <v>да</v>
      </c>
      <c r="E1475" s="14" t="str">
        <f>IFERROR(__xludf.DUMMYFUNCTION("""COMPUTED_VALUE"""),"Деловой центр ш. Хорошевское, вл. 39")</f>
        <v>Деловой центр ш. Хорошевское, вл. 39</v>
      </c>
      <c r="F1475" s="25" t="str">
        <f>IFERROR(__xludf.DUMMYFUNCTION("""COMPUTED_VALUE"""),"#N/A")</f>
        <v>#N/A</v>
      </c>
      <c r="G1475" s="6" t="str">
        <f>IFERROR(__xludf.DUMMYFUNCTION("""COMPUTED_VALUE"""),"#N/A")</f>
        <v>#N/A</v>
      </c>
      <c r="H1475" s="6"/>
      <c r="I1475" s="19"/>
      <c r="J1475" s="50"/>
      <c r="K1475" s="58"/>
      <c r="L1475" s="6">
        <v>30.0</v>
      </c>
      <c r="M1475" s="52" t="s">
        <v>655</v>
      </c>
      <c r="N1475" s="53" t="s">
        <v>698</v>
      </c>
      <c r="O1475" s="19" t="s">
        <v>669</v>
      </c>
      <c r="P1475" s="6"/>
      <c r="Q1475" s="6"/>
      <c r="R1475" s="6"/>
    </row>
    <row r="1476">
      <c r="A1476" s="31"/>
      <c r="B1476" s="14"/>
      <c r="C1476" s="14"/>
      <c r="D1476" s="6" t="str">
        <f>IFERROR(__xludf.DUMMYFUNCTION("""COMPUTED_VALUE"""),"да")</f>
        <v>да</v>
      </c>
      <c r="E1476" s="14" t="str">
        <f>IFERROR(__xludf.DUMMYFUNCTION("""COMPUTED_VALUE"""),"- Хачатуряна ул., д.20А")</f>
        <v>- Хачатуряна ул., д.20А</v>
      </c>
      <c r="F1476" s="25" t="str">
        <f>IFERROR(__xludf.DUMMYFUNCTION("""COMPUTED_VALUE"""),"#N/A")</f>
        <v>#N/A</v>
      </c>
      <c r="G1476" s="6" t="str">
        <f>IFERROR(__xludf.DUMMYFUNCTION("""COMPUTED_VALUE"""),"#N/A")</f>
        <v>#N/A</v>
      </c>
      <c r="H1476" s="6"/>
      <c r="I1476" s="19"/>
      <c r="J1476" s="50"/>
      <c r="K1476" s="58"/>
      <c r="L1476" s="6" t="s">
        <v>655</v>
      </c>
      <c r="M1476" s="52" t="s">
        <v>655</v>
      </c>
      <c r="N1476" s="53" t="s">
        <v>655</v>
      </c>
      <c r="O1476" s="19"/>
      <c r="P1476" s="6"/>
      <c r="Q1476" s="6"/>
      <c r="R1476" s="6"/>
    </row>
    <row r="1477">
      <c r="A1477" s="31"/>
      <c r="B1477" s="14"/>
      <c r="C1477" s="14"/>
      <c r="D1477" s="6" t="str">
        <f>IFERROR(__xludf.DUMMYFUNCTION("""COMPUTED_VALUE"""),"да")</f>
        <v>да</v>
      </c>
      <c r="E1477" s="14" t="str">
        <f>IFERROR(__xludf.DUMMYFUNCTION("""COMPUTED_VALUE"""),"- Новосслободская ул.,к.н. 77:01:0004009:3829")</f>
        <v>- Новосслободская ул.,к.н. 77:01:0004009:3829</v>
      </c>
      <c r="F1477" s="25" t="str">
        <f>IFERROR(__xludf.DUMMYFUNCTION("""COMPUTED_VALUE"""),"#N/A")</f>
        <v>#N/A</v>
      </c>
      <c r="G1477" s="6" t="str">
        <f>IFERROR(__xludf.DUMMYFUNCTION("""COMPUTED_VALUE"""),"#N/A")</f>
        <v>#N/A</v>
      </c>
      <c r="H1477" s="6"/>
      <c r="I1477" s="19"/>
      <c r="J1477" s="50"/>
      <c r="K1477" s="58"/>
      <c r="L1477" s="6" t="s">
        <v>655</v>
      </c>
      <c r="M1477" s="52" t="s">
        <v>655</v>
      </c>
      <c r="N1477" s="53" t="s">
        <v>655</v>
      </c>
      <c r="O1477" s="19"/>
      <c r="P1477" s="6"/>
      <c r="Q1477" s="6"/>
      <c r="R1477" s="6"/>
    </row>
    <row r="1478">
      <c r="A1478" s="31" t="str">
        <f>IFERROR(__xludf.DUMMYFUNCTION("""COMPUTED_VALUE"""),"н/д")</f>
        <v>н/д</v>
      </c>
      <c r="B1478" s="14" t="str">
        <f>IFERROR(__xludf.DUMMYFUNCTION("""COMPUTED_VALUE"""),"ВНЕ СПИСКА")</f>
        <v>ВНЕ СПИСКА</v>
      </c>
      <c r="C1478" s="14" t="str">
        <f>IFERROR(__xludf.DUMMYFUNCTION("""COMPUTED_VALUE"""),"ОКС")</f>
        <v>ОКС</v>
      </c>
      <c r="D1478" s="6" t="str">
        <f>IFERROR(__xludf.DUMMYFUNCTION("""COMPUTED_VALUE"""),"да")</f>
        <v>да</v>
      </c>
      <c r="E1478" s="14" t="str">
        <f>IFERROR(__xludf.DUMMYFUNCTION("""COMPUTED_VALUE"""),"Среднеэтажный многоквартирный дом Ильменский проезд, вл. 1")</f>
        <v>Среднеэтажный многоквартирный дом Ильменский проезд, вл. 1</v>
      </c>
      <c r="F1478" s="25" t="str">
        <f>IFERROR(__xludf.DUMMYFUNCTION("""COMPUTED_VALUE"""),"#N/A")</f>
        <v>#N/A</v>
      </c>
      <c r="G1478" s="6" t="str">
        <f>IFERROR(__xludf.DUMMYFUNCTION("""COMPUTED_VALUE"""),"#N/A")</f>
        <v>#N/A</v>
      </c>
      <c r="H1478" s="6"/>
      <c r="I1478" s="19"/>
      <c r="J1478" s="50"/>
      <c r="K1478" s="58"/>
      <c r="L1478" s="6">
        <v>30.0</v>
      </c>
      <c r="M1478" s="52" t="s">
        <v>655</v>
      </c>
      <c r="N1478" s="53" t="s">
        <v>698</v>
      </c>
      <c r="O1478" s="19" t="s">
        <v>669</v>
      </c>
      <c r="P1478" s="6"/>
      <c r="Q1478" s="6"/>
      <c r="R1478" s="6"/>
    </row>
    <row r="1479">
      <c r="A1479" s="31"/>
      <c r="B1479" s="14"/>
      <c r="C1479" s="14" t="str">
        <f>IFERROR(__xludf.DUMMYFUNCTION("""COMPUTED_VALUE"""),"ОКС")</f>
        <v>ОКС</v>
      </c>
      <c r="D1479" s="6" t="str">
        <f>IFERROR(__xludf.DUMMYFUNCTION("""COMPUTED_VALUE"""),"да")</f>
        <v>да</v>
      </c>
      <c r="E1479" s="14" t="str">
        <f>IFERROR(__xludf.DUMMYFUNCTION("""COMPUTED_VALUE"""),"«Торговый Комплекс» Динамовская ул. вл. 1А")</f>
        <v>«Торговый Комплекс» Динамовская ул. вл. 1А</v>
      </c>
      <c r="F1479" s="25" t="str">
        <f>IFERROR(__xludf.DUMMYFUNCTION("""COMPUTED_VALUE"""),"#N/A")</f>
        <v>#N/A</v>
      </c>
      <c r="G1479" s="6" t="str">
        <f>IFERROR(__xludf.DUMMYFUNCTION("""COMPUTED_VALUE"""),"#N/A")</f>
        <v>#N/A</v>
      </c>
      <c r="H1479" s="6"/>
      <c r="I1479" s="19"/>
      <c r="J1479" s="50"/>
      <c r="K1479" s="58"/>
      <c r="L1479" s="6" t="s">
        <v>655</v>
      </c>
      <c r="M1479" s="52" t="s">
        <v>655</v>
      </c>
      <c r="N1479" s="53" t="s">
        <v>655</v>
      </c>
      <c r="O1479" s="19"/>
      <c r="P1479" s="6"/>
      <c r="Q1479" s="6"/>
      <c r="R1479" s="6"/>
    </row>
    <row r="1480">
      <c r="A1480" s="31"/>
      <c r="B1480" s="14"/>
      <c r="C1480" s="14" t="str">
        <f>IFERROR(__xludf.DUMMYFUNCTION("""COMPUTED_VALUE"""),"ОКС")</f>
        <v>ОКС</v>
      </c>
      <c r="D1480" s="6" t="str">
        <f>IFERROR(__xludf.DUMMYFUNCTION("""COMPUTED_VALUE"""),"да")</f>
        <v>да</v>
      </c>
      <c r="E1480" s="14" t="str">
        <f>IFERROR(__xludf.DUMMYFUNCTION("""COMPUTED_VALUE"""),"Проект по реставрации и приспособлению для современного использования выявленного объекта культурного наследия ""Жилой дом Н.В. Лаврова, 1837 г., 1880-е гг., начало XX в. В этом доме в 1837-1877 гг. проживали артисты Императорских Большого и Малого театро"&amp;"в: Н.В. Лавров, Д.М. Сабурова, В.С. Васильев Е.Н. Васильева, Москва, ул. Остоженка, д. 26/1")</f>
        <v>Проект по реставрации и приспособлению для современного использования выявленного объекта культурного наследия "Жилой дом Н.В. Лаврова, 1837 г., 1880-е гг., начало XX в. В этом доме в 1837-1877 гг. проживали артисты Императорских Большого и Малого театров: Н.В. Лавров, Д.М. Сабурова, В.С. Васильев Е.Н. Васильева, Москва, ул. Остоженка, д. 26/1</v>
      </c>
      <c r="F1480" s="25" t="str">
        <f>IFERROR(__xludf.DUMMYFUNCTION("""COMPUTED_VALUE"""),"#N/A")</f>
        <v>#N/A</v>
      </c>
      <c r="G1480" s="6" t="str">
        <f>IFERROR(__xludf.DUMMYFUNCTION("""COMPUTED_VALUE"""),"#N/A")</f>
        <v>#N/A</v>
      </c>
      <c r="H1480" s="6"/>
      <c r="I1480" s="19"/>
      <c r="J1480" s="50"/>
      <c r="K1480" s="58"/>
      <c r="L1480" s="6" t="s">
        <v>655</v>
      </c>
      <c r="M1480" s="52" t="s">
        <v>655</v>
      </c>
      <c r="N1480" s="53" t="s">
        <v>655</v>
      </c>
      <c r="O1480" s="19"/>
      <c r="P1480" s="6"/>
      <c r="Q1480" s="6"/>
      <c r="R1480" s="6"/>
    </row>
    <row r="1481">
      <c r="A1481" s="31"/>
      <c r="B1481" s="14"/>
      <c r="C1481" s="14" t="str">
        <f>IFERROR(__xludf.DUMMYFUNCTION("""COMPUTED_VALUE"""),"ОКС")</f>
        <v>ОКС</v>
      </c>
      <c r="D1481" s="6" t="str">
        <f>IFERROR(__xludf.DUMMYFUNCTION("""COMPUTED_VALUE"""),"да")</f>
        <v>да</v>
      </c>
      <c r="E1481" s="14" t="str">
        <f>IFERROR(__xludf.DUMMYFUNCTION("""COMPUTED_VALUE"""),"«Многофункциональный жилой комплекс с апартаментами, коммерческими помещениями и автостоянкой» по адресу: Москва, ЦАО, Замоскворечье, Москва, ЦАО, район Замоскворечье, ул. Пятницкая, вл. 16, стр. 3, 6-8, 9-10, 11, 12; Климентовский пер., вл. 12, стр. 4, 6"&amp;"-18; ул. Пятницкая, вл. 16, стр.13; ул. Пятницкая, вл. 20, стр.3; ул. Большая Ордынка, 17/8; ул. Большая Ордынка, вл.19, стр.9 ")</f>
        <v>«Многофункциональный жилой комплекс с апартаментами, коммерческими помещениями и автостоянкой» по адресу: Москва, ЦАО, Замоскворечье, Москва, ЦАО, район Замоскворечье, ул. Пятницкая, вл. 16, стр. 3, 6-8, 9-10, 11, 12; Климентовский пер., вл. 12, стр. 4, 6-18; ул. Пятницкая, вл. 16, стр.13; ул. Пятницкая, вл. 20, стр.3; ул. Большая Ордынка, 17/8; ул. Большая Ордынка, вл.19, стр.9 </v>
      </c>
      <c r="F1481" s="25" t="str">
        <f>IFERROR(__xludf.DUMMYFUNCTION("""COMPUTED_VALUE"""),"#N/A")</f>
        <v>#N/A</v>
      </c>
      <c r="G1481" s="6" t="str">
        <f>IFERROR(__xludf.DUMMYFUNCTION("""COMPUTED_VALUE"""),"#N/A")</f>
        <v>#N/A</v>
      </c>
      <c r="H1481" s="6"/>
      <c r="I1481" s="19"/>
      <c r="J1481" s="50"/>
      <c r="K1481" s="58"/>
      <c r="L1481" s="6" t="s">
        <v>655</v>
      </c>
      <c r="M1481" s="52" t="s">
        <v>655</v>
      </c>
      <c r="N1481" s="53" t="s">
        <v>655</v>
      </c>
      <c r="O1481" s="19"/>
      <c r="P1481" s="6"/>
      <c r="Q1481" s="6"/>
      <c r="R1481" s="6"/>
    </row>
    <row r="1482">
      <c r="A1482" s="31"/>
      <c r="B1482" s="14"/>
      <c r="C1482" s="14" t="str">
        <f>IFERROR(__xludf.DUMMYFUNCTION("""COMPUTED_VALUE"""),"ОКС")</f>
        <v>ОКС</v>
      </c>
      <c r="D1482" s="6" t="str">
        <f>IFERROR(__xludf.DUMMYFUNCTION("""COMPUTED_VALUE"""),"да")</f>
        <v>да</v>
      </c>
      <c r="E1482" s="14" t="str">
        <f>IFERROR(__xludf.DUMMYFUNCTION("""COMPUTED_VALUE"""),"Многофункциональный жилищно-общественный комплекс с подземной автостоянкой Москва, Берсеневская наб., вл.6 ")</f>
        <v>Многофункциональный жилищно-общественный комплекс с подземной автостоянкой Москва, Берсеневская наб., вл.6 </v>
      </c>
      <c r="F1482" s="25" t="str">
        <f>IFERROR(__xludf.DUMMYFUNCTION("""COMPUTED_VALUE"""),"#N/A")</f>
        <v>#N/A</v>
      </c>
      <c r="G1482" s="6" t="str">
        <f>IFERROR(__xludf.DUMMYFUNCTION("""COMPUTED_VALUE"""),"#N/A")</f>
        <v>#N/A</v>
      </c>
      <c r="H1482" s="6"/>
      <c r="I1482" s="19"/>
      <c r="J1482" s="50"/>
      <c r="K1482" s="58"/>
      <c r="L1482" s="6" t="s">
        <v>655</v>
      </c>
      <c r="M1482" s="52" t="s">
        <v>655</v>
      </c>
      <c r="N1482" s="53" t="s">
        <v>655</v>
      </c>
      <c r="O1482" s="19"/>
      <c r="P1482" s="6"/>
      <c r="Q1482" s="6"/>
      <c r="R1482" s="6"/>
    </row>
    <row r="1483">
      <c r="A1483" s="31"/>
      <c r="B1483" s="14"/>
      <c r="C1483" s="14" t="str">
        <f>IFERROR(__xludf.DUMMYFUNCTION("""COMPUTED_VALUE"""),"ОКС")</f>
        <v>ОКС</v>
      </c>
      <c r="D1483" s="6" t="str">
        <f>IFERROR(__xludf.DUMMYFUNCTION("""COMPUTED_VALUE"""),"да")</f>
        <v>да</v>
      </c>
      <c r="E1483" s="14" t="str">
        <f>IFERROR(__xludf.DUMMYFUNCTION("""COMPUTED_VALUE"""),"Строительство многофункционального комплекса с гостиницей в рамках специальных мер, направленных на восстановление (регенерацию) историко-градостроительной среды, Москва, ул. Никольская, 4/5 ")</f>
        <v>Строительство многофункционального комплекса с гостиницей в рамках специальных мер, направленных на восстановление (регенерацию) историко-градостроительной среды, Москва, ул. Никольская, 4/5 </v>
      </c>
      <c r="F1483" s="25" t="str">
        <f>IFERROR(__xludf.DUMMYFUNCTION("""COMPUTED_VALUE"""),"#N/A")</f>
        <v>#N/A</v>
      </c>
      <c r="G1483" s="6" t="str">
        <f>IFERROR(__xludf.DUMMYFUNCTION("""COMPUTED_VALUE"""),"#N/A")</f>
        <v>#N/A</v>
      </c>
      <c r="H1483" s="6"/>
      <c r="I1483" s="19"/>
      <c r="J1483" s="50"/>
      <c r="K1483" s="58"/>
      <c r="L1483" s="6" t="s">
        <v>655</v>
      </c>
      <c r="M1483" s="52" t="s">
        <v>655</v>
      </c>
      <c r="N1483" s="53" t="s">
        <v>655</v>
      </c>
      <c r="O1483" s="19"/>
      <c r="P1483" s="6"/>
      <c r="Q1483" s="6"/>
      <c r="R1483" s="6"/>
    </row>
    <row r="1484">
      <c r="A1484" s="31"/>
      <c r="B1484" s="14"/>
      <c r="C1484" s="14" t="str">
        <f>IFERROR(__xludf.DUMMYFUNCTION("""COMPUTED_VALUE"""),"ОКС")</f>
        <v>ОКС</v>
      </c>
      <c r="D1484" s="6" t="str">
        <f>IFERROR(__xludf.DUMMYFUNCTION("""COMPUTED_VALUE"""),"да")</f>
        <v>да</v>
      </c>
      <c r="E1484" s="14" t="str">
        <f>IFERROR(__xludf.DUMMYFUNCTION("""COMPUTED_VALUE"""),"«Реконструкция общественного здания по адресу: г. Москва, Тверская ул., д. 24, стр. 1» ")</f>
        <v>«Реконструкция общественного здания по адресу: г. Москва, Тверская ул., д. 24, стр. 1» </v>
      </c>
      <c r="F1484" s="25" t="str">
        <f>IFERROR(__xludf.DUMMYFUNCTION("""COMPUTED_VALUE"""),"#N/A")</f>
        <v>#N/A</v>
      </c>
      <c r="G1484" s="6" t="str">
        <f>IFERROR(__xludf.DUMMYFUNCTION("""COMPUTED_VALUE"""),"#N/A")</f>
        <v>#N/A</v>
      </c>
      <c r="H1484" s="6"/>
      <c r="I1484" s="19"/>
      <c r="J1484" s="50"/>
      <c r="K1484" s="58"/>
      <c r="L1484" s="6" t="s">
        <v>655</v>
      </c>
      <c r="M1484" s="52" t="s">
        <v>655</v>
      </c>
      <c r="N1484" s="53" t="s">
        <v>655</v>
      </c>
      <c r="O1484" s="19"/>
      <c r="P1484" s="6"/>
      <c r="Q1484" s="6"/>
      <c r="R1484" s="6"/>
    </row>
    <row r="1485">
      <c r="A1485" s="31"/>
      <c r="B1485" s="14"/>
      <c r="C1485" s="14" t="str">
        <f>IFERROR(__xludf.DUMMYFUNCTION("""COMPUTED_VALUE"""),"ОКС")</f>
        <v>ОКС</v>
      </c>
      <c r="D1485" s="6" t="str">
        <f>IFERROR(__xludf.DUMMYFUNCTION("""COMPUTED_VALUE"""),"да")</f>
        <v>да</v>
      </c>
      <c r="E1485" s="14" t="str">
        <f>IFERROR(__xludf.DUMMYFUNCTION("""COMPUTED_VALUE"""),"Многофункциональный комплекс с квартирами, коммерческими площадями и подземной автостоянкой по адресу: ул Никольская, д. 10,2, стр.2 АВ, Никольская ул.8/1 стр.1, 5, Б.Черкасский пер., д.4 стр.1,2, 6 ")</f>
        <v>Многофункциональный комплекс с квартирами, коммерческими площадями и подземной автостоянкой по адресу: ул Никольская, д. 10,2, стр.2 АВ, Никольская ул.8/1 стр.1, 5, Б.Черкасский пер., д.4 стр.1,2, 6 </v>
      </c>
      <c r="F1485" s="25" t="str">
        <f>IFERROR(__xludf.DUMMYFUNCTION("""COMPUTED_VALUE"""),"#N/A")</f>
        <v>#N/A</v>
      </c>
      <c r="G1485" s="6" t="str">
        <f>IFERROR(__xludf.DUMMYFUNCTION("""COMPUTED_VALUE"""),"#N/A")</f>
        <v>#N/A</v>
      </c>
      <c r="H1485" s="6"/>
      <c r="I1485" s="19"/>
      <c r="J1485" s="50"/>
      <c r="K1485" s="58"/>
      <c r="L1485" s="6" t="s">
        <v>655</v>
      </c>
      <c r="M1485" s="52" t="s">
        <v>655</v>
      </c>
      <c r="N1485" s="53" t="s">
        <v>655</v>
      </c>
      <c r="O1485" s="19"/>
      <c r="P1485" s="6"/>
      <c r="Q1485" s="6"/>
      <c r="R1485" s="6"/>
    </row>
    <row r="1486">
      <c r="A1486" s="31"/>
      <c r="B1486" s="14"/>
      <c r="C1486" s="14" t="str">
        <f>IFERROR(__xludf.DUMMYFUNCTION("""COMPUTED_VALUE"""),"ОКС")</f>
        <v>ОКС</v>
      </c>
      <c r="D1486" s="6" t="str">
        <f>IFERROR(__xludf.DUMMYFUNCTION("""COMPUTED_VALUE"""),"да")</f>
        <v>да</v>
      </c>
      <c r="E1486" s="14" t="str">
        <f>IFERROR(__xludf.DUMMYFUNCTION("""COMPUTED_VALUE"""),"Многоэтажный многоквартирный дом между ул. Лобачевского и платформой ""Матвеевское"" (ул. Лобачевского, з/у 118Б)")</f>
        <v>Многоэтажный многоквартирный дом между ул. Лобачевского и платформой "Матвеевское" (ул. Лобачевского, з/у 118Б)</v>
      </c>
      <c r="F1486" s="25" t="str">
        <f>IFERROR(__xludf.DUMMYFUNCTION("""COMPUTED_VALUE"""),"#N/A")</f>
        <v>#N/A</v>
      </c>
      <c r="G1486" s="6" t="str">
        <f>IFERROR(__xludf.DUMMYFUNCTION("""COMPUTED_VALUE"""),"#N/A")</f>
        <v>#N/A</v>
      </c>
      <c r="H1486" s="6"/>
      <c r="I1486" s="19"/>
      <c r="J1486" s="50"/>
      <c r="K1486" s="58"/>
      <c r="L1486" s="6" t="s">
        <v>655</v>
      </c>
      <c r="M1486" s="52" t="s">
        <v>655</v>
      </c>
      <c r="N1486" s="53" t="s">
        <v>655</v>
      </c>
      <c r="O1486" s="19"/>
      <c r="P1486" s="6"/>
      <c r="Q1486" s="6"/>
      <c r="R1486" s="6"/>
    </row>
    <row r="1487">
      <c r="A1487" s="31"/>
      <c r="B1487" s="14"/>
      <c r="C1487" s="14" t="str">
        <f>IFERROR(__xludf.DUMMYFUNCTION("""COMPUTED_VALUE"""),"ОКС")</f>
        <v>ОКС</v>
      </c>
      <c r="D1487" s="6" t="str">
        <f>IFERROR(__xludf.DUMMYFUNCTION("""COMPUTED_VALUE"""),"да")</f>
        <v>да</v>
      </c>
      <c r="E1487" s="14" t="str">
        <f>IFERROR(__xludf.DUMMYFUNCTION("""COMPUTED_VALUE"""),"Многофункциональный жилой комплекс с квартирами и коммерческими помещениями г. Москва, ЦАО, Тверской, Богоявленский пер., Старопанский пер., влд. 3, стр. 1, влд. 1/5, стр. 1 ")</f>
        <v>Многофункциональный жилой комплекс с квартирами и коммерческими помещениями г. Москва, ЦАО, Тверской, Богоявленский пер., Старопанский пер., влд. 3, стр. 1, влд. 1/5, стр. 1 </v>
      </c>
      <c r="F1487" s="25" t="str">
        <f>IFERROR(__xludf.DUMMYFUNCTION("""COMPUTED_VALUE"""),"#N/A")</f>
        <v>#N/A</v>
      </c>
      <c r="G1487" s="6" t="str">
        <f>IFERROR(__xludf.DUMMYFUNCTION("""COMPUTED_VALUE"""),"#N/A")</f>
        <v>#N/A</v>
      </c>
      <c r="H1487" s="6"/>
      <c r="I1487" s="19"/>
      <c r="J1487" s="50"/>
      <c r="K1487" s="58"/>
      <c r="L1487" s="6" t="s">
        <v>655</v>
      </c>
      <c r="M1487" s="52" t="s">
        <v>655</v>
      </c>
      <c r="N1487" s="53" t="s">
        <v>655</v>
      </c>
      <c r="O1487" s="19"/>
      <c r="P1487" s="6"/>
      <c r="Q1487" s="6"/>
      <c r="R1487" s="6"/>
    </row>
    <row r="1488">
      <c r="A1488" s="31"/>
      <c r="B1488" s="14"/>
      <c r="C1488" s="14" t="str">
        <f>IFERROR(__xludf.DUMMYFUNCTION("""COMPUTED_VALUE"""),"ОКС")</f>
        <v>ОКС</v>
      </c>
      <c r="D1488" s="6" t="str">
        <f>IFERROR(__xludf.DUMMYFUNCTION("""COMPUTED_VALUE"""),"да")</f>
        <v>да</v>
      </c>
      <c r="E1488" s="14" t="str">
        <f>IFERROR(__xludf.DUMMYFUNCTION("""COMPUTED_VALUE"""),"ЖК LEVEL СЕЛИГЕРСКАЯ проезд Ильменский, вл.8, к.3, з/у 8А, з/у 10/1")</f>
        <v>ЖК LEVEL СЕЛИГЕРСКАЯ проезд Ильменский, вл.8, к.3, з/у 8А, з/у 10/1</v>
      </c>
      <c r="F1488" s="25" t="str">
        <f>IFERROR(__xludf.DUMMYFUNCTION("""COMPUTED_VALUE"""),"#N/A")</f>
        <v>#N/A</v>
      </c>
      <c r="G1488" s="6" t="str">
        <f>IFERROR(__xludf.DUMMYFUNCTION("""COMPUTED_VALUE"""),"#N/A")</f>
        <v>#N/A</v>
      </c>
      <c r="H1488" s="6"/>
      <c r="I1488" s="19"/>
      <c r="J1488" s="50"/>
      <c r="K1488" s="58"/>
      <c r="L1488" s="6" t="s">
        <v>655</v>
      </c>
      <c r="M1488" s="52" t="s">
        <v>655</v>
      </c>
      <c r="N1488" s="53" t="s">
        <v>655</v>
      </c>
      <c r="O1488" s="19"/>
      <c r="P1488" s="6"/>
      <c r="Q1488" s="6"/>
      <c r="R1488" s="6"/>
    </row>
    <row r="1489">
      <c r="A1489" s="31"/>
      <c r="B1489" s="14"/>
      <c r="C1489" s="14" t="str">
        <f>IFERROR(__xludf.DUMMYFUNCTION("""COMPUTED_VALUE"""),"ОКС")</f>
        <v>ОКС</v>
      </c>
      <c r="D1489" s="6" t="str">
        <f>IFERROR(__xludf.DUMMYFUNCTION("""COMPUTED_VALUE"""),"да")</f>
        <v>да</v>
      </c>
      <c r="E1489" s="14" t="str">
        <f>IFERROR(__xludf.DUMMYFUNCTION("""COMPUTED_VALUE"""),"Офисное здание с подземной автостоянкой расположенное по адресу: Колпачный переулок, д. 9а, строение 1 ")</f>
        <v>Офисное здание с подземной автостоянкой расположенное по адресу: Колпачный переулок, д. 9а, строение 1 </v>
      </c>
      <c r="F1489" s="25" t="str">
        <f>IFERROR(__xludf.DUMMYFUNCTION("""COMPUTED_VALUE"""),"#N/A")</f>
        <v>#N/A</v>
      </c>
      <c r="G1489" s="6" t="str">
        <f>IFERROR(__xludf.DUMMYFUNCTION("""COMPUTED_VALUE"""),"#N/A")</f>
        <v>#N/A</v>
      </c>
      <c r="H1489" s="6"/>
      <c r="I1489" s="19"/>
      <c r="J1489" s="50"/>
      <c r="K1489" s="58"/>
      <c r="L1489" s="6" t="s">
        <v>655</v>
      </c>
      <c r="M1489" s="52" t="s">
        <v>655</v>
      </c>
      <c r="N1489" s="53" t="s">
        <v>655</v>
      </c>
      <c r="O1489" s="19"/>
      <c r="P1489" s="6"/>
      <c r="Q1489" s="6"/>
      <c r="R1489" s="6"/>
    </row>
    <row r="1490">
      <c r="A1490" s="31"/>
      <c r="B1490" s="14"/>
      <c r="C1490" s="14" t="str">
        <f>IFERROR(__xludf.DUMMYFUNCTION("""COMPUTED_VALUE"""),"ОКС")</f>
        <v>ОКС</v>
      </c>
      <c r="D1490" s="6" t="str">
        <f>IFERROR(__xludf.DUMMYFUNCTION("""COMPUTED_VALUE"""),"да")</f>
        <v>да</v>
      </c>
      <c r="E1490" s="14" t="str">
        <f>IFERROR(__xludf.DUMMYFUNCTION("""COMPUTED_VALUE"""),"Жилой комплекс с торговой зоной и подземным паркингом в составе транспортно-пересадочного узла (ТПУ). Шмитовский проезд, вл. 40")</f>
        <v>Жилой комплекс с торговой зоной и подземным паркингом в составе транспортно-пересадочного узла (ТПУ). Шмитовский проезд, вл. 40</v>
      </c>
      <c r="F1490" s="25" t="str">
        <f>IFERROR(__xludf.DUMMYFUNCTION("""COMPUTED_VALUE"""),"#N/A")</f>
        <v>#N/A</v>
      </c>
      <c r="G1490" s="6" t="str">
        <f>IFERROR(__xludf.DUMMYFUNCTION("""COMPUTED_VALUE"""),"#N/A")</f>
        <v>#N/A</v>
      </c>
      <c r="H1490" s="6"/>
      <c r="I1490" s="19"/>
      <c r="J1490" s="50"/>
      <c r="K1490" s="58"/>
      <c r="L1490" s="6" t="s">
        <v>655</v>
      </c>
      <c r="M1490" s="52" t="s">
        <v>655</v>
      </c>
      <c r="N1490" s="53" t="s">
        <v>655</v>
      </c>
      <c r="O1490" s="19"/>
      <c r="P1490" s="6"/>
      <c r="Q1490" s="6"/>
      <c r="R1490" s="6"/>
    </row>
    <row r="1491">
      <c r="A1491" s="31"/>
      <c r="B1491" s="14"/>
      <c r="C1491" s="14" t="str">
        <f>IFERROR(__xludf.DUMMYFUNCTION("""COMPUTED_VALUE"""),"ОКС")</f>
        <v>ОКС</v>
      </c>
      <c r="D1491" s="6" t="str">
        <f>IFERROR(__xludf.DUMMYFUNCTION("""COMPUTED_VALUE"""),"да")</f>
        <v>да</v>
      </c>
      <c r="E1491" s="14" t="str">
        <f>IFERROR(__xludf.DUMMYFUNCTION("""COMPUTED_VALUE"""),"г. Москва, ЦАО, район Хамовники, ул. Остоженка, 9/14 ")</f>
        <v>г. Москва, ЦАО, район Хамовники, ул. Остоженка, 9/14 </v>
      </c>
      <c r="F1491" s="25" t="str">
        <f>IFERROR(__xludf.DUMMYFUNCTION("""COMPUTED_VALUE"""),"#N/A")</f>
        <v>#N/A</v>
      </c>
      <c r="G1491" s="6" t="str">
        <f>IFERROR(__xludf.DUMMYFUNCTION("""COMPUTED_VALUE"""),"#N/A")</f>
        <v>#N/A</v>
      </c>
      <c r="H1491" s="6"/>
      <c r="I1491" s="19"/>
      <c r="J1491" s="50"/>
      <c r="K1491" s="58"/>
      <c r="L1491" s="6" t="s">
        <v>655</v>
      </c>
      <c r="M1491" s="52" t="s">
        <v>655</v>
      </c>
      <c r="N1491" s="53" t="s">
        <v>655</v>
      </c>
      <c r="O1491" s="19"/>
      <c r="P1491" s="6"/>
      <c r="Q1491" s="6"/>
      <c r="R1491" s="6"/>
    </row>
    <row r="1492">
      <c r="A1492" s="31"/>
      <c r="B1492" s="14"/>
      <c r="C1492" s="14" t="str">
        <f>IFERROR(__xludf.DUMMYFUNCTION("""COMPUTED_VALUE"""),"ОКС")</f>
        <v>ОКС</v>
      </c>
      <c r="D1492" s="6" t="str">
        <f>IFERROR(__xludf.DUMMYFUNCTION("""COMPUTED_VALUE"""),"да")</f>
        <v>да</v>
      </c>
      <c r="E1492" s="14" t="str">
        <f>IFERROR(__xludf.DUMMYFUNCTION("""COMPUTED_VALUE"""),"""Многоквартирный жилой дом», расположенного на земельном участке по адресу: г. Москва, ЦАО, Крестовоздвиженский переулок, з/у 4» ")</f>
        <v>"Многоквартирный жилой дом», расположенного на земельном участке по адресу: г. Москва, ЦАО, Крестовоздвиженский переулок, з/у 4» </v>
      </c>
      <c r="F1492" s="25" t="str">
        <f>IFERROR(__xludf.DUMMYFUNCTION("""COMPUTED_VALUE"""),"#N/A")</f>
        <v>#N/A</v>
      </c>
      <c r="G1492" s="6" t="str">
        <f>IFERROR(__xludf.DUMMYFUNCTION("""COMPUTED_VALUE"""),"#N/A")</f>
        <v>#N/A</v>
      </c>
      <c r="H1492" s="6"/>
      <c r="I1492" s="19"/>
      <c r="J1492" s="50"/>
      <c r="K1492" s="58"/>
      <c r="L1492" s="6" t="s">
        <v>655</v>
      </c>
      <c r="M1492" s="52" t="s">
        <v>655</v>
      </c>
      <c r="N1492" s="53" t="s">
        <v>655</v>
      </c>
      <c r="O1492" s="19"/>
      <c r="P1492" s="6"/>
      <c r="Q1492" s="6"/>
      <c r="R1492" s="6"/>
    </row>
    <row r="1493">
      <c r="A1493" s="31"/>
      <c r="B1493" s="14"/>
      <c r="C1493" s="14" t="str">
        <f>IFERROR(__xludf.DUMMYFUNCTION("""COMPUTED_VALUE"""),"ОКС")</f>
        <v>ОКС</v>
      </c>
      <c r="D1493" s="6" t="str">
        <f>IFERROR(__xludf.DUMMYFUNCTION("""COMPUTED_VALUE"""),"да")</f>
        <v>да</v>
      </c>
      <c r="E1493" s="14" t="str">
        <f>IFERROR(__xludf.DUMMYFUNCTION("""COMPUTED_VALUE"""),"«Многофункциональный комлпекс на земельном участке с
 адресными ориентирами: г. Москва, ул. Летниковская, вл.
 6а, стр. 1, 2, 3, 7, 10» расположенного по адресу: ул.
 Летниковская вл. 6а, стр. 1, 2, 3, 7, 10 район
 Замоскворечье, ЦАО и «Иногофункциональны"&amp;"й комплекс
 на земельном участке с адресными ориентирами: г.
 Москва, ул. Летниковская, вл. 4, стр. 1-4, 12-14, вл. 6а, стр.
 6, 8, 9» расположенного по адресу: ул. Летниковская, вл. 4,
 стр. 1-4, 12-14, вл. 6а, стр. 6, 8, 9, район Заомскворечье,
 ЦАО ")</f>
        <v>«Многофункциональный комлпекс на земельном участке с
 адресными ориентирами: г. Москва, ул. Летниковская, вл.
 6а, стр. 1, 2, 3, 7, 10» расположенного по адресу: ул.
 Летниковская вл. 6а, стр. 1, 2, 3, 7, 10 район
 Замоскворечье, ЦАО и «Иногофункциональный комплекс
 на земельном участке с адресными ориентирами: г.
 Москва, ул. Летниковская, вл. 4, стр. 1-4, 12-14, вл. 6а, стр.
 6, 8, 9» расположенного по адресу: ул. Летниковская, вл. 4,
 стр. 1-4, 12-14, вл. 6а, стр. 6, 8, 9, район Заомскворечье,
 ЦАО </v>
      </c>
      <c r="F1493" s="25" t="str">
        <f>IFERROR(__xludf.DUMMYFUNCTION("""COMPUTED_VALUE"""),"#N/A")</f>
        <v>#N/A</v>
      </c>
      <c r="G1493" s="6" t="str">
        <f>IFERROR(__xludf.DUMMYFUNCTION("""COMPUTED_VALUE"""),"#N/A")</f>
        <v>#N/A</v>
      </c>
      <c r="H1493" s="6"/>
      <c r="I1493" s="19"/>
      <c r="J1493" s="50"/>
      <c r="K1493" s="58"/>
      <c r="L1493" s="6" t="s">
        <v>655</v>
      </c>
      <c r="M1493" s="52" t="s">
        <v>655</v>
      </c>
      <c r="N1493" s="53" t="s">
        <v>655</v>
      </c>
      <c r="O1493" s="19"/>
      <c r="P1493" s="6"/>
      <c r="Q1493" s="6"/>
      <c r="R1493" s="6"/>
    </row>
    <row r="1494">
      <c r="A1494" s="31"/>
      <c r="B1494" s="14"/>
      <c r="C1494" s="14" t="str">
        <f>IFERROR(__xludf.DUMMYFUNCTION("""COMPUTED_VALUE"""),"ОКС")</f>
        <v>ОКС</v>
      </c>
      <c r="D1494" s="6" t="str">
        <f>IFERROR(__xludf.DUMMYFUNCTION("""COMPUTED_VALUE"""),"да")</f>
        <v>да</v>
      </c>
      <c r="E1494" s="14" t="str">
        <f>IFERROR(__xludf.DUMMYFUNCTION("""COMPUTED_VALUE"""),"Многоэтажный многоквартирный дом 3-й Силикатный проезд")</f>
        <v>Многоэтажный многоквартирный дом 3-й Силикатный проезд</v>
      </c>
      <c r="F1494" s="25" t="str">
        <f>IFERROR(__xludf.DUMMYFUNCTION("""COMPUTED_VALUE"""),"#N/A")</f>
        <v>#N/A</v>
      </c>
      <c r="G1494" s="6" t="str">
        <f>IFERROR(__xludf.DUMMYFUNCTION("""COMPUTED_VALUE"""),"#N/A")</f>
        <v>#N/A</v>
      </c>
      <c r="H1494" s="6"/>
      <c r="I1494" s="19"/>
      <c r="J1494" s="50"/>
      <c r="K1494" s="58"/>
      <c r="L1494" s="6" t="s">
        <v>655</v>
      </c>
      <c r="M1494" s="52" t="s">
        <v>655</v>
      </c>
      <c r="N1494" s="53" t="s">
        <v>655</v>
      </c>
      <c r="O1494" s="19"/>
      <c r="P1494" s="6"/>
      <c r="Q1494" s="6"/>
      <c r="R1494" s="6"/>
    </row>
    <row r="1495">
      <c r="A1495" s="31"/>
      <c r="B1495" s="14"/>
      <c r="C1495" s="14" t="str">
        <f>IFERROR(__xludf.DUMMYFUNCTION("""COMPUTED_VALUE"""),"ОКС")</f>
        <v>ОКС</v>
      </c>
      <c r="D1495" s="6" t="str">
        <f>IFERROR(__xludf.DUMMYFUNCTION("""COMPUTED_VALUE"""),"да")</f>
        <v>да</v>
      </c>
      <c r="E1495" s="14" t="str">
        <f>IFERROR(__xludf.DUMMYFUNCTION("""COMPUTED_VALUE"""),"Реставрация и приспособление выявленных 
 объектов культурного наследия, в рамках применения специальных мер, направленных на сохранение и регенерацию историко-градостроительной среды 
 исторического квартала под гостиничный комплекс с подземной автостоян"&amp;"кой по адресу: г. Москва, ул. Ильинка д. 3/8 стр. 3, 4, Богоявленский пер., д. 6 стр.1 ")</f>
        <v>Реставрация и приспособление выявленных 
 объектов культурного наследия, в рамках применения специальных мер, направленных на сохранение и регенерацию историко-градостроительной среды 
 исторического квартала под гостиничный комплекс с подземной автостоянкой по адресу: г. Москва, ул. Ильинка д. 3/8 стр. 3, 4, Богоявленский пер., д. 6 стр.1 </v>
      </c>
      <c r="F1495" s="25" t="str">
        <f>IFERROR(__xludf.DUMMYFUNCTION("""COMPUTED_VALUE"""),"#N/A")</f>
        <v>#N/A</v>
      </c>
      <c r="G1495" s="6" t="str">
        <f>IFERROR(__xludf.DUMMYFUNCTION("""COMPUTED_VALUE"""),"#N/A")</f>
        <v>#N/A</v>
      </c>
      <c r="H1495" s="6"/>
      <c r="I1495" s="19"/>
      <c r="J1495" s="50"/>
      <c r="K1495" s="58"/>
      <c r="L1495" s="6" t="s">
        <v>655</v>
      </c>
      <c r="M1495" s="52" t="s">
        <v>655</v>
      </c>
      <c r="N1495" s="53" t="s">
        <v>655</v>
      </c>
      <c r="O1495" s="19"/>
      <c r="P1495" s="6"/>
      <c r="Q1495" s="6"/>
      <c r="R1495" s="6"/>
    </row>
    <row r="1496">
      <c r="A1496" s="31"/>
      <c r="B1496" s="14"/>
      <c r="C1496" s="14" t="str">
        <f>IFERROR(__xludf.DUMMYFUNCTION("""COMPUTED_VALUE"""),"ОКС")</f>
        <v>ОКС</v>
      </c>
      <c r="D1496" s="6" t="str">
        <f>IFERROR(__xludf.DUMMYFUNCTION("""COMPUTED_VALUE"""),"да")</f>
        <v>да</v>
      </c>
      <c r="E1496" s="14" t="str">
        <f>IFERROR(__xludf.DUMMYFUNCTION("""COMPUTED_VALUE"""),"""Комплекс, расположенный по адресу: г. Москва, ЮАО, Даниловский район, ул. Летниковская, вл. 11/10, 2-й Этап"" улица Летниковская, земельный участок 11/10/6")</f>
        <v>"Комплекс, расположенный по адресу: г. Москва, ЮАО, Даниловский район, ул. Летниковская, вл. 11/10, 2-й Этап" улица Летниковская, земельный участок 11/10/6</v>
      </c>
      <c r="F1496" s="25" t="str">
        <f>IFERROR(__xludf.DUMMYFUNCTION("""COMPUTED_VALUE"""),"#N/A")</f>
        <v>#N/A</v>
      </c>
      <c r="G1496" s="6" t="str">
        <f>IFERROR(__xludf.DUMMYFUNCTION("""COMPUTED_VALUE"""),"#N/A")</f>
        <v>#N/A</v>
      </c>
      <c r="H1496" s="6"/>
      <c r="I1496" s="19"/>
      <c r="J1496" s="50"/>
      <c r="K1496" s="58"/>
      <c r="L1496" s="6" t="s">
        <v>655</v>
      </c>
      <c r="M1496" s="52" t="s">
        <v>655</v>
      </c>
      <c r="N1496" s="53" t="s">
        <v>655</v>
      </c>
      <c r="O1496" s="19"/>
      <c r="P1496" s="6"/>
      <c r="Q1496" s="6"/>
      <c r="R1496" s="6"/>
    </row>
    <row r="1497">
      <c r="A1497" s="31"/>
      <c r="B1497" s="14"/>
      <c r="C1497" s="14" t="str">
        <f>IFERROR(__xludf.DUMMYFUNCTION("""COMPUTED_VALUE"""),"ОКС")</f>
        <v>ОКС</v>
      </c>
      <c r="D1497" s="6" t="str">
        <f>IFERROR(__xludf.DUMMYFUNCTION("""COMPUTED_VALUE"""),"да")</f>
        <v>да</v>
      </c>
      <c r="E1497" s="14" t="str">
        <f>IFERROR(__xludf.DUMMYFUNCTION("""COMPUTED_VALUE"""),"«Высотное здание-комплекс, расположенное по адресу г. Москва, Семёновская набережная, вл. 3, стр. 13А, в составе транспортно-пересадочного узла (ТПУ) 
 Электрозаводская» ")</f>
        <v>«Высотное здание-комплекс, расположенное по адресу г. Москва, Семёновская набережная, вл. 3, стр. 13А, в составе транспортно-пересадочного узла (ТПУ) 
 Электрозаводская» </v>
      </c>
      <c r="F1497" s="25" t="str">
        <f>IFERROR(__xludf.DUMMYFUNCTION("""COMPUTED_VALUE"""),"#N/A")</f>
        <v>#N/A</v>
      </c>
      <c r="G1497" s="6" t="str">
        <f>IFERROR(__xludf.DUMMYFUNCTION("""COMPUTED_VALUE"""),"#N/A")</f>
        <v>#N/A</v>
      </c>
      <c r="H1497" s="6"/>
      <c r="I1497" s="19"/>
      <c r="J1497" s="50"/>
      <c r="K1497" s="58"/>
      <c r="L1497" s="6" t="s">
        <v>655</v>
      </c>
      <c r="M1497" s="52" t="s">
        <v>655</v>
      </c>
      <c r="N1497" s="53" t="s">
        <v>655</v>
      </c>
      <c r="O1497" s="19"/>
      <c r="P1497" s="6"/>
      <c r="Q1497" s="6"/>
      <c r="R1497" s="6"/>
    </row>
    <row r="1498">
      <c r="A1498" s="31"/>
      <c r="B1498" s="14"/>
      <c r="C1498" s="14" t="str">
        <f>IFERROR(__xludf.DUMMYFUNCTION("""COMPUTED_VALUE"""),"ОКС")</f>
        <v>ОКС</v>
      </c>
      <c r="D1498" s="6" t="str">
        <f>IFERROR(__xludf.DUMMYFUNCTION("""COMPUTED_VALUE"""),"да")</f>
        <v>да</v>
      </c>
      <c r="E1498" s="14" t="str">
        <f>IFERROR(__xludf.DUMMYFUNCTION("""COMPUTED_VALUE"""),"""Росатом 2.0"" расположенный по адресу г. Москва, Китайгородский проезд, д. 7, стр. 1 ")</f>
        <v>"Росатом 2.0" расположенный по адресу г. Москва, Китайгородский проезд, д. 7, стр. 1 </v>
      </c>
      <c r="F1498" s="25" t="str">
        <f>IFERROR(__xludf.DUMMYFUNCTION("""COMPUTED_VALUE"""),"#N/A")</f>
        <v>#N/A</v>
      </c>
      <c r="G1498" s="6" t="str">
        <f>IFERROR(__xludf.DUMMYFUNCTION("""COMPUTED_VALUE"""),"#N/A")</f>
        <v>#N/A</v>
      </c>
      <c r="H1498" s="6"/>
      <c r="I1498" s="19"/>
      <c r="J1498" s="50"/>
      <c r="K1498" s="58"/>
      <c r="L1498" s="6" t="s">
        <v>655</v>
      </c>
      <c r="M1498" s="52" t="s">
        <v>655</v>
      </c>
      <c r="N1498" s="53" t="s">
        <v>655</v>
      </c>
      <c r="O1498" s="19"/>
      <c r="P1498" s="6"/>
      <c r="Q1498" s="6"/>
      <c r="R1498" s="6"/>
    </row>
    <row r="1499">
      <c r="A1499" s="31"/>
      <c r="B1499" s="14"/>
      <c r="C1499" s="14" t="str">
        <f>IFERROR(__xludf.DUMMYFUNCTION("""COMPUTED_VALUE"""),"ОКС")</f>
        <v>ОКС</v>
      </c>
      <c r="D1499" s="6" t="str">
        <f>IFERROR(__xludf.DUMMYFUNCTION("""COMPUTED_VALUE"""),"да")</f>
        <v>да</v>
      </c>
      <c r="E1499" s="14" t="str">
        <f>IFERROR(__xludf.DUMMYFUNCTION("""COMPUTED_VALUE"""),"«Административно-деловой комплекс», по адресу: г. Москва,внутригородское муниципальное образование Хорошево-Мневники,проезд 3-й Силикатный, земельный участок 10/12, земельный участок 10/2,с кадастровыми номерами 77:08:0012002:1929, 77:08:0012002:1931 ")</f>
        <v>«Административно-деловой комплекс», по адресу: г. Москва,внутригородское муниципальное образование Хорошево-Мневники,проезд 3-й Силикатный, земельный участок 10/12, земельный участок 10/2,с кадастровыми номерами 77:08:0012002:1929, 77:08:0012002:1931 </v>
      </c>
      <c r="F1499" s="25" t="str">
        <f>IFERROR(__xludf.DUMMYFUNCTION("""COMPUTED_VALUE"""),"#N/A")</f>
        <v>#N/A</v>
      </c>
      <c r="G1499" s="6" t="str">
        <f>IFERROR(__xludf.DUMMYFUNCTION("""COMPUTED_VALUE"""),"#N/A")</f>
        <v>#N/A</v>
      </c>
      <c r="H1499" s="6"/>
      <c r="I1499" s="19"/>
      <c r="J1499" s="50"/>
      <c r="K1499" s="58"/>
      <c r="L1499" s="6" t="s">
        <v>655</v>
      </c>
      <c r="M1499" s="52" t="s">
        <v>655</v>
      </c>
      <c r="N1499" s="53" t="s">
        <v>655</v>
      </c>
      <c r="O1499" s="19"/>
      <c r="P1499" s="6"/>
      <c r="Q1499" s="6"/>
      <c r="R1499" s="6"/>
    </row>
    <row r="1500">
      <c r="A1500" s="31"/>
      <c r="B1500" s="14"/>
      <c r="C1500" s="14" t="str">
        <f>IFERROR(__xludf.DUMMYFUNCTION("""COMPUTED_VALUE"""),"ОКС")</f>
        <v>ОКС</v>
      </c>
      <c r="D1500" s="6" t="str">
        <f>IFERROR(__xludf.DUMMYFUNCTION("""COMPUTED_VALUE"""),"да")</f>
        <v>да</v>
      </c>
      <c r="E1500" s="14" t="str">
        <f>IFERROR(__xludf.DUMMYFUNCTION("""COMPUTED_VALUE"""),"«Жилой дом по адресу: г. Москва, ул. Тимура Фрунзе, 10» ")</f>
        <v>«Жилой дом по адресу: г. Москва, ул. Тимура Фрунзе, 10» </v>
      </c>
      <c r="F1500" s="25" t="str">
        <f>IFERROR(__xludf.DUMMYFUNCTION("""COMPUTED_VALUE"""),"#N/A")</f>
        <v>#N/A</v>
      </c>
      <c r="G1500" s="6" t="str">
        <f>IFERROR(__xludf.DUMMYFUNCTION("""COMPUTED_VALUE"""),"#N/A")</f>
        <v>#N/A</v>
      </c>
      <c r="H1500" s="6"/>
      <c r="I1500" s="19"/>
      <c r="J1500" s="50"/>
      <c r="K1500" s="58"/>
      <c r="L1500" s="6" t="s">
        <v>655</v>
      </c>
      <c r="M1500" s="52" t="s">
        <v>655</v>
      </c>
      <c r="N1500" s="53" t="s">
        <v>655</v>
      </c>
      <c r="O1500" s="19"/>
      <c r="P1500" s="6"/>
      <c r="Q1500" s="6"/>
      <c r="R1500" s="6"/>
    </row>
    <row r="1501">
      <c r="A1501" s="31"/>
      <c r="B1501" s="14"/>
      <c r="C1501" s="14" t="str">
        <f>IFERROR(__xludf.DUMMYFUNCTION("""COMPUTED_VALUE"""),"ОКС")</f>
        <v>ОКС</v>
      </c>
      <c r="D1501" s="6" t="str">
        <f>IFERROR(__xludf.DUMMYFUNCTION("""COMPUTED_VALUE"""),"да")</f>
        <v>да</v>
      </c>
      <c r="E1501" s="14" t="str">
        <f>IFERROR(__xludf.DUMMYFUNCTION("""COMPUTED_VALUE"""),"«Многофункциональный жилой комплекс, расположенный по адресу: г. Москва, ВАО, внутригородская территория муниципальный округ Богородское, Открытое шоссе, земельные участки 9/14А, 9/14, 9/1, 9/1/1» ")</f>
        <v>«Многофункциональный жилой комплекс, расположенный по адресу: г. Москва, ВАО, внутригородская территория муниципальный округ Богородское, Открытое шоссе, земельные участки 9/14А, 9/14, 9/1, 9/1/1» </v>
      </c>
      <c r="F1501" s="25" t="str">
        <f>IFERROR(__xludf.DUMMYFUNCTION("""COMPUTED_VALUE"""),"#N/A")</f>
        <v>#N/A</v>
      </c>
      <c r="G1501" s="6" t="str">
        <f>IFERROR(__xludf.DUMMYFUNCTION("""COMPUTED_VALUE"""),"#N/A")</f>
        <v>#N/A</v>
      </c>
      <c r="H1501" s="6"/>
      <c r="I1501" s="19"/>
      <c r="J1501" s="50"/>
      <c r="K1501" s="58"/>
      <c r="L1501" s="6" t="s">
        <v>655</v>
      </c>
      <c r="M1501" s="52" t="s">
        <v>655</v>
      </c>
      <c r="N1501" s="53" t="s">
        <v>655</v>
      </c>
      <c r="O1501" s="19"/>
      <c r="P1501" s="6"/>
      <c r="Q1501" s="6"/>
      <c r="R1501" s="6"/>
    </row>
    <row r="1502">
      <c r="A1502" s="31"/>
      <c r="B1502" s="14"/>
      <c r="C1502" s="14" t="str">
        <f>IFERROR(__xludf.DUMMYFUNCTION("""COMPUTED_VALUE"""),"ОКС")</f>
        <v>ОКС</v>
      </c>
      <c r="D1502" s="6" t="str">
        <f>IFERROR(__xludf.DUMMYFUNCTION("""COMPUTED_VALUE"""),"да")</f>
        <v>да</v>
      </c>
      <c r="E1502" s="14" t="str">
        <f>IFERROR(__xludf.DUMMYFUNCTION("""COMPUTED_VALUE"""),"«Федеральное государственное бюджетное учреждение «Больница с поликлиникой» Управления делами Президента Российской Федерации, по адресу: г. Москва, Романов пер., д. 2/6, стр. 2. Реконструкция (в режиме реставрации с приспособлением к современному использ"&amp;"ованию) здания»;
 - «Федеральное государственное бюджетное учреждение «Больница с поликлиникой» Управления делами Президента Российской Федерации. Реконструкция административного здания с перепрофилированием его под отделение скорой медицинской помощи по "&amp;"адресу: г. Москва, Романов пер., д. 2/6, стр. 4, стр. 5»;
 - «Федеральное государственное бюджетное учреждение «Больница с поликлиникой» Управления делами Президента Российской Федерации. Реконструкция (в режиме реставрации с приспособлением к современном"&amp;"у использованию) здания по адресу: г. Москва, Романов пер., д. 2/6, стр. 3 под создание научно-медицинского центра с устройством подземного паркинга» ")</f>
        <v>«Федеральное государственное бюджетное учреждение «Больница с поликлиникой» Управления делами Президента Российской Федерации, по адресу: г. Москва, Романов пер., д. 2/6, стр. 2. Реконструкция (в режиме реставрации с приспособлением к современному использованию) здания»;
 - «Федеральное государственное бюджетное учреждение «Больница с поликлиникой» Управления делами Президента Российской Федерации. Реконструкция административного здания с перепрофилированием его под отделение скорой медицинской помощи по адресу: г. Москва, Романов пер., д. 2/6, стр. 4, стр. 5»;
 - «Федеральное государственное бюджетное учреждение «Больница с поликлиникой» Управления делами Президента Российской Федерации. Реконструкция (в режиме реставрации с приспособлением к современному использованию) здания по адресу: г. Москва, Романов пер., д. 2/6, стр. 3 под создание научно-медицинского центра с устройством подземного паркинга» </v>
      </c>
      <c r="F1502" s="25" t="str">
        <f>IFERROR(__xludf.DUMMYFUNCTION("""COMPUTED_VALUE"""),"#N/A")</f>
        <v>#N/A</v>
      </c>
      <c r="G1502" s="6" t="str">
        <f>IFERROR(__xludf.DUMMYFUNCTION("""COMPUTED_VALUE"""),"#N/A")</f>
        <v>#N/A</v>
      </c>
      <c r="H1502" s="6"/>
      <c r="I1502" s="19"/>
      <c r="J1502" s="50"/>
      <c r="K1502" s="58"/>
      <c r="L1502" s="6" t="s">
        <v>655</v>
      </c>
      <c r="M1502" s="52" t="s">
        <v>655</v>
      </c>
      <c r="N1502" s="53" t="s">
        <v>655</v>
      </c>
      <c r="O1502" s="19"/>
      <c r="P1502" s="6"/>
      <c r="Q1502" s="6"/>
      <c r="R1502" s="6"/>
    </row>
    <row r="1503">
      <c r="A1503" s="31"/>
      <c r="B1503" s="14"/>
      <c r="C1503" s="14" t="str">
        <f>IFERROR(__xludf.DUMMYFUNCTION("""COMPUTED_VALUE"""),"ОКС")</f>
        <v>ОКС</v>
      </c>
      <c r="D1503" s="6" t="str">
        <f>IFERROR(__xludf.DUMMYFUNCTION("""COMPUTED_VALUE"""),"да")</f>
        <v>да</v>
      </c>
      <c r="E1503" s="14" t="str">
        <f>IFERROR(__xludf.DUMMYFUNCTION("""COMPUTED_VALUE"""),"""Многофункциональный киноконцертный зал в составе Центрального Ядра ММДЦ ""Москва-Сити"" на участке 6"" ")</f>
        <v>"Многофункциональный киноконцертный зал в составе Центрального Ядра ММДЦ "Москва-Сити" на участке 6" </v>
      </c>
      <c r="F1503" s="25" t="str">
        <f>IFERROR(__xludf.DUMMYFUNCTION("""COMPUTED_VALUE"""),"#N/A")</f>
        <v>#N/A</v>
      </c>
      <c r="G1503" s="6" t="str">
        <f>IFERROR(__xludf.DUMMYFUNCTION("""COMPUTED_VALUE"""),"#N/A")</f>
        <v>#N/A</v>
      </c>
      <c r="H1503" s="6"/>
      <c r="I1503" s="19"/>
      <c r="J1503" s="50"/>
      <c r="K1503" s="58"/>
      <c r="L1503" s="6" t="s">
        <v>655</v>
      </c>
      <c r="M1503" s="52" t="s">
        <v>655</v>
      </c>
      <c r="N1503" s="53" t="s">
        <v>655</v>
      </c>
      <c r="O1503" s="19"/>
      <c r="P1503" s="6"/>
      <c r="Q1503" s="6"/>
      <c r="R1503" s="6"/>
    </row>
    <row r="1504">
      <c r="A1504" s="31"/>
      <c r="B1504" s="14"/>
      <c r="C1504" s="14" t="str">
        <f>IFERROR(__xludf.DUMMYFUNCTION("""COMPUTED_VALUE"""),"ОКС")</f>
        <v>ОКС</v>
      </c>
      <c r="D1504" s="6"/>
      <c r="E1504" s="14" t="str">
        <f>IFERROR(__xludf.DUMMYFUNCTION("""COMPUTED_VALUE"""),"«Многофункциональный центр транспортно-пересадочного узла «Хорошевская» («Полежаевская») Участок № 1) ")</f>
        <v>«Многофункциональный центр транспортно-пересадочного узла «Хорошевская» («Полежаевская») Участок № 1) </v>
      </c>
      <c r="F1504" s="25" t="str">
        <f>IFERROR(__xludf.DUMMYFUNCTION("""COMPUTED_VALUE"""),"#N/A")</f>
        <v>#N/A</v>
      </c>
      <c r="G1504" s="6" t="str">
        <f>IFERROR(__xludf.DUMMYFUNCTION("""COMPUTED_VALUE"""),"#N/A")</f>
        <v>#N/A</v>
      </c>
      <c r="H1504" s="6"/>
      <c r="I1504" s="19"/>
      <c r="J1504" s="50"/>
      <c r="K1504" s="58"/>
      <c r="L1504" s="6" t="s">
        <v>655</v>
      </c>
      <c r="M1504" s="52" t="s">
        <v>655</v>
      </c>
      <c r="N1504" s="53" t="s">
        <v>655</v>
      </c>
      <c r="O1504" s="19"/>
      <c r="P1504" s="6"/>
      <c r="Q1504" s="6"/>
      <c r="R1504" s="6"/>
    </row>
    <row r="1505">
      <c r="A1505" s="31"/>
      <c r="B1505" s="14"/>
      <c r="C1505" s="14" t="str">
        <f>IFERROR(__xludf.DUMMYFUNCTION("""COMPUTED_VALUE"""),"ОКС")</f>
        <v>ОКС</v>
      </c>
      <c r="D1505" s="6" t="str">
        <f>IFERROR(__xludf.DUMMYFUNCTION("""COMPUTED_VALUE"""),"да")</f>
        <v>да</v>
      </c>
      <c r="E1505" s="14" t="str">
        <f>IFERROR(__xludf.DUMMYFUNCTION("""COMPUTED_VALUE"""),"""Многофункциональный жилой комплекс. Этап 1"" по адресу: г. Москва, ул. Адмирала Макарова, земельный участок 2/16"" ")</f>
        <v>"Многофункциональный жилой комплекс. Этап 1" по адресу: г. Москва, ул. Адмирала Макарова, земельный участок 2/16" </v>
      </c>
      <c r="F1505" s="25" t="str">
        <f>IFERROR(__xludf.DUMMYFUNCTION("""COMPUTED_VALUE"""),"#N/A")</f>
        <v>#N/A</v>
      </c>
      <c r="G1505" s="6" t="str">
        <f>IFERROR(__xludf.DUMMYFUNCTION("""COMPUTED_VALUE"""),"#N/A")</f>
        <v>#N/A</v>
      </c>
      <c r="H1505" s="6"/>
      <c r="I1505" s="19"/>
      <c r="J1505" s="50"/>
      <c r="K1505" s="58"/>
      <c r="L1505" s="6" t="s">
        <v>655</v>
      </c>
      <c r="M1505" s="52" t="s">
        <v>655</v>
      </c>
      <c r="N1505" s="53" t="s">
        <v>655</v>
      </c>
      <c r="O1505" s="19"/>
      <c r="P1505" s="6"/>
      <c r="Q1505" s="6"/>
      <c r="R1505" s="6"/>
    </row>
    <row r="1506">
      <c r="A1506" s="31"/>
      <c r="B1506" s="14"/>
      <c r="C1506" s="14" t="str">
        <f>IFERROR(__xludf.DUMMYFUNCTION("""COMPUTED_VALUE"""),"ОКС")</f>
        <v>ОКС</v>
      </c>
      <c r="D1506" s="6" t="str">
        <f>IFERROR(__xludf.DUMMYFUNCTION("""COMPUTED_VALUE"""),"да")</f>
        <v>да</v>
      </c>
      <c r="E1506" s="14" t="str">
        <f>IFERROR(__xludf.DUMMYFUNCTION("""COMPUTED_VALUE"""),"«Многофункциональный жилой комплекс сподземной автостоянкой» по адресу: Москва, Краснопресненская наб., вл. 14, стр. 1», ")</f>
        <v>«Многофункциональный жилой комплекс сподземной автостоянкой» по адресу: Москва, Краснопресненская наб., вл. 14, стр. 1», </v>
      </c>
      <c r="F1506" s="25" t="str">
        <f>IFERROR(__xludf.DUMMYFUNCTION("""COMPUTED_VALUE"""),"#N/A")</f>
        <v>#N/A</v>
      </c>
      <c r="G1506" s="6" t="str">
        <f>IFERROR(__xludf.DUMMYFUNCTION("""COMPUTED_VALUE"""),"#N/A")</f>
        <v>#N/A</v>
      </c>
      <c r="H1506" s="6"/>
      <c r="I1506" s="19"/>
      <c r="J1506" s="50"/>
      <c r="K1506" s="58"/>
      <c r="L1506" s="6" t="s">
        <v>655</v>
      </c>
      <c r="M1506" s="52" t="s">
        <v>655</v>
      </c>
      <c r="N1506" s="53" t="s">
        <v>655</v>
      </c>
      <c r="O1506" s="19"/>
      <c r="P1506" s="6"/>
      <c r="Q1506" s="6"/>
      <c r="R1506" s="6"/>
    </row>
    <row r="1507">
      <c r="A1507" s="31"/>
      <c r="B1507" s="14"/>
      <c r="C1507" s="14" t="str">
        <f>IFERROR(__xludf.DUMMYFUNCTION("""COMPUTED_VALUE"""),"ОКС")</f>
        <v>ОКС</v>
      </c>
      <c r="D1507" s="6" t="str">
        <f>IFERROR(__xludf.DUMMYFUNCTION("""COMPUTED_VALUE"""),"да")</f>
        <v>да</v>
      </c>
      <c r="E1507" s="14" t="str">
        <f>IFERROR(__xludf.DUMMYFUNCTION("""COMPUTED_VALUE"""),"Здание общественно делового назначения с подземной парковкой (участок № 2)» с адресным ориентиром: Хорошевское шоссе на пересечении с ул. Куусинена» ")</f>
        <v>Здание общественно делового назначения с подземной парковкой (участок № 2)» с адресным ориентиром: Хорошевское шоссе на пересечении с ул. Куусинена» </v>
      </c>
      <c r="F1507" s="25" t="str">
        <f>IFERROR(__xludf.DUMMYFUNCTION("""COMPUTED_VALUE"""),"#N/A")</f>
        <v>#N/A</v>
      </c>
      <c r="G1507" s="6" t="str">
        <f>IFERROR(__xludf.DUMMYFUNCTION("""COMPUTED_VALUE"""),"#N/A")</f>
        <v>#N/A</v>
      </c>
      <c r="H1507" s="6"/>
      <c r="I1507" s="19"/>
      <c r="J1507" s="50"/>
      <c r="K1507" s="58"/>
      <c r="L1507" s="6" t="s">
        <v>655</v>
      </c>
      <c r="M1507" s="52" t="s">
        <v>655</v>
      </c>
      <c r="N1507" s="53" t="s">
        <v>655</v>
      </c>
      <c r="O1507" s="19"/>
      <c r="P1507" s="6"/>
      <c r="Q1507" s="6"/>
      <c r="R1507" s="6"/>
    </row>
    <row r="1508">
      <c r="A1508" s="31"/>
      <c r="B1508" s="14"/>
      <c r="C1508" s="14" t="str">
        <f>IFERROR(__xludf.DUMMYFUNCTION("""COMPUTED_VALUE"""),"ОКС")</f>
        <v>ОКС</v>
      </c>
      <c r="D1508" s="6" t="str">
        <f>IFERROR(__xludf.DUMMYFUNCTION("""COMPUTED_VALUE"""),"да")</f>
        <v>да</v>
      </c>
      <c r="E1508" s="14" t="str">
        <f>IFERROR(__xludf.DUMMYFUNCTION("""COMPUTED_VALUE"""),"«Многофункциональный центр по адресу: г. Москва, Бутырская ул., з/у 1 с кадастровым номером 77:09:0004019:3591» ")</f>
        <v>«Многофункциональный центр по адресу: г. Москва, Бутырская ул., з/у 1 с кадастровым номером 77:09:0004019:3591» </v>
      </c>
      <c r="F1508" s="25" t="str">
        <f>IFERROR(__xludf.DUMMYFUNCTION("""COMPUTED_VALUE"""),"#N/A")</f>
        <v>#N/A</v>
      </c>
      <c r="G1508" s="6" t="str">
        <f>IFERROR(__xludf.DUMMYFUNCTION("""COMPUTED_VALUE"""),"#N/A")</f>
        <v>#N/A</v>
      </c>
      <c r="H1508" s="6"/>
      <c r="I1508" s="19"/>
      <c r="J1508" s="50"/>
      <c r="K1508" s="58"/>
      <c r="L1508" s="6" t="s">
        <v>655</v>
      </c>
      <c r="M1508" s="52" t="s">
        <v>655</v>
      </c>
      <c r="N1508" s="53" t="s">
        <v>655</v>
      </c>
      <c r="O1508" s="19"/>
      <c r="P1508" s="6"/>
      <c r="Q1508" s="6"/>
      <c r="R1508" s="6"/>
    </row>
    <row r="1509">
      <c r="A1509" s="31"/>
      <c r="B1509" s="14"/>
      <c r="C1509" s="14" t="str">
        <f>IFERROR(__xludf.DUMMYFUNCTION("""COMPUTED_VALUE"""),"ОКС")</f>
        <v>ОКС</v>
      </c>
      <c r="D1509" s="6" t="str">
        <f>IFERROR(__xludf.DUMMYFUNCTION("""COMPUTED_VALUE"""),"да")</f>
        <v>да</v>
      </c>
      <c r="E1509" s="14" t="str">
        <f>IFERROR(__xludf.DUMMYFUNCTION("""COMPUTED_VALUE"""),"Многофункциональный жилой комплекс с торговой составляющей, встроенным паркингом, в составе транспортно-пересадочного узла ""Мичуринский проспект"", ""Вестибюль №2 станции метрополитена ""Мичуринский проспект"" Калининско-Солнцевской линии Московского мет"&amp;"рополитена ")</f>
        <v>Многофункциональный жилой комплекс с торговой составляющей, встроенным паркингом, в составе транспортно-пересадочного узла "Мичуринский проспект", "Вестибюль №2 станции метрополитена "Мичуринский проспект" Калининско-Солнцевской линии Московского метрополитена </v>
      </c>
      <c r="F1509" s="25" t="str">
        <f>IFERROR(__xludf.DUMMYFUNCTION("""COMPUTED_VALUE"""),"#N/A")</f>
        <v>#N/A</v>
      </c>
      <c r="G1509" s="6" t="str">
        <f>IFERROR(__xludf.DUMMYFUNCTION("""COMPUTED_VALUE"""),"#N/A")</f>
        <v>#N/A</v>
      </c>
      <c r="H1509" s="6"/>
      <c r="I1509" s="19"/>
      <c r="J1509" s="50"/>
      <c r="K1509" s="58"/>
      <c r="L1509" s="6" t="s">
        <v>655</v>
      </c>
      <c r="M1509" s="52" t="s">
        <v>655</v>
      </c>
      <c r="N1509" s="53" t="s">
        <v>655</v>
      </c>
      <c r="O1509" s="19"/>
      <c r="P1509" s="6"/>
      <c r="Q1509" s="6"/>
      <c r="R1509" s="6"/>
    </row>
    <row r="1510">
      <c r="A1510" s="31"/>
      <c r="B1510" s="14"/>
      <c r="C1510" s="14" t="str">
        <f>IFERROR(__xludf.DUMMYFUNCTION("""COMPUTED_VALUE"""),"ОКС")</f>
        <v>ОКС</v>
      </c>
      <c r="D1510" s="6" t="str">
        <f>IFERROR(__xludf.DUMMYFUNCTION("""COMPUTED_VALUE"""),"да")</f>
        <v>да</v>
      </c>
      <c r="E1510" s="14" t="str">
        <f>IFERROR(__xludf.DUMMYFUNCTION("""COMPUTED_VALUE"""),"Жилой комплекс по адресу: г. Москва, Дмитровское шоссе, вл . 75» (1-ый этап) ")</f>
        <v>Жилой комплекс по адресу: г. Москва, Дмитровское шоссе, вл . 75» (1-ый этап) </v>
      </c>
      <c r="F1510" s="25" t="str">
        <f>IFERROR(__xludf.DUMMYFUNCTION("""COMPUTED_VALUE"""),"#N/A")</f>
        <v>#N/A</v>
      </c>
      <c r="G1510" s="6" t="str">
        <f>IFERROR(__xludf.DUMMYFUNCTION("""COMPUTED_VALUE"""),"#N/A")</f>
        <v>#N/A</v>
      </c>
      <c r="H1510" s="6"/>
      <c r="I1510" s="19"/>
      <c r="J1510" s="50"/>
      <c r="K1510" s="58"/>
      <c r="L1510" s="6" t="s">
        <v>655</v>
      </c>
      <c r="M1510" s="52" t="s">
        <v>655</v>
      </c>
      <c r="N1510" s="53" t="s">
        <v>655</v>
      </c>
      <c r="O1510" s="19"/>
      <c r="P1510" s="6"/>
      <c r="Q1510" s="6"/>
      <c r="R1510" s="6"/>
    </row>
    <row r="1511">
      <c r="A1511" s="31"/>
      <c r="B1511" s="14"/>
      <c r="C1511" s="14" t="str">
        <f>IFERROR(__xludf.DUMMYFUNCTION("""COMPUTED_VALUE"""),"ОКС")</f>
        <v>ОКС</v>
      </c>
      <c r="D1511" s="6" t="str">
        <f>IFERROR(__xludf.DUMMYFUNCTION("""COMPUTED_VALUE"""),"да")</f>
        <v>да</v>
      </c>
      <c r="E1511" s="14" t="str">
        <f>IFERROR(__xludf.DUMMYFUNCTION("""COMPUTED_VALUE"""),"Административно-деловой комплекс По адресу: г. Москва, САО, бульвар Ходынский, земельный участок 20А/2 (САО, Хорошевский) ")</f>
        <v>Административно-деловой комплекс По адресу: г. Москва, САО, бульвар Ходынский, земельный участок 20А/2 (САО, Хорошевский) </v>
      </c>
      <c r="F1511" s="25" t="str">
        <f>IFERROR(__xludf.DUMMYFUNCTION("""COMPUTED_VALUE"""),"#N/A")</f>
        <v>#N/A</v>
      </c>
      <c r="G1511" s="6" t="str">
        <f>IFERROR(__xludf.DUMMYFUNCTION("""COMPUTED_VALUE"""),"#N/A")</f>
        <v>#N/A</v>
      </c>
      <c r="H1511" s="6"/>
      <c r="I1511" s="19"/>
      <c r="J1511" s="50"/>
      <c r="K1511" s="58"/>
      <c r="L1511" s="6" t="s">
        <v>655</v>
      </c>
      <c r="M1511" s="52" t="s">
        <v>655</v>
      </c>
      <c r="N1511" s="53" t="s">
        <v>655</v>
      </c>
      <c r="O1511" s="19"/>
      <c r="P1511" s="6"/>
      <c r="Q1511" s="6"/>
      <c r="R1511" s="6"/>
    </row>
    <row r="1512">
      <c r="A1512" s="31"/>
      <c r="B1512" s="14"/>
      <c r="C1512" s="14" t="str">
        <f>IFERROR(__xludf.DUMMYFUNCTION("""COMPUTED_VALUE"""),"ОКС")</f>
        <v>ОКС</v>
      </c>
      <c r="D1512" s="6" t="str">
        <f>IFERROR(__xludf.DUMMYFUNCTION("""COMPUTED_VALUE"""),"да")</f>
        <v>да</v>
      </c>
      <c r="E1512" s="14" t="str">
        <f>IFERROR(__xludf.DUMMYFUNCTION("""COMPUTED_VALUE"""),"Реконструкция делового комплекса в составе корп. ""А"", ""Б"", ""В"", ""Г"", ""Е"" с единой стилобатной (подземной) частью и устройством надземной объединительной аркады пересечение Кутузовского проспекта и улицы Кульнева ")</f>
        <v>Реконструкция делового комплекса в составе корп. "А", "Б", "В", "Г", "Е" с единой стилобатной (подземной) частью и устройством надземной объединительной аркады пересечение Кутузовского проспекта и улицы Кульнева </v>
      </c>
      <c r="F1512" s="25" t="str">
        <f>IFERROR(__xludf.DUMMYFUNCTION("""COMPUTED_VALUE"""),"#N/A")</f>
        <v>#N/A</v>
      </c>
      <c r="G1512" s="6" t="str">
        <f>IFERROR(__xludf.DUMMYFUNCTION("""COMPUTED_VALUE"""),"#N/A")</f>
        <v>#N/A</v>
      </c>
      <c r="H1512" s="6"/>
      <c r="I1512" s="19"/>
      <c r="J1512" s="50"/>
      <c r="K1512" s="58"/>
      <c r="L1512" s="6" t="s">
        <v>655</v>
      </c>
      <c r="M1512" s="52" t="s">
        <v>655</v>
      </c>
      <c r="N1512" s="53" t="s">
        <v>655</v>
      </c>
      <c r="O1512" s="19"/>
      <c r="P1512" s="6"/>
      <c r="Q1512" s="6"/>
      <c r="R1512" s="6"/>
    </row>
    <row r="1513">
      <c r="A1513" s="31"/>
      <c r="B1513" s="14"/>
      <c r="C1513" s="14" t="str">
        <f>IFERROR(__xludf.DUMMYFUNCTION("""COMPUTED_VALUE"""),"УДС")</f>
        <v>УДС</v>
      </c>
      <c r="D1513" s="6" t="str">
        <f>IFERROR(__xludf.DUMMYFUNCTION("""COMPUTED_VALUE"""),"да")</f>
        <v>да</v>
      </c>
      <c r="E1513" s="14" t="str">
        <f>IFERROR(__xludf.DUMMYFUNCTION("""COMPUTED_VALUE"""),"«г. Москва, Хорошевское шоссе на пересечении с ул. Куусинена» временно присвоенный адрес: г. Москва, тер. ТПУ «Хорошевская», з/у 1, з/у 2, з/у 3, з/у 4, з/у 5, з/у 6, з/у 7, з/у 8, з/у 9, з/у 10, з/у 11 ")</f>
        <v>«г. Москва, Хорошевское шоссе на пересечении с ул. Куусинена» временно присвоенный адрес: г. Москва, тер. ТПУ «Хорошевская», з/у 1, з/у 2, з/у 3, з/у 4, з/у 5, з/у 6, з/у 7, з/у 8, з/у 9, з/у 10, з/у 11 </v>
      </c>
      <c r="F1513" s="25" t="str">
        <f>IFERROR(__xludf.DUMMYFUNCTION("""COMPUTED_VALUE"""),"#N/A")</f>
        <v>#N/A</v>
      </c>
      <c r="G1513" s="6" t="str">
        <f>IFERROR(__xludf.DUMMYFUNCTION("""COMPUTED_VALUE"""),"#N/A")</f>
        <v>#N/A</v>
      </c>
      <c r="H1513" s="6"/>
      <c r="I1513" s="19"/>
      <c r="J1513" s="50"/>
      <c r="K1513" s="58"/>
      <c r="L1513" s="6" t="s">
        <v>655</v>
      </c>
      <c r="M1513" s="52" t="s">
        <v>655</v>
      </c>
      <c r="N1513" s="53" t="s">
        <v>655</v>
      </c>
      <c r="O1513" s="19"/>
      <c r="P1513" s="6"/>
      <c r="Q1513" s="6"/>
      <c r="R1513" s="6"/>
    </row>
    <row r="1514">
      <c r="A1514" s="31"/>
      <c r="B1514" s="14"/>
      <c r="C1514" s="14" t="str">
        <f>IFERROR(__xludf.DUMMYFUNCTION("""COMPUTED_VALUE"""),"ОКС")</f>
        <v>ОКС</v>
      </c>
      <c r="D1514" s="6" t="str">
        <f>IFERROR(__xludf.DUMMYFUNCTION("""COMPUTED_VALUE"""),"да")</f>
        <v>да</v>
      </c>
      <c r="E1514" s="14" t="str">
        <f>IFERROR(__xludf.DUMMYFUNCTION("""COMPUTED_VALUE"""),"«Объект капитального строительства на участке с кадастровым номером 
 77:09:0005007:17079 (около Ходынский бульвар 6с1, офисный квартал Стоун Ходынка 1) ")</f>
        <v>«Объект капитального строительства на участке с кадастровым номером 
 77:09:0005007:17079 (около Ходынский бульвар 6с1, офисный квартал Стоун Ходынка 1) </v>
      </c>
      <c r="F1514" s="25" t="str">
        <f>IFERROR(__xludf.DUMMYFUNCTION("""COMPUTED_VALUE"""),"#N/A")</f>
        <v>#N/A</v>
      </c>
      <c r="G1514" s="6" t="str">
        <f>IFERROR(__xludf.DUMMYFUNCTION("""COMPUTED_VALUE"""),"#N/A")</f>
        <v>#N/A</v>
      </c>
      <c r="H1514" s="6"/>
      <c r="I1514" s="6"/>
      <c r="J1514" s="50"/>
      <c r="K1514" s="58"/>
      <c r="L1514" s="6" t="s">
        <v>655</v>
      </c>
      <c r="M1514" s="52" t="s">
        <v>655</v>
      </c>
      <c r="N1514" s="53" t="s">
        <v>655</v>
      </c>
      <c r="O1514" s="6"/>
      <c r="P1514" s="6"/>
      <c r="Q1514" s="6"/>
      <c r="R1514" s="6"/>
    </row>
    <row r="1515">
      <c r="A1515" s="31"/>
      <c r="B1515" s="14"/>
      <c r="C1515" s="14" t="str">
        <f>IFERROR(__xludf.DUMMYFUNCTION("""COMPUTED_VALUE"""),"ОКС")</f>
        <v>ОКС</v>
      </c>
      <c r="D1515" s="6" t="str">
        <f>IFERROR(__xludf.DUMMYFUNCTION("""COMPUTED_VALUE"""),"да")</f>
        <v>да</v>
      </c>
      <c r="E1515" s="14" t="str">
        <f>IFERROR(__xludf.DUMMYFUNCTION("""COMPUTED_VALUE"""),"Многофункциональный центр ТПУ ""Селигерская улица"" с подземно-надземными паркингами и автостанцией ТПУ с надземным паркингом Дмитровский, Дмитровское шоссе, Коровинское шоссе, Селигерская ул., Пяловская ул. (пересечение) ")</f>
        <v>Многофункциональный центр ТПУ "Селигерская улица" с подземно-надземными паркингами и автостанцией ТПУ с надземным паркингом Дмитровский, Дмитровское шоссе, Коровинское шоссе, Селигерская ул., Пяловская ул. (пересечение) </v>
      </c>
      <c r="F1515" s="25" t="str">
        <f>IFERROR(__xludf.DUMMYFUNCTION("""COMPUTED_VALUE"""),"#N/A")</f>
        <v>#N/A</v>
      </c>
      <c r="G1515" s="6" t="str">
        <f>IFERROR(__xludf.DUMMYFUNCTION("""COMPUTED_VALUE"""),"#N/A")</f>
        <v>#N/A</v>
      </c>
      <c r="H1515" s="6"/>
      <c r="I1515" s="19"/>
      <c r="J1515" s="50"/>
      <c r="K1515" s="58"/>
      <c r="L1515" s="6" t="s">
        <v>655</v>
      </c>
      <c r="M1515" s="52" t="s">
        <v>655</v>
      </c>
      <c r="N1515" s="53" t="s">
        <v>655</v>
      </c>
      <c r="O1515" s="19"/>
      <c r="P1515" s="6"/>
      <c r="Q1515" s="6"/>
      <c r="R1515" s="6"/>
    </row>
    <row r="1516">
      <c r="A1516" s="31"/>
      <c r="B1516" s="14"/>
      <c r="C1516" s="14" t="str">
        <f>IFERROR(__xludf.DUMMYFUNCTION("""COMPUTED_VALUE"""),"ОКС")</f>
        <v>ОКС</v>
      </c>
      <c r="D1516" s="6" t="str">
        <f>IFERROR(__xludf.DUMMYFUNCTION("""COMPUTED_VALUE"""),"да")</f>
        <v>да</v>
      </c>
      <c r="E1516" s="14" t="str">
        <f>IFERROR(__xludf.DUMMYFUNCTION("""COMPUTED_VALUE"""),"Жилой комплекс с подземной автостоянкой, встроенно-пристроенными помещениями общественного назначения и встроенно-пристроенной дошкольной образовательной организацией на 100 мест. 2-й этап строительства Дмитровское шоссе, з/у 73Б ")</f>
        <v>Жилой комплекс с подземной автостоянкой, встроенно-пристроенными помещениями общественного назначения и встроенно-пристроенной дошкольной образовательной организацией на 100 мест. 2-й этап строительства Дмитровское шоссе, з/у 73Б </v>
      </c>
      <c r="F1516" s="25" t="str">
        <f>IFERROR(__xludf.DUMMYFUNCTION("""COMPUTED_VALUE"""),"#N/A")</f>
        <v>#N/A</v>
      </c>
      <c r="G1516" s="6" t="str">
        <f>IFERROR(__xludf.DUMMYFUNCTION("""COMPUTED_VALUE"""),"#N/A")</f>
        <v>#N/A</v>
      </c>
      <c r="H1516" s="6"/>
      <c r="I1516" s="19"/>
      <c r="J1516" s="50"/>
      <c r="K1516" s="58"/>
      <c r="L1516" s="6" t="s">
        <v>655</v>
      </c>
      <c r="M1516" s="52" t="s">
        <v>655</v>
      </c>
      <c r="N1516" s="53" t="s">
        <v>655</v>
      </c>
      <c r="O1516" s="19"/>
      <c r="P1516" s="6"/>
      <c r="Q1516" s="6"/>
      <c r="R1516" s="6"/>
    </row>
    <row r="1517">
      <c r="A1517" s="31"/>
      <c r="B1517" s="14"/>
      <c r="C1517" s="14" t="str">
        <f>IFERROR(__xludf.DUMMYFUNCTION("""COMPUTED_VALUE"""),"ОКС")</f>
        <v>ОКС</v>
      </c>
      <c r="D1517" s="6" t="str">
        <f>IFERROR(__xludf.DUMMYFUNCTION("""COMPUTED_VALUE"""),"да")</f>
        <v>да</v>
      </c>
      <c r="E1517" s="14" t="str">
        <f>IFERROR(__xludf.DUMMYFUNCTION("""COMPUTED_VALUE"""),"Общественно-деловая застройка Хорошёвское ш., владение 39 ")</f>
        <v>Общественно-деловая застройка Хорошёвское ш., владение 39 </v>
      </c>
      <c r="F1517" s="25" t="str">
        <f>IFERROR(__xludf.DUMMYFUNCTION("""COMPUTED_VALUE"""),"#N/A")</f>
        <v>#N/A</v>
      </c>
      <c r="G1517" s="6" t="str">
        <f>IFERROR(__xludf.DUMMYFUNCTION("""COMPUTED_VALUE"""),"#N/A")</f>
        <v>#N/A</v>
      </c>
      <c r="H1517" s="6"/>
      <c r="I1517" s="19"/>
      <c r="J1517" s="50"/>
      <c r="K1517" s="58"/>
      <c r="L1517" s="6" t="s">
        <v>655</v>
      </c>
      <c r="M1517" s="52" t="s">
        <v>655</v>
      </c>
      <c r="N1517" s="53" t="s">
        <v>655</v>
      </c>
      <c r="O1517" s="19"/>
      <c r="P1517" s="6"/>
      <c r="Q1517" s="6"/>
      <c r="R1517" s="6"/>
    </row>
    <row r="1518">
      <c r="A1518" s="31"/>
      <c r="B1518" s="14"/>
      <c r="C1518" s="14" t="str">
        <f>IFERROR(__xludf.DUMMYFUNCTION("""COMPUTED_VALUE"""),"ОКС")</f>
        <v>ОКС</v>
      </c>
      <c r="D1518" s="6" t="str">
        <f>IFERROR(__xludf.DUMMYFUNCTION("""COMPUTED_VALUE"""),"да")</f>
        <v>да</v>
      </c>
      <c r="E1518" s="14" t="str">
        <f>IFERROR(__xludf.DUMMYFUNCTION("""COMPUTED_VALUE"""),"«Жилой комплекс» г. Москва, поселение Внуковское, улица Анны Ахматовой, земельный участок 11, Боровское шоссе, 28-й километр, земельный участок 2Б (НАО, Внуковское) ")</f>
        <v>«Жилой комплекс» г. Москва, поселение Внуковское, улица Анны Ахматовой, земельный участок 11, Боровское шоссе, 28-й километр, земельный участок 2Б (НАО, Внуковское) </v>
      </c>
      <c r="F1518" s="25" t="str">
        <f>IFERROR(__xludf.DUMMYFUNCTION("""COMPUTED_VALUE"""),"#N/A")</f>
        <v>#N/A</v>
      </c>
      <c r="G1518" s="6" t="str">
        <f>IFERROR(__xludf.DUMMYFUNCTION("""COMPUTED_VALUE"""),"#N/A")</f>
        <v>#N/A</v>
      </c>
      <c r="H1518" s="6"/>
      <c r="I1518" s="19"/>
      <c r="J1518" s="50"/>
      <c r="K1518" s="58"/>
      <c r="L1518" s="6" t="s">
        <v>655</v>
      </c>
      <c r="M1518" s="52" t="s">
        <v>655</v>
      </c>
      <c r="N1518" s="53" t="s">
        <v>655</v>
      </c>
      <c r="O1518" s="19"/>
      <c r="P1518" s="6"/>
      <c r="Q1518" s="6"/>
      <c r="R1518" s="6"/>
    </row>
    <row r="1519">
      <c r="A1519" s="31"/>
      <c r="B1519" s="14"/>
      <c r="C1519" s="14" t="str">
        <f>IFERROR(__xludf.DUMMYFUNCTION("""COMPUTED_VALUE"""),"ОКС")</f>
        <v>ОКС</v>
      </c>
      <c r="D1519" s="6" t="str">
        <f>IFERROR(__xludf.DUMMYFUNCTION("""COMPUTED_VALUE"""),"да")</f>
        <v>да</v>
      </c>
      <c r="E1519" s="14" t="str">
        <f>IFERROR(__xludf.DUMMYFUNCTION("""COMPUTED_VALUE"""),"Жилой комплекс Западное Дегунино р-н ")</f>
        <v>Жилой комплекс Западное Дегунино р-н </v>
      </c>
      <c r="F1519" s="25" t="str">
        <f>IFERROR(__xludf.DUMMYFUNCTION("""COMPUTED_VALUE"""),"#N/A")</f>
        <v>#N/A</v>
      </c>
      <c r="G1519" s="6" t="str">
        <f>IFERROR(__xludf.DUMMYFUNCTION("""COMPUTED_VALUE"""),"#N/A")</f>
        <v>#N/A</v>
      </c>
      <c r="H1519" s="6"/>
      <c r="I1519" s="19"/>
      <c r="J1519" s="50"/>
      <c r="K1519" s="58"/>
      <c r="L1519" s="6" t="s">
        <v>655</v>
      </c>
      <c r="M1519" s="52" t="s">
        <v>655</v>
      </c>
      <c r="N1519" s="53" t="s">
        <v>655</v>
      </c>
      <c r="O1519" s="19"/>
      <c r="P1519" s="6"/>
      <c r="Q1519" s="6"/>
      <c r="R1519" s="6"/>
    </row>
    <row r="1520">
      <c r="A1520" s="31"/>
      <c r="B1520" s="14"/>
      <c r="C1520" s="14" t="str">
        <f>IFERROR(__xludf.DUMMYFUNCTION("""COMPUTED_VALUE"""),"ОКС")</f>
        <v>ОКС</v>
      </c>
      <c r="D1520" s="6" t="str">
        <f>IFERROR(__xludf.DUMMYFUNCTION("""COMPUTED_VALUE"""),"да")</f>
        <v>да</v>
      </c>
      <c r="E1520" s="14" t="str">
        <f>IFERROR(__xludf.DUMMYFUNCTION("""COMPUTED_VALUE"""),"«Многофункциональная комплексная жилая застройка, квартал 5 ул. Лобачевского, з/у 1, район Раменки, Западный административный округ города Москвы» по адресу: Москва, ЗАО, Раменки, Лобачевского ул., з/у 1 ")</f>
        <v>«Многофункциональная комплексная жилая застройка, квартал 5 ул. Лобачевского, з/у 1, район Раменки, Западный административный округ города Москвы» по адресу: Москва, ЗАО, Раменки, Лобачевского ул., з/у 1 </v>
      </c>
      <c r="F1520" s="25" t="str">
        <f>IFERROR(__xludf.DUMMYFUNCTION("""COMPUTED_VALUE"""),"#N/A")</f>
        <v>#N/A</v>
      </c>
      <c r="G1520" s="6" t="str">
        <f>IFERROR(__xludf.DUMMYFUNCTION("""COMPUTED_VALUE"""),"#N/A")</f>
        <v>#N/A</v>
      </c>
      <c r="H1520" s="6"/>
      <c r="I1520" s="19"/>
      <c r="J1520" s="50"/>
      <c r="K1520" s="58"/>
      <c r="L1520" s="6" t="s">
        <v>655</v>
      </c>
      <c r="M1520" s="52" t="s">
        <v>655</v>
      </c>
      <c r="N1520" s="53" t="s">
        <v>655</v>
      </c>
      <c r="O1520" s="19"/>
      <c r="P1520" s="6"/>
      <c r="Q1520" s="6"/>
      <c r="R1520" s="6"/>
    </row>
    <row r="1521">
      <c r="A1521" s="31"/>
      <c r="B1521" s="14"/>
      <c r="C1521" s="14" t="str">
        <f>IFERROR(__xludf.DUMMYFUNCTION("""COMPUTED_VALUE"""),"ОКС")</f>
        <v>ОКС</v>
      </c>
      <c r="D1521" s="6" t="str">
        <f>IFERROR(__xludf.DUMMYFUNCTION("""COMPUTED_VALUE"""),"да")</f>
        <v>да</v>
      </c>
      <c r="E1521" s="14" t="str">
        <f>IFERROR(__xludf.DUMMYFUNCTION("""COMPUTED_VALUE"""),"«Гостиничный комплекс с нежилыми помещениями» по адресу: г. Москва, СВАО, р-н Марьина Роща, ул. Октябрьская, вл. 98, в границах земельного участка с кадастровым номером: 77:02:0024003:1424 ")</f>
        <v>«Гостиничный комплекс с нежилыми помещениями» по адресу: г. Москва, СВАО, р-н Марьина Роща, ул. Октябрьская, вл. 98, в границах земельного участка с кадастровым номером: 77:02:0024003:1424 </v>
      </c>
      <c r="F1521" s="25" t="str">
        <f>IFERROR(__xludf.DUMMYFUNCTION("""COMPUTED_VALUE"""),"#N/A")</f>
        <v>#N/A</v>
      </c>
      <c r="G1521" s="6" t="str">
        <f>IFERROR(__xludf.DUMMYFUNCTION("""COMPUTED_VALUE"""),"#N/A")</f>
        <v>#N/A</v>
      </c>
      <c r="H1521" s="6"/>
      <c r="I1521" s="19"/>
      <c r="J1521" s="50"/>
      <c r="K1521" s="58"/>
      <c r="L1521" s="6" t="s">
        <v>655</v>
      </c>
      <c r="M1521" s="52" t="s">
        <v>655</v>
      </c>
      <c r="N1521" s="53" t="s">
        <v>655</v>
      </c>
      <c r="O1521" s="19"/>
      <c r="P1521" s="6"/>
      <c r="Q1521" s="6"/>
      <c r="R1521" s="6"/>
    </row>
    <row r="1522">
      <c r="A1522" s="31"/>
      <c r="B1522" s="14"/>
      <c r="C1522" s="14" t="str">
        <f>IFERROR(__xludf.DUMMYFUNCTION("""COMPUTED_VALUE"""),"ОКС")</f>
        <v>ОКС</v>
      </c>
      <c r="D1522" s="6" t="str">
        <f>IFERROR(__xludf.DUMMYFUNCTION("""COMPUTED_VALUE"""),"да")</f>
        <v>да</v>
      </c>
      <c r="E1522" s="14" t="str">
        <f>IFERROR(__xludf.DUMMYFUNCTION("""COMPUTED_VALUE"""),"""Многоэтажный жилой комплекс с подземным паркингом, в том числе: Очередь 1, Очередь 2, Очередь 3, общественно-деловым центром, физкультурно-оздоровительным комплексом, расположенный по адресу: г. Москва, ул. Сельскохозяйственная, вл. 26"" ")</f>
        <v>"Многоэтажный жилой комплекс с подземным паркингом, в том числе: Очередь 1, Очередь 2, Очередь 3, общественно-деловым центром, физкультурно-оздоровительным комплексом, расположенный по адресу: г. Москва, ул. Сельскохозяйственная, вл. 26" </v>
      </c>
      <c r="F1522" s="25" t="str">
        <f>IFERROR(__xludf.DUMMYFUNCTION("""COMPUTED_VALUE"""),"#N/A")</f>
        <v>#N/A</v>
      </c>
      <c r="G1522" s="6" t="str">
        <f>IFERROR(__xludf.DUMMYFUNCTION("""COMPUTED_VALUE"""),"#N/A")</f>
        <v>#N/A</v>
      </c>
      <c r="H1522" s="6"/>
      <c r="I1522" s="19"/>
      <c r="J1522" s="50"/>
      <c r="K1522" s="58"/>
      <c r="L1522" s="6" t="s">
        <v>655</v>
      </c>
      <c r="M1522" s="52" t="s">
        <v>655</v>
      </c>
      <c r="N1522" s="53" t="s">
        <v>655</v>
      </c>
      <c r="O1522" s="19"/>
      <c r="P1522" s="6"/>
      <c r="Q1522" s="6"/>
      <c r="R1522" s="6"/>
    </row>
    <row r="1523">
      <c r="A1523" s="31"/>
      <c r="B1523" s="14"/>
      <c r="C1523" s="14" t="str">
        <f>IFERROR(__xludf.DUMMYFUNCTION("""COMPUTED_VALUE"""),"ОКС")</f>
        <v>ОКС</v>
      </c>
      <c r="D1523" s="6" t="str">
        <f>IFERROR(__xludf.DUMMYFUNCTION("""COMPUTED_VALUE"""),"да")</f>
        <v>да</v>
      </c>
      <c r="E1523" s="14" t="str">
        <f>IFERROR(__xludf.DUMMYFUNCTION("""COMPUTED_VALUE"""),"Комплекс жилых домов переменной этажности со встроенно-пристроенными помещениями общественного назначения и подземной автостоянкой Огородный пр., д.20 ")</f>
        <v>Комплекс жилых домов переменной этажности со встроенно-пристроенными помещениями общественного назначения и подземной автостоянкой Огородный пр., д.20 </v>
      </c>
      <c r="F1523" s="25" t="str">
        <f>IFERROR(__xludf.DUMMYFUNCTION("""COMPUTED_VALUE"""),"#N/A")</f>
        <v>#N/A</v>
      </c>
      <c r="G1523" s="6" t="str">
        <f>IFERROR(__xludf.DUMMYFUNCTION("""COMPUTED_VALUE"""),"#N/A")</f>
        <v>#N/A</v>
      </c>
      <c r="H1523" s="6"/>
      <c r="I1523" s="19"/>
      <c r="J1523" s="50"/>
      <c r="K1523" s="58"/>
      <c r="L1523" s="6" t="s">
        <v>655</v>
      </c>
      <c r="M1523" s="52" t="s">
        <v>655</v>
      </c>
      <c r="N1523" s="53" t="s">
        <v>655</v>
      </c>
      <c r="O1523" s="19"/>
      <c r="P1523" s="6"/>
      <c r="Q1523" s="6"/>
      <c r="R1523" s="6"/>
    </row>
    <row r="1524">
      <c r="A1524" s="31"/>
      <c r="B1524" s="14"/>
      <c r="C1524" s="14" t="str">
        <f>IFERROR(__xludf.DUMMYFUNCTION("""COMPUTED_VALUE"""),"ОКС")</f>
        <v>ОКС</v>
      </c>
      <c r="D1524" s="6" t="str">
        <f>IFERROR(__xludf.DUMMYFUNCTION("""COMPUTED_VALUE"""),"да")</f>
        <v>да</v>
      </c>
      <c r="E1524" s="14" t="str">
        <f>IFERROR(__xludf.DUMMYFUNCTION("""COMPUTED_VALUE"""),"«Отдельно стоящая многоуровневая гараж-стоянка по адресу: аэропорт ""Внуково"", привокзальная площадь, участок № 8, район Внуково Западного административного округа города Москвы» по адресу: г. Москва, ЗАО, аэропорт «Внуково», уч. 8. ")</f>
        <v>«Отдельно стоящая многоуровневая гараж-стоянка по адресу: аэропорт "Внуково", привокзальная площадь, участок № 8, район Внуково Западного административного округа города Москвы» по адресу: г. Москва, ЗАО, аэропорт «Внуково», уч. 8. </v>
      </c>
      <c r="F1524" s="25" t="str">
        <f>IFERROR(__xludf.DUMMYFUNCTION("""COMPUTED_VALUE"""),"#N/A")</f>
        <v>#N/A</v>
      </c>
      <c r="G1524" s="6" t="str">
        <f>IFERROR(__xludf.DUMMYFUNCTION("""COMPUTED_VALUE"""),"#N/A")</f>
        <v>#N/A</v>
      </c>
      <c r="H1524" s="6"/>
      <c r="I1524" s="19"/>
      <c r="J1524" s="50"/>
      <c r="K1524" s="58"/>
      <c r="L1524" s="6" t="s">
        <v>655</v>
      </c>
      <c r="M1524" s="52" t="s">
        <v>655</v>
      </c>
      <c r="N1524" s="53" t="s">
        <v>655</v>
      </c>
      <c r="O1524" s="19"/>
      <c r="P1524" s="6"/>
      <c r="Q1524" s="6"/>
      <c r="R1524" s="6"/>
    </row>
    <row r="1525">
      <c r="A1525" s="31"/>
      <c r="B1525" s="14"/>
      <c r="C1525" s="14" t="str">
        <f>IFERROR(__xludf.DUMMYFUNCTION("""COMPUTED_VALUE"""),"ОКС")</f>
        <v>ОКС</v>
      </c>
      <c r="D1525" s="6" t="str">
        <f>IFERROR(__xludf.DUMMYFUNCTION("""COMPUTED_VALUE"""),"да")</f>
        <v>да</v>
      </c>
      <c r="E1525" s="14" t="str">
        <f>IFERROR(__xludf.DUMMYFUNCTION("""COMPUTED_VALUE"""),"Жилой комплекс с подземной автостоянкой, отдельно стоящими ДОУ и Школой. 2 этап. Жилой комплекс по адресу: г. Москва, ВАО, Преображенское, 1-я ул. Бухвостова, вл. 12/11 ")</f>
        <v>Жилой комплекс с подземной автостоянкой, отдельно стоящими ДОУ и Школой. 2 этап. Жилой комплекс по адресу: г. Москва, ВАО, Преображенское, 1-я ул. Бухвостова, вл. 12/11 </v>
      </c>
      <c r="F1525" s="25" t="str">
        <f>IFERROR(__xludf.DUMMYFUNCTION("""COMPUTED_VALUE"""),"#N/A")</f>
        <v>#N/A</v>
      </c>
      <c r="G1525" s="6" t="str">
        <f>IFERROR(__xludf.DUMMYFUNCTION("""COMPUTED_VALUE"""),"#N/A")</f>
        <v>#N/A</v>
      </c>
      <c r="H1525" s="6"/>
      <c r="I1525" s="19"/>
      <c r="J1525" s="50"/>
      <c r="K1525" s="58"/>
      <c r="L1525" s="6" t="s">
        <v>655</v>
      </c>
      <c r="M1525" s="52" t="s">
        <v>655</v>
      </c>
      <c r="N1525" s="53" t="s">
        <v>655</v>
      </c>
      <c r="O1525" s="19"/>
      <c r="P1525" s="6"/>
      <c r="Q1525" s="6"/>
      <c r="R1525" s="6"/>
    </row>
    <row r="1526">
      <c r="A1526" s="31"/>
      <c r="B1526" s="14"/>
      <c r="C1526" s="14" t="str">
        <f>IFERROR(__xludf.DUMMYFUNCTION("""COMPUTED_VALUE"""),"ОКС")</f>
        <v>ОКС</v>
      </c>
      <c r="D1526" s="6" t="str">
        <f>IFERROR(__xludf.DUMMYFUNCTION("""COMPUTED_VALUE"""),"да")</f>
        <v>да</v>
      </c>
      <c r="E1526" s="14" t="str">
        <f>IFERROR(__xludf.DUMMYFUNCTION("""COMPUTED_VALUE"""),"Бизнес-центр класса ""А"", с подземной автостоянкой и объектами коммерческой инфраструктуры Силикатный 2-й пр., вл.13 ")</f>
        <v>Бизнес-центр класса "А", с подземной автостоянкой и объектами коммерческой инфраструктуры Силикатный 2-й пр., вл.13 </v>
      </c>
      <c r="F1526" s="25" t="str">
        <f>IFERROR(__xludf.DUMMYFUNCTION("""COMPUTED_VALUE"""),"#N/A")</f>
        <v>#N/A</v>
      </c>
      <c r="G1526" s="6" t="str">
        <f>IFERROR(__xludf.DUMMYFUNCTION("""COMPUTED_VALUE"""),"#N/A")</f>
        <v>#N/A</v>
      </c>
      <c r="H1526" s="6"/>
      <c r="I1526" s="19"/>
      <c r="J1526" s="50"/>
      <c r="K1526" s="58"/>
      <c r="L1526" s="6" t="s">
        <v>655</v>
      </c>
      <c r="M1526" s="52" t="s">
        <v>655</v>
      </c>
      <c r="N1526" s="53" t="s">
        <v>655</v>
      </c>
      <c r="O1526" s="19"/>
      <c r="P1526" s="6"/>
      <c r="Q1526" s="6"/>
      <c r="R1526" s="6"/>
    </row>
    <row r="1527">
      <c r="A1527" s="31"/>
      <c r="B1527" s="14"/>
      <c r="C1527" s="14" t="str">
        <f>IFERROR(__xludf.DUMMYFUNCTION("""COMPUTED_VALUE"""),"ОКС")</f>
        <v>ОКС</v>
      </c>
      <c r="D1527" s="6" t="str">
        <f>IFERROR(__xludf.DUMMYFUNCTION("""COMPUTED_VALUE"""),"да")</f>
        <v>да</v>
      </c>
      <c r="E1527" s="14" t="str">
        <f>IFERROR(__xludf.DUMMYFUNCTION("""COMPUTED_VALUE"""),"Торгово-развлекательный комплекс, по адресу: г. Москва, ЮВАО, Рязанский (микрорайона 126 района Рязанский) ")</f>
        <v>Торгово-развлекательный комплекс, по адресу: г. Москва, ЮВАО, Рязанский (микрорайона 126 района Рязанский) </v>
      </c>
      <c r="F1527" s="25" t="str">
        <f>IFERROR(__xludf.DUMMYFUNCTION("""COMPUTED_VALUE"""),"#N/A")</f>
        <v>#N/A</v>
      </c>
      <c r="G1527" s="6" t="str">
        <f>IFERROR(__xludf.DUMMYFUNCTION("""COMPUTED_VALUE"""),"#N/A")</f>
        <v>#N/A</v>
      </c>
      <c r="H1527" s="6"/>
      <c r="I1527" s="19"/>
      <c r="J1527" s="50"/>
      <c r="K1527" s="58"/>
      <c r="L1527" s="6" t="s">
        <v>655</v>
      </c>
      <c r="M1527" s="52" t="s">
        <v>655</v>
      </c>
      <c r="N1527" s="53" t="s">
        <v>655</v>
      </c>
      <c r="O1527" s="19"/>
      <c r="P1527" s="6"/>
      <c r="Q1527" s="6"/>
      <c r="R1527" s="6"/>
    </row>
    <row r="1528">
      <c r="A1528" s="31"/>
      <c r="B1528" s="14"/>
      <c r="C1528" s="14" t="str">
        <f>IFERROR(__xludf.DUMMYFUNCTION("""COMPUTED_VALUE"""),"ОКС")</f>
        <v>ОКС</v>
      </c>
      <c r="D1528" s="6" t="str">
        <f>IFERROR(__xludf.DUMMYFUNCTION("""COMPUTED_VALUE"""),"да")</f>
        <v>да</v>
      </c>
      <c r="E1528" s="14" t="str">
        <f>IFERROR(__xludf.DUMMYFUNCTION("""COMPUTED_VALUE"""),"Комплексная реконструкция микрорайона 126 района Рязанский (корпус 1), расположенный по адресному ориентиру: Российская Федерация, г. Москва, внутригородское муниципальное образование Рязанское, пр-кт Рязанский (кадастровый номер земельного участка: 77:04"&amp;":0002013:12849), по адресу Рязанский проспект, мкр. 126 ")</f>
        <v>Комплексная реконструкция микрорайона 126 района Рязанский (корпус 1), расположенный по адресному ориентиру: Российская Федерация, г. Москва, внутригородское муниципальное образование Рязанское, пр-кт Рязанский (кадастровый номер земельного участка: 77:04:0002013:12849), по адресу Рязанский проспект, мкр. 126 </v>
      </c>
      <c r="F1528" s="25" t="str">
        <f>IFERROR(__xludf.DUMMYFUNCTION("""COMPUTED_VALUE"""),"#N/A")</f>
        <v>#N/A</v>
      </c>
      <c r="G1528" s="6" t="str">
        <f>IFERROR(__xludf.DUMMYFUNCTION("""COMPUTED_VALUE"""),"#N/A")</f>
        <v>#N/A</v>
      </c>
      <c r="H1528" s="6"/>
      <c r="I1528" s="19"/>
      <c r="J1528" s="50"/>
      <c r="K1528" s="58"/>
      <c r="L1528" s="6" t="s">
        <v>655</v>
      </c>
      <c r="M1528" s="52" t="s">
        <v>655</v>
      </c>
      <c r="N1528" s="53" t="s">
        <v>655</v>
      </c>
      <c r="O1528" s="19"/>
      <c r="P1528" s="6"/>
      <c r="Q1528" s="6"/>
      <c r="R1528" s="6"/>
    </row>
    <row r="1529">
      <c r="A1529" s="31"/>
      <c r="B1529" s="14"/>
      <c r="C1529" s="14" t="str">
        <f>IFERROR(__xludf.DUMMYFUNCTION("""COMPUTED_VALUE"""),"ОКС")</f>
        <v>ОКС</v>
      </c>
      <c r="D1529" s="6" t="str">
        <f>IFERROR(__xludf.DUMMYFUNCTION("""COMPUTED_VALUE"""),"да")</f>
        <v>да</v>
      </c>
      <c r="E1529" s="14" t="str">
        <f>IFERROR(__xludf.DUMMYFUNCTION("""COMPUTED_VALUE"""),"Многофункциональная застройка по адресу: г. Москва, внутригородское муниципальное образование Нижегородское, Рязанский проспект, земельный участок 2/25 с кадастровым номером 77:04:0002003:7927. 1 этап, по адресу: г. Москва, ЮВАО, внутригородская территори"&amp;"я муниципальный округ Нижегородский, Рязанский проспект, земельный участок 2/25 ")</f>
        <v>Многофункциональная застройка по адресу: г. Москва, внутригородское муниципальное образование Нижегородское, Рязанский проспект, земельный участок 2/25 с кадастровым номером 77:04:0002003:7927. 1 этап, по адресу: г. Москва, ЮВАО, внутригородская территория муниципальный округ Нижегородский, Рязанский проспект, земельный участок 2/25 </v>
      </c>
      <c r="F1529" s="25" t="str">
        <f>IFERROR(__xludf.DUMMYFUNCTION("""COMPUTED_VALUE"""),"#N/A")</f>
        <v>#N/A</v>
      </c>
      <c r="G1529" s="6" t="str">
        <f>IFERROR(__xludf.DUMMYFUNCTION("""COMPUTED_VALUE"""),"#N/A")</f>
        <v>#N/A</v>
      </c>
      <c r="H1529" s="6"/>
      <c r="I1529" s="19"/>
      <c r="J1529" s="50"/>
      <c r="K1529" s="58"/>
      <c r="L1529" s="6" t="s">
        <v>655</v>
      </c>
      <c r="M1529" s="52" t="s">
        <v>655</v>
      </c>
      <c r="N1529" s="53" t="s">
        <v>655</v>
      </c>
      <c r="O1529" s="19"/>
      <c r="P1529" s="6"/>
      <c r="Q1529" s="6"/>
      <c r="R1529" s="6"/>
    </row>
    <row r="1530">
      <c r="A1530" s="31"/>
      <c r="B1530" s="14"/>
      <c r="C1530" s="14" t="str">
        <f>IFERROR(__xludf.DUMMYFUNCTION("""COMPUTED_VALUE"""),"ОКС")</f>
        <v>ОКС</v>
      </c>
      <c r="D1530" s="6" t="str">
        <f>IFERROR(__xludf.DUMMYFUNCTION("""COMPUTED_VALUE"""),"да")</f>
        <v>да</v>
      </c>
      <c r="E1530" s="14" t="str">
        <f>IFERROR(__xludf.DUMMYFUNCTION("""COMPUTED_VALUE"""),"Многофункциональная комплексная жилая застройка, квартал 8, корпуса 1, 2 (Объект 2) Нижние Мнёвники ул., з/у 12А ")</f>
        <v>Многофункциональная комплексная жилая застройка, квартал 8, корпуса 1, 2 (Объект 2) Нижние Мнёвники ул., з/у 12А </v>
      </c>
      <c r="F1530" s="25" t="str">
        <f>IFERROR(__xludf.DUMMYFUNCTION("""COMPUTED_VALUE"""),"#N/A")</f>
        <v>#N/A</v>
      </c>
      <c r="G1530" s="6" t="str">
        <f>IFERROR(__xludf.DUMMYFUNCTION("""COMPUTED_VALUE"""),"#N/A")</f>
        <v>#N/A</v>
      </c>
      <c r="H1530" s="6"/>
      <c r="I1530" s="19"/>
      <c r="J1530" s="50"/>
      <c r="K1530" s="58"/>
      <c r="L1530" s="6" t="s">
        <v>655</v>
      </c>
      <c r="M1530" s="52" t="s">
        <v>655</v>
      </c>
      <c r="N1530" s="53" t="s">
        <v>655</v>
      </c>
      <c r="O1530" s="19"/>
      <c r="P1530" s="6"/>
      <c r="Q1530" s="6"/>
      <c r="R1530" s="6"/>
    </row>
    <row r="1531">
      <c r="A1531" s="31"/>
      <c r="B1531" s="14"/>
      <c r="C1531" s="14" t="str">
        <f>IFERROR(__xludf.DUMMYFUNCTION("""COMPUTED_VALUE"""),"ОКС")</f>
        <v>ОКС</v>
      </c>
      <c r="D1531" s="6" t="str">
        <f>IFERROR(__xludf.DUMMYFUNCTION("""COMPUTED_VALUE"""),"да")</f>
        <v>да</v>
      </c>
      <c r="E1531" s="14" t="str">
        <f>IFERROR(__xludf.DUMMYFUNCTION("""COMPUTED_VALUE"""),"Многофункциональный комплекс с торговой составляющей и встроенным паркингом, по адресу: Авиамоторная ул. вл. 39/1 вл. 39, стр. 2 (ЮВАО, Лефортово) ")</f>
        <v>Многофункциональный комплекс с торговой составляющей и встроенным паркингом, по адресу: Авиамоторная ул. вл. 39/1 вл. 39, стр. 2 (ЮВАО, Лефортово) </v>
      </c>
      <c r="F1531" s="25" t="str">
        <f>IFERROR(__xludf.DUMMYFUNCTION("""COMPUTED_VALUE"""),"#N/A")</f>
        <v>#N/A</v>
      </c>
      <c r="G1531" s="6" t="str">
        <f>IFERROR(__xludf.DUMMYFUNCTION("""COMPUTED_VALUE"""),"#N/A")</f>
        <v>#N/A</v>
      </c>
      <c r="H1531" s="6"/>
      <c r="I1531" s="19"/>
      <c r="J1531" s="50"/>
      <c r="K1531" s="58"/>
      <c r="L1531" s="6" t="s">
        <v>655</v>
      </c>
      <c r="M1531" s="52" t="s">
        <v>655</v>
      </c>
      <c r="N1531" s="53" t="s">
        <v>655</v>
      </c>
      <c r="O1531" s="19"/>
      <c r="P1531" s="6"/>
      <c r="Q1531" s="6"/>
      <c r="R1531" s="6"/>
    </row>
    <row r="1532">
      <c r="A1532" s="31"/>
      <c r="B1532" s="14"/>
      <c r="C1532" s="14" t="str">
        <f>IFERROR(__xludf.DUMMYFUNCTION("""COMPUTED_VALUE"""),"ОКС")</f>
        <v>ОКС</v>
      </c>
      <c r="D1532" s="6" t="str">
        <f>IFERROR(__xludf.DUMMYFUNCTION("""COMPUTED_VALUE"""),"да")</f>
        <v>да</v>
      </c>
      <c r="E1532" s="14" t="str">
        <f>IFERROR(__xludf.DUMMYFUNCTION("""COMPUTED_VALUE"""),"«Многофункциональный гостиничный комплекс с подземной автостоянкой по адресу: г. Москва, 2-й Силикатный проезд, вл.8» ")</f>
        <v>«Многофункциональный гостиничный комплекс с подземной автостоянкой по адресу: г. Москва, 2-й Силикатный проезд, вл.8» </v>
      </c>
      <c r="F1532" s="25" t="str">
        <f>IFERROR(__xludf.DUMMYFUNCTION("""COMPUTED_VALUE"""),"#N/A")</f>
        <v>#N/A</v>
      </c>
      <c r="G1532" s="6" t="str">
        <f>IFERROR(__xludf.DUMMYFUNCTION("""COMPUTED_VALUE"""),"#N/A")</f>
        <v>#N/A</v>
      </c>
      <c r="H1532" s="6"/>
      <c r="I1532" s="19"/>
      <c r="J1532" s="50"/>
      <c r="K1532" s="58"/>
      <c r="L1532" s="6" t="s">
        <v>655</v>
      </c>
      <c r="M1532" s="52" t="s">
        <v>655</v>
      </c>
      <c r="N1532" s="53" t="s">
        <v>655</v>
      </c>
      <c r="O1532" s="19"/>
      <c r="P1532" s="6"/>
      <c r="Q1532" s="6"/>
      <c r="R1532" s="6"/>
    </row>
    <row r="1533">
      <c r="A1533" s="31"/>
      <c r="B1533" s="14"/>
      <c r="C1533" s="14" t="str">
        <f>IFERROR(__xludf.DUMMYFUNCTION("""COMPUTED_VALUE"""),"ОКС")</f>
        <v>ОКС</v>
      </c>
      <c r="D1533" s="6" t="str">
        <f>IFERROR(__xludf.DUMMYFUNCTION("""COMPUTED_VALUE"""),"да")</f>
        <v>да</v>
      </c>
      <c r="E1533" s="14" t="str">
        <f>IFERROR(__xludf.DUMMYFUNCTION("""COMPUTED_VALUE"""),"Нежилое здание общей площадью 7 137,9 кв. м, кадастровый номер 77:04:0003004:1045(выплаты собственникам нежилого здания в рамках освоения территории для реализации комплексного развития территории ""Южный порт""), по адресу: Волгоградский просп. вл. 42, к"&amp;"орп. 8 ")</f>
        <v>Нежилое здание общей площадью 7 137,9 кв. м, кадастровый номер 77:04:0003004:1045(выплаты собственникам нежилого здания в рамках освоения территории для реализации комплексного развития территории "Южный порт"), по адресу: Волгоградский просп. вл. 42, корп. 8 </v>
      </c>
      <c r="F1533" s="25" t="str">
        <f>IFERROR(__xludf.DUMMYFUNCTION("""COMPUTED_VALUE"""),"#N/A")</f>
        <v>#N/A</v>
      </c>
      <c r="G1533" s="6" t="str">
        <f>IFERROR(__xludf.DUMMYFUNCTION("""COMPUTED_VALUE"""),"#N/A")</f>
        <v>#N/A</v>
      </c>
      <c r="H1533" s="6"/>
      <c r="I1533" s="19"/>
      <c r="J1533" s="50"/>
      <c r="K1533" s="58"/>
      <c r="L1533" s="6" t="s">
        <v>655</v>
      </c>
      <c r="M1533" s="52" t="s">
        <v>655</v>
      </c>
      <c r="N1533" s="53" t="s">
        <v>655</v>
      </c>
      <c r="O1533" s="19"/>
      <c r="P1533" s="6"/>
      <c r="Q1533" s="6"/>
      <c r="R1533" s="6"/>
    </row>
    <row r="1534">
      <c r="A1534" s="31"/>
      <c r="B1534" s="14"/>
      <c r="C1534" s="14" t="str">
        <f>IFERROR(__xludf.DUMMYFUNCTION("""COMPUTED_VALUE"""),"ОКС")</f>
        <v>ОКС</v>
      </c>
      <c r="D1534" s="6" t="str">
        <f>IFERROR(__xludf.DUMMYFUNCTION("""COMPUTED_VALUE"""),"да")</f>
        <v>да</v>
      </c>
      <c r="E1534" s="14" t="str">
        <f>IFERROR(__xludf.DUMMYFUNCTION("""COMPUTED_VALUE"""),"«Комплексная жилая застройка по адресу: г. Москва, ЮАО, р-н Донской, ул. Орджоникидзе влд. 10, 2-й Донской пр-д, влд. 10. 1 этап строительства Жилой комплекс» по адресу: г. Москва, ЮАО, район Донской, ул. Орджоникидзе; 2-й Донской пр-д, вл. 10; вл. 10 и в"&amp;"л.10 стр. 4 ")</f>
        <v>«Комплексная жилая застройка по адресу: г. Москва, ЮАО, р-н Донской, ул. Орджоникидзе влд. 10, 2-й Донской пр-д, влд. 10. 1 этап строительства Жилой комплекс» по адресу: г. Москва, ЮАО, район Донской, ул. Орджоникидзе; 2-й Донской пр-д, вл. 10; вл. 10 и вл.10 стр. 4 </v>
      </c>
      <c r="F1534" s="25" t="str">
        <f>IFERROR(__xludf.DUMMYFUNCTION("""COMPUTED_VALUE"""),"#N/A")</f>
        <v>#N/A</v>
      </c>
      <c r="G1534" s="6" t="str">
        <f>IFERROR(__xludf.DUMMYFUNCTION("""COMPUTED_VALUE"""),"#N/A")</f>
        <v>#N/A</v>
      </c>
      <c r="H1534" s="6"/>
      <c r="I1534" s="19"/>
      <c r="J1534" s="50"/>
      <c r="K1534" s="58"/>
      <c r="L1534" s="6" t="s">
        <v>655</v>
      </c>
      <c r="M1534" s="52" t="s">
        <v>655</v>
      </c>
      <c r="N1534" s="53" t="s">
        <v>655</v>
      </c>
      <c r="O1534" s="19"/>
      <c r="P1534" s="6"/>
      <c r="Q1534" s="6"/>
      <c r="R1534" s="6"/>
    </row>
    <row r="1535">
      <c r="A1535" s="31" t="str">
        <f>IFERROR(__xludf.DUMMYFUNCTION("""COMPUTED_VALUE"""),"н/д")</f>
        <v>н/д</v>
      </c>
      <c r="B1535" s="14" t="str">
        <f>IFERROR(__xludf.DUMMYFUNCTION("""COMPUTED_VALUE"""),"ВНЕ СПИСКА")</f>
        <v>ВНЕ СПИСКА</v>
      </c>
      <c r="C1535" s="14" t="str">
        <f>IFERROR(__xludf.DUMMYFUNCTION("""COMPUTED_VALUE"""),"ОКС")</f>
        <v>ОКС</v>
      </c>
      <c r="D1535" s="6" t="str">
        <f>IFERROR(__xludf.DUMMYFUNCTION("""COMPUTED_VALUE"""),"да")</f>
        <v>да</v>
      </c>
      <c r="E1535" s="14" t="str">
        <f>IFERROR(__xludf.DUMMYFUNCTION("""COMPUTED_VALUE"""),"Многофункциональный центр Мусы Джалиля ул., вл.23/56 Мусы Джалиля ул., вл. 23/56")</f>
        <v>Многофункциональный центр Мусы Джалиля ул., вл.23/56 Мусы Джалиля ул., вл. 23/56</v>
      </c>
      <c r="F1535" s="25" t="str">
        <f>IFERROR(__xludf.DUMMYFUNCTION("""COMPUTED_VALUE"""),"#N/A")</f>
        <v>#N/A</v>
      </c>
      <c r="G1535" s="6" t="str">
        <f>IFERROR(__xludf.DUMMYFUNCTION("""COMPUTED_VALUE"""),"#N/A")</f>
        <v>#N/A</v>
      </c>
      <c r="H1535" s="6"/>
      <c r="I1535" s="19"/>
      <c r="J1535" s="50"/>
      <c r="K1535" s="58"/>
      <c r="L1535" s="6">
        <v>30.0</v>
      </c>
      <c r="M1535" s="52" t="s">
        <v>655</v>
      </c>
      <c r="N1535" s="53" t="s">
        <v>698</v>
      </c>
      <c r="O1535" s="19" t="s">
        <v>669</v>
      </c>
      <c r="P1535" s="6"/>
      <c r="Q1535" s="6"/>
      <c r="R1535" s="6"/>
    </row>
    <row r="1536">
      <c r="A1536" s="31"/>
      <c r="B1536" s="14"/>
      <c r="C1536" s="14" t="str">
        <f>IFERROR(__xludf.DUMMYFUNCTION("""COMPUTED_VALUE"""),"ОКС")</f>
        <v>ОКС</v>
      </c>
      <c r="D1536" s="6" t="str">
        <f>IFERROR(__xludf.DUMMYFUNCTION("""COMPUTED_VALUE"""),"да")</f>
        <v>да</v>
      </c>
      <c r="E1536" s="14" t="str">
        <f>IFERROR(__xludf.DUMMYFUNCTION("""COMPUTED_VALUE"""),"Офисно-торговый центр «Нагатинская» Этап 2 Нагорный р-н ")</f>
        <v>Офисно-торговый центр «Нагатинская» Этап 2 Нагорный р-н </v>
      </c>
      <c r="F1536" s="25" t="str">
        <f>IFERROR(__xludf.DUMMYFUNCTION("""COMPUTED_VALUE"""),"#N/A")</f>
        <v>#N/A</v>
      </c>
      <c r="G1536" s="6" t="str">
        <f>IFERROR(__xludf.DUMMYFUNCTION("""COMPUTED_VALUE"""),"#N/A")</f>
        <v>#N/A</v>
      </c>
      <c r="H1536" s="6"/>
      <c r="I1536" s="19"/>
      <c r="J1536" s="50"/>
      <c r="K1536" s="58"/>
      <c r="L1536" s="6" t="s">
        <v>655</v>
      </c>
      <c r="M1536" s="52" t="s">
        <v>655</v>
      </c>
      <c r="N1536" s="53" t="s">
        <v>655</v>
      </c>
      <c r="O1536" s="19"/>
      <c r="P1536" s="6"/>
      <c r="Q1536" s="6"/>
      <c r="R1536" s="6"/>
    </row>
    <row r="1537">
      <c r="A1537" s="31"/>
      <c r="B1537" s="14"/>
      <c r="C1537" s="14" t="str">
        <f>IFERROR(__xludf.DUMMYFUNCTION("""COMPUTED_VALUE"""),"ОКС")</f>
        <v>ОКС</v>
      </c>
      <c r="D1537" s="6" t="str">
        <f>IFERROR(__xludf.DUMMYFUNCTION("""COMPUTED_VALUE"""),"да")</f>
        <v>да</v>
      </c>
      <c r="E1537" s="14" t="str">
        <f>IFERROR(__xludf.DUMMYFUNCTION("""COMPUTED_VALUE"""),"Деловой квартал-1 Андропова просп., з/у 11/1 ")</f>
        <v>Деловой квартал-1 Андропова просп., з/у 11/1 </v>
      </c>
      <c r="F1537" s="25" t="str">
        <f>IFERROR(__xludf.DUMMYFUNCTION("""COMPUTED_VALUE"""),"#N/A")</f>
        <v>#N/A</v>
      </c>
      <c r="G1537" s="6" t="str">
        <f>IFERROR(__xludf.DUMMYFUNCTION("""COMPUTED_VALUE"""),"#N/A")</f>
        <v>#N/A</v>
      </c>
      <c r="H1537" s="6"/>
      <c r="I1537" s="19"/>
      <c r="J1537" s="50"/>
      <c r="K1537" s="58"/>
      <c r="L1537" s="6" t="s">
        <v>655</v>
      </c>
      <c r="M1537" s="52" t="s">
        <v>655</v>
      </c>
      <c r="N1537" s="53" t="s">
        <v>655</v>
      </c>
      <c r="O1537" s="19"/>
      <c r="P1537" s="6"/>
      <c r="Q1537" s="6"/>
      <c r="R1537" s="6"/>
    </row>
    <row r="1538">
      <c r="A1538" s="31"/>
      <c r="B1538" s="14"/>
      <c r="C1538" s="14" t="str">
        <f>IFERROR(__xludf.DUMMYFUNCTION("""COMPUTED_VALUE"""),"ОКС")</f>
        <v>ОКС</v>
      </c>
      <c r="D1538" s="6" t="str">
        <f>IFERROR(__xludf.DUMMYFUNCTION("""COMPUTED_VALUE"""),"да")</f>
        <v>да</v>
      </c>
      <c r="E1538" s="14" t="str">
        <f>IFERROR(__xludf.DUMMYFUNCTION("""COMPUTED_VALUE"""),"г. Москва, поселение Сосенское, квартал 35, земельный участок 12/8. «Здание многофункционального общественно-делового комплекса 3-ей очереди комплексной застройки, расположенной на земельном участке с кадастровым номером 77:17:0120114:27995» ")</f>
        <v>г. Москва, поселение Сосенское, квартал 35, земельный участок 12/8. «Здание многофункционального общественно-делового комплекса 3-ей очереди комплексной застройки, расположенной на земельном участке с кадастровым номером 77:17:0120114:27995» </v>
      </c>
      <c r="F1538" s="25" t="str">
        <f>IFERROR(__xludf.DUMMYFUNCTION("""COMPUTED_VALUE"""),"#N/A")</f>
        <v>#N/A</v>
      </c>
      <c r="G1538" s="6" t="str">
        <f>IFERROR(__xludf.DUMMYFUNCTION("""COMPUTED_VALUE"""),"#N/A")</f>
        <v>#N/A</v>
      </c>
      <c r="H1538" s="6"/>
      <c r="I1538" s="19"/>
      <c r="J1538" s="50"/>
      <c r="K1538" s="58"/>
      <c r="L1538" s="6" t="s">
        <v>655</v>
      </c>
      <c r="M1538" s="52" t="s">
        <v>655</v>
      </c>
      <c r="N1538" s="53" t="s">
        <v>655</v>
      </c>
      <c r="O1538" s="19"/>
      <c r="P1538" s="6"/>
      <c r="Q1538" s="6"/>
      <c r="R1538" s="6"/>
    </row>
    <row r="1539">
      <c r="A1539" s="31"/>
      <c r="B1539" s="14"/>
      <c r="C1539" s="14" t="str">
        <f>IFERROR(__xludf.DUMMYFUNCTION("""COMPUTED_VALUE"""),"ОКС")</f>
        <v>ОКС</v>
      </c>
      <c r="D1539" s="6" t="str">
        <f>IFERROR(__xludf.DUMMYFUNCTION("""COMPUTED_VALUE"""),"да")</f>
        <v>да</v>
      </c>
      <c r="E1539" s="14" t="str">
        <f>IFERROR(__xludf.DUMMYFUNCTION("""COMPUTED_VALUE"""),"Административно-деловой комплекс, по адресу: Российская Федерация, город Москва, внутригородская территория муниципальный округ Обручевский, шоссе Старокалужское, земельный участок 64/1, ")</f>
        <v>Административно-деловой комплекс, по адресу: Российская Федерация, город Москва, внутригородская территория муниципальный округ Обручевский, шоссе Старокалужское, земельный участок 64/1, </v>
      </c>
      <c r="F1539" s="25" t="str">
        <f>IFERROR(__xludf.DUMMYFUNCTION("""COMPUTED_VALUE"""),"#N/A")</f>
        <v>#N/A</v>
      </c>
      <c r="G1539" s="6" t="str">
        <f>IFERROR(__xludf.DUMMYFUNCTION("""COMPUTED_VALUE"""),"#N/A")</f>
        <v>#N/A</v>
      </c>
      <c r="H1539" s="6"/>
      <c r="I1539" s="19"/>
      <c r="J1539" s="50"/>
      <c r="K1539" s="58"/>
      <c r="L1539" s="6" t="s">
        <v>655</v>
      </c>
      <c r="M1539" s="52" t="s">
        <v>655</v>
      </c>
      <c r="N1539" s="53" t="s">
        <v>655</v>
      </c>
      <c r="O1539" s="19"/>
      <c r="P1539" s="6"/>
      <c r="Q1539" s="6"/>
      <c r="R1539" s="6"/>
    </row>
    <row r="1540">
      <c r="A1540" s="31"/>
      <c r="B1540" s="14"/>
      <c r="C1540" s="14" t="str">
        <f>IFERROR(__xludf.DUMMYFUNCTION("""COMPUTED_VALUE"""),"ОКС")</f>
        <v>ОКС</v>
      </c>
      <c r="D1540" s="6" t="str">
        <f>IFERROR(__xludf.DUMMYFUNCTION("""COMPUTED_VALUE"""),"да")</f>
        <v>да</v>
      </c>
      <c r="E1540" s="14" t="str">
        <f>IFERROR(__xludf.DUMMYFUNCTION("""COMPUTED_VALUE"""),"г. Москва, НАО, Сосенское, квартал 35, земельный участок 12/8 вблизи деревни Николо-Хованское (НАО, Сосенское). «Здание многофункционального общественно-делового комплекса 2-ой очереди комплексной застройки, расположенной на земельном участке с кадастровы"&amp;"м номером 77:17:0120114:27995» ")</f>
        <v>г. Москва, НАО, Сосенское, квартал 35, земельный участок 12/8 вблизи деревни Николо-Хованское (НАО, Сосенское). «Здание многофункционального общественно-делового комплекса 2-ой очереди комплексной застройки, расположенной на земельном участке с кадастровым номером 77:17:0120114:27995» </v>
      </c>
      <c r="F1540" s="25" t="str">
        <f>IFERROR(__xludf.DUMMYFUNCTION("""COMPUTED_VALUE"""),"#N/A")</f>
        <v>#N/A</v>
      </c>
      <c r="G1540" s="6" t="str">
        <f>IFERROR(__xludf.DUMMYFUNCTION("""COMPUTED_VALUE"""),"#N/A")</f>
        <v>#N/A</v>
      </c>
      <c r="H1540" s="6"/>
      <c r="I1540" s="19"/>
      <c r="J1540" s="50"/>
      <c r="K1540" s="58"/>
      <c r="L1540" s="6" t="s">
        <v>655</v>
      </c>
      <c r="M1540" s="52" t="s">
        <v>655</v>
      </c>
      <c r="N1540" s="53" t="s">
        <v>655</v>
      </c>
      <c r="O1540" s="19"/>
      <c r="P1540" s="6"/>
      <c r="Q1540" s="6"/>
      <c r="R1540" s="6"/>
    </row>
    <row r="1541">
      <c r="A1541" s="31"/>
      <c r="B1541" s="14"/>
      <c r="C1541" s="14" t="str">
        <f>IFERROR(__xludf.DUMMYFUNCTION("""COMPUTED_VALUE"""),"ОКС")</f>
        <v>ОКС</v>
      </c>
      <c r="D1541" s="6" t="str">
        <f>IFERROR(__xludf.DUMMYFUNCTION("""COMPUTED_VALUE"""),"да")</f>
        <v>да</v>
      </c>
      <c r="E1541" s="14" t="str">
        <f>IFERROR(__xludf.DUMMYFUNCTION("""COMPUTED_VALUE"""),"Многофункциональный жилой комплекс с подземной автостоянкой по адресу: г. Москва, ул. Профсоюзная, д. 2/22 по адресу: г. Москва, ЮЗАО, внутригородская территория муниципальный округ, Обручевский, шоссе Старокалужское, земельный участок 64/1 (ЮЗАО, Обручев"&amp;"ский) ")</f>
        <v>Многофункциональный жилой комплекс с подземной автостоянкой по адресу: г. Москва, ул. Профсоюзная, д. 2/22 по адресу: г. Москва, ЮЗАО, внутригородская территория муниципальный округ, Обручевский, шоссе Старокалужское, земельный участок 64/1 (ЮЗАО, Обручевский) </v>
      </c>
      <c r="F1541" s="25" t="str">
        <f>IFERROR(__xludf.DUMMYFUNCTION("""COMPUTED_VALUE"""),"#N/A")</f>
        <v>#N/A</v>
      </c>
      <c r="G1541" s="6" t="str">
        <f>IFERROR(__xludf.DUMMYFUNCTION("""COMPUTED_VALUE"""),"#N/A")</f>
        <v>#N/A</v>
      </c>
      <c r="H1541" s="6"/>
      <c r="I1541" s="19"/>
      <c r="J1541" s="50"/>
      <c r="K1541" s="58"/>
      <c r="L1541" s="6" t="s">
        <v>655</v>
      </c>
      <c r="M1541" s="52" t="s">
        <v>655</v>
      </c>
      <c r="N1541" s="53" t="s">
        <v>655</v>
      </c>
      <c r="O1541" s="19"/>
      <c r="P1541" s="6"/>
      <c r="Q1541" s="6"/>
      <c r="R1541" s="6"/>
    </row>
    <row r="1542">
      <c r="A1542" s="31"/>
      <c r="B1542" s="14"/>
      <c r="C1542" s="14" t="str">
        <f>IFERROR(__xludf.DUMMYFUNCTION("""COMPUTED_VALUE"""),"ОКС")</f>
        <v>ОКС</v>
      </c>
      <c r="D1542" s="6" t="str">
        <f>IFERROR(__xludf.DUMMYFUNCTION("""COMPUTED_VALUE"""),"да")</f>
        <v>да</v>
      </c>
      <c r="E1542" s="14" t="str">
        <f>IFERROR(__xludf.DUMMYFUNCTION("""COMPUTED_VALUE"""),"Многофункциональный офисный комплекс с подземной автостоянкой и помещениями общественного назначения, по адресу: г. Москва, ЮЗАО, Обручевский, ул. Академика Семенихина, земельный участок 2 (ЮЗАО, Обручевский) ")</f>
        <v>Многофункциональный офисный комплекс с подземной автостоянкой и помещениями общественного назначения, по адресу: г. Москва, ЮЗАО, Обручевский, ул. Академика Семенихина, земельный участок 2 (ЮЗАО, Обручевский) </v>
      </c>
      <c r="F1542" s="25" t="str">
        <f>IFERROR(__xludf.DUMMYFUNCTION("""COMPUTED_VALUE"""),"#N/A")</f>
        <v>#N/A</v>
      </c>
      <c r="G1542" s="6" t="str">
        <f>IFERROR(__xludf.DUMMYFUNCTION("""COMPUTED_VALUE"""),"#N/A")</f>
        <v>#N/A</v>
      </c>
      <c r="H1542" s="6"/>
      <c r="I1542" s="19"/>
      <c r="J1542" s="50"/>
      <c r="K1542" s="58"/>
      <c r="L1542" s="6" t="s">
        <v>655</v>
      </c>
      <c r="M1542" s="52" t="s">
        <v>655</v>
      </c>
      <c r="N1542" s="53" t="s">
        <v>655</v>
      </c>
      <c r="O1542" s="19"/>
      <c r="P1542" s="6"/>
      <c r="Q1542" s="6"/>
      <c r="R1542" s="6"/>
    </row>
    <row r="1543">
      <c r="A1543" s="31"/>
      <c r="B1543" s="14"/>
      <c r="C1543" s="14" t="str">
        <f>IFERROR(__xludf.DUMMYFUNCTION("""COMPUTED_VALUE"""),"ОКС")</f>
        <v>ОКС</v>
      </c>
      <c r="D1543" s="6" t="str">
        <f>IFERROR(__xludf.DUMMYFUNCTION("""COMPUTED_VALUE"""),"да")</f>
        <v>да</v>
      </c>
      <c r="E1543" s="14" t="str">
        <f>IFERROR(__xludf.DUMMYFUNCTION("""COMPUTED_VALUE"""),"Многофункциональный комплекс ""Мневники"" в составе ""Транспортно-пересадочного узла ""Мневники"" Мневники Нижн. ул. земельный участок 70 ")</f>
        <v>Многофункциональный комплекс "Мневники" в составе "Транспортно-пересадочного узла "Мневники" Мневники Нижн. ул. земельный участок 70 </v>
      </c>
      <c r="F1543" s="25" t="str">
        <f>IFERROR(__xludf.DUMMYFUNCTION("""COMPUTED_VALUE"""),"#N/A")</f>
        <v>#N/A</v>
      </c>
      <c r="G1543" s="6" t="str">
        <f>IFERROR(__xludf.DUMMYFUNCTION("""COMPUTED_VALUE"""),"#N/A")</f>
        <v>#N/A</v>
      </c>
      <c r="H1543" s="6"/>
      <c r="I1543" s="19"/>
      <c r="J1543" s="50"/>
      <c r="K1543" s="58"/>
      <c r="L1543" s="6" t="s">
        <v>655</v>
      </c>
      <c r="M1543" s="52" t="s">
        <v>655</v>
      </c>
      <c r="N1543" s="53" t="s">
        <v>655</v>
      </c>
      <c r="O1543" s="19"/>
      <c r="P1543" s="6"/>
      <c r="Q1543" s="6"/>
      <c r="R1543" s="6"/>
    </row>
    <row r="1544">
      <c r="A1544" s="31"/>
      <c r="B1544" s="14"/>
      <c r="C1544" s="14" t="str">
        <f>IFERROR(__xludf.DUMMYFUNCTION("""COMPUTED_VALUE"""),"ОКС")</f>
        <v>ОКС</v>
      </c>
      <c r="D1544" s="6" t="str">
        <f>IFERROR(__xludf.DUMMYFUNCTION("""COMPUTED_VALUE"""),"да")</f>
        <v>да</v>
      </c>
      <c r="E1544" s="14" t="str">
        <f>IFERROR(__xludf.DUMMYFUNCTION("""COMPUTED_VALUE"""),"Спортивный комплекс Минская ул., з/у 2А ")</f>
        <v>Спортивный комплекс Минская ул., з/у 2А </v>
      </c>
      <c r="F1544" s="25" t="str">
        <f>IFERROR(__xludf.DUMMYFUNCTION("""COMPUTED_VALUE"""),"#N/A")</f>
        <v>#N/A</v>
      </c>
      <c r="G1544" s="6" t="str">
        <f>IFERROR(__xludf.DUMMYFUNCTION("""COMPUTED_VALUE"""),"#N/A")</f>
        <v>#N/A</v>
      </c>
      <c r="H1544" s="6"/>
      <c r="I1544" s="19"/>
      <c r="J1544" s="50"/>
      <c r="K1544" s="58"/>
      <c r="L1544" s="6" t="s">
        <v>655</v>
      </c>
      <c r="M1544" s="52" t="s">
        <v>655</v>
      </c>
      <c r="N1544" s="53" t="s">
        <v>655</v>
      </c>
      <c r="O1544" s="19"/>
      <c r="P1544" s="6"/>
      <c r="Q1544" s="6"/>
      <c r="R1544" s="6"/>
    </row>
    <row r="1545">
      <c r="A1545" s="31"/>
      <c r="B1545" s="14"/>
      <c r="C1545" s="14" t="str">
        <f>IFERROR(__xludf.DUMMYFUNCTION("""COMPUTED_VALUE"""),"ОКС")</f>
        <v>ОКС</v>
      </c>
      <c r="D1545" s="6" t="str">
        <f>IFERROR(__xludf.DUMMYFUNCTION("""COMPUTED_VALUE"""),"да")</f>
        <v>да</v>
      </c>
      <c r="E1545" s="14" t="str">
        <f>IFERROR(__xludf.DUMMYFUNCTION("""COMPUTED_VALUE"""),"«Многофункциональный жилой комплекс «ЛУЧИ-2», расположенного по адресу: г. Москва, ЗАО, ул. Производственная, вл.15, вл. 21, вл. 25, вл. 17А, вл. 21Б, вл. 23 ")</f>
        <v>«Многофункциональный жилой комплекс «ЛУЧИ-2», расположенного по адресу: г. Москва, ЗАО, ул. Производственная, вл.15, вл. 21, вл. 25, вл. 17А, вл. 21Б, вл. 23 </v>
      </c>
      <c r="F1545" s="25" t="str">
        <f>IFERROR(__xludf.DUMMYFUNCTION("""COMPUTED_VALUE"""),"#N/A")</f>
        <v>#N/A</v>
      </c>
      <c r="G1545" s="6" t="str">
        <f>IFERROR(__xludf.DUMMYFUNCTION("""COMPUTED_VALUE"""),"#N/A")</f>
        <v>#N/A</v>
      </c>
      <c r="H1545" s="6"/>
      <c r="I1545" s="19"/>
      <c r="J1545" s="50"/>
      <c r="K1545" s="58"/>
      <c r="L1545" s="6" t="s">
        <v>655</v>
      </c>
      <c r="M1545" s="52" t="s">
        <v>655</v>
      </c>
      <c r="N1545" s="53" t="s">
        <v>655</v>
      </c>
      <c r="O1545" s="19"/>
      <c r="P1545" s="6"/>
      <c r="Q1545" s="6"/>
      <c r="R1545" s="6"/>
    </row>
    <row r="1546">
      <c r="A1546" s="31"/>
      <c r="B1546" s="14"/>
      <c r="C1546" s="14" t="str">
        <f>IFERROR(__xludf.DUMMYFUNCTION("""COMPUTED_VALUE"""),"ОКС")</f>
        <v>ОКС</v>
      </c>
      <c r="D1546" s="6" t="str">
        <f>IFERROR(__xludf.DUMMYFUNCTION("""COMPUTED_VALUE"""),"да")</f>
        <v>да</v>
      </c>
      <c r="E1546" s="14" t="str">
        <f>IFERROR(__xludf.DUMMYFUNCTION("""COMPUTED_VALUE"""),"г. Москва, р-н Дорогомилово, Кутузовский пр-т, вл. 12/3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наследия"&amp;" на территории Бадаевского пивоваренного завода. Этапы 2 и 4. Этап 2. ")</f>
        <v>г. Москва, р-н Дорогомилово, Кутузовский пр-т, вл. 12/3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2 и 4. Этап 2. </v>
      </c>
      <c r="F1546" s="25" t="str">
        <f>IFERROR(__xludf.DUMMYFUNCTION("""COMPUTED_VALUE"""),"#N/A")</f>
        <v>#N/A</v>
      </c>
      <c r="G1546" s="6" t="str">
        <f>IFERROR(__xludf.DUMMYFUNCTION("""COMPUTED_VALUE"""),"#N/A")</f>
        <v>#N/A</v>
      </c>
      <c r="H1546" s="6"/>
      <c r="I1546" s="19"/>
      <c r="J1546" s="50"/>
      <c r="K1546" s="58"/>
      <c r="L1546" s="6" t="s">
        <v>655</v>
      </c>
      <c r="M1546" s="52" t="s">
        <v>655</v>
      </c>
      <c r="N1546" s="53" t="s">
        <v>655</v>
      </c>
      <c r="O1546" s="19"/>
      <c r="P1546" s="6"/>
      <c r="Q1546" s="6"/>
      <c r="R1546" s="6"/>
    </row>
    <row r="1547">
      <c r="A1547" s="31"/>
      <c r="B1547" s="14"/>
      <c r="C1547" s="14" t="str">
        <f>IFERROR(__xludf.DUMMYFUNCTION("""COMPUTED_VALUE"""),"ОКС")</f>
        <v>ОКС</v>
      </c>
      <c r="D1547" s="6" t="str">
        <f>IFERROR(__xludf.DUMMYFUNCTION("""COMPUTED_VALUE"""),"да")</f>
        <v>да</v>
      </c>
      <c r="E1547" s="14" t="str">
        <f>IFERROR(__xludf.DUMMYFUNCTION("""COMPUTED_VALUE"""),"г. Москва, р-н Дорогомилово, Кутузовский пр-т, вл. 12/5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наследия"&amp;" на территории Бадаевского пивоваренного завода. Этапы 2 и 4. Этап 4. ")</f>
        <v>г. Москва, р-н Дорогомилово, Кутузовский пр-т, вл. 12/5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2 и 4. Этап 4. </v>
      </c>
      <c r="F1547" s="25" t="str">
        <f>IFERROR(__xludf.DUMMYFUNCTION("""COMPUTED_VALUE"""),"#N/A")</f>
        <v>#N/A</v>
      </c>
      <c r="G1547" s="6" t="str">
        <f>IFERROR(__xludf.DUMMYFUNCTION("""COMPUTED_VALUE"""),"#N/A")</f>
        <v>#N/A</v>
      </c>
      <c r="H1547" s="6"/>
      <c r="I1547" s="19"/>
      <c r="J1547" s="50"/>
      <c r="K1547" s="58"/>
      <c r="L1547" s="6" t="s">
        <v>655</v>
      </c>
      <c r="M1547" s="52" t="s">
        <v>655</v>
      </c>
      <c r="N1547" s="53" t="s">
        <v>655</v>
      </c>
      <c r="O1547" s="19"/>
      <c r="P1547" s="6"/>
      <c r="Q1547" s="6"/>
      <c r="R1547" s="6"/>
    </row>
    <row r="1548">
      <c r="A1548" s="31"/>
      <c r="B1548" s="14"/>
      <c r="C1548" s="14" t="str">
        <f>IFERROR(__xludf.DUMMYFUNCTION("""COMPUTED_VALUE"""),"ОКС")</f>
        <v>ОКС</v>
      </c>
      <c r="D1548" s="6" t="str">
        <f>IFERROR(__xludf.DUMMYFUNCTION("""COMPUTED_VALUE"""),"да")</f>
        <v>да</v>
      </c>
      <c r="E1548" s="14" t="str">
        <f>IFERROR(__xludf.DUMMYFUNCTION("""COMPUTED_VALUE"""),"""«Многофункциональная комплексная жилая 
 застройка» по адресу: г. Москва, ЗАО, район Раменки, между ул. Лобачевского и 
 платформой «Матвеевское», 3-я очередь, квартал 10, корпус 3»"" ")</f>
        <v>"«Многофункциональная комплексная жилая 
 застройка» по адресу: г. Москва, ЗАО, район Раменки, между ул. Лобачевского и 
 платформой «Матвеевское», 3-я очередь, квартал 10, корпус 3»" </v>
      </c>
      <c r="F1548" s="25" t="str">
        <f>IFERROR(__xludf.DUMMYFUNCTION("""COMPUTED_VALUE"""),"#N/A")</f>
        <v>#N/A</v>
      </c>
      <c r="G1548" s="6" t="str">
        <f>IFERROR(__xludf.DUMMYFUNCTION("""COMPUTED_VALUE"""),"#N/A")</f>
        <v>#N/A</v>
      </c>
      <c r="H1548" s="6"/>
      <c r="I1548" s="19"/>
      <c r="J1548" s="50"/>
      <c r="K1548" s="58"/>
      <c r="L1548" s="6" t="s">
        <v>655</v>
      </c>
      <c r="M1548" s="52" t="s">
        <v>655</v>
      </c>
      <c r="N1548" s="53" t="s">
        <v>655</v>
      </c>
      <c r="O1548" s="19"/>
      <c r="P1548" s="6"/>
      <c r="Q1548" s="6"/>
      <c r="R1548" s="6"/>
    </row>
    <row r="1549">
      <c r="A1549" s="31"/>
      <c r="B1549" s="14"/>
      <c r="C1549" s="14" t="str">
        <f>IFERROR(__xludf.DUMMYFUNCTION("""COMPUTED_VALUE"""),"ОКС")</f>
        <v>ОКС</v>
      </c>
      <c r="D1549" s="6" t="str">
        <f>IFERROR(__xludf.DUMMYFUNCTION("""COMPUTED_VALUE"""),"да")</f>
        <v>да</v>
      </c>
      <c r="E1549" s="14" t="str">
        <f>IFERROR(__xludf.DUMMYFUNCTION("""COMPUTED_VALUE"""),"Кутузовский просп. вл. 12/2, 12/6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Бадаевс"&amp;"кого пивоваренного завода», Этапы 1 и 3 (1 этап строительства. Новое строительство. Западный жилой корпус) ")</f>
        <v>Кутузовский просп. вл. 12/2, 12/6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1 и 3 (1 этап строительства. Новое строительство. Западный жилой корпус) </v>
      </c>
      <c r="F1549" s="25" t="str">
        <f>IFERROR(__xludf.DUMMYFUNCTION("""COMPUTED_VALUE"""),"#N/A")</f>
        <v>#N/A</v>
      </c>
      <c r="G1549" s="6" t="str">
        <f>IFERROR(__xludf.DUMMYFUNCTION("""COMPUTED_VALUE"""),"#N/A")</f>
        <v>#N/A</v>
      </c>
      <c r="H1549" s="6"/>
      <c r="I1549" s="19"/>
      <c r="J1549" s="50"/>
      <c r="K1549" s="58"/>
      <c r="L1549" s="6" t="s">
        <v>655</v>
      </c>
      <c r="M1549" s="52" t="s">
        <v>655</v>
      </c>
      <c r="N1549" s="53" t="s">
        <v>655</v>
      </c>
      <c r="O1549" s="19"/>
      <c r="P1549" s="6"/>
      <c r="Q1549" s="6"/>
      <c r="R1549" s="6"/>
    </row>
    <row r="1550">
      <c r="A1550" s="31"/>
      <c r="B1550" s="14"/>
      <c r="C1550" s="14" t="str">
        <f>IFERROR(__xludf.DUMMYFUNCTION("""COMPUTED_VALUE"""),"ОКС")</f>
        <v>ОКС</v>
      </c>
      <c r="D1550" s="6" t="str">
        <f>IFERROR(__xludf.DUMMYFUNCTION("""COMPUTED_VALUE"""),"да")</f>
        <v>да</v>
      </c>
      <c r="E1550" s="14" t="str">
        <f>IFERROR(__xludf.DUMMYFUNCTION("""COMPUTED_VALUE"""),"Кутузовский просп. вл. 12/2, 12/6 Многофункциональный жилой комплекс с подземной автостоянкой, апартаментами и встроенно-пристроенными нежилыми помещениями, с фрагментарной реставрацией и приспособлением объектов культурного наследия на территории Бадаевс"&amp;"кого пивоваренного завода, этап: Этап 3. Новое строительство. Восточный жилой корпус ")</f>
        <v>Кутузовский просп. вл. 12/2, 12/6 Многофункциональный жилой комплекс с подземной автостоянкой, апартаментами и встроенно-пристроенными нежилыми помещениями, с фрагментарной реставрацией и приспособлением объектов культурного наследия на территории Бадаевского пивоваренного завода, этап: Этап 3. Новое строительство. Восточный жилой корпус </v>
      </c>
      <c r="F1550" s="25" t="str">
        <f>IFERROR(__xludf.DUMMYFUNCTION("""COMPUTED_VALUE"""),"#N/A")</f>
        <v>#N/A</v>
      </c>
      <c r="G1550" s="6" t="str">
        <f>IFERROR(__xludf.DUMMYFUNCTION("""COMPUTED_VALUE"""),"#N/A")</f>
        <v>#N/A</v>
      </c>
      <c r="H1550" s="6"/>
      <c r="I1550" s="19"/>
      <c r="J1550" s="50"/>
      <c r="K1550" s="58"/>
      <c r="L1550" s="6" t="s">
        <v>655</v>
      </c>
      <c r="M1550" s="52" t="s">
        <v>655</v>
      </c>
      <c r="N1550" s="53" t="s">
        <v>655</v>
      </c>
      <c r="O1550" s="19"/>
      <c r="P1550" s="6"/>
      <c r="Q1550" s="6"/>
      <c r="R1550" s="6"/>
    </row>
    <row r="1551">
      <c r="A1551" s="31"/>
      <c r="B1551" s="14"/>
      <c r="C1551" s="14" t="str">
        <f>IFERROR(__xludf.DUMMYFUNCTION("""COMPUTED_VALUE"""),"ОКС")</f>
        <v>ОКС</v>
      </c>
      <c r="D1551" s="6" t="str">
        <f>IFERROR(__xludf.DUMMYFUNCTION("""COMPUTED_VALUE"""),"да")</f>
        <v>да</v>
      </c>
      <c r="E1551" s="14" t="str">
        <f>IFERROR(__xludf.DUMMYFUNCTION("""COMPUTED_VALUE"""),"Жилой комплекс премиум-класса, планируемый к строительству на земельном участке с кадастровым номером 77:07:0007001:8458 Кутузовский просп. вл. 12 (ЗАО, Дорогомилово) ")</f>
        <v>Жилой комплекс премиум-класса, планируемый к строительству на земельном участке с кадастровым номером 77:07:0007001:8458 Кутузовский просп. вл. 12 (ЗАО, Дорогомилово) </v>
      </c>
      <c r="F1551" s="25" t="str">
        <f>IFERROR(__xludf.DUMMYFUNCTION("""COMPUTED_VALUE"""),"#N/A")</f>
        <v>#N/A</v>
      </c>
      <c r="G1551" s="6" t="str">
        <f>IFERROR(__xludf.DUMMYFUNCTION("""COMPUTED_VALUE"""),"#N/A")</f>
        <v>#N/A</v>
      </c>
      <c r="H1551" s="6"/>
      <c r="I1551" s="19"/>
      <c r="J1551" s="50"/>
      <c r="K1551" s="58"/>
      <c r="L1551" s="6" t="s">
        <v>655</v>
      </c>
      <c r="M1551" s="52" t="s">
        <v>655</v>
      </c>
      <c r="N1551" s="53" t="s">
        <v>655</v>
      </c>
      <c r="O1551" s="19"/>
      <c r="P1551" s="6"/>
      <c r="Q1551" s="6"/>
      <c r="R1551" s="6"/>
    </row>
    <row r="1552">
      <c r="A1552" s="31"/>
      <c r="B1552" s="14"/>
      <c r="C1552" s="14" t="str">
        <f>IFERROR(__xludf.DUMMYFUNCTION("""COMPUTED_VALUE"""),"ОКС")</f>
        <v>ОКС</v>
      </c>
      <c r="D1552" s="6" t="str">
        <f>IFERROR(__xludf.DUMMYFUNCTION("""COMPUTED_VALUE"""),"да")</f>
        <v>да</v>
      </c>
      <c r="E1552" s="14" t="str">
        <f>IFERROR(__xludf.DUMMYFUNCTION("""COMPUTED_VALUE"""),"Офисно-деловое здание со встроенной подземной автостоянкой у д. Захарково, квартал А24 ")</f>
        <v>Офисно-деловое здание со встроенной подземной автостоянкой у д. Захарково, квартал А24 </v>
      </c>
      <c r="F1552" s="25" t="str">
        <f>IFERROR(__xludf.DUMMYFUNCTION("""COMPUTED_VALUE"""),"#N/A")</f>
        <v>#N/A</v>
      </c>
      <c r="G1552" s="6" t="str">
        <f>IFERROR(__xludf.DUMMYFUNCTION("""COMPUTED_VALUE"""),"#N/A")</f>
        <v>#N/A</v>
      </c>
      <c r="H1552" s="6"/>
      <c r="I1552" s="19"/>
      <c r="J1552" s="50"/>
      <c r="K1552" s="58"/>
      <c r="L1552" s="6" t="s">
        <v>655</v>
      </c>
      <c r="M1552" s="52" t="s">
        <v>655</v>
      </c>
      <c r="N1552" s="53" t="s">
        <v>655</v>
      </c>
      <c r="O1552" s="19"/>
      <c r="P1552" s="6"/>
      <c r="Q1552" s="6"/>
      <c r="R1552" s="6"/>
    </row>
    <row r="1553">
      <c r="A1553" s="31"/>
      <c r="B1553" s="14"/>
      <c r="C1553" s="14" t="str">
        <f>IFERROR(__xludf.DUMMYFUNCTION("""COMPUTED_VALUE"""),"ОКС")</f>
        <v>ОКС</v>
      </c>
      <c r="D1553" s="6" t="str">
        <f>IFERROR(__xludf.DUMMYFUNCTION("""COMPUTED_VALUE"""),"да")</f>
        <v>да</v>
      </c>
      <c r="E1553" s="14" t="str">
        <f>IFERROR(__xludf.DUMMYFUNCTION("""COMPUTED_VALUE"""),"Дошкольная общеобразовательная организация на 350 мест, квартал В13 г. Москва, ЗАО, Кунцево, квартал 120, земельный участок 99 ")</f>
        <v>Дошкольная общеобразовательная организация на 350 мест, квартал В13 г. Москва, ЗАО, Кунцево, квартал 120, земельный участок 99 </v>
      </c>
      <c r="F1553" s="25" t="str">
        <f>IFERROR(__xludf.DUMMYFUNCTION("""COMPUTED_VALUE"""),"#N/A")</f>
        <v>#N/A</v>
      </c>
      <c r="G1553" s="6" t="str">
        <f>IFERROR(__xludf.DUMMYFUNCTION("""COMPUTED_VALUE"""),"#N/A")</f>
        <v>#N/A</v>
      </c>
      <c r="H1553" s="6"/>
      <c r="I1553" s="19"/>
      <c r="J1553" s="50"/>
      <c r="K1553" s="58"/>
      <c r="L1553" s="6" t="s">
        <v>655</v>
      </c>
      <c r="M1553" s="52" t="s">
        <v>655</v>
      </c>
      <c r="N1553" s="53" t="s">
        <v>655</v>
      </c>
      <c r="O1553" s="19"/>
      <c r="P1553" s="6"/>
      <c r="Q1553" s="6"/>
      <c r="R1553" s="6"/>
    </row>
    <row r="1554">
      <c r="A1554" s="31"/>
      <c r="B1554" s="14"/>
      <c r="C1554" s="14" t="str">
        <f>IFERROR(__xludf.DUMMYFUNCTION("""COMPUTED_VALUE"""),"ОКС")</f>
        <v>ОКС</v>
      </c>
      <c r="D1554" s="6" t="str">
        <f>IFERROR(__xludf.DUMMYFUNCTION("""COMPUTED_VALUE"""),"да")</f>
        <v>да</v>
      </c>
      <c r="E1554" s="14" t="str">
        <f>IFERROR(__xludf.DUMMYFUNCTION("""COMPUTED_VALUE"""),"Офисно-деловое здание со встроенной подземной автостоянкой город Москва, внутригородское муниципальное образование Кунцево, у д. Захарково(ЗАО, район Кунцево) ")</f>
        <v>Офисно-деловое здание со встроенной подземной автостоянкой город Москва, внутригородское муниципальное образование Кунцево, у д. Захарково(ЗАО, район Кунцево) </v>
      </c>
      <c r="F1554" s="25" t="str">
        <f>IFERROR(__xludf.DUMMYFUNCTION("""COMPUTED_VALUE"""),"#N/A")</f>
        <v>#N/A</v>
      </c>
      <c r="G1554" s="6" t="str">
        <f>IFERROR(__xludf.DUMMYFUNCTION("""COMPUTED_VALUE"""),"#N/A")</f>
        <v>#N/A</v>
      </c>
      <c r="H1554" s="6"/>
      <c r="I1554" s="19"/>
      <c r="J1554" s="50"/>
      <c r="K1554" s="58"/>
      <c r="L1554" s="6" t="s">
        <v>655</v>
      </c>
      <c r="M1554" s="52" t="s">
        <v>655</v>
      </c>
      <c r="N1554" s="53" t="s">
        <v>655</v>
      </c>
      <c r="O1554" s="19"/>
      <c r="P1554" s="6"/>
      <c r="Q1554" s="6"/>
      <c r="R1554" s="6"/>
    </row>
    <row r="1555">
      <c r="A1555" s="31"/>
      <c r="B1555" s="14"/>
      <c r="C1555" s="14" t="str">
        <f>IFERROR(__xludf.DUMMYFUNCTION("""COMPUTED_VALUE"""),"ОКС")</f>
        <v>ОКС</v>
      </c>
      <c r="D1555" s="6" t="str">
        <f>IFERROR(__xludf.DUMMYFUNCTION("""COMPUTED_VALUE"""),"да")</f>
        <v>да</v>
      </c>
      <c r="E1555" s="14" t="str">
        <f>IFERROR(__xludf.DUMMYFUNCTION("""COMPUTED_VALUE"""),"Жилой комплекс с подземной автостоянкой, квартал В14. Корпус 1, 2, 3, 4, 5 г. Москва, ЗАО, Кунцево, у д. Захарково ")</f>
        <v>Жилой комплекс с подземной автостоянкой, квартал В14. Корпус 1, 2, 3, 4, 5 г. Москва, ЗАО, Кунцево, у д. Захарково </v>
      </c>
      <c r="F1555" s="25" t="str">
        <f>IFERROR(__xludf.DUMMYFUNCTION("""COMPUTED_VALUE"""),"#N/A")</f>
        <v>#N/A</v>
      </c>
      <c r="G1555" s="6" t="str">
        <f>IFERROR(__xludf.DUMMYFUNCTION("""COMPUTED_VALUE"""),"#N/A")</f>
        <v>#N/A</v>
      </c>
      <c r="H1555" s="6"/>
      <c r="I1555" s="19"/>
      <c r="J1555" s="50"/>
      <c r="K1555" s="58"/>
      <c r="L1555" s="6" t="s">
        <v>655</v>
      </c>
      <c r="M1555" s="52" t="s">
        <v>655</v>
      </c>
      <c r="N1555" s="53" t="s">
        <v>655</v>
      </c>
      <c r="O1555" s="19"/>
      <c r="P1555" s="6"/>
      <c r="Q1555" s="6"/>
      <c r="R1555" s="6"/>
    </row>
    <row r="1556">
      <c r="A1556" s="31"/>
      <c r="B1556" s="14"/>
      <c r="C1556" s="14" t="str">
        <f>IFERROR(__xludf.DUMMYFUNCTION("""COMPUTED_VALUE"""),"ОКС")</f>
        <v>ОКС</v>
      </c>
      <c r="D1556" s="6" t="str">
        <f>IFERROR(__xludf.DUMMYFUNCTION("""COMPUTED_VALUE"""),"да")</f>
        <v>да</v>
      </c>
      <c r="E1556" s="14" t="str">
        <f>IFERROR(__xludf.DUMMYFUNCTION("""COMPUTED_VALUE"""),"Офисно-деловое здание со встроенной подземной автостоянкой, квартал А22 г. Москва, ЗАО, Кунцево, у д. Захарково ")</f>
        <v>Офисно-деловое здание со встроенной подземной автостоянкой, квартал А22 г. Москва, ЗАО, Кунцево, у д. Захарково </v>
      </c>
      <c r="F1556" s="25" t="str">
        <f>IFERROR(__xludf.DUMMYFUNCTION("""COMPUTED_VALUE"""),"#N/A")</f>
        <v>#N/A</v>
      </c>
      <c r="G1556" s="6" t="str">
        <f>IFERROR(__xludf.DUMMYFUNCTION("""COMPUTED_VALUE"""),"#N/A")</f>
        <v>#N/A</v>
      </c>
      <c r="H1556" s="6"/>
      <c r="I1556" s="19"/>
      <c r="J1556" s="50"/>
      <c r="K1556" s="58"/>
      <c r="L1556" s="6" t="s">
        <v>655</v>
      </c>
      <c r="M1556" s="52" t="s">
        <v>655</v>
      </c>
      <c r="N1556" s="53" t="s">
        <v>655</v>
      </c>
      <c r="O1556" s="19"/>
      <c r="P1556" s="6"/>
      <c r="Q1556" s="6"/>
      <c r="R1556" s="6"/>
    </row>
    <row r="1557">
      <c r="A1557" s="31"/>
      <c r="B1557" s="14"/>
      <c r="C1557" s="14" t="str">
        <f>IFERROR(__xludf.DUMMYFUNCTION("""COMPUTED_VALUE"""),"ОКС")</f>
        <v>ОКС</v>
      </c>
      <c r="D1557" s="6" t="str">
        <f>IFERROR(__xludf.DUMMYFUNCTION("""COMPUTED_VALUE"""),"да")</f>
        <v>да</v>
      </c>
      <c r="E1557" s="14" t="str">
        <f>IFERROR(__xludf.DUMMYFUNCTION("""COMPUTED_VALUE"""),"Жилой комплекс с подземной автостоянкой, квартал В14. Корпус 1, 2, 3, 4, 5 г. Москва, ЗАО, Кунцево, у д. Захарково ")</f>
        <v>Жилой комплекс с подземной автостоянкой, квартал В14. Корпус 1, 2, 3, 4, 5 г. Москва, ЗАО, Кунцево, у д. Захарково </v>
      </c>
      <c r="F1557" s="25" t="str">
        <f>IFERROR(__xludf.DUMMYFUNCTION("""COMPUTED_VALUE"""),"#N/A")</f>
        <v>#N/A</v>
      </c>
      <c r="G1557" s="6" t="str">
        <f>IFERROR(__xludf.DUMMYFUNCTION("""COMPUTED_VALUE"""),"#N/A")</f>
        <v>#N/A</v>
      </c>
      <c r="H1557" s="6"/>
      <c r="I1557" s="19"/>
      <c r="J1557" s="50"/>
      <c r="K1557" s="58"/>
      <c r="L1557" s="6" t="s">
        <v>655</v>
      </c>
      <c r="M1557" s="52" t="s">
        <v>655</v>
      </c>
      <c r="N1557" s="53" t="s">
        <v>655</v>
      </c>
      <c r="O1557" s="19"/>
      <c r="P1557" s="6"/>
      <c r="Q1557" s="6"/>
      <c r="R1557" s="6"/>
    </row>
    <row r="1558">
      <c r="A1558" s="31"/>
      <c r="B1558" s="14"/>
      <c r="C1558" s="14" t="str">
        <f>IFERROR(__xludf.DUMMYFUNCTION("""COMPUTED_VALUE"""),"ОКС")</f>
        <v>ОКС</v>
      </c>
      <c r="D1558" s="6" t="str">
        <f>IFERROR(__xludf.DUMMYFUNCTION("""COMPUTED_VALUE"""),"да")</f>
        <v>да</v>
      </c>
      <c r="E1558" s="14" t="str">
        <f>IFERROR(__xludf.DUMMYFUNCTION("""COMPUTED_VALUE"""),"Многофункциональный центр,ул.Мусы Джалиля, вл.23/56 ")</f>
        <v>Многофункциональный центр,ул.Мусы Джалиля, вл.23/56 </v>
      </c>
      <c r="F1558" s="25" t="str">
        <f>IFERROR(__xludf.DUMMYFUNCTION("""COMPUTED_VALUE"""),"#N/A")</f>
        <v>#N/A</v>
      </c>
      <c r="G1558" s="6" t="str">
        <f>IFERROR(__xludf.DUMMYFUNCTION("""COMPUTED_VALUE"""),"#N/A")</f>
        <v>#N/A</v>
      </c>
      <c r="H1558" s="6"/>
      <c r="I1558" s="19"/>
      <c r="J1558" s="50"/>
      <c r="K1558" s="58"/>
      <c r="L1558" s="6" t="s">
        <v>655</v>
      </c>
      <c r="M1558" s="52" t="s">
        <v>655</v>
      </c>
      <c r="N1558" s="53" t="s">
        <v>655</v>
      </c>
      <c r="O1558" s="19"/>
      <c r="P1558" s="6"/>
      <c r="Q1558" s="6"/>
      <c r="R1558" s="6"/>
    </row>
    <row r="1559">
      <c r="A1559" s="31"/>
      <c r="B1559" s="14"/>
      <c r="C1559" s="14" t="str">
        <f>IFERROR(__xludf.DUMMYFUNCTION("""COMPUTED_VALUE"""),"ОКС")</f>
        <v>ОКС</v>
      </c>
      <c r="D1559" s="6" t="str">
        <f>IFERROR(__xludf.DUMMYFUNCTION("""COMPUTED_VALUE"""),"да")</f>
        <v>да</v>
      </c>
      <c r="E1559" s="14" t="str">
        <f>IFERROR(__xludf.DUMMYFUNCTION("""COMPUTED_VALUE"""),"Бибиревский рынок,ул. Пришвина, вл. 22 ")</f>
        <v>Бибиревский рынок,ул. Пришвина, вл. 22 </v>
      </c>
      <c r="F1559" s="25" t="str">
        <f>IFERROR(__xludf.DUMMYFUNCTION("""COMPUTED_VALUE"""),"#N/A")</f>
        <v>#N/A</v>
      </c>
      <c r="G1559" s="6" t="str">
        <f>IFERROR(__xludf.DUMMYFUNCTION("""COMPUTED_VALUE"""),"#N/A")</f>
        <v>#N/A</v>
      </c>
      <c r="H1559" s="6"/>
      <c r="I1559" s="19"/>
      <c r="J1559" s="50"/>
      <c r="K1559" s="58"/>
      <c r="L1559" s="6" t="s">
        <v>655</v>
      </c>
      <c r="M1559" s="52" t="s">
        <v>655</v>
      </c>
      <c r="N1559" s="53" t="s">
        <v>655</v>
      </c>
      <c r="O1559" s="19"/>
      <c r="P1559" s="6"/>
      <c r="Q1559" s="6"/>
      <c r="R1559" s="6"/>
    </row>
    <row r="1560">
      <c r="A1560" s="31"/>
      <c r="B1560" s="14"/>
      <c r="C1560" s="14" t="str">
        <f>IFERROR(__xludf.DUMMYFUNCTION("""COMPUTED_VALUE"""),"ОКС")</f>
        <v>ОКС</v>
      </c>
      <c r="D1560" s="6" t="str">
        <f>IFERROR(__xludf.DUMMYFUNCTION("""COMPUTED_VALUE"""),"да")</f>
        <v>да</v>
      </c>
      <c r="E1560" s="14" t="str">
        <f>IFERROR(__xludf.DUMMYFUNCTION("""COMPUTED_VALUE"""),"Нежилое,17-й проезд Марьиной Рощи, влд. 9 ")</f>
        <v>Нежилое,17-й проезд Марьиной Рощи, влд. 9 </v>
      </c>
      <c r="F1560" s="25" t="str">
        <f>IFERROR(__xludf.DUMMYFUNCTION("""COMPUTED_VALUE"""),"#N/A")</f>
        <v>#N/A</v>
      </c>
      <c r="G1560" s="6" t="str">
        <f>IFERROR(__xludf.DUMMYFUNCTION("""COMPUTED_VALUE"""),"#N/A")</f>
        <v>#N/A</v>
      </c>
      <c r="H1560" s="6"/>
      <c r="I1560" s="19"/>
      <c r="J1560" s="50"/>
      <c r="K1560" s="58"/>
      <c r="L1560" s="6" t="s">
        <v>655</v>
      </c>
      <c r="M1560" s="52" t="s">
        <v>655</v>
      </c>
      <c r="N1560" s="53" t="s">
        <v>655</v>
      </c>
      <c r="O1560" s="19"/>
      <c r="P1560" s="6"/>
      <c r="Q1560" s="6"/>
      <c r="R1560" s="6"/>
    </row>
    <row r="1561">
      <c r="A1561" s="31"/>
      <c r="B1561" s="14"/>
      <c r="C1561" s="14" t="str">
        <f>IFERROR(__xludf.DUMMYFUNCTION("""COMPUTED_VALUE"""),"ОКС")</f>
        <v>ОКС</v>
      </c>
      <c r="D1561" s="6" t="str">
        <f>IFERROR(__xludf.DUMMYFUNCTION("""COMPUTED_VALUE"""),"да")</f>
        <v>да</v>
      </c>
      <c r="E1561" s="14" t="str">
        <f>IFERROR(__xludf.DUMMYFUNCTION("""COMPUTED_VALUE"""),"Многофункциональный центр,1-й Силикатный проезд, влд.14 ")</f>
        <v>Многофункциональный центр,1-й Силикатный проезд, влд.14 </v>
      </c>
      <c r="F1561" s="25" t="str">
        <f>IFERROR(__xludf.DUMMYFUNCTION("""COMPUTED_VALUE"""),"#N/A")</f>
        <v>#N/A</v>
      </c>
      <c r="G1561" s="6" t="str">
        <f>IFERROR(__xludf.DUMMYFUNCTION("""COMPUTED_VALUE"""),"#N/A")</f>
        <v>#N/A</v>
      </c>
      <c r="H1561" s="6"/>
      <c r="I1561" s="19"/>
      <c r="J1561" s="50"/>
      <c r="K1561" s="58"/>
      <c r="L1561" s="6" t="s">
        <v>655</v>
      </c>
      <c r="M1561" s="52" t="s">
        <v>655</v>
      </c>
      <c r="N1561" s="53" t="s">
        <v>655</v>
      </c>
      <c r="O1561" s="19"/>
      <c r="P1561" s="6"/>
      <c r="Q1561" s="6"/>
      <c r="R1561" s="6"/>
    </row>
    <row r="1562">
      <c r="A1562" s="31"/>
      <c r="B1562" s="14"/>
      <c r="C1562" s="14" t="str">
        <f>IFERROR(__xludf.DUMMYFUNCTION("""COMPUTED_VALUE"""),"ОКС")</f>
        <v>ОКС</v>
      </c>
      <c r="D1562" s="6" t="str">
        <f>IFERROR(__xludf.DUMMYFUNCTION("""COMPUTED_VALUE"""),"да")</f>
        <v>да</v>
      </c>
      <c r="E1562" s="14" t="str">
        <f>IFERROR(__xludf.DUMMYFUNCTION("""COMPUTED_VALUE"""),"Жилой дом,ул. Демьяна Бедного, влд.24, земельный участок 24А ")</f>
        <v>Жилой дом,ул. Демьяна Бедного, влд.24, земельный участок 24А </v>
      </c>
      <c r="F1562" s="25" t="str">
        <f>IFERROR(__xludf.DUMMYFUNCTION("""COMPUTED_VALUE"""),"#N/A")</f>
        <v>#N/A</v>
      </c>
      <c r="G1562" s="6" t="str">
        <f>IFERROR(__xludf.DUMMYFUNCTION("""COMPUTED_VALUE"""),"#N/A")</f>
        <v>#N/A</v>
      </c>
      <c r="H1562" s="6"/>
      <c r="I1562" s="19"/>
      <c r="J1562" s="50"/>
      <c r="K1562" s="58"/>
      <c r="L1562" s="6" t="s">
        <v>655</v>
      </c>
      <c r="M1562" s="52" t="s">
        <v>655</v>
      </c>
      <c r="N1562" s="53" t="s">
        <v>655</v>
      </c>
      <c r="O1562" s="19"/>
      <c r="P1562" s="6"/>
      <c r="Q1562" s="6"/>
      <c r="R1562" s="6"/>
    </row>
    <row r="1563">
      <c r="A1563" s="31"/>
      <c r="B1563" s="14"/>
      <c r="C1563" s="14" t="str">
        <f>IFERROR(__xludf.DUMMYFUNCTION("""COMPUTED_VALUE"""),"ОКС")</f>
        <v>ОКС</v>
      </c>
      <c r="D1563" s="6" t="str">
        <f>IFERROR(__xludf.DUMMYFUNCTION("""COMPUTED_VALUE"""),"да")</f>
        <v>да</v>
      </c>
      <c r="E1563" s="14" t="str">
        <f>IFERROR(__xludf.DUMMYFUNCTION("""COMPUTED_VALUE"""),"Центр объединения горских евреев,1-я Сокольническая ул., земельный участок 8 ")</f>
        <v>Центр объединения горских евреев,1-я Сокольническая ул., земельный участок 8 </v>
      </c>
      <c r="F1563" s="25" t="str">
        <f>IFERROR(__xludf.DUMMYFUNCTION("""COMPUTED_VALUE"""),"#N/A")</f>
        <v>#N/A</v>
      </c>
      <c r="G1563" s="6" t="str">
        <f>IFERROR(__xludf.DUMMYFUNCTION("""COMPUTED_VALUE"""),"#N/A")</f>
        <v>#N/A</v>
      </c>
      <c r="H1563" s="6"/>
      <c r="I1563" s="19"/>
      <c r="J1563" s="50"/>
      <c r="K1563" s="58"/>
      <c r="L1563" s="6" t="s">
        <v>655</v>
      </c>
      <c r="M1563" s="52" t="s">
        <v>655</v>
      </c>
      <c r="N1563" s="53" t="s">
        <v>655</v>
      </c>
      <c r="O1563" s="19"/>
      <c r="P1563" s="6"/>
      <c r="Q1563" s="6"/>
      <c r="R1563" s="6"/>
    </row>
    <row r="1564">
      <c r="A1564" s="31"/>
      <c r="B1564" s="14"/>
      <c r="C1564" s="14" t="str">
        <f>IFERROR(__xludf.DUMMYFUNCTION("""COMPUTED_VALUE"""),"ОКС")</f>
        <v>ОКС</v>
      </c>
      <c r="D1564" s="6" t="str">
        <f>IFERROR(__xludf.DUMMYFUNCTION("""COMPUTED_VALUE"""),"да")</f>
        <v>да</v>
      </c>
      <c r="E1564" s="14" t="str">
        <f>IFERROR(__xludf.DUMMYFUNCTION("""COMPUTED_VALUE"""),"Бизнес-центр,2-й Силикатный проезд, влд.13 ")</f>
        <v>Бизнес-центр,2-й Силикатный проезд, влд.13 </v>
      </c>
      <c r="F1564" s="25" t="str">
        <f>IFERROR(__xludf.DUMMYFUNCTION("""COMPUTED_VALUE"""),"#N/A")</f>
        <v>#N/A</v>
      </c>
      <c r="G1564" s="6" t="str">
        <f>IFERROR(__xludf.DUMMYFUNCTION("""COMPUTED_VALUE"""),"#N/A")</f>
        <v>#N/A</v>
      </c>
      <c r="H1564" s="6"/>
      <c r="I1564" s="19"/>
      <c r="J1564" s="50"/>
      <c r="K1564" s="58"/>
      <c r="L1564" s="6" t="s">
        <v>655</v>
      </c>
      <c r="M1564" s="52" t="s">
        <v>655</v>
      </c>
      <c r="N1564" s="53" t="s">
        <v>655</v>
      </c>
      <c r="O1564" s="19"/>
      <c r="P1564" s="6"/>
      <c r="Q1564" s="6"/>
      <c r="R1564" s="6"/>
    </row>
    <row r="1565">
      <c r="A1565" s="31"/>
      <c r="B1565" s="14"/>
      <c r="C1565" s="14" t="str">
        <f>IFERROR(__xludf.DUMMYFUNCTION("""COMPUTED_VALUE"""),"ОКС")</f>
        <v>ОКС</v>
      </c>
      <c r="D1565" s="6" t="str">
        <f>IFERROR(__xludf.DUMMYFUNCTION("""COMPUTED_VALUE"""),"да")</f>
        <v>да</v>
      </c>
      <c r="E1565" s="14" t="str">
        <f>IFERROR(__xludf.DUMMYFUNCTION("""COMPUTED_VALUE"""),"Гараж,2-я Лыковская ул., земельный участок 37 ")</f>
        <v>Гараж,2-я Лыковская ул., земельный участок 37 </v>
      </c>
      <c r="F1565" s="25" t="str">
        <f>IFERROR(__xludf.DUMMYFUNCTION("""COMPUTED_VALUE"""),"#N/A")</f>
        <v>#N/A</v>
      </c>
      <c r="G1565" s="6" t="str">
        <f>IFERROR(__xludf.DUMMYFUNCTION("""COMPUTED_VALUE"""),"#N/A")</f>
        <v>#N/A</v>
      </c>
      <c r="H1565" s="6"/>
      <c r="I1565" s="19"/>
      <c r="J1565" s="50"/>
      <c r="K1565" s="58"/>
      <c r="L1565" s="6" t="s">
        <v>655</v>
      </c>
      <c r="M1565" s="52" t="s">
        <v>655</v>
      </c>
      <c r="N1565" s="53" t="s">
        <v>655</v>
      </c>
      <c r="O1565" s="19"/>
      <c r="P1565" s="6"/>
      <c r="Q1565" s="6"/>
      <c r="R1565" s="6"/>
    </row>
    <row r="1566">
      <c r="A1566" s="31"/>
      <c r="B1566" s="14"/>
      <c r="C1566" s="14" t="str">
        <f>IFERROR(__xludf.DUMMYFUNCTION("""COMPUTED_VALUE"""),"ОКС")</f>
        <v>ОКС</v>
      </c>
      <c r="D1566" s="6"/>
      <c r="E1566" s="14" t="str">
        <f>IFERROR(__xludf.DUMMYFUNCTION("""COMPUTED_VALUE"""),"Нежилое,АДЦ ""Коммунарка"" (участок № 28) ")</f>
        <v>Нежилое,АДЦ "Коммунарка" (участок № 28) </v>
      </c>
      <c r="F1566" s="25" t="str">
        <f>IFERROR(__xludf.DUMMYFUNCTION("""COMPUTED_VALUE"""),"#N/A")</f>
        <v>#N/A</v>
      </c>
      <c r="G1566" s="6" t="str">
        <f>IFERROR(__xludf.DUMMYFUNCTION("""COMPUTED_VALUE"""),"#N/A")</f>
        <v>#N/A</v>
      </c>
      <c r="H1566" s="6"/>
      <c r="I1566" s="19"/>
      <c r="J1566" s="50"/>
      <c r="K1566" s="58"/>
      <c r="L1566" s="6" t="s">
        <v>655</v>
      </c>
      <c r="M1566" s="52" t="s">
        <v>655</v>
      </c>
      <c r="N1566" s="53" t="s">
        <v>655</v>
      </c>
      <c r="O1566" s="19"/>
      <c r="P1566" s="6"/>
      <c r="Q1566" s="6"/>
      <c r="R1566" s="6"/>
    </row>
    <row r="1567">
      <c r="A1567" s="31"/>
      <c r="B1567" s="14"/>
      <c r="C1567" s="14" t="str">
        <f>IFERROR(__xludf.DUMMYFUNCTION("""COMPUTED_VALUE"""),"ОКС")</f>
        <v>ОКС</v>
      </c>
      <c r="D1567" s="6" t="str">
        <f>IFERROR(__xludf.DUMMYFUNCTION("""COMPUTED_VALUE"""),"да")</f>
        <v>да</v>
      </c>
      <c r="E1567" s="14" t="str">
        <f>IFERROR(__xludf.DUMMYFUNCTION("""COMPUTED_VALUE"""),"Жилой дом с подземной автостоянкой,Соймоновский проезд, вл.3 ")</f>
        <v>Жилой дом с подземной автостоянкой,Соймоновский проезд, вл.3 </v>
      </c>
      <c r="F1567" s="25" t="str">
        <f>IFERROR(__xludf.DUMMYFUNCTION("""COMPUTED_VALUE"""),"#N/A")</f>
        <v>#N/A</v>
      </c>
      <c r="G1567" s="6" t="str">
        <f>IFERROR(__xludf.DUMMYFUNCTION("""COMPUTED_VALUE"""),"#N/A")</f>
        <v>#N/A</v>
      </c>
      <c r="H1567" s="6"/>
      <c r="I1567" s="19"/>
      <c r="J1567" s="50"/>
      <c r="K1567" s="58"/>
      <c r="L1567" s="6" t="s">
        <v>655</v>
      </c>
      <c r="M1567" s="52" t="s">
        <v>655</v>
      </c>
      <c r="N1567" s="53" t="s">
        <v>655</v>
      </c>
      <c r="O1567" s="19"/>
      <c r="P1567" s="6"/>
      <c r="Q1567" s="6"/>
      <c r="R1567" s="6"/>
    </row>
    <row r="1568">
      <c r="A1568" s="31"/>
      <c r="B1568" s="14"/>
      <c r="C1568" s="14" t="str">
        <f>IFERROR(__xludf.DUMMYFUNCTION("""COMPUTED_VALUE"""),"ОКС")</f>
        <v>ОКС</v>
      </c>
      <c r="D1568" s="6" t="str">
        <f>IFERROR(__xludf.DUMMYFUNCTION("""COMPUTED_VALUE"""),"да")</f>
        <v>да</v>
      </c>
      <c r="E1568" s="14" t="str">
        <f>IFERROR(__xludf.DUMMYFUNCTION("""COMPUTED_VALUE"""),"Многофункциональный комплекс,Березовая аллея ул., з/у 2А ")</f>
        <v>Многофункциональный комплекс,Березовая аллея ул., з/у 2А </v>
      </c>
      <c r="F1568" s="25" t="str">
        <f>IFERROR(__xludf.DUMMYFUNCTION("""COMPUTED_VALUE"""),"#N/A")</f>
        <v>#N/A</v>
      </c>
      <c r="G1568" s="6" t="str">
        <f>IFERROR(__xludf.DUMMYFUNCTION("""COMPUTED_VALUE"""),"#N/A")</f>
        <v>#N/A</v>
      </c>
      <c r="H1568" s="6"/>
      <c r="I1568" s="19"/>
      <c r="J1568" s="50"/>
      <c r="K1568" s="58"/>
      <c r="L1568" s="6" t="s">
        <v>655</v>
      </c>
      <c r="M1568" s="52" t="s">
        <v>655</v>
      </c>
      <c r="N1568" s="53" t="s">
        <v>655</v>
      </c>
      <c r="O1568" s="19"/>
      <c r="P1568" s="6"/>
      <c r="Q1568" s="6"/>
      <c r="R1568" s="6"/>
    </row>
    <row r="1569">
      <c r="A1569" s="31"/>
      <c r="B1569" s="14"/>
      <c r="C1569" s="14" t="str">
        <f>IFERROR(__xludf.DUMMYFUNCTION("""COMPUTED_VALUE"""),"ОКС")</f>
        <v>ОКС</v>
      </c>
      <c r="D1569" s="6" t="str">
        <f>IFERROR(__xludf.DUMMYFUNCTION("""COMPUTED_VALUE"""),"да")</f>
        <v>да</v>
      </c>
      <c r="E1569" s="14" t="str">
        <f>IFERROR(__xludf.DUMMYFUNCTION("""COMPUTED_VALUE"""),"Нежилое,вблизи с. Рождествено район Митино уч. 4 ")</f>
        <v>Нежилое,вблизи с. Рождествено район Митино уч. 4 </v>
      </c>
      <c r="F1569" s="25" t="str">
        <f>IFERROR(__xludf.DUMMYFUNCTION("""COMPUTED_VALUE"""),"#N/A")</f>
        <v>#N/A</v>
      </c>
      <c r="G1569" s="6" t="str">
        <f>IFERROR(__xludf.DUMMYFUNCTION("""COMPUTED_VALUE"""),"#N/A")</f>
        <v>#N/A</v>
      </c>
      <c r="H1569" s="6"/>
      <c r="I1569" s="19"/>
      <c r="J1569" s="50"/>
      <c r="K1569" s="58"/>
      <c r="L1569" s="6" t="s">
        <v>655</v>
      </c>
      <c r="M1569" s="52" t="s">
        <v>655</v>
      </c>
      <c r="N1569" s="53" t="s">
        <v>655</v>
      </c>
      <c r="O1569" s="19"/>
      <c r="P1569" s="6"/>
      <c r="Q1569" s="6"/>
      <c r="R1569" s="6"/>
    </row>
    <row r="1570">
      <c r="A1570" s="31"/>
      <c r="B1570" s="14"/>
      <c r="C1570" s="14" t="str">
        <f>IFERROR(__xludf.DUMMYFUNCTION("""COMPUTED_VALUE"""),"ОКС")</f>
        <v>ОКС</v>
      </c>
      <c r="D1570" s="6" t="str">
        <f>IFERROR(__xludf.DUMMYFUNCTION("""COMPUTED_VALUE"""),"да")</f>
        <v>да</v>
      </c>
      <c r="E1570" s="14" t="str">
        <f>IFERROR(__xludf.DUMMYFUNCTION("""COMPUTED_VALUE"""),"Нежилое,Водопроводный переулок, вл.1 ")</f>
        <v>Нежилое,Водопроводный переулок, вл.1 </v>
      </c>
      <c r="F1570" s="25" t="str">
        <f>IFERROR(__xludf.DUMMYFUNCTION("""COMPUTED_VALUE"""),"#N/A")</f>
        <v>#N/A</v>
      </c>
      <c r="G1570" s="6" t="str">
        <f>IFERROR(__xludf.DUMMYFUNCTION("""COMPUTED_VALUE"""),"#N/A")</f>
        <v>#N/A</v>
      </c>
      <c r="H1570" s="6"/>
      <c r="I1570" s="19"/>
      <c r="J1570" s="50"/>
      <c r="K1570" s="58"/>
      <c r="L1570" s="6" t="s">
        <v>655</v>
      </c>
      <c r="M1570" s="52" t="s">
        <v>655</v>
      </c>
      <c r="N1570" s="53" t="s">
        <v>655</v>
      </c>
      <c r="O1570" s="19"/>
      <c r="P1570" s="6"/>
      <c r="Q1570" s="6"/>
      <c r="R1570" s="6"/>
    </row>
    <row r="1571">
      <c r="A1571" s="31"/>
      <c r="B1571" s="14"/>
      <c r="C1571" s="14" t="str">
        <f>IFERROR(__xludf.DUMMYFUNCTION("""COMPUTED_VALUE"""),"ОКС")</f>
        <v>ОКС</v>
      </c>
      <c r="D1571" s="6" t="str">
        <f>IFERROR(__xludf.DUMMYFUNCTION("""COMPUTED_VALUE"""),"да")</f>
        <v>да</v>
      </c>
      <c r="E1571" s="14" t="str">
        <f>IFERROR(__xludf.DUMMYFUNCTION("""COMPUTED_VALUE"""),"Дворец спорта ""Спартак Москва"",Волоколамское ш., земельный участок 69 ")</f>
        <v>Дворец спорта "Спартак Москва",Волоколамское ш., земельный участок 69 </v>
      </c>
      <c r="F1571" s="25" t="str">
        <f>IFERROR(__xludf.DUMMYFUNCTION("""COMPUTED_VALUE"""),"#N/A")</f>
        <v>#N/A</v>
      </c>
      <c r="G1571" s="6" t="str">
        <f>IFERROR(__xludf.DUMMYFUNCTION("""COMPUTED_VALUE"""),"#N/A")</f>
        <v>#N/A</v>
      </c>
      <c r="H1571" s="6"/>
      <c r="I1571" s="19"/>
      <c r="J1571" s="50"/>
      <c r="K1571" s="58"/>
      <c r="L1571" s="6" t="s">
        <v>655</v>
      </c>
      <c r="M1571" s="52" t="s">
        <v>655</v>
      </c>
      <c r="N1571" s="53" t="s">
        <v>655</v>
      </c>
      <c r="O1571" s="19"/>
      <c r="P1571" s="6"/>
      <c r="Q1571" s="6"/>
      <c r="R1571" s="6"/>
    </row>
    <row r="1572">
      <c r="A1572" s="31"/>
      <c r="B1572" s="14"/>
      <c r="C1572" s="14" t="str">
        <f>IFERROR(__xludf.DUMMYFUNCTION("""COMPUTED_VALUE"""),"ОКС")</f>
        <v>ОКС</v>
      </c>
      <c r="D1572" s="6" t="str">
        <f>IFERROR(__xludf.DUMMYFUNCTION("""COMPUTED_VALUE"""),"да")</f>
        <v>да</v>
      </c>
      <c r="E1572" s="14" t="str">
        <f>IFERROR(__xludf.DUMMYFUNCTION("""COMPUTED_VALUE"""),"Религиозный объект,пр-кт Мичуринский, напротив влд. 15 ")</f>
        <v>Религиозный объект,пр-кт Мичуринский, напротив влд. 15 </v>
      </c>
      <c r="F1572" s="25" t="str">
        <f>IFERROR(__xludf.DUMMYFUNCTION("""COMPUTED_VALUE"""),"#N/A")</f>
        <v>#N/A</v>
      </c>
      <c r="G1572" s="6" t="str">
        <f>IFERROR(__xludf.DUMMYFUNCTION("""COMPUTED_VALUE"""),"#N/A")</f>
        <v>#N/A</v>
      </c>
      <c r="H1572" s="6"/>
      <c r="I1572" s="19"/>
      <c r="J1572" s="50"/>
      <c r="K1572" s="58"/>
      <c r="L1572" s="6" t="s">
        <v>655</v>
      </c>
      <c r="M1572" s="52" t="s">
        <v>655</v>
      </c>
      <c r="N1572" s="53" t="s">
        <v>655</v>
      </c>
      <c r="O1572" s="19"/>
      <c r="P1572" s="6"/>
      <c r="Q1572" s="6"/>
      <c r="R1572" s="6"/>
    </row>
    <row r="1573">
      <c r="A1573" s="31"/>
      <c r="B1573" s="14"/>
      <c r="C1573" s="14" t="str">
        <f>IFERROR(__xludf.DUMMYFUNCTION("""COMPUTED_VALUE"""),"ОКС")</f>
        <v>ОКС</v>
      </c>
      <c r="D1573" s="6" t="str">
        <f>IFERROR(__xludf.DUMMYFUNCTION("""COMPUTED_VALUE"""),"да")</f>
        <v>да</v>
      </c>
      <c r="E1573" s="14" t="str">
        <f>IFERROR(__xludf.DUMMYFUNCTION("""COMPUTED_VALUE"""),"Жилой дом,Газгольдерная ул., влд. 10А/4, 10А/9, Рязанский просп., влд. 4А ")</f>
        <v>Жилой дом,Газгольдерная ул., влд. 10А/4, 10А/9, Рязанский просп., влд. 4А </v>
      </c>
      <c r="F1573" s="25" t="str">
        <f>IFERROR(__xludf.DUMMYFUNCTION("""COMPUTED_VALUE"""),"#N/A")</f>
        <v>#N/A</v>
      </c>
      <c r="G1573" s="6" t="str">
        <f>IFERROR(__xludf.DUMMYFUNCTION("""COMPUTED_VALUE"""),"#N/A")</f>
        <v>#N/A</v>
      </c>
      <c r="H1573" s="6"/>
      <c r="I1573" s="19"/>
      <c r="J1573" s="50"/>
      <c r="K1573" s="58"/>
      <c r="L1573" s="6" t="s">
        <v>655</v>
      </c>
      <c r="M1573" s="52" t="s">
        <v>655</v>
      </c>
      <c r="N1573" s="53" t="s">
        <v>655</v>
      </c>
      <c r="O1573" s="19"/>
      <c r="P1573" s="6"/>
      <c r="Q1573" s="6"/>
      <c r="R1573" s="6"/>
    </row>
    <row r="1574">
      <c r="A1574" s="31"/>
      <c r="B1574" s="14"/>
      <c r="C1574" s="14" t="str">
        <f>IFERROR(__xludf.DUMMYFUNCTION("""COMPUTED_VALUE"""),"ОКС")</f>
        <v>ОКС</v>
      </c>
      <c r="D1574" s="6" t="str">
        <f>IFERROR(__xludf.DUMMYFUNCTION("""COMPUTED_VALUE"""),"да")</f>
        <v>да</v>
      </c>
      <c r="E1574" s="14" t="str">
        <f>IFERROR(__xludf.DUMMYFUNCTION("""COMPUTED_VALUE"""),"Жилой дом ")</f>
        <v>Жилой дом </v>
      </c>
      <c r="F1574" s="25" t="str">
        <f>IFERROR(__xludf.DUMMYFUNCTION("""COMPUTED_VALUE"""),"#N/A")</f>
        <v>#N/A</v>
      </c>
      <c r="G1574" s="6" t="str">
        <f>IFERROR(__xludf.DUMMYFUNCTION("""COMPUTED_VALUE"""),"#N/A")</f>
        <v>#N/A</v>
      </c>
      <c r="H1574" s="6"/>
      <c r="I1574" s="19"/>
      <c r="J1574" s="50"/>
      <c r="K1574" s="58"/>
      <c r="L1574" s="6" t="s">
        <v>655</v>
      </c>
      <c r="M1574" s="52" t="s">
        <v>655</v>
      </c>
      <c r="N1574" s="53" t="s">
        <v>655</v>
      </c>
      <c r="O1574" s="19"/>
      <c r="P1574" s="6"/>
      <c r="Q1574" s="6"/>
      <c r="R1574" s="6"/>
    </row>
    <row r="1575">
      <c r="A1575" s="31"/>
      <c r="B1575" s="14"/>
      <c r="C1575" s="14" t="str">
        <f>IFERROR(__xludf.DUMMYFUNCTION("""COMPUTED_VALUE"""),"ОКС")</f>
        <v>ОКС</v>
      </c>
      <c r="D1575" s="6" t="str">
        <f>IFERROR(__xludf.DUMMYFUNCTION("""COMPUTED_VALUE"""),"да")</f>
        <v>да</v>
      </c>
      <c r="E1575" s="14" t="str">
        <f>IFERROR(__xludf.DUMMYFUNCTION("""COMPUTED_VALUE"""),"Многофункциональный центр,Генерала Тюленева ул., влд. 4А, стр. 1 ")</f>
        <v>Многофункциональный центр,Генерала Тюленева ул., влд. 4А, стр. 1 </v>
      </c>
      <c r="F1575" s="25" t="str">
        <f>IFERROR(__xludf.DUMMYFUNCTION("""COMPUTED_VALUE"""),"#N/A")</f>
        <v>#N/A</v>
      </c>
      <c r="G1575" s="6" t="str">
        <f>IFERROR(__xludf.DUMMYFUNCTION("""COMPUTED_VALUE"""),"#N/A")</f>
        <v>#N/A</v>
      </c>
      <c r="H1575" s="6"/>
      <c r="I1575" s="19"/>
      <c r="J1575" s="50"/>
      <c r="K1575" s="58"/>
      <c r="L1575" s="6" t="s">
        <v>655</v>
      </c>
      <c r="M1575" s="52" t="s">
        <v>655</v>
      </c>
      <c r="N1575" s="53" t="s">
        <v>655</v>
      </c>
      <c r="O1575" s="19"/>
      <c r="P1575" s="6"/>
      <c r="Q1575" s="6"/>
      <c r="R1575" s="6"/>
    </row>
    <row r="1576">
      <c r="A1576" s="31"/>
      <c r="B1576" s="14"/>
      <c r="C1576" s="14" t="str">
        <f>IFERROR(__xludf.DUMMYFUNCTION("""COMPUTED_VALUE"""),"ОКС")</f>
        <v>ОКС</v>
      </c>
      <c r="D1576" s="6" t="str">
        <f>IFERROR(__xludf.DUMMYFUNCTION("""COMPUTED_VALUE"""),"да")</f>
        <v>да</v>
      </c>
      <c r="E1576" s="14" t="str">
        <f>IFERROR(__xludf.DUMMYFUNCTION("""COMPUTED_VALUE"""),"Общественное здание,д. Десна, Центральная ул., влд.146А ")</f>
        <v>Общественное здание,д. Десна, Центральная ул., влд.146А </v>
      </c>
      <c r="F1576" s="25" t="str">
        <f>IFERROR(__xludf.DUMMYFUNCTION("""COMPUTED_VALUE"""),"#N/A")</f>
        <v>#N/A</v>
      </c>
      <c r="G1576" s="6" t="str">
        <f>IFERROR(__xludf.DUMMYFUNCTION("""COMPUTED_VALUE"""),"#N/A")</f>
        <v>#N/A</v>
      </c>
      <c r="H1576" s="6"/>
      <c r="I1576" s="19"/>
      <c r="J1576" s="50"/>
      <c r="K1576" s="58"/>
      <c r="L1576" s="6" t="s">
        <v>655</v>
      </c>
      <c r="M1576" s="52" t="s">
        <v>655</v>
      </c>
      <c r="N1576" s="53" t="s">
        <v>655</v>
      </c>
      <c r="O1576" s="19"/>
      <c r="P1576" s="6"/>
      <c r="Q1576" s="6"/>
      <c r="R1576" s="6"/>
    </row>
    <row r="1577">
      <c r="A1577" s="31"/>
      <c r="B1577" s="14"/>
      <c r="C1577" s="14" t="str">
        <f>IFERROR(__xludf.DUMMYFUNCTION("""COMPUTED_VALUE"""),"ОКС")</f>
        <v>ОКС</v>
      </c>
      <c r="D1577" s="6" t="str">
        <f>IFERROR(__xludf.DUMMYFUNCTION("""COMPUTED_VALUE"""),"да")</f>
        <v>да</v>
      </c>
      <c r="E1577" s="14" t="str">
        <f>IFERROR(__xludf.DUMMYFUNCTION("""COMPUTED_VALUE"""),"Жилой дом ")</f>
        <v>Жилой дом </v>
      </c>
      <c r="F1577" s="25" t="str">
        <f>IFERROR(__xludf.DUMMYFUNCTION("""COMPUTED_VALUE"""),"#N/A")</f>
        <v>#N/A</v>
      </c>
      <c r="G1577" s="6" t="str">
        <f>IFERROR(__xludf.DUMMYFUNCTION("""COMPUTED_VALUE"""),"#N/A")</f>
        <v>#N/A</v>
      </c>
      <c r="H1577" s="6"/>
      <c r="I1577" s="19"/>
      <c r="J1577" s="50"/>
      <c r="K1577" s="58"/>
      <c r="L1577" s="6" t="s">
        <v>655</v>
      </c>
      <c r="M1577" s="52" t="s">
        <v>655</v>
      </c>
      <c r="N1577" s="53" t="s">
        <v>655</v>
      </c>
      <c r="O1577" s="19"/>
      <c r="P1577" s="6"/>
      <c r="Q1577" s="6"/>
      <c r="R1577" s="6"/>
    </row>
    <row r="1578">
      <c r="A1578" s="31"/>
      <c r="B1578" s="14"/>
      <c r="C1578" s="14" t="str">
        <f>IFERROR(__xludf.DUMMYFUNCTION("""COMPUTED_VALUE"""),"ОКС")</f>
        <v>ОКС</v>
      </c>
      <c r="D1578" s="6" t="str">
        <f>IFERROR(__xludf.DUMMYFUNCTION("""COMPUTED_VALUE"""),"да")</f>
        <v>да</v>
      </c>
      <c r="E1578" s="14" t="str">
        <f>IFERROR(__xludf.DUMMYFUNCTION("""COMPUTED_VALUE"""),"Магазин,д. Десна, Центральная ул., земельный участок 1Б ")</f>
        <v>Магазин,д. Десна, Центральная ул., земельный участок 1Б </v>
      </c>
      <c r="F1578" s="25" t="str">
        <f>IFERROR(__xludf.DUMMYFUNCTION("""COMPUTED_VALUE"""),"#N/A")</f>
        <v>#N/A</v>
      </c>
      <c r="G1578" s="6" t="str">
        <f>IFERROR(__xludf.DUMMYFUNCTION("""COMPUTED_VALUE"""),"#N/A")</f>
        <v>#N/A</v>
      </c>
      <c r="H1578" s="6"/>
      <c r="I1578" s="19"/>
      <c r="J1578" s="50"/>
      <c r="K1578" s="58"/>
      <c r="L1578" s="6" t="s">
        <v>655</v>
      </c>
      <c r="M1578" s="52" t="s">
        <v>655</v>
      </c>
      <c r="N1578" s="53" t="s">
        <v>655</v>
      </c>
      <c r="O1578" s="19"/>
      <c r="P1578" s="6"/>
      <c r="Q1578" s="6"/>
      <c r="R1578" s="6"/>
    </row>
    <row r="1579">
      <c r="A1579" s="31"/>
      <c r="B1579" s="14"/>
      <c r="C1579" s="14" t="str">
        <f>IFERROR(__xludf.DUMMYFUNCTION("""COMPUTED_VALUE"""),"ОКС")</f>
        <v>ОКС</v>
      </c>
      <c r="D1579" s="6" t="str">
        <f>IFERROR(__xludf.DUMMYFUNCTION("""COMPUTED_VALUE"""),"да")</f>
        <v>да</v>
      </c>
      <c r="E1579" s="14" t="str">
        <f>IFERROR(__xludf.DUMMYFUNCTION("""COMPUTED_VALUE"""),"Общественная застройка,Демьяна Бедного ул., вл. 24, стр. 2 ")</f>
        <v>Общественная застройка,Демьяна Бедного ул., вл. 24, стр. 2 </v>
      </c>
      <c r="F1579" s="25" t="str">
        <f>IFERROR(__xludf.DUMMYFUNCTION("""COMPUTED_VALUE"""),"#N/A")</f>
        <v>#N/A</v>
      </c>
      <c r="G1579" s="6" t="str">
        <f>IFERROR(__xludf.DUMMYFUNCTION("""COMPUTED_VALUE"""),"#N/A")</f>
        <v>#N/A</v>
      </c>
      <c r="H1579" s="6"/>
      <c r="I1579" s="19"/>
      <c r="J1579" s="50"/>
      <c r="K1579" s="58"/>
      <c r="L1579" s="6" t="s">
        <v>655</v>
      </c>
      <c r="M1579" s="52" t="s">
        <v>655</v>
      </c>
      <c r="N1579" s="53" t="s">
        <v>655</v>
      </c>
      <c r="O1579" s="19"/>
      <c r="P1579" s="6"/>
      <c r="Q1579" s="6"/>
      <c r="R1579" s="6"/>
    </row>
    <row r="1580">
      <c r="A1580" s="31"/>
      <c r="B1580" s="14"/>
      <c r="C1580" s="14" t="str">
        <f>IFERROR(__xludf.DUMMYFUNCTION("""COMPUTED_VALUE"""),"ОКС")</f>
        <v>ОКС</v>
      </c>
      <c r="D1580" s="6" t="str">
        <f>IFERROR(__xludf.DUMMYFUNCTION("""COMPUTED_VALUE"""),"да")</f>
        <v>да</v>
      </c>
      <c r="E1580" s="14" t="str">
        <f>IFERROR(__xludf.DUMMYFUNCTION("""COMPUTED_VALUE"""),"Многофункциональный деловой комплекс,Миклухо-Маклая ул. вл. 16/10 ")</f>
        <v>Многофункциональный деловой комплекс,Миклухо-Маклая ул. вл. 16/10 </v>
      </c>
      <c r="F1580" s="25" t="str">
        <f>IFERROR(__xludf.DUMMYFUNCTION("""COMPUTED_VALUE"""),"#N/A")</f>
        <v>#N/A</v>
      </c>
      <c r="G1580" s="6" t="str">
        <f>IFERROR(__xludf.DUMMYFUNCTION("""COMPUTED_VALUE"""),"#N/A")</f>
        <v>#N/A</v>
      </c>
      <c r="H1580" s="6"/>
      <c r="I1580" s="19"/>
      <c r="J1580" s="50"/>
      <c r="K1580" s="58"/>
      <c r="L1580" s="6" t="s">
        <v>655</v>
      </c>
      <c r="M1580" s="52" t="s">
        <v>655</v>
      </c>
      <c r="N1580" s="53" t="s">
        <v>655</v>
      </c>
      <c r="O1580" s="19"/>
      <c r="P1580" s="6"/>
      <c r="Q1580" s="6"/>
      <c r="R1580" s="6"/>
    </row>
    <row r="1581">
      <c r="A1581" s="31"/>
      <c r="B1581" s="14"/>
      <c r="C1581" s="14" t="str">
        <f>IFERROR(__xludf.DUMMYFUNCTION("""COMPUTED_VALUE"""),"ОКС")</f>
        <v>ОКС</v>
      </c>
      <c r="D1581" s="6" t="str">
        <f>IFERROR(__xludf.DUMMYFUNCTION("""COMPUTED_VALUE"""),"да")</f>
        <v>да</v>
      </c>
      <c r="E1581" s="14" t="str">
        <f>IFERROR(__xludf.DUMMYFUNCTION("""COMPUTED_VALUE"""),"Промышленное,Дмитровское шоссе, вл. 7 (напротив) взамен земельного участка Дмитровское ш., напротив вл. 21 ")</f>
        <v>Промышленное,Дмитровское шоссе, вл. 7 (напротив) взамен земельного участка Дмитровское ш., напротив вл. 21 </v>
      </c>
      <c r="F1581" s="25" t="str">
        <f>IFERROR(__xludf.DUMMYFUNCTION("""COMPUTED_VALUE"""),"#N/A")</f>
        <v>#N/A</v>
      </c>
      <c r="G1581" s="6" t="str">
        <f>IFERROR(__xludf.DUMMYFUNCTION("""COMPUTED_VALUE"""),"#N/A")</f>
        <v>#N/A</v>
      </c>
      <c r="H1581" s="6"/>
      <c r="I1581" s="19"/>
      <c r="J1581" s="50"/>
      <c r="K1581" s="58"/>
      <c r="L1581" s="6" t="s">
        <v>655</v>
      </c>
      <c r="M1581" s="52" t="s">
        <v>655</v>
      </c>
      <c r="N1581" s="53" t="s">
        <v>655</v>
      </c>
      <c r="O1581" s="19"/>
      <c r="P1581" s="6"/>
      <c r="Q1581" s="6"/>
      <c r="R1581" s="6"/>
    </row>
    <row r="1582">
      <c r="A1582" s="31"/>
      <c r="B1582" s="14"/>
      <c r="C1582" s="14" t="str">
        <f>IFERROR(__xludf.DUMMYFUNCTION("""COMPUTED_VALUE"""),"ОКС")</f>
        <v>ОКС</v>
      </c>
      <c r="D1582" s="6"/>
      <c r="E1582" s="14" t="str">
        <f>IFERROR(__xludf.DUMMYFUNCTION("""COMPUTED_VALUE"""),"Общественная застройка,Дурова ул. влд. 3 (ТПУ ""Суворовская"") ")</f>
        <v>Общественная застройка,Дурова ул. влд. 3 (ТПУ "Суворовская") </v>
      </c>
      <c r="F1582" s="25" t="str">
        <f>IFERROR(__xludf.DUMMYFUNCTION("""COMPUTED_VALUE"""),"#N/A")</f>
        <v>#N/A</v>
      </c>
      <c r="G1582" s="6" t="str">
        <f>IFERROR(__xludf.DUMMYFUNCTION("""COMPUTED_VALUE"""),"#N/A")</f>
        <v>#N/A</v>
      </c>
      <c r="H1582" s="6"/>
      <c r="I1582" s="19"/>
      <c r="J1582" s="50"/>
      <c r="K1582" s="58"/>
      <c r="L1582" s="6" t="s">
        <v>655</v>
      </c>
      <c r="M1582" s="52" t="s">
        <v>655</v>
      </c>
      <c r="N1582" s="53" t="s">
        <v>655</v>
      </c>
      <c r="O1582" s="19"/>
      <c r="P1582" s="6"/>
      <c r="Q1582" s="6"/>
      <c r="R1582" s="6"/>
    </row>
    <row r="1583">
      <c r="A1583" s="31" t="str">
        <f>IFERROR(__xludf.DUMMYFUNCTION("""COMPUTED_VALUE"""),"нд")</f>
        <v>нд</v>
      </c>
      <c r="B1583" s="14" t="str">
        <f>IFERROR(__xludf.DUMMYFUNCTION("""COMPUTED_VALUE"""),"Вне списка")</f>
        <v>Вне списка</v>
      </c>
      <c r="C1583" s="14" t="str">
        <f>IFERROR(__xludf.DUMMYFUNCTION("""COMPUTED_VALUE"""),"ОКС")</f>
        <v>ОКС</v>
      </c>
      <c r="D1583" s="6"/>
      <c r="E1583" s="14" t="str">
        <f>IFERROR(__xludf.DUMMYFUNCTION("""COMPUTED_VALUE"""),"Здание образовательной организации на 1350 мест (1000 школьных и 350 дошкольных), р-н Северный, Дмитровское ш., влд. 122Д р-н Северный, Дмитровское ш., влд. 122Д")</f>
        <v>Здание образовательной организации на 1350 мест (1000 школьных и 350 дошкольных), р-н Северный, Дмитровское ш., влд. 122Д р-н Северный, Дмитровское ш., влд. 122Д</v>
      </c>
      <c r="F1583" s="25" t="str">
        <f>IFERROR(__xludf.DUMMYFUNCTION("""COMPUTED_VALUE"""),"#N/A")</f>
        <v>#N/A</v>
      </c>
      <c r="G1583" s="6" t="str">
        <f>IFERROR(__xludf.DUMMYFUNCTION("""COMPUTED_VALUE"""),"#N/A")</f>
        <v>#N/A</v>
      </c>
      <c r="H1583" s="6"/>
      <c r="I1583" s="19"/>
      <c r="J1583" s="50"/>
      <c r="K1583" s="58"/>
      <c r="L1583" s="6">
        <v>30.0</v>
      </c>
      <c r="M1583" s="52" t="s">
        <v>655</v>
      </c>
      <c r="N1583" s="53" t="s">
        <v>698</v>
      </c>
      <c r="O1583" s="19" t="s">
        <v>1434</v>
      </c>
      <c r="P1583" s="6"/>
      <c r="Q1583" s="6"/>
      <c r="R1583" s="6"/>
    </row>
    <row r="1584">
      <c r="A1584" s="31" t="str">
        <f>IFERROR(__xludf.DUMMYFUNCTION("""COMPUTED_VALUE"""),"474д")</f>
        <v>474д</v>
      </c>
      <c r="B1584" s="14" t="str">
        <f>IFERROR(__xludf.DUMMYFUNCTION("""COMPUTED_VALUE"""),"ДСТИ")</f>
        <v>ДСТИ</v>
      </c>
      <c r="C1584" s="14" t="str">
        <f>IFERROR(__xludf.DUMMYFUNCTION("""COMPUTED_VALUE"""),"УДС")</f>
        <v>УДС</v>
      </c>
      <c r="D1584" s="6"/>
      <c r="E1584" s="14" t="str">
        <f>IFERROR(__xludf.DUMMYFUNCTION("""COMPUTED_VALUE"""),"Строительство эстакад основного хода, многоуровневых транспортных развязок в районе ст. м. ""Владыкино"", ст. м. ""Ботанический сад"", эстакад-съездов Ярославского шоссе, мостов через р. Яуза, р. Лихоборка, переустройство инженерных сетей и коммуникаций, "&amp;"с реконструкцией/строительством улично-дорожной сети на участке от Ярославского до Дмитровского шоссе в рамках строительства Северо-Восточной хорды. Этап 4. Переустройство сетей ОАО ""РЖД"", по адресу Москва, районы Бескудниковский, Головинский, Западное "&amp;"Дегунино, Тимирязевский, Северный административный округ города Москвы, районы Марфино, Останкинский, Отрадное, Свиблово, Ярославский, Северо-Восточный административный округ города Москвы ")</f>
        <v>Строительство эстакад основного хода, многоуровневых транспортных развязок в районе ст. м. "Владыкино", ст. м. "Ботанический сад", эстакад-съездов Ярославского шоссе,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до Дмитровского шоссе в рамках строительства Северо-Восточной хорды. Этап 4. Переустройство сетей ОАО "РЖД", по адресу Москва, районы Бескудниковский, Головинский, Западное Дегунино, Тимирязевский, Северный административный округ города Москвы, районы Марфино, Останкинский, Отрадное, Свиблово, Ярославский, Северо-Восточный административный округ города Москвы </v>
      </c>
      <c r="F1584" s="25" t="str">
        <f>IFERROR(__xludf.DUMMYFUNCTION("""COMPUTED_VALUE"""),"#N/A")</f>
        <v>#N/A</v>
      </c>
      <c r="G1584" s="6" t="str">
        <f>IFERROR(__xludf.DUMMYFUNCTION("""COMPUTED_VALUE"""),"#N/A")</f>
        <v>#N/A</v>
      </c>
      <c r="H1584" s="6"/>
      <c r="I1584" s="19"/>
      <c r="J1584" s="50"/>
      <c r="K1584" s="58">
        <f>IFERROR(__xludf.DUMMYFUNCTION("""COMPUTED_VALUE"""),45944.0)</f>
        <v>45944</v>
      </c>
      <c r="L1584" s="6">
        <v>30.0</v>
      </c>
      <c r="M1584" s="52">
        <v>45974.0</v>
      </c>
      <c r="N1584" s="53" t="s">
        <v>668</v>
      </c>
      <c r="O1584" s="19"/>
      <c r="P1584" s="6"/>
      <c r="Q1584" s="6"/>
      <c r="R1584" s="6"/>
    </row>
    <row r="1585">
      <c r="A1585" s="31" t="str">
        <f>IFERROR(__xludf.DUMMYFUNCTION("""COMPUTED_VALUE"""),"1330")</f>
        <v>1330</v>
      </c>
      <c r="B1585" s="14" t="str">
        <f>IFERROR(__xludf.DUMMYFUNCTION("""COMPUTED_VALUE"""),"МЕТРО")</f>
        <v>МЕТРО</v>
      </c>
      <c r="C1585" s="14" t="str">
        <f>IFERROR(__xludf.DUMMYFUNCTION("""COMPUTED_VALUE"""),"УДС")</f>
        <v>УДС</v>
      </c>
      <c r="D1585" s="6"/>
      <c r="E1585" s="14" t="str">
        <f>IFERROR(__xludf.DUMMYFUNCTION("""COMPUTED_VALUE"""),"Технологическая часть ТПУ на станции метро ""Шелепиха"". 1.3.2 этап ""Технологическая часть транспортно-пересадочного узла ""Шелепиха"". Строительство улично-дорожной сети. Съезд на Шмитовский проезд"". Этап 1.3.2.1 ""Технологическая часть транспортно-пер"&amp;"есадочного узла ""Шелепиха"". Строительство улично-дорожной сети. Съезд на Шмитовский проезд"" г. Москва, ЦАО, Пресненский (ЦАО, Пресненский) ")</f>
        <v>Технологическая часть ТПУ на станции метро "Шелепиха". 1.3.2 этап "Технологическая часть транспортно-пересадочного узла "Шелепиха". Строительство улично-дорожной сети. Съезд на Шмитовский проезд". Этап 1.3.2.1 "Технологическая часть транспортно-пересадочного узла "Шелепиха". Строительство улично-дорожной сети. Съезд на Шмитовский проезд" г. Москва, ЦАО, Пресненский (ЦАО, Пресненский) </v>
      </c>
      <c r="F1585" s="25" t="str">
        <f>IFERROR(__xludf.DUMMYFUNCTION("""COMPUTED_VALUE"""),"#N/A")</f>
        <v>#N/A</v>
      </c>
      <c r="G1585" s="6" t="str">
        <f>IFERROR(__xludf.DUMMYFUNCTION("""COMPUTED_VALUE"""),"#N/A")</f>
        <v>#N/A</v>
      </c>
      <c r="H1585" s="18" t="str">
        <f>IFERROR(__xludf.DUMMYFUNCTION("""COMPUTED_VALUE"""),"https://docs.google.com/spreadsheets/d/1jonEGMB3UFHiUZpltF1zURon8gYN7jGSHu-k9t5TXnA/edit?gid=804949431#gid=804949431")</f>
        <v>https://docs.google.com/spreadsheets/d/1jonEGMB3UFHiUZpltF1zURon8gYN7jGSHu-k9t5TXnA/edit?gid=804949431#gid=804949431</v>
      </c>
      <c r="I1585" s="6"/>
      <c r="J1585" s="50"/>
      <c r="K1585" s="58">
        <f>IFERROR(__xludf.DUMMYFUNCTION("""COMPUTED_VALUE"""),45944.0)</f>
        <v>45944</v>
      </c>
      <c r="L1585" s="6">
        <v>30.0</v>
      </c>
      <c r="M1585" s="52">
        <v>45974.0</v>
      </c>
      <c r="N1585" s="53" t="s">
        <v>668</v>
      </c>
      <c r="O1585" s="6" t="s">
        <v>1435</v>
      </c>
      <c r="P1585" s="6"/>
      <c r="Q1585" s="6"/>
      <c r="R1585" s="6"/>
    </row>
    <row r="1586">
      <c r="A1586" s="31" t="str">
        <f>IFERROR(__xludf.DUMMYFUNCTION("""COMPUTED_VALUE"""),"1331")</f>
        <v>1331</v>
      </c>
      <c r="B1586" s="14" t="str">
        <f>IFERROR(__xludf.DUMMYFUNCTION("""COMPUTED_VALUE"""),"МЕТРО")</f>
        <v>МЕТРО</v>
      </c>
      <c r="C1586" s="14" t="str">
        <f>IFERROR(__xludf.DUMMYFUNCTION("""COMPUTED_VALUE"""),"УДС")</f>
        <v>УДС</v>
      </c>
      <c r="D1586" s="6"/>
      <c r="E1586" s="14" t="str">
        <f>IFERROR(__xludf.DUMMYFUNCTION("""COMPUTED_VALUE"""),"«Технологическая часть ТПУ на станции метро «Текстильщики» Этап 5. «Строительство здания Управления внутренних дел на Московском метрополитене и устройство наземной парковки» по адресу: Москва, район Печатники Юго-Восточного административного округа город"&amp;"а Москвы Южнопортовый (ЮВАО), адресный ориентир: Волгоградский проспект, д. 42, к. 2.")</f>
        <v>«Технологическая часть ТПУ на станции метро «Текстильщики» Этап 5. «Строительство здания Управления внутренних дел на Московском метрополитене и устройство наземной парковки» по адресу: Москва, район Печатники Юго-Восточного административного округа города Москвы Южнопортовый (ЮВАО), адресный ориентир: Волгоградский проспект, д. 42, к. 2.</v>
      </c>
      <c r="F1586" s="25" t="str">
        <f>IFERROR(__xludf.DUMMYFUNCTION("""COMPUTED_VALUE"""),"#N/A")</f>
        <v>#N/A</v>
      </c>
      <c r="G1586" s="6" t="str">
        <f>IFERROR(__xludf.DUMMYFUNCTION("""COMPUTED_VALUE"""),"#N/A")</f>
        <v>#N/A</v>
      </c>
      <c r="H1586" s="18" t="str">
        <f>IFERROR(__xludf.DUMMYFUNCTION("""COMPUTED_VALUE"""),"https://docs.google.com/spreadsheets/d/1jonEGMB3UFHiUZpltF1zURon8gYN7jGSHu-k9t5TXnA/edit?gid=1604017750#gid=1604017750")</f>
        <v>https://docs.google.com/spreadsheets/d/1jonEGMB3UFHiUZpltF1zURon8gYN7jGSHu-k9t5TXnA/edit?gid=1604017750#gid=1604017750</v>
      </c>
      <c r="I1586" s="6"/>
      <c r="J1586" s="50"/>
      <c r="K1586" s="58">
        <f>IFERROR(__xludf.DUMMYFUNCTION("""COMPUTED_VALUE"""),45944.0)</f>
        <v>45944</v>
      </c>
      <c r="L1586" s="6">
        <v>30.0</v>
      </c>
      <c r="M1586" s="52">
        <v>45974.0</v>
      </c>
      <c r="N1586" s="53" t="s">
        <v>668</v>
      </c>
      <c r="O1586" s="6" t="s">
        <v>669</v>
      </c>
      <c r="P1586" s="6"/>
      <c r="Q1586" s="6"/>
      <c r="R1586" s="6"/>
    </row>
    <row r="1587">
      <c r="A1587" s="31" t="str">
        <f>IFERROR(__xludf.DUMMYFUNCTION("""COMPUTED_VALUE"""),"1334")</f>
        <v>1334</v>
      </c>
      <c r="B1587" s="14" t="str">
        <f>IFERROR(__xludf.DUMMYFUNCTION("""COMPUTED_VALUE"""),"ВНЕ СПИСКА")</f>
        <v>ВНЕ СПИСКА</v>
      </c>
      <c r="C1587" s="14" t="str">
        <f>IFERROR(__xludf.DUMMYFUNCTION("""COMPUTED_VALUE"""),"ОКС")</f>
        <v>ОКС</v>
      </c>
      <c r="D1587" s="6" t="str">
        <f>IFERROR(__xludf.DUMMYFUNCTION("""COMPUTED_VALUE"""),"да")</f>
        <v>да</v>
      </c>
      <c r="E1587" s="14" t="str">
        <f>IFERROR(__xludf.DUMMYFUNCTION("""COMPUTED_VALUE"""),"Осмотр строящегося образовательного комплекса в составе 875 школьных мест и 190 мест в дошкольном отделении ул. Донецкая, вл. 30")</f>
        <v>Осмотр строящегося образовательного комплекса в составе 875 школьных мест и 190 мест в дошкольном отделении ул. Донецкая, вл. 30</v>
      </c>
      <c r="F1587" s="25" t="str">
        <f>IFERROR(__xludf.DUMMYFUNCTION("""COMPUTED_VALUE"""),"55.647704971703504")</f>
        <v>55.647704971703504</v>
      </c>
      <c r="G1587" s="6" t="str">
        <f>IFERROR(__xludf.DUMMYFUNCTION("""COMPUTED_VALUE"""),"37.70460528834836")</f>
        <v>37.70460528834836</v>
      </c>
      <c r="H1587" s="18" t="str">
        <f>IFERROR(__xludf.DUMMYFUNCTION("""COMPUTED_VALUE"""),"https://docs.google.com/spreadsheets/d/1EI7qusa674eJhuaw-nWWtWMEHVSYMQv7HLsInEZTWpE/edit?gid=1216643821#gid=1216643821")</f>
        <v>https://docs.google.com/spreadsheets/d/1EI7qusa674eJhuaw-nWWtWMEHVSYMQv7HLsInEZTWpE/edit?gid=1216643821#gid=1216643821</v>
      </c>
      <c r="I1587" s="18" t="str">
        <f>IFERROR(__xludf.DUMMYFUNCTION("""COMPUTED_VALUE"""),"https://disk.yandex.ru/d/62QctWfFhXPyrA")</f>
        <v>https://disk.yandex.ru/d/62QctWfFhXPyrA</v>
      </c>
      <c r="J1587" s="50"/>
      <c r="K1587" s="58">
        <f>IFERROR(__xludf.DUMMYFUNCTION("""COMPUTED_VALUE"""),45959.0)</f>
        <v>45959</v>
      </c>
      <c r="L1587" s="6">
        <v>30.0</v>
      </c>
      <c r="M1587" s="52">
        <v>45989.0</v>
      </c>
      <c r="N1587" s="53" t="s">
        <v>692</v>
      </c>
      <c r="O1587" s="6" t="s">
        <v>1436</v>
      </c>
      <c r="P1587" s="6"/>
      <c r="Q1587" s="6"/>
      <c r="R1587" s="6"/>
    </row>
    <row r="1588">
      <c r="A1588" s="31" t="str">
        <f>IFERROR(__xludf.DUMMYFUNCTION("""COMPUTED_VALUE"""),"1339")</f>
        <v>1339</v>
      </c>
      <c r="B1588" s="14" t="str">
        <f>IFERROR(__xludf.DUMMYFUNCTION("""COMPUTED_VALUE"""),"ВНЕ СПИСКА")</f>
        <v>ВНЕ СПИСКА</v>
      </c>
      <c r="C1588" s="14" t="str">
        <f>IFERROR(__xludf.DUMMYFUNCTION("""COMPUTED_VALUE"""),"ОКС")</f>
        <v>ОКС</v>
      </c>
      <c r="D1588" s="6" t="str">
        <f>IFERROR(__xludf.DUMMYFUNCTION("""COMPUTED_VALUE"""),"да")</f>
        <v>да</v>
      </c>
      <c r="E1588" s="14" t="str">
        <f>IFERROR(__xludf.DUMMYFUNCTION("""COMPUTED_VALUE"""),"Осмотр строящегося образовательного
комплекса в составе 850 школьных мест и 350
мест в дошкольном отделении, п.Десеновское, квартал 23, з.у. 1А")</f>
        <v>Осмотр строящегося образовательного
комплекса в составе 850 школьных мест и 350
мест в дошкольном отделении, п.Десеновское, квартал 23, з.у. 1А</v>
      </c>
      <c r="F1588" s="25" t="str">
        <f>IFERROR(__xludf.DUMMYFUNCTION("""COMPUTED_VALUE"""),"55.52962445550878")</f>
        <v>55.52962445550878</v>
      </c>
      <c r="G1588" s="6" t="str">
        <f>IFERROR(__xludf.DUMMYFUNCTION("""COMPUTED_VALUE"""),"37.37506655029112")</f>
        <v>37.37506655029112</v>
      </c>
      <c r="H1588" s="18" t="str">
        <f>IFERROR(__xludf.DUMMYFUNCTION("""COMPUTED_VALUE"""),"https://docs.google.com/spreadsheets/d/1EI7qusa674eJhuaw-nWWtWMEHVSYMQv7HLsInEZTWpE/edit?gid=102494064#gid=102494064")</f>
        <v>https://docs.google.com/spreadsheets/d/1EI7qusa674eJhuaw-nWWtWMEHVSYMQv7HLsInEZTWpE/edit?gid=102494064#gid=102494064</v>
      </c>
      <c r="I1588" s="21" t="str">
        <f>IFERROR(__xludf.DUMMYFUNCTION("""COMPUTED_VALUE"""),"https://disk.yandex.ru/d/veFo8KaC1wzOSA")</f>
        <v>https://disk.yandex.ru/d/veFo8KaC1wzOSA</v>
      </c>
      <c r="J1588" s="50"/>
      <c r="K1588" s="58">
        <f>IFERROR(__xludf.DUMMYFUNCTION("""COMPUTED_VALUE"""),45959.0)</f>
        <v>45959</v>
      </c>
      <c r="L1588" s="6">
        <v>30.0</v>
      </c>
      <c r="M1588" s="52">
        <v>45989.0</v>
      </c>
      <c r="N1588" s="53" t="s">
        <v>692</v>
      </c>
      <c r="O1588" s="19" t="s">
        <v>1437</v>
      </c>
      <c r="P1588" s="6"/>
      <c r="Q1588" s="6"/>
      <c r="R1588" s="6"/>
    </row>
    <row r="1589">
      <c r="A1589" s="31" t="str">
        <f>IFERROR(__xludf.DUMMYFUNCTION("""COMPUTED_VALUE"""),"1337")</f>
        <v>1337</v>
      </c>
      <c r="B1589" s="14" t="str">
        <f>IFERROR(__xludf.DUMMYFUNCTION("""COMPUTED_VALUE"""),"ВНЕ СПИСКА")</f>
        <v>ВНЕ СПИСКА</v>
      </c>
      <c r="C1589" s="14" t="str">
        <f>IFERROR(__xludf.DUMMYFUNCTION("""COMPUTED_VALUE"""),"ОКС")</f>
        <v>ОКС</v>
      </c>
      <c r="D1589" s="6" t="str">
        <f>IFERROR(__xludf.DUMMYFUNCTION("""COMPUTED_VALUE"""),"да")</f>
        <v>да</v>
      </c>
      <c r="E1589" s="14" t="str">
        <f>IFERROR(__xludf.DUMMYFUNCTION("""COMPUTED_VALUE"""),"Осмотр строящегося образовательного комплекса в составе 1525 школьных мест п. Сосенское, р-н Коммунарка, улица Александры Монаховой, зу 46Е ")</f>
        <v>Осмотр строящегося образовательного комплекса в составе 1525 школьных мест п. Сосенское, р-н Коммунарка, улица Александры Монаховой, зу 46Е </v>
      </c>
      <c r="F1589" s="25" t="str">
        <f>IFERROR(__xludf.DUMMYFUNCTION("""COMPUTED_VALUE"""),"55.551807")</f>
        <v>55.551807</v>
      </c>
      <c r="G1589" s="6" t="str">
        <f>IFERROR(__xludf.DUMMYFUNCTION("""COMPUTED_VALUE"""),"37.481505")</f>
        <v>37.481505</v>
      </c>
      <c r="H1589" s="18" t="str">
        <f>IFERROR(__xludf.DUMMYFUNCTION("""COMPUTED_VALUE"""),"https://docs.google.com/spreadsheets/d/1EI7qusa674eJhuaw-nWWtWMEHVSYMQv7HLsInEZTWpE/edit?gid=2011623621#gid=2011623621")</f>
        <v>https://docs.google.com/spreadsheets/d/1EI7qusa674eJhuaw-nWWtWMEHVSYMQv7HLsInEZTWpE/edit?gid=2011623621#gid=2011623621</v>
      </c>
      <c r="I1589" s="21" t="str">
        <f>IFERROR(__xludf.DUMMYFUNCTION("""COMPUTED_VALUE"""),"https://disk.yandex.ru/d/88XgQg4nvRX-Fg")</f>
        <v>https://disk.yandex.ru/d/88XgQg4nvRX-Fg</v>
      </c>
      <c r="J1589" s="50"/>
      <c r="K1589" s="58">
        <f>IFERROR(__xludf.DUMMYFUNCTION("""COMPUTED_VALUE"""),45972.0)</f>
        <v>45972</v>
      </c>
      <c r="L1589" s="6">
        <v>30.0</v>
      </c>
      <c r="M1589" s="52">
        <v>46002.0</v>
      </c>
      <c r="N1589" s="53" t="s">
        <v>711</v>
      </c>
      <c r="O1589" s="19" t="s">
        <v>1438</v>
      </c>
      <c r="P1589" s="6"/>
      <c r="Q1589" s="6"/>
      <c r="R1589" s="6"/>
    </row>
    <row r="1590">
      <c r="A1590" s="31" t="str">
        <f>IFERROR(__xludf.DUMMYFUNCTION("""COMPUTED_VALUE"""),"1338")</f>
        <v>1338</v>
      </c>
      <c r="B1590" s="14" t="str">
        <f>IFERROR(__xludf.DUMMYFUNCTION("""COMPUTED_VALUE"""),"ВНЕ СПИСКА")</f>
        <v>ВНЕ СПИСКА</v>
      </c>
      <c r="C1590" s="14" t="str">
        <f>IFERROR(__xludf.DUMMYFUNCTION("""COMPUTED_VALUE"""),"ОКС")</f>
        <v>ОКС</v>
      </c>
      <c r="D1590" s="6" t="str">
        <f>IFERROR(__xludf.DUMMYFUNCTION("""COMPUTED_VALUE"""),"да")</f>
        <v>да</v>
      </c>
      <c r="E1590" s="14" t="str">
        <f>IFERROR(__xludf.DUMMYFUNCTION("""COMPUTED_VALUE"""),"Осмотр итогов строительства средней общеобразовательной школы на 1000 мест, корп. 8 ЗАО, ул. Озерная, вл. 42-44 ")</f>
        <v>Осмотр итогов строительства средней общеобразовательной школы на 1000 мест, корп. 8 ЗАО, ул. Озерная, вл. 42-44 </v>
      </c>
      <c r="F1590" s="25" t="str">
        <f>IFERROR(__xludf.DUMMYFUNCTION("""COMPUTED_VALUE"""),"55.669999907394924")</f>
        <v>55.669999907394924</v>
      </c>
      <c r="G1590" s="6" t="str">
        <f>IFERROR(__xludf.DUMMYFUNCTION("""COMPUTED_VALUE"""),"37.43651406872443")</f>
        <v>37.43651406872443</v>
      </c>
      <c r="H1590" s="18" t="str">
        <f>IFERROR(__xludf.DUMMYFUNCTION("""COMPUTED_VALUE"""),"https://docs.google.com/spreadsheets/d/1EI7qusa674eJhuaw-nWWtWMEHVSYMQv7HLsInEZTWpE/edit?gid=1412429298#gid=1412429298")</f>
        <v>https://docs.google.com/spreadsheets/d/1EI7qusa674eJhuaw-nWWtWMEHVSYMQv7HLsInEZTWpE/edit?gid=1412429298#gid=1412429298</v>
      </c>
      <c r="I1590" s="21" t="str">
        <f>IFERROR(__xludf.DUMMYFUNCTION("""COMPUTED_VALUE"""),"https://disk.yandex.ru/d/q3xDbj1lGRqG7w")</f>
        <v>https://disk.yandex.ru/d/q3xDbj1lGRqG7w</v>
      </c>
      <c r="J1590" s="50"/>
      <c r="K1590" s="58">
        <f>IFERROR(__xludf.DUMMYFUNCTION("""COMPUTED_VALUE"""),45973.0)</f>
        <v>45973</v>
      </c>
      <c r="L1590" s="6">
        <v>30.0</v>
      </c>
      <c r="M1590" s="52">
        <v>46003.0</v>
      </c>
      <c r="N1590" s="53" t="s">
        <v>711</v>
      </c>
      <c r="O1590" s="19" t="s">
        <v>1439</v>
      </c>
      <c r="P1590" s="6"/>
      <c r="Q1590" s="6"/>
      <c r="R1590" s="6"/>
    </row>
    <row r="1591">
      <c r="A1591" s="31" t="str">
        <f>IFERROR(__xludf.DUMMYFUNCTION("""COMPUTED_VALUE"""),"1336")</f>
        <v>1336</v>
      </c>
      <c r="B1591" s="14" t="str">
        <f>IFERROR(__xludf.DUMMYFUNCTION("""COMPUTED_VALUE"""),"ВНЕ СПИСКА")</f>
        <v>ВНЕ СПИСКА</v>
      </c>
      <c r="C1591" s="14" t="str">
        <f>IFERROR(__xludf.DUMMYFUNCTION("""COMPUTED_VALUE"""),"ОКС")</f>
        <v>ОКС</v>
      </c>
      <c r="D1591" s="6" t="str">
        <f>IFERROR(__xludf.DUMMYFUNCTION("""COMPUTED_VALUE"""),"да")</f>
        <v>да</v>
      </c>
      <c r="E1591" s="14" t="str">
        <f>IFERROR(__xludf.DUMMYFUNCTION("""COMPUTED_VALUE"""),"Осмотр строящегося образовательного комплекса в составе 1375 школьных мест и 200 мест в дошкольном отделении поселение Рязановское, c. Остафьево ЖК «Остафьево»
улица Любучанская, земельный участок 6, земельный участок 8")</f>
        <v>Осмотр строящегося образовательного комплекса в составе 1375 школьных мест и 200 мест в дошкольном отделении поселение Рязановское, c. Остафьево ЖК «Остафьево»
улица Любучанская, земельный участок 6, земельный участок 8</v>
      </c>
      <c r="F1591" s="25" t="str">
        <f>IFERROR(__xludf.DUMMYFUNCTION("""COMPUTED_VALUE"""),"55.49690012009288")</f>
        <v>55.49690012009288</v>
      </c>
      <c r="G1591" s="6" t="str">
        <f>IFERROR(__xludf.DUMMYFUNCTION("""COMPUTED_VALUE"""),"37.527291375731835")</f>
        <v>37.527291375731835</v>
      </c>
      <c r="H1591" s="18" t="str">
        <f>IFERROR(__xludf.DUMMYFUNCTION("""COMPUTED_VALUE"""),"https://docs.google.com/spreadsheets/d/1EI7qusa674eJhuaw-nWWtWMEHVSYMQv7HLsInEZTWpE/edit?gid=2032019827#gid=2032019827")</f>
        <v>https://docs.google.com/spreadsheets/d/1EI7qusa674eJhuaw-nWWtWMEHVSYMQv7HLsInEZTWpE/edit?gid=2032019827#gid=2032019827</v>
      </c>
      <c r="I1591" s="21" t="str">
        <f>IFERROR(__xludf.DUMMYFUNCTION("""COMPUTED_VALUE"""),"https://disk.yandex.ru/d/E7sE4Ci74fL9Sw")</f>
        <v>https://disk.yandex.ru/d/E7sE4Ci74fL9Sw</v>
      </c>
      <c r="J1591" s="50"/>
      <c r="K1591" s="58">
        <f>IFERROR(__xludf.DUMMYFUNCTION("""COMPUTED_VALUE"""),45958.0)</f>
        <v>45958</v>
      </c>
      <c r="L1591" s="6">
        <v>30.0</v>
      </c>
      <c r="M1591" s="52">
        <v>45988.0</v>
      </c>
      <c r="N1591" s="53" t="s">
        <v>741</v>
      </c>
      <c r="O1591" s="19" t="s">
        <v>669</v>
      </c>
      <c r="P1591" s="6"/>
      <c r="Q1591" s="6"/>
      <c r="R1591" s="6"/>
    </row>
    <row r="1592">
      <c r="A1592" s="31" t="str">
        <f>IFERROR(__xludf.DUMMYFUNCTION("""COMPUTED_VALUE"""),"057")</f>
        <v>057</v>
      </c>
      <c r="B1592" s="14" t="str">
        <f>IFERROR(__xludf.DUMMYFUNCTION("""COMPUTED_VALUE"""),"ВНЕ СПИСКА")</f>
        <v>ВНЕ СПИСКА</v>
      </c>
      <c r="C1592" s="14" t="str">
        <f>IFERROR(__xludf.DUMMYFUNCTION("""COMPUTED_VALUE"""),"ОКС")</f>
        <v>ОКС</v>
      </c>
      <c r="D1592" s="6" t="str">
        <f>IFERROR(__xludf.DUMMYFUNCTION("""COMPUTED_VALUE"""),"да")</f>
        <v>да</v>
      </c>
      <c r="E1592" s="14" t="str">
        <f>IFERROR(__xludf.DUMMYFUNCTION("""COMPUTED_VALUE"""),"Осмотр строящегося образовательного комплекса в составе 1275 школьных мест и 350 мест в дошкольном отделении НАО, п. Марушкнское, вблизи дер. Большое Свинорье, ЖК «Квартал Западный»")</f>
        <v>Осмотр строящегося образовательного комплекса в составе 1275 школьных мест и 350 мест в дошкольном отделении НАО, п. Марушкнское, вблизи дер. Большое Свинорье, ЖК «Квартал Западный»</v>
      </c>
      <c r="F1592" s="25" t="str">
        <f>IFERROR(__xludf.DUMMYFUNCTION("""COMPUTED_VALUE"""),"55.58231204143675")</f>
        <v>55.58231204143675</v>
      </c>
      <c r="G1592" s="6" t="str">
        <f>IFERROR(__xludf.DUMMYFUNCTION("""COMPUTED_VALUE"""),"37.14631837035806")</f>
        <v>37.14631837035806</v>
      </c>
      <c r="H1592" s="18" t="str">
        <f>IFERROR(__xludf.DUMMYFUNCTION("""COMPUTED_VALUE"""),"https://docs.google.com/spreadsheets/d/1EI7qusa674eJhuaw-nWWtWMEHVSYMQv7HLsInEZTWpE/edit?gid=1550603494#gid=1550603494")</f>
        <v>https://docs.google.com/spreadsheets/d/1EI7qusa674eJhuaw-nWWtWMEHVSYMQv7HLsInEZTWpE/edit?gid=1550603494#gid=1550603494</v>
      </c>
      <c r="I1592" s="19"/>
      <c r="J1592" s="50"/>
      <c r="K1592" s="58">
        <f>IFERROR(__xludf.DUMMYFUNCTION("""COMPUTED_VALUE"""),45959.0)</f>
        <v>45959</v>
      </c>
      <c r="L1592" s="6">
        <v>30.0</v>
      </c>
      <c r="M1592" s="52">
        <v>45989.0</v>
      </c>
      <c r="N1592" s="53" t="s">
        <v>692</v>
      </c>
      <c r="O1592" s="19" t="s">
        <v>669</v>
      </c>
      <c r="P1592" s="6"/>
      <c r="Q1592" s="6"/>
      <c r="R1592" s="6"/>
    </row>
    <row r="1593">
      <c r="A1593" s="31" t="str">
        <f>IFERROR(__xludf.DUMMYFUNCTION("""COMPUTED_VALUE"""),"1335")</f>
        <v>1335</v>
      </c>
      <c r="B1593" s="14" t="str">
        <f>IFERROR(__xludf.DUMMYFUNCTION("""COMPUTED_VALUE"""),"ВНЕ СПИСКА")</f>
        <v>ВНЕ СПИСКА</v>
      </c>
      <c r="C1593" s="14" t="str">
        <f>IFERROR(__xludf.DUMMYFUNCTION("""COMPUTED_VALUE"""),"ОКС")</f>
        <v>ОКС</v>
      </c>
      <c r="D1593" s="6" t="str">
        <f>IFERROR(__xludf.DUMMYFUNCTION("""COMPUTED_VALUE"""),"да")</f>
        <v>да</v>
      </c>
      <c r="E1593" s="14" t="str">
        <f>IFERROR(__xludf.DUMMYFUNCTION("""COMPUTED_VALUE"""),"Осмотр итогов строительства детского сада в составе 270 мест, ЮАО, Даниловский район, ул. Автозаводская, вл. 23/77 ул. Автозаводская, вл. 23/77
")</f>
        <v>Осмотр итогов строительства детского сада в составе 270 мест, ЮАО, Даниловский район, ул. Автозаводская, вл. 23/77 ул. Автозаводская, вл. 23/77
</v>
      </c>
      <c r="F1593" s="25" t="str">
        <f>IFERROR(__xludf.DUMMYFUNCTION("""COMPUTED_VALUE"""),"55.688107085431845")</f>
        <v>55.688107085431845</v>
      </c>
      <c r="G1593" s="6" t="str">
        <f>IFERROR(__xludf.DUMMYFUNCTION("""COMPUTED_VALUE"""),"37.642054172023514")</f>
        <v>37.642054172023514</v>
      </c>
      <c r="H1593" s="18" t="str">
        <f>IFERROR(__xludf.DUMMYFUNCTION("""COMPUTED_VALUE"""),"https://docs.google.com/spreadsheets/d/1EI7qusa674eJhuaw-nWWtWMEHVSYMQv7HLsInEZTWpE/edit?gid=230773618#gid=230773618")</f>
        <v>https://docs.google.com/spreadsheets/d/1EI7qusa674eJhuaw-nWWtWMEHVSYMQv7HLsInEZTWpE/edit?gid=230773618#gid=230773618</v>
      </c>
      <c r="I1593" s="21" t="str">
        <f>IFERROR(__xludf.DUMMYFUNCTION("""COMPUTED_VALUE"""),"https://disk.yandex.ru/d/RQWYI5lREkHOFg")</f>
        <v>https://disk.yandex.ru/d/RQWYI5lREkHOFg</v>
      </c>
      <c r="J1593" s="50"/>
      <c r="K1593" s="58">
        <f>IFERROR(__xludf.DUMMYFUNCTION("""COMPUTED_VALUE"""),45958.0)</f>
        <v>45958</v>
      </c>
      <c r="L1593" s="6">
        <v>30.0</v>
      </c>
      <c r="M1593" s="52">
        <v>45988.0</v>
      </c>
      <c r="N1593" s="53" t="s">
        <v>741</v>
      </c>
      <c r="O1593" s="19" t="s">
        <v>669</v>
      </c>
      <c r="P1593" s="6"/>
      <c r="Q1593" s="6"/>
      <c r="R1593" s="6"/>
    </row>
    <row r="1594">
      <c r="A1594" s="31" t="str">
        <f>IFERROR(__xludf.DUMMYFUNCTION("""COMPUTED_VALUE"""),"н/д")</f>
        <v>н/д</v>
      </c>
      <c r="B1594" s="14" t="str">
        <f>IFERROR(__xludf.DUMMYFUNCTION("""COMPUTED_VALUE"""),"ВНЕ СПИСКА")</f>
        <v>ВНЕ СПИСКА</v>
      </c>
      <c r="C1594" s="14" t="str">
        <f>IFERROR(__xludf.DUMMYFUNCTION("""COMPUTED_VALUE"""),"ОКС")</f>
        <v>ОКС</v>
      </c>
      <c r="D1594" s="6" t="str">
        <f>IFERROR(__xludf.DUMMYFUNCTION("""COMPUTED_VALUE"""),"да")</f>
        <v>да</v>
      </c>
      <c r="E1594" s="14" t="str">
        <f>IFERROR(__xludf.DUMMYFUNCTION("""COMPUTED_VALUE"""),"ДОУ на 350 мест в пос. Новофедоровское, д. Яковлевское пос. Новофедоровское, д. Яковлевское")</f>
        <v>ДОУ на 350 мест в пос. Новофедоровское, д. Яковлевское пос. Новофедоровское, д. Яковлевское</v>
      </c>
      <c r="F1594" s="25" t="str">
        <f>IFERROR(__xludf.DUMMYFUNCTION("""COMPUTED_VALUE"""),"#N/A")</f>
        <v>#N/A</v>
      </c>
      <c r="G1594" s="6" t="str">
        <f>IFERROR(__xludf.DUMMYFUNCTION("""COMPUTED_VALUE"""),"#N/A")</f>
        <v>#N/A</v>
      </c>
      <c r="H1594" s="6"/>
      <c r="I1594" s="19"/>
      <c r="J1594" s="50"/>
      <c r="K1594" s="58"/>
      <c r="L1594" s="6">
        <v>30.0</v>
      </c>
      <c r="M1594" s="52" t="s">
        <v>655</v>
      </c>
      <c r="N1594" s="53" t="s">
        <v>698</v>
      </c>
      <c r="O1594" s="19" t="s">
        <v>1440</v>
      </c>
      <c r="P1594" s="6"/>
      <c r="Q1594" s="6"/>
      <c r="R1594" s="6"/>
    </row>
    <row r="1595">
      <c r="A1595" s="31" t="str">
        <f>IFERROR(__xludf.DUMMYFUNCTION("""COMPUTED_VALUE"""),"н/д")</f>
        <v>н/д</v>
      </c>
      <c r="B1595" s="14" t="str">
        <f>IFERROR(__xludf.DUMMYFUNCTION("""COMPUTED_VALUE"""),"ВНЕ СПИСКА")</f>
        <v>ВНЕ СПИСКА</v>
      </c>
      <c r="C1595" s="14" t="str">
        <f>IFERROR(__xludf.DUMMYFUNCTION("""COMPUTED_VALUE"""),"ОКС")</f>
        <v>ОКС</v>
      </c>
      <c r="D1595" s="6"/>
      <c r="E1595" s="14" t="str">
        <f>IFERROR(__xludf.DUMMYFUNCTION("""COMPUTED_VALUE"""),"Дошкольное здание на 200 мест, ул. Шоссейная, д. 90, стр. 7, р-н Печатники (передача в МФР) ул. Шоссейная, д. 90, стр. 7, р-н Печатники")</f>
        <v>Дошкольное здание на 200 мест, ул. Шоссейная, д. 90, стр. 7, р-н Печатники (передача в МФР) ул. Шоссейная, д. 90, стр. 7, р-н Печатники</v>
      </c>
      <c r="F1595" s="25" t="str">
        <f>IFERROR(__xludf.DUMMYFUNCTION("""COMPUTED_VALUE"""),"#N/A")</f>
        <v>#N/A</v>
      </c>
      <c r="G1595" s="6" t="str">
        <f>IFERROR(__xludf.DUMMYFUNCTION("""COMPUTED_VALUE"""),"#N/A")</f>
        <v>#N/A</v>
      </c>
      <c r="H1595" s="6"/>
      <c r="I1595" s="19"/>
      <c r="J1595" s="50"/>
      <c r="K1595" s="58"/>
      <c r="L1595" s="6">
        <v>30.0</v>
      </c>
      <c r="M1595" s="52" t="s">
        <v>655</v>
      </c>
      <c r="N1595" s="53" t="s">
        <v>698</v>
      </c>
      <c r="O1595" s="19" t="s">
        <v>1441</v>
      </c>
      <c r="P1595" s="6"/>
      <c r="Q1595" s="6"/>
      <c r="R1595" s="6"/>
    </row>
    <row r="1596">
      <c r="A1596" s="31" t="str">
        <f>IFERROR(__xludf.DUMMYFUNCTION("""COMPUTED_VALUE"""),"н/д")</f>
        <v>н/д</v>
      </c>
      <c r="B1596" s="14" t="str">
        <f>IFERROR(__xludf.DUMMYFUNCTION("""COMPUTED_VALUE"""),"ВНЕ СПИСКА")</f>
        <v>ВНЕ СПИСКА</v>
      </c>
      <c r="C1596" s="14" t="str">
        <f>IFERROR(__xludf.DUMMYFUNCTION("""COMPUTED_VALUE"""),"ОКС")</f>
        <v>ОКС</v>
      </c>
      <c r="D1596" s="6"/>
      <c r="E1596" s="14" t="str">
        <f>IFERROR(__xludf.DUMMYFUNCTION("""COMPUTED_VALUE"""),"Здание образовательной организации максимальной вместимости (не менее 675 мест) на месте сноса существующего школьного здания по адресу: ул. Климашкина, д. 13б, стр. 1, р-н Пресненский ул. Климашкина, д. 13б, стр. 1, р-н Пресненский")</f>
        <v>Здание образовательной организации максимальной вместимости (не менее 675 мест) на месте сноса существующего школьного здания по адресу: ул. Климашкина, д. 13б, стр. 1, р-н Пресненский ул. Климашкина, д. 13б, стр. 1, р-н Пресненский</v>
      </c>
      <c r="F1596" s="25" t="str">
        <f>IFERROR(__xludf.DUMMYFUNCTION("""COMPUTED_VALUE"""),"#N/A")</f>
        <v>#N/A</v>
      </c>
      <c r="G1596" s="6" t="str">
        <f>IFERROR(__xludf.DUMMYFUNCTION("""COMPUTED_VALUE"""),"#N/A")</f>
        <v>#N/A</v>
      </c>
      <c r="H1596" s="6"/>
      <c r="I1596" s="19"/>
      <c r="J1596" s="50"/>
      <c r="K1596" s="58"/>
      <c r="L1596" s="6">
        <v>30.0</v>
      </c>
      <c r="M1596" s="52" t="s">
        <v>655</v>
      </c>
      <c r="N1596" s="53" t="s">
        <v>698</v>
      </c>
      <c r="O1596" s="19" t="s">
        <v>1442</v>
      </c>
      <c r="P1596" s="6"/>
      <c r="Q1596" s="6"/>
      <c r="R1596" s="6"/>
    </row>
    <row r="1597">
      <c r="A1597" s="31" t="str">
        <f>IFERROR(__xludf.DUMMYFUNCTION("""COMPUTED_VALUE"""),"1341")</f>
        <v>1341</v>
      </c>
      <c r="B1597" s="14" t="str">
        <f>IFERROR(__xludf.DUMMYFUNCTION("""COMPUTED_VALUE"""),"ВНЕ СПИСКА")</f>
        <v>ВНЕ СПИСКА</v>
      </c>
      <c r="C1597" s="14" t="str">
        <f>IFERROR(__xludf.DUMMYFUNCTION("""COMPUTED_VALUE"""),"ОКС")</f>
        <v>ОКС</v>
      </c>
      <c r="D1597" s="6" t="str">
        <f>IFERROR(__xludf.DUMMYFUNCTION("""COMPUTED_VALUE"""),"да")</f>
        <v>да</v>
      </c>
      <c r="E1597" s="14" t="str">
        <f>IFERROR(__xludf.DUMMYFUNCTION("""COMPUTED_VALUE"""),"Открытие производства изделий из пластика в Некрасовке р-н Некрасовка, ул. Маршала Еременко ")</f>
        <v>Открытие производства изделий из пластика в Некрасовке р-н Некрасовка, ул. Маршала Еременко </v>
      </c>
      <c r="F1597" s="25" t="str">
        <f>IFERROR(__xludf.DUMMYFUNCTION("""COMPUTED_VALUE"""),"55.718922")</f>
        <v>55.718922</v>
      </c>
      <c r="G1597" s="6" t="str">
        <f>IFERROR(__xludf.DUMMYFUNCTION("""COMPUTED_VALUE"""),"37.951350")</f>
        <v>37.951350</v>
      </c>
      <c r="H1597" s="18" t="str">
        <f>IFERROR(__xludf.DUMMYFUNCTION("""COMPUTED_VALUE"""),"https://docs.google.com/spreadsheets/d/1EI7qusa674eJhuaw-nWWtWMEHVSYMQv7HLsInEZTWpE/edit?gid=1568412544#gid=1568412544")</f>
        <v>https://docs.google.com/spreadsheets/d/1EI7qusa674eJhuaw-nWWtWMEHVSYMQv7HLsInEZTWpE/edit?gid=1568412544#gid=1568412544</v>
      </c>
      <c r="I1597" s="21" t="str">
        <f>IFERROR(__xludf.DUMMYFUNCTION("""COMPUTED_VALUE"""),"https://disk.yandex.ru/d/yUPiYApIyIk7Ag")</f>
        <v>https://disk.yandex.ru/d/yUPiYApIyIk7Ag</v>
      </c>
      <c r="J1597" s="50"/>
      <c r="K1597" s="58">
        <f>IFERROR(__xludf.DUMMYFUNCTION("""COMPUTED_VALUE"""),45971.0)</f>
        <v>45971</v>
      </c>
      <c r="L1597" s="6">
        <v>30.0</v>
      </c>
      <c r="M1597" s="52">
        <v>46001.0</v>
      </c>
      <c r="N1597" s="53" t="s">
        <v>711</v>
      </c>
      <c r="O1597" s="19"/>
      <c r="P1597" s="6"/>
      <c r="Q1597" s="6"/>
      <c r="R1597" s="6"/>
    </row>
    <row r="1598">
      <c r="A1598" s="31" t="str">
        <f>IFERROR(__xludf.DUMMYFUNCTION("""COMPUTED_VALUE"""),"1340")</f>
        <v>1340</v>
      </c>
      <c r="B1598" s="14" t="str">
        <f>IFERROR(__xludf.DUMMYFUNCTION("""COMPUTED_VALUE"""),"ВНЕ СПИСКА")</f>
        <v>ВНЕ СПИСКА</v>
      </c>
      <c r="C1598" s="14" t="str">
        <f>IFERROR(__xludf.DUMMYFUNCTION("""COMPUTED_VALUE"""),"ОКС")</f>
        <v>ОКС</v>
      </c>
      <c r="D1598" s="6" t="str">
        <f>IFERROR(__xludf.DUMMYFUNCTION("""COMPUTED_VALUE"""),"да")</f>
        <v>да</v>
      </c>
      <c r="E1598" s="14" t="str">
        <f>IFERROR(__xludf.DUMMYFUNCTION("""COMPUTED_VALUE"""),"Открытие картинной галереи в отреставрированном ОКН «
на станции Москва-Товарная Рязано-Уральской железной дороги, 1898 г.,
инженер Н.А. Виноградов», р-н Даниловский, 1-й Павелецкий пр-д,
сооружение 1/42 к. 2, стр. 1")</f>
        <v>Открытие картинной галереи в отреставрированном ОКН «
на станции Москва-Товарная Рязано-Уральской железной дороги, 1898 г.,
инженер Н.А. Виноградов», р-н Даниловский, 1-й Павелецкий пр-д,
сооружение 1/42 к. 2, стр. 1</v>
      </c>
      <c r="F1598" s="25" t="str">
        <f>IFERROR(__xludf.DUMMYFUNCTION("""COMPUTED_VALUE"""),"55.717353")</f>
        <v>55.717353</v>
      </c>
      <c r="G1598" s="6" t="str">
        <f>IFERROR(__xludf.DUMMYFUNCTION("""COMPUTED_VALUE"""),"37.643951")</f>
        <v>37.643951</v>
      </c>
      <c r="H1598" s="18" t="str">
        <f>IFERROR(__xludf.DUMMYFUNCTION("""COMPUTED_VALUE"""),"https://docs.google.com/spreadsheets/d/1EI7qusa674eJhuaw-nWWtWMEHVSYMQv7HLsInEZTWpE/edit?gid=2065488739#gid=2065488739")</f>
        <v>https://docs.google.com/spreadsheets/d/1EI7qusa674eJhuaw-nWWtWMEHVSYMQv7HLsInEZTWpE/edit?gid=2065488739#gid=2065488739</v>
      </c>
      <c r="I1598" s="21" t="str">
        <f>IFERROR(__xludf.DUMMYFUNCTION("""COMPUTED_VALUE"""),"https://disk.yandex.ru/d/s17WL0GFDbRVkw")</f>
        <v>https://disk.yandex.ru/d/s17WL0GFDbRVkw</v>
      </c>
      <c r="J1598" s="50"/>
      <c r="K1598" s="58">
        <f>IFERROR(__xludf.DUMMYFUNCTION("""COMPUTED_VALUE"""),45957.0)</f>
        <v>45957</v>
      </c>
      <c r="L1598" s="6">
        <v>30.0</v>
      </c>
      <c r="M1598" s="52">
        <v>45987.0</v>
      </c>
      <c r="N1598" s="53" t="s">
        <v>741</v>
      </c>
      <c r="O1598" s="19" t="s">
        <v>1443</v>
      </c>
      <c r="P1598" s="6"/>
      <c r="Q1598" s="6"/>
      <c r="R1598" s="6"/>
    </row>
    <row r="1599">
      <c r="A1599" s="31" t="str">
        <f>IFERROR(__xludf.DUMMYFUNCTION("""COMPUTED_VALUE"""),"1342")</f>
        <v>1342</v>
      </c>
      <c r="B1599" s="14" t="str">
        <f>IFERROR(__xludf.DUMMYFUNCTION("""COMPUTED_VALUE"""),"ВНЕ СПИСКА")</f>
        <v>ВНЕ СПИСКА</v>
      </c>
      <c r="C1599" s="14" t="str">
        <f>IFERROR(__xludf.DUMMYFUNCTION("""COMPUTED_VALUE"""),"ОКС")</f>
        <v>ОКС</v>
      </c>
      <c r="D1599" s="6" t="str">
        <f>IFERROR(__xludf.DUMMYFUNCTION("""COMPUTED_VALUE"""),"да")</f>
        <v>да</v>
      </c>
      <c r="E1599" s="14" t="str">
        <f>IFERROR(__xludf.DUMMYFUNCTION("""COMPUTED_VALUE"""),"Многофункциональный торговый центр Старобитцевская ул., земельный участок 11. к.н. 77:06:0011001:8632")</f>
        <v>Многофункциональный торговый центр Старобитцевская ул., земельный участок 11. к.н. 77:06:0011001:8632</v>
      </c>
      <c r="F1599" s="25" t="str">
        <f>IFERROR(__xludf.DUMMYFUNCTION("""COMPUTED_VALUE"""),"#N/A")</f>
        <v>#N/A</v>
      </c>
      <c r="G1599" s="6" t="str">
        <f>IFERROR(__xludf.DUMMYFUNCTION("""COMPUTED_VALUE"""),"#N/A")</f>
        <v>#N/A</v>
      </c>
      <c r="H1599" s="6"/>
      <c r="I1599" s="19"/>
      <c r="J1599" s="50"/>
      <c r="K1599" s="58">
        <f>IFERROR(__xludf.DUMMYFUNCTION("""COMPUTED_VALUE"""),45953.0)</f>
        <v>45953</v>
      </c>
      <c r="L1599" s="6">
        <v>30.0</v>
      </c>
      <c r="M1599" s="52">
        <v>45983.0</v>
      </c>
      <c r="N1599" s="53" t="s">
        <v>741</v>
      </c>
      <c r="O1599" s="19" t="s">
        <v>669</v>
      </c>
      <c r="P1599" s="6"/>
      <c r="Q1599" s="6"/>
      <c r="R1599" s="6"/>
    </row>
    <row r="1600">
      <c r="A1600" s="31" t="str">
        <f>IFERROR(__xludf.DUMMYFUNCTION("""COMPUTED_VALUE"""),"1347")</f>
        <v>1347</v>
      </c>
      <c r="B1600" s="14" t="str">
        <f>IFERROR(__xludf.DUMMYFUNCTION("""COMPUTED_VALUE"""),"ВНЕ СПИСКА")</f>
        <v>ВНЕ СПИСКА</v>
      </c>
      <c r="C1600" s="14" t="str">
        <f>IFERROR(__xludf.DUMMYFUNCTION("""COMPUTED_VALUE"""),"ОКС")</f>
        <v>ОКС</v>
      </c>
      <c r="D1600" s="6"/>
      <c r="E1600" s="14" t="str">
        <f>IFERROR(__xludf.DUMMYFUNCTION("""COMPUTED_VALUE"""),"Административное здание ОМОН (на транспорте) ""Меч"" Главного управления Росгвардии по городу Москве по адресу: г. Москва, ул.Нижние Мневники, д. 17 (Северо-Западный административный округ г. Москвы) ул. Нижние Мневники, д. 17 (Северо-Западный администрат"&amp;"ивный округ)")</f>
        <v>Административное здание ОМОН (на транспорте) "Меч" Главного управления Росгвардии по городу Москве по адресу: г. Москва, ул.Нижние Мневники, д. 17 (Северо-Западный административный округ г. Москвы) ул. Нижние Мневники, д. 17 (Северо-Западный административный округ)</v>
      </c>
      <c r="F1600" s="25" t="str">
        <f>IFERROR(__xludf.DUMMYFUNCTION("""COMPUTED_VALUE"""),"#N/A")</f>
        <v>#N/A</v>
      </c>
      <c r="G1600" s="6" t="str">
        <f>IFERROR(__xludf.DUMMYFUNCTION("""COMPUTED_VALUE"""),"#N/A")</f>
        <v>#N/A</v>
      </c>
      <c r="H1600" s="18" t="str">
        <f>IFERROR(__xludf.DUMMYFUNCTION("""COMPUTED_VALUE"""),"https://docs.google.com/spreadsheets/d/1EI7qusa674eJhuaw-nWWtWMEHVSYMQv7HLsInEZTWpE/edit?gid=680394849#gid=680394849")</f>
        <v>https://docs.google.com/spreadsheets/d/1EI7qusa674eJhuaw-nWWtWMEHVSYMQv7HLsInEZTWpE/edit?gid=680394849#gid=680394849</v>
      </c>
      <c r="I1600" s="19"/>
      <c r="J1600" s="50"/>
      <c r="K1600" s="58">
        <f>IFERROR(__xludf.DUMMYFUNCTION("""COMPUTED_VALUE"""),45958.0)</f>
        <v>45958</v>
      </c>
      <c r="L1600" s="6">
        <v>30.0</v>
      </c>
      <c r="M1600" s="52">
        <v>45988.0</v>
      </c>
      <c r="N1600" s="53" t="s">
        <v>741</v>
      </c>
      <c r="O1600" s="19" t="s">
        <v>1444</v>
      </c>
      <c r="P1600" s="6"/>
      <c r="Q1600" s="6"/>
      <c r="R1600" s="6"/>
    </row>
    <row r="1601">
      <c r="A1601" s="31" t="str">
        <f>IFERROR(__xludf.DUMMYFUNCTION("""COMPUTED_VALUE"""),"1348")</f>
        <v>1348</v>
      </c>
      <c r="B1601" s="14" t="str">
        <f>IFERROR(__xludf.DUMMYFUNCTION("""COMPUTED_VALUE"""),"ВНЕ СПИСКА")</f>
        <v>ВНЕ СПИСКА</v>
      </c>
      <c r="C1601" s="14" t="str">
        <f>IFERROR(__xludf.DUMMYFUNCTION("""COMPUTED_VALUE"""),"ОКС")</f>
        <v>ОКС</v>
      </c>
      <c r="D1601" s="6"/>
      <c r="E1601" s="14" t="str">
        <f>IFERROR(__xludf.DUMMYFUNCTION("""COMPUTED_VALUE"""),"Административное здание, по адресу: 3-й Колобовский пер., д. 16, стр.6, р-н Тверской 3-й Колобовский переулок, д. 16, стр.6")</f>
        <v>Административное здание, по адресу: 3-й Колобовский пер., д. 16, стр.6, р-н Тверской 3-й Колобовский переулок, д. 16, стр.6</v>
      </c>
      <c r="F1601" s="25" t="str">
        <f>IFERROR(__xludf.DUMMYFUNCTION("""COMPUTED_VALUE"""),"55.770090")</f>
        <v>55.770090</v>
      </c>
      <c r="G1601" s="6" t="str">
        <f>IFERROR(__xludf.DUMMYFUNCTION("""COMPUTED_VALUE"""),"37.617207")</f>
        <v>37.617207</v>
      </c>
      <c r="H1601" s="18" t="str">
        <f>IFERROR(__xludf.DUMMYFUNCTION("""COMPUTED_VALUE"""),"https://docs.google.com/spreadsheets/d/1EI7qusa674eJhuaw-nWWtWMEHVSYMQv7HLsInEZTWpE/edit?gid=410419708#gid=410419708")</f>
        <v>https://docs.google.com/spreadsheets/d/1EI7qusa674eJhuaw-nWWtWMEHVSYMQv7HLsInEZTWpE/edit?gid=410419708#gid=410419708</v>
      </c>
      <c r="I1601" s="19"/>
      <c r="J1601" s="50"/>
      <c r="K1601" s="58">
        <f>IFERROR(__xludf.DUMMYFUNCTION("""COMPUTED_VALUE"""),45959.0)</f>
        <v>45959</v>
      </c>
      <c r="L1601" s="6">
        <v>30.0</v>
      </c>
      <c r="M1601" s="52">
        <v>45989.0</v>
      </c>
      <c r="N1601" s="53" t="s">
        <v>692</v>
      </c>
      <c r="O1601" s="19" t="s">
        <v>1445</v>
      </c>
      <c r="P1601" s="6"/>
      <c r="Q1601" s="6"/>
      <c r="R1601" s="6"/>
    </row>
    <row r="1602">
      <c r="A1602" s="31" t="str">
        <f>IFERROR(__xludf.DUMMYFUNCTION("""COMPUTED_VALUE"""),"н/д")</f>
        <v>н/д</v>
      </c>
      <c r="B1602" s="14" t="str">
        <f>IFERROR(__xludf.DUMMYFUNCTION("""COMPUTED_VALUE"""),"ВНЕ СПИСКА")</f>
        <v>ВНЕ СПИСКА</v>
      </c>
      <c r="C1602" s="14"/>
      <c r="D1602" s="6"/>
      <c r="E1602" s="14" t="str">
        <f>IFERROR(__xludf.DUMMYFUNCTION("""COMPUTED_VALUE"""),"Строительство велопешеходного моста в рамках концепции развития МГТУ им. Н.Э.Баумана г. Москва, Госпитальная набережная")</f>
        <v>Строительство велопешеходного моста в рамках концепции развития МГТУ им. Н.Э.Баумана г. Москва, Госпитальная набережная</v>
      </c>
      <c r="F1602" s="25" t="str">
        <f>IFERROR(__xludf.DUMMYFUNCTION("""COMPUTED_VALUE"""),"#N/A")</f>
        <v>#N/A</v>
      </c>
      <c r="G1602" s="6" t="str">
        <f>IFERROR(__xludf.DUMMYFUNCTION("""COMPUTED_VALUE"""),"#N/A")</f>
        <v>#N/A</v>
      </c>
      <c r="H1602" s="6"/>
      <c r="I1602" s="19"/>
      <c r="J1602" s="50"/>
      <c r="K1602" s="58"/>
      <c r="L1602" s="6">
        <v>30.0</v>
      </c>
      <c r="M1602" s="52" t="s">
        <v>655</v>
      </c>
      <c r="N1602" s="53" t="s">
        <v>652</v>
      </c>
      <c r="O1602" s="19" t="s">
        <v>1446</v>
      </c>
      <c r="P1602" s="6"/>
      <c r="Q1602" s="6"/>
      <c r="R1602" s="6"/>
    </row>
    <row r="1603">
      <c r="A1603" s="31" t="str">
        <f>IFERROR(__xludf.DUMMYFUNCTION("""COMPUTED_VALUE"""),"н/д")</f>
        <v>н/д</v>
      </c>
      <c r="B1603" s="14" t="str">
        <f>IFERROR(__xludf.DUMMYFUNCTION("""COMPUTED_VALUE"""),"ВНЕ СПИСКА")</f>
        <v>ВНЕ СПИСКА</v>
      </c>
      <c r="C1603" s="14"/>
      <c r="D1603" s="6"/>
      <c r="E1603" s="14" t="str">
        <f>IFERROR(__xludf.DUMMYFUNCTION("""COMPUTED_VALUE"""),"Реконструкция Котляково-Коломенских групповых очистных сооружений поверхностных и близких к ним по составу производственных сточных вод Котляковский 1-й пер., д.15, корп.1")</f>
        <v>Реконструкция Котляково-Коломенских групповых очистных сооружений поверхностных и близких к ним по составу производственных сточных вод Котляковский 1-й пер., д.15, корп.1</v>
      </c>
      <c r="F1603" s="25" t="str">
        <f>IFERROR(__xludf.DUMMYFUNCTION("""COMPUTED_VALUE"""),"#N/A")</f>
        <v>#N/A</v>
      </c>
      <c r="G1603" s="6" t="str">
        <f>IFERROR(__xludf.DUMMYFUNCTION("""COMPUTED_VALUE"""),"#N/A")</f>
        <v>#N/A</v>
      </c>
      <c r="H1603" s="6"/>
      <c r="I1603" s="19"/>
      <c r="J1603" s="50"/>
      <c r="K1603" s="58"/>
      <c r="L1603" s="6">
        <v>30.0</v>
      </c>
      <c r="M1603" s="52" t="s">
        <v>655</v>
      </c>
      <c r="N1603" s="53" t="s">
        <v>698</v>
      </c>
      <c r="O1603" s="19" t="s">
        <v>1447</v>
      </c>
      <c r="P1603" s="6"/>
      <c r="Q1603" s="6"/>
      <c r="R1603" s="6"/>
    </row>
    <row r="1604">
      <c r="A1604" s="31" t="str">
        <f>IFERROR(__xludf.DUMMYFUNCTION("""COMPUTED_VALUE"""),"н/д")</f>
        <v>н/д</v>
      </c>
      <c r="B1604" s="14" t="str">
        <f>IFERROR(__xludf.DUMMYFUNCTION("""COMPUTED_VALUE"""),"ВНЕ СПИСКА")</f>
        <v>ВНЕ СПИСКА</v>
      </c>
      <c r="C1604" s="14" t="str">
        <f>IFERROR(__xludf.DUMMYFUNCTION("""COMPUTED_VALUE"""),"ОКС")</f>
        <v>ОКС</v>
      </c>
      <c r="D1604" s="6"/>
      <c r="E1604" s="14" t="str">
        <f>IFERROR(__xludf.DUMMYFUNCTION("""COMPUTED_VALUE"""),"ЖК на 5-й Магистральной улице, 15 5-я Магистральная, влд.15")</f>
        <v>ЖК на 5-й Магистральной улице, 15 5-я Магистральная, влд.15</v>
      </c>
      <c r="F1604" s="25" t="str">
        <f>IFERROR(__xludf.DUMMYFUNCTION("""COMPUTED_VALUE"""),"#N/A")</f>
        <v>#N/A</v>
      </c>
      <c r="G1604" s="6" t="str">
        <f>IFERROR(__xludf.DUMMYFUNCTION("""COMPUTED_VALUE"""),"#N/A")</f>
        <v>#N/A</v>
      </c>
      <c r="H1604" s="6"/>
      <c r="I1604" s="19"/>
      <c r="J1604" s="50"/>
      <c r="K1604" s="58"/>
      <c r="L1604" s="6">
        <v>30.0</v>
      </c>
      <c r="M1604" s="52" t="s">
        <v>655</v>
      </c>
      <c r="N1604" s="53" t="s">
        <v>698</v>
      </c>
      <c r="O1604" s="19"/>
      <c r="P1604" s="6"/>
      <c r="Q1604" s="6"/>
      <c r="R1604" s="6"/>
    </row>
    <row r="1605">
      <c r="A1605" s="31" t="str">
        <f>IFERROR(__xludf.DUMMYFUNCTION("""COMPUTED_VALUE"""),"н/д")</f>
        <v>н/д</v>
      </c>
      <c r="B1605" s="14" t="str">
        <f>IFERROR(__xludf.DUMMYFUNCTION("""COMPUTED_VALUE"""),"ВНЕ СПИСКА")</f>
        <v>ВНЕ СПИСКА</v>
      </c>
      <c r="C1605" s="14" t="str">
        <f>IFERROR(__xludf.DUMMYFUNCTION("""COMPUTED_VALUE"""),"ОКС")</f>
        <v>ОКС</v>
      </c>
      <c r="D1605" s="6" t="str">
        <f>IFERROR(__xludf.DUMMYFUNCTION("""COMPUTED_VALUE"""),"да")</f>
        <v>да</v>
      </c>
      <c r="E1605" s="14" t="str">
        <f>IFERROR(__xludf.DUMMYFUNCTION("""COMPUTED_VALUE"""),"ЖК «Тринити» Дмитровское ш.71к.3")</f>
        <v>ЖК «Тринити» Дмитровское ш.71к.3</v>
      </c>
      <c r="F1605" s="25" t="str">
        <f>IFERROR(__xludf.DUMMYFUNCTION("""COMPUTED_VALUE"""),"#N/A")</f>
        <v>#N/A</v>
      </c>
      <c r="G1605" s="6" t="str">
        <f>IFERROR(__xludf.DUMMYFUNCTION("""COMPUTED_VALUE"""),"#N/A")</f>
        <v>#N/A</v>
      </c>
      <c r="H1605" s="6"/>
      <c r="I1605" s="19"/>
      <c r="J1605" s="50"/>
      <c r="K1605" s="58"/>
      <c r="L1605" s="6">
        <v>30.0</v>
      </c>
      <c r="M1605" s="52" t="s">
        <v>655</v>
      </c>
      <c r="N1605" s="53" t="s">
        <v>698</v>
      </c>
      <c r="O1605" s="19" t="s">
        <v>669</v>
      </c>
      <c r="P1605" s="6"/>
      <c r="Q1605" s="6"/>
      <c r="R1605" s="6"/>
    </row>
    <row r="1606">
      <c r="A1606" s="31" t="str">
        <f>IFERROR(__xludf.DUMMYFUNCTION("""COMPUTED_VALUE"""),"н/д")</f>
        <v>н/д</v>
      </c>
      <c r="B1606" s="14" t="str">
        <f>IFERROR(__xludf.DUMMYFUNCTION("""COMPUTED_VALUE"""),"ВНЕ СПИСКА")</f>
        <v>ВНЕ СПИСКА</v>
      </c>
      <c r="C1606" s="14" t="str">
        <f>IFERROR(__xludf.DUMMYFUNCTION("""COMPUTED_VALUE"""),"ОКС")</f>
        <v>ОКС</v>
      </c>
      <c r="D1606" s="6" t="str">
        <f>IFERROR(__xludf.DUMMYFUNCTION("""COMPUTED_VALUE"""),"да")</f>
        <v>да</v>
      </c>
      <c r="E1606" s="14" t="str">
        <f>IFERROR(__xludf.DUMMYFUNCTION("""COMPUTED_VALUE"""),"Промышленный технопарк «Бекасово» вн. терр. пос. Киевский, кв.№75")</f>
        <v>Промышленный технопарк «Бекасово» вн. терр. пос. Киевский, кв.№75</v>
      </c>
      <c r="F1606" s="25" t="str">
        <f>IFERROR(__xludf.DUMMYFUNCTION("""COMPUTED_VALUE"""),"#N/A")</f>
        <v>#N/A</v>
      </c>
      <c r="G1606" s="6" t="str">
        <f>IFERROR(__xludf.DUMMYFUNCTION("""COMPUTED_VALUE"""),"#N/A")</f>
        <v>#N/A</v>
      </c>
      <c r="H1606" s="6"/>
      <c r="I1606" s="19"/>
      <c r="J1606" s="50"/>
      <c r="K1606" s="58"/>
      <c r="L1606" s="6">
        <v>30.0</v>
      </c>
      <c r="M1606" s="52" t="s">
        <v>655</v>
      </c>
      <c r="N1606" s="53" t="s">
        <v>698</v>
      </c>
      <c r="O1606" s="19"/>
      <c r="P1606" s="6"/>
      <c r="Q1606" s="6"/>
      <c r="R1606" s="6"/>
    </row>
    <row r="1607">
      <c r="A1607" s="31" t="str">
        <f>IFERROR(__xludf.DUMMYFUNCTION("""COMPUTED_VALUE"""),"н/д")</f>
        <v>н/д</v>
      </c>
      <c r="B1607" s="14" t="str">
        <f>IFERROR(__xludf.DUMMYFUNCTION("""COMPUTED_VALUE"""),"ВНЕ СПИСКА")</f>
        <v>ВНЕ СПИСКА</v>
      </c>
      <c r="C1607" s="14" t="str">
        <f>IFERROR(__xludf.DUMMYFUNCTION("""COMPUTED_VALUE"""),"ОКС")</f>
        <v>ОКС</v>
      </c>
      <c r="D1607" s="6" t="str">
        <f>IFERROR(__xludf.DUMMYFUNCTION("""COMPUTED_VALUE"""),"да")</f>
        <v>да</v>
      </c>
      <c r="E1607" s="14" t="str">
        <f>IFERROR(__xludf.DUMMYFUNCTION("""COMPUTED_VALUE"""),"АДЦ 1-й Силикатный, з.у. 13/1")</f>
        <v>АДЦ 1-й Силикатный, з.у. 13/1</v>
      </c>
      <c r="F1607" s="25" t="str">
        <f>IFERROR(__xludf.DUMMYFUNCTION("""COMPUTED_VALUE"""),"#N/A")</f>
        <v>#N/A</v>
      </c>
      <c r="G1607" s="6" t="str">
        <f>IFERROR(__xludf.DUMMYFUNCTION("""COMPUTED_VALUE"""),"#N/A")</f>
        <v>#N/A</v>
      </c>
      <c r="H1607" s="6"/>
      <c r="I1607" s="19"/>
      <c r="J1607" s="50"/>
      <c r="K1607" s="58"/>
      <c r="L1607" s="6">
        <v>30.0</v>
      </c>
      <c r="M1607" s="52" t="s">
        <v>655</v>
      </c>
      <c r="N1607" s="53" t="s">
        <v>698</v>
      </c>
      <c r="O1607" s="19"/>
      <c r="P1607" s="6"/>
      <c r="Q1607" s="6"/>
      <c r="R1607" s="6"/>
    </row>
    <row r="1608">
      <c r="A1608" s="31" t="str">
        <f>IFERROR(__xludf.DUMMYFUNCTION("""COMPUTED_VALUE"""),"н/д")</f>
        <v>н/д</v>
      </c>
      <c r="B1608" s="14" t="str">
        <f>IFERROR(__xludf.DUMMYFUNCTION("""COMPUTED_VALUE"""),"ВНЕ СПИСКА")</f>
        <v>ВНЕ СПИСКА</v>
      </c>
      <c r="C1608" s="14" t="str">
        <f>IFERROR(__xludf.DUMMYFUNCTION("""COMPUTED_VALUE"""),"ОКС")</f>
        <v>ОКС</v>
      </c>
      <c r="D1608" s="6" t="str">
        <f>IFERROR(__xludf.DUMMYFUNCTION("""COMPUTED_VALUE"""),"да")</f>
        <v>да</v>
      </c>
      <c r="E1608" s="14" t="str">
        <f>IFERROR(__xludf.DUMMYFUNCTION("""COMPUTED_VALUE"""),"ЖК ""Mypriority Пресня"" 1-й Силикатный, з.у. 13")</f>
        <v>ЖК "Mypriority Пресня" 1-й Силикатный, з.у. 13</v>
      </c>
      <c r="F1608" s="25" t="str">
        <f>IFERROR(__xludf.DUMMYFUNCTION("""COMPUTED_VALUE"""),"#N/A")</f>
        <v>#N/A</v>
      </c>
      <c r="G1608" s="6" t="str">
        <f>IFERROR(__xludf.DUMMYFUNCTION("""COMPUTED_VALUE"""),"#N/A")</f>
        <v>#N/A</v>
      </c>
      <c r="H1608" s="6"/>
      <c r="I1608" s="19"/>
      <c r="J1608" s="50"/>
      <c r="K1608" s="58"/>
      <c r="L1608" s="6">
        <v>30.0</v>
      </c>
      <c r="M1608" s="52" t="s">
        <v>655</v>
      </c>
      <c r="N1608" s="53" t="s">
        <v>698</v>
      </c>
      <c r="O1608" s="19"/>
      <c r="P1608" s="6"/>
      <c r="Q1608" s="6"/>
      <c r="R1608" s="6"/>
    </row>
    <row r="1609">
      <c r="A1609" s="31" t="str">
        <f>IFERROR(__xludf.DUMMYFUNCTION("""COMPUTED_VALUE"""),"н/д")</f>
        <v>н/д</v>
      </c>
      <c r="B1609" s="14" t="str">
        <f>IFERROR(__xludf.DUMMYFUNCTION("""COMPUTED_VALUE"""),"ВНЕ СПИСКА")</f>
        <v>ВНЕ СПИСКА</v>
      </c>
      <c r="C1609" s="14" t="str">
        <f>IFERROR(__xludf.DUMMYFUNCTION("""COMPUTED_VALUE"""),"ОКС")</f>
        <v>ОКС</v>
      </c>
      <c r="D1609" s="6" t="str">
        <f>IFERROR(__xludf.DUMMYFUNCTION("""COMPUTED_VALUE"""),"да")</f>
        <v>да</v>
      </c>
      <c r="E1609" s="14" t="str">
        <f>IFERROR(__xludf.DUMMYFUNCTION("""COMPUTED_VALUE"""),"Логистический ценнтр дер. Терехово")</f>
        <v>Логистический ценнтр дер. Терехово</v>
      </c>
      <c r="F1609" s="25" t="str">
        <f>IFERROR(__xludf.DUMMYFUNCTION("""COMPUTED_VALUE"""),"#N/A")</f>
        <v>#N/A</v>
      </c>
      <c r="G1609" s="6" t="str">
        <f>IFERROR(__xludf.DUMMYFUNCTION("""COMPUTED_VALUE"""),"#N/A")</f>
        <v>#N/A</v>
      </c>
      <c r="H1609" s="6"/>
      <c r="I1609" s="19"/>
      <c r="J1609" s="50"/>
      <c r="K1609" s="58"/>
      <c r="L1609" s="6">
        <v>30.0</v>
      </c>
      <c r="M1609" s="52" t="s">
        <v>655</v>
      </c>
      <c r="N1609" s="53" t="s">
        <v>698</v>
      </c>
      <c r="O1609" s="19" t="s">
        <v>669</v>
      </c>
      <c r="P1609" s="6"/>
      <c r="Q1609" s="6"/>
      <c r="R1609" s="6"/>
    </row>
    <row r="1610">
      <c r="A1610" s="31" t="str">
        <f>IFERROR(__xludf.DUMMYFUNCTION("""COMPUTED_VALUE"""),"н/д")</f>
        <v>н/д</v>
      </c>
      <c r="B1610" s="14" t="str">
        <f>IFERROR(__xludf.DUMMYFUNCTION("""COMPUTED_VALUE"""),"ВНЕ СПИСКА")</f>
        <v>ВНЕ СПИСКА</v>
      </c>
      <c r="C1610" s="14" t="str">
        <f>IFERROR(__xludf.DUMMYFUNCTION("""COMPUTED_VALUE"""),"ОКС")</f>
        <v>ОКС</v>
      </c>
      <c r="D1610" s="6" t="str">
        <f>IFERROR(__xludf.DUMMYFUNCTION("""COMPUTED_VALUE"""),"да")</f>
        <v>да</v>
      </c>
      <c r="E1610" s="14" t="str">
        <f>IFERROR(__xludf.DUMMYFUNCTION("""COMPUTED_VALUE"""),"УВК на 900 мест ул. Степана Эрьзи, уч.1")</f>
        <v>УВК на 900 мест ул. Степана Эрьзи, уч.1</v>
      </c>
      <c r="F1610" s="25" t="str">
        <f>IFERROR(__xludf.DUMMYFUNCTION("""COMPUTED_VALUE"""),"#N/A")</f>
        <v>#N/A</v>
      </c>
      <c r="G1610" s="6" t="str">
        <f>IFERROR(__xludf.DUMMYFUNCTION("""COMPUTED_VALUE"""),"#N/A")</f>
        <v>#N/A</v>
      </c>
      <c r="H1610" s="6"/>
      <c r="I1610" s="19"/>
      <c r="J1610" s="50"/>
      <c r="K1610" s="58"/>
      <c r="L1610" s="6">
        <v>30.0</v>
      </c>
      <c r="M1610" s="52" t="s">
        <v>655</v>
      </c>
      <c r="N1610" s="53" t="s">
        <v>698</v>
      </c>
      <c r="O1610" s="19"/>
      <c r="P1610" s="6"/>
      <c r="Q1610" s="6"/>
      <c r="R1610" s="6"/>
    </row>
    <row r="1611">
      <c r="A1611" s="31" t="str">
        <f>IFERROR(__xludf.DUMMYFUNCTION("""COMPUTED_VALUE"""),"н/д")</f>
        <v>н/д</v>
      </c>
      <c r="B1611" s="14" t="str">
        <f>IFERROR(__xludf.DUMMYFUNCTION("""COMPUTED_VALUE"""),"ВНЕ СПИСКА")</f>
        <v>ВНЕ СПИСКА</v>
      </c>
      <c r="C1611" s="14" t="str">
        <f>IFERROR(__xludf.DUMMYFUNCTION("""COMPUTED_VALUE"""),"ОКС")</f>
        <v>ОКС</v>
      </c>
      <c r="D1611" s="6" t="str">
        <f>IFERROR(__xludf.DUMMYFUNCTION("""COMPUTED_VALUE"""),"да")</f>
        <v>да</v>
      </c>
      <c r="E1611" s="14" t="str">
        <f>IFERROR(__xludf.DUMMYFUNCTION("""COMPUTED_VALUE"""),"ТЦ ""Дмитриевский"" улю Наташи Качуевской 5")</f>
        <v>ТЦ "Дмитриевский" улю Наташи Качуевской 5</v>
      </c>
      <c r="F1611" s="25" t="str">
        <f>IFERROR(__xludf.DUMMYFUNCTION("""COMPUTED_VALUE"""),"#N/A")</f>
        <v>#N/A</v>
      </c>
      <c r="G1611" s="6" t="str">
        <f>IFERROR(__xludf.DUMMYFUNCTION("""COMPUTED_VALUE"""),"#N/A")</f>
        <v>#N/A</v>
      </c>
      <c r="H1611" s="6"/>
      <c r="I1611" s="19"/>
      <c r="J1611" s="50"/>
      <c r="K1611" s="58"/>
      <c r="L1611" s="6">
        <v>30.0</v>
      </c>
      <c r="M1611" s="52" t="s">
        <v>655</v>
      </c>
      <c r="N1611" s="53" t="s">
        <v>698</v>
      </c>
      <c r="O1611" s="19" t="s">
        <v>1448</v>
      </c>
      <c r="P1611" s="6"/>
      <c r="Q1611" s="6"/>
      <c r="R1611" s="6"/>
    </row>
    <row r="1612">
      <c r="A1612" s="31" t="str">
        <f>IFERROR(__xludf.DUMMYFUNCTION("""COMPUTED_VALUE"""),"н/д")</f>
        <v>н/д</v>
      </c>
      <c r="B1612" s="14" t="str">
        <f>IFERROR(__xludf.DUMMYFUNCTION("""COMPUTED_VALUE"""),"ВНЕ СПИСКА")</f>
        <v>ВНЕ СПИСКА</v>
      </c>
      <c r="C1612" s="14" t="str">
        <f>IFERROR(__xludf.DUMMYFUNCTION("""COMPUTED_VALUE"""),"ОКС")</f>
        <v>ОКС</v>
      </c>
      <c r="D1612" s="6" t="str">
        <f>IFERROR(__xludf.DUMMYFUNCTION("""COMPUTED_VALUE"""),"да")</f>
        <v>да</v>
      </c>
      <c r="E1612" s="14" t="str">
        <f>IFERROR(__xludf.DUMMYFUNCTION("""COMPUTED_VALUE"""),"АДЦ ""Коммунарка"" вн. терр. пос. Сосенское, кв.№150, з/у 1Д")</f>
        <v>АДЦ "Коммунарка" вн. терр. пос. Сосенское, кв.№150, з/у 1Д</v>
      </c>
      <c r="F1612" s="25" t="str">
        <f>IFERROR(__xludf.DUMMYFUNCTION("""COMPUTED_VALUE"""),"#N/A")</f>
        <v>#N/A</v>
      </c>
      <c r="G1612" s="6" t="str">
        <f>IFERROR(__xludf.DUMMYFUNCTION("""COMPUTED_VALUE"""),"#N/A")</f>
        <v>#N/A</v>
      </c>
      <c r="H1612" s="6"/>
      <c r="I1612" s="19"/>
      <c r="J1612" s="50"/>
      <c r="K1612" s="58"/>
      <c r="L1612" s="6">
        <v>30.0</v>
      </c>
      <c r="M1612" s="52" t="s">
        <v>655</v>
      </c>
      <c r="N1612" s="53" t="s">
        <v>698</v>
      </c>
      <c r="O1612" s="19"/>
      <c r="P1612" s="6"/>
      <c r="Q1612" s="6"/>
      <c r="R1612" s="6"/>
    </row>
    <row r="1613">
      <c r="A1613" s="31" t="str">
        <f>IFERROR(__xludf.DUMMYFUNCTION("""COMPUTED_VALUE"""),"1352")</f>
        <v>1352</v>
      </c>
      <c r="B1613" s="14" t="str">
        <f>IFERROR(__xludf.DUMMYFUNCTION("""COMPUTED_VALUE"""),"ДРНТ")</f>
        <v>ДРНТ</v>
      </c>
      <c r="C1613" s="14" t="str">
        <f>IFERROR(__xludf.DUMMYFUNCTION("""COMPUTED_VALUE"""),"ОКС")</f>
        <v>ОКС</v>
      </c>
      <c r="D1613" s="6" t="str">
        <f>IFERROR(__xludf.DUMMYFUNCTION("""COMPUTED_VALUE"""),"да")</f>
        <v>да</v>
      </c>
      <c r="E1613" s="14" t="str">
        <f>IFERROR(__xludf.DUMMYFUNCTION("""COMPUTED_VALUE"""),"ЖК Лучи, 2-й этап, к8, Этап 2 Производственная ул., з/у 25/1 77:07:0015006:4837")</f>
        <v>ЖК Лучи, 2-й этап, к8, Этап 2 Производственная ул., з/у 25/1 77:07:0015006:4837</v>
      </c>
      <c r="F1613" s="25" t="str">
        <f>IFERROR(__xludf.DUMMYFUNCTION("""COMPUTED_VALUE"""),"55.641967")</f>
        <v>55.641967</v>
      </c>
      <c r="G1613" s="6" t="str">
        <f>IFERROR(__xludf.DUMMYFUNCTION("""COMPUTED_VALUE"""),"37.377851")</f>
        <v>37.377851</v>
      </c>
      <c r="H1613" s="18" t="str">
        <f>IFERROR(__xludf.DUMMYFUNCTION("""COMPUTED_VALUE"""),"https://docs.google.com/spreadsheets/d/19THEBTE9q0fhN2eApZr6BgenIvLGh0AckaYxHQfHk5w/edit?gid=1835030913#gid=1835030913")</f>
        <v>https://docs.google.com/spreadsheets/d/19THEBTE9q0fhN2eApZr6BgenIvLGh0AckaYxHQfHk5w/edit?gid=1835030913#gid=1835030913</v>
      </c>
      <c r="I1613" s="19"/>
      <c r="J1613" s="50"/>
      <c r="K1613" s="58">
        <f>IFERROR(__xludf.DUMMYFUNCTION("""COMPUTED_VALUE"""),45960.0)</f>
        <v>45960</v>
      </c>
      <c r="L1613" s="6">
        <v>30.0</v>
      </c>
      <c r="M1613" s="52">
        <v>45990.0</v>
      </c>
      <c r="N1613" s="53" t="s">
        <v>692</v>
      </c>
      <c r="O1613" s="19" t="s">
        <v>1449</v>
      </c>
      <c r="P1613" s="6"/>
      <c r="Q1613" s="6"/>
      <c r="R1613" s="6"/>
    </row>
    <row r="1614">
      <c r="A1614" s="31" t="str">
        <f>IFERROR(__xludf.DUMMYFUNCTION("""COMPUTED_VALUE"""),"1354")</f>
        <v>1354</v>
      </c>
      <c r="B1614" s="14" t="str">
        <f>IFERROR(__xludf.DUMMYFUNCTION("""COMPUTED_VALUE"""),"РЕН-26")</f>
        <v>РЕН-26</v>
      </c>
      <c r="C1614" s="14" t="str">
        <f>IFERROR(__xludf.DUMMYFUNCTION("""COMPUTED_VALUE"""),"ОКС")</f>
        <v>ОКС</v>
      </c>
      <c r="D1614" s="6"/>
      <c r="E1614" s="14" t="str">
        <f>IFERROR(__xludf.DUMMYFUNCTION("""COMPUTED_VALUE"""),"Москва, Сельскохозяйственная улица, 7/1 Москва, Сельскохозяйственная улица, 7/1")</f>
        <v>Москва, Сельскохозяйственная улица, 7/1 Москва, Сельскохозяйственная улица, 7/1</v>
      </c>
      <c r="F1614" s="25" t="str">
        <f>IFERROR(__xludf.DUMMYFUNCTION("""COMPUTED_VALUE"""),"55.833147")</f>
        <v>55.833147</v>
      </c>
      <c r="G1614" s="6" t="str">
        <f>IFERROR(__xludf.DUMMYFUNCTION("""COMPUTED_VALUE"""),"37.64904")</f>
        <v>37.64904</v>
      </c>
      <c r="H1614" s="18" t="str">
        <f>IFERROR(__xludf.DUMMYFUNCTION("""COMPUTED_VALUE"""),"https://docs.google.com/spreadsheets/d/1rbCD10ySi4YZEkJW2_Slmn9z7AI1WEsGsZaIJmnnT18/edit?gid=665598290#gid=665598290")</f>
        <v>https://docs.google.com/spreadsheets/d/1rbCD10ySi4YZEkJW2_Slmn9z7AI1WEsGsZaIJmnnT18/edit?gid=665598290#gid=665598290</v>
      </c>
      <c r="I1614" s="19"/>
      <c r="J1614" s="50"/>
      <c r="K1614" s="58">
        <f>IFERROR(__xludf.DUMMYFUNCTION("""COMPUTED_VALUE"""),45960.0)</f>
        <v>45960</v>
      </c>
      <c r="L1614" s="6">
        <v>30.0</v>
      </c>
      <c r="M1614" s="52">
        <v>45990.0</v>
      </c>
      <c r="N1614" s="53" t="s">
        <v>692</v>
      </c>
      <c r="O1614" s="19" t="s">
        <v>1450</v>
      </c>
      <c r="P1614" s="6"/>
      <c r="Q1614" s="6"/>
      <c r="R1614" s="6"/>
    </row>
    <row r="1615">
      <c r="A1615" s="31" t="str">
        <f>IFERROR(__xludf.DUMMYFUNCTION("""COMPUTED_VALUE"""),"1355")</f>
        <v>1355</v>
      </c>
      <c r="B1615" s="14" t="str">
        <f>IFERROR(__xludf.DUMMYFUNCTION("""COMPUTED_VALUE"""),"РЕН-27")</f>
        <v>РЕН-27</v>
      </c>
      <c r="C1615" s="14" t="str">
        <f>IFERROR(__xludf.DUMMYFUNCTION("""COMPUTED_VALUE"""),"ОКС")</f>
        <v>ОКС</v>
      </c>
      <c r="D1615" s="6"/>
      <c r="E1615" s="14" t="str">
        <f>IFERROR(__xludf.DUMMYFUNCTION("""COMPUTED_VALUE"""),"Волочаевская ул. 40А, Красноказарменная ул., д.2, к.1, Золоторожский пр-д, д.2, к.1 Волочаевская ул. 40А, Красноказарменная ул., д.2, к.1, Золоторожский пр-д, д.2, к.1")</f>
        <v>Волочаевская ул. 40А, Красноказарменная ул., д.2, к.1, Золоторожский пр-д, д.2, к.1 Волочаевская ул. 40А, Красноказарменная ул., д.2, к.1, Золоторожский пр-д, д.2, к.1</v>
      </c>
      <c r="F1615" s="25" t="str">
        <f>IFERROR(__xludf.DUMMYFUNCTION("""COMPUTED_VALUE"""),"55.751087")</f>
        <v>55.751087</v>
      </c>
      <c r="G1615" s="6" t="str">
        <f>IFERROR(__xludf.DUMMYFUNCTION("""COMPUTED_VALUE"""),"37.677095")</f>
        <v>37.677095</v>
      </c>
      <c r="H1615" s="18" t="str">
        <f>IFERROR(__xludf.DUMMYFUNCTION("""COMPUTED_VALUE"""),"https://docs.google.com/spreadsheets/d/1lEcUd4exxkr5Za3IYZ0vdFNfMubnuMOOMXfmF3GYC9I/edit?gid=364805079#gid=364805079")</f>
        <v>https://docs.google.com/spreadsheets/d/1lEcUd4exxkr5Za3IYZ0vdFNfMubnuMOOMXfmF3GYC9I/edit?gid=364805079#gid=364805079</v>
      </c>
      <c r="I1615" s="19"/>
      <c r="J1615" s="50"/>
      <c r="K1615" s="58">
        <f>IFERROR(__xludf.DUMMYFUNCTION("""COMPUTED_VALUE"""),45960.0)</f>
        <v>45960</v>
      </c>
      <c r="L1615" s="6">
        <v>30.0</v>
      </c>
      <c r="M1615" s="52">
        <v>45990.0</v>
      </c>
      <c r="N1615" s="53" t="s">
        <v>692</v>
      </c>
      <c r="O1615" s="19" t="s">
        <v>1451</v>
      </c>
      <c r="P1615" s="6"/>
      <c r="Q1615" s="6"/>
      <c r="R1615" s="6"/>
    </row>
    <row r="1616">
      <c r="A1616" s="31" t="str">
        <f>IFERROR(__xludf.DUMMYFUNCTION("""COMPUTED_VALUE"""),"1356")</f>
        <v>1356</v>
      </c>
      <c r="B1616" s="14" t="str">
        <f>IFERROR(__xludf.DUMMYFUNCTION("""COMPUTED_VALUE"""),"ВНЕ СПИСКА")</f>
        <v>ВНЕ СПИСКА</v>
      </c>
      <c r="C1616" s="14" t="str">
        <f>IFERROR(__xludf.DUMMYFUNCTION("""COMPUTED_VALUE"""),"ОКС")</f>
        <v>ОКС</v>
      </c>
      <c r="D1616" s="6"/>
      <c r="E1616" s="14" t="str">
        <f>IFERROR(__xludf.DUMMYFUNCTION("""COMPUTED_VALUE"""),"04-2600\93-2605.Отводящие трубопроводы от Измайловской канализационной насосной станции (1 пусковой комплекс) (переустройство водопроводной сети) ИЗМАЙЛОВО от шоссе Энтузиастов до улицы Измайловский Вал")</f>
        <v>04-2600\93-2605.Отводящие трубопроводы от Измайловской канализационной насосной станции (1 пусковой комплекс) (переустройство водопроводной сети) ИЗМАЙЛОВО от шоссе Энтузиастов до улицы Измайловский Вал</v>
      </c>
      <c r="F1616" s="25" t="str">
        <f>IFERROR(__xludf.DUMMYFUNCTION("""COMPUTED_VALUE"""),"55.789931")</f>
        <v>55.789931</v>
      </c>
      <c r="G1616" s="6" t="str">
        <f>IFERROR(__xludf.DUMMYFUNCTION("""COMPUTED_VALUE"""),"37.745886")</f>
        <v>37.745886</v>
      </c>
      <c r="H1616" s="18" t="str">
        <f>IFERROR(__xludf.DUMMYFUNCTION("""COMPUTED_VALUE"""),"https://docs.google.com/spreadsheets/d/1EI7qusa674eJhuaw-nWWtWMEHVSYMQv7HLsInEZTWpE/edit?gid=1464012172#gid=1464012172")</f>
        <v>https://docs.google.com/spreadsheets/d/1EI7qusa674eJhuaw-nWWtWMEHVSYMQv7HLsInEZTWpE/edit?gid=1464012172#gid=1464012172</v>
      </c>
      <c r="I1616" s="19"/>
      <c r="J1616" s="50"/>
      <c r="K1616" s="58">
        <f>IFERROR(__xludf.DUMMYFUNCTION("""COMPUTED_VALUE"""),45962.0)</f>
        <v>45962</v>
      </c>
      <c r="L1616" s="6">
        <v>30.0</v>
      </c>
      <c r="M1616" s="52">
        <v>45992.0</v>
      </c>
      <c r="N1616" s="53" t="s">
        <v>692</v>
      </c>
      <c r="O1616" s="19" t="s">
        <v>1452</v>
      </c>
      <c r="P1616" s="6"/>
      <c r="Q1616" s="6"/>
      <c r="R1616" s="6"/>
    </row>
    <row r="1617">
      <c r="A1617" s="31" t="str">
        <f>IFERROR(__xludf.DUMMYFUNCTION("""COMPUTED_VALUE"""),"нд")</f>
        <v>нд</v>
      </c>
      <c r="B1617" s="14" t="str">
        <f>IFERROR(__xludf.DUMMYFUNCTION("""COMPUTED_VALUE"""),"ВНЕ СПИСКА")</f>
        <v>ВНЕ СПИСКА</v>
      </c>
      <c r="C1617" s="14" t="str">
        <f>IFERROR(__xludf.DUMMYFUNCTION("""COMPUTED_VALUE"""),"ОКС")</f>
        <v>ОКС</v>
      </c>
      <c r="D1617" s="6" t="str">
        <f>IFERROR(__xludf.DUMMYFUNCTION("""COMPUTED_VALUE"""),"да")</f>
        <v>да</v>
      </c>
      <c r="E1617" s="14" t="str">
        <f>IFERROR(__xludf.DUMMYFUNCTION("""COMPUTED_VALUE"""),"Московский патриархат Храм по адресу: г. Москва, Зеленый проспект, вл. 26-28")</f>
        <v>Московский патриархат Храм по адресу: г. Москва, Зеленый проспект, вл. 26-28</v>
      </c>
      <c r="F1617" s="25" t="str">
        <f>IFERROR(__xludf.DUMMYFUNCTION("""COMPUTED_VALUE"""),"#N/A")</f>
        <v>#N/A</v>
      </c>
      <c r="G1617" s="6" t="str">
        <f>IFERROR(__xludf.DUMMYFUNCTION("""COMPUTED_VALUE"""),"#N/A")</f>
        <v>#N/A</v>
      </c>
      <c r="H1617" s="6"/>
      <c r="I1617" s="19"/>
      <c r="J1617" s="50"/>
      <c r="K1617" s="58"/>
      <c r="L1617" s="6">
        <v>30.0</v>
      </c>
      <c r="M1617" s="52" t="s">
        <v>655</v>
      </c>
      <c r="N1617" s="53" t="s">
        <v>698</v>
      </c>
      <c r="O1617" s="19" t="s">
        <v>1453</v>
      </c>
      <c r="P1617" s="6"/>
      <c r="Q1617" s="6"/>
      <c r="R1617" s="6"/>
    </row>
    <row r="1618">
      <c r="A1618" s="31" t="str">
        <f>IFERROR(__xludf.DUMMYFUNCTION("""COMPUTED_VALUE"""),"1358")</f>
        <v>1358</v>
      </c>
      <c r="B1618" s="14" t="str">
        <f>IFERROR(__xludf.DUMMYFUNCTION("""COMPUTED_VALUE"""),"ВНЕ СПИСКА")</f>
        <v>ВНЕ СПИСКА</v>
      </c>
      <c r="C1618" s="14" t="str">
        <f>IFERROR(__xludf.DUMMYFUNCTION("""COMPUTED_VALUE"""),"ОКС")</f>
        <v>ОКС</v>
      </c>
      <c r="D1618" s="6"/>
      <c r="E1618" s="14" t="str">
        <f>IFERROR(__xludf.DUMMYFUNCTION("""COMPUTED_VALUE"""),"Проектирование и строительство водовода Д=400 мм со строительством ВРУ ""Кокошкино"", ВРУ ""Власово"", ВРУ ""Крекшино"" пос. Марушкинское, д.Кокошкино, д. Власово, д.Крекшино")</f>
        <v>Проектирование и строительство водовода Д=400 мм со строительством ВРУ "Кокошкино", ВРУ "Власово", ВРУ "Крекшино" пос. Марушкинское, д.Кокошкино, д. Власово, д.Крекшино</v>
      </c>
      <c r="F1618" s="25" t="str">
        <f>IFERROR(__xludf.DUMMYFUNCTION("""COMPUTED_VALUE"""),"#N/A")</f>
        <v>#N/A</v>
      </c>
      <c r="G1618" s="6" t="str">
        <f>IFERROR(__xludf.DUMMYFUNCTION("""COMPUTED_VALUE"""),"#N/A")</f>
        <v>#N/A</v>
      </c>
      <c r="H1618" s="18" t="str">
        <f>IFERROR(__xludf.DUMMYFUNCTION("""COMPUTED_VALUE"""),"https://docs.google.com/spreadsheets/d/1EI7qusa674eJhuaw-nWWtWMEHVSYMQv7HLsInEZTWpE/edit?gid=1212683090#gid=1212683090")</f>
        <v>https://docs.google.com/spreadsheets/d/1EI7qusa674eJhuaw-nWWtWMEHVSYMQv7HLsInEZTWpE/edit?gid=1212683090#gid=1212683090</v>
      </c>
      <c r="I1618" s="19"/>
      <c r="J1618" s="50"/>
      <c r="K1618" s="58">
        <f>IFERROR(__xludf.DUMMYFUNCTION("""COMPUTED_VALUE"""),45962.0)</f>
        <v>45962</v>
      </c>
      <c r="L1618" s="6">
        <v>30.0</v>
      </c>
      <c r="M1618" s="52">
        <v>45992.0</v>
      </c>
      <c r="N1618" s="53" t="s">
        <v>692</v>
      </c>
      <c r="O1618" s="19" t="s">
        <v>1454</v>
      </c>
      <c r="P1618" s="6"/>
      <c r="Q1618" s="6"/>
      <c r="R1618" s="6"/>
    </row>
    <row r="1619">
      <c r="A1619" s="31" t="str">
        <f>IFERROR(__xludf.DUMMYFUNCTION("""COMPUTED_VALUE"""),"нд")</f>
        <v>нд</v>
      </c>
      <c r="B1619" s="14" t="str">
        <f>IFERROR(__xludf.DUMMYFUNCTION("""COMPUTED_VALUE"""),"ВНЕ СПИСКА")</f>
        <v>ВНЕ СПИСКА</v>
      </c>
      <c r="C1619" s="14"/>
      <c r="D1619" s="6"/>
      <c r="E1619" s="14" t="str">
        <f>IFERROR(__xludf.DUMMYFUNCTION("""COMPUTED_VALUE"""),"Очистное сооружение по адресу: мкр. 65, 67, 68, кв-л 103, 104, 105, 106 р-на Котловка Нагорная улица, 3с2")</f>
        <v>Очистное сооружение по адресу: мкр. 65, 67, 68, кв-л 103, 104, 105, 106 р-на Котловка Нагорная улица, 3с2</v>
      </c>
      <c r="F1619" s="25" t="str">
        <f>IFERROR(__xludf.DUMMYFUNCTION("""COMPUTED_VALUE"""),"#N/A")</f>
        <v>#N/A</v>
      </c>
      <c r="G1619" s="6" t="str">
        <f>IFERROR(__xludf.DUMMYFUNCTION("""COMPUTED_VALUE"""),"#N/A")</f>
        <v>#N/A</v>
      </c>
      <c r="H1619" s="6"/>
      <c r="I1619" s="19"/>
      <c r="J1619" s="50"/>
      <c r="K1619" s="58"/>
      <c r="L1619" s="6">
        <v>30.0</v>
      </c>
      <c r="M1619" s="52" t="s">
        <v>655</v>
      </c>
      <c r="N1619" s="53" t="s">
        <v>698</v>
      </c>
      <c r="O1619" s="19" t="s">
        <v>1455</v>
      </c>
      <c r="P1619" s="6"/>
      <c r="Q1619" s="6"/>
      <c r="R1619" s="6"/>
    </row>
    <row r="1620">
      <c r="A1620" s="31" t="str">
        <f>IFERROR(__xludf.DUMMYFUNCTION("""COMPUTED_VALUE"""),"нд")</f>
        <v>нд</v>
      </c>
      <c r="B1620" s="14" t="str">
        <f>IFERROR(__xludf.DUMMYFUNCTION("""COMPUTED_VALUE"""),"ВНЕ СПИСКА")</f>
        <v>ВНЕ СПИСКА</v>
      </c>
      <c r="C1620" s="14" t="str">
        <f>IFERROR(__xludf.DUMMYFUNCTION("""COMPUTED_VALUE"""),"ОКС")</f>
        <v>ОКС</v>
      </c>
      <c r="D1620" s="6"/>
      <c r="E1620" s="14" t="str">
        <f>IFERROR(__xludf.DUMMYFUNCTION("""COMPUTED_VALUE"""),"Жилой дом с инженерными сетями и благоустройством территории (со сносом нежилого здания по адресу: пр-кт Будённого, д.47Б, стр.1), ВАО, внутригородская территория муниципальный округ Соколиная Гора, Соколиной Горы 3-я улица д. 9 (Проспект Буденного, вл. 4"&amp;"7Б/1) 3-я улица Соколиной горы, 9 (Проспект Буденного ул., вл. 47Б/1)")</f>
        <v>Жилой дом с инженерными сетями и благоустройством территории (со сносом нежилого здания по адресу: пр-кт Будённого, д.47Б, стр.1), ВАО, внутригородская территория муниципальный округ Соколиная Гора, Соколиной Горы 3-я улица д. 9 (Проспект Буденного, вл. 47Б/1) 3-я улица Соколиной горы, 9 (Проспект Буденного ул., вл. 47Б/1)</v>
      </c>
      <c r="F1620" s="25" t="str">
        <f>IFERROR(__xludf.DUMMYFUNCTION("""COMPUTED_VALUE"""),"#N/A")</f>
        <v>#N/A</v>
      </c>
      <c r="G1620" s="6" t="str">
        <f>IFERROR(__xludf.DUMMYFUNCTION("""COMPUTED_VALUE"""),"#N/A")</f>
        <v>#N/A</v>
      </c>
      <c r="H1620" s="6"/>
      <c r="I1620" s="19"/>
      <c r="J1620" s="50"/>
      <c r="K1620" s="58"/>
      <c r="L1620" s="6">
        <v>30.0</v>
      </c>
      <c r="M1620" s="52" t="s">
        <v>655</v>
      </c>
      <c r="N1620" s="53" t="s">
        <v>652</v>
      </c>
      <c r="O1620" s="19" t="s">
        <v>1456</v>
      </c>
      <c r="P1620" s="6"/>
      <c r="Q1620" s="6"/>
      <c r="R1620" s="6"/>
    </row>
    <row r="1621">
      <c r="A1621" s="31" t="str">
        <f>IFERROR(__xludf.DUMMYFUNCTION("""COMPUTED_VALUE"""),"нд")</f>
        <v>нд</v>
      </c>
      <c r="B1621" s="14" t="str">
        <f>IFERROR(__xludf.DUMMYFUNCTION("""COMPUTED_VALUE"""),"ВНЕ СПИСКА")</f>
        <v>ВНЕ СПИСКА</v>
      </c>
      <c r="C1621" s="14" t="str">
        <f>IFERROR(__xludf.DUMMYFUNCTION("""COMPUTED_VALUE"""),"ОКС")</f>
        <v>ОКС</v>
      </c>
      <c r="D1621" s="6" t="str">
        <f>IFERROR(__xludf.DUMMYFUNCTION("""COMPUTED_VALUE"""),"да")</f>
        <v>да</v>
      </c>
      <c r="E1621" s="14" t="str">
        <f>IFERROR(__xludf.DUMMYFUNCTION("""COMPUTED_VALUE"""),"Дошкольное образовательное учреждение на 90 мест Муравская ул., д.46, корп.5")</f>
        <v>Дошкольное образовательное учреждение на 90 мест Муравская ул., д.46, корп.5</v>
      </c>
      <c r="F1621" s="25" t="str">
        <f>IFERROR(__xludf.DUMMYFUNCTION("""COMPUTED_VALUE"""),"#N/A")</f>
        <v>#N/A</v>
      </c>
      <c r="G1621" s="6" t="str">
        <f>IFERROR(__xludf.DUMMYFUNCTION("""COMPUTED_VALUE"""),"#N/A")</f>
        <v>#N/A</v>
      </c>
      <c r="H1621" s="6"/>
      <c r="I1621" s="19"/>
      <c r="J1621" s="50"/>
      <c r="K1621" s="58"/>
      <c r="L1621" s="6">
        <v>30.0</v>
      </c>
      <c r="M1621" s="52" t="s">
        <v>655</v>
      </c>
      <c r="N1621" s="53" t="s">
        <v>652</v>
      </c>
      <c r="O1621" s="19" t="s">
        <v>1457</v>
      </c>
      <c r="P1621" s="6"/>
      <c r="Q1621" s="6"/>
      <c r="R1621" s="6"/>
    </row>
    <row r="1622">
      <c r="A1622" s="31" t="str">
        <f>IFERROR(__xludf.DUMMYFUNCTION("""COMPUTED_VALUE"""),"нд")</f>
        <v>нд</v>
      </c>
      <c r="B1622" s="14" t="str">
        <f>IFERROR(__xludf.DUMMYFUNCTION("""COMPUTED_VALUE"""),"ВНЕ СПИСКА")</f>
        <v>ВНЕ СПИСКА</v>
      </c>
      <c r="C1622" s="14" t="str">
        <f>IFERROR(__xludf.DUMMYFUNCTION("""COMPUTED_VALUE"""),"ОКС")</f>
        <v>ОКС</v>
      </c>
      <c r="D1622" s="6" t="str">
        <f>IFERROR(__xludf.DUMMYFUNCTION("""COMPUTED_VALUE"""),"да")</f>
        <v>да</v>
      </c>
      <c r="E1622" s="14" t="str">
        <f>IFERROR(__xludf.DUMMYFUNCTION("""COMPUTED_VALUE"""),"Дошкольное образовательное учреждение (ДОУ) на 150 мест Муравская ул., д.44А")</f>
        <v>Дошкольное образовательное учреждение (ДОУ) на 150 мест Муравская ул., д.44А</v>
      </c>
      <c r="F1622" s="25" t="str">
        <f>IFERROR(__xludf.DUMMYFUNCTION("""COMPUTED_VALUE"""),"#N/A")</f>
        <v>#N/A</v>
      </c>
      <c r="G1622" s="6" t="str">
        <f>IFERROR(__xludf.DUMMYFUNCTION("""COMPUTED_VALUE"""),"#N/A")</f>
        <v>#N/A</v>
      </c>
      <c r="H1622" s="6"/>
      <c r="I1622" s="19"/>
      <c r="J1622" s="50"/>
      <c r="K1622" s="58"/>
      <c r="L1622" s="6">
        <v>30.0</v>
      </c>
      <c r="M1622" s="52" t="s">
        <v>655</v>
      </c>
      <c r="N1622" s="53" t="s">
        <v>652</v>
      </c>
      <c r="O1622" s="19" t="s">
        <v>1458</v>
      </c>
      <c r="P1622" s="6"/>
      <c r="Q1622" s="6"/>
      <c r="R1622" s="6"/>
    </row>
    <row r="1623">
      <c r="A1623" s="31" t="str">
        <f>IFERROR(__xludf.DUMMYFUNCTION("""COMPUTED_VALUE"""),"нд")</f>
        <v>нд</v>
      </c>
      <c r="B1623" s="14" t="str">
        <f>IFERROR(__xludf.DUMMYFUNCTION("""COMPUTED_VALUE"""),"ВНЕ СПИСКА")</f>
        <v>ВНЕ СПИСКА</v>
      </c>
      <c r="C1623" s="14" t="str">
        <f>IFERROR(__xludf.DUMMYFUNCTION("""COMPUTED_VALUE"""),"ОКС")</f>
        <v>ОКС</v>
      </c>
      <c r="D1623" s="6"/>
      <c r="E1623" s="14" t="str">
        <f>IFERROR(__xludf.DUMMYFUNCTION("""COMPUTED_VALUE"""),"8-Я ТЕКСТИЛЬЩИКОВ УЛ., ВЛ.2 Пристройка поликлинич. отделения ГБУЗ МНПЦ борьбы с туберкулезом ДЗМ 8-Я ТЕКСТИЛЬЩИКОВ УЛ., ВЛ.2 СТР. 1")</f>
        <v>8-Я ТЕКСТИЛЬЩИКОВ УЛ., ВЛ.2 Пристройка поликлинич. отделения ГБУЗ МНПЦ борьбы с туберкулезом ДЗМ 8-Я ТЕКСТИЛЬЩИКОВ УЛ., ВЛ.2 СТР. 1</v>
      </c>
      <c r="F1623" s="25" t="str">
        <f>IFERROR(__xludf.DUMMYFUNCTION("""COMPUTED_VALUE"""),"#N/A")</f>
        <v>#N/A</v>
      </c>
      <c r="G1623" s="6" t="str">
        <f>IFERROR(__xludf.DUMMYFUNCTION("""COMPUTED_VALUE"""),"#N/A")</f>
        <v>#N/A</v>
      </c>
      <c r="H1623" s="6"/>
      <c r="I1623" s="19"/>
      <c r="J1623" s="50"/>
      <c r="K1623" s="58"/>
      <c r="L1623" s="6">
        <v>30.0</v>
      </c>
      <c r="M1623" s="52" t="s">
        <v>655</v>
      </c>
      <c r="N1623" s="53" t="s">
        <v>698</v>
      </c>
      <c r="O1623" s="19"/>
      <c r="P1623" s="6"/>
      <c r="Q1623" s="6"/>
      <c r="R1623" s="6"/>
    </row>
    <row r="1624">
      <c r="A1624" s="31" t="str">
        <f>IFERROR(__xludf.DUMMYFUNCTION("""COMPUTED_VALUE"""),"нд")</f>
        <v>нд</v>
      </c>
      <c r="B1624" s="14" t="str">
        <f>IFERROR(__xludf.DUMMYFUNCTION("""COMPUTED_VALUE"""),"ВНЕ СПИСКА")</f>
        <v>ВНЕ СПИСКА</v>
      </c>
      <c r="C1624" s="14" t="str">
        <f>IFERROR(__xludf.DUMMYFUNCTION("""COMPUTED_VALUE"""),"ОКС")</f>
        <v>ОКС</v>
      </c>
      <c r="D1624" s="6"/>
      <c r="E1624" s="14" t="str">
        <f>IFERROR(__xludf.DUMMYFUNCTION("""COMPUTED_VALUE"""),"Строительство пристройки ГБУЗ Городская клиническая больница им. И.В. Давыдковского Департамента здравоохранения города Москвы для устройства вертикального транспорта Яузская ул. вл. 11/6 (Николоямская ул., д.16-2)")</f>
        <v>Строительство пристройки ГБУЗ Городская клиническая больница им. И.В. Давыдковского Департамента здравоохранения города Москвы для устройства вертикального транспорта Яузская ул. вл. 11/6 (Николоямская ул., д.16-2)</v>
      </c>
      <c r="F1624" s="25" t="str">
        <f>IFERROR(__xludf.DUMMYFUNCTION("""COMPUTED_VALUE"""),"#N/A")</f>
        <v>#N/A</v>
      </c>
      <c r="G1624" s="6" t="str">
        <f>IFERROR(__xludf.DUMMYFUNCTION("""COMPUTED_VALUE"""),"#N/A")</f>
        <v>#N/A</v>
      </c>
      <c r="H1624" s="6"/>
      <c r="I1624" s="19"/>
      <c r="J1624" s="50"/>
      <c r="K1624" s="58"/>
      <c r="L1624" s="6">
        <v>30.0</v>
      </c>
      <c r="M1624" s="52" t="s">
        <v>655</v>
      </c>
      <c r="N1624" s="53" t="s">
        <v>698</v>
      </c>
      <c r="O1624" s="19"/>
      <c r="P1624" s="6"/>
      <c r="Q1624" s="6"/>
      <c r="R1624" s="6"/>
    </row>
    <row r="1625">
      <c r="A1625" s="31" t="str">
        <f>IFERROR(__xludf.DUMMYFUNCTION("""COMPUTED_VALUE"""),"нд")</f>
        <v>нд</v>
      </c>
      <c r="B1625" s="14" t="str">
        <f>IFERROR(__xludf.DUMMYFUNCTION("""COMPUTED_VALUE"""),"ВНЕ СПИСКА")</f>
        <v>ВНЕ СПИСКА</v>
      </c>
      <c r="C1625" s="14" t="str">
        <f>IFERROR(__xludf.DUMMYFUNCTION("""COMPUTED_VALUE"""),"ОКС")</f>
        <v>ОКС</v>
      </c>
      <c r="D1625" s="6" t="str">
        <f>IFERROR(__xludf.DUMMYFUNCTION("""COMPUTED_VALUE"""),"да")</f>
        <v>да</v>
      </c>
      <c r="E1625" s="14" t="str">
        <f>IFERROR(__xludf.DUMMYFUNCTION("""COMPUTED_VALUE"""),"Нежилое здание обслуживания жилой застройки улица Народного Ополчения, земельный участок 15")</f>
        <v>Нежилое здание обслуживания жилой застройки улица Народного Ополчения, земельный участок 15</v>
      </c>
      <c r="F1625" s="25" t="str">
        <f>IFERROR(__xludf.DUMMYFUNCTION("""COMPUTED_VALUE"""),"#N/A")</f>
        <v>#N/A</v>
      </c>
      <c r="G1625" s="6" t="str">
        <f>IFERROR(__xludf.DUMMYFUNCTION("""COMPUTED_VALUE"""),"#N/A")</f>
        <v>#N/A</v>
      </c>
      <c r="H1625" s="6"/>
      <c r="I1625" s="19"/>
      <c r="J1625" s="50"/>
      <c r="K1625" s="58"/>
      <c r="L1625" s="6">
        <v>30.0</v>
      </c>
      <c r="M1625" s="52" t="s">
        <v>655</v>
      </c>
      <c r="N1625" s="53" t="s">
        <v>698</v>
      </c>
      <c r="O1625" s="19"/>
      <c r="P1625" s="6"/>
      <c r="Q1625" s="6"/>
      <c r="R1625" s="6"/>
    </row>
    <row r="1626">
      <c r="A1626" s="31" t="str">
        <f>IFERROR(__xludf.DUMMYFUNCTION("""COMPUTED_VALUE"""),"нд")</f>
        <v>нд</v>
      </c>
      <c r="B1626" s="14" t="str">
        <f>IFERROR(__xludf.DUMMYFUNCTION("""COMPUTED_VALUE"""),"ВНЕ СПИСКА")</f>
        <v>ВНЕ СПИСКА</v>
      </c>
      <c r="C1626" s="14" t="str">
        <f>IFERROR(__xludf.DUMMYFUNCTION("""COMPUTED_VALUE"""),"УДС")</f>
        <v>УДС</v>
      </c>
      <c r="D1626" s="6"/>
      <c r="E1626" s="14" t="str">
        <f>IFERROR(__xludf.DUMMYFUNCTION("""COMPUTED_VALUE"""),"УДС участка №10, района Митино, поселок Новобратцевский участок №10, района Митино, поселок Новобратцевский")</f>
        <v>УДС участка №10, района Митино, поселок Новобратцевский участок №10, района Митино, поселок Новобратцевский</v>
      </c>
      <c r="F1626" s="25" t="str">
        <f>IFERROR(__xludf.DUMMYFUNCTION("""COMPUTED_VALUE"""),"#N/A")</f>
        <v>#N/A</v>
      </c>
      <c r="G1626" s="6" t="str">
        <f>IFERROR(__xludf.DUMMYFUNCTION("""COMPUTED_VALUE"""),"#N/A")</f>
        <v>#N/A</v>
      </c>
      <c r="H1626" s="6"/>
      <c r="I1626" s="19"/>
      <c r="J1626" s="50"/>
      <c r="K1626" s="58"/>
      <c r="L1626" s="6">
        <v>30.0</v>
      </c>
      <c r="M1626" s="52" t="s">
        <v>655</v>
      </c>
      <c r="N1626" s="53" t="s">
        <v>698</v>
      </c>
      <c r="O1626" s="19" t="s">
        <v>669</v>
      </c>
      <c r="P1626" s="6"/>
      <c r="Q1626" s="6"/>
      <c r="R1626" s="6"/>
    </row>
    <row r="1627">
      <c r="A1627" s="31" t="str">
        <f>IFERROR(__xludf.DUMMYFUNCTION("""COMPUTED_VALUE"""),"нд")</f>
        <v>нд</v>
      </c>
      <c r="B1627" s="14" t="str">
        <f>IFERROR(__xludf.DUMMYFUNCTION("""COMPUTED_VALUE"""),"ВНЕ СПИСКА")</f>
        <v>ВНЕ СПИСКА</v>
      </c>
      <c r="C1627" s="14" t="str">
        <f>IFERROR(__xludf.DUMMYFUNCTION("""COMPUTED_VALUE"""),"ОКС")</f>
        <v>ОКС</v>
      </c>
      <c r="D1627" s="6" t="str">
        <f>IFERROR(__xludf.DUMMYFUNCTION("""COMPUTED_VALUE"""),"да")</f>
        <v>да</v>
      </c>
      <c r="E1627" s="14" t="str">
        <f>IFERROR(__xludf.DUMMYFUNCTION("""COMPUTED_VALUE"""),"Группа многоэтажных жилых домов с подземной автостоянкой. 1-й Этап - жилые корпуса 1, 2, 6 и 7-й в районе пос. Газопровод")</f>
        <v>Группа многоэтажных жилых домов с подземной автостоянкой. 1-й Этап - жилые корпуса 1, 2, 6 и 7-й в районе пос. Газопровод</v>
      </c>
      <c r="F1627" s="25" t="str">
        <f>IFERROR(__xludf.DUMMYFUNCTION("""COMPUTED_VALUE"""),"#N/A")</f>
        <v>#N/A</v>
      </c>
      <c r="G1627" s="6" t="str">
        <f>IFERROR(__xludf.DUMMYFUNCTION("""COMPUTED_VALUE"""),"#N/A")</f>
        <v>#N/A</v>
      </c>
      <c r="H1627" s="6"/>
      <c r="I1627" s="6"/>
      <c r="J1627" s="50"/>
      <c r="K1627" s="58"/>
      <c r="L1627" s="6">
        <v>30.0</v>
      </c>
      <c r="M1627" s="52" t="s">
        <v>655</v>
      </c>
      <c r="N1627" s="53" t="s">
        <v>698</v>
      </c>
      <c r="O1627" s="6"/>
      <c r="P1627" s="6"/>
      <c r="Q1627" s="6"/>
      <c r="R1627" s="6"/>
    </row>
    <row r="1628">
      <c r="A1628" s="31" t="str">
        <f>IFERROR(__xludf.DUMMYFUNCTION("""COMPUTED_VALUE"""),"нд")</f>
        <v>нд</v>
      </c>
      <c r="B1628" s="14" t="str">
        <f>IFERROR(__xludf.DUMMYFUNCTION("""COMPUTED_VALUE"""),"ВНЕ СПИСКА")</f>
        <v>ВНЕ СПИСКА</v>
      </c>
      <c r="C1628" s="14" t="str">
        <f>IFERROR(__xludf.DUMMYFUNCTION("""COMPUTED_VALUE"""),"ОКС")</f>
        <v>ОКС</v>
      </c>
      <c r="D1628" s="6" t="str">
        <f>IFERROR(__xludf.DUMMYFUNCTION("""COMPUTED_VALUE"""),"да")</f>
        <v>да</v>
      </c>
      <c r="E1628" s="14" t="str">
        <f>IFERROR(__xludf.DUMMYFUNCTION("""COMPUTED_VALUE"""),"Группа многоэтажных жилых домов с подземной автостоянкой. 2-й Этап - жилые корпуса 3, 4 и 5-й в районе пос. Газопровод")</f>
        <v>Группа многоэтажных жилых домов с подземной автостоянкой. 2-й Этап - жилые корпуса 3, 4 и 5-й в районе пос. Газопровод</v>
      </c>
      <c r="F1628" s="25" t="str">
        <f>IFERROR(__xludf.DUMMYFUNCTION("""COMPUTED_VALUE"""),"#N/A")</f>
        <v>#N/A</v>
      </c>
      <c r="G1628" s="6" t="str">
        <f>IFERROR(__xludf.DUMMYFUNCTION("""COMPUTED_VALUE"""),"#N/A")</f>
        <v>#N/A</v>
      </c>
      <c r="H1628" s="6"/>
      <c r="I1628" s="19"/>
      <c r="J1628" s="50"/>
      <c r="K1628" s="58"/>
      <c r="L1628" s="6">
        <v>30.0</v>
      </c>
      <c r="M1628" s="52" t="s">
        <v>655</v>
      </c>
      <c r="N1628" s="53" t="s">
        <v>698</v>
      </c>
      <c r="O1628" s="19"/>
      <c r="P1628" s="6"/>
      <c r="Q1628" s="6"/>
      <c r="R1628" s="6"/>
    </row>
    <row r="1629">
      <c r="A1629" s="31" t="str">
        <f>IFERROR(__xludf.DUMMYFUNCTION("""COMPUTED_VALUE"""),"нд")</f>
        <v>нд</v>
      </c>
      <c r="B1629" s="14" t="str">
        <f>IFERROR(__xludf.DUMMYFUNCTION("""COMPUTED_VALUE"""),"ВНЕ СПИСКА")</f>
        <v>ВНЕ СПИСКА</v>
      </c>
      <c r="C1629" s="14" t="str">
        <f>IFERROR(__xludf.DUMMYFUNCTION("""COMPUTED_VALUE"""),"УДС")</f>
        <v>УДС</v>
      </c>
      <c r="D1629" s="6"/>
      <c r="E1629" s="14" t="str">
        <f>IFERROR(__xludf.DUMMYFUNCTION("""COMPUTED_VALUE"""),"«1-й этап – Дорога по проектируемому проезду №58 с инженерными сетями (дождевая канализация, уличное освещение) и благоустройством, с реконструкцией на участке ул. Нижняя Хохловка по адресу: г. Москва, ЮВАО, ул. Новохохловская з/у 1 (район Нижегородский, "&amp;"кв. 80, между Новохохловской ул. и Третьим транспортным кольцом) район Нижегородский, ул. Новохохловская, з/у 1 (район Нижегородский, кв. 80, между Новохохловской ул. и Третьим транспортным кольцом)""")</f>
        <v>«1-й этап – Дорога по проектируемому проезду №58 с инженерными сетями (дождевая канализация, уличное освещение) и благоустройством, с реконструкцией на участке ул. Нижняя Хохловка по адресу: г. Москва, ЮВАО, ул. Новохохловская з/у 1 (район Нижегородский, кв. 80, между Новохохловской ул. и Третьим транспортным кольцом) район Нижегородский, ул. Новохохловская, з/у 1 (район Нижегородский, кв. 80, между Новохохловской ул. и Третьим транспортным кольцом)"</v>
      </c>
      <c r="F1629" s="25" t="str">
        <f>IFERROR(__xludf.DUMMYFUNCTION("""COMPUTED_VALUE"""),"#N/A")</f>
        <v>#N/A</v>
      </c>
      <c r="G1629" s="6" t="str">
        <f>IFERROR(__xludf.DUMMYFUNCTION("""COMPUTED_VALUE"""),"#N/A")</f>
        <v>#N/A</v>
      </c>
      <c r="H1629" s="6"/>
      <c r="I1629" s="19"/>
      <c r="J1629" s="50"/>
      <c r="K1629" s="58"/>
      <c r="L1629" s="6">
        <v>30.0</v>
      </c>
      <c r="M1629" s="52" t="s">
        <v>655</v>
      </c>
      <c r="N1629" s="53" t="s">
        <v>698</v>
      </c>
      <c r="O1629" s="19" t="s">
        <v>669</v>
      </c>
      <c r="P1629" s="6"/>
      <c r="Q1629" s="6"/>
      <c r="R1629" s="6"/>
    </row>
    <row r="1630">
      <c r="A1630" s="31" t="str">
        <f>IFERROR(__xludf.DUMMYFUNCTION("""COMPUTED_VALUE"""),"нд")</f>
        <v>нд</v>
      </c>
      <c r="B1630" s="14" t="str">
        <f>IFERROR(__xludf.DUMMYFUNCTION("""COMPUTED_VALUE"""),"ВНЕ СПИСКА")</f>
        <v>ВНЕ СПИСКА</v>
      </c>
      <c r="C1630" s="14" t="str">
        <f>IFERROR(__xludf.DUMMYFUNCTION("""COMPUTED_VALUE"""),"ОКС")</f>
        <v>ОКС</v>
      </c>
      <c r="D1630" s="6" t="str">
        <f>IFERROR(__xludf.DUMMYFUNCTION("""COMPUTED_VALUE"""),"да")</f>
        <v>да</v>
      </c>
      <c r="E1630" s="14" t="str">
        <f>IFERROR(__xludf.DUMMYFUNCTION("""COMPUTED_VALUE"""),"Строительство бетонного завода Б 222 Походный проезд, вл. 2, стр. 1-1")</f>
        <v>Строительство бетонного завода Б 222 Походный проезд, вл. 2, стр. 1-1</v>
      </c>
      <c r="F1630" s="25" t="str">
        <f>IFERROR(__xludf.DUMMYFUNCTION("""COMPUTED_VALUE"""),"#N/A")</f>
        <v>#N/A</v>
      </c>
      <c r="G1630" s="6" t="str">
        <f>IFERROR(__xludf.DUMMYFUNCTION("""COMPUTED_VALUE"""),"#N/A")</f>
        <v>#N/A</v>
      </c>
      <c r="H1630" s="6"/>
      <c r="I1630" s="6"/>
      <c r="J1630" s="50"/>
      <c r="K1630" s="58"/>
      <c r="L1630" s="6">
        <v>30.0</v>
      </c>
      <c r="M1630" s="52" t="s">
        <v>655</v>
      </c>
      <c r="N1630" s="53" t="s">
        <v>698</v>
      </c>
      <c r="O1630" s="6"/>
      <c r="P1630" s="6"/>
      <c r="Q1630" s="6"/>
      <c r="R1630" s="6"/>
    </row>
    <row r="1631">
      <c r="A1631" s="31" t="str">
        <f>IFERROR(__xludf.DUMMYFUNCTION("""COMPUTED_VALUE"""),"нд")</f>
        <v>нд</v>
      </c>
      <c r="B1631" s="14"/>
      <c r="C1631" s="14"/>
      <c r="D1631" s="6" t="str">
        <f>IFERROR(__xludf.DUMMYFUNCTION("""COMPUTED_VALUE"""),"да")</f>
        <v>да</v>
      </c>
      <c r="E1631" s="14"/>
      <c r="F1631" s="25"/>
      <c r="G1631" s="6"/>
      <c r="H1631" s="6"/>
      <c r="I1631" s="19"/>
      <c r="J1631" s="50"/>
      <c r="K1631" s="58"/>
      <c r="L1631" s="6">
        <v>30.0</v>
      </c>
      <c r="M1631" s="52" t="s">
        <v>655</v>
      </c>
      <c r="N1631" s="53" t="s">
        <v>698</v>
      </c>
      <c r="O1631" s="19"/>
      <c r="P1631" s="6"/>
      <c r="Q1631" s="6"/>
      <c r="R1631" s="6"/>
    </row>
    <row r="1632">
      <c r="A1632" s="31" t="str">
        <f>IFERROR(__xludf.DUMMYFUNCTION("""COMPUTED_VALUE"""),"нд")</f>
        <v>нд</v>
      </c>
      <c r="B1632" s="14"/>
      <c r="C1632" s="14"/>
      <c r="D1632" s="6" t="str">
        <f>IFERROR(__xludf.DUMMYFUNCTION("""COMPUTED_VALUE"""),"да")</f>
        <v>да</v>
      </c>
      <c r="E1632" s="14"/>
      <c r="F1632" s="25"/>
      <c r="G1632" s="6"/>
      <c r="H1632" s="6"/>
      <c r="I1632" s="19"/>
      <c r="J1632" s="50"/>
      <c r="K1632" s="58"/>
      <c r="L1632" s="6">
        <v>30.0</v>
      </c>
      <c r="M1632" s="52" t="s">
        <v>655</v>
      </c>
      <c r="N1632" s="53" t="s">
        <v>698</v>
      </c>
      <c r="O1632" s="19"/>
      <c r="P1632" s="6"/>
      <c r="Q1632" s="6"/>
      <c r="R1632" s="6"/>
    </row>
    <row r="1633">
      <c r="A1633" s="31" t="str">
        <f>IFERROR(__xludf.DUMMYFUNCTION("""COMPUTED_VALUE"""),"нд")</f>
        <v>нд</v>
      </c>
      <c r="B1633" s="14"/>
      <c r="C1633" s="14"/>
      <c r="D1633" s="6"/>
      <c r="E1633" s="14"/>
      <c r="F1633" s="25"/>
      <c r="G1633" s="6"/>
      <c r="H1633" s="6"/>
      <c r="I1633" s="19"/>
      <c r="J1633" s="50"/>
      <c r="K1633" s="58"/>
      <c r="L1633" s="6">
        <v>30.0</v>
      </c>
      <c r="M1633" s="52" t="s">
        <v>655</v>
      </c>
      <c r="N1633" s="53" t="s">
        <v>698</v>
      </c>
      <c r="O1633" s="19" t="s">
        <v>1459</v>
      </c>
      <c r="P1633" s="6"/>
      <c r="Q1633" s="6"/>
      <c r="R1633" s="6"/>
    </row>
    <row r="1634">
      <c r="A1634" s="31" t="str">
        <f>IFERROR(__xludf.DUMMYFUNCTION("""COMPUTED_VALUE"""),"нд")</f>
        <v>нд</v>
      </c>
      <c r="B1634" s="14"/>
      <c r="C1634" s="14"/>
      <c r="D1634" s="6" t="str">
        <f>IFERROR(__xludf.DUMMYFUNCTION("""COMPUTED_VALUE"""),"да")</f>
        <v>да</v>
      </c>
      <c r="E1634" s="14"/>
      <c r="F1634" s="25"/>
      <c r="G1634" s="6"/>
      <c r="H1634" s="6"/>
      <c r="I1634" s="19"/>
      <c r="J1634" s="50"/>
      <c r="K1634" s="58"/>
      <c r="L1634" s="6">
        <v>30.0</v>
      </c>
      <c r="M1634" s="52" t="s">
        <v>655</v>
      </c>
      <c r="N1634" s="53" t="s">
        <v>698</v>
      </c>
      <c r="O1634" s="19" t="s">
        <v>1459</v>
      </c>
      <c r="P1634" s="6"/>
      <c r="Q1634" s="6"/>
      <c r="R1634" s="6"/>
    </row>
    <row r="1635">
      <c r="A1635" s="31"/>
      <c r="B1635" s="14"/>
      <c r="C1635" s="14"/>
      <c r="D1635" s="6"/>
      <c r="E1635" s="14"/>
      <c r="F1635" s="25"/>
      <c r="G1635" s="6"/>
      <c r="H1635" s="6"/>
      <c r="I1635" s="19"/>
      <c r="J1635" s="50"/>
      <c r="K1635" s="58"/>
      <c r="L1635" s="6" t="s">
        <v>655</v>
      </c>
      <c r="M1635" s="52" t="s">
        <v>655</v>
      </c>
      <c r="N1635" s="53" t="s">
        <v>655</v>
      </c>
      <c r="O1635" s="6"/>
      <c r="P1635" s="6"/>
      <c r="Q1635" s="6"/>
      <c r="R1635" s="6"/>
    </row>
    <row r="1636">
      <c r="A1636" s="31"/>
      <c r="B1636" s="14"/>
      <c r="C1636" s="14"/>
      <c r="D1636" s="6"/>
      <c r="E1636" s="14"/>
      <c r="F1636" s="25"/>
      <c r="G1636" s="6"/>
      <c r="H1636" s="6"/>
      <c r="I1636" s="19"/>
      <c r="J1636" s="50"/>
      <c r="K1636" s="58"/>
      <c r="L1636" s="6" t="s">
        <v>655</v>
      </c>
      <c r="M1636" s="52" t="s">
        <v>655</v>
      </c>
      <c r="N1636" s="53" t="s">
        <v>655</v>
      </c>
      <c r="O1636" s="6"/>
      <c r="P1636" s="6"/>
      <c r="Q1636" s="6"/>
      <c r="R1636" s="6"/>
    </row>
    <row r="1637">
      <c r="A1637" s="31"/>
      <c r="B1637" s="14"/>
      <c r="C1637" s="14"/>
      <c r="D1637" s="6" t="str">
        <f>IFERROR(__xludf.DUMMYFUNCTION("""COMPUTED_VALUE"""),"да")</f>
        <v>да</v>
      </c>
      <c r="E1637" s="14"/>
      <c r="F1637" s="25"/>
      <c r="G1637" s="6"/>
      <c r="H1637" s="6"/>
      <c r="I1637" s="19"/>
      <c r="J1637" s="50"/>
      <c r="K1637" s="58"/>
      <c r="L1637" s="6" t="s">
        <v>655</v>
      </c>
      <c r="M1637" s="52" t="s">
        <v>655</v>
      </c>
      <c r="N1637" s="53" t="s">
        <v>655</v>
      </c>
      <c r="O1637" s="6"/>
      <c r="P1637" s="6"/>
      <c r="Q1637" s="6"/>
      <c r="R1637" s="6"/>
    </row>
    <row r="1638">
      <c r="A1638" s="31"/>
      <c r="B1638" s="14"/>
      <c r="C1638" s="14"/>
      <c r="D1638" s="6" t="str">
        <f>IFERROR(__xludf.DUMMYFUNCTION("""COMPUTED_VALUE"""),"да")</f>
        <v>да</v>
      </c>
      <c r="E1638" s="14"/>
      <c r="F1638" s="25"/>
      <c r="G1638" s="6"/>
      <c r="H1638" s="6"/>
      <c r="I1638" s="19"/>
      <c r="J1638" s="50"/>
      <c r="K1638" s="58"/>
      <c r="L1638" s="6" t="s">
        <v>655</v>
      </c>
      <c r="M1638" s="52" t="s">
        <v>655</v>
      </c>
      <c r="N1638" s="53" t="s">
        <v>655</v>
      </c>
      <c r="O1638" s="6"/>
      <c r="P1638" s="6"/>
      <c r="Q1638" s="6"/>
      <c r="R1638" s="6"/>
    </row>
    <row r="1639">
      <c r="A1639" s="31"/>
      <c r="B1639" s="14"/>
      <c r="C1639" s="14"/>
      <c r="D1639" s="6" t="str">
        <f>IFERROR(__xludf.DUMMYFUNCTION("""COMPUTED_VALUE"""),"да")</f>
        <v>да</v>
      </c>
      <c r="E1639" s="14"/>
      <c r="F1639" s="25"/>
      <c r="G1639" s="6"/>
      <c r="H1639" s="6"/>
      <c r="I1639" s="19"/>
      <c r="J1639" s="50"/>
      <c r="K1639" s="58"/>
      <c r="L1639" s="6" t="s">
        <v>655</v>
      </c>
      <c r="M1639" s="52" t="s">
        <v>655</v>
      </c>
      <c r="N1639" s="53" t="s">
        <v>655</v>
      </c>
      <c r="O1639" s="6"/>
      <c r="P1639" s="6"/>
      <c r="Q1639" s="6"/>
      <c r="R1639" s="6"/>
    </row>
    <row r="1640">
      <c r="A1640" s="31"/>
      <c r="B1640" s="14"/>
      <c r="C1640" s="14"/>
      <c r="D1640" s="6"/>
      <c r="E1640" s="14"/>
      <c r="F1640" s="25"/>
      <c r="G1640" s="6"/>
      <c r="H1640" s="6"/>
      <c r="I1640" s="19"/>
      <c r="J1640" s="50"/>
      <c r="K1640" s="58"/>
      <c r="L1640" s="6" t="s">
        <v>655</v>
      </c>
      <c r="M1640" s="52" t="s">
        <v>655</v>
      </c>
      <c r="N1640" s="53" t="s">
        <v>655</v>
      </c>
      <c r="O1640" s="6"/>
      <c r="P1640" s="6"/>
      <c r="Q1640" s="6"/>
      <c r="R1640" s="6"/>
    </row>
    <row r="1641">
      <c r="A1641" s="31"/>
      <c r="B1641" s="14"/>
      <c r="C1641" s="14"/>
      <c r="D1641" s="6"/>
      <c r="E1641" s="14"/>
      <c r="F1641" s="25"/>
      <c r="G1641" s="6"/>
      <c r="H1641" s="6"/>
      <c r="I1641" s="19"/>
      <c r="J1641" s="50"/>
      <c r="K1641" s="58"/>
      <c r="L1641" s="6" t="s">
        <v>655</v>
      </c>
      <c r="M1641" s="52" t="s">
        <v>655</v>
      </c>
      <c r="N1641" s="53" t="s">
        <v>655</v>
      </c>
      <c r="O1641" s="6"/>
      <c r="P1641" s="6"/>
      <c r="Q1641" s="6"/>
      <c r="R1641" s="6"/>
    </row>
    <row r="1642">
      <c r="A1642" s="31"/>
      <c r="B1642" s="14"/>
      <c r="C1642" s="14"/>
      <c r="D1642" s="6"/>
      <c r="E1642" s="14"/>
      <c r="F1642" s="25"/>
      <c r="G1642" s="6"/>
      <c r="H1642" s="6"/>
      <c r="I1642" s="19"/>
      <c r="J1642" s="50"/>
      <c r="K1642" s="58"/>
      <c r="L1642" s="6" t="s">
        <v>655</v>
      </c>
      <c r="M1642" s="52" t="s">
        <v>655</v>
      </c>
      <c r="N1642" s="53" t="s">
        <v>655</v>
      </c>
      <c r="O1642" s="6"/>
      <c r="P1642" s="6"/>
      <c r="Q1642" s="6"/>
      <c r="R1642" s="6"/>
    </row>
    <row r="1643">
      <c r="A1643" s="31"/>
      <c r="B1643" s="14"/>
      <c r="C1643" s="14"/>
      <c r="D1643" s="6"/>
      <c r="E1643" s="14"/>
      <c r="F1643" s="25"/>
      <c r="G1643" s="6"/>
      <c r="H1643" s="6"/>
      <c r="I1643" s="19"/>
      <c r="J1643" s="50"/>
      <c r="K1643" s="58"/>
      <c r="L1643" s="6" t="s">
        <v>655</v>
      </c>
      <c r="M1643" s="52" t="s">
        <v>655</v>
      </c>
      <c r="N1643" s="53" t="s">
        <v>655</v>
      </c>
      <c r="O1643" s="6"/>
      <c r="P1643" s="6"/>
      <c r="Q1643" s="6"/>
      <c r="R1643" s="6"/>
    </row>
    <row r="1644">
      <c r="A1644" s="31"/>
      <c r="B1644" s="14"/>
      <c r="C1644" s="14"/>
      <c r="D1644" s="6"/>
      <c r="E1644" s="14"/>
      <c r="F1644" s="25"/>
      <c r="G1644" s="6"/>
      <c r="H1644" s="6"/>
      <c r="I1644" s="19"/>
      <c r="J1644" s="50"/>
      <c r="K1644" s="58"/>
      <c r="L1644" s="6" t="s">
        <v>655</v>
      </c>
      <c r="M1644" s="52" t="s">
        <v>655</v>
      </c>
      <c r="N1644" s="53" t="s">
        <v>655</v>
      </c>
      <c r="O1644" s="6"/>
      <c r="P1644" s="6"/>
      <c r="Q1644" s="6"/>
      <c r="R1644" s="6"/>
    </row>
    <row r="1645">
      <c r="A1645" s="31"/>
      <c r="B1645" s="14"/>
      <c r="C1645" s="14"/>
      <c r="D1645" s="6"/>
      <c r="E1645" s="14"/>
      <c r="F1645" s="25"/>
      <c r="G1645" s="6"/>
      <c r="H1645" s="6"/>
      <c r="I1645" s="19"/>
      <c r="J1645" s="50"/>
      <c r="K1645" s="58"/>
      <c r="L1645" s="6" t="s">
        <v>655</v>
      </c>
      <c r="M1645" s="52" t="s">
        <v>655</v>
      </c>
      <c r="N1645" s="53" t="s">
        <v>655</v>
      </c>
      <c r="O1645" s="6"/>
      <c r="P1645" s="6"/>
      <c r="Q1645" s="6"/>
      <c r="R1645" s="6"/>
    </row>
    <row r="1646">
      <c r="A1646" s="31"/>
      <c r="B1646" s="14"/>
      <c r="C1646" s="14"/>
      <c r="D1646" s="6"/>
      <c r="E1646" s="14"/>
      <c r="F1646" s="25"/>
      <c r="G1646" s="6"/>
      <c r="H1646" s="6"/>
      <c r="I1646" s="19"/>
      <c r="J1646" s="50"/>
      <c r="K1646" s="58"/>
      <c r="L1646" s="6" t="s">
        <v>655</v>
      </c>
      <c r="M1646" s="52" t="s">
        <v>655</v>
      </c>
      <c r="N1646" s="53" t="s">
        <v>655</v>
      </c>
      <c r="O1646" s="6"/>
      <c r="P1646" s="6"/>
      <c r="Q1646" s="6"/>
      <c r="R1646" s="6"/>
    </row>
    <row r="1647">
      <c r="A1647" s="31"/>
      <c r="B1647" s="14"/>
      <c r="C1647" s="14"/>
      <c r="D1647" s="6"/>
      <c r="E1647" s="14"/>
      <c r="F1647" s="25"/>
      <c r="G1647" s="6"/>
      <c r="H1647" s="6"/>
      <c r="I1647" s="19"/>
      <c r="J1647" s="50"/>
      <c r="K1647" s="58"/>
      <c r="L1647" s="6" t="s">
        <v>655</v>
      </c>
      <c r="M1647" s="52" t="s">
        <v>655</v>
      </c>
      <c r="N1647" s="53" t="s">
        <v>655</v>
      </c>
      <c r="O1647" s="6"/>
      <c r="P1647" s="6"/>
      <c r="Q1647" s="6"/>
      <c r="R1647" s="6"/>
    </row>
    <row r="1648">
      <c r="A1648" s="31"/>
      <c r="B1648" s="14"/>
      <c r="C1648" s="14"/>
      <c r="D1648" s="6"/>
      <c r="E1648" s="14"/>
      <c r="F1648" s="25"/>
      <c r="G1648" s="6"/>
      <c r="H1648" s="6"/>
      <c r="I1648" s="19"/>
      <c r="J1648" s="50"/>
      <c r="K1648" s="58"/>
      <c r="L1648" s="6" t="s">
        <v>655</v>
      </c>
      <c r="M1648" s="52" t="s">
        <v>655</v>
      </c>
      <c r="N1648" s="53" t="s">
        <v>655</v>
      </c>
      <c r="O1648" s="6"/>
      <c r="P1648" s="6"/>
      <c r="Q1648" s="6"/>
      <c r="R1648" s="6"/>
    </row>
    <row r="1649">
      <c r="A1649" s="31"/>
      <c r="B1649" s="14"/>
      <c r="C1649" s="14"/>
      <c r="D1649" s="6"/>
      <c r="E1649" s="14"/>
      <c r="F1649" s="25"/>
      <c r="G1649" s="6"/>
      <c r="H1649" s="6"/>
      <c r="I1649" s="19"/>
      <c r="J1649" s="50"/>
      <c r="K1649" s="58"/>
      <c r="L1649" s="6" t="s">
        <v>655</v>
      </c>
      <c r="M1649" s="52" t="s">
        <v>655</v>
      </c>
      <c r="N1649" s="53" t="s">
        <v>655</v>
      </c>
      <c r="O1649" s="6"/>
      <c r="P1649" s="6"/>
      <c r="Q1649" s="6"/>
      <c r="R1649" s="6"/>
    </row>
    <row r="1650">
      <c r="A1650" s="31"/>
      <c r="B1650" s="14"/>
      <c r="C1650" s="14"/>
      <c r="D1650" s="6"/>
      <c r="E1650" s="14"/>
      <c r="F1650" s="25"/>
      <c r="G1650" s="6"/>
      <c r="H1650" s="6"/>
      <c r="I1650" s="19"/>
      <c r="J1650" s="50"/>
      <c r="K1650" s="58"/>
      <c r="L1650" s="6" t="s">
        <v>655</v>
      </c>
      <c r="M1650" s="52" t="s">
        <v>655</v>
      </c>
      <c r="N1650" s="53" t="s">
        <v>655</v>
      </c>
      <c r="O1650" s="6"/>
      <c r="P1650" s="6"/>
      <c r="Q1650" s="6"/>
      <c r="R1650" s="6"/>
    </row>
    <row r="1651">
      <c r="A1651" s="31"/>
      <c r="B1651" s="14"/>
      <c r="C1651" s="14"/>
      <c r="D1651" s="6"/>
      <c r="E1651" s="14"/>
      <c r="F1651" s="25"/>
      <c r="G1651" s="6"/>
      <c r="H1651" s="6"/>
      <c r="I1651" s="19"/>
      <c r="J1651" s="50"/>
      <c r="K1651" s="58"/>
      <c r="L1651" s="6" t="s">
        <v>655</v>
      </c>
      <c r="M1651" s="52" t="s">
        <v>655</v>
      </c>
      <c r="N1651" s="53" t="s">
        <v>655</v>
      </c>
      <c r="O1651" s="6"/>
      <c r="P1651" s="6"/>
      <c r="Q1651" s="6"/>
      <c r="R1651" s="6"/>
    </row>
    <row r="1652">
      <c r="A1652" s="31"/>
      <c r="B1652" s="14"/>
      <c r="C1652" s="14"/>
      <c r="D1652" s="6"/>
      <c r="E1652" s="14"/>
      <c r="F1652" s="25"/>
      <c r="G1652" s="6"/>
      <c r="H1652" s="6"/>
      <c r="I1652" s="19"/>
      <c r="J1652" s="50"/>
      <c r="K1652" s="58"/>
      <c r="L1652" s="6" t="s">
        <v>655</v>
      </c>
      <c r="M1652" s="52" t="s">
        <v>655</v>
      </c>
      <c r="N1652" s="53" t="s">
        <v>655</v>
      </c>
      <c r="O1652" s="6"/>
      <c r="P1652" s="6"/>
      <c r="Q1652" s="6"/>
      <c r="R1652" s="6"/>
    </row>
    <row r="1653">
      <c r="A1653" s="31"/>
      <c r="B1653" s="14"/>
      <c r="C1653" s="14"/>
      <c r="D1653" s="6"/>
      <c r="E1653" s="14"/>
      <c r="F1653" s="25"/>
      <c r="G1653" s="6"/>
      <c r="H1653" s="6"/>
      <c r="I1653" s="19"/>
      <c r="J1653" s="50"/>
      <c r="K1653" s="58"/>
      <c r="L1653" s="6" t="s">
        <v>655</v>
      </c>
      <c r="M1653" s="52" t="s">
        <v>655</v>
      </c>
      <c r="N1653" s="53" t="s">
        <v>655</v>
      </c>
      <c r="O1653" s="6"/>
      <c r="P1653" s="6"/>
      <c r="Q1653" s="6"/>
      <c r="R1653" s="6"/>
    </row>
    <row r="1654">
      <c r="A1654" s="31"/>
      <c r="B1654" s="14"/>
      <c r="C1654" s="14"/>
      <c r="D1654" s="6"/>
      <c r="E1654" s="14"/>
      <c r="F1654" s="25"/>
      <c r="G1654" s="6"/>
      <c r="H1654" s="6"/>
      <c r="I1654" s="19"/>
      <c r="J1654" s="50"/>
      <c r="K1654" s="58"/>
      <c r="L1654" s="6" t="s">
        <v>655</v>
      </c>
      <c r="M1654" s="52" t="s">
        <v>655</v>
      </c>
      <c r="N1654" s="53" t="s">
        <v>655</v>
      </c>
      <c r="O1654" s="6"/>
      <c r="P1654" s="6"/>
      <c r="Q1654" s="6"/>
      <c r="R1654" s="6"/>
    </row>
    <row r="1655">
      <c r="A1655" s="31"/>
      <c r="B1655" s="14"/>
      <c r="C1655" s="14"/>
      <c r="D1655" s="6"/>
      <c r="E1655" s="14"/>
      <c r="F1655" s="25"/>
      <c r="G1655" s="6"/>
      <c r="H1655" s="6"/>
      <c r="I1655" s="19"/>
      <c r="J1655" s="50"/>
      <c r="K1655" s="58"/>
      <c r="L1655" s="6" t="s">
        <v>655</v>
      </c>
      <c r="M1655" s="52" t="s">
        <v>655</v>
      </c>
      <c r="N1655" s="53" t="s">
        <v>655</v>
      </c>
      <c r="O1655" s="6"/>
      <c r="P1655" s="6"/>
      <c r="Q1655" s="6"/>
      <c r="R1655" s="6"/>
    </row>
    <row r="1656">
      <c r="A1656" s="31"/>
      <c r="B1656" s="14"/>
      <c r="C1656" s="14"/>
      <c r="D1656" s="6"/>
      <c r="E1656" s="14"/>
      <c r="F1656" s="25"/>
      <c r="G1656" s="6"/>
      <c r="H1656" s="6"/>
      <c r="I1656" s="19"/>
      <c r="J1656" s="50"/>
      <c r="K1656" s="58"/>
      <c r="L1656" s="6" t="s">
        <v>655</v>
      </c>
      <c r="M1656" s="52" t="s">
        <v>655</v>
      </c>
      <c r="N1656" s="53" t="s">
        <v>655</v>
      </c>
      <c r="O1656" s="6"/>
      <c r="P1656" s="6"/>
      <c r="Q1656" s="6"/>
      <c r="R1656" s="6"/>
    </row>
    <row r="1657">
      <c r="A1657" s="31"/>
      <c r="B1657" s="14"/>
      <c r="C1657" s="14"/>
      <c r="D1657" s="6"/>
      <c r="E1657" s="14"/>
      <c r="F1657" s="25"/>
      <c r="G1657" s="6"/>
      <c r="H1657" s="6"/>
      <c r="I1657" s="19"/>
      <c r="J1657" s="50"/>
      <c r="K1657" s="58"/>
      <c r="L1657" s="6" t="s">
        <v>655</v>
      </c>
      <c r="M1657" s="52" t="s">
        <v>655</v>
      </c>
      <c r="N1657" s="53" t="s">
        <v>655</v>
      </c>
      <c r="O1657" s="6"/>
      <c r="P1657" s="6"/>
      <c r="Q1657" s="6"/>
      <c r="R1657" s="6"/>
    </row>
    <row r="1658">
      <c r="A1658" s="31"/>
      <c r="B1658" s="14"/>
      <c r="C1658" s="14"/>
      <c r="D1658" s="6"/>
      <c r="E1658" s="14"/>
      <c r="F1658" s="25"/>
      <c r="G1658" s="6"/>
      <c r="H1658" s="6"/>
      <c r="I1658" s="19"/>
      <c r="J1658" s="50"/>
      <c r="K1658" s="58"/>
      <c r="L1658" s="6" t="s">
        <v>655</v>
      </c>
      <c r="M1658" s="52" t="s">
        <v>655</v>
      </c>
      <c r="N1658" s="53" t="s">
        <v>655</v>
      </c>
      <c r="O1658" s="6"/>
      <c r="P1658" s="6"/>
      <c r="Q1658" s="6"/>
      <c r="R1658" s="6"/>
    </row>
    <row r="1659">
      <c r="A1659" s="31"/>
      <c r="B1659" s="14"/>
      <c r="C1659" s="14"/>
      <c r="D1659" s="6"/>
      <c r="E1659" s="14"/>
      <c r="F1659" s="25"/>
      <c r="G1659" s="6"/>
      <c r="H1659" s="6"/>
      <c r="I1659" s="19"/>
      <c r="J1659" s="50"/>
      <c r="K1659" s="58"/>
      <c r="L1659" s="6" t="s">
        <v>655</v>
      </c>
      <c r="M1659" s="52" t="s">
        <v>655</v>
      </c>
      <c r="N1659" s="53" t="s">
        <v>655</v>
      </c>
      <c r="O1659" s="6"/>
      <c r="P1659" s="6"/>
      <c r="Q1659" s="6"/>
      <c r="R1659" s="6"/>
    </row>
    <row r="1660">
      <c r="A1660" s="31"/>
      <c r="B1660" s="14"/>
      <c r="C1660" s="14"/>
      <c r="D1660" s="6"/>
      <c r="E1660" s="14"/>
      <c r="F1660" s="25"/>
      <c r="G1660" s="6"/>
      <c r="H1660" s="6"/>
      <c r="I1660" s="19"/>
      <c r="J1660" s="50"/>
      <c r="K1660" s="58"/>
      <c r="L1660" s="6" t="s">
        <v>655</v>
      </c>
      <c r="M1660" s="52" t="s">
        <v>655</v>
      </c>
      <c r="N1660" s="53" t="s">
        <v>655</v>
      </c>
      <c r="O1660" s="6"/>
      <c r="P1660" s="6"/>
      <c r="Q1660" s="6"/>
      <c r="R1660" s="6"/>
    </row>
    <row r="1661">
      <c r="A1661" s="31"/>
      <c r="B1661" s="14"/>
      <c r="C1661" s="14"/>
      <c r="D1661" s="6"/>
      <c r="E1661" s="14"/>
      <c r="F1661" s="25"/>
      <c r="G1661" s="6"/>
      <c r="H1661" s="6"/>
      <c r="I1661" s="19"/>
      <c r="J1661" s="50"/>
      <c r="K1661" s="58"/>
      <c r="L1661" s="6" t="s">
        <v>655</v>
      </c>
      <c r="M1661" s="52" t="s">
        <v>655</v>
      </c>
      <c r="N1661" s="53" t="s">
        <v>655</v>
      </c>
      <c r="O1661" s="6"/>
      <c r="P1661" s="6"/>
      <c r="Q1661" s="6"/>
      <c r="R1661" s="6"/>
    </row>
    <row r="1662">
      <c r="A1662" s="31"/>
      <c r="B1662" s="14"/>
      <c r="C1662" s="14"/>
      <c r="D1662" s="6"/>
      <c r="E1662" s="14"/>
      <c r="F1662" s="25"/>
      <c r="G1662" s="6"/>
      <c r="H1662" s="6"/>
      <c r="I1662" s="19"/>
      <c r="J1662" s="50"/>
      <c r="K1662" s="58"/>
      <c r="L1662" s="6" t="s">
        <v>655</v>
      </c>
      <c r="M1662" s="52" t="s">
        <v>655</v>
      </c>
      <c r="N1662" s="53" t="s">
        <v>655</v>
      </c>
      <c r="O1662" s="6"/>
      <c r="P1662" s="6"/>
      <c r="Q1662" s="6"/>
      <c r="R1662" s="6"/>
    </row>
    <row r="1663">
      <c r="A1663" s="31"/>
      <c r="B1663" s="14"/>
      <c r="C1663" s="14"/>
      <c r="D1663" s="6"/>
      <c r="E1663" s="14"/>
      <c r="F1663" s="25"/>
      <c r="G1663" s="6"/>
      <c r="H1663" s="6"/>
      <c r="I1663" s="19"/>
      <c r="J1663" s="50"/>
      <c r="K1663" s="58"/>
      <c r="L1663" s="6" t="s">
        <v>655</v>
      </c>
      <c r="M1663" s="52" t="s">
        <v>655</v>
      </c>
      <c r="N1663" s="53" t="s">
        <v>655</v>
      </c>
      <c r="O1663" s="6"/>
      <c r="P1663" s="6"/>
      <c r="Q1663" s="6"/>
      <c r="R1663" s="6"/>
    </row>
    <row r="1664">
      <c r="A1664" s="31"/>
      <c r="B1664" s="14"/>
      <c r="C1664" s="14"/>
      <c r="D1664" s="6"/>
      <c r="E1664" s="14"/>
      <c r="F1664" s="25"/>
      <c r="G1664" s="6"/>
      <c r="H1664" s="6"/>
      <c r="I1664" s="19"/>
      <c r="J1664" s="50"/>
      <c r="K1664" s="58"/>
      <c r="L1664" s="6" t="s">
        <v>655</v>
      </c>
      <c r="M1664" s="52" t="s">
        <v>655</v>
      </c>
      <c r="N1664" s="53" t="s">
        <v>655</v>
      </c>
      <c r="O1664" s="6"/>
      <c r="P1664" s="6"/>
      <c r="Q1664" s="6"/>
      <c r="R1664" s="6"/>
    </row>
    <row r="1665">
      <c r="A1665" s="31"/>
      <c r="B1665" s="14"/>
      <c r="C1665" s="14"/>
      <c r="D1665" s="6"/>
      <c r="E1665" s="14"/>
      <c r="F1665" s="25"/>
      <c r="G1665" s="6"/>
      <c r="H1665" s="6"/>
      <c r="I1665" s="19"/>
      <c r="J1665" s="50"/>
      <c r="K1665" s="58"/>
      <c r="L1665" s="6" t="s">
        <v>655</v>
      </c>
      <c r="M1665" s="52" t="s">
        <v>655</v>
      </c>
      <c r="N1665" s="53" t="s">
        <v>655</v>
      </c>
      <c r="O1665" s="6"/>
      <c r="P1665" s="6"/>
      <c r="Q1665" s="6"/>
      <c r="R1665" s="6"/>
    </row>
    <row r="1666">
      <c r="A1666" s="31"/>
      <c r="B1666" s="14"/>
      <c r="C1666" s="14"/>
      <c r="D1666" s="6"/>
      <c r="E1666" s="14"/>
      <c r="F1666" s="25"/>
      <c r="G1666" s="6"/>
      <c r="H1666" s="6"/>
      <c r="I1666" s="19"/>
      <c r="J1666" s="50"/>
      <c r="K1666" s="58"/>
      <c r="L1666" s="6" t="s">
        <v>655</v>
      </c>
      <c r="M1666" s="52" t="s">
        <v>655</v>
      </c>
      <c r="N1666" s="53" t="s">
        <v>655</v>
      </c>
      <c r="O1666" s="6"/>
      <c r="P1666" s="6"/>
      <c r="Q1666" s="6"/>
      <c r="R1666" s="6"/>
    </row>
    <row r="1667">
      <c r="A1667" s="31"/>
      <c r="B1667" s="14"/>
      <c r="C1667" s="14"/>
      <c r="D1667" s="6"/>
      <c r="E1667" s="14"/>
      <c r="F1667" s="25"/>
      <c r="G1667" s="6"/>
      <c r="H1667" s="6"/>
      <c r="I1667" s="19"/>
      <c r="J1667" s="50"/>
      <c r="K1667" s="58"/>
      <c r="L1667" s="6" t="s">
        <v>655</v>
      </c>
      <c r="M1667" s="52" t="s">
        <v>655</v>
      </c>
      <c r="N1667" s="53" t="s">
        <v>655</v>
      </c>
      <c r="O1667" s="6"/>
      <c r="P1667" s="6"/>
      <c r="Q1667" s="6"/>
      <c r="R1667" s="6"/>
    </row>
    <row r="1668">
      <c r="A1668" s="31"/>
      <c r="B1668" s="14"/>
      <c r="C1668" s="14"/>
      <c r="D1668" s="6"/>
      <c r="E1668" s="14"/>
      <c r="F1668" s="25"/>
      <c r="G1668" s="6"/>
      <c r="H1668" s="6"/>
      <c r="I1668" s="19"/>
      <c r="J1668" s="50"/>
      <c r="K1668" s="58"/>
      <c r="L1668" s="6" t="s">
        <v>655</v>
      </c>
      <c r="M1668" s="52" t="s">
        <v>655</v>
      </c>
      <c r="N1668" s="53" t="s">
        <v>655</v>
      </c>
      <c r="O1668" s="6"/>
      <c r="P1668" s="6"/>
      <c r="Q1668" s="6"/>
      <c r="R1668" s="6"/>
    </row>
    <row r="1669">
      <c r="A1669" s="31"/>
      <c r="B1669" s="14"/>
      <c r="C1669" s="14"/>
      <c r="D1669" s="6"/>
      <c r="E1669" s="14"/>
      <c r="F1669" s="25"/>
      <c r="G1669" s="6"/>
      <c r="H1669" s="6"/>
      <c r="I1669" s="19"/>
      <c r="J1669" s="50"/>
      <c r="K1669" s="58"/>
      <c r="L1669" s="6" t="s">
        <v>655</v>
      </c>
      <c r="M1669" s="52" t="s">
        <v>655</v>
      </c>
      <c r="N1669" s="53" t="s">
        <v>655</v>
      </c>
      <c r="O1669" s="6"/>
      <c r="P1669" s="6"/>
      <c r="Q1669" s="6"/>
      <c r="R1669" s="6"/>
    </row>
    <row r="1670">
      <c r="A1670" s="31"/>
      <c r="B1670" s="14"/>
      <c r="C1670" s="14"/>
      <c r="D1670" s="6"/>
      <c r="E1670" s="14"/>
      <c r="F1670" s="25"/>
      <c r="G1670" s="6"/>
      <c r="H1670" s="6"/>
      <c r="I1670" s="19"/>
      <c r="J1670" s="50"/>
      <c r="K1670" s="58"/>
      <c r="L1670" s="6" t="s">
        <v>655</v>
      </c>
      <c r="M1670" s="52" t="s">
        <v>655</v>
      </c>
      <c r="N1670" s="53" t="s">
        <v>655</v>
      </c>
      <c r="O1670" s="6"/>
      <c r="P1670" s="6"/>
      <c r="Q1670" s="6"/>
      <c r="R1670" s="6"/>
    </row>
    <row r="1671">
      <c r="A1671" s="31"/>
      <c r="B1671" s="14"/>
      <c r="C1671" s="14"/>
      <c r="D1671" s="6"/>
      <c r="E1671" s="14"/>
      <c r="F1671" s="25"/>
      <c r="G1671" s="6"/>
      <c r="H1671" s="6"/>
      <c r="I1671" s="19"/>
      <c r="J1671" s="50"/>
      <c r="K1671" s="58"/>
      <c r="L1671" s="6" t="s">
        <v>655</v>
      </c>
      <c r="M1671" s="52" t="s">
        <v>655</v>
      </c>
      <c r="N1671" s="53" t="s">
        <v>655</v>
      </c>
      <c r="O1671" s="6"/>
      <c r="P1671" s="6"/>
      <c r="Q1671" s="6"/>
      <c r="R1671" s="6"/>
    </row>
    <row r="1672">
      <c r="A1672" s="31"/>
      <c r="B1672" s="14"/>
      <c r="C1672" s="14"/>
      <c r="D1672" s="6"/>
      <c r="E1672" s="14"/>
      <c r="F1672" s="25"/>
      <c r="G1672" s="6"/>
      <c r="H1672" s="6"/>
      <c r="I1672" s="19"/>
      <c r="J1672" s="50"/>
      <c r="K1672" s="58"/>
      <c r="L1672" s="6" t="s">
        <v>655</v>
      </c>
      <c r="M1672" s="52" t="s">
        <v>655</v>
      </c>
      <c r="N1672" s="53" t="s">
        <v>655</v>
      </c>
      <c r="O1672" s="6"/>
      <c r="P1672" s="6"/>
      <c r="Q1672" s="6"/>
      <c r="R1672" s="6"/>
    </row>
    <row r="1673">
      <c r="A1673" s="31"/>
      <c r="B1673" s="14"/>
      <c r="C1673" s="14"/>
      <c r="D1673" s="6"/>
      <c r="E1673" s="14"/>
      <c r="F1673" s="25"/>
      <c r="G1673" s="6"/>
      <c r="H1673" s="6"/>
      <c r="I1673" s="19"/>
      <c r="J1673" s="50"/>
      <c r="K1673" s="58"/>
      <c r="L1673" s="6" t="s">
        <v>655</v>
      </c>
      <c r="M1673" s="52" t="s">
        <v>655</v>
      </c>
      <c r="N1673" s="53" t="s">
        <v>655</v>
      </c>
      <c r="O1673" s="6"/>
      <c r="P1673" s="6"/>
      <c r="Q1673" s="6"/>
      <c r="R1673" s="6"/>
    </row>
    <row r="1674">
      <c r="A1674" s="31"/>
      <c r="B1674" s="14"/>
      <c r="C1674" s="14"/>
      <c r="D1674" s="6"/>
      <c r="E1674" s="14"/>
      <c r="F1674" s="25"/>
      <c r="G1674" s="6"/>
      <c r="H1674" s="6"/>
      <c r="I1674" s="19"/>
      <c r="J1674" s="50"/>
      <c r="K1674" s="58"/>
      <c r="L1674" s="6" t="s">
        <v>655</v>
      </c>
      <c r="M1674" s="52" t="s">
        <v>655</v>
      </c>
      <c r="N1674" s="53" t="s">
        <v>655</v>
      </c>
      <c r="O1674" s="6"/>
      <c r="P1674" s="6"/>
      <c r="Q1674" s="6"/>
      <c r="R1674" s="6"/>
    </row>
    <row r="1675">
      <c r="A1675" s="31"/>
      <c r="B1675" s="14"/>
      <c r="C1675" s="14"/>
      <c r="D1675" s="6"/>
      <c r="E1675" s="14"/>
      <c r="F1675" s="25"/>
      <c r="G1675" s="6"/>
      <c r="H1675" s="6"/>
      <c r="I1675" s="19"/>
      <c r="J1675" s="50"/>
      <c r="K1675" s="58"/>
      <c r="L1675" s="6" t="s">
        <v>655</v>
      </c>
      <c r="M1675" s="52" t="s">
        <v>655</v>
      </c>
      <c r="N1675" s="53" t="s">
        <v>655</v>
      </c>
      <c r="O1675" s="6"/>
      <c r="P1675" s="6"/>
      <c r="Q1675" s="6"/>
      <c r="R1675" s="6"/>
    </row>
    <row r="1676">
      <c r="A1676" s="31"/>
      <c r="B1676" s="14"/>
      <c r="C1676" s="14"/>
      <c r="D1676" s="6"/>
      <c r="E1676" s="14"/>
      <c r="F1676" s="25"/>
      <c r="G1676" s="6"/>
      <c r="H1676" s="6"/>
      <c r="I1676" s="19"/>
      <c r="J1676" s="50"/>
      <c r="K1676" s="58"/>
      <c r="L1676" s="6" t="s">
        <v>655</v>
      </c>
      <c r="M1676" s="52" t="s">
        <v>655</v>
      </c>
      <c r="N1676" s="53" t="s">
        <v>655</v>
      </c>
      <c r="O1676" s="6"/>
      <c r="P1676" s="6"/>
      <c r="Q1676" s="6"/>
      <c r="R1676" s="6"/>
    </row>
    <row r="1677">
      <c r="A1677" s="31"/>
      <c r="B1677" s="14"/>
      <c r="C1677" s="14"/>
      <c r="D1677" s="6"/>
      <c r="E1677" s="14"/>
      <c r="F1677" s="25"/>
      <c r="G1677" s="6"/>
      <c r="H1677" s="6"/>
      <c r="I1677" s="19"/>
      <c r="J1677" s="50"/>
      <c r="K1677" s="58"/>
      <c r="L1677" s="6" t="s">
        <v>655</v>
      </c>
      <c r="M1677" s="52" t="s">
        <v>655</v>
      </c>
      <c r="N1677" s="53" t="s">
        <v>655</v>
      </c>
      <c r="O1677" s="6"/>
      <c r="P1677" s="6"/>
      <c r="Q1677" s="6"/>
      <c r="R1677" s="6"/>
    </row>
    <row r="1678">
      <c r="A1678" s="31"/>
      <c r="B1678" s="14"/>
      <c r="C1678" s="14"/>
      <c r="D1678" s="6"/>
      <c r="E1678" s="14"/>
      <c r="F1678" s="25"/>
      <c r="G1678" s="6"/>
      <c r="H1678" s="6"/>
      <c r="I1678" s="19"/>
      <c r="J1678" s="50"/>
      <c r="K1678" s="58"/>
      <c r="L1678" s="6" t="s">
        <v>655</v>
      </c>
      <c r="M1678" s="52" t="s">
        <v>655</v>
      </c>
      <c r="N1678" s="53" t="s">
        <v>655</v>
      </c>
      <c r="O1678" s="6"/>
      <c r="P1678" s="6"/>
      <c r="Q1678" s="6"/>
      <c r="R1678" s="6"/>
    </row>
    <row r="1679">
      <c r="A1679" s="31"/>
      <c r="B1679" s="14"/>
      <c r="C1679" s="14"/>
      <c r="D1679" s="6"/>
      <c r="E1679" s="14"/>
      <c r="F1679" s="25"/>
      <c r="G1679" s="6"/>
      <c r="H1679" s="6"/>
      <c r="I1679" s="19"/>
      <c r="J1679" s="50"/>
      <c r="K1679" s="58"/>
      <c r="L1679" s="6" t="s">
        <v>655</v>
      </c>
      <c r="M1679" s="52" t="s">
        <v>655</v>
      </c>
      <c r="N1679" s="53" t="s">
        <v>655</v>
      </c>
      <c r="O1679" s="6"/>
      <c r="P1679" s="6"/>
      <c r="Q1679" s="6"/>
      <c r="R1679" s="6"/>
    </row>
    <row r="1680">
      <c r="A1680" s="31"/>
      <c r="B1680" s="14"/>
      <c r="C1680" s="14"/>
      <c r="D1680" s="6"/>
      <c r="E1680" s="14"/>
      <c r="F1680" s="25"/>
      <c r="G1680" s="6"/>
      <c r="H1680" s="6"/>
      <c r="I1680" s="19"/>
      <c r="J1680" s="50"/>
      <c r="K1680" s="58"/>
      <c r="L1680" s="6" t="s">
        <v>655</v>
      </c>
      <c r="M1680" s="52" t="s">
        <v>655</v>
      </c>
      <c r="N1680" s="53" t="s">
        <v>655</v>
      </c>
      <c r="O1680" s="6"/>
      <c r="P1680" s="6"/>
      <c r="Q1680" s="6"/>
      <c r="R1680" s="6"/>
    </row>
    <row r="1681">
      <c r="A1681" s="31"/>
      <c r="B1681" s="14"/>
      <c r="C1681" s="14"/>
      <c r="D1681" s="6"/>
      <c r="E1681" s="14"/>
      <c r="F1681" s="25"/>
      <c r="G1681" s="6"/>
      <c r="H1681" s="6"/>
      <c r="I1681" s="19"/>
      <c r="J1681" s="50"/>
      <c r="K1681" s="58"/>
      <c r="L1681" s="6" t="s">
        <v>655</v>
      </c>
      <c r="M1681" s="52" t="s">
        <v>655</v>
      </c>
      <c r="N1681" s="53" t="s">
        <v>655</v>
      </c>
      <c r="O1681" s="6"/>
      <c r="P1681" s="6"/>
      <c r="Q1681" s="6"/>
      <c r="R1681" s="6"/>
    </row>
    <row r="1682">
      <c r="A1682" s="31"/>
      <c r="B1682" s="14"/>
      <c r="C1682" s="14"/>
      <c r="D1682" s="6"/>
      <c r="E1682" s="14"/>
      <c r="F1682" s="25"/>
      <c r="G1682" s="6"/>
      <c r="H1682" s="6"/>
      <c r="I1682" s="19"/>
      <c r="J1682" s="50"/>
      <c r="K1682" s="58"/>
      <c r="L1682" s="6" t="s">
        <v>655</v>
      </c>
      <c r="M1682" s="52" t="s">
        <v>655</v>
      </c>
      <c r="N1682" s="53" t="s">
        <v>655</v>
      </c>
      <c r="O1682" s="6"/>
      <c r="P1682" s="6"/>
      <c r="Q1682" s="6"/>
      <c r="R1682" s="6"/>
    </row>
    <row r="1683">
      <c r="A1683" s="31"/>
      <c r="B1683" s="14"/>
      <c r="C1683" s="14"/>
      <c r="D1683" s="6"/>
      <c r="E1683" s="14"/>
      <c r="F1683" s="25"/>
      <c r="G1683" s="6"/>
      <c r="H1683" s="6"/>
      <c r="I1683" s="19"/>
      <c r="J1683" s="50"/>
      <c r="K1683" s="58"/>
      <c r="L1683" s="6" t="s">
        <v>655</v>
      </c>
      <c r="M1683" s="52" t="s">
        <v>655</v>
      </c>
      <c r="N1683" s="53" t="s">
        <v>655</v>
      </c>
      <c r="O1683" s="6"/>
      <c r="P1683" s="6"/>
      <c r="Q1683" s="6"/>
      <c r="R1683" s="6"/>
    </row>
    <row r="1684">
      <c r="A1684" s="31"/>
      <c r="B1684" s="14"/>
      <c r="C1684" s="14"/>
      <c r="D1684" s="6"/>
      <c r="E1684" s="14"/>
      <c r="F1684" s="25"/>
      <c r="G1684" s="6"/>
      <c r="H1684" s="6"/>
      <c r="I1684" s="19"/>
      <c r="J1684" s="50"/>
      <c r="K1684" s="58"/>
      <c r="L1684" s="6" t="s">
        <v>655</v>
      </c>
      <c r="M1684" s="52" t="s">
        <v>655</v>
      </c>
      <c r="N1684" s="53" t="s">
        <v>655</v>
      </c>
      <c r="O1684" s="6"/>
      <c r="P1684" s="6"/>
      <c r="Q1684" s="6"/>
      <c r="R1684" s="6"/>
    </row>
    <row r="1685">
      <c r="A1685" s="31"/>
      <c r="B1685" s="14"/>
      <c r="C1685" s="14"/>
      <c r="D1685" s="6"/>
      <c r="E1685" s="14"/>
      <c r="F1685" s="25"/>
      <c r="G1685" s="6"/>
      <c r="H1685" s="6"/>
      <c r="I1685" s="19"/>
      <c r="J1685" s="50"/>
      <c r="K1685" s="58"/>
      <c r="L1685" s="6" t="s">
        <v>655</v>
      </c>
      <c r="M1685" s="52" t="s">
        <v>655</v>
      </c>
      <c r="N1685" s="53" t="s">
        <v>655</v>
      </c>
      <c r="O1685" s="6"/>
      <c r="P1685" s="6"/>
      <c r="Q1685" s="6"/>
      <c r="R1685" s="6"/>
    </row>
    <row r="1686">
      <c r="A1686" s="31"/>
      <c r="B1686" s="14"/>
      <c r="C1686" s="14"/>
      <c r="D1686" s="6"/>
      <c r="E1686" s="14"/>
      <c r="F1686" s="25"/>
      <c r="G1686" s="6"/>
      <c r="H1686" s="6"/>
      <c r="I1686" s="19"/>
      <c r="J1686" s="50"/>
      <c r="K1686" s="58"/>
      <c r="L1686" s="6" t="s">
        <v>655</v>
      </c>
      <c r="M1686" s="52" t="s">
        <v>655</v>
      </c>
      <c r="N1686" s="53" t="s">
        <v>655</v>
      </c>
      <c r="O1686" s="6"/>
      <c r="P1686" s="6"/>
      <c r="Q1686" s="6"/>
      <c r="R1686" s="6"/>
    </row>
    <row r="1687">
      <c r="A1687" s="31"/>
      <c r="B1687" s="14"/>
      <c r="C1687" s="14"/>
      <c r="D1687" s="6"/>
      <c r="E1687" s="14"/>
      <c r="F1687" s="25"/>
      <c r="G1687" s="6"/>
      <c r="H1687" s="6"/>
      <c r="I1687" s="19"/>
      <c r="J1687" s="50"/>
      <c r="K1687" s="58"/>
      <c r="L1687" s="6" t="s">
        <v>655</v>
      </c>
      <c r="M1687" s="52" t="s">
        <v>655</v>
      </c>
      <c r="N1687" s="53" t="s">
        <v>655</v>
      </c>
      <c r="O1687" s="6"/>
      <c r="P1687" s="6"/>
      <c r="Q1687" s="6"/>
      <c r="R1687" s="6"/>
    </row>
    <row r="1688">
      <c r="A1688" s="31"/>
      <c r="B1688" s="14"/>
      <c r="C1688" s="14"/>
      <c r="D1688" s="6"/>
      <c r="E1688" s="14"/>
      <c r="F1688" s="25"/>
      <c r="G1688" s="6"/>
      <c r="H1688" s="6"/>
      <c r="I1688" s="19"/>
      <c r="J1688" s="50"/>
      <c r="K1688" s="58"/>
      <c r="L1688" s="6" t="s">
        <v>655</v>
      </c>
      <c r="M1688" s="52" t="s">
        <v>655</v>
      </c>
      <c r="N1688" s="53" t="s">
        <v>655</v>
      </c>
      <c r="O1688" s="6"/>
      <c r="P1688" s="6"/>
      <c r="Q1688" s="6"/>
      <c r="R1688" s="6"/>
    </row>
    <row r="1689">
      <c r="A1689" s="31"/>
      <c r="B1689" s="14"/>
      <c r="C1689" s="14"/>
      <c r="D1689" s="6"/>
      <c r="E1689" s="14"/>
      <c r="F1689" s="25"/>
      <c r="G1689" s="6"/>
      <c r="H1689" s="6"/>
      <c r="I1689" s="19"/>
      <c r="J1689" s="50"/>
      <c r="K1689" s="58"/>
      <c r="L1689" s="6" t="s">
        <v>655</v>
      </c>
      <c r="M1689" s="52" t="s">
        <v>655</v>
      </c>
      <c r="N1689" s="53" t="s">
        <v>655</v>
      </c>
      <c r="O1689" s="6"/>
      <c r="P1689" s="6"/>
      <c r="Q1689" s="6"/>
      <c r="R1689" s="6"/>
    </row>
    <row r="1690">
      <c r="A1690" s="31"/>
      <c r="B1690" s="14"/>
      <c r="C1690" s="14"/>
      <c r="D1690" s="6"/>
      <c r="E1690" s="14"/>
      <c r="F1690" s="25"/>
      <c r="G1690" s="6"/>
      <c r="H1690" s="6"/>
      <c r="I1690" s="19"/>
      <c r="J1690" s="50"/>
      <c r="K1690" s="58"/>
      <c r="L1690" s="6" t="s">
        <v>655</v>
      </c>
      <c r="M1690" s="52" t="s">
        <v>655</v>
      </c>
      <c r="N1690" s="53" t="s">
        <v>655</v>
      </c>
      <c r="O1690" s="6"/>
      <c r="P1690" s="6"/>
      <c r="Q1690" s="6"/>
      <c r="R1690" s="6"/>
    </row>
    <row r="1691">
      <c r="A1691" s="31"/>
      <c r="B1691" s="14"/>
      <c r="C1691" s="14"/>
      <c r="D1691" s="6"/>
      <c r="E1691" s="14"/>
      <c r="F1691" s="25"/>
      <c r="G1691" s="6"/>
      <c r="H1691" s="6"/>
      <c r="I1691" s="19"/>
      <c r="J1691" s="50"/>
      <c r="K1691" s="58"/>
      <c r="L1691" s="6" t="s">
        <v>655</v>
      </c>
      <c r="M1691" s="52" t="s">
        <v>655</v>
      </c>
      <c r="N1691" s="53" t="s">
        <v>655</v>
      </c>
      <c r="O1691" s="6"/>
      <c r="P1691" s="6"/>
      <c r="Q1691" s="6"/>
      <c r="R1691" s="6"/>
    </row>
    <row r="1692">
      <c r="A1692" s="31"/>
      <c r="B1692" s="14"/>
      <c r="C1692" s="14"/>
      <c r="D1692" s="6"/>
      <c r="E1692" s="14"/>
      <c r="F1692" s="25"/>
      <c r="G1692" s="6"/>
      <c r="H1692" s="6"/>
      <c r="I1692" s="19"/>
      <c r="J1692" s="50"/>
      <c r="K1692" s="58"/>
      <c r="L1692" s="6" t="s">
        <v>655</v>
      </c>
      <c r="M1692" s="52" t="s">
        <v>655</v>
      </c>
      <c r="N1692" s="53" t="s">
        <v>655</v>
      </c>
      <c r="O1692" s="6"/>
      <c r="P1692" s="6"/>
      <c r="Q1692" s="6"/>
      <c r="R1692" s="6"/>
    </row>
    <row r="1693">
      <c r="A1693" s="31"/>
      <c r="B1693" s="14"/>
      <c r="C1693" s="14"/>
      <c r="D1693" s="6"/>
      <c r="E1693" s="14"/>
      <c r="F1693" s="25"/>
      <c r="G1693" s="6"/>
      <c r="H1693" s="6"/>
      <c r="I1693" s="19"/>
      <c r="J1693" s="50"/>
      <c r="K1693" s="58"/>
      <c r="L1693" s="6" t="s">
        <v>655</v>
      </c>
      <c r="M1693" s="52" t="s">
        <v>655</v>
      </c>
      <c r="N1693" s="53" t="s">
        <v>655</v>
      </c>
      <c r="O1693" s="6"/>
      <c r="P1693" s="6"/>
      <c r="Q1693" s="6"/>
      <c r="R1693" s="6"/>
    </row>
    <row r="1694">
      <c r="A1694" s="31"/>
      <c r="B1694" s="14"/>
      <c r="C1694" s="14"/>
      <c r="D1694" s="6"/>
      <c r="E1694" s="14"/>
      <c r="F1694" s="25"/>
      <c r="G1694" s="6"/>
      <c r="H1694" s="6"/>
      <c r="I1694" s="19"/>
      <c r="J1694" s="50"/>
      <c r="K1694" s="58"/>
      <c r="L1694" s="6" t="s">
        <v>655</v>
      </c>
      <c r="M1694" s="52" t="s">
        <v>655</v>
      </c>
      <c r="N1694" s="53" t="s">
        <v>655</v>
      </c>
      <c r="O1694" s="6"/>
      <c r="P1694" s="6"/>
      <c r="Q1694" s="6"/>
      <c r="R1694" s="6"/>
    </row>
    <row r="1695">
      <c r="A1695" s="31"/>
      <c r="B1695" s="14"/>
      <c r="C1695" s="14"/>
      <c r="D1695" s="6"/>
      <c r="E1695" s="14"/>
      <c r="F1695" s="25"/>
      <c r="G1695" s="6"/>
      <c r="H1695" s="6"/>
      <c r="I1695" s="19"/>
      <c r="J1695" s="50"/>
      <c r="K1695" s="58"/>
      <c r="L1695" s="6" t="s">
        <v>655</v>
      </c>
      <c r="M1695" s="52" t="s">
        <v>655</v>
      </c>
      <c r="N1695" s="53" t="s">
        <v>655</v>
      </c>
      <c r="O1695" s="6"/>
      <c r="P1695" s="6"/>
      <c r="Q1695" s="6"/>
      <c r="R1695" s="6"/>
    </row>
    <row r="1696">
      <c r="A1696" s="31"/>
      <c r="B1696" s="14"/>
      <c r="C1696" s="14"/>
      <c r="D1696" s="6"/>
      <c r="E1696" s="14"/>
      <c r="F1696" s="25"/>
      <c r="G1696" s="6"/>
      <c r="H1696" s="6"/>
      <c r="I1696" s="19"/>
      <c r="J1696" s="50"/>
      <c r="K1696" s="58"/>
      <c r="L1696" s="6" t="s">
        <v>655</v>
      </c>
      <c r="M1696" s="52" t="s">
        <v>655</v>
      </c>
      <c r="N1696" s="53" t="s">
        <v>655</v>
      </c>
      <c r="O1696" s="6"/>
      <c r="P1696" s="6"/>
      <c r="Q1696" s="6"/>
      <c r="R1696" s="6"/>
    </row>
    <row r="1697">
      <c r="A1697" s="31"/>
      <c r="B1697" s="14"/>
      <c r="C1697" s="14"/>
      <c r="D1697" s="6"/>
      <c r="E1697" s="14"/>
      <c r="F1697" s="25"/>
      <c r="G1697" s="6"/>
      <c r="H1697" s="6"/>
      <c r="I1697" s="19"/>
      <c r="J1697" s="50"/>
      <c r="K1697" s="58"/>
      <c r="L1697" s="6" t="s">
        <v>655</v>
      </c>
      <c r="M1697" s="52" t="s">
        <v>655</v>
      </c>
      <c r="N1697" s="53" t="s">
        <v>655</v>
      </c>
      <c r="O1697" s="6"/>
      <c r="P1697" s="6"/>
      <c r="Q1697" s="6"/>
      <c r="R1697" s="6"/>
    </row>
    <row r="1698">
      <c r="A1698" s="31"/>
      <c r="B1698" s="14"/>
      <c r="C1698" s="14"/>
      <c r="D1698" s="6"/>
      <c r="E1698" s="14"/>
      <c r="F1698" s="25"/>
      <c r="G1698" s="6"/>
      <c r="H1698" s="6"/>
      <c r="I1698" s="19"/>
      <c r="J1698" s="50"/>
      <c r="K1698" s="58"/>
      <c r="L1698" s="6" t="s">
        <v>655</v>
      </c>
      <c r="M1698" s="52" t="s">
        <v>655</v>
      </c>
      <c r="N1698" s="53" t="s">
        <v>655</v>
      </c>
      <c r="O1698" s="6"/>
      <c r="P1698" s="6"/>
      <c r="Q1698" s="6"/>
      <c r="R1698" s="6"/>
    </row>
    <row r="1699">
      <c r="A1699" s="31"/>
      <c r="B1699" s="14"/>
      <c r="C1699" s="14"/>
      <c r="D1699" s="6"/>
      <c r="E1699" s="14"/>
      <c r="F1699" s="25"/>
      <c r="G1699" s="6"/>
      <c r="H1699" s="6"/>
      <c r="I1699" s="19"/>
      <c r="J1699" s="50"/>
      <c r="K1699" s="58"/>
      <c r="L1699" s="6" t="s">
        <v>655</v>
      </c>
      <c r="M1699" s="52" t="s">
        <v>655</v>
      </c>
      <c r="N1699" s="53" t="s">
        <v>655</v>
      </c>
      <c r="O1699" s="6"/>
      <c r="P1699" s="6"/>
      <c r="Q1699" s="6"/>
      <c r="R1699" s="6"/>
    </row>
    <row r="1700">
      <c r="A1700" s="31"/>
      <c r="B1700" s="14"/>
      <c r="C1700" s="14"/>
      <c r="D1700" s="6"/>
      <c r="E1700" s="14"/>
      <c r="F1700" s="25"/>
      <c r="G1700" s="6"/>
      <c r="H1700" s="6"/>
      <c r="I1700" s="19"/>
      <c r="J1700" s="50"/>
      <c r="K1700" s="58"/>
      <c r="L1700" s="6" t="s">
        <v>655</v>
      </c>
      <c r="M1700" s="52" t="s">
        <v>655</v>
      </c>
      <c r="N1700" s="53" t="s">
        <v>655</v>
      </c>
      <c r="O1700" s="6"/>
      <c r="P1700" s="6"/>
      <c r="Q1700" s="6"/>
      <c r="R1700" s="6"/>
    </row>
    <row r="1701">
      <c r="A1701" s="31"/>
      <c r="B1701" s="14"/>
      <c r="C1701" s="14"/>
      <c r="D1701" s="6"/>
      <c r="E1701" s="14"/>
      <c r="F1701" s="25"/>
      <c r="G1701" s="6"/>
      <c r="H1701" s="6"/>
      <c r="I1701" s="19"/>
      <c r="J1701" s="50"/>
      <c r="K1701" s="58"/>
      <c r="L1701" s="6" t="s">
        <v>655</v>
      </c>
      <c r="M1701" s="52" t="s">
        <v>655</v>
      </c>
      <c r="N1701" s="53" t="s">
        <v>655</v>
      </c>
      <c r="O1701" s="6"/>
      <c r="P1701" s="6"/>
      <c r="Q1701" s="6"/>
      <c r="R1701" s="6"/>
    </row>
    <row r="1702">
      <c r="A1702" s="31"/>
      <c r="B1702" s="14"/>
      <c r="C1702" s="14"/>
      <c r="D1702" s="6"/>
      <c r="E1702" s="14"/>
      <c r="F1702" s="25"/>
      <c r="G1702" s="6"/>
      <c r="H1702" s="6"/>
      <c r="I1702" s="19"/>
      <c r="J1702" s="50"/>
      <c r="K1702" s="58"/>
      <c r="L1702" s="6" t="s">
        <v>655</v>
      </c>
      <c r="M1702" s="52" t="s">
        <v>655</v>
      </c>
      <c r="N1702" s="53" t="s">
        <v>655</v>
      </c>
      <c r="O1702" s="6"/>
      <c r="P1702" s="6"/>
      <c r="Q1702" s="6"/>
      <c r="R1702" s="6"/>
    </row>
    <row r="1703">
      <c r="A1703" s="31"/>
      <c r="B1703" s="14"/>
      <c r="C1703" s="14"/>
      <c r="D1703" s="6"/>
      <c r="E1703" s="14"/>
      <c r="F1703" s="25"/>
      <c r="G1703" s="6"/>
      <c r="H1703" s="6"/>
      <c r="I1703" s="19"/>
      <c r="J1703" s="50"/>
      <c r="K1703" s="58"/>
      <c r="L1703" s="6" t="s">
        <v>655</v>
      </c>
      <c r="M1703" s="52" t="s">
        <v>655</v>
      </c>
      <c r="N1703" s="53" t="s">
        <v>655</v>
      </c>
      <c r="O1703" s="6"/>
      <c r="P1703" s="6"/>
      <c r="Q1703" s="6"/>
      <c r="R1703" s="6"/>
    </row>
    <row r="1704">
      <c r="A1704" s="31"/>
      <c r="B1704" s="14"/>
      <c r="C1704" s="14"/>
      <c r="D1704" s="6"/>
      <c r="E1704" s="14"/>
      <c r="F1704" s="25"/>
      <c r="G1704" s="6"/>
      <c r="H1704" s="6"/>
      <c r="I1704" s="19"/>
      <c r="J1704" s="50"/>
      <c r="K1704" s="58"/>
      <c r="L1704" s="6" t="s">
        <v>655</v>
      </c>
      <c r="M1704" s="52" t="s">
        <v>655</v>
      </c>
      <c r="N1704" s="53" t="s">
        <v>655</v>
      </c>
      <c r="O1704" s="6"/>
      <c r="P1704" s="6"/>
      <c r="Q1704" s="6"/>
      <c r="R1704" s="6"/>
    </row>
    <row r="1705">
      <c r="A1705" s="31"/>
      <c r="B1705" s="14"/>
      <c r="C1705" s="14"/>
      <c r="D1705" s="6"/>
      <c r="E1705" s="14"/>
      <c r="F1705" s="25"/>
      <c r="G1705" s="6"/>
      <c r="H1705" s="6"/>
      <c r="I1705" s="19"/>
      <c r="J1705" s="50"/>
      <c r="K1705" s="58"/>
      <c r="L1705" s="6" t="s">
        <v>655</v>
      </c>
      <c r="M1705" s="52" t="s">
        <v>655</v>
      </c>
      <c r="N1705" s="53" t="s">
        <v>655</v>
      </c>
      <c r="O1705" s="6"/>
      <c r="P1705" s="6"/>
      <c r="Q1705" s="6"/>
      <c r="R1705" s="6"/>
    </row>
    <row r="1706">
      <c r="A1706" s="31"/>
      <c r="B1706" s="14"/>
      <c r="C1706" s="14"/>
      <c r="D1706" s="6"/>
      <c r="E1706" s="14"/>
      <c r="F1706" s="25"/>
      <c r="G1706" s="6"/>
      <c r="H1706" s="6"/>
      <c r="I1706" s="19"/>
      <c r="J1706" s="50"/>
      <c r="K1706" s="58"/>
      <c r="L1706" s="6" t="s">
        <v>655</v>
      </c>
      <c r="M1706" s="52" t="s">
        <v>655</v>
      </c>
      <c r="N1706" s="53" t="s">
        <v>655</v>
      </c>
      <c r="O1706" s="6"/>
      <c r="P1706" s="6"/>
      <c r="Q1706" s="6"/>
      <c r="R1706" s="6"/>
    </row>
    <row r="1707">
      <c r="A1707" s="31"/>
      <c r="B1707" s="14"/>
      <c r="C1707" s="14"/>
      <c r="D1707" s="6"/>
      <c r="E1707" s="14"/>
      <c r="F1707" s="25"/>
      <c r="G1707" s="6"/>
      <c r="H1707" s="6"/>
      <c r="I1707" s="19"/>
      <c r="J1707" s="50"/>
      <c r="K1707" s="58"/>
      <c r="L1707" s="6" t="s">
        <v>655</v>
      </c>
      <c r="M1707" s="52" t="s">
        <v>655</v>
      </c>
      <c r="N1707" s="53" t="s">
        <v>655</v>
      </c>
      <c r="O1707" s="6"/>
      <c r="P1707" s="6"/>
      <c r="Q1707" s="6"/>
      <c r="R1707" s="6"/>
    </row>
    <row r="1708">
      <c r="A1708" s="31"/>
      <c r="B1708" s="14"/>
      <c r="C1708" s="14"/>
      <c r="D1708" s="6"/>
      <c r="E1708" s="14"/>
      <c r="F1708" s="25"/>
      <c r="G1708" s="6"/>
      <c r="H1708" s="6"/>
      <c r="I1708" s="19"/>
      <c r="J1708" s="50"/>
      <c r="K1708" s="58"/>
      <c r="L1708" s="6" t="s">
        <v>655</v>
      </c>
      <c r="M1708" s="52" t="s">
        <v>655</v>
      </c>
      <c r="N1708" s="53" t="s">
        <v>655</v>
      </c>
      <c r="O1708" s="6"/>
      <c r="P1708" s="6"/>
      <c r="Q1708" s="6"/>
      <c r="R1708" s="6"/>
    </row>
    <row r="1709">
      <c r="A1709" s="31"/>
      <c r="B1709" s="14"/>
      <c r="C1709" s="14"/>
      <c r="D1709" s="6"/>
      <c r="E1709" s="14"/>
      <c r="F1709" s="25"/>
      <c r="G1709" s="6"/>
      <c r="H1709" s="6"/>
      <c r="I1709" s="19"/>
      <c r="J1709" s="50"/>
      <c r="K1709" s="58"/>
      <c r="L1709" s="6" t="s">
        <v>655</v>
      </c>
      <c r="M1709" s="52" t="s">
        <v>655</v>
      </c>
      <c r="N1709" s="53" t="s">
        <v>655</v>
      </c>
      <c r="O1709" s="6"/>
      <c r="P1709" s="6"/>
      <c r="Q1709" s="6"/>
      <c r="R1709" s="6"/>
    </row>
    <row r="1710">
      <c r="A1710" s="31"/>
      <c r="B1710" s="14"/>
      <c r="C1710" s="14"/>
      <c r="D1710" s="6"/>
      <c r="E1710" s="14"/>
      <c r="F1710" s="25"/>
      <c r="G1710" s="6"/>
      <c r="H1710" s="6"/>
      <c r="I1710" s="19"/>
      <c r="J1710" s="50"/>
      <c r="K1710" s="58"/>
      <c r="L1710" s="6" t="s">
        <v>655</v>
      </c>
      <c r="M1710" s="52" t="s">
        <v>655</v>
      </c>
      <c r="N1710" s="53" t="s">
        <v>655</v>
      </c>
      <c r="O1710" s="6"/>
      <c r="P1710" s="6"/>
      <c r="Q1710" s="6"/>
      <c r="R1710" s="6"/>
    </row>
    <row r="1711">
      <c r="A1711" s="31"/>
      <c r="B1711" s="14"/>
      <c r="C1711" s="14"/>
      <c r="D1711" s="6"/>
      <c r="E1711" s="14"/>
      <c r="F1711" s="25"/>
      <c r="G1711" s="6"/>
      <c r="H1711" s="6"/>
      <c r="I1711" s="19"/>
      <c r="J1711" s="50"/>
      <c r="K1711" s="58"/>
      <c r="L1711" s="6" t="s">
        <v>655</v>
      </c>
      <c r="M1711" s="52" t="s">
        <v>655</v>
      </c>
      <c r="N1711" s="53" t="s">
        <v>655</v>
      </c>
      <c r="O1711" s="6"/>
      <c r="P1711" s="6"/>
      <c r="Q1711" s="6"/>
      <c r="R1711" s="6"/>
    </row>
    <row r="1712">
      <c r="A1712" s="31"/>
      <c r="B1712" s="14"/>
      <c r="C1712" s="14"/>
      <c r="D1712" s="6"/>
      <c r="E1712" s="14"/>
      <c r="F1712" s="25"/>
      <c r="G1712" s="6"/>
      <c r="H1712" s="6"/>
      <c r="I1712" s="19"/>
      <c r="J1712" s="50"/>
      <c r="K1712" s="58"/>
      <c r="L1712" s="6" t="s">
        <v>655</v>
      </c>
      <c r="M1712" s="52" t="s">
        <v>655</v>
      </c>
      <c r="N1712" s="53" t="s">
        <v>655</v>
      </c>
      <c r="O1712" s="6"/>
      <c r="P1712" s="6"/>
      <c r="Q1712" s="6"/>
      <c r="R1712" s="6"/>
    </row>
    <row r="1713">
      <c r="A1713" s="31"/>
      <c r="B1713" s="14"/>
      <c r="C1713" s="14"/>
      <c r="D1713" s="6"/>
      <c r="E1713" s="14"/>
      <c r="F1713" s="25"/>
      <c r="G1713" s="6"/>
      <c r="H1713" s="6"/>
      <c r="I1713" s="19"/>
      <c r="J1713" s="50"/>
      <c r="K1713" s="58"/>
      <c r="L1713" s="6" t="s">
        <v>655</v>
      </c>
      <c r="M1713" s="52" t="s">
        <v>655</v>
      </c>
      <c r="N1713" s="53" t="s">
        <v>655</v>
      </c>
      <c r="O1713" s="6"/>
      <c r="P1713" s="6"/>
      <c r="Q1713" s="6"/>
      <c r="R1713" s="6"/>
    </row>
    <row r="1714">
      <c r="A1714" s="31"/>
      <c r="B1714" s="14"/>
      <c r="C1714" s="14"/>
      <c r="D1714" s="6"/>
      <c r="E1714" s="14"/>
      <c r="F1714" s="25"/>
      <c r="G1714" s="6"/>
      <c r="H1714" s="6"/>
      <c r="I1714" s="19"/>
      <c r="J1714" s="50"/>
      <c r="K1714" s="58"/>
      <c r="L1714" s="6" t="s">
        <v>655</v>
      </c>
      <c r="M1714" s="52" t="s">
        <v>655</v>
      </c>
      <c r="N1714" s="53" t="s">
        <v>655</v>
      </c>
      <c r="O1714" s="6"/>
      <c r="P1714" s="6"/>
      <c r="Q1714" s="6"/>
      <c r="R1714" s="6"/>
    </row>
    <row r="1715">
      <c r="A1715" s="31"/>
      <c r="B1715" s="14"/>
      <c r="C1715" s="14"/>
      <c r="D1715" s="6"/>
      <c r="E1715" s="14"/>
      <c r="F1715" s="25"/>
      <c r="G1715" s="6"/>
      <c r="H1715" s="6"/>
      <c r="I1715" s="19"/>
      <c r="J1715" s="50"/>
      <c r="K1715" s="58"/>
      <c r="L1715" s="6" t="s">
        <v>655</v>
      </c>
      <c r="M1715" s="52" t="s">
        <v>655</v>
      </c>
      <c r="N1715" s="53" t="s">
        <v>655</v>
      </c>
      <c r="O1715" s="6"/>
      <c r="P1715" s="6"/>
      <c r="Q1715" s="6"/>
      <c r="R1715" s="6"/>
    </row>
    <row r="1716">
      <c r="A1716" s="31"/>
      <c r="B1716" s="14"/>
      <c r="C1716" s="14"/>
      <c r="D1716" s="6"/>
      <c r="E1716" s="14"/>
      <c r="F1716" s="25"/>
      <c r="G1716" s="6"/>
      <c r="H1716" s="6"/>
      <c r="I1716" s="19"/>
      <c r="J1716" s="50"/>
      <c r="K1716" s="58"/>
      <c r="L1716" s="6" t="s">
        <v>655</v>
      </c>
      <c r="M1716" s="52" t="s">
        <v>655</v>
      </c>
      <c r="N1716" s="53" t="s">
        <v>655</v>
      </c>
      <c r="O1716" s="6"/>
      <c r="P1716" s="6"/>
      <c r="Q1716" s="6"/>
      <c r="R1716" s="6"/>
    </row>
    <row r="1717">
      <c r="A1717" s="31"/>
      <c r="B1717" s="14"/>
      <c r="C1717" s="14"/>
      <c r="D1717" s="6"/>
      <c r="E1717" s="14"/>
      <c r="F1717" s="25"/>
      <c r="G1717" s="6"/>
      <c r="H1717" s="6"/>
      <c r="I1717" s="19"/>
      <c r="J1717" s="50"/>
      <c r="K1717" s="58"/>
      <c r="L1717" s="6" t="s">
        <v>655</v>
      </c>
      <c r="M1717" s="52" t="s">
        <v>655</v>
      </c>
      <c r="N1717" s="53" t="s">
        <v>655</v>
      </c>
      <c r="O1717" s="6"/>
      <c r="P1717" s="6"/>
      <c r="Q1717" s="6"/>
      <c r="R1717" s="6"/>
    </row>
    <row r="1718">
      <c r="A1718" s="31"/>
      <c r="B1718" s="14"/>
      <c r="C1718" s="14"/>
      <c r="D1718" s="6"/>
      <c r="E1718" s="14"/>
      <c r="F1718" s="25"/>
      <c r="G1718" s="6"/>
      <c r="H1718" s="6"/>
      <c r="I1718" s="19"/>
      <c r="J1718" s="50"/>
      <c r="K1718" s="58"/>
      <c r="L1718" s="6" t="s">
        <v>655</v>
      </c>
      <c r="M1718" s="52" t="s">
        <v>655</v>
      </c>
      <c r="N1718" s="53" t="s">
        <v>655</v>
      </c>
      <c r="O1718" s="6"/>
      <c r="P1718" s="6"/>
      <c r="Q1718" s="6"/>
      <c r="R1718" s="6"/>
    </row>
    <row r="1719">
      <c r="A1719" s="31"/>
      <c r="B1719" s="14"/>
      <c r="C1719" s="14"/>
      <c r="D1719" s="6"/>
      <c r="E1719" s="14"/>
      <c r="F1719" s="25"/>
      <c r="G1719" s="6"/>
      <c r="H1719" s="6"/>
      <c r="I1719" s="19"/>
      <c r="J1719" s="50"/>
      <c r="K1719" s="58"/>
      <c r="L1719" s="6" t="s">
        <v>655</v>
      </c>
      <c r="M1719" s="52" t="s">
        <v>655</v>
      </c>
      <c r="N1719" s="53" t="s">
        <v>655</v>
      </c>
      <c r="O1719" s="6"/>
      <c r="P1719" s="6"/>
      <c r="Q1719" s="6"/>
      <c r="R1719" s="6"/>
    </row>
    <row r="1720">
      <c r="A1720" s="31"/>
      <c r="B1720" s="14"/>
      <c r="C1720" s="14"/>
      <c r="D1720" s="6"/>
      <c r="E1720" s="14"/>
      <c r="F1720" s="25"/>
      <c r="G1720" s="6"/>
      <c r="H1720" s="6"/>
      <c r="I1720" s="19"/>
      <c r="J1720" s="50"/>
      <c r="K1720" s="58"/>
      <c r="L1720" s="6" t="s">
        <v>655</v>
      </c>
      <c r="M1720" s="52" t="s">
        <v>655</v>
      </c>
      <c r="N1720" s="53" t="s">
        <v>655</v>
      </c>
      <c r="O1720" s="6"/>
      <c r="P1720" s="6"/>
      <c r="Q1720" s="6"/>
      <c r="R1720" s="6"/>
    </row>
    <row r="1721">
      <c r="A1721" s="31"/>
      <c r="B1721" s="14"/>
      <c r="C1721" s="14"/>
      <c r="D1721" s="6"/>
      <c r="E1721" s="14"/>
      <c r="F1721" s="25"/>
      <c r="G1721" s="6"/>
      <c r="H1721" s="6"/>
      <c r="I1721" s="19"/>
      <c r="J1721" s="50"/>
      <c r="K1721" s="58"/>
      <c r="L1721" s="6" t="s">
        <v>655</v>
      </c>
      <c r="M1721" s="52" t="s">
        <v>655</v>
      </c>
      <c r="N1721" s="53" t="s">
        <v>655</v>
      </c>
      <c r="O1721" s="6"/>
      <c r="P1721" s="6"/>
      <c r="Q1721" s="6"/>
      <c r="R1721" s="6"/>
    </row>
    <row r="1722">
      <c r="A1722" s="31"/>
      <c r="B1722" s="14"/>
      <c r="C1722" s="14"/>
      <c r="D1722" s="6"/>
      <c r="E1722" s="14"/>
      <c r="F1722" s="25"/>
      <c r="G1722" s="6"/>
      <c r="H1722" s="6"/>
      <c r="I1722" s="19"/>
      <c r="J1722" s="50"/>
      <c r="K1722" s="58"/>
      <c r="L1722" s="6" t="s">
        <v>655</v>
      </c>
      <c r="M1722" s="52" t="s">
        <v>655</v>
      </c>
      <c r="N1722" s="53" t="s">
        <v>655</v>
      </c>
      <c r="O1722" s="6"/>
      <c r="P1722" s="6"/>
      <c r="Q1722" s="6"/>
      <c r="R1722" s="6"/>
    </row>
    <row r="1723">
      <c r="A1723" s="31"/>
      <c r="B1723" s="14"/>
      <c r="C1723" s="14"/>
      <c r="D1723" s="6"/>
      <c r="E1723" s="14"/>
      <c r="F1723" s="25"/>
      <c r="G1723" s="6"/>
      <c r="H1723" s="6"/>
      <c r="I1723" s="19"/>
      <c r="J1723" s="50"/>
      <c r="K1723" s="58"/>
      <c r="L1723" s="6" t="s">
        <v>655</v>
      </c>
      <c r="M1723" s="52" t="s">
        <v>655</v>
      </c>
      <c r="N1723" s="53" t="s">
        <v>655</v>
      </c>
      <c r="O1723" s="6"/>
      <c r="P1723" s="6"/>
      <c r="Q1723" s="6"/>
      <c r="R1723" s="6"/>
    </row>
    <row r="1724">
      <c r="A1724" s="31"/>
      <c r="B1724" s="14"/>
      <c r="C1724" s="14"/>
      <c r="D1724" s="6"/>
      <c r="E1724" s="14"/>
      <c r="F1724" s="25"/>
      <c r="G1724" s="6"/>
      <c r="H1724" s="6"/>
      <c r="I1724" s="19"/>
      <c r="J1724" s="50"/>
      <c r="K1724" s="58"/>
      <c r="L1724" s="6" t="s">
        <v>655</v>
      </c>
      <c r="M1724" s="52" t="s">
        <v>655</v>
      </c>
      <c r="N1724" s="53" t="s">
        <v>655</v>
      </c>
      <c r="O1724" s="6"/>
      <c r="P1724" s="6"/>
      <c r="Q1724" s="6"/>
      <c r="R1724" s="6"/>
    </row>
    <row r="1725">
      <c r="A1725" s="31"/>
      <c r="B1725" s="14"/>
      <c r="C1725" s="14"/>
      <c r="D1725" s="6"/>
      <c r="E1725" s="14"/>
      <c r="F1725" s="25"/>
      <c r="G1725" s="6"/>
      <c r="H1725" s="6"/>
      <c r="I1725" s="19"/>
      <c r="J1725" s="50"/>
      <c r="K1725" s="58"/>
      <c r="L1725" s="6" t="s">
        <v>655</v>
      </c>
      <c r="M1725" s="52" t="s">
        <v>655</v>
      </c>
      <c r="N1725" s="53" t="s">
        <v>655</v>
      </c>
      <c r="O1725" s="6"/>
      <c r="P1725" s="6"/>
      <c r="Q1725" s="6"/>
      <c r="R1725" s="6"/>
    </row>
    <row r="1726">
      <c r="A1726" s="31"/>
      <c r="B1726" s="14"/>
      <c r="C1726" s="14"/>
      <c r="D1726" s="6"/>
      <c r="E1726" s="14"/>
      <c r="F1726" s="25"/>
      <c r="G1726" s="6"/>
      <c r="H1726" s="6"/>
      <c r="I1726" s="19"/>
      <c r="J1726" s="50"/>
      <c r="K1726" s="58"/>
      <c r="L1726" s="6" t="s">
        <v>655</v>
      </c>
      <c r="M1726" s="52" t="s">
        <v>655</v>
      </c>
      <c r="N1726" s="53" t="s">
        <v>655</v>
      </c>
      <c r="O1726" s="6"/>
      <c r="P1726" s="6"/>
      <c r="Q1726" s="6"/>
      <c r="R1726" s="6"/>
    </row>
    <row r="1727">
      <c r="A1727" s="31"/>
      <c r="B1727" s="14"/>
      <c r="C1727" s="14"/>
      <c r="D1727" s="6"/>
      <c r="E1727" s="14"/>
      <c r="F1727" s="25"/>
      <c r="G1727" s="6"/>
      <c r="H1727" s="6"/>
      <c r="I1727" s="19"/>
      <c r="J1727" s="50"/>
      <c r="K1727" s="58"/>
      <c r="L1727" s="6" t="s">
        <v>655</v>
      </c>
      <c r="M1727" s="52" t="s">
        <v>655</v>
      </c>
      <c r="N1727" s="53" t="s">
        <v>655</v>
      </c>
      <c r="O1727" s="6"/>
      <c r="P1727" s="6"/>
      <c r="Q1727" s="6"/>
      <c r="R1727" s="6"/>
    </row>
    <row r="1728">
      <c r="A1728" s="31"/>
      <c r="B1728" s="14"/>
      <c r="C1728" s="14"/>
      <c r="D1728" s="6"/>
      <c r="E1728" s="14"/>
      <c r="F1728" s="25"/>
      <c r="G1728" s="6"/>
      <c r="H1728" s="6"/>
      <c r="I1728" s="19"/>
      <c r="J1728" s="50"/>
      <c r="K1728" s="58"/>
      <c r="L1728" s="6" t="s">
        <v>655</v>
      </c>
      <c r="M1728" s="52" t="s">
        <v>655</v>
      </c>
      <c r="N1728" s="53" t="s">
        <v>655</v>
      </c>
      <c r="O1728" s="6"/>
      <c r="P1728" s="6"/>
      <c r="Q1728" s="6"/>
      <c r="R1728" s="6"/>
    </row>
    <row r="1729">
      <c r="A1729" s="31"/>
      <c r="B1729" s="14"/>
      <c r="C1729" s="14"/>
      <c r="D1729" s="6"/>
      <c r="E1729" s="14"/>
      <c r="F1729" s="25"/>
      <c r="G1729" s="6"/>
      <c r="H1729" s="6"/>
      <c r="I1729" s="19"/>
      <c r="J1729" s="50"/>
      <c r="K1729" s="58"/>
      <c r="L1729" s="6" t="s">
        <v>655</v>
      </c>
      <c r="M1729" s="52" t="s">
        <v>655</v>
      </c>
      <c r="N1729" s="53" t="s">
        <v>655</v>
      </c>
      <c r="O1729" s="6"/>
      <c r="P1729" s="6"/>
      <c r="Q1729" s="6"/>
      <c r="R1729" s="6"/>
    </row>
    <row r="1730">
      <c r="A1730" s="31"/>
      <c r="B1730" s="14"/>
      <c r="C1730" s="14"/>
      <c r="D1730" s="6"/>
      <c r="E1730" s="14"/>
      <c r="F1730" s="25"/>
      <c r="G1730" s="6"/>
      <c r="H1730" s="6"/>
      <c r="I1730" s="19"/>
      <c r="J1730" s="50"/>
      <c r="K1730" s="58"/>
      <c r="L1730" s="6" t="s">
        <v>655</v>
      </c>
      <c r="M1730" s="52" t="s">
        <v>655</v>
      </c>
      <c r="N1730" s="53" t="s">
        <v>655</v>
      </c>
      <c r="O1730" s="6"/>
      <c r="P1730" s="6"/>
      <c r="Q1730" s="6"/>
      <c r="R1730" s="6"/>
    </row>
    <row r="1731">
      <c r="A1731" s="31"/>
      <c r="B1731" s="14"/>
      <c r="C1731" s="14"/>
      <c r="D1731" s="6"/>
      <c r="E1731" s="14"/>
      <c r="F1731" s="25"/>
      <c r="G1731" s="6"/>
      <c r="H1731" s="6"/>
      <c r="I1731" s="19"/>
      <c r="J1731" s="50"/>
      <c r="K1731" s="58"/>
      <c r="L1731" s="6" t="s">
        <v>655</v>
      </c>
      <c r="M1731" s="52" t="s">
        <v>655</v>
      </c>
      <c r="N1731" s="53" t="s">
        <v>655</v>
      </c>
      <c r="O1731" s="6"/>
      <c r="P1731" s="6"/>
      <c r="Q1731" s="6"/>
      <c r="R1731" s="6"/>
    </row>
    <row r="1732">
      <c r="A1732" s="31"/>
      <c r="B1732" s="14"/>
      <c r="C1732" s="14"/>
      <c r="D1732" s="6"/>
      <c r="E1732" s="14"/>
      <c r="F1732" s="25"/>
      <c r="G1732" s="6"/>
      <c r="H1732" s="6"/>
      <c r="I1732" s="19"/>
      <c r="J1732" s="50"/>
      <c r="K1732" s="58"/>
      <c r="L1732" s="6" t="s">
        <v>655</v>
      </c>
      <c r="M1732" s="52" t="s">
        <v>655</v>
      </c>
      <c r="N1732" s="53" t="s">
        <v>655</v>
      </c>
      <c r="O1732" s="6"/>
      <c r="P1732" s="6"/>
      <c r="Q1732" s="6"/>
      <c r="R1732" s="6"/>
    </row>
    <row r="1733">
      <c r="A1733" s="31"/>
      <c r="B1733" s="14"/>
      <c r="C1733" s="14"/>
      <c r="D1733" s="6"/>
      <c r="E1733" s="14"/>
      <c r="F1733" s="25"/>
      <c r="G1733" s="6"/>
      <c r="H1733" s="6"/>
      <c r="I1733" s="19"/>
      <c r="J1733" s="50"/>
      <c r="K1733" s="58"/>
      <c r="L1733" s="6" t="s">
        <v>655</v>
      </c>
      <c r="M1733" s="52" t="s">
        <v>655</v>
      </c>
      <c r="N1733" s="53" t="s">
        <v>655</v>
      </c>
      <c r="O1733" s="6"/>
      <c r="P1733" s="6"/>
      <c r="Q1733" s="6"/>
      <c r="R1733" s="6"/>
    </row>
    <row r="1734">
      <c r="A1734" s="31"/>
      <c r="B1734" s="14"/>
      <c r="C1734" s="14"/>
      <c r="D1734" s="6"/>
      <c r="E1734" s="14"/>
      <c r="F1734" s="25"/>
      <c r="G1734" s="6"/>
      <c r="H1734" s="6"/>
      <c r="I1734" s="19"/>
      <c r="J1734" s="50"/>
      <c r="K1734" s="58"/>
      <c r="L1734" s="6" t="s">
        <v>655</v>
      </c>
      <c r="M1734" s="52" t="s">
        <v>655</v>
      </c>
      <c r="N1734" s="53" t="s">
        <v>655</v>
      </c>
      <c r="O1734" s="6"/>
      <c r="P1734" s="6"/>
      <c r="Q1734" s="6"/>
      <c r="R1734" s="6"/>
    </row>
    <row r="1735">
      <c r="A1735" s="31"/>
      <c r="B1735" s="14"/>
      <c r="C1735" s="14"/>
      <c r="D1735" s="6"/>
      <c r="E1735" s="14"/>
      <c r="F1735" s="25"/>
      <c r="G1735" s="6"/>
      <c r="H1735" s="6"/>
      <c r="I1735" s="19"/>
      <c r="J1735" s="50"/>
      <c r="K1735" s="58"/>
      <c r="L1735" s="6" t="s">
        <v>655</v>
      </c>
      <c r="M1735" s="52" t="s">
        <v>655</v>
      </c>
      <c r="N1735" s="53" t="s">
        <v>655</v>
      </c>
      <c r="O1735" s="6"/>
      <c r="P1735" s="6"/>
      <c r="Q1735" s="6"/>
      <c r="R1735" s="6"/>
    </row>
    <row r="1736">
      <c r="A1736" s="31"/>
      <c r="B1736" s="14"/>
      <c r="C1736" s="14"/>
      <c r="D1736" s="6"/>
      <c r="E1736" s="14"/>
      <c r="F1736" s="25"/>
      <c r="G1736" s="6"/>
      <c r="H1736" s="6"/>
      <c r="I1736" s="19"/>
      <c r="J1736" s="50"/>
      <c r="K1736" s="58"/>
      <c r="L1736" s="6" t="s">
        <v>655</v>
      </c>
      <c r="M1736" s="52" t="s">
        <v>655</v>
      </c>
      <c r="N1736" s="53" t="s">
        <v>655</v>
      </c>
      <c r="O1736" s="6"/>
      <c r="P1736" s="6"/>
      <c r="Q1736" s="6"/>
      <c r="R1736" s="6"/>
    </row>
    <row r="1737">
      <c r="A1737" s="31"/>
      <c r="B1737" s="14"/>
      <c r="C1737" s="14"/>
      <c r="D1737" s="6"/>
      <c r="E1737" s="14"/>
      <c r="F1737" s="25"/>
      <c r="G1737" s="6"/>
      <c r="H1737" s="6"/>
      <c r="I1737" s="19"/>
      <c r="J1737" s="50"/>
      <c r="K1737" s="58"/>
      <c r="L1737" s="6" t="s">
        <v>655</v>
      </c>
      <c r="M1737" s="52" t="s">
        <v>655</v>
      </c>
      <c r="N1737" s="53" t="s">
        <v>655</v>
      </c>
      <c r="O1737" s="6"/>
      <c r="P1737" s="6"/>
      <c r="Q1737" s="6"/>
      <c r="R1737" s="6"/>
    </row>
    <row r="1738">
      <c r="A1738" s="31"/>
      <c r="B1738" s="14"/>
      <c r="C1738" s="14"/>
      <c r="D1738" s="6"/>
      <c r="E1738" s="14"/>
      <c r="F1738" s="25"/>
      <c r="G1738" s="6"/>
      <c r="H1738" s="6"/>
      <c r="I1738" s="19"/>
      <c r="J1738" s="50"/>
      <c r="K1738" s="58"/>
      <c r="L1738" s="6" t="s">
        <v>655</v>
      </c>
      <c r="M1738" s="52" t="s">
        <v>655</v>
      </c>
      <c r="N1738" s="53" t="s">
        <v>655</v>
      </c>
      <c r="O1738" s="6"/>
      <c r="P1738" s="6"/>
      <c r="Q1738" s="6"/>
      <c r="R1738" s="6"/>
    </row>
    <row r="1739">
      <c r="A1739" s="31"/>
      <c r="B1739" s="14"/>
      <c r="C1739" s="14"/>
      <c r="D1739" s="6"/>
      <c r="E1739" s="14"/>
      <c r="F1739" s="25"/>
      <c r="G1739" s="6"/>
      <c r="H1739" s="6"/>
      <c r="I1739" s="19"/>
      <c r="J1739" s="50"/>
      <c r="K1739" s="58"/>
      <c r="L1739" s="6" t="s">
        <v>655</v>
      </c>
      <c r="M1739" s="52" t="s">
        <v>655</v>
      </c>
      <c r="N1739" s="53" t="s">
        <v>655</v>
      </c>
      <c r="O1739" s="6"/>
      <c r="P1739" s="6"/>
      <c r="Q1739" s="6"/>
      <c r="R1739" s="6"/>
    </row>
    <row r="1740">
      <c r="A1740" s="31"/>
      <c r="B1740" s="14"/>
      <c r="C1740" s="14"/>
      <c r="D1740" s="6"/>
      <c r="E1740" s="14"/>
      <c r="F1740" s="25"/>
      <c r="G1740" s="6"/>
      <c r="H1740" s="6"/>
      <c r="I1740" s="19"/>
      <c r="J1740" s="50"/>
      <c r="K1740" s="58"/>
      <c r="L1740" s="6" t="s">
        <v>655</v>
      </c>
      <c r="M1740" s="52" t="s">
        <v>655</v>
      </c>
      <c r="N1740" s="53" t="s">
        <v>655</v>
      </c>
      <c r="O1740" s="6"/>
      <c r="P1740" s="6"/>
      <c r="Q1740" s="6"/>
      <c r="R1740" s="6"/>
    </row>
    <row r="1741">
      <c r="A1741" s="31"/>
      <c r="B1741" s="14"/>
      <c r="C1741" s="14"/>
      <c r="D1741" s="6"/>
      <c r="E1741" s="14"/>
      <c r="F1741" s="25"/>
      <c r="G1741" s="6"/>
      <c r="H1741" s="6"/>
      <c r="I1741" s="19"/>
      <c r="J1741" s="50"/>
      <c r="K1741" s="58"/>
      <c r="L1741" s="6" t="s">
        <v>655</v>
      </c>
      <c r="M1741" s="52" t="s">
        <v>655</v>
      </c>
      <c r="N1741" s="53" t="s">
        <v>655</v>
      </c>
      <c r="O1741" s="6"/>
      <c r="P1741" s="6"/>
      <c r="Q1741" s="6"/>
      <c r="R1741" s="6"/>
    </row>
    <row r="1742">
      <c r="A1742" s="31"/>
      <c r="B1742" s="14"/>
      <c r="C1742" s="14"/>
      <c r="D1742" s="6"/>
      <c r="E1742" s="14"/>
      <c r="F1742" s="25"/>
      <c r="G1742" s="6"/>
      <c r="H1742" s="6"/>
      <c r="I1742" s="19"/>
      <c r="J1742" s="50"/>
      <c r="K1742" s="58"/>
      <c r="L1742" s="6" t="s">
        <v>655</v>
      </c>
      <c r="M1742" s="52" t="s">
        <v>655</v>
      </c>
      <c r="N1742" s="53" t="s">
        <v>655</v>
      </c>
      <c r="O1742" s="6"/>
      <c r="P1742" s="6"/>
      <c r="Q1742" s="6"/>
      <c r="R1742" s="6"/>
    </row>
    <row r="1743">
      <c r="A1743" s="31"/>
      <c r="B1743" s="14"/>
      <c r="C1743" s="14"/>
      <c r="D1743" s="6"/>
      <c r="E1743" s="14"/>
      <c r="F1743" s="25"/>
      <c r="G1743" s="6"/>
      <c r="H1743" s="6"/>
      <c r="I1743" s="19"/>
      <c r="J1743" s="50"/>
      <c r="K1743" s="58"/>
      <c r="L1743" s="6" t="s">
        <v>655</v>
      </c>
      <c r="M1743" s="52" t="s">
        <v>655</v>
      </c>
      <c r="N1743" s="53" t="s">
        <v>655</v>
      </c>
      <c r="O1743" s="6"/>
      <c r="P1743" s="6"/>
      <c r="Q1743" s="6"/>
      <c r="R1743" s="6"/>
    </row>
    <row r="1744">
      <c r="A1744" s="31"/>
      <c r="B1744" s="14"/>
      <c r="C1744" s="14"/>
      <c r="D1744" s="6"/>
      <c r="E1744" s="14"/>
      <c r="F1744" s="25"/>
      <c r="G1744" s="6"/>
      <c r="H1744" s="6"/>
      <c r="I1744" s="19"/>
      <c r="J1744" s="50"/>
      <c r="K1744" s="58"/>
      <c r="L1744" s="6" t="s">
        <v>655</v>
      </c>
      <c r="M1744" s="52" t="s">
        <v>655</v>
      </c>
      <c r="N1744" s="53" t="s">
        <v>655</v>
      </c>
      <c r="O1744" s="6"/>
      <c r="P1744" s="6"/>
      <c r="Q1744" s="6"/>
      <c r="R1744" s="6"/>
    </row>
    <row r="1745">
      <c r="A1745" s="31"/>
      <c r="B1745" s="14"/>
      <c r="C1745" s="14"/>
      <c r="D1745" s="6"/>
      <c r="E1745" s="14"/>
      <c r="F1745" s="25"/>
      <c r="G1745" s="6"/>
      <c r="H1745" s="6"/>
      <c r="I1745" s="19"/>
      <c r="J1745" s="50"/>
      <c r="K1745" s="58"/>
      <c r="L1745" s="6" t="s">
        <v>655</v>
      </c>
      <c r="M1745" s="52" t="s">
        <v>655</v>
      </c>
      <c r="N1745" s="53" t="s">
        <v>655</v>
      </c>
      <c r="O1745" s="6"/>
      <c r="P1745" s="6"/>
      <c r="Q1745" s="6"/>
      <c r="R1745" s="6"/>
    </row>
    <row r="1746">
      <c r="A1746" s="31"/>
      <c r="B1746" s="14"/>
      <c r="C1746" s="14"/>
      <c r="D1746" s="6"/>
      <c r="E1746" s="14"/>
      <c r="F1746" s="25"/>
      <c r="G1746" s="6"/>
      <c r="H1746" s="6"/>
      <c r="I1746" s="19"/>
      <c r="J1746" s="50"/>
      <c r="K1746" s="58"/>
      <c r="L1746" s="6" t="s">
        <v>655</v>
      </c>
      <c r="M1746" s="52" t="s">
        <v>655</v>
      </c>
      <c r="N1746" s="53" t="s">
        <v>655</v>
      </c>
      <c r="O1746" s="6"/>
      <c r="P1746" s="6"/>
      <c r="Q1746" s="6"/>
      <c r="R1746" s="6"/>
    </row>
    <row r="1747">
      <c r="A1747" s="31"/>
      <c r="B1747" s="14"/>
      <c r="C1747" s="14"/>
      <c r="D1747" s="6"/>
      <c r="E1747" s="14"/>
      <c r="F1747" s="25"/>
      <c r="G1747" s="6"/>
      <c r="H1747" s="6"/>
      <c r="I1747" s="19"/>
      <c r="J1747" s="50"/>
      <c r="K1747" s="58"/>
      <c r="L1747" s="6" t="s">
        <v>655</v>
      </c>
      <c r="M1747" s="52" t="s">
        <v>655</v>
      </c>
      <c r="N1747" s="53" t="s">
        <v>655</v>
      </c>
      <c r="O1747" s="6"/>
      <c r="P1747" s="6"/>
      <c r="Q1747" s="6"/>
      <c r="R1747" s="6"/>
    </row>
    <row r="1748">
      <c r="A1748" s="31"/>
      <c r="B1748" s="14"/>
      <c r="C1748" s="14"/>
      <c r="D1748" s="6"/>
      <c r="E1748" s="14"/>
      <c r="F1748" s="25"/>
      <c r="G1748" s="6"/>
      <c r="H1748" s="6"/>
      <c r="I1748" s="19"/>
      <c r="J1748" s="50"/>
      <c r="K1748" s="58"/>
      <c r="L1748" s="6" t="s">
        <v>655</v>
      </c>
      <c r="M1748" s="52" t="s">
        <v>655</v>
      </c>
      <c r="N1748" s="53" t="s">
        <v>655</v>
      </c>
      <c r="O1748" s="6"/>
      <c r="P1748" s="6"/>
      <c r="Q1748" s="6"/>
      <c r="R1748" s="6"/>
    </row>
    <row r="1749">
      <c r="A1749" s="31"/>
      <c r="B1749" s="14"/>
      <c r="C1749" s="14"/>
      <c r="D1749" s="6"/>
      <c r="E1749" s="14"/>
      <c r="F1749" s="25"/>
      <c r="G1749" s="6"/>
      <c r="H1749" s="6"/>
      <c r="I1749" s="19"/>
      <c r="J1749" s="50"/>
      <c r="K1749" s="58"/>
      <c r="L1749" s="6" t="s">
        <v>655</v>
      </c>
      <c r="M1749" s="52" t="s">
        <v>655</v>
      </c>
      <c r="N1749" s="53" t="s">
        <v>655</v>
      </c>
      <c r="O1749" s="6"/>
      <c r="P1749" s="6"/>
      <c r="Q1749" s="6"/>
      <c r="R1749" s="6"/>
    </row>
    <row r="1750">
      <c r="A1750" s="31"/>
      <c r="B1750" s="14"/>
      <c r="C1750" s="14"/>
      <c r="D1750" s="6"/>
      <c r="E1750" s="14"/>
      <c r="F1750" s="25"/>
      <c r="G1750" s="6"/>
      <c r="H1750" s="6"/>
      <c r="I1750" s="19"/>
      <c r="J1750" s="50"/>
      <c r="K1750" s="58"/>
      <c r="L1750" s="6" t="s">
        <v>655</v>
      </c>
      <c r="M1750" s="52" t="s">
        <v>655</v>
      </c>
      <c r="N1750" s="53" t="s">
        <v>655</v>
      </c>
      <c r="O1750" s="6"/>
      <c r="P1750" s="6"/>
      <c r="Q1750" s="6"/>
      <c r="R1750" s="6"/>
    </row>
    <row r="1751">
      <c r="A1751" s="31"/>
      <c r="B1751" s="14"/>
      <c r="C1751" s="14"/>
      <c r="D1751" s="6"/>
      <c r="E1751" s="14"/>
      <c r="F1751" s="25"/>
      <c r="G1751" s="6"/>
      <c r="H1751" s="6"/>
      <c r="I1751" s="19"/>
      <c r="J1751" s="50"/>
      <c r="K1751" s="58"/>
      <c r="L1751" s="6" t="s">
        <v>655</v>
      </c>
      <c r="M1751" s="52" t="s">
        <v>655</v>
      </c>
      <c r="N1751" s="53" t="s">
        <v>655</v>
      </c>
      <c r="O1751" s="6"/>
      <c r="P1751" s="6"/>
      <c r="Q1751" s="6"/>
      <c r="R1751" s="6"/>
    </row>
    <row r="1752">
      <c r="A1752" s="31"/>
      <c r="B1752" s="14"/>
      <c r="C1752" s="14"/>
      <c r="D1752" s="6"/>
      <c r="E1752" s="14"/>
      <c r="F1752" s="25"/>
      <c r="G1752" s="6"/>
      <c r="H1752" s="6"/>
      <c r="I1752" s="19"/>
      <c r="J1752" s="50"/>
      <c r="K1752" s="58"/>
      <c r="L1752" s="6" t="s">
        <v>655</v>
      </c>
      <c r="M1752" s="52" t="s">
        <v>655</v>
      </c>
      <c r="N1752" s="53" t="s">
        <v>655</v>
      </c>
      <c r="O1752" s="6"/>
      <c r="P1752" s="6"/>
      <c r="Q1752" s="6"/>
      <c r="R1752" s="6"/>
    </row>
    <row r="1753">
      <c r="A1753" s="31"/>
      <c r="B1753" s="14"/>
      <c r="C1753" s="14"/>
      <c r="D1753" s="6"/>
      <c r="E1753" s="14"/>
      <c r="F1753" s="25"/>
      <c r="G1753" s="6"/>
      <c r="H1753" s="6"/>
      <c r="I1753" s="19"/>
      <c r="J1753" s="50"/>
      <c r="K1753" s="58"/>
      <c r="L1753" s="6" t="s">
        <v>655</v>
      </c>
      <c r="M1753" s="52" t="s">
        <v>655</v>
      </c>
      <c r="N1753" s="53" t="s">
        <v>655</v>
      </c>
      <c r="O1753" s="6"/>
      <c r="P1753" s="6"/>
      <c r="Q1753" s="6"/>
      <c r="R1753" s="6"/>
    </row>
    <row r="1754">
      <c r="A1754" s="31"/>
      <c r="B1754" s="14"/>
      <c r="C1754" s="14"/>
      <c r="D1754" s="6"/>
      <c r="E1754" s="14"/>
      <c r="F1754" s="25"/>
      <c r="G1754" s="6"/>
      <c r="H1754" s="6"/>
      <c r="I1754" s="19"/>
      <c r="J1754" s="50"/>
      <c r="K1754" s="58"/>
      <c r="L1754" s="6" t="s">
        <v>655</v>
      </c>
      <c r="M1754" s="52" t="s">
        <v>655</v>
      </c>
      <c r="N1754" s="53" t="s">
        <v>655</v>
      </c>
      <c r="O1754" s="6"/>
      <c r="P1754" s="6"/>
      <c r="Q1754" s="6"/>
      <c r="R1754" s="6"/>
    </row>
    <row r="1755">
      <c r="A1755" s="31"/>
      <c r="B1755" s="14"/>
      <c r="C1755" s="14"/>
      <c r="D1755" s="6"/>
      <c r="E1755" s="14"/>
      <c r="F1755" s="25"/>
      <c r="G1755" s="6"/>
      <c r="H1755" s="6"/>
      <c r="I1755" s="19"/>
      <c r="J1755" s="50"/>
      <c r="K1755" s="58"/>
      <c r="L1755" s="6" t="s">
        <v>655</v>
      </c>
      <c r="M1755" s="52" t="s">
        <v>655</v>
      </c>
      <c r="N1755" s="53" t="s">
        <v>655</v>
      </c>
      <c r="O1755" s="6"/>
      <c r="P1755" s="6"/>
      <c r="Q1755" s="6"/>
      <c r="R1755" s="6"/>
    </row>
    <row r="1756">
      <c r="A1756" s="31"/>
      <c r="B1756" s="14"/>
      <c r="C1756" s="14"/>
      <c r="D1756" s="6"/>
      <c r="E1756" s="14"/>
      <c r="F1756" s="25"/>
      <c r="G1756" s="6"/>
      <c r="H1756" s="6"/>
      <c r="I1756" s="19"/>
      <c r="J1756" s="50"/>
      <c r="K1756" s="58"/>
      <c r="L1756" s="6" t="s">
        <v>655</v>
      </c>
      <c r="M1756" s="52" t="s">
        <v>655</v>
      </c>
      <c r="N1756" s="53" t="s">
        <v>655</v>
      </c>
      <c r="O1756" s="6"/>
      <c r="P1756" s="6"/>
      <c r="Q1756" s="6"/>
      <c r="R1756" s="6"/>
    </row>
    <row r="1757">
      <c r="A1757" s="31"/>
      <c r="B1757" s="14"/>
      <c r="C1757" s="14"/>
      <c r="D1757" s="6"/>
      <c r="E1757" s="14"/>
      <c r="F1757" s="25"/>
      <c r="G1757" s="6"/>
      <c r="H1757" s="6"/>
      <c r="I1757" s="19"/>
      <c r="J1757" s="50"/>
      <c r="K1757" s="58"/>
      <c r="L1757" s="6" t="s">
        <v>655</v>
      </c>
      <c r="M1757" s="52" t="s">
        <v>655</v>
      </c>
      <c r="N1757" s="53" t="s">
        <v>655</v>
      </c>
      <c r="O1757" s="6"/>
      <c r="P1757" s="6"/>
      <c r="Q1757" s="6"/>
      <c r="R1757" s="6"/>
    </row>
    <row r="1758">
      <c r="A1758" s="31"/>
      <c r="B1758" s="14"/>
      <c r="C1758" s="14"/>
      <c r="D1758" s="6"/>
      <c r="E1758" s="14"/>
      <c r="F1758" s="25"/>
      <c r="G1758" s="6"/>
      <c r="H1758" s="6"/>
      <c r="I1758" s="19"/>
      <c r="J1758" s="50"/>
      <c r="K1758" s="58"/>
      <c r="L1758" s="6" t="s">
        <v>655</v>
      </c>
      <c r="M1758" s="52" t="s">
        <v>655</v>
      </c>
      <c r="N1758" s="53" t="s">
        <v>655</v>
      </c>
      <c r="O1758" s="6"/>
      <c r="P1758" s="6"/>
      <c r="Q1758" s="6"/>
      <c r="R1758" s="6"/>
    </row>
    <row r="1759">
      <c r="A1759" s="31"/>
      <c r="B1759" s="14"/>
      <c r="C1759" s="14"/>
      <c r="D1759" s="6"/>
      <c r="E1759" s="14"/>
      <c r="F1759" s="25"/>
      <c r="G1759" s="6"/>
      <c r="H1759" s="6"/>
      <c r="I1759" s="19"/>
      <c r="J1759" s="50"/>
      <c r="K1759" s="58"/>
      <c r="L1759" s="6" t="s">
        <v>655</v>
      </c>
      <c r="M1759" s="52" t="s">
        <v>655</v>
      </c>
      <c r="N1759" s="53" t="s">
        <v>655</v>
      </c>
      <c r="O1759" s="6"/>
      <c r="P1759" s="6"/>
      <c r="Q1759" s="6"/>
      <c r="R1759" s="6"/>
    </row>
    <row r="1760">
      <c r="A1760" s="31"/>
      <c r="B1760" s="14"/>
      <c r="C1760" s="14"/>
      <c r="D1760" s="6"/>
      <c r="E1760" s="14"/>
      <c r="F1760" s="25"/>
      <c r="G1760" s="6"/>
      <c r="H1760" s="6"/>
      <c r="I1760" s="19"/>
      <c r="J1760" s="50"/>
      <c r="K1760" s="58"/>
      <c r="L1760" s="6" t="s">
        <v>655</v>
      </c>
      <c r="M1760" s="52" t="s">
        <v>655</v>
      </c>
      <c r="N1760" s="53" t="s">
        <v>655</v>
      </c>
      <c r="O1760" s="6"/>
      <c r="P1760" s="6"/>
      <c r="Q1760" s="6"/>
      <c r="R1760" s="6"/>
    </row>
    <row r="1761">
      <c r="A1761" s="31"/>
      <c r="B1761" s="14"/>
      <c r="C1761" s="14"/>
      <c r="D1761" s="6"/>
      <c r="E1761" s="14"/>
      <c r="F1761" s="25"/>
      <c r="G1761" s="6"/>
      <c r="H1761" s="6"/>
      <c r="I1761" s="19"/>
      <c r="J1761" s="50"/>
      <c r="K1761" s="58"/>
      <c r="L1761" s="6" t="s">
        <v>655</v>
      </c>
      <c r="M1761" s="52" t="s">
        <v>655</v>
      </c>
      <c r="N1761" s="53" t="s">
        <v>655</v>
      </c>
      <c r="O1761" s="6"/>
      <c r="P1761" s="6"/>
      <c r="Q1761" s="6"/>
      <c r="R1761" s="6"/>
    </row>
    <row r="1762">
      <c r="A1762" s="31"/>
      <c r="B1762" s="14"/>
      <c r="C1762" s="14"/>
      <c r="D1762" s="6"/>
      <c r="E1762" s="14"/>
      <c r="F1762" s="25"/>
      <c r="G1762" s="6"/>
      <c r="H1762" s="6"/>
      <c r="I1762" s="19"/>
      <c r="J1762" s="50"/>
      <c r="K1762" s="58"/>
      <c r="L1762" s="6" t="s">
        <v>655</v>
      </c>
      <c r="M1762" s="52" t="s">
        <v>655</v>
      </c>
      <c r="N1762" s="53" t="s">
        <v>655</v>
      </c>
      <c r="O1762" s="6"/>
      <c r="P1762" s="6"/>
      <c r="Q1762" s="6"/>
      <c r="R1762" s="6"/>
    </row>
    <row r="1763">
      <c r="A1763" s="31"/>
      <c r="B1763" s="14"/>
      <c r="C1763" s="14"/>
      <c r="D1763" s="6"/>
      <c r="E1763" s="14"/>
      <c r="F1763" s="25"/>
      <c r="G1763" s="6"/>
      <c r="H1763" s="6"/>
      <c r="I1763" s="19"/>
      <c r="J1763" s="50"/>
      <c r="K1763" s="58"/>
      <c r="L1763" s="6" t="s">
        <v>655</v>
      </c>
      <c r="M1763" s="52" t="s">
        <v>655</v>
      </c>
      <c r="N1763" s="53" t="s">
        <v>655</v>
      </c>
      <c r="O1763" s="6"/>
      <c r="P1763" s="6"/>
      <c r="Q1763" s="6"/>
      <c r="R1763" s="6"/>
    </row>
    <row r="1764">
      <c r="A1764" s="31"/>
      <c r="B1764" s="14"/>
      <c r="C1764" s="14"/>
      <c r="D1764" s="6"/>
      <c r="E1764" s="14"/>
      <c r="F1764" s="25"/>
      <c r="G1764" s="6"/>
      <c r="H1764" s="6"/>
      <c r="I1764" s="19"/>
      <c r="J1764" s="50"/>
      <c r="K1764" s="58"/>
      <c r="L1764" s="6" t="s">
        <v>655</v>
      </c>
      <c r="M1764" s="52" t="s">
        <v>655</v>
      </c>
      <c r="N1764" s="53" t="s">
        <v>655</v>
      </c>
      <c r="O1764" s="6"/>
      <c r="P1764" s="6"/>
      <c r="Q1764" s="6"/>
      <c r="R1764" s="6"/>
    </row>
    <row r="1765">
      <c r="A1765" s="31"/>
      <c r="B1765" s="14"/>
      <c r="C1765" s="14"/>
      <c r="D1765" s="6"/>
      <c r="E1765" s="14"/>
      <c r="F1765" s="25"/>
      <c r="G1765" s="6"/>
      <c r="H1765" s="6"/>
      <c r="I1765" s="19"/>
      <c r="J1765" s="50"/>
      <c r="K1765" s="58"/>
      <c r="L1765" s="6" t="s">
        <v>655</v>
      </c>
      <c r="M1765" s="52" t="s">
        <v>655</v>
      </c>
      <c r="N1765" s="53" t="s">
        <v>655</v>
      </c>
      <c r="O1765" s="6"/>
      <c r="P1765" s="6"/>
      <c r="Q1765" s="6"/>
      <c r="R1765" s="6"/>
    </row>
    <row r="1766">
      <c r="A1766" s="31"/>
      <c r="B1766" s="14"/>
      <c r="C1766" s="14"/>
      <c r="D1766" s="6"/>
      <c r="E1766" s="14"/>
      <c r="F1766" s="25"/>
      <c r="G1766" s="6"/>
      <c r="H1766" s="6"/>
      <c r="I1766" s="19"/>
      <c r="J1766" s="50"/>
      <c r="K1766" s="58"/>
      <c r="L1766" s="6" t="s">
        <v>655</v>
      </c>
      <c r="M1766" s="52" t="s">
        <v>655</v>
      </c>
      <c r="N1766" s="53" t="s">
        <v>655</v>
      </c>
      <c r="O1766" s="6"/>
      <c r="P1766" s="6"/>
      <c r="Q1766" s="6"/>
      <c r="R1766" s="6"/>
    </row>
    <row r="1767">
      <c r="A1767" s="31"/>
      <c r="B1767" s="14"/>
      <c r="C1767" s="14"/>
      <c r="D1767" s="6"/>
      <c r="E1767" s="14"/>
      <c r="F1767" s="25"/>
      <c r="G1767" s="6"/>
      <c r="H1767" s="6"/>
      <c r="I1767" s="19"/>
      <c r="J1767" s="50"/>
      <c r="K1767" s="58"/>
      <c r="L1767" s="6" t="s">
        <v>655</v>
      </c>
      <c r="M1767" s="52" t="s">
        <v>655</v>
      </c>
      <c r="N1767" s="53" t="s">
        <v>655</v>
      </c>
      <c r="O1767" s="6"/>
      <c r="P1767" s="6"/>
      <c r="Q1767" s="6"/>
      <c r="R1767" s="6"/>
    </row>
    <row r="1768">
      <c r="A1768" s="31"/>
      <c r="B1768" s="14"/>
      <c r="C1768" s="14"/>
      <c r="D1768" s="6"/>
      <c r="E1768" s="14"/>
      <c r="F1768" s="25"/>
      <c r="G1768" s="6"/>
      <c r="H1768" s="6"/>
      <c r="I1768" s="19"/>
      <c r="J1768" s="50"/>
      <c r="K1768" s="58"/>
      <c r="L1768" s="6" t="s">
        <v>655</v>
      </c>
      <c r="M1768" s="52" t="s">
        <v>655</v>
      </c>
      <c r="N1768" s="53" t="s">
        <v>655</v>
      </c>
      <c r="O1768" s="6"/>
      <c r="P1768" s="6"/>
      <c r="Q1768" s="6"/>
      <c r="R1768" s="6"/>
    </row>
    <row r="1769">
      <c r="A1769" s="31"/>
      <c r="B1769" s="14"/>
      <c r="C1769" s="14"/>
      <c r="D1769" s="6"/>
      <c r="E1769" s="14"/>
      <c r="F1769" s="25"/>
      <c r="G1769" s="6"/>
      <c r="H1769" s="6"/>
      <c r="I1769" s="19"/>
      <c r="J1769" s="50"/>
      <c r="K1769" s="58"/>
      <c r="L1769" s="6" t="s">
        <v>655</v>
      </c>
      <c r="M1769" s="52" t="s">
        <v>655</v>
      </c>
      <c r="N1769" s="53" t="s">
        <v>655</v>
      </c>
      <c r="O1769" s="6"/>
      <c r="P1769" s="6"/>
      <c r="Q1769" s="6"/>
      <c r="R1769" s="6"/>
    </row>
    <row r="1770">
      <c r="A1770" s="31"/>
      <c r="B1770" s="14"/>
      <c r="C1770" s="14"/>
      <c r="D1770" s="6"/>
      <c r="E1770" s="14"/>
      <c r="F1770" s="25"/>
      <c r="G1770" s="6"/>
      <c r="H1770" s="6"/>
      <c r="I1770" s="19"/>
      <c r="J1770" s="50"/>
      <c r="K1770" s="58"/>
      <c r="L1770" s="6" t="s">
        <v>655</v>
      </c>
      <c r="M1770" s="52" t="s">
        <v>655</v>
      </c>
      <c r="N1770" s="53" t="s">
        <v>655</v>
      </c>
      <c r="O1770" s="6"/>
      <c r="P1770" s="6"/>
      <c r="Q1770" s="6"/>
      <c r="R1770" s="6"/>
    </row>
    <row r="1771">
      <c r="A1771" s="31"/>
      <c r="B1771" s="14"/>
      <c r="C1771" s="14"/>
      <c r="D1771" s="6"/>
      <c r="E1771" s="14"/>
      <c r="F1771" s="25"/>
      <c r="G1771" s="6"/>
      <c r="H1771" s="6"/>
      <c r="I1771" s="19"/>
      <c r="J1771" s="50"/>
      <c r="K1771" s="58"/>
      <c r="L1771" s="6" t="s">
        <v>655</v>
      </c>
      <c r="M1771" s="52" t="s">
        <v>655</v>
      </c>
      <c r="N1771" s="53" t="s">
        <v>655</v>
      </c>
      <c r="O1771" s="6"/>
      <c r="P1771" s="6"/>
      <c r="Q1771" s="6"/>
      <c r="R1771" s="6"/>
    </row>
    <row r="1772">
      <c r="A1772" s="31"/>
      <c r="B1772" s="14"/>
      <c r="C1772" s="14"/>
      <c r="D1772" s="6"/>
      <c r="E1772" s="14"/>
      <c r="F1772" s="25"/>
      <c r="G1772" s="6"/>
      <c r="H1772" s="6"/>
      <c r="I1772" s="19"/>
      <c r="J1772" s="50"/>
      <c r="K1772" s="58"/>
      <c r="L1772" s="6" t="s">
        <v>655</v>
      </c>
      <c r="M1772" s="52" t="s">
        <v>655</v>
      </c>
      <c r="N1772" s="53" t="s">
        <v>655</v>
      </c>
      <c r="O1772" s="6"/>
      <c r="P1772" s="6"/>
      <c r="Q1772" s="6"/>
      <c r="R1772" s="6"/>
    </row>
    <row r="1773">
      <c r="A1773" s="31"/>
      <c r="B1773" s="14"/>
      <c r="C1773" s="14"/>
      <c r="D1773" s="6"/>
      <c r="E1773" s="14"/>
      <c r="F1773" s="25"/>
      <c r="G1773" s="6"/>
      <c r="H1773" s="6"/>
      <c r="I1773" s="19"/>
      <c r="J1773" s="50"/>
      <c r="K1773" s="58"/>
      <c r="L1773" s="6" t="s">
        <v>655</v>
      </c>
      <c r="M1773" s="52" t="s">
        <v>655</v>
      </c>
      <c r="N1773" s="53" t="s">
        <v>655</v>
      </c>
      <c r="O1773" s="6"/>
      <c r="P1773" s="6"/>
      <c r="Q1773" s="6"/>
      <c r="R1773" s="6"/>
    </row>
    <row r="1774">
      <c r="A1774" s="31"/>
      <c r="B1774" s="14"/>
      <c r="C1774" s="14"/>
      <c r="D1774" s="6"/>
      <c r="E1774" s="14"/>
      <c r="F1774" s="25"/>
      <c r="G1774" s="6"/>
      <c r="H1774" s="6"/>
      <c r="I1774" s="19"/>
      <c r="J1774" s="50"/>
      <c r="K1774" s="58"/>
      <c r="L1774" s="6" t="s">
        <v>655</v>
      </c>
      <c r="M1774" s="52" t="s">
        <v>655</v>
      </c>
      <c r="N1774" s="53" t="s">
        <v>655</v>
      </c>
      <c r="O1774" s="6"/>
      <c r="P1774" s="6"/>
      <c r="Q1774" s="6"/>
      <c r="R1774" s="6"/>
    </row>
    <row r="1775">
      <c r="A1775" s="31"/>
      <c r="B1775" s="14"/>
      <c r="C1775" s="14"/>
      <c r="D1775" s="6"/>
      <c r="E1775" s="14"/>
      <c r="F1775" s="25"/>
      <c r="G1775" s="6"/>
      <c r="H1775" s="6"/>
      <c r="I1775" s="19"/>
      <c r="J1775" s="50"/>
      <c r="K1775" s="58"/>
      <c r="L1775" s="6" t="s">
        <v>655</v>
      </c>
      <c r="M1775" s="52" t="s">
        <v>655</v>
      </c>
      <c r="N1775" s="53" t="s">
        <v>655</v>
      </c>
      <c r="O1775" s="6"/>
      <c r="P1775" s="6"/>
      <c r="Q1775" s="6"/>
      <c r="R1775" s="6"/>
    </row>
    <row r="1776">
      <c r="A1776" s="31"/>
      <c r="B1776" s="14"/>
      <c r="C1776" s="14"/>
      <c r="D1776" s="6"/>
      <c r="E1776" s="14"/>
      <c r="F1776" s="25"/>
      <c r="G1776" s="6"/>
      <c r="H1776" s="6"/>
      <c r="I1776" s="19"/>
      <c r="J1776" s="50"/>
      <c r="K1776" s="58"/>
      <c r="L1776" s="6" t="s">
        <v>655</v>
      </c>
      <c r="M1776" s="52" t="s">
        <v>655</v>
      </c>
      <c r="N1776" s="53" t="s">
        <v>655</v>
      </c>
      <c r="O1776" s="6"/>
      <c r="P1776" s="6"/>
      <c r="Q1776" s="6"/>
      <c r="R1776" s="6"/>
    </row>
    <row r="1777">
      <c r="A1777" s="31"/>
      <c r="B1777" s="14"/>
      <c r="C1777" s="14"/>
      <c r="D1777" s="6"/>
      <c r="E1777" s="14"/>
      <c r="F1777" s="25"/>
      <c r="G1777" s="6"/>
      <c r="H1777" s="6"/>
      <c r="I1777" s="19"/>
      <c r="J1777" s="50"/>
      <c r="K1777" s="58"/>
      <c r="L1777" s="6" t="s">
        <v>655</v>
      </c>
      <c r="M1777" s="52" t="s">
        <v>655</v>
      </c>
      <c r="N1777" s="53" t="s">
        <v>655</v>
      </c>
      <c r="O1777" s="6"/>
      <c r="P1777" s="6"/>
      <c r="Q1777" s="6"/>
      <c r="R1777" s="6"/>
    </row>
    <row r="1778">
      <c r="A1778" s="31"/>
      <c r="B1778" s="14"/>
      <c r="C1778" s="14"/>
      <c r="D1778" s="6"/>
      <c r="E1778" s="14"/>
      <c r="F1778" s="25"/>
      <c r="G1778" s="6"/>
      <c r="H1778" s="6"/>
      <c r="I1778" s="19"/>
      <c r="J1778" s="50"/>
      <c r="K1778" s="58"/>
      <c r="L1778" s="6" t="s">
        <v>655</v>
      </c>
      <c r="M1778" s="52" t="s">
        <v>655</v>
      </c>
      <c r="N1778" s="53" t="s">
        <v>655</v>
      </c>
      <c r="O1778" s="6"/>
      <c r="P1778" s="6"/>
      <c r="Q1778" s="6"/>
      <c r="R1778" s="6"/>
    </row>
    <row r="1779">
      <c r="A1779" s="31"/>
      <c r="B1779" s="14"/>
      <c r="C1779" s="14"/>
      <c r="D1779" s="6"/>
      <c r="E1779" s="14"/>
      <c r="F1779" s="25"/>
      <c r="G1779" s="6"/>
      <c r="H1779" s="6"/>
      <c r="I1779" s="19"/>
      <c r="J1779" s="50"/>
      <c r="K1779" s="58"/>
      <c r="L1779" s="6" t="s">
        <v>655</v>
      </c>
      <c r="M1779" s="52" t="s">
        <v>655</v>
      </c>
      <c r="N1779" s="53" t="s">
        <v>655</v>
      </c>
      <c r="O1779" s="6"/>
      <c r="P1779" s="6"/>
      <c r="Q1779" s="6"/>
      <c r="R1779" s="6"/>
    </row>
    <row r="1780">
      <c r="A1780" s="31"/>
      <c r="B1780" s="14"/>
      <c r="C1780" s="14"/>
      <c r="D1780" s="6"/>
      <c r="E1780" s="14"/>
      <c r="F1780" s="25"/>
      <c r="G1780" s="6"/>
      <c r="H1780" s="6"/>
      <c r="I1780" s="19"/>
      <c r="J1780" s="50"/>
      <c r="K1780" s="58"/>
      <c r="L1780" s="6" t="s">
        <v>655</v>
      </c>
      <c r="M1780" s="52" t="s">
        <v>655</v>
      </c>
      <c r="N1780" s="53" t="s">
        <v>655</v>
      </c>
      <c r="O1780" s="6"/>
      <c r="P1780" s="6"/>
      <c r="Q1780" s="6"/>
      <c r="R1780" s="6"/>
    </row>
    <row r="1781">
      <c r="A1781" s="31"/>
      <c r="B1781" s="14"/>
      <c r="C1781" s="14"/>
      <c r="D1781" s="6"/>
      <c r="E1781" s="14"/>
      <c r="F1781" s="25"/>
      <c r="G1781" s="6"/>
      <c r="H1781" s="6"/>
      <c r="I1781" s="19"/>
      <c r="J1781" s="50"/>
      <c r="K1781" s="58"/>
      <c r="L1781" s="6" t="s">
        <v>655</v>
      </c>
      <c r="M1781" s="52" t="s">
        <v>655</v>
      </c>
      <c r="N1781" s="53" t="s">
        <v>655</v>
      </c>
      <c r="O1781" s="6"/>
      <c r="P1781" s="6"/>
      <c r="Q1781" s="6"/>
      <c r="R1781" s="6"/>
    </row>
    <row r="1782">
      <c r="A1782" s="31"/>
      <c r="B1782" s="14"/>
      <c r="C1782" s="14"/>
      <c r="D1782" s="6"/>
      <c r="E1782" s="14"/>
      <c r="F1782" s="25"/>
      <c r="G1782" s="6"/>
      <c r="H1782" s="6"/>
      <c r="I1782" s="19"/>
      <c r="J1782" s="50"/>
      <c r="K1782" s="58"/>
      <c r="L1782" s="6" t="s">
        <v>655</v>
      </c>
      <c r="M1782" s="52" t="s">
        <v>655</v>
      </c>
      <c r="N1782" s="53" t="s">
        <v>655</v>
      </c>
      <c r="O1782" s="6"/>
      <c r="P1782" s="6"/>
      <c r="Q1782" s="6"/>
      <c r="R1782" s="6"/>
    </row>
    <row r="1783">
      <c r="A1783" s="31"/>
      <c r="B1783" s="14"/>
      <c r="C1783" s="14"/>
      <c r="D1783" s="6"/>
      <c r="E1783" s="14"/>
      <c r="F1783" s="25"/>
      <c r="G1783" s="6"/>
      <c r="H1783" s="6"/>
      <c r="I1783" s="19"/>
      <c r="J1783" s="50"/>
      <c r="K1783" s="58"/>
      <c r="L1783" s="6" t="s">
        <v>655</v>
      </c>
      <c r="M1783" s="52" t="s">
        <v>655</v>
      </c>
      <c r="N1783" s="53" t="s">
        <v>655</v>
      </c>
      <c r="O1783" s="6"/>
      <c r="P1783" s="6"/>
      <c r="Q1783" s="6"/>
      <c r="R1783" s="6"/>
    </row>
    <row r="1784">
      <c r="A1784" s="31"/>
      <c r="B1784" s="14"/>
      <c r="C1784" s="14"/>
      <c r="D1784" s="6"/>
      <c r="E1784" s="14"/>
      <c r="F1784" s="25"/>
      <c r="G1784" s="6"/>
      <c r="H1784" s="6"/>
      <c r="I1784" s="19"/>
      <c r="J1784" s="50"/>
      <c r="K1784" s="58"/>
      <c r="L1784" s="6" t="s">
        <v>655</v>
      </c>
      <c r="M1784" s="52" t="s">
        <v>655</v>
      </c>
      <c r="N1784" s="53" t="s">
        <v>655</v>
      </c>
      <c r="O1784" s="6"/>
      <c r="P1784" s="6"/>
      <c r="Q1784" s="6"/>
      <c r="R1784" s="6"/>
    </row>
    <row r="1785">
      <c r="A1785" s="31"/>
      <c r="B1785" s="14"/>
      <c r="C1785" s="14"/>
      <c r="D1785" s="6"/>
      <c r="E1785" s="14"/>
      <c r="F1785" s="25"/>
      <c r="G1785" s="6"/>
      <c r="H1785" s="6"/>
      <c r="I1785" s="19"/>
      <c r="J1785" s="50"/>
      <c r="K1785" s="58"/>
      <c r="L1785" s="6" t="s">
        <v>655</v>
      </c>
      <c r="M1785" s="52" t="s">
        <v>655</v>
      </c>
      <c r="N1785" s="53" t="s">
        <v>655</v>
      </c>
      <c r="O1785" s="6"/>
      <c r="P1785" s="6"/>
      <c r="Q1785" s="6"/>
      <c r="R1785" s="6"/>
    </row>
    <row r="1786">
      <c r="A1786" s="31"/>
      <c r="B1786" s="14"/>
      <c r="C1786" s="14"/>
      <c r="D1786" s="6"/>
      <c r="E1786" s="14"/>
      <c r="F1786" s="25"/>
      <c r="G1786" s="6"/>
      <c r="H1786" s="6"/>
      <c r="I1786" s="19"/>
      <c r="J1786" s="50"/>
      <c r="K1786" s="58"/>
      <c r="L1786" s="6" t="s">
        <v>655</v>
      </c>
      <c r="M1786" s="52" t="s">
        <v>655</v>
      </c>
      <c r="N1786" s="53" t="s">
        <v>655</v>
      </c>
      <c r="O1786" s="6"/>
      <c r="P1786" s="6"/>
      <c r="Q1786" s="6"/>
      <c r="R1786" s="6"/>
    </row>
    <row r="1787">
      <c r="A1787" s="31"/>
      <c r="B1787" s="14"/>
      <c r="C1787" s="14"/>
      <c r="D1787" s="6"/>
      <c r="E1787" s="14"/>
      <c r="F1787" s="25"/>
      <c r="G1787" s="6"/>
      <c r="H1787" s="6"/>
      <c r="I1787" s="19"/>
      <c r="J1787" s="50"/>
      <c r="K1787" s="58"/>
      <c r="L1787" s="6" t="s">
        <v>655</v>
      </c>
      <c r="M1787" s="52" t="s">
        <v>655</v>
      </c>
      <c r="N1787" s="53" t="s">
        <v>655</v>
      </c>
      <c r="O1787" s="6"/>
      <c r="P1787" s="6"/>
      <c r="Q1787" s="6"/>
      <c r="R1787" s="6"/>
    </row>
    <row r="1788">
      <c r="A1788" s="31"/>
      <c r="B1788" s="14"/>
      <c r="C1788" s="14"/>
      <c r="D1788" s="6"/>
      <c r="E1788" s="14"/>
      <c r="F1788" s="25"/>
      <c r="G1788" s="6"/>
      <c r="H1788" s="6"/>
      <c r="I1788" s="19"/>
      <c r="J1788" s="50"/>
      <c r="K1788" s="58"/>
      <c r="L1788" s="6" t="s">
        <v>655</v>
      </c>
      <c r="M1788" s="52" t="s">
        <v>655</v>
      </c>
      <c r="N1788" s="53" t="s">
        <v>655</v>
      </c>
      <c r="O1788" s="6"/>
      <c r="P1788" s="6"/>
      <c r="Q1788" s="6"/>
      <c r="R1788" s="6"/>
    </row>
    <row r="1789">
      <c r="A1789" s="31"/>
      <c r="B1789" s="14"/>
      <c r="C1789" s="14"/>
      <c r="D1789" s="6"/>
      <c r="E1789" s="14"/>
      <c r="F1789" s="25"/>
      <c r="G1789" s="6"/>
      <c r="H1789" s="6"/>
      <c r="I1789" s="19"/>
      <c r="J1789" s="50"/>
      <c r="K1789" s="58"/>
      <c r="L1789" s="6" t="s">
        <v>655</v>
      </c>
      <c r="M1789" s="52" t="s">
        <v>655</v>
      </c>
      <c r="N1789" s="53" t="s">
        <v>655</v>
      </c>
      <c r="O1789" s="6"/>
      <c r="P1789" s="6"/>
      <c r="Q1789" s="6"/>
      <c r="R1789" s="6"/>
    </row>
    <row r="1790">
      <c r="A1790" s="31"/>
      <c r="B1790" s="14"/>
      <c r="C1790" s="14"/>
      <c r="D1790" s="6"/>
      <c r="E1790" s="14"/>
      <c r="F1790" s="25"/>
      <c r="G1790" s="6"/>
      <c r="H1790" s="6"/>
      <c r="I1790" s="19"/>
      <c r="J1790" s="50"/>
      <c r="K1790" s="58"/>
      <c r="L1790" s="6" t="s">
        <v>655</v>
      </c>
      <c r="M1790" s="52" t="s">
        <v>655</v>
      </c>
      <c r="N1790" s="53" t="s">
        <v>655</v>
      </c>
      <c r="O1790" s="6"/>
      <c r="P1790" s="6"/>
      <c r="Q1790" s="6"/>
      <c r="R1790" s="6"/>
    </row>
    <row r="1791">
      <c r="A1791" s="31"/>
      <c r="B1791" s="14"/>
      <c r="C1791" s="14"/>
      <c r="D1791" s="6"/>
      <c r="E1791" s="14"/>
      <c r="F1791" s="25"/>
      <c r="G1791" s="6"/>
      <c r="H1791" s="6"/>
      <c r="I1791" s="19"/>
      <c r="J1791" s="50"/>
      <c r="K1791" s="58"/>
      <c r="L1791" s="6" t="s">
        <v>655</v>
      </c>
      <c r="M1791" s="52" t="s">
        <v>655</v>
      </c>
      <c r="N1791" s="53" t="s">
        <v>655</v>
      </c>
      <c r="O1791" s="6"/>
      <c r="P1791" s="6"/>
      <c r="Q1791" s="6"/>
      <c r="R1791" s="6"/>
    </row>
    <row r="1792">
      <c r="A1792" s="31"/>
      <c r="B1792" s="14"/>
      <c r="C1792" s="14"/>
      <c r="D1792" s="6"/>
      <c r="E1792" s="14"/>
      <c r="F1792" s="25"/>
      <c r="G1792" s="6"/>
      <c r="H1792" s="6"/>
      <c r="I1792" s="19"/>
      <c r="J1792" s="50"/>
      <c r="K1792" s="58"/>
      <c r="L1792" s="6" t="s">
        <v>655</v>
      </c>
      <c r="M1792" s="52" t="s">
        <v>655</v>
      </c>
      <c r="N1792" s="53" t="s">
        <v>655</v>
      </c>
      <c r="O1792" s="6"/>
      <c r="P1792" s="6"/>
      <c r="Q1792" s="6"/>
      <c r="R1792" s="6"/>
    </row>
    <row r="1793">
      <c r="A1793" s="31"/>
      <c r="B1793" s="14"/>
      <c r="C1793" s="14"/>
      <c r="D1793" s="6"/>
      <c r="E1793" s="14"/>
      <c r="F1793" s="25"/>
      <c r="G1793" s="6"/>
      <c r="H1793" s="6"/>
      <c r="I1793" s="19"/>
      <c r="J1793" s="50"/>
      <c r="K1793" s="58"/>
      <c r="L1793" s="6" t="s">
        <v>655</v>
      </c>
      <c r="M1793" s="52" t="s">
        <v>655</v>
      </c>
      <c r="N1793" s="53" t="s">
        <v>655</v>
      </c>
      <c r="O1793" s="6"/>
      <c r="P1793" s="6"/>
      <c r="Q1793" s="6"/>
      <c r="R1793" s="6"/>
    </row>
    <row r="1794">
      <c r="A1794" s="31"/>
      <c r="B1794" s="14"/>
      <c r="C1794" s="14"/>
      <c r="D1794" s="6"/>
      <c r="E1794" s="14"/>
      <c r="F1794" s="25"/>
      <c r="G1794" s="6"/>
      <c r="H1794" s="6"/>
      <c r="I1794" s="19"/>
      <c r="J1794" s="50"/>
      <c r="K1794" s="58"/>
      <c r="L1794" s="6" t="s">
        <v>655</v>
      </c>
      <c r="M1794" s="52" t="s">
        <v>655</v>
      </c>
      <c r="N1794" s="53" t="s">
        <v>655</v>
      </c>
      <c r="O1794" s="6"/>
      <c r="P1794" s="6"/>
      <c r="Q1794" s="6"/>
      <c r="R1794" s="6"/>
    </row>
    <row r="1795">
      <c r="A1795" s="31"/>
      <c r="B1795" s="14"/>
      <c r="C1795" s="14"/>
      <c r="D1795" s="6"/>
      <c r="E1795" s="14"/>
      <c r="F1795" s="25"/>
      <c r="G1795" s="6"/>
      <c r="H1795" s="6"/>
      <c r="I1795" s="19"/>
      <c r="J1795" s="50"/>
      <c r="K1795" s="58"/>
      <c r="L1795" s="6" t="s">
        <v>655</v>
      </c>
      <c r="M1795" s="52" t="s">
        <v>655</v>
      </c>
      <c r="N1795" s="53" t="s">
        <v>655</v>
      </c>
      <c r="O1795" s="6"/>
      <c r="P1795" s="6"/>
      <c r="Q1795" s="6"/>
      <c r="R1795" s="6"/>
    </row>
    <row r="1796">
      <c r="A1796" s="31"/>
      <c r="B1796" s="14"/>
      <c r="C1796" s="14"/>
      <c r="D1796" s="6"/>
      <c r="E1796" s="14"/>
      <c r="F1796" s="25"/>
      <c r="G1796" s="6"/>
      <c r="H1796" s="6"/>
      <c r="I1796" s="19"/>
      <c r="J1796" s="50"/>
      <c r="K1796" s="58"/>
      <c r="L1796" s="6" t="s">
        <v>655</v>
      </c>
      <c r="M1796" s="52" t="s">
        <v>655</v>
      </c>
      <c r="N1796" s="53" t="s">
        <v>655</v>
      </c>
      <c r="O1796" s="6"/>
      <c r="P1796" s="6"/>
      <c r="Q1796" s="6"/>
      <c r="R1796" s="6"/>
    </row>
    <row r="1797">
      <c r="A1797" s="31"/>
      <c r="B1797" s="14"/>
      <c r="C1797" s="14"/>
      <c r="D1797" s="6"/>
      <c r="E1797" s="14"/>
      <c r="F1797" s="25"/>
      <c r="G1797" s="6"/>
      <c r="H1797" s="6"/>
      <c r="I1797" s="19"/>
      <c r="J1797" s="50"/>
      <c r="K1797" s="58"/>
      <c r="L1797" s="6" t="s">
        <v>655</v>
      </c>
      <c r="M1797" s="52" t="s">
        <v>655</v>
      </c>
      <c r="N1797" s="53" t="s">
        <v>655</v>
      </c>
      <c r="O1797" s="6"/>
      <c r="P1797" s="6"/>
      <c r="Q1797" s="6"/>
      <c r="R1797" s="6"/>
    </row>
    <row r="1798">
      <c r="A1798" s="31"/>
      <c r="B1798" s="14"/>
      <c r="C1798" s="14"/>
      <c r="D1798" s="6"/>
      <c r="E1798" s="14"/>
      <c r="F1798" s="25"/>
      <c r="G1798" s="6"/>
      <c r="H1798" s="6"/>
      <c r="I1798" s="19"/>
      <c r="J1798" s="50"/>
      <c r="K1798" s="58"/>
      <c r="L1798" s="6" t="s">
        <v>655</v>
      </c>
      <c r="M1798" s="52" t="s">
        <v>655</v>
      </c>
      <c r="N1798" s="53" t="s">
        <v>655</v>
      </c>
      <c r="O1798" s="6"/>
      <c r="P1798" s="6"/>
      <c r="Q1798" s="6"/>
      <c r="R1798" s="6"/>
    </row>
    <row r="1799">
      <c r="A1799" s="31"/>
      <c r="B1799" s="14"/>
      <c r="C1799" s="14"/>
      <c r="D1799" s="6"/>
      <c r="E1799" s="14"/>
      <c r="F1799" s="25"/>
      <c r="G1799" s="6"/>
      <c r="H1799" s="6"/>
      <c r="I1799" s="19"/>
      <c r="J1799" s="50"/>
      <c r="K1799" s="58"/>
      <c r="L1799" s="6" t="s">
        <v>655</v>
      </c>
      <c r="M1799" s="52" t="s">
        <v>655</v>
      </c>
      <c r="N1799" s="53" t="s">
        <v>655</v>
      </c>
      <c r="O1799" s="6"/>
      <c r="P1799" s="6"/>
      <c r="Q1799" s="6"/>
      <c r="R1799" s="6"/>
    </row>
    <row r="1800">
      <c r="A1800" s="31"/>
      <c r="B1800" s="14"/>
      <c r="C1800" s="14"/>
      <c r="D1800" s="6"/>
      <c r="E1800" s="14"/>
      <c r="F1800" s="25"/>
      <c r="G1800" s="6"/>
      <c r="H1800" s="6"/>
      <c r="I1800" s="19"/>
      <c r="J1800" s="50"/>
      <c r="K1800" s="58"/>
      <c r="L1800" s="6" t="s">
        <v>655</v>
      </c>
      <c r="M1800" s="52" t="s">
        <v>655</v>
      </c>
      <c r="N1800" s="53" t="s">
        <v>655</v>
      </c>
      <c r="O1800" s="6"/>
      <c r="P1800" s="6"/>
      <c r="Q1800" s="6"/>
      <c r="R1800" s="6"/>
    </row>
    <row r="1801">
      <c r="A1801" s="31"/>
      <c r="B1801" s="14"/>
      <c r="C1801" s="14"/>
      <c r="D1801" s="6"/>
      <c r="E1801" s="14"/>
      <c r="F1801" s="25"/>
      <c r="G1801" s="6"/>
      <c r="H1801" s="6"/>
      <c r="I1801" s="19"/>
      <c r="J1801" s="50"/>
      <c r="K1801" s="58"/>
      <c r="L1801" s="6" t="s">
        <v>655</v>
      </c>
      <c r="M1801" s="52" t="s">
        <v>655</v>
      </c>
      <c r="N1801" s="53" t="s">
        <v>655</v>
      </c>
      <c r="O1801" s="6"/>
      <c r="P1801" s="6"/>
      <c r="Q1801" s="6"/>
      <c r="R1801" s="6"/>
    </row>
    <row r="1802">
      <c r="A1802" s="31"/>
      <c r="B1802" s="14"/>
      <c r="C1802" s="14"/>
      <c r="D1802" s="6"/>
      <c r="E1802" s="14"/>
      <c r="F1802" s="25"/>
      <c r="G1802" s="6"/>
      <c r="H1802" s="6"/>
      <c r="I1802" s="19"/>
      <c r="J1802" s="50"/>
      <c r="K1802" s="58"/>
      <c r="L1802" s="6" t="s">
        <v>655</v>
      </c>
      <c r="M1802" s="52" t="s">
        <v>655</v>
      </c>
      <c r="N1802" s="53" t="s">
        <v>655</v>
      </c>
      <c r="O1802" s="6"/>
      <c r="P1802" s="6"/>
      <c r="Q1802" s="6"/>
      <c r="R1802" s="6"/>
    </row>
    <row r="1803">
      <c r="A1803" s="31"/>
      <c r="B1803" s="14"/>
      <c r="C1803" s="14"/>
      <c r="D1803" s="6"/>
      <c r="E1803" s="14"/>
      <c r="F1803" s="25"/>
      <c r="G1803" s="6"/>
      <c r="H1803" s="6"/>
      <c r="I1803" s="19"/>
      <c r="J1803" s="50"/>
      <c r="K1803" s="58"/>
      <c r="L1803" s="6" t="s">
        <v>655</v>
      </c>
      <c r="M1803" s="52" t="s">
        <v>655</v>
      </c>
      <c r="N1803" s="53" t="s">
        <v>655</v>
      </c>
      <c r="O1803" s="6"/>
      <c r="P1803" s="6"/>
      <c r="Q1803" s="6"/>
      <c r="R1803" s="6"/>
    </row>
    <row r="1804">
      <c r="A1804" s="31"/>
      <c r="B1804" s="14"/>
      <c r="C1804" s="14"/>
      <c r="D1804" s="6"/>
      <c r="E1804" s="14"/>
      <c r="F1804" s="25"/>
      <c r="G1804" s="6"/>
      <c r="H1804" s="6"/>
      <c r="I1804" s="19"/>
      <c r="J1804" s="50"/>
      <c r="K1804" s="58"/>
      <c r="L1804" s="6" t="s">
        <v>655</v>
      </c>
      <c r="M1804" s="52" t="s">
        <v>655</v>
      </c>
      <c r="N1804" s="53" t="s">
        <v>655</v>
      </c>
      <c r="O1804" s="6"/>
      <c r="P1804" s="6"/>
      <c r="Q1804" s="6"/>
      <c r="R1804" s="6"/>
    </row>
    <row r="1805">
      <c r="A1805" s="31"/>
      <c r="B1805" s="14"/>
      <c r="C1805" s="14"/>
      <c r="D1805" s="6"/>
      <c r="E1805" s="14"/>
      <c r="F1805" s="25"/>
      <c r="G1805" s="6"/>
      <c r="H1805" s="6"/>
      <c r="I1805" s="19"/>
      <c r="J1805" s="50"/>
      <c r="K1805" s="58"/>
      <c r="L1805" s="6" t="s">
        <v>655</v>
      </c>
      <c r="M1805" s="52" t="s">
        <v>655</v>
      </c>
      <c r="N1805" s="53" t="s">
        <v>655</v>
      </c>
      <c r="O1805" s="6"/>
      <c r="P1805" s="6"/>
      <c r="Q1805" s="6"/>
      <c r="R1805" s="6"/>
    </row>
    <row r="1806">
      <c r="A1806" s="31"/>
      <c r="B1806" s="14"/>
      <c r="C1806" s="14"/>
      <c r="D1806" s="6"/>
      <c r="E1806" s="14"/>
      <c r="F1806" s="25"/>
      <c r="G1806" s="6"/>
      <c r="H1806" s="6"/>
      <c r="I1806" s="19"/>
      <c r="J1806" s="50"/>
      <c r="K1806" s="58"/>
      <c r="L1806" s="6" t="s">
        <v>655</v>
      </c>
      <c r="M1806" s="52" t="s">
        <v>655</v>
      </c>
      <c r="N1806" s="53" t="s">
        <v>655</v>
      </c>
      <c r="O1806" s="6"/>
      <c r="P1806" s="6"/>
      <c r="Q1806" s="6"/>
      <c r="R1806" s="6"/>
    </row>
    <row r="1807">
      <c r="A1807" s="31"/>
      <c r="B1807" s="14"/>
      <c r="C1807" s="14"/>
      <c r="D1807" s="6"/>
      <c r="E1807" s="14"/>
      <c r="F1807" s="25"/>
      <c r="G1807" s="6"/>
      <c r="H1807" s="6"/>
      <c r="I1807" s="19"/>
      <c r="J1807" s="50"/>
      <c r="K1807" s="58"/>
      <c r="L1807" s="6" t="s">
        <v>655</v>
      </c>
      <c r="M1807" s="52" t="s">
        <v>655</v>
      </c>
      <c r="N1807" s="53" t="s">
        <v>655</v>
      </c>
      <c r="O1807" s="6"/>
      <c r="P1807" s="6"/>
      <c r="Q1807" s="6"/>
      <c r="R1807" s="6"/>
    </row>
    <row r="1808">
      <c r="A1808" s="31"/>
      <c r="B1808" s="14"/>
      <c r="C1808" s="14"/>
      <c r="D1808" s="6"/>
      <c r="E1808" s="14"/>
      <c r="F1808" s="25"/>
      <c r="G1808" s="6"/>
      <c r="H1808" s="6"/>
      <c r="I1808" s="19"/>
      <c r="J1808" s="50"/>
      <c r="K1808" s="58"/>
      <c r="L1808" s="6" t="s">
        <v>655</v>
      </c>
      <c r="M1808" s="52" t="s">
        <v>655</v>
      </c>
      <c r="N1808" s="53" t="s">
        <v>655</v>
      </c>
      <c r="O1808" s="6"/>
      <c r="P1808" s="6"/>
      <c r="Q1808" s="6"/>
      <c r="R1808" s="6"/>
    </row>
    <row r="1809">
      <c r="A1809" s="31"/>
      <c r="B1809" s="14"/>
      <c r="C1809" s="14"/>
      <c r="D1809" s="6"/>
      <c r="E1809" s="14"/>
      <c r="F1809" s="25"/>
      <c r="G1809" s="6"/>
      <c r="H1809" s="6"/>
      <c r="I1809" s="19"/>
      <c r="J1809" s="50"/>
      <c r="K1809" s="58"/>
      <c r="L1809" s="6" t="s">
        <v>655</v>
      </c>
      <c r="M1809" s="52" t="s">
        <v>655</v>
      </c>
      <c r="N1809" s="53" t="s">
        <v>655</v>
      </c>
      <c r="O1809" s="6"/>
      <c r="P1809" s="6"/>
      <c r="Q1809" s="6"/>
      <c r="R1809" s="6"/>
    </row>
    <row r="1810">
      <c r="A1810" s="31"/>
      <c r="B1810" s="14"/>
      <c r="C1810" s="14"/>
      <c r="D1810" s="6"/>
      <c r="E1810" s="14"/>
      <c r="F1810" s="25"/>
      <c r="G1810" s="6"/>
      <c r="H1810" s="6"/>
      <c r="I1810" s="19"/>
      <c r="J1810" s="50"/>
      <c r="K1810" s="58"/>
      <c r="L1810" s="6" t="s">
        <v>655</v>
      </c>
      <c r="M1810" s="52" t="s">
        <v>655</v>
      </c>
      <c r="N1810" s="53" t="s">
        <v>655</v>
      </c>
      <c r="O1810" s="6"/>
      <c r="P1810" s="6"/>
      <c r="Q1810" s="6"/>
      <c r="R1810" s="6"/>
    </row>
    <row r="1811">
      <c r="A1811" s="31"/>
      <c r="B1811" s="14"/>
      <c r="C1811" s="14"/>
      <c r="D1811" s="6"/>
      <c r="E1811" s="14"/>
      <c r="F1811" s="25"/>
      <c r="G1811" s="6"/>
      <c r="H1811" s="6"/>
      <c r="I1811" s="19"/>
      <c r="J1811" s="50"/>
      <c r="K1811" s="58"/>
      <c r="L1811" s="6" t="s">
        <v>655</v>
      </c>
      <c r="M1811" s="52" t="s">
        <v>655</v>
      </c>
      <c r="N1811" s="53" t="s">
        <v>655</v>
      </c>
      <c r="O1811" s="6"/>
      <c r="P1811" s="6"/>
      <c r="Q1811" s="6"/>
      <c r="R1811" s="6"/>
    </row>
    <row r="1812">
      <c r="A1812" s="31"/>
      <c r="B1812" s="14"/>
      <c r="C1812" s="14"/>
      <c r="D1812" s="6"/>
      <c r="E1812" s="14"/>
      <c r="F1812" s="25"/>
      <c r="G1812" s="6"/>
      <c r="H1812" s="6"/>
      <c r="I1812" s="19"/>
      <c r="J1812" s="50"/>
      <c r="K1812" s="58"/>
      <c r="L1812" s="6" t="s">
        <v>655</v>
      </c>
      <c r="M1812" s="52" t="s">
        <v>655</v>
      </c>
      <c r="N1812" s="53" t="s">
        <v>655</v>
      </c>
      <c r="O1812" s="6"/>
      <c r="P1812" s="6"/>
      <c r="Q1812" s="6"/>
      <c r="R1812" s="6"/>
    </row>
    <row r="1813">
      <c r="A1813" s="31"/>
      <c r="B1813" s="14"/>
      <c r="C1813" s="14"/>
      <c r="D1813" s="6"/>
      <c r="E1813" s="14"/>
      <c r="F1813" s="25"/>
      <c r="G1813" s="6"/>
      <c r="H1813" s="6"/>
      <c r="I1813" s="19"/>
      <c r="J1813" s="50"/>
      <c r="K1813" s="58"/>
      <c r="L1813" s="6" t="s">
        <v>655</v>
      </c>
      <c r="M1813" s="52" t="s">
        <v>655</v>
      </c>
      <c r="N1813" s="53" t="s">
        <v>655</v>
      </c>
      <c r="O1813" s="6"/>
      <c r="P1813" s="6"/>
      <c r="Q1813" s="6"/>
      <c r="R1813" s="6"/>
    </row>
    <row r="1814">
      <c r="A1814" s="31"/>
      <c r="B1814" s="14"/>
      <c r="C1814" s="14"/>
      <c r="D1814" s="6"/>
      <c r="E1814" s="14"/>
      <c r="F1814" s="25"/>
      <c r="G1814" s="6"/>
      <c r="H1814" s="6"/>
      <c r="I1814" s="19"/>
      <c r="J1814" s="50"/>
      <c r="K1814" s="58"/>
      <c r="L1814" s="6" t="s">
        <v>655</v>
      </c>
      <c r="M1814" s="52" t="s">
        <v>655</v>
      </c>
      <c r="N1814" s="53" t="s">
        <v>655</v>
      </c>
      <c r="O1814" s="6"/>
      <c r="P1814" s="6"/>
      <c r="Q1814" s="6"/>
      <c r="R1814" s="6"/>
    </row>
    <row r="1815">
      <c r="A1815" s="31"/>
      <c r="B1815" s="14"/>
      <c r="C1815" s="14"/>
      <c r="D1815" s="6"/>
      <c r="E1815" s="14"/>
      <c r="F1815" s="25"/>
      <c r="G1815" s="6"/>
      <c r="H1815" s="6"/>
      <c r="I1815" s="19"/>
      <c r="J1815" s="50"/>
      <c r="K1815" s="58"/>
      <c r="L1815" s="6" t="s">
        <v>655</v>
      </c>
      <c r="M1815" s="52" t="s">
        <v>655</v>
      </c>
      <c r="N1815" s="53" t="s">
        <v>655</v>
      </c>
      <c r="O1815" s="6"/>
      <c r="P1815" s="6"/>
      <c r="Q1815" s="6"/>
      <c r="R1815" s="6"/>
    </row>
    <row r="1816">
      <c r="A1816" s="31"/>
      <c r="B1816" s="14"/>
      <c r="C1816" s="14"/>
      <c r="D1816" s="6"/>
      <c r="E1816" s="14"/>
      <c r="F1816" s="25"/>
      <c r="G1816" s="6"/>
      <c r="H1816" s="6"/>
      <c r="I1816" s="19"/>
      <c r="J1816" s="50"/>
      <c r="K1816" s="58"/>
      <c r="L1816" s="6" t="s">
        <v>655</v>
      </c>
      <c r="M1816" s="52" t="s">
        <v>655</v>
      </c>
      <c r="N1816" s="53" t="s">
        <v>655</v>
      </c>
      <c r="O1816" s="6"/>
      <c r="P1816" s="6"/>
      <c r="Q1816" s="6"/>
      <c r="R1816" s="6"/>
    </row>
    <row r="1817">
      <c r="A1817" s="31"/>
      <c r="B1817" s="14"/>
      <c r="C1817" s="14"/>
      <c r="D1817" s="6"/>
      <c r="E1817" s="14"/>
      <c r="F1817" s="25"/>
      <c r="G1817" s="6"/>
      <c r="H1817" s="6"/>
      <c r="I1817" s="19"/>
      <c r="J1817" s="50"/>
      <c r="K1817" s="58"/>
      <c r="L1817" s="6" t="s">
        <v>655</v>
      </c>
      <c r="M1817" s="52" t="s">
        <v>655</v>
      </c>
      <c r="N1817" s="53" t="s">
        <v>655</v>
      </c>
      <c r="O1817" s="6"/>
      <c r="P1817" s="6"/>
      <c r="Q1817" s="6"/>
      <c r="R1817" s="6"/>
    </row>
    <row r="1818">
      <c r="A1818" s="31"/>
      <c r="B1818" s="14"/>
      <c r="C1818" s="14"/>
      <c r="D1818" s="6"/>
      <c r="E1818" s="14"/>
      <c r="F1818" s="25"/>
      <c r="G1818" s="6"/>
      <c r="H1818" s="6"/>
      <c r="I1818" s="19"/>
      <c r="J1818" s="50"/>
      <c r="K1818" s="58"/>
      <c r="L1818" s="6" t="s">
        <v>655</v>
      </c>
      <c r="M1818" s="52" t="s">
        <v>655</v>
      </c>
      <c r="N1818" s="53" t="s">
        <v>655</v>
      </c>
      <c r="O1818" s="6"/>
      <c r="P1818" s="6"/>
      <c r="Q1818" s="6"/>
      <c r="R1818" s="6"/>
    </row>
    <row r="1819">
      <c r="A1819" s="31"/>
      <c r="B1819" s="14"/>
      <c r="C1819" s="14"/>
      <c r="D1819" s="6"/>
      <c r="E1819" s="14"/>
      <c r="F1819" s="25"/>
      <c r="G1819" s="6"/>
      <c r="H1819" s="6"/>
      <c r="I1819" s="19"/>
      <c r="J1819" s="50"/>
      <c r="K1819" s="58"/>
      <c r="L1819" s="6" t="s">
        <v>655</v>
      </c>
      <c r="M1819" s="52" t="s">
        <v>655</v>
      </c>
      <c r="N1819" s="53" t="s">
        <v>655</v>
      </c>
      <c r="O1819" s="6"/>
      <c r="P1819" s="6"/>
      <c r="Q1819" s="6"/>
      <c r="R1819" s="6"/>
    </row>
    <row r="1820">
      <c r="A1820" s="31"/>
      <c r="B1820" s="14"/>
      <c r="C1820" s="14"/>
      <c r="D1820" s="6"/>
      <c r="E1820" s="14"/>
      <c r="F1820" s="25"/>
      <c r="G1820" s="6"/>
      <c r="H1820" s="6"/>
      <c r="I1820" s="19"/>
      <c r="J1820" s="50"/>
      <c r="K1820" s="58"/>
      <c r="L1820" s="6" t="s">
        <v>655</v>
      </c>
      <c r="M1820" s="52" t="s">
        <v>655</v>
      </c>
      <c r="N1820" s="53" t="s">
        <v>655</v>
      </c>
      <c r="O1820" s="6"/>
      <c r="P1820" s="6"/>
      <c r="Q1820" s="6"/>
      <c r="R1820" s="6"/>
    </row>
    <row r="1821">
      <c r="A1821" s="31"/>
      <c r="B1821" s="14"/>
      <c r="C1821" s="14"/>
      <c r="D1821" s="6"/>
      <c r="E1821" s="14"/>
      <c r="F1821" s="25"/>
      <c r="G1821" s="6"/>
      <c r="H1821" s="6"/>
      <c r="I1821" s="19"/>
      <c r="J1821" s="50"/>
      <c r="K1821" s="58"/>
      <c r="L1821" s="6" t="s">
        <v>655</v>
      </c>
      <c r="M1821" s="52" t="s">
        <v>655</v>
      </c>
      <c r="N1821" s="53" t="s">
        <v>655</v>
      </c>
      <c r="O1821" s="6"/>
      <c r="P1821" s="6"/>
      <c r="Q1821" s="6"/>
      <c r="R1821" s="6"/>
    </row>
    <row r="1822">
      <c r="A1822" s="31"/>
      <c r="B1822" s="14"/>
      <c r="C1822" s="14"/>
      <c r="D1822" s="6"/>
      <c r="E1822" s="14"/>
      <c r="F1822" s="25"/>
      <c r="G1822" s="6"/>
      <c r="H1822" s="6"/>
      <c r="I1822" s="19"/>
      <c r="J1822" s="50"/>
      <c r="K1822" s="58"/>
      <c r="L1822" s="6" t="s">
        <v>655</v>
      </c>
      <c r="M1822" s="52" t="s">
        <v>655</v>
      </c>
      <c r="N1822" s="53" t="s">
        <v>655</v>
      </c>
      <c r="O1822" s="6"/>
      <c r="P1822" s="6"/>
      <c r="Q1822" s="6"/>
      <c r="R1822" s="6"/>
    </row>
    <row r="1823">
      <c r="A1823" s="31"/>
      <c r="B1823" s="14"/>
      <c r="C1823" s="14"/>
      <c r="D1823" s="6"/>
      <c r="E1823" s="14"/>
      <c r="F1823" s="25"/>
      <c r="G1823" s="6"/>
      <c r="H1823" s="6"/>
      <c r="I1823" s="19"/>
      <c r="J1823" s="50"/>
      <c r="K1823" s="58"/>
      <c r="L1823" s="6" t="s">
        <v>655</v>
      </c>
      <c r="M1823" s="52" t="s">
        <v>655</v>
      </c>
      <c r="N1823" s="53" t="s">
        <v>655</v>
      </c>
      <c r="O1823" s="6"/>
      <c r="P1823" s="6"/>
      <c r="Q1823" s="6"/>
      <c r="R1823" s="6"/>
    </row>
    <row r="1824">
      <c r="A1824" s="31"/>
      <c r="B1824" s="14"/>
      <c r="C1824" s="14"/>
      <c r="D1824" s="6"/>
      <c r="E1824" s="14"/>
      <c r="F1824" s="25"/>
      <c r="G1824" s="6"/>
      <c r="H1824" s="6"/>
      <c r="I1824" s="19"/>
      <c r="J1824" s="50"/>
      <c r="K1824" s="58"/>
      <c r="L1824" s="6" t="s">
        <v>655</v>
      </c>
      <c r="M1824" s="52" t="s">
        <v>655</v>
      </c>
      <c r="N1824" s="53" t="s">
        <v>655</v>
      </c>
      <c r="O1824" s="6"/>
      <c r="P1824" s="6"/>
      <c r="Q1824" s="6"/>
      <c r="R1824" s="6"/>
    </row>
    <row r="1825">
      <c r="A1825" s="31"/>
      <c r="B1825" s="14"/>
      <c r="C1825" s="14"/>
      <c r="D1825" s="6"/>
      <c r="E1825" s="14"/>
      <c r="F1825" s="25"/>
      <c r="G1825" s="6"/>
      <c r="H1825" s="6"/>
      <c r="I1825" s="19"/>
      <c r="J1825" s="50"/>
      <c r="K1825" s="58"/>
      <c r="L1825" s="6" t="s">
        <v>655</v>
      </c>
      <c r="M1825" s="52" t="s">
        <v>655</v>
      </c>
      <c r="N1825" s="53" t="s">
        <v>655</v>
      </c>
      <c r="O1825" s="6"/>
      <c r="P1825" s="6"/>
      <c r="Q1825" s="6"/>
      <c r="R1825" s="6"/>
    </row>
    <row r="1826">
      <c r="A1826" s="31"/>
      <c r="B1826" s="14"/>
      <c r="C1826" s="14"/>
      <c r="D1826" s="6"/>
      <c r="E1826" s="14"/>
      <c r="F1826" s="25"/>
      <c r="G1826" s="6"/>
      <c r="H1826" s="6"/>
      <c r="I1826" s="19"/>
      <c r="J1826" s="50"/>
      <c r="K1826" s="58"/>
      <c r="L1826" s="6" t="s">
        <v>655</v>
      </c>
      <c r="M1826" s="52" t="s">
        <v>655</v>
      </c>
      <c r="N1826" s="53" t="s">
        <v>655</v>
      </c>
      <c r="O1826" s="6"/>
      <c r="P1826" s="6"/>
      <c r="Q1826" s="6"/>
      <c r="R1826" s="6"/>
    </row>
    <row r="1827">
      <c r="A1827" s="31"/>
      <c r="B1827" s="14"/>
      <c r="C1827" s="14"/>
      <c r="D1827" s="6"/>
      <c r="E1827" s="14"/>
      <c r="F1827" s="25"/>
      <c r="G1827" s="6"/>
      <c r="H1827" s="6"/>
      <c r="I1827" s="19"/>
      <c r="J1827" s="50"/>
      <c r="K1827" s="58"/>
      <c r="L1827" s="6" t="s">
        <v>655</v>
      </c>
      <c r="M1827" s="52" t="s">
        <v>655</v>
      </c>
      <c r="N1827" s="53" t="s">
        <v>655</v>
      </c>
      <c r="O1827" s="6"/>
      <c r="P1827" s="6"/>
      <c r="Q1827" s="6"/>
      <c r="R1827" s="6"/>
    </row>
    <row r="1828">
      <c r="A1828" s="31"/>
      <c r="B1828" s="14"/>
      <c r="C1828" s="14"/>
      <c r="D1828" s="6"/>
      <c r="E1828" s="14"/>
      <c r="F1828" s="25"/>
      <c r="G1828" s="6"/>
      <c r="H1828" s="6"/>
      <c r="I1828" s="19"/>
      <c r="J1828" s="50"/>
      <c r="K1828" s="58"/>
      <c r="L1828" s="6" t="s">
        <v>655</v>
      </c>
      <c r="M1828" s="52" t="s">
        <v>655</v>
      </c>
      <c r="N1828" s="53" t="s">
        <v>655</v>
      </c>
      <c r="O1828" s="6"/>
      <c r="P1828" s="6"/>
      <c r="Q1828" s="6"/>
      <c r="R1828" s="6"/>
    </row>
    <row r="1829">
      <c r="A1829" s="31"/>
      <c r="B1829" s="14"/>
      <c r="C1829" s="14"/>
      <c r="D1829" s="6"/>
      <c r="E1829" s="14"/>
      <c r="F1829" s="25"/>
      <c r="G1829" s="6"/>
      <c r="H1829" s="6"/>
      <c r="I1829" s="19"/>
      <c r="J1829" s="50"/>
      <c r="K1829" s="58"/>
      <c r="L1829" s="6" t="s">
        <v>655</v>
      </c>
      <c r="M1829" s="52" t="s">
        <v>655</v>
      </c>
      <c r="N1829" s="53" t="s">
        <v>655</v>
      </c>
      <c r="O1829" s="6"/>
      <c r="P1829" s="6"/>
      <c r="Q1829" s="6"/>
      <c r="R1829" s="6"/>
    </row>
    <row r="1830">
      <c r="A1830" s="31"/>
      <c r="B1830" s="14"/>
      <c r="C1830" s="14"/>
      <c r="D1830" s="6"/>
      <c r="E1830" s="14"/>
      <c r="F1830" s="25"/>
      <c r="G1830" s="6"/>
      <c r="H1830" s="6"/>
      <c r="I1830" s="19"/>
      <c r="J1830" s="50"/>
      <c r="K1830" s="58"/>
      <c r="L1830" s="6" t="s">
        <v>655</v>
      </c>
      <c r="M1830" s="52" t="s">
        <v>655</v>
      </c>
      <c r="N1830" s="53" t="s">
        <v>655</v>
      </c>
      <c r="O1830" s="6"/>
      <c r="P1830" s="6"/>
      <c r="Q1830" s="6"/>
      <c r="R1830" s="6"/>
    </row>
    <row r="1831">
      <c r="A1831" s="31"/>
      <c r="B1831" s="14"/>
      <c r="C1831" s="14"/>
      <c r="D1831" s="6"/>
      <c r="E1831" s="14"/>
      <c r="F1831" s="25"/>
      <c r="G1831" s="6"/>
      <c r="H1831" s="6"/>
      <c r="I1831" s="19"/>
      <c r="J1831" s="50"/>
      <c r="K1831" s="58"/>
      <c r="L1831" s="6" t="s">
        <v>655</v>
      </c>
      <c r="M1831" s="52" t="s">
        <v>655</v>
      </c>
      <c r="N1831" s="53" t="s">
        <v>655</v>
      </c>
      <c r="O1831" s="6"/>
      <c r="P1831" s="6"/>
      <c r="Q1831" s="6"/>
      <c r="R1831" s="6"/>
    </row>
    <row r="1832">
      <c r="A1832" s="31"/>
      <c r="B1832" s="14"/>
      <c r="C1832" s="14"/>
      <c r="D1832" s="6"/>
      <c r="E1832" s="14"/>
      <c r="F1832" s="25"/>
      <c r="G1832" s="6"/>
      <c r="H1832" s="6"/>
      <c r="I1832" s="19"/>
      <c r="J1832" s="50"/>
      <c r="K1832" s="58"/>
      <c r="L1832" s="6" t="s">
        <v>655</v>
      </c>
      <c r="M1832" s="52" t="s">
        <v>655</v>
      </c>
      <c r="N1832" s="53" t="s">
        <v>655</v>
      </c>
      <c r="O1832" s="6"/>
      <c r="P1832" s="6"/>
      <c r="Q1832" s="6"/>
      <c r="R1832" s="6"/>
    </row>
    <row r="1833">
      <c r="A1833" s="31"/>
      <c r="B1833" s="14"/>
      <c r="C1833" s="14"/>
      <c r="D1833" s="6"/>
      <c r="E1833" s="14"/>
      <c r="F1833" s="25"/>
      <c r="G1833" s="6"/>
      <c r="H1833" s="6"/>
      <c r="I1833" s="19"/>
      <c r="J1833" s="50"/>
      <c r="K1833" s="58"/>
      <c r="L1833" s="6" t="s">
        <v>655</v>
      </c>
      <c r="M1833" s="52" t="s">
        <v>655</v>
      </c>
      <c r="N1833" s="53" t="s">
        <v>655</v>
      </c>
      <c r="O1833" s="6"/>
      <c r="P1833" s="6"/>
      <c r="Q1833" s="6"/>
      <c r="R1833" s="6"/>
    </row>
    <row r="1834">
      <c r="A1834" s="31"/>
      <c r="B1834" s="14"/>
      <c r="C1834" s="14"/>
      <c r="D1834" s="6"/>
      <c r="E1834" s="14"/>
      <c r="F1834" s="25"/>
      <c r="G1834" s="6"/>
      <c r="H1834" s="6"/>
      <c r="I1834" s="19"/>
      <c r="J1834" s="50"/>
      <c r="K1834" s="58"/>
      <c r="L1834" s="6" t="s">
        <v>655</v>
      </c>
      <c r="M1834" s="52" t="s">
        <v>655</v>
      </c>
      <c r="N1834" s="53" t="s">
        <v>655</v>
      </c>
      <c r="O1834" s="6"/>
      <c r="P1834" s="6"/>
      <c r="Q1834" s="6"/>
      <c r="R1834" s="6"/>
    </row>
    <row r="1835">
      <c r="A1835" s="31"/>
      <c r="B1835" s="14"/>
      <c r="C1835" s="14"/>
      <c r="D1835" s="6"/>
      <c r="E1835" s="14"/>
      <c r="F1835" s="25"/>
      <c r="G1835" s="6"/>
      <c r="H1835" s="6"/>
      <c r="I1835" s="19"/>
      <c r="J1835" s="50"/>
      <c r="K1835" s="58"/>
      <c r="L1835" s="6" t="s">
        <v>655</v>
      </c>
      <c r="M1835" s="52" t="s">
        <v>655</v>
      </c>
      <c r="N1835" s="53" t="s">
        <v>655</v>
      </c>
      <c r="O1835" s="6"/>
      <c r="P1835" s="6"/>
      <c r="Q1835" s="6"/>
      <c r="R1835" s="6"/>
    </row>
    <row r="1836">
      <c r="A1836" s="31"/>
      <c r="B1836" s="14"/>
      <c r="C1836" s="14"/>
      <c r="D1836" s="6"/>
      <c r="E1836" s="14"/>
      <c r="F1836" s="25"/>
      <c r="G1836" s="6"/>
      <c r="H1836" s="6"/>
      <c r="I1836" s="19"/>
      <c r="J1836" s="50"/>
      <c r="K1836" s="58"/>
      <c r="L1836" s="6" t="s">
        <v>655</v>
      </c>
      <c r="M1836" s="52" t="s">
        <v>655</v>
      </c>
      <c r="N1836" s="53" t="s">
        <v>655</v>
      </c>
      <c r="O1836" s="6"/>
      <c r="P1836" s="6"/>
      <c r="Q1836" s="6"/>
      <c r="R1836" s="6"/>
    </row>
    <row r="1837">
      <c r="A1837" s="31"/>
      <c r="B1837" s="14"/>
      <c r="C1837" s="14"/>
      <c r="D1837" s="6"/>
      <c r="E1837" s="14"/>
      <c r="F1837" s="25"/>
      <c r="G1837" s="6"/>
      <c r="H1837" s="6"/>
      <c r="I1837" s="19"/>
      <c r="J1837" s="50"/>
      <c r="K1837" s="58"/>
      <c r="L1837" s="6" t="s">
        <v>655</v>
      </c>
      <c r="M1837" s="52" t="s">
        <v>655</v>
      </c>
      <c r="N1837" s="53" t="s">
        <v>655</v>
      </c>
      <c r="O1837" s="6"/>
      <c r="P1837" s="6"/>
      <c r="Q1837" s="6"/>
      <c r="R1837" s="6"/>
    </row>
    <row r="1838">
      <c r="A1838" s="31"/>
      <c r="B1838" s="14"/>
      <c r="C1838" s="14"/>
      <c r="D1838" s="6"/>
      <c r="E1838" s="14"/>
      <c r="F1838" s="25"/>
      <c r="G1838" s="6"/>
      <c r="H1838" s="6"/>
      <c r="I1838" s="19"/>
      <c r="J1838" s="50"/>
      <c r="K1838" s="58"/>
      <c r="L1838" s="6" t="s">
        <v>655</v>
      </c>
      <c r="M1838" s="52" t="s">
        <v>655</v>
      </c>
      <c r="N1838" s="53" t="s">
        <v>655</v>
      </c>
      <c r="O1838" s="6"/>
      <c r="P1838" s="6"/>
      <c r="Q1838" s="6"/>
      <c r="R1838" s="6"/>
    </row>
    <row r="1839">
      <c r="A1839" s="31"/>
      <c r="B1839" s="14"/>
      <c r="C1839" s="14"/>
      <c r="D1839" s="6"/>
      <c r="E1839" s="14"/>
      <c r="F1839" s="25"/>
      <c r="G1839" s="6"/>
      <c r="H1839" s="6"/>
      <c r="I1839" s="19"/>
      <c r="J1839" s="50"/>
      <c r="K1839" s="58"/>
      <c r="L1839" s="6" t="s">
        <v>655</v>
      </c>
      <c r="M1839" s="52" t="s">
        <v>655</v>
      </c>
      <c r="N1839" s="53" t="s">
        <v>655</v>
      </c>
      <c r="O1839" s="6"/>
      <c r="P1839" s="6"/>
      <c r="Q1839" s="6"/>
      <c r="R1839" s="6"/>
    </row>
    <row r="1840">
      <c r="A1840" s="31"/>
      <c r="B1840" s="14"/>
      <c r="C1840" s="14"/>
      <c r="D1840" s="6"/>
      <c r="E1840" s="14"/>
      <c r="F1840" s="25"/>
      <c r="G1840" s="6"/>
      <c r="H1840" s="6"/>
      <c r="I1840" s="19"/>
      <c r="J1840" s="50"/>
      <c r="K1840" s="58"/>
      <c r="L1840" s="6" t="s">
        <v>655</v>
      </c>
      <c r="M1840" s="52" t="s">
        <v>655</v>
      </c>
      <c r="N1840" s="53" t="s">
        <v>655</v>
      </c>
      <c r="O1840" s="6"/>
      <c r="P1840" s="6"/>
      <c r="Q1840" s="6"/>
      <c r="R1840" s="6"/>
    </row>
    <row r="1841">
      <c r="A1841" s="31"/>
      <c r="B1841" s="14"/>
      <c r="C1841" s="14"/>
      <c r="D1841" s="6"/>
      <c r="E1841" s="14"/>
      <c r="F1841" s="25"/>
      <c r="G1841" s="6"/>
      <c r="H1841" s="6"/>
      <c r="I1841" s="19"/>
      <c r="J1841" s="50"/>
      <c r="K1841" s="58"/>
      <c r="L1841" s="6" t="s">
        <v>655</v>
      </c>
      <c r="M1841" s="52" t="s">
        <v>655</v>
      </c>
      <c r="N1841" s="53" t="s">
        <v>655</v>
      </c>
      <c r="O1841" s="6"/>
      <c r="P1841" s="6"/>
      <c r="Q1841" s="6"/>
      <c r="R1841" s="6"/>
    </row>
    <row r="1842">
      <c r="A1842" s="31"/>
      <c r="B1842" s="14"/>
      <c r="C1842" s="14"/>
      <c r="D1842" s="6"/>
      <c r="E1842" s="14"/>
      <c r="F1842" s="25"/>
      <c r="G1842" s="6"/>
      <c r="H1842" s="6"/>
      <c r="I1842" s="19"/>
      <c r="J1842" s="50"/>
      <c r="K1842" s="58"/>
      <c r="L1842" s="6" t="s">
        <v>655</v>
      </c>
      <c r="M1842" s="52" t="s">
        <v>655</v>
      </c>
      <c r="N1842" s="53" t="s">
        <v>655</v>
      </c>
      <c r="O1842" s="6"/>
      <c r="P1842" s="6"/>
      <c r="Q1842" s="6"/>
      <c r="R1842" s="6"/>
    </row>
    <row r="1843">
      <c r="A1843" s="31"/>
      <c r="B1843" s="14"/>
      <c r="C1843" s="14"/>
      <c r="D1843" s="6"/>
      <c r="E1843" s="14"/>
      <c r="F1843" s="25"/>
      <c r="G1843" s="6"/>
      <c r="H1843" s="6"/>
      <c r="I1843" s="19"/>
      <c r="J1843" s="50"/>
      <c r="K1843" s="58"/>
      <c r="L1843" s="6" t="s">
        <v>655</v>
      </c>
      <c r="M1843" s="52" t="s">
        <v>655</v>
      </c>
      <c r="N1843" s="53" t="s">
        <v>655</v>
      </c>
      <c r="O1843" s="6"/>
      <c r="P1843" s="6"/>
      <c r="Q1843" s="6"/>
      <c r="R1843" s="6"/>
    </row>
    <row r="1844">
      <c r="A1844" s="31"/>
      <c r="B1844" s="14"/>
      <c r="C1844" s="14"/>
      <c r="D1844" s="6"/>
      <c r="E1844" s="14"/>
      <c r="F1844" s="25"/>
      <c r="G1844" s="6"/>
      <c r="H1844" s="6"/>
      <c r="I1844" s="19"/>
      <c r="J1844" s="50"/>
      <c r="K1844" s="58"/>
      <c r="L1844" s="6" t="s">
        <v>655</v>
      </c>
      <c r="M1844" s="52" t="s">
        <v>655</v>
      </c>
      <c r="N1844" s="53" t="s">
        <v>655</v>
      </c>
      <c r="O1844" s="6"/>
      <c r="P1844" s="6"/>
      <c r="Q1844" s="6"/>
      <c r="R1844" s="6"/>
    </row>
    <row r="1845">
      <c r="A1845" s="31"/>
      <c r="B1845" s="14"/>
      <c r="C1845" s="14"/>
      <c r="D1845" s="6"/>
      <c r="E1845" s="14"/>
      <c r="F1845" s="25"/>
      <c r="G1845" s="6"/>
      <c r="H1845" s="6"/>
      <c r="I1845" s="19"/>
      <c r="J1845" s="50"/>
      <c r="K1845" s="58"/>
      <c r="L1845" s="6" t="s">
        <v>655</v>
      </c>
      <c r="M1845" s="52" t="s">
        <v>655</v>
      </c>
      <c r="N1845" s="53" t="s">
        <v>655</v>
      </c>
      <c r="O1845" s="6"/>
      <c r="P1845" s="6"/>
      <c r="Q1845" s="6"/>
      <c r="R1845" s="6"/>
    </row>
    <row r="1846">
      <c r="A1846" s="31"/>
      <c r="B1846" s="14"/>
      <c r="C1846" s="14"/>
      <c r="D1846" s="6"/>
      <c r="E1846" s="14"/>
      <c r="F1846" s="25"/>
      <c r="G1846" s="6"/>
      <c r="H1846" s="6"/>
      <c r="I1846" s="19"/>
      <c r="J1846" s="50"/>
      <c r="K1846" s="58"/>
      <c r="L1846" s="6" t="s">
        <v>655</v>
      </c>
      <c r="M1846" s="52" t="s">
        <v>655</v>
      </c>
      <c r="N1846" s="53" t="s">
        <v>655</v>
      </c>
      <c r="O1846" s="6"/>
      <c r="P1846" s="6"/>
      <c r="Q1846" s="6"/>
      <c r="R1846" s="6"/>
    </row>
    <row r="1847">
      <c r="A1847" s="31"/>
      <c r="B1847" s="14"/>
      <c r="C1847" s="14"/>
      <c r="D1847" s="6"/>
      <c r="E1847" s="14"/>
      <c r="F1847" s="25"/>
      <c r="G1847" s="6"/>
      <c r="H1847" s="6"/>
      <c r="I1847" s="19"/>
      <c r="J1847" s="50"/>
      <c r="K1847" s="58"/>
      <c r="L1847" s="6" t="s">
        <v>655</v>
      </c>
      <c r="M1847" s="52" t="s">
        <v>655</v>
      </c>
      <c r="N1847" s="53" t="s">
        <v>655</v>
      </c>
      <c r="O1847" s="6"/>
      <c r="P1847" s="6"/>
      <c r="Q1847" s="6"/>
      <c r="R1847" s="6"/>
    </row>
    <row r="1848">
      <c r="A1848" s="31"/>
      <c r="B1848" s="14"/>
      <c r="C1848" s="14"/>
      <c r="D1848" s="6"/>
      <c r="E1848" s="14"/>
      <c r="F1848" s="25"/>
      <c r="G1848" s="6"/>
      <c r="H1848" s="6"/>
      <c r="I1848" s="19"/>
      <c r="J1848" s="50"/>
      <c r="K1848" s="58"/>
      <c r="L1848" s="6" t="s">
        <v>655</v>
      </c>
      <c r="M1848" s="52" t="s">
        <v>655</v>
      </c>
      <c r="N1848" s="53" t="s">
        <v>655</v>
      </c>
      <c r="O1848" s="6"/>
      <c r="P1848" s="6"/>
      <c r="Q1848" s="6"/>
      <c r="R1848" s="6"/>
    </row>
    <row r="1849">
      <c r="A1849" s="31"/>
      <c r="B1849" s="14"/>
      <c r="C1849" s="14"/>
      <c r="D1849" s="6"/>
      <c r="E1849" s="14"/>
      <c r="F1849" s="25"/>
      <c r="G1849" s="6"/>
      <c r="H1849" s="6"/>
      <c r="I1849" s="19"/>
      <c r="J1849" s="50"/>
      <c r="K1849" s="58"/>
      <c r="L1849" s="6" t="s">
        <v>655</v>
      </c>
      <c r="M1849" s="52" t="s">
        <v>655</v>
      </c>
      <c r="N1849" s="53" t="s">
        <v>655</v>
      </c>
      <c r="O1849" s="6"/>
      <c r="P1849" s="6"/>
      <c r="Q1849" s="6"/>
      <c r="R1849" s="6"/>
    </row>
    <row r="1850">
      <c r="A1850" s="31"/>
      <c r="B1850" s="14"/>
      <c r="C1850" s="14"/>
      <c r="D1850" s="6"/>
      <c r="E1850" s="14"/>
      <c r="F1850" s="25"/>
      <c r="G1850" s="6"/>
      <c r="H1850" s="6"/>
      <c r="I1850" s="19"/>
      <c r="J1850" s="50"/>
      <c r="K1850" s="58"/>
      <c r="L1850" s="6" t="s">
        <v>655</v>
      </c>
      <c r="M1850" s="52" t="s">
        <v>655</v>
      </c>
      <c r="N1850" s="53" t="s">
        <v>655</v>
      </c>
      <c r="O1850" s="6"/>
      <c r="P1850" s="6"/>
      <c r="Q1850" s="6"/>
      <c r="R1850" s="6"/>
    </row>
    <row r="1851">
      <c r="A1851" s="31"/>
      <c r="B1851" s="14"/>
      <c r="C1851" s="14"/>
      <c r="D1851" s="6"/>
      <c r="E1851" s="14"/>
      <c r="F1851" s="25"/>
      <c r="G1851" s="6"/>
      <c r="H1851" s="6"/>
      <c r="I1851" s="19"/>
      <c r="J1851" s="50"/>
      <c r="K1851" s="58"/>
      <c r="L1851" s="6" t="s">
        <v>655</v>
      </c>
      <c r="M1851" s="52" t="s">
        <v>655</v>
      </c>
      <c r="N1851" s="53" t="s">
        <v>655</v>
      </c>
      <c r="O1851" s="6"/>
      <c r="P1851" s="6"/>
      <c r="Q1851" s="6"/>
      <c r="R1851" s="6"/>
    </row>
    <row r="1852">
      <c r="A1852" s="31"/>
      <c r="B1852" s="14"/>
      <c r="C1852" s="14"/>
      <c r="D1852" s="6"/>
      <c r="E1852" s="14"/>
      <c r="F1852" s="25"/>
      <c r="G1852" s="6"/>
      <c r="H1852" s="6"/>
      <c r="I1852" s="19"/>
      <c r="J1852" s="50"/>
      <c r="K1852" s="58"/>
      <c r="L1852" s="6" t="s">
        <v>655</v>
      </c>
      <c r="M1852" s="52" t="s">
        <v>655</v>
      </c>
      <c r="N1852" s="53" t="s">
        <v>655</v>
      </c>
      <c r="O1852" s="6"/>
      <c r="P1852" s="6"/>
      <c r="Q1852" s="6"/>
      <c r="R1852" s="6"/>
    </row>
    <row r="1853">
      <c r="A1853" s="31"/>
      <c r="B1853" s="14"/>
      <c r="C1853" s="14"/>
      <c r="D1853" s="6"/>
      <c r="E1853" s="14"/>
      <c r="F1853" s="25"/>
      <c r="G1853" s="6"/>
      <c r="H1853" s="6"/>
      <c r="I1853" s="19"/>
      <c r="J1853" s="50"/>
      <c r="K1853" s="58"/>
      <c r="L1853" s="6" t="s">
        <v>655</v>
      </c>
      <c r="M1853" s="52" t="s">
        <v>655</v>
      </c>
      <c r="N1853" s="53" t="s">
        <v>655</v>
      </c>
      <c r="O1853" s="6"/>
      <c r="P1853" s="6"/>
      <c r="Q1853" s="6"/>
      <c r="R1853" s="6"/>
    </row>
    <row r="1854">
      <c r="A1854" s="31"/>
      <c r="B1854" s="14"/>
      <c r="C1854" s="14"/>
      <c r="D1854" s="6"/>
      <c r="E1854" s="14"/>
      <c r="F1854" s="25"/>
      <c r="G1854" s="6"/>
      <c r="H1854" s="6"/>
      <c r="I1854" s="19"/>
      <c r="J1854" s="50"/>
      <c r="K1854" s="58"/>
      <c r="L1854" s="6" t="s">
        <v>655</v>
      </c>
      <c r="M1854" s="52" t="s">
        <v>655</v>
      </c>
      <c r="N1854" s="53" t="s">
        <v>655</v>
      </c>
      <c r="O1854" s="6"/>
      <c r="P1854" s="6"/>
      <c r="Q1854" s="6"/>
      <c r="R1854" s="6"/>
    </row>
    <row r="1855">
      <c r="A1855" s="31"/>
      <c r="B1855" s="14"/>
      <c r="C1855" s="14"/>
      <c r="D1855" s="6"/>
      <c r="E1855" s="14"/>
      <c r="F1855" s="25"/>
      <c r="G1855" s="6"/>
      <c r="H1855" s="6"/>
      <c r="I1855" s="19"/>
      <c r="J1855" s="50"/>
      <c r="K1855" s="58"/>
      <c r="L1855" s="6" t="s">
        <v>655</v>
      </c>
      <c r="M1855" s="52" t="s">
        <v>655</v>
      </c>
      <c r="N1855" s="53" t="s">
        <v>655</v>
      </c>
      <c r="O1855" s="6"/>
      <c r="P1855" s="6"/>
      <c r="Q1855" s="6"/>
      <c r="R1855" s="6"/>
    </row>
    <row r="1856">
      <c r="A1856" s="31"/>
      <c r="B1856" s="14"/>
      <c r="C1856" s="14"/>
      <c r="D1856" s="6"/>
      <c r="E1856" s="14"/>
      <c r="F1856" s="25"/>
      <c r="G1856" s="6"/>
      <c r="H1856" s="6"/>
      <c r="I1856" s="19"/>
      <c r="J1856" s="50"/>
      <c r="K1856" s="58"/>
      <c r="L1856" s="6" t="s">
        <v>655</v>
      </c>
      <c r="M1856" s="52" t="s">
        <v>655</v>
      </c>
      <c r="N1856" s="53" t="s">
        <v>655</v>
      </c>
      <c r="O1856" s="6"/>
      <c r="P1856" s="6"/>
      <c r="Q1856" s="6"/>
      <c r="R1856" s="6"/>
    </row>
    <row r="1857">
      <c r="A1857" s="31"/>
      <c r="B1857" s="14"/>
      <c r="C1857" s="14"/>
      <c r="D1857" s="6"/>
      <c r="E1857" s="14"/>
      <c r="F1857" s="25"/>
      <c r="G1857" s="6"/>
      <c r="H1857" s="6"/>
      <c r="I1857" s="19"/>
      <c r="J1857" s="50"/>
      <c r="K1857" s="58"/>
      <c r="L1857" s="6" t="s">
        <v>655</v>
      </c>
      <c r="M1857" s="52" t="s">
        <v>655</v>
      </c>
      <c r="N1857" s="53" t="s">
        <v>655</v>
      </c>
      <c r="O1857" s="6"/>
      <c r="P1857" s="6"/>
      <c r="Q1857" s="6"/>
      <c r="R1857" s="6"/>
    </row>
    <row r="1858">
      <c r="A1858" s="31"/>
      <c r="B1858" s="14"/>
      <c r="C1858" s="14"/>
      <c r="D1858" s="6"/>
      <c r="E1858" s="14"/>
      <c r="F1858" s="25"/>
      <c r="G1858" s="6"/>
      <c r="H1858" s="6"/>
      <c r="I1858" s="19"/>
      <c r="J1858" s="50"/>
      <c r="K1858" s="58"/>
      <c r="L1858" s="6" t="s">
        <v>655</v>
      </c>
      <c r="M1858" s="52" t="s">
        <v>655</v>
      </c>
      <c r="N1858" s="53" t="s">
        <v>655</v>
      </c>
      <c r="O1858" s="6"/>
      <c r="P1858" s="6"/>
      <c r="Q1858" s="6"/>
      <c r="R1858" s="6"/>
    </row>
    <row r="1859">
      <c r="A1859" s="31"/>
      <c r="B1859" s="14"/>
      <c r="C1859" s="14"/>
      <c r="D1859" s="6"/>
      <c r="E1859" s="14"/>
      <c r="F1859" s="25"/>
      <c r="G1859" s="6"/>
      <c r="H1859" s="6"/>
      <c r="I1859" s="19"/>
      <c r="J1859" s="50"/>
      <c r="K1859" s="58"/>
      <c r="L1859" s="6" t="s">
        <v>655</v>
      </c>
      <c r="M1859" s="52" t="s">
        <v>655</v>
      </c>
      <c r="N1859" s="53" t="s">
        <v>655</v>
      </c>
      <c r="O1859" s="6"/>
      <c r="P1859" s="6"/>
      <c r="Q1859" s="6"/>
      <c r="R1859" s="6"/>
    </row>
    <row r="1860">
      <c r="A1860" s="31"/>
      <c r="B1860" s="14"/>
      <c r="C1860" s="14"/>
      <c r="D1860" s="6"/>
      <c r="E1860" s="14"/>
      <c r="F1860" s="25"/>
      <c r="G1860" s="6"/>
      <c r="H1860" s="6"/>
      <c r="I1860" s="19"/>
      <c r="J1860" s="50"/>
      <c r="K1860" s="58"/>
      <c r="L1860" s="6" t="s">
        <v>655</v>
      </c>
      <c r="M1860" s="52" t="s">
        <v>655</v>
      </c>
      <c r="N1860" s="53" t="s">
        <v>655</v>
      </c>
      <c r="O1860" s="6"/>
      <c r="P1860" s="6"/>
      <c r="Q1860" s="6"/>
      <c r="R1860" s="6"/>
    </row>
    <row r="1861">
      <c r="A1861" s="31"/>
      <c r="B1861" s="14"/>
      <c r="C1861" s="14"/>
      <c r="D1861" s="6"/>
      <c r="E1861" s="14"/>
      <c r="F1861" s="25"/>
      <c r="G1861" s="6"/>
      <c r="H1861" s="6"/>
      <c r="I1861" s="19"/>
      <c r="J1861" s="50"/>
      <c r="K1861" s="58"/>
      <c r="L1861" s="6" t="s">
        <v>655</v>
      </c>
      <c r="M1861" s="52" t="s">
        <v>655</v>
      </c>
      <c r="N1861" s="53" t="s">
        <v>655</v>
      </c>
      <c r="O1861" s="6"/>
      <c r="P1861" s="6"/>
      <c r="Q1861" s="6"/>
      <c r="R1861" s="6"/>
    </row>
    <row r="1862">
      <c r="A1862" s="31"/>
      <c r="B1862" s="14"/>
      <c r="C1862" s="14"/>
      <c r="D1862" s="6"/>
      <c r="E1862" s="14"/>
      <c r="F1862" s="25"/>
      <c r="G1862" s="6"/>
      <c r="H1862" s="6"/>
      <c r="I1862" s="19"/>
      <c r="J1862" s="50"/>
      <c r="K1862" s="58"/>
      <c r="L1862" s="6" t="s">
        <v>655</v>
      </c>
      <c r="M1862" s="52" t="s">
        <v>655</v>
      </c>
      <c r="N1862" s="53" t="s">
        <v>655</v>
      </c>
      <c r="O1862" s="6"/>
      <c r="P1862" s="6"/>
      <c r="Q1862" s="6"/>
      <c r="R1862" s="6"/>
    </row>
    <row r="1863">
      <c r="A1863" s="31"/>
      <c r="B1863" s="14"/>
      <c r="C1863" s="14"/>
      <c r="D1863" s="6"/>
      <c r="E1863" s="14"/>
      <c r="F1863" s="25"/>
      <c r="G1863" s="6"/>
      <c r="H1863" s="6"/>
      <c r="I1863" s="19"/>
      <c r="J1863" s="50"/>
      <c r="K1863" s="58"/>
      <c r="L1863" s="6" t="s">
        <v>655</v>
      </c>
      <c r="M1863" s="52" t="s">
        <v>655</v>
      </c>
      <c r="N1863" s="53" t="s">
        <v>655</v>
      </c>
      <c r="O1863" s="6"/>
      <c r="P1863" s="6"/>
      <c r="Q1863" s="6"/>
      <c r="R1863" s="6"/>
    </row>
    <row r="1864">
      <c r="A1864" s="31"/>
      <c r="B1864" s="14"/>
      <c r="C1864" s="14"/>
      <c r="D1864" s="6"/>
      <c r="E1864" s="14"/>
      <c r="F1864" s="25"/>
      <c r="G1864" s="6"/>
      <c r="H1864" s="6"/>
      <c r="I1864" s="19"/>
      <c r="J1864" s="50"/>
      <c r="K1864" s="58"/>
      <c r="L1864" s="6" t="s">
        <v>655</v>
      </c>
      <c r="M1864" s="52" t="s">
        <v>655</v>
      </c>
      <c r="N1864" s="53" t="s">
        <v>655</v>
      </c>
      <c r="O1864" s="6"/>
      <c r="P1864" s="6"/>
      <c r="Q1864" s="6"/>
      <c r="R1864" s="6"/>
    </row>
    <row r="1865">
      <c r="A1865" s="31"/>
      <c r="B1865" s="14"/>
      <c r="C1865" s="14"/>
      <c r="D1865" s="6"/>
      <c r="E1865" s="14"/>
      <c r="F1865" s="25"/>
      <c r="G1865" s="6"/>
      <c r="H1865" s="6"/>
      <c r="I1865" s="19"/>
      <c r="J1865" s="50"/>
      <c r="K1865" s="58"/>
      <c r="L1865" s="6" t="s">
        <v>655</v>
      </c>
      <c r="M1865" s="52" t="s">
        <v>655</v>
      </c>
      <c r="N1865" s="53" t="s">
        <v>655</v>
      </c>
      <c r="O1865" s="6"/>
      <c r="P1865" s="6"/>
      <c r="Q1865" s="6"/>
      <c r="R1865" s="6"/>
    </row>
    <row r="1866">
      <c r="A1866" s="31"/>
      <c r="B1866" s="14"/>
      <c r="C1866" s="14"/>
      <c r="D1866" s="6"/>
      <c r="E1866" s="14"/>
      <c r="F1866" s="25"/>
      <c r="G1866" s="6"/>
      <c r="H1866" s="6"/>
      <c r="I1866" s="19"/>
      <c r="J1866" s="50"/>
      <c r="K1866" s="58"/>
      <c r="L1866" s="6" t="s">
        <v>655</v>
      </c>
      <c r="M1866" s="52" t="s">
        <v>655</v>
      </c>
      <c r="N1866" s="53" t="s">
        <v>655</v>
      </c>
      <c r="O1866" s="6"/>
      <c r="P1866" s="6"/>
      <c r="Q1866" s="6"/>
      <c r="R1866" s="6"/>
    </row>
    <row r="1867">
      <c r="A1867" s="31"/>
      <c r="B1867" s="14"/>
      <c r="C1867" s="14"/>
      <c r="D1867" s="6"/>
      <c r="E1867" s="14"/>
      <c r="F1867" s="25"/>
      <c r="G1867" s="6"/>
      <c r="H1867" s="6"/>
      <c r="I1867" s="19"/>
      <c r="J1867" s="50"/>
      <c r="K1867" s="58"/>
      <c r="L1867" s="6" t="s">
        <v>655</v>
      </c>
      <c r="M1867" s="52" t="s">
        <v>655</v>
      </c>
      <c r="N1867" s="53" t="s">
        <v>655</v>
      </c>
      <c r="O1867" s="6"/>
      <c r="P1867" s="6"/>
      <c r="Q1867" s="6"/>
      <c r="R1867" s="6"/>
    </row>
    <row r="1868">
      <c r="A1868" s="31"/>
      <c r="B1868" s="14"/>
      <c r="C1868" s="14"/>
      <c r="D1868" s="6"/>
      <c r="E1868" s="14"/>
      <c r="F1868" s="25"/>
      <c r="G1868" s="6"/>
      <c r="H1868" s="6"/>
      <c r="I1868" s="19"/>
      <c r="J1868" s="50"/>
      <c r="K1868" s="58"/>
      <c r="L1868" s="6" t="s">
        <v>655</v>
      </c>
      <c r="M1868" s="52" t="s">
        <v>655</v>
      </c>
      <c r="N1868" s="53" t="s">
        <v>655</v>
      </c>
      <c r="O1868" s="6"/>
      <c r="P1868" s="6"/>
      <c r="Q1868" s="6"/>
      <c r="R1868" s="6"/>
    </row>
    <row r="1869">
      <c r="A1869" s="31"/>
      <c r="B1869" s="14"/>
      <c r="C1869" s="14"/>
      <c r="D1869" s="6"/>
      <c r="E1869" s="14"/>
      <c r="F1869" s="25"/>
      <c r="G1869" s="6"/>
      <c r="H1869" s="6"/>
      <c r="I1869" s="19"/>
      <c r="J1869" s="50"/>
      <c r="K1869" s="58"/>
      <c r="L1869" s="6" t="s">
        <v>655</v>
      </c>
      <c r="M1869" s="52" t="s">
        <v>655</v>
      </c>
      <c r="N1869" s="53" t="s">
        <v>655</v>
      </c>
      <c r="O1869" s="6"/>
      <c r="P1869" s="6"/>
      <c r="Q1869" s="6"/>
      <c r="R1869" s="6"/>
    </row>
    <row r="1870">
      <c r="A1870" s="31"/>
      <c r="B1870" s="14"/>
      <c r="C1870" s="14"/>
      <c r="D1870" s="6"/>
      <c r="E1870" s="14"/>
      <c r="F1870" s="25"/>
      <c r="G1870" s="6"/>
      <c r="H1870" s="6"/>
      <c r="I1870" s="19"/>
      <c r="J1870" s="50"/>
      <c r="K1870" s="58"/>
      <c r="L1870" s="6" t="s">
        <v>655</v>
      </c>
      <c r="M1870" s="52" t="s">
        <v>655</v>
      </c>
      <c r="N1870" s="53" t="s">
        <v>655</v>
      </c>
      <c r="O1870" s="6"/>
      <c r="P1870" s="6"/>
      <c r="Q1870" s="6"/>
      <c r="R1870" s="6"/>
    </row>
    <row r="1871">
      <c r="A1871" s="31"/>
      <c r="B1871" s="14"/>
      <c r="C1871" s="14"/>
      <c r="D1871" s="6"/>
      <c r="E1871" s="14"/>
      <c r="F1871" s="25"/>
      <c r="G1871" s="6"/>
      <c r="H1871" s="6"/>
      <c r="I1871" s="19"/>
      <c r="J1871" s="50"/>
      <c r="K1871" s="58"/>
      <c r="L1871" s="6" t="s">
        <v>655</v>
      </c>
      <c r="M1871" s="52" t="s">
        <v>655</v>
      </c>
      <c r="N1871" s="53" t="s">
        <v>655</v>
      </c>
      <c r="O1871" s="6"/>
      <c r="P1871" s="6"/>
      <c r="Q1871" s="6"/>
      <c r="R1871" s="6"/>
    </row>
    <row r="1872">
      <c r="A1872" s="31"/>
      <c r="B1872" s="14"/>
      <c r="C1872" s="14"/>
      <c r="D1872" s="6"/>
      <c r="E1872" s="14"/>
      <c r="F1872" s="25"/>
      <c r="G1872" s="6"/>
      <c r="H1872" s="6"/>
      <c r="I1872" s="19"/>
      <c r="J1872" s="50"/>
      <c r="K1872" s="58"/>
      <c r="L1872" s="6" t="s">
        <v>655</v>
      </c>
      <c r="M1872" s="52" t="s">
        <v>655</v>
      </c>
      <c r="N1872" s="53" t="s">
        <v>655</v>
      </c>
      <c r="O1872" s="6"/>
      <c r="P1872" s="6"/>
      <c r="Q1872" s="6"/>
      <c r="R1872" s="6"/>
    </row>
    <row r="1873">
      <c r="A1873" s="31"/>
      <c r="B1873" s="14"/>
      <c r="C1873" s="14"/>
      <c r="D1873" s="6"/>
      <c r="E1873" s="14"/>
      <c r="F1873" s="25"/>
      <c r="G1873" s="6"/>
      <c r="H1873" s="6"/>
      <c r="I1873" s="19"/>
      <c r="J1873" s="50"/>
      <c r="K1873" s="58"/>
      <c r="L1873" s="6" t="s">
        <v>655</v>
      </c>
      <c r="M1873" s="52" t="s">
        <v>655</v>
      </c>
      <c r="N1873" s="53" t="s">
        <v>655</v>
      </c>
      <c r="O1873" s="6"/>
      <c r="P1873" s="6"/>
      <c r="Q1873" s="6"/>
      <c r="R1873" s="6"/>
    </row>
    <row r="1874">
      <c r="A1874" s="31"/>
      <c r="B1874" s="14"/>
      <c r="C1874" s="14"/>
      <c r="D1874" s="6"/>
      <c r="E1874" s="14"/>
      <c r="F1874" s="25"/>
      <c r="G1874" s="6"/>
      <c r="H1874" s="6"/>
      <c r="I1874" s="19"/>
      <c r="J1874" s="50"/>
      <c r="K1874" s="58"/>
      <c r="L1874" s="6" t="s">
        <v>655</v>
      </c>
      <c r="M1874" s="52" t="s">
        <v>655</v>
      </c>
      <c r="N1874" s="53" t="s">
        <v>655</v>
      </c>
      <c r="O1874" s="6"/>
      <c r="P1874" s="6"/>
      <c r="Q1874" s="6"/>
      <c r="R1874" s="6"/>
    </row>
    <row r="1875">
      <c r="A1875" s="31"/>
      <c r="B1875" s="14"/>
      <c r="C1875" s="14"/>
      <c r="D1875" s="6"/>
      <c r="E1875" s="14"/>
      <c r="F1875" s="25"/>
      <c r="G1875" s="6"/>
      <c r="H1875" s="6"/>
      <c r="I1875" s="19"/>
      <c r="J1875" s="50"/>
      <c r="K1875" s="58"/>
      <c r="L1875" s="6" t="s">
        <v>655</v>
      </c>
      <c r="M1875" s="52" t="s">
        <v>655</v>
      </c>
      <c r="N1875" s="53" t="s">
        <v>655</v>
      </c>
      <c r="O1875" s="6"/>
      <c r="P1875" s="6"/>
      <c r="Q1875" s="6"/>
      <c r="R1875" s="6"/>
    </row>
    <row r="1876">
      <c r="A1876" s="31"/>
      <c r="B1876" s="14"/>
      <c r="C1876" s="14"/>
      <c r="D1876" s="6"/>
      <c r="E1876" s="14"/>
      <c r="F1876" s="25"/>
      <c r="G1876" s="6"/>
      <c r="H1876" s="6"/>
      <c r="I1876" s="19"/>
      <c r="J1876" s="50"/>
      <c r="K1876" s="58"/>
      <c r="L1876" s="6" t="s">
        <v>655</v>
      </c>
      <c r="M1876" s="52" t="s">
        <v>655</v>
      </c>
      <c r="N1876" s="53" t="s">
        <v>655</v>
      </c>
      <c r="O1876" s="6"/>
      <c r="P1876" s="6"/>
      <c r="Q1876" s="6"/>
      <c r="R1876" s="6"/>
    </row>
    <row r="1877">
      <c r="A1877" s="31"/>
      <c r="B1877" s="14"/>
      <c r="C1877" s="14"/>
      <c r="D1877" s="6"/>
      <c r="E1877" s="14"/>
      <c r="F1877" s="25"/>
      <c r="G1877" s="6"/>
      <c r="H1877" s="6"/>
      <c r="I1877" s="19"/>
      <c r="J1877" s="50"/>
      <c r="K1877" s="58"/>
      <c r="L1877" s="6" t="s">
        <v>655</v>
      </c>
      <c r="M1877" s="52" t="s">
        <v>655</v>
      </c>
      <c r="N1877" s="53" t="s">
        <v>655</v>
      </c>
      <c r="O1877" s="6"/>
      <c r="P1877" s="6"/>
      <c r="Q1877" s="6"/>
      <c r="R1877" s="6"/>
    </row>
    <row r="1878">
      <c r="A1878" s="31"/>
      <c r="B1878" s="14"/>
      <c r="C1878" s="14"/>
      <c r="D1878" s="6"/>
      <c r="E1878" s="14"/>
      <c r="F1878" s="25"/>
      <c r="G1878" s="6"/>
      <c r="H1878" s="6"/>
      <c r="I1878" s="19"/>
      <c r="J1878" s="50"/>
      <c r="K1878" s="58"/>
      <c r="L1878" s="6" t="s">
        <v>655</v>
      </c>
      <c r="M1878" s="52" t="s">
        <v>655</v>
      </c>
      <c r="N1878" s="53" t="s">
        <v>655</v>
      </c>
      <c r="O1878" s="6"/>
      <c r="P1878" s="6"/>
      <c r="Q1878" s="6"/>
      <c r="R1878" s="6"/>
    </row>
    <row r="1879">
      <c r="A1879" s="31"/>
      <c r="B1879" s="14"/>
      <c r="C1879" s="14"/>
      <c r="D1879" s="6"/>
      <c r="E1879" s="14"/>
      <c r="F1879" s="25"/>
      <c r="G1879" s="6"/>
      <c r="H1879" s="6"/>
      <c r="I1879" s="19"/>
      <c r="J1879" s="50"/>
      <c r="K1879" s="58"/>
      <c r="L1879" s="6" t="s">
        <v>655</v>
      </c>
      <c r="M1879" s="52" t="s">
        <v>655</v>
      </c>
      <c r="N1879" s="53" t="s">
        <v>655</v>
      </c>
      <c r="O1879" s="6"/>
      <c r="P1879" s="6"/>
      <c r="Q1879" s="6"/>
      <c r="R1879" s="6"/>
    </row>
    <row r="1880">
      <c r="A1880" s="31"/>
      <c r="B1880" s="14"/>
      <c r="C1880" s="14"/>
      <c r="D1880" s="6"/>
      <c r="E1880" s="14"/>
      <c r="F1880" s="25"/>
      <c r="G1880" s="6"/>
      <c r="H1880" s="6"/>
      <c r="I1880" s="19"/>
      <c r="J1880" s="50"/>
      <c r="K1880" s="58"/>
      <c r="L1880" s="6" t="s">
        <v>655</v>
      </c>
      <c r="M1880" s="52" t="s">
        <v>655</v>
      </c>
      <c r="N1880" s="53" t="s">
        <v>655</v>
      </c>
      <c r="O1880" s="6"/>
      <c r="P1880" s="6"/>
      <c r="Q1880" s="6"/>
      <c r="R1880" s="6"/>
    </row>
    <row r="1881">
      <c r="A1881" s="31"/>
      <c r="B1881" s="14"/>
      <c r="C1881" s="14"/>
      <c r="D1881" s="6"/>
      <c r="E1881" s="14"/>
      <c r="F1881" s="25"/>
      <c r="G1881" s="6"/>
      <c r="H1881" s="6"/>
      <c r="I1881" s="19"/>
      <c r="J1881" s="50"/>
      <c r="K1881" s="58"/>
      <c r="L1881" s="6" t="s">
        <v>655</v>
      </c>
      <c r="M1881" s="52" t="s">
        <v>655</v>
      </c>
      <c r="N1881" s="53" t="s">
        <v>655</v>
      </c>
      <c r="O1881" s="6"/>
      <c r="P1881" s="6"/>
      <c r="Q1881" s="6"/>
      <c r="R1881" s="6"/>
    </row>
    <row r="1882">
      <c r="A1882" s="31"/>
      <c r="B1882" s="14"/>
      <c r="C1882" s="14"/>
      <c r="D1882" s="6"/>
      <c r="E1882" s="14"/>
      <c r="F1882" s="25"/>
      <c r="G1882" s="6"/>
      <c r="H1882" s="6"/>
      <c r="I1882" s="19"/>
      <c r="J1882" s="50"/>
      <c r="K1882" s="58"/>
      <c r="L1882" s="6" t="s">
        <v>655</v>
      </c>
      <c r="M1882" s="52" t="s">
        <v>655</v>
      </c>
      <c r="N1882" s="53" t="s">
        <v>655</v>
      </c>
      <c r="O1882" s="6"/>
      <c r="P1882" s="6"/>
      <c r="Q1882" s="6"/>
      <c r="R1882" s="6"/>
    </row>
    <row r="1883">
      <c r="A1883" s="31"/>
      <c r="B1883" s="14"/>
      <c r="C1883" s="14"/>
      <c r="D1883" s="6"/>
      <c r="E1883" s="14"/>
      <c r="F1883" s="25"/>
      <c r="G1883" s="6"/>
      <c r="H1883" s="6"/>
      <c r="I1883" s="19"/>
      <c r="J1883" s="50"/>
      <c r="K1883" s="58"/>
      <c r="L1883" s="6" t="s">
        <v>655</v>
      </c>
      <c r="M1883" s="52" t="s">
        <v>655</v>
      </c>
      <c r="N1883" s="53" t="s">
        <v>655</v>
      </c>
      <c r="O1883" s="6"/>
      <c r="P1883" s="6"/>
      <c r="Q1883" s="6"/>
      <c r="R1883" s="6"/>
    </row>
    <row r="1884">
      <c r="A1884" s="31"/>
      <c r="B1884" s="14"/>
      <c r="C1884" s="14"/>
      <c r="D1884" s="6"/>
      <c r="E1884" s="14"/>
      <c r="F1884" s="25"/>
      <c r="G1884" s="6"/>
      <c r="H1884" s="6"/>
      <c r="I1884" s="19"/>
      <c r="J1884" s="50"/>
      <c r="K1884" s="58"/>
      <c r="L1884" s="6" t="s">
        <v>655</v>
      </c>
      <c r="M1884" s="52" t="s">
        <v>655</v>
      </c>
      <c r="N1884" s="53" t="s">
        <v>655</v>
      </c>
      <c r="O1884" s="6"/>
      <c r="P1884" s="6"/>
      <c r="Q1884" s="6"/>
      <c r="R1884" s="6"/>
    </row>
    <row r="1885">
      <c r="A1885" s="31"/>
      <c r="B1885" s="14"/>
      <c r="C1885" s="14"/>
      <c r="D1885" s="6"/>
      <c r="E1885" s="14"/>
      <c r="F1885" s="25"/>
      <c r="G1885" s="6"/>
      <c r="H1885" s="6"/>
      <c r="I1885" s="19"/>
      <c r="J1885" s="50"/>
      <c r="K1885" s="58"/>
      <c r="L1885" s="6" t="s">
        <v>655</v>
      </c>
      <c r="M1885" s="52" t="s">
        <v>655</v>
      </c>
      <c r="N1885" s="53" t="s">
        <v>655</v>
      </c>
      <c r="O1885" s="6"/>
      <c r="P1885" s="6"/>
      <c r="Q1885" s="6"/>
      <c r="R1885" s="6"/>
    </row>
    <row r="1886">
      <c r="A1886" s="31"/>
      <c r="B1886" s="14"/>
      <c r="C1886" s="14"/>
      <c r="D1886" s="6"/>
      <c r="E1886" s="14"/>
      <c r="F1886" s="25"/>
      <c r="G1886" s="6"/>
      <c r="H1886" s="6"/>
      <c r="I1886" s="19"/>
      <c r="J1886" s="50"/>
      <c r="K1886" s="58"/>
      <c r="L1886" s="6" t="s">
        <v>655</v>
      </c>
      <c r="M1886" s="52" t="s">
        <v>655</v>
      </c>
      <c r="N1886" s="53" t="s">
        <v>655</v>
      </c>
      <c r="O1886" s="6"/>
      <c r="P1886" s="6"/>
      <c r="Q1886" s="6"/>
      <c r="R1886" s="6"/>
    </row>
    <row r="1887">
      <c r="A1887" s="31"/>
      <c r="B1887" s="14"/>
      <c r="C1887" s="14"/>
      <c r="D1887" s="6"/>
      <c r="E1887" s="14"/>
      <c r="F1887" s="25"/>
      <c r="G1887" s="6"/>
      <c r="H1887" s="6"/>
      <c r="I1887" s="19"/>
      <c r="J1887" s="50"/>
      <c r="K1887" s="58"/>
      <c r="L1887" s="6" t="s">
        <v>655</v>
      </c>
      <c r="M1887" s="52" t="s">
        <v>655</v>
      </c>
      <c r="N1887" s="53" t="s">
        <v>655</v>
      </c>
      <c r="O1887" s="6"/>
      <c r="P1887" s="6"/>
      <c r="Q1887" s="6"/>
      <c r="R1887" s="6"/>
    </row>
    <row r="1888">
      <c r="A1888" s="31"/>
      <c r="B1888" s="14"/>
      <c r="C1888" s="14"/>
      <c r="D1888" s="6"/>
      <c r="E1888" s="14"/>
      <c r="F1888" s="25"/>
      <c r="G1888" s="6"/>
      <c r="H1888" s="6"/>
      <c r="I1888" s="19"/>
      <c r="J1888" s="50"/>
      <c r="K1888" s="58"/>
      <c r="L1888" s="6" t="s">
        <v>655</v>
      </c>
      <c r="M1888" s="52" t="s">
        <v>655</v>
      </c>
      <c r="N1888" s="53" t="s">
        <v>655</v>
      </c>
      <c r="O1888" s="6"/>
      <c r="P1888" s="6"/>
      <c r="Q1888" s="6"/>
      <c r="R1888" s="6"/>
    </row>
    <row r="1889">
      <c r="A1889" s="31"/>
      <c r="B1889" s="14"/>
      <c r="C1889" s="14"/>
      <c r="D1889" s="6"/>
      <c r="E1889" s="14"/>
      <c r="F1889" s="25"/>
      <c r="G1889" s="6"/>
      <c r="H1889" s="6"/>
      <c r="I1889" s="19"/>
      <c r="J1889" s="50"/>
      <c r="K1889" s="58"/>
      <c r="L1889" s="6" t="s">
        <v>655</v>
      </c>
      <c r="M1889" s="52" t="s">
        <v>655</v>
      </c>
      <c r="N1889" s="53" t="s">
        <v>655</v>
      </c>
      <c r="O1889" s="6"/>
      <c r="P1889" s="6"/>
      <c r="Q1889" s="6"/>
      <c r="R1889" s="6"/>
    </row>
    <row r="1890">
      <c r="A1890" s="31"/>
      <c r="B1890" s="14"/>
      <c r="C1890" s="14"/>
      <c r="D1890" s="6"/>
      <c r="E1890" s="14"/>
      <c r="F1890" s="25"/>
      <c r="G1890" s="6"/>
      <c r="H1890" s="6"/>
      <c r="I1890" s="19"/>
      <c r="J1890" s="50"/>
      <c r="K1890" s="58"/>
      <c r="L1890" s="6" t="s">
        <v>655</v>
      </c>
      <c r="M1890" s="52" t="s">
        <v>655</v>
      </c>
      <c r="N1890" s="53" t="s">
        <v>655</v>
      </c>
      <c r="O1890" s="6"/>
      <c r="P1890" s="6"/>
      <c r="Q1890" s="6"/>
      <c r="R1890" s="6"/>
    </row>
    <row r="1891">
      <c r="A1891" s="31"/>
      <c r="B1891" s="14"/>
      <c r="C1891" s="14"/>
      <c r="D1891" s="6"/>
      <c r="E1891" s="14"/>
      <c r="F1891" s="25"/>
      <c r="G1891" s="6"/>
      <c r="H1891" s="6"/>
      <c r="I1891" s="19"/>
      <c r="J1891" s="50"/>
      <c r="K1891" s="58"/>
      <c r="L1891" s="6" t="s">
        <v>655</v>
      </c>
      <c r="M1891" s="52" t="s">
        <v>655</v>
      </c>
      <c r="N1891" s="53" t="s">
        <v>655</v>
      </c>
      <c r="O1891" s="6"/>
      <c r="P1891" s="6"/>
      <c r="Q1891" s="6"/>
      <c r="R1891" s="6"/>
    </row>
    <row r="1892">
      <c r="A1892" s="31"/>
      <c r="B1892" s="14"/>
      <c r="C1892" s="14"/>
      <c r="D1892" s="6"/>
      <c r="E1892" s="14"/>
      <c r="F1892" s="25"/>
      <c r="G1892" s="6"/>
      <c r="H1892" s="6"/>
      <c r="I1892" s="19"/>
      <c r="J1892" s="50"/>
      <c r="K1892" s="58"/>
      <c r="L1892" s="6" t="s">
        <v>655</v>
      </c>
      <c r="M1892" s="52" t="s">
        <v>655</v>
      </c>
      <c r="N1892" s="53" t="s">
        <v>655</v>
      </c>
      <c r="O1892" s="6"/>
      <c r="P1892" s="6"/>
      <c r="Q1892" s="6"/>
      <c r="R1892" s="6"/>
    </row>
    <row r="1893">
      <c r="A1893" s="31"/>
      <c r="B1893" s="14"/>
      <c r="C1893" s="14"/>
      <c r="D1893" s="6"/>
      <c r="E1893" s="14"/>
      <c r="F1893" s="25"/>
      <c r="G1893" s="6"/>
      <c r="H1893" s="6"/>
      <c r="I1893" s="19"/>
      <c r="J1893" s="50"/>
      <c r="K1893" s="58"/>
      <c r="L1893" s="6" t="s">
        <v>655</v>
      </c>
      <c r="M1893" s="52" t="s">
        <v>655</v>
      </c>
      <c r="N1893" s="53" t="s">
        <v>655</v>
      </c>
      <c r="O1893" s="6"/>
      <c r="P1893" s="6"/>
      <c r="Q1893" s="6"/>
      <c r="R1893" s="6"/>
    </row>
    <row r="1894">
      <c r="A1894" s="31"/>
      <c r="B1894" s="14"/>
      <c r="C1894" s="14"/>
      <c r="D1894" s="6"/>
      <c r="E1894" s="14"/>
      <c r="F1894" s="25"/>
      <c r="G1894" s="6"/>
      <c r="H1894" s="6"/>
      <c r="I1894" s="19"/>
      <c r="J1894" s="50"/>
      <c r="K1894" s="58"/>
      <c r="L1894" s="6" t="s">
        <v>655</v>
      </c>
      <c r="M1894" s="52" t="s">
        <v>655</v>
      </c>
      <c r="N1894" s="53" t="s">
        <v>655</v>
      </c>
      <c r="O1894" s="6"/>
      <c r="P1894" s="6"/>
      <c r="Q1894" s="6"/>
      <c r="R1894" s="6"/>
    </row>
    <row r="1895">
      <c r="A1895" s="31"/>
      <c r="B1895" s="14"/>
      <c r="C1895" s="14"/>
      <c r="D1895" s="6"/>
      <c r="E1895" s="14"/>
      <c r="F1895" s="25"/>
      <c r="G1895" s="6"/>
      <c r="H1895" s="6"/>
      <c r="I1895" s="19"/>
      <c r="J1895" s="50"/>
      <c r="K1895" s="58"/>
      <c r="L1895" s="6" t="s">
        <v>655</v>
      </c>
      <c r="M1895" s="52" t="s">
        <v>655</v>
      </c>
      <c r="N1895" s="53" t="s">
        <v>655</v>
      </c>
      <c r="O1895" s="6"/>
      <c r="P1895" s="6"/>
      <c r="Q1895" s="6"/>
      <c r="R1895" s="6"/>
    </row>
    <row r="1896">
      <c r="A1896" s="31"/>
      <c r="B1896" s="14"/>
      <c r="C1896" s="14"/>
      <c r="D1896" s="6"/>
      <c r="E1896" s="14"/>
      <c r="F1896" s="25"/>
      <c r="G1896" s="6"/>
      <c r="H1896" s="6"/>
      <c r="I1896" s="19"/>
      <c r="J1896" s="50"/>
      <c r="K1896" s="58"/>
      <c r="L1896" s="6" t="s">
        <v>655</v>
      </c>
      <c r="M1896" s="52" t="s">
        <v>655</v>
      </c>
      <c r="N1896" s="53" t="s">
        <v>655</v>
      </c>
      <c r="O1896" s="6"/>
      <c r="P1896" s="6"/>
      <c r="Q1896" s="6"/>
      <c r="R1896" s="6"/>
    </row>
    <row r="1897">
      <c r="A1897" s="31"/>
      <c r="B1897" s="14"/>
      <c r="C1897" s="14"/>
      <c r="D1897" s="6"/>
      <c r="E1897" s="14"/>
      <c r="F1897" s="25"/>
      <c r="G1897" s="6"/>
      <c r="H1897" s="6"/>
      <c r="I1897" s="19"/>
      <c r="J1897" s="50"/>
      <c r="K1897" s="58"/>
      <c r="L1897" s="6" t="s">
        <v>655</v>
      </c>
      <c r="M1897" s="52" t="s">
        <v>655</v>
      </c>
      <c r="N1897" s="53" t="s">
        <v>655</v>
      </c>
      <c r="O1897" s="6"/>
      <c r="P1897" s="6"/>
      <c r="Q1897" s="6"/>
      <c r="R1897" s="6"/>
    </row>
    <row r="1898">
      <c r="A1898" s="31"/>
      <c r="B1898" s="14"/>
      <c r="C1898" s="14"/>
      <c r="D1898" s="6"/>
      <c r="E1898" s="14"/>
      <c r="F1898" s="25"/>
      <c r="G1898" s="6"/>
      <c r="H1898" s="6"/>
      <c r="I1898" s="19"/>
      <c r="J1898" s="50"/>
      <c r="K1898" s="58"/>
      <c r="L1898" s="6" t="s">
        <v>655</v>
      </c>
      <c r="M1898" s="52" t="s">
        <v>655</v>
      </c>
      <c r="N1898" s="53" t="s">
        <v>655</v>
      </c>
      <c r="O1898" s="6"/>
      <c r="P1898" s="6"/>
      <c r="Q1898" s="6"/>
      <c r="R1898" s="6"/>
    </row>
    <row r="1899">
      <c r="A1899" s="31"/>
      <c r="B1899" s="14"/>
      <c r="C1899" s="14"/>
      <c r="D1899" s="6"/>
      <c r="E1899" s="14"/>
      <c r="F1899" s="25"/>
      <c r="G1899" s="6"/>
      <c r="H1899" s="6"/>
      <c r="I1899" s="19"/>
      <c r="J1899" s="50"/>
      <c r="K1899" s="58"/>
      <c r="L1899" s="6" t="s">
        <v>655</v>
      </c>
      <c r="M1899" s="52" t="s">
        <v>655</v>
      </c>
      <c r="N1899" s="53" t="s">
        <v>655</v>
      </c>
      <c r="O1899" s="6"/>
      <c r="P1899" s="6"/>
      <c r="Q1899" s="6"/>
      <c r="R1899" s="6"/>
    </row>
    <row r="1900">
      <c r="A1900" s="31"/>
      <c r="B1900" s="14"/>
      <c r="C1900" s="14"/>
      <c r="D1900" s="6"/>
      <c r="E1900" s="14"/>
      <c r="F1900" s="25"/>
      <c r="G1900" s="6"/>
      <c r="H1900" s="6"/>
      <c r="I1900" s="19"/>
      <c r="J1900" s="50"/>
      <c r="K1900" s="58"/>
      <c r="L1900" s="6" t="s">
        <v>655</v>
      </c>
      <c r="M1900" s="52" t="s">
        <v>655</v>
      </c>
      <c r="N1900" s="53" t="s">
        <v>655</v>
      </c>
      <c r="O1900" s="6"/>
      <c r="P1900" s="6"/>
      <c r="Q1900" s="6"/>
      <c r="R1900" s="6"/>
    </row>
    <row r="1901">
      <c r="A1901" s="31"/>
      <c r="B1901" s="14"/>
      <c r="C1901" s="14"/>
      <c r="D1901" s="6"/>
      <c r="E1901" s="14"/>
      <c r="F1901" s="25"/>
      <c r="G1901" s="6"/>
      <c r="H1901" s="6"/>
      <c r="I1901" s="19"/>
      <c r="J1901" s="50"/>
      <c r="K1901" s="58"/>
      <c r="L1901" s="6" t="s">
        <v>655</v>
      </c>
      <c r="M1901" s="52" t="s">
        <v>655</v>
      </c>
      <c r="N1901" s="53" t="s">
        <v>655</v>
      </c>
      <c r="O1901" s="6"/>
      <c r="P1901" s="6"/>
      <c r="Q1901" s="6"/>
      <c r="R1901" s="6"/>
    </row>
    <row r="1902">
      <c r="A1902" s="31"/>
      <c r="B1902" s="14"/>
      <c r="C1902" s="14"/>
      <c r="D1902" s="6"/>
      <c r="E1902" s="14"/>
      <c r="F1902" s="25"/>
      <c r="G1902" s="6"/>
      <c r="H1902" s="6"/>
      <c r="I1902" s="19"/>
      <c r="J1902" s="50"/>
      <c r="K1902" s="58"/>
      <c r="L1902" s="6" t="s">
        <v>655</v>
      </c>
      <c r="M1902" s="52" t="s">
        <v>655</v>
      </c>
      <c r="N1902" s="53" t="s">
        <v>655</v>
      </c>
      <c r="O1902" s="6"/>
      <c r="P1902" s="6"/>
      <c r="Q1902" s="6"/>
      <c r="R1902" s="6"/>
    </row>
    <row r="1903">
      <c r="A1903" s="31"/>
      <c r="B1903" s="14"/>
      <c r="C1903" s="14"/>
      <c r="D1903" s="6"/>
      <c r="E1903" s="14"/>
      <c r="F1903" s="25"/>
      <c r="G1903" s="6"/>
      <c r="H1903" s="6"/>
      <c r="I1903" s="19"/>
      <c r="J1903" s="50"/>
      <c r="K1903" s="58"/>
      <c r="L1903" s="6" t="s">
        <v>655</v>
      </c>
      <c r="M1903" s="52" t="s">
        <v>655</v>
      </c>
      <c r="N1903" s="53" t="s">
        <v>655</v>
      </c>
      <c r="O1903" s="6"/>
      <c r="P1903" s="6"/>
      <c r="Q1903" s="6"/>
      <c r="R1903" s="6"/>
    </row>
    <row r="1904">
      <c r="A1904" s="31"/>
      <c r="B1904" s="14"/>
      <c r="C1904" s="14"/>
      <c r="D1904" s="6"/>
      <c r="E1904" s="14"/>
      <c r="F1904" s="25"/>
      <c r="G1904" s="6"/>
      <c r="H1904" s="6"/>
      <c r="I1904" s="19"/>
      <c r="J1904" s="50"/>
      <c r="K1904" s="58"/>
      <c r="L1904" s="6" t="s">
        <v>655</v>
      </c>
      <c r="M1904" s="52" t="s">
        <v>655</v>
      </c>
      <c r="N1904" s="53" t="s">
        <v>655</v>
      </c>
      <c r="O1904" s="6"/>
      <c r="P1904" s="6"/>
      <c r="Q1904" s="6"/>
      <c r="R1904" s="6"/>
    </row>
    <row r="1905">
      <c r="A1905" s="31"/>
      <c r="B1905" s="14"/>
      <c r="C1905" s="14"/>
      <c r="D1905" s="6"/>
      <c r="E1905" s="14"/>
      <c r="F1905" s="25"/>
      <c r="G1905" s="6"/>
      <c r="H1905" s="6"/>
      <c r="I1905" s="19"/>
      <c r="J1905" s="50"/>
      <c r="K1905" s="58"/>
      <c r="L1905" s="6" t="s">
        <v>655</v>
      </c>
      <c r="M1905" s="52" t="s">
        <v>655</v>
      </c>
      <c r="N1905" s="53" t="s">
        <v>655</v>
      </c>
      <c r="O1905" s="6"/>
      <c r="P1905" s="6"/>
      <c r="Q1905" s="6"/>
      <c r="R1905" s="6"/>
    </row>
    <row r="1906">
      <c r="A1906" s="31"/>
      <c r="B1906" s="14"/>
      <c r="C1906" s="14"/>
      <c r="D1906" s="6"/>
      <c r="E1906" s="14"/>
      <c r="F1906" s="25"/>
      <c r="G1906" s="6"/>
      <c r="H1906" s="6"/>
      <c r="I1906" s="19"/>
      <c r="J1906" s="50"/>
      <c r="K1906" s="58"/>
      <c r="L1906" s="6" t="s">
        <v>655</v>
      </c>
      <c r="M1906" s="52" t="s">
        <v>655</v>
      </c>
      <c r="N1906" s="53" t="s">
        <v>655</v>
      </c>
      <c r="O1906" s="6"/>
      <c r="P1906" s="6"/>
      <c r="Q1906" s="6"/>
      <c r="R1906" s="6"/>
    </row>
    <row r="1907">
      <c r="A1907" s="31"/>
      <c r="B1907" s="14"/>
      <c r="C1907" s="14"/>
      <c r="D1907" s="6"/>
      <c r="E1907" s="14"/>
      <c r="F1907" s="25"/>
      <c r="G1907" s="6"/>
      <c r="H1907" s="6"/>
      <c r="I1907" s="19"/>
      <c r="J1907" s="50"/>
      <c r="K1907" s="58"/>
      <c r="L1907" s="6" t="s">
        <v>655</v>
      </c>
      <c r="M1907" s="52" t="s">
        <v>655</v>
      </c>
      <c r="N1907" s="53" t="s">
        <v>655</v>
      </c>
      <c r="O1907" s="6"/>
      <c r="P1907" s="6"/>
      <c r="Q1907" s="6"/>
      <c r="R1907" s="6"/>
    </row>
    <row r="1908">
      <c r="A1908" s="31"/>
      <c r="B1908" s="14"/>
      <c r="C1908" s="14"/>
      <c r="D1908" s="6"/>
      <c r="E1908" s="14"/>
      <c r="F1908" s="25"/>
      <c r="G1908" s="6"/>
      <c r="H1908" s="6"/>
      <c r="I1908" s="19"/>
      <c r="J1908" s="50"/>
      <c r="K1908" s="58"/>
      <c r="L1908" s="6" t="s">
        <v>655</v>
      </c>
      <c r="M1908" s="52" t="s">
        <v>655</v>
      </c>
      <c r="N1908" s="53" t="s">
        <v>655</v>
      </c>
      <c r="O1908" s="6"/>
      <c r="P1908" s="6"/>
      <c r="Q1908" s="6"/>
      <c r="R1908" s="6"/>
    </row>
    <row r="1909">
      <c r="A1909" s="31"/>
      <c r="B1909" s="14"/>
      <c r="C1909" s="14"/>
      <c r="D1909" s="6"/>
      <c r="E1909" s="14"/>
      <c r="F1909" s="25"/>
      <c r="G1909" s="6"/>
      <c r="H1909" s="6"/>
      <c r="I1909" s="19"/>
      <c r="J1909" s="50"/>
      <c r="K1909" s="58"/>
      <c r="L1909" s="6" t="s">
        <v>655</v>
      </c>
      <c r="M1909" s="52" t="s">
        <v>655</v>
      </c>
      <c r="N1909" s="53" t="s">
        <v>655</v>
      </c>
      <c r="O1909" s="6"/>
      <c r="P1909" s="6"/>
      <c r="Q1909" s="6"/>
      <c r="R1909" s="6"/>
    </row>
    <row r="1910">
      <c r="A1910" s="31"/>
      <c r="B1910" s="14"/>
      <c r="C1910" s="14"/>
      <c r="D1910" s="6"/>
      <c r="E1910" s="14"/>
      <c r="F1910" s="25"/>
      <c r="G1910" s="6"/>
      <c r="H1910" s="6"/>
      <c r="I1910" s="19"/>
      <c r="J1910" s="50"/>
      <c r="K1910" s="58"/>
      <c r="L1910" s="6" t="s">
        <v>655</v>
      </c>
      <c r="M1910" s="52" t="s">
        <v>655</v>
      </c>
      <c r="N1910" s="53" t="s">
        <v>655</v>
      </c>
      <c r="O1910" s="6"/>
      <c r="P1910" s="6"/>
      <c r="Q1910" s="6"/>
      <c r="R1910" s="6"/>
    </row>
    <row r="1911">
      <c r="A1911" s="31"/>
      <c r="B1911" s="14"/>
      <c r="C1911" s="14"/>
      <c r="D1911" s="6"/>
      <c r="E1911" s="14"/>
      <c r="F1911" s="25"/>
      <c r="G1911" s="6"/>
      <c r="H1911" s="6"/>
      <c r="I1911" s="19"/>
      <c r="J1911" s="50"/>
      <c r="K1911" s="58"/>
      <c r="L1911" s="6" t="s">
        <v>655</v>
      </c>
      <c r="M1911" s="52" t="s">
        <v>655</v>
      </c>
      <c r="N1911" s="53" t="s">
        <v>655</v>
      </c>
      <c r="O1911" s="6"/>
      <c r="P1911" s="6"/>
      <c r="Q1911" s="6"/>
      <c r="R1911" s="6"/>
    </row>
    <row r="1912">
      <c r="A1912" s="31"/>
      <c r="B1912" s="14"/>
      <c r="C1912" s="14"/>
      <c r="D1912" s="6"/>
      <c r="E1912" s="14"/>
      <c r="F1912" s="25"/>
      <c r="G1912" s="6"/>
      <c r="H1912" s="6"/>
      <c r="I1912" s="19"/>
      <c r="J1912" s="50"/>
      <c r="K1912" s="58"/>
      <c r="L1912" s="6" t="s">
        <v>655</v>
      </c>
      <c r="M1912" s="52" t="s">
        <v>655</v>
      </c>
      <c r="N1912" s="53" t="s">
        <v>655</v>
      </c>
      <c r="O1912" s="6"/>
      <c r="P1912" s="6"/>
      <c r="Q1912" s="6"/>
      <c r="R1912" s="6"/>
    </row>
    <row r="1913">
      <c r="A1913" s="31"/>
      <c r="B1913" s="14"/>
      <c r="C1913" s="14"/>
      <c r="D1913" s="6"/>
      <c r="E1913" s="14"/>
      <c r="F1913" s="25"/>
      <c r="G1913" s="6"/>
      <c r="H1913" s="6"/>
      <c r="I1913" s="19"/>
      <c r="J1913" s="50"/>
      <c r="K1913" s="58"/>
      <c r="L1913" s="6" t="s">
        <v>655</v>
      </c>
      <c r="M1913" s="52" t="s">
        <v>655</v>
      </c>
      <c r="N1913" s="53" t="s">
        <v>655</v>
      </c>
      <c r="O1913" s="6"/>
      <c r="P1913" s="6"/>
      <c r="Q1913" s="6"/>
      <c r="R1913" s="6"/>
    </row>
    <row r="1914">
      <c r="A1914" s="31"/>
      <c r="B1914" s="14"/>
      <c r="C1914" s="14"/>
      <c r="D1914" s="6"/>
      <c r="E1914" s="14"/>
      <c r="F1914" s="25"/>
      <c r="G1914" s="6"/>
      <c r="H1914" s="6"/>
      <c r="I1914" s="19"/>
      <c r="J1914" s="50"/>
      <c r="K1914" s="58"/>
      <c r="L1914" s="6" t="s">
        <v>655</v>
      </c>
      <c r="M1914" s="52" t="s">
        <v>655</v>
      </c>
      <c r="N1914" s="53" t="s">
        <v>655</v>
      </c>
      <c r="O1914" s="6"/>
      <c r="P1914" s="6"/>
      <c r="Q1914" s="6"/>
      <c r="R1914" s="6"/>
    </row>
    <row r="1915">
      <c r="A1915" s="31"/>
      <c r="B1915" s="14"/>
      <c r="C1915" s="14"/>
      <c r="D1915" s="6"/>
      <c r="E1915" s="14"/>
      <c r="F1915" s="25"/>
      <c r="G1915" s="6"/>
      <c r="H1915" s="6"/>
      <c r="I1915" s="19"/>
      <c r="J1915" s="50"/>
      <c r="K1915" s="58"/>
      <c r="L1915" s="6" t="s">
        <v>655</v>
      </c>
      <c r="M1915" s="52" t="s">
        <v>655</v>
      </c>
      <c r="N1915" s="53" t="s">
        <v>655</v>
      </c>
      <c r="O1915" s="6"/>
      <c r="P1915" s="6"/>
      <c r="Q1915" s="6"/>
      <c r="R1915" s="6"/>
    </row>
    <row r="1916">
      <c r="A1916" s="31"/>
      <c r="B1916" s="14"/>
      <c r="C1916" s="14"/>
      <c r="D1916" s="6"/>
      <c r="E1916" s="14"/>
      <c r="F1916" s="25"/>
      <c r="G1916" s="6"/>
      <c r="H1916" s="6"/>
      <c r="I1916" s="19"/>
      <c r="J1916" s="50"/>
      <c r="K1916" s="58"/>
      <c r="L1916" s="6" t="s">
        <v>655</v>
      </c>
      <c r="M1916" s="52" t="s">
        <v>655</v>
      </c>
      <c r="N1916" s="53" t="s">
        <v>655</v>
      </c>
      <c r="O1916" s="6"/>
      <c r="P1916" s="6"/>
      <c r="Q1916" s="6"/>
      <c r="R1916" s="6"/>
    </row>
    <row r="1917">
      <c r="A1917" s="31"/>
      <c r="B1917" s="14"/>
      <c r="C1917" s="14"/>
      <c r="D1917" s="6"/>
      <c r="E1917" s="14"/>
      <c r="F1917" s="25"/>
      <c r="G1917" s="6"/>
      <c r="H1917" s="6"/>
      <c r="I1917" s="19"/>
      <c r="J1917" s="50"/>
      <c r="K1917" s="58"/>
      <c r="L1917" s="6" t="s">
        <v>655</v>
      </c>
      <c r="M1917" s="52" t="s">
        <v>655</v>
      </c>
      <c r="N1917" s="53" t="s">
        <v>655</v>
      </c>
      <c r="O1917" s="6"/>
      <c r="P1917" s="6"/>
      <c r="Q1917" s="6"/>
      <c r="R1917" s="6"/>
    </row>
    <row r="1918">
      <c r="A1918" s="31"/>
      <c r="B1918" s="14"/>
      <c r="C1918" s="14"/>
      <c r="D1918" s="6"/>
      <c r="E1918" s="14"/>
      <c r="F1918" s="25"/>
      <c r="G1918" s="6"/>
      <c r="H1918" s="6"/>
      <c r="I1918" s="19"/>
      <c r="J1918" s="50"/>
      <c r="K1918" s="58"/>
      <c r="L1918" s="6" t="s">
        <v>655</v>
      </c>
      <c r="M1918" s="52" t="s">
        <v>655</v>
      </c>
      <c r="N1918" s="53" t="s">
        <v>655</v>
      </c>
      <c r="O1918" s="6"/>
      <c r="P1918" s="6"/>
      <c r="Q1918" s="6"/>
      <c r="R1918" s="6"/>
    </row>
    <row r="1919">
      <c r="A1919" s="31"/>
      <c r="B1919" s="14"/>
      <c r="C1919" s="14"/>
      <c r="D1919" s="6"/>
      <c r="E1919" s="14"/>
      <c r="F1919" s="25"/>
      <c r="G1919" s="6"/>
      <c r="H1919" s="6"/>
      <c r="I1919" s="19"/>
      <c r="J1919" s="50"/>
      <c r="K1919" s="58"/>
      <c r="L1919" s="6" t="s">
        <v>655</v>
      </c>
      <c r="M1919" s="52" t="s">
        <v>655</v>
      </c>
      <c r="N1919" s="53" t="s">
        <v>655</v>
      </c>
      <c r="O1919" s="6"/>
      <c r="P1919" s="6"/>
      <c r="Q1919" s="6"/>
      <c r="R1919" s="6"/>
    </row>
    <row r="1920">
      <c r="A1920" s="31"/>
      <c r="B1920" s="14"/>
      <c r="C1920" s="14"/>
      <c r="D1920" s="6"/>
      <c r="E1920" s="14"/>
      <c r="F1920" s="25"/>
      <c r="G1920" s="6"/>
      <c r="H1920" s="6"/>
      <c r="I1920" s="19"/>
      <c r="J1920" s="50"/>
      <c r="K1920" s="58"/>
      <c r="L1920" s="6" t="s">
        <v>655</v>
      </c>
      <c r="M1920" s="52" t="s">
        <v>655</v>
      </c>
      <c r="N1920" s="53" t="s">
        <v>655</v>
      </c>
      <c r="O1920" s="6"/>
      <c r="P1920" s="6"/>
      <c r="Q1920" s="6"/>
      <c r="R1920" s="6"/>
    </row>
    <row r="1921">
      <c r="A1921" s="31"/>
      <c r="B1921" s="14"/>
      <c r="C1921" s="14"/>
      <c r="D1921" s="6"/>
      <c r="E1921" s="14"/>
      <c r="F1921" s="25"/>
      <c r="G1921" s="6"/>
      <c r="H1921" s="6"/>
      <c r="I1921" s="19"/>
      <c r="J1921" s="50"/>
      <c r="K1921" s="58"/>
      <c r="L1921" s="6" t="s">
        <v>655</v>
      </c>
      <c r="M1921" s="52" t="s">
        <v>655</v>
      </c>
      <c r="N1921" s="53" t="s">
        <v>655</v>
      </c>
      <c r="O1921" s="6"/>
      <c r="P1921" s="6"/>
      <c r="Q1921" s="6"/>
      <c r="R1921" s="6"/>
    </row>
    <row r="1922">
      <c r="A1922" s="31"/>
      <c r="B1922" s="14"/>
      <c r="C1922" s="14"/>
      <c r="D1922" s="6"/>
      <c r="E1922" s="14"/>
      <c r="F1922" s="25"/>
      <c r="G1922" s="6"/>
      <c r="H1922" s="6"/>
      <c r="I1922" s="19"/>
      <c r="J1922" s="50"/>
      <c r="K1922" s="58"/>
      <c r="L1922" s="6" t="s">
        <v>655</v>
      </c>
      <c r="M1922" s="52" t="s">
        <v>655</v>
      </c>
      <c r="N1922" s="53" t="s">
        <v>655</v>
      </c>
      <c r="O1922" s="6"/>
      <c r="P1922" s="6"/>
      <c r="Q1922" s="6"/>
      <c r="R1922" s="6"/>
    </row>
    <row r="1923">
      <c r="A1923" s="31"/>
      <c r="B1923" s="14"/>
      <c r="C1923" s="14"/>
      <c r="D1923" s="6"/>
      <c r="E1923" s="14"/>
      <c r="F1923" s="25"/>
      <c r="G1923" s="6"/>
      <c r="H1923" s="6"/>
      <c r="I1923" s="19"/>
      <c r="J1923" s="50"/>
      <c r="K1923" s="58"/>
      <c r="L1923" s="6" t="s">
        <v>655</v>
      </c>
      <c r="M1923" s="52" t="s">
        <v>655</v>
      </c>
      <c r="N1923" s="53" t="s">
        <v>655</v>
      </c>
      <c r="O1923" s="6"/>
      <c r="P1923" s="6"/>
      <c r="Q1923" s="6"/>
      <c r="R1923" s="6"/>
    </row>
    <row r="1924">
      <c r="A1924" s="31"/>
      <c r="B1924" s="14"/>
      <c r="C1924" s="14"/>
      <c r="D1924" s="6"/>
      <c r="E1924" s="14"/>
      <c r="F1924" s="25"/>
      <c r="G1924" s="6"/>
      <c r="H1924" s="6"/>
      <c r="I1924" s="19"/>
      <c r="J1924" s="50"/>
      <c r="K1924" s="58"/>
      <c r="L1924" s="6" t="s">
        <v>655</v>
      </c>
      <c r="M1924" s="52" t="s">
        <v>655</v>
      </c>
      <c r="N1924" s="53" t="s">
        <v>655</v>
      </c>
      <c r="O1924" s="6"/>
      <c r="P1924" s="6"/>
      <c r="Q1924" s="6"/>
      <c r="R1924" s="6"/>
    </row>
    <row r="1925">
      <c r="A1925" s="31"/>
      <c r="B1925" s="14"/>
      <c r="C1925" s="14"/>
      <c r="D1925" s="6"/>
      <c r="E1925" s="14"/>
      <c r="F1925" s="25"/>
      <c r="G1925" s="6"/>
      <c r="H1925" s="6"/>
      <c r="I1925" s="19"/>
      <c r="J1925" s="50"/>
      <c r="K1925" s="58"/>
      <c r="L1925" s="6" t="s">
        <v>655</v>
      </c>
      <c r="M1925" s="52" t="s">
        <v>655</v>
      </c>
      <c r="N1925" s="53" t="s">
        <v>655</v>
      </c>
      <c r="O1925" s="6"/>
      <c r="P1925" s="6"/>
      <c r="Q1925" s="6"/>
      <c r="R1925" s="6"/>
    </row>
    <row r="1926">
      <c r="A1926" s="31"/>
      <c r="B1926" s="14"/>
      <c r="C1926" s="14"/>
      <c r="D1926" s="6"/>
      <c r="E1926" s="14"/>
      <c r="F1926" s="25"/>
      <c r="G1926" s="6"/>
      <c r="H1926" s="6"/>
      <c r="I1926" s="19"/>
      <c r="J1926" s="50"/>
      <c r="K1926" s="58"/>
      <c r="L1926" s="6" t="s">
        <v>655</v>
      </c>
      <c r="M1926" s="52" t="s">
        <v>655</v>
      </c>
      <c r="N1926" s="53" t="s">
        <v>655</v>
      </c>
      <c r="O1926" s="6"/>
      <c r="P1926" s="6"/>
      <c r="Q1926" s="6"/>
      <c r="R1926" s="6"/>
    </row>
    <row r="1927">
      <c r="A1927" s="31"/>
      <c r="B1927" s="14"/>
      <c r="C1927" s="14"/>
      <c r="D1927" s="6"/>
      <c r="E1927" s="14"/>
      <c r="F1927" s="25"/>
      <c r="G1927" s="6"/>
      <c r="H1927" s="6"/>
      <c r="I1927" s="19"/>
      <c r="J1927" s="50"/>
      <c r="K1927" s="58"/>
      <c r="L1927" s="6" t="s">
        <v>655</v>
      </c>
      <c r="M1927" s="52" t="s">
        <v>655</v>
      </c>
      <c r="N1927" s="53" t="s">
        <v>655</v>
      </c>
      <c r="O1927" s="6"/>
      <c r="P1927" s="6"/>
      <c r="Q1927" s="6"/>
      <c r="R1927" s="6"/>
    </row>
    <row r="1928">
      <c r="A1928" s="31"/>
      <c r="B1928" s="14"/>
      <c r="C1928" s="14"/>
      <c r="D1928" s="6"/>
      <c r="E1928" s="14"/>
      <c r="F1928" s="25"/>
      <c r="G1928" s="6"/>
      <c r="H1928" s="6"/>
      <c r="I1928" s="19"/>
      <c r="J1928" s="50"/>
      <c r="K1928" s="58"/>
      <c r="L1928" s="6" t="s">
        <v>655</v>
      </c>
      <c r="M1928" s="52" t="s">
        <v>655</v>
      </c>
      <c r="N1928" s="53" t="s">
        <v>655</v>
      </c>
      <c r="O1928" s="6"/>
      <c r="P1928" s="6"/>
      <c r="Q1928" s="6"/>
      <c r="R1928" s="6"/>
    </row>
    <row r="1929">
      <c r="A1929" s="31"/>
      <c r="B1929" s="14"/>
      <c r="C1929" s="14"/>
      <c r="D1929" s="6"/>
      <c r="E1929" s="14"/>
      <c r="F1929" s="25"/>
      <c r="G1929" s="6"/>
      <c r="H1929" s="6"/>
      <c r="I1929" s="19"/>
      <c r="J1929" s="50"/>
      <c r="K1929" s="58"/>
      <c r="L1929" s="6" t="s">
        <v>655</v>
      </c>
      <c r="M1929" s="52" t="s">
        <v>655</v>
      </c>
      <c r="N1929" s="53" t="s">
        <v>655</v>
      </c>
      <c r="O1929" s="6"/>
      <c r="P1929" s="6"/>
      <c r="Q1929" s="6"/>
      <c r="R1929" s="6"/>
    </row>
    <row r="1930">
      <c r="A1930" s="31"/>
      <c r="B1930" s="14"/>
      <c r="C1930" s="14"/>
      <c r="D1930" s="6"/>
      <c r="E1930" s="14"/>
      <c r="F1930" s="25"/>
      <c r="G1930" s="6"/>
      <c r="H1930" s="6"/>
      <c r="I1930" s="19"/>
      <c r="J1930" s="50"/>
      <c r="K1930" s="58"/>
      <c r="L1930" s="6" t="s">
        <v>655</v>
      </c>
      <c r="M1930" s="52" t="s">
        <v>655</v>
      </c>
      <c r="N1930" s="53" t="s">
        <v>655</v>
      </c>
      <c r="O1930" s="6"/>
      <c r="P1930" s="6"/>
      <c r="Q1930" s="6"/>
      <c r="R1930" s="6"/>
    </row>
    <row r="1931">
      <c r="A1931" s="31"/>
      <c r="B1931" s="14"/>
      <c r="C1931" s="14"/>
      <c r="D1931" s="6"/>
      <c r="E1931" s="14"/>
      <c r="F1931" s="25"/>
      <c r="G1931" s="6"/>
      <c r="H1931" s="6"/>
      <c r="I1931" s="19"/>
      <c r="J1931" s="50"/>
      <c r="K1931" s="58"/>
      <c r="L1931" s="6" t="s">
        <v>655</v>
      </c>
      <c r="M1931" s="52" t="s">
        <v>655</v>
      </c>
      <c r="N1931" s="53" t="s">
        <v>655</v>
      </c>
      <c r="O1931" s="6"/>
      <c r="P1931" s="6"/>
      <c r="Q1931" s="6"/>
      <c r="R1931" s="6"/>
    </row>
    <row r="1932">
      <c r="A1932" s="31"/>
      <c r="B1932" s="14"/>
      <c r="C1932" s="14"/>
      <c r="D1932" s="6"/>
      <c r="E1932" s="14"/>
      <c r="F1932" s="25"/>
      <c r="G1932" s="6"/>
      <c r="H1932" s="6"/>
      <c r="I1932" s="19"/>
      <c r="J1932" s="50"/>
      <c r="K1932" s="58"/>
      <c r="L1932" s="6" t="s">
        <v>655</v>
      </c>
      <c r="M1932" s="52" t="s">
        <v>655</v>
      </c>
      <c r="N1932" s="53" t="s">
        <v>655</v>
      </c>
      <c r="O1932" s="6"/>
      <c r="P1932" s="6"/>
      <c r="Q1932" s="6"/>
      <c r="R1932" s="6"/>
    </row>
    <row r="1933">
      <c r="A1933" s="31"/>
      <c r="B1933" s="14"/>
      <c r="C1933" s="14"/>
      <c r="D1933" s="6"/>
      <c r="E1933" s="14"/>
      <c r="F1933" s="25"/>
      <c r="G1933" s="6"/>
      <c r="H1933" s="6"/>
      <c r="I1933" s="19"/>
      <c r="J1933" s="50"/>
      <c r="K1933" s="58"/>
      <c r="L1933" s="6" t="s">
        <v>655</v>
      </c>
      <c r="M1933" s="52" t="s">
        <v>655</v>
      </c>
      <c r="N1933" s="53" t="s">
        <v>655</v>
      </c>
      <c r="O1933" s="6"/>
      <c r="P1933" s="6"/>
      <c r="Q1933" s="6"/>
      <c r="R1933" s="6"/>
    </row>
    <row r="1934">
      <c r="A1934" s="31"/>
      <c r="B1934" s="14"/>
      <c r="C1934" s="14"/>
      <c r="D1934" s="6"/>
      <c r="E1934" s="14"/>
      <c r="F1934" s="25"/>
      <c r="G1934" s="6"/>
      <c r="H1934" s="6"/>
      <c r="I1934" s="19"/>
      <c r="J1934" s="50"/>
      <c r="K1934" s="58"/>
      <c r="L1934" s="6" t="s">
        <v>655</v>
      </c>
      <c r="M1934" s="52" t="s">
        <v>655</v>
      </c>
      <c r="N1934" s="53" t="s">
        <v>655</v>
      </c>
      <c r="O1934" s="6"/>
      <c r="P1934" s="6"/>
      <c r="Q1934" s="6"/>
      <c r="R1934" s="6"/>
    </row>
    <row r="1935">
      <c r="A1935" s="31"/>
      <c r="B1935" s="14"/>
      <c r="C1935" s="14"/>
      <c r="D1935" s="6"/>
      <c r="E1935" s="14"/>
      <c r="F1935" s="25"/>
      <c r="G1935" s="6"/>
      <c r="H1935" s="6"/>
      <c r="I1935" s="19"/>
      <c r="J1935" s="50"/>
      <c r="K1935" s="58"/>
      <c r="L1935" s="6" t="s">
        <v>655</v>
      </c>
      <c r="M1935" s="52" t="s">
        <v>655</v>
      </c>
      <c r="N1935" s="53" t="s">
        <v>655</v>
      </c>
      <c r="O1935" s="6"/>
      <c r="P1935" s="6"/>
      <c r="Q1935" s="6"/>
      <c r="R1935" s="6"/>
    </row>
    <row r="1936">
      <c r="A1936" s="31"/>
      <c r="B1936" s="14"/>
      <c r="C1936" s="14"/>
      <c r="D1936" s="6"/>
      <c r="E1936" s="14"/>
      <c r="F1936" s="25"/>
      <c r="G1936" s="6"/>
      <c r="H1936" s="6"/>
      <c r="I1936" s="19"/>
      <c r="J1936" s="50"/>
      <c r="K1936" s="58"/>
      <c r="L1936" s="6" t="s">
        <v>655</v>
      </c>
      <c r="M1936" s="52" t="s">
        <v>655</v>
      </c>
      <c r="N1936" s="53" t="s">
        <v>655</v>
      </c>
      <c r="O1936" s="6"/>
      <c r="P1936" s="6"/>
      <c r="Q1936" s="6"/>
      <c r="R1936" s="6"/>
    </row>
    <row r="1937">
      <c r="A1937" s="31"/>
      <c r="B1937" s="14"/>
      <c r="C1937" s="14"/>
      <c r="D1937" s="6"/>
      <c r="E1937" s="14"/>
      <c r="F1937" s="25"/>
      <c r="G1937" s="6"/>
      <c r="H1937" s="6"/>
      <c r="I1937" s="19"/>
      <c r="J1937" s="50"/>
      <c r="K1937" s="58"/>
      <c r="L1937" s="6" t="s">
        <v>655</v>
      </c>
      <c r="M1937" s="52" t="s">
        <v>655</v>
      </c>
      <c r="N1937" s="53" t="s">
        <v>655</v>
      </c>
      <c r="O1937" s="6"/>
      <c r="P1937" s="6"/>
      <c r="Q1937" s="6"/>
      <c r="R1937" s="6"/>
    </row>
    <row r="1938">
      <c r="A1938" s="31"/>
      <c r="B1938" s="14"/>
      <c r="C1938" s="14"/>
      <c r="D1938" s="6"/>
      <c r="E1938" s="14"/>
      <c r="F1938" s="25"/>
      <c r="G1938" s="6"/>
      <c r="H1938" s="6"/>
      <c r="I1938" s="19"/>
      <c r="J1938" s="50"/>
      <c r="K1938" s="58"/>
      <c r="L1938" s="6" t="s">
        <v>655</v>
      </c>
      <c r="M1938" s="52" t="s">
        <v>655</v>
      </c>
      <c r="N1938" s="53" t="s">
        <v>655</v>
      </c>
      <c r="O1938" s="6"/>
      <c r="P1938" s="6"/>
      <c r="Q1938" s="6"/>
      <c r="R1938" s="6"/>
    </row>
    <row r="1939">
      <c r="A1939" s="31"/>
      <c r="B1939" s="14"/>
      <c r="C1939" s="14"/>
      <c r="D1939" s="6"/>
      <c r="E1939" s="14"/>
      <c r="F1939" s="25"/>
      <c r="G1939" s="6"/>
      <c r="H1939" s="6"/>
      <c r="I1939" s="19"/>
      <c r="J1939" s="50"/>
      <c r="K1939" s="58"/>
      <c r="L1939" s="6" t="s">
        <v>655</v>
      </c>
      <c r="M1939" s="52" t="s">
        <v>655</v>
      </c>
      <c r="N1939" s="53" t="s">
        <v>655</v>
      </c>
      <c r="O1939" s="6"/>
      <c r="P1939" s="6"/>
      <c r="Q1939" s="6"/>
      <c r="R1939" s="6"/>
    </row>
    <row r="1940">
      <c r="A1940" s="31"/>
      <c r="B1940" s="14"/>
      <c r="C1940" s="14"/>
      <c r="D1940" s="6"/>
      <c r="E1940" s="14"/>
      <c r="F1940" s="25"/>
      <c r="G1940" s="6"/>
      <c r="H1940" s="6"/>
      <c r="I1940" s="19"/>
      <c r="J1940" s="50"/>
      <c r="K1940" s="58"/>
      <c r="L1940" s="6" t="s">
        <v>655</v>
      </c>
      <c r="M1940" s="52" t="s">
        <v>655</v>
      </c>
      <c r="N1940" s="53" t="s">
        <v>655</v>
      </c>
      <c r="O1940" s="6"/>
      <c r="P1940" s="6"/>
      <c r="Q1940" s="6"/>
      <c r="R1940" s="6"/>
    </row>
    <row r="1941">
      <c r="A1941" s="31"/>
      <c r="B1941" s="14"/>
      <c r="C1941" s="14"/>
      <c r="D1941" s="6"/>
      <c r="E1941" s="14"/>
      <c r="F1941" s="25"/>
      <c r="G1941" s="6"/>
      <c r="H1941" s="6"/>
      <c r="I1941" s="19"/>
      <c r="J1941" s="50"/>
      <c r="K1941" s="58"/>
      <c r="L1941" s="6" t="s">
        <v>655</v>
      </c>
      <c r="M1941" s="52" t="s">
        <v>655</v>
      </c>
      <c r="N1941" s="53" t="s">
        <v>655</v>
      </c>
      <c r="O1941" s="6"/>
      <c r="P1941" s="6"/>
      <c r="Q1941" s="6"/>
      <c r="R1941" s="6"/>
    </row>
    <row r="1942">
      <c r="A1942" s="31"/>
      <c r="B1942" s="14"/>
      <c r="C1942" s="14"/>
      <c r="D1942" s="6"/>
      <c r="E1942" s="14"/>
      <c r="F1942" s="25"/>
      <c r="G1942" s="6"/>
      <c r="H1942" s="6"/>
      <c r="I1942" s="19"/>
      <c r="J1942" s="50"/>
      <c r="K1942" s="58"/>
      <c r="L1942" s="6" t="s">
        <v>655</v>
      </c>
      <c r="M1942" s="52" t="s">
        <v>655</v>
      </c>
      <c r="N1942" s="53" t="s">
        <v>655</v>
      </c>
      <c r="O1942" s="6"/>
      <c r="P1942" s="6"/>
      <c r="Q1942" s="6"/>
      <c r="R1942" s="6"/>
    </row>
    <row r="1943">
      <c r="A1943" s="31"/>
      <c r="B1943" s="14"/>
      <c r="C1943" s="14"/>
      <c r="D1943" s="6"/>
      <c r="E1943" s="14"/>
      <c r="F1943" s="25"/>
      <c r="G1943" s="6"/>
      <c r="H1943" s="6"/>
      <c r="I1943" s="19"/>
      <c r="J1943" s="50"/>
      <c r="K1943" s="58"/>
      <c r="L1943" s="6" t="s">
        <v>655</v>
      </c>
      <c r="M1943" s="52" t="s">
        <v>655</v>
      </c>
      <c r="N1943" s="53" t="s">
        <v>655</v>
      </c>
      <c r="O1943" s="6"/>
      <c r="P1943" s="6"/>
      <c r="Q1943" s="6"/>
      <c r="R1943" s="6"/>
    </row>
    <row r="1944">
      <c r="A1944" s="31"/>
      <c r="B1944" s="14"/>
      <c r="C1944" s="14"/>
      <c r="D1944" s="6"/>
      <c r="E1944" s="14"/>
      <c r="F1944" s="25"/>
      <c r="G1944" s="6"/>
      <c r="H1944" s="6"/>
      <c r="I1944" s="19"/>
      <c r="J1944" s="50"/>
      <c r="K1944" s="58"/>
      <c r="L1944" s="6" t="s">
        <v>655</v>
      </c>
      <c r="M1944" s="52" t="s">
        <v>655</v>
      </c>
      <c r="N1944" s="53" t="s">
        <v>655</v>
      </c>
      <c r="O1944" s="6"/>
      <c r="P1944" s="6"/>
      <c r="Q1944" s="6"/>
      <c r="R1944" s="6"/>
    </row>
    <row r="1945">
      <c r="A1945" s="31"/>
      <c r="B1945" s="14"/>
      <c r="C1945" s="14"/>
      <c r="D1945" s="6"/>
      <c r="E1945" s="14"/>
      <c r="F1945" s="25"/>
      <c r="G1945" s="6"/>
      <c r="H1945" s="6"/>
      <c r="I1945" s="19"/>
      <c r="J1945" s="50"/>
      <c r="K1945" s="58"/>
      <c r="L1945" s="6" t="s">
        <v>655</v>
      </c>
      <c r="M1945" s="52" t="s">
        <v>655</v>
      </c>
      <c r="N1945" s="53" t="s">
        <v>655</v>
      </c>
      <c r="O1945" s="6"/>
      <c r="P1945" s="6"/>
      <c r="Q1945" s="6"/>
      <c r="R1945" s="6"/>
    </row>
    <row r="1946">
      <c r="A1946" s="31"/>
      <c r="B1946" s="14"/>
      <c r="C1946" s="14"/>
      <c r="D1946" s="6"/>
      <c r="E1946" s="14"/>
      <c r="F1946" s="25"/>
      <c r="G1946" s="6"/>
      <c r="H1946" s="6"/>
      <c r="I1946" s="19"/>
      <c r="J1946" s="50"/>
      <c r="K1946" s="58"/>
      <c r="L1946" s="6" t="s">
        <v>655</v>
      </c>
      <c r="M1946" s="52" t="s">
        <v>655</v>
      </c>
      <c r="N1946" s="53" t="s">
        <v>655</v>
      </c>
      <c r="O1946" s="6"/>
      <c r="P1946" s="6"/>
      <c r="Q1946" s="6"/>
      <c r="R1946" s="6"/>
    </row>
    <row r="1947">
      <c r="A1947" s="31"/>
      <c r="B1947" s="14"/>
      <c r="C1947" s="14"/>
      <c r="D1947" s="6"/>
      <c r="E1947" s="14"/>
      <c r="F1947" s="25"/>
      <c r="G1947" s="6"/>
      <c r="H1947" s="6"/>
      <c r="I1947" s="19"/>
      <c r="J1947" s="50"/>
      <c r="K1947" s="58"/>
      <c r="L1947" s="6" t="s">
        <v>655</v>
      </c>
      <c r="M1947" s="52" t="s">
        <v>655</v>
      </c>
      <c r="N1947" s="53" t="s">
        <v>655</v>
      </c>
      <c r="O1947" s="6"/>
      <c r="P1947" s="6"/>
      <c r="Q1947" s="6"/>
      <c r="R1947" s="6"/>
    </row>
    <row r="1948">
      <c r="A1948" s="31"/>
      <c r="B1948" s="14"/>
      <c r="C1948" s="14"/>
      <c r="D1948" s="6"/>
      <c r="E1948" s="14"/>
      <c r="F1948" s="25"/>
      <c r="G1948" s="6"/>
      <c r="H1948" s="6"/>
      <c r="I1948" s="19"/>
      <c r="J1948" s="50"/>
      <c r="K1948" s="58"/>
      <c r="L1948" s="6" t="s">
        <v>655</v>
      </c>
      <c r="M1948" s="52" t="s">
        <v>655</v>
      </c>
      <c r="N1948" s="53" t="s">
        <v>655</v>
      </c>
      <c r="O1948" s="6"/>
      <c r="P1948" s="6"/>
      <c r="Q1948" s="6"/>
      <c r="R1948" s="6"/>
    </row>
    <row r="1949">
      <c r="A1949" s="31"/>
      <c r="B1949" s="14"/>
      <c r="C1949" s="14"/>
      <c r="D1949" s="6"/>
      <c r="E1949" s="14"/>
      <c r="F1949" s="25"/>
      <c r="G1949" s="6"/>
      <c r="H1949" s="6"/>
      <c r="I1949" s="19"/>
      <c r="J1949" s="50"/>
      <c r="K1949" s="58"/>
      <c r="L1949" s="6" t="s">
        <v>655</v>
      </c>
      <c r="M1949" s="52" t="s">
        <v>655</v>
      </c>
      <c r="N1949" s="53" t="s">
        <v>655</v>
      </c>
      <c r="O1949" s="6"/>
      <c r="P1949" s="6"/>
      <c r="Q1949" s="6"/>
      <c r="R1949" s="6"/>
    </row>
    <row r="1950">
      <c r="A1950" s="31"/>
      <c r="B1950" s="14"/>
      <c r="C1950" s="14"/>
      <c r="D1950" s="6"/>
      <c r="E1950" s="14"/>
      <c r="F1950" s="25"/>
      <c r="G1950" s="6"/>
      <c r="H1950" s="6"/>
      <c r="I1950" s="19"/>
      <c r="J1950" s="50"/>
      <c r="K1950" s="58"/>
      <c r="L1950" s="6" t="s">
        <v>655</v>
      </c>
      <c r="M1950" s="52" t="s">
        <v>655</v>
      </c>
      <c r="N1950" s="53" t="s">
        <v>655</v>
      </c>
      <c r="O1950" s="6"/>
      <c r="P1950" s="6"/>
      <c r="Q1950" s="6"/>
      <c r="R1950" s="6"/>
    </row>
    <row r="1951">
      <c r="A1951" s="31"/>
      <c r="B1951" s="14"/>
      <c r="C1951" s="14"/>
      <c r="D1951" s="6"/>
      <c r="E1951" s="14"/>
      <c r="F1951" s="25"/>
      <c r="G1951" s="6"/>
      <c r="H1951" s="6"/>
      <c r="I1951" s="19"/>
      <c r="J1951" s="50"/>
      <c r="K1951" s="58"/>
      <c r="L1951" s="6" t="s">
        <v>655</v>
      </c>
      <c r="M1951" s="52" t="s">
        <v>655</v>
      </c>
      <c r="N1951" s="53" t="s">
        <v>655</v>
      </c>
      <c r="O1951" s="6"/>
      <c r="P1951" s="6"/>
      <c r="Q1951" s="6"/>
      <c r="R1951" s="6"/>
    </row>
    <row r="1952">
      <c r="A1952" s="31"/>
      <c r="B1952" s="14"/>
      <c r="C1952" s="14"/>
      <c r="D1952" s="6"/>
      <c r="E1952" s="14"/>
      <c r="F1952" s="25"/>
      <c r="G1952" s="6"/>
      <c r="H1952" s="6"/>
      <c r="I1952" s="19"/>
      <c r="J1952" s="50"/>
      <c r="K1952" s="58"/>
      <c r="L1952" s="6" t="s">
        <v>655</v>
      </c>
      <c r="M1952" s="52" t="s">
        <v>655</v>
      </c>
      <c r="N1952" s="53" t="s">
        <v>655</v>
      </c>
      <c r="O1952" s="6"/>
      <c r="P1952" s="6"/>
      <c r="Q1952" s="6"/>
      <c r="R1952" s="6"/>
    </row>
    <row r="1953">
      <c r="A1953" s="31"/>
      <c r="B1953" s="14"/>
      <c r="C1953" s="14"/>
      <c r="D1953" s="6"/>
      <c r="E1953" s="14"/>
      <c r="F1953" s="25"/>
      <c r="G1953" s="6"/>
      <c r="H1953" s="6"/>
      <c r="I1953" s="19"/>
      <c r="J1953" s="50"/>
      <c r="K1953" s="58"/>
      <c r="L1953" s="6" t="s">
        <v>655</v>
      </c>
      <c r="M1953" s="52" t="s">
        <v>655</v>
      </c>
      <c r="N1953" s="53" t="s">
        <v>655</v>
      </c>
      <c r="O1953" s="6"/>
      <c r="P1953" s="6"/>
      <c r="Q1953" s="6"/>
      <c r="R1953" s="6"/>
    </row>
    <row r="1954">
      <c r="A1954" s="31"/>
      <c r="B1954" s="14"/>
      <c r="C1954" s="14"/>
      <c r="D1954" s="6"/>
      <c r="E1954" s="14"/>
      <c r="F1954" s="25"/>
      <c r="G1954" s="6"/>
      <c r="H1954" s="6"/>
      <c r="I1954" s="19"/>
      <c r="J1954" s="50"/>
      <c r="K1954" s="58"/>
      <c r="L1954" s="6" t="s">
        <v>655</v>
      </c>
      <c r="M1954" s="52" t="s">
        <v>655</v>
      </c>
      <c r="N1954" s="53" t="s">
        <v>655</v>
      </c>
      <c r="O1954" s="6"/>
      <c r="P1954" s="6"/>
      <c r="Q1954" s="6"/>
      <c r="R1954" s="6"/>
    </row>
    <row r="1955">
      <c r="A1955" s="31"/>
      <c r="B1955" s="14"/>
      <c r="C1955" s="14"/>
      <c r="D1955" s="6"/>
      <c r="E1955" s="14"/>
      <c r="F1955" s="25"/>
      <c r="G1955" s="6"/>
      <c r="H1955" s="6"/>
      <c r="I1955" s="19"/>
      <c r="J1955" s="50"/>
      <c r="K1955" s="58"/>
      <c r="L1955" s="6" t="s">
        <v>655</v>
      </c>
      <c r="M1955" s="52" t="s">
        <v>655</v>
      </c>
      <c r="N1955" s="53" t="s">
        <v>655</v>
      </c>
      <c r="O1955" s="6"/>
      <c r="P1955" s="6"/>
      <c r="Q1955" s="6"/>
      <c r="R1955" s="6"/>
    </row>
    <row r="1956">
      <c r="A1956" s="31"/>
      <c r="B1956" s="14"/>
      <c r="C1956" s="14"/>
      <c r="D1956" s="6"/>
      <c r="E1956" s="14"/>
      <c r="F1956" s="25"/>
      <c r="G1956" s="6"/>
      <c r="H1956" s="6"/>
      <c r="I1956" s="19"/>
      <c r="J1956" s="50"/>
      <c r="K1956" s="58"/>
      <c r="L1956" s="6" t="s">
        <v>655</v>
      </c>
      <c r="M1956" s="52" t="s">
        <v>655</v>
      </c>
      <c r="N1956" s="53" t="s">
        <v>655</v>
      </c>
      <c r="O1956" s="6"/>
      <c r="P1956" s="6"/>
      <c r="Q1956" s="6"/>
      <c r="R1956" s="6"/>
    </row>
    <row r="1957">
      <c r="A1957" s="31"/>
      <c r="B1957" s="14"/>
      <c r="C1957" s="14"/>
      <c r="D1957" s="6"/>
      <c r="E1957" s="14"/>
      <c r="F1957" s="25"/>
      <c r="G1957" s="6"/>
      <c r="H1957" s="6"/>
      <c r="I1957" s="19"/>
      <c r="J1957" s="50"/>
      <c r="K1957" s="58"/>
      <c r="L1957" s="6" t="s">
        <v>655</v>
      </c>
      <c r="M1957" s="52" t="s">
        <v>655</v>
      </c>
      <c r="N1957" s="53" t="s">
        <v>655</v>
      </c>
      <c r="O1957" s="6"/>
      <c r="P1957" s="6"/>
      <c r="Q1957" s="6"/>
      <c r="R1957" s="6"/>
    </row>
    <row r="1958">
      <c r="A1958" s="31"/>
      <c r="B1958" s="14"/>
      <c r="C1958" s="14"/>
      <c r="D1958" s="6"/>
      <c r="E1958" s="14"/>
      <c r="F1958" s="25"/>
      <c r="G1958" s="6"/>
      <c r="H1958" s="6"/>
      <c r="I1958" s="19"/>
      <c r="J1958" s="50"/>
      <c r="K1958" s="58"/>
      <c r="L1958" s="6" t="s">
        <v>655</v>
      </c>
      <c r="M1958" s="52" t="s">
        <v>655</v>
      </c>
      <c r="N1958" s="53" t="s">
        <v>655</v>
      </c>
      <c r="O1958" s="6"/>
      <c r="P1958" s="6"/>
      <c r="Q1958" s="6"/>
      <c r="R1958" s="6"/>
    </row>
    <row r="1959">
      <c r="A1959" s="31"/>
      <c r="B1959" s="14"/>
      <c r="C1959" s="14"/>
      <c r="D1959" s="6"/>
      <c r="E1959" s="14"/>
      <c r="F1959" s="25"/>
      <c r="G1959" s="6"/>
      <c r="H1959" s="6"/>
      <c r="I1959" s="19"/>
      <c r="J1959" s="50"/>
      <c r="K1959" s="58"/>
      <c r="L1959" s="6" t="s">
        <v>655</v>
      </c>
      <c r="M1959" s="52" t="s">
        <v>655</v>
      </c>
      <c r="N1959" s="53" t="s">
        <v>655</v>
      </c>
      <c r="O1959" s="6"/>
      <c r="P1959" s="6"/>
      <c r="Q1959" s="6"/>
      <c r="R1959" s="6"/>
    </row>
    <row r="1960">
      <c r="A1960" s="31"/>
      <c r="B1960" s="14"/>
      <c r="C1960" s="14"/>
      <c r="D1960" s="6"/>
      <c r="E1960" s="14"/>
      <c r="F1960" s="25"/>
      <c r="G1960" s="6"/>
      <c r="H1960" s="6"/>
      <c r="I1960" s="19"/>
      <c r="J1960" s="50"/>
      <c r="K1960" s="58"/>
      <c r="L1960" s="6" t="s">
        <v>655</v>
      </c>
      <c r="M1960" s="52" t="s">
        <v>655</v>
      </c>
      <c r="N1960" s="53" t="s">
        <v>655</v>
      </c>
      <c r="O1960" s="6"/>
      <c r="P1960" s="6"/>
      <c r="Q1960" s="6"/>
      <c r="R1960" s="6"/>
    </row>
    <row r="1961">
      <c r="A1961" s="31"/>
      <c r="B1961" s="14"/>
      <c r="C1961" s="14"/>
      <c r="D1961" s="6"/>
      <c r="E1961" s="14"/>
      <c r="F1961" s="25"/>
      <c r="G1961" s="6"/>
      <c r="H1961" s="6"/>
      <c r="I1961" s="19"/>
      <c r="J1961" s="50"/>
      <c r="K1961" s="58"/>
      <c r="L1961" s="6" t="s">
        <v>655</v>
      </c>
      <c r="M1961" s="52" t="s">
        <v>655</v>
      </c>
      <c r="N1961" s="53" t="s">
        <v>655</v>
      </c>
      <c r="O1961" s="6"/>
      <c r="P1961" s="6"/>
      <c r="Q1961" s="6"/>
      <c r="R1961" s="6"/>
    </row>
    <row r="1962">
      <c r="A1962" s="31"/>
      <c r="B1962" s="14"/>
      <c r="C1962" s="14"/>
      <c r="D1962" s="6"/>
      <c r="E1962" s="14"/>
      <c r="F1962" s="25"/>
      <c r="G1962" s="6"/>
      <c r="H1962" s="6"/>
      <c r="I1962" s="19"/>
      <c r="J1962" s="50"/>
      <c r="K1962" s="58"/>
      <c r="L1962" s="6" t="s">
        <v>655</v>
      </c>
      <c r="M1962" s="52" t="s">
        <v>655</v>
      </c>
      <c r="N1962" s="53" t="s">
        <v>655</v>
      </c>
      <c r="O1962" s="6"/>
      <c r="P1962" s="6"/>
      <c r="Q1962" s="6"/>
      <c r="R1962" s="6"/>
    </row>
    <row r="1963">
      <c r="A1963" s="31"/>
      <c r="B1963" s="14"/>
      <c r="C1963" s="14"/>
      <c r="D1963" s="6"/>
      <c r="E1963" s="14"/>
      <c r="F1963" s="25"/>
      <c r="G1963" s="6"/>
      <c r="H1963" s="6"/>
      <c r="I1963" s="19"/>
      <c r="J1963" s="50"/>
      <c r="K1963" s="58"/>
      <c r="L1963" s="6" t="s">
        <v>655</v>
      </c>
      <c r="M1963" s="52" t="s">
        <v>655</v>
      </c>
      <c r="N1963" s="53" t="s">
        <v>655</v>
      </c>
      <c r="O1963" s="6"/>
      <c r="P1963" s="6"/>
      <c r="Q1963" s="6"/>
      <c r="R1963" s="6"/>
    </row>
    <row r="1964">
      <c r="A1964" s="31"/>
      <c r="B1964" s="14"/>
      <c r="C1964" s="14"/>
      <c r="D1964" s="6"/>
      <c r="E1964" s="14"/>
      <c r="F1964" s="25"/>
      <c r="G1964" s="6"/>
      <c r="H1964" s="6"/>
      <c r="I1964" s="19"/>
      <c r="J1964" s="50"/>
      <c r="K1964" s="58"/>
      <c r="L1964" s="6" t="s">
        <v>655</v>
      </c>
      <c r="M1964" s="52" t="s">
        <v>655</v>
      </c>
      <c r="N1964" s="53" t="s">
        <v>655</v>
      </c>
      <c r="O1964" s="6"/>
      <c r="P1964" s="6"/>
      <c r="Q1964" s="6"/>
      <c r="R1964" s="6"/>
    </row>
    <row r="1965">
      <c r="A1965" s="31"/>
      <c r="B1965" s="14"/>
      <c r="C1965" s="14"/>
      <c r="D1965" s="6"/>
      <c r="E1965" s="14"/>
      <c r="F1965" s="25"/>
      <c r="G1965" s="6"/>
      <c r="H1965" s="6"/>
      <c r="I1965" s="19"/>
      <c r="J1965" s="50"/>
      <c r="K1965" s="58"/>
      <c r="L1965" s="6" t="s">
        <v>655</v>
      </c>
      <c r="M1965" s="52" t="s">
        <v>655</v>
      </c>
      <c r="N1965" s="53" t="s">
        <v>655</v>
      </c>
      <c r="O1965" s="6"/>
      <c r="P1965" s="6"/>
      <c r="Q1965" s="6"/>
      <c r="R1965" s="6"/>
    </row>
    <row r="1966">
      <c r="A1966" s="31"/>
      <c r="B1966" s="14"/>
      <c r="C1966" s="14"/>
      <c r="D1966" s="6"/>
      <c r="E1966" s="14"/>
      <c r="F1966" s="25"/>
      <c r="G1966" s="6"/>
      <c r="H1966" s="6"/>
      <c r="I1966" s="19"/>
      <c r="J1966" s="50"/>
      <c r="K1966" s="58"/>
      <c r="L1966" s="6" t="s">
        <v>655</v>
      </c>
      <c r="M1966" s="52" t="s">
        <v>655</v>
      </c>
      <c r="N1966" s="53" t="s">
        <v>655</v>
      </c>
      <c r="O1966" s="6"/>
      <c r="P1966" s="6"/>
      <c r="Q1966" s="6"/>
      <c r="R1966" s="6"/>
    </row>
    <row r="1967">
      <c r="A1967" s="31"/>
      <c r="B1967" s="14"/>
      <c r="C1967" s="14"/>
      <c r="D1967" s="6"/>
      <c r="E1967" s="14"/>
      <c r="F1967" s="25"/>
      <c r="G1967" s="6"/>
      <c r="H1967" s="6"/>
      <c r="I1967" s="19"/>
      <c r="J1967" s="50"/>
      <c r="K1967" s="58"/>
      <c r="L1967" s="6" t="s">
        <v>655</v>
      </c>
      <c r="M1967" s="52" t="s">
        <v>655</v>
      </c>
      <c r="N1967" s="53" t="s">
        <v>655</v>
      </c>
      <c r="O1967" s="6"/>
      <c r="P1967" s="6"/>
      <c r="Q1967" s="6"/>
      <c r="R1967" s="6"/>
    </row>
    <row r="1968">
      <c r="A1968" s="31"/>
      <c r="B1968" s="14"/>
      <c r="C1968" s="14"/>
      <c r="D1968" s="6"/>
      <c r="E1968" s="14"/>
      <c r="F1968" s="25"/>
      <c r="G1968" s="6"/>
      <c r="H1968" s="6"/>
      <c r="I1968" s="19"/>
      <c r="J1968" s="50"/>
      <c r="K1968" s="58"/>
      <c r="L1968" s="6" t="s">
        <v>655</v>
      </c>
      <c r="M1968" s="52" t="s">
        <v>655</v>
      </c>
      <c r="N1968" s="53" t="s">
        <v>655</v>
      </c>
      <c r="O1968" s="6"/>
      <c r="P1968" s="6"/>
      <c r="Q1968" s="6"/>
      <c r="R1968" s="6"/>
    </row>
    <row r="1969">
      <c r="A1969" s="31"/>
      <c r="B1969" s="14"/>
      <c r="C1969" s="14"/>
      <c r="D1969" s="6"/>
      <c r="E1969" s="14"/>
      <c r="F1969" s="25"/>
      <c r="G1969" s="6"/>
      <c r="H1969" s="6"/>
      <c r="I1969" s="19"/>
      <c r="J1969" s="50"/>
      <c r="K1969" s="58"/>
      <c r="L1969" s="6" t="s">
        <v>655</v>
      </c>
      <c r="M1969" s="52" t="s">
        <v>655</v>
      </c>
      <c r="N1969" s="53" t="s">
        <v>655</v>
      </c>
      <c r="O1969" s="6"/>
      <c r="P1969" s="6"/>
      <c r="Q1969" s="6"/>
      <c r="R1969" s="6"/>
    </row>
    <row r="1970">
      <c r="A1970" s="31"/>
      <c r="B1970" s="14"/>
      <c r="C1970" s="14"/>
      <c r="D1970" s="6"/>
      <c r="E1970" s="14"/>
      <c r="F1970" s="25"/>
      <c r="G1970" s="6"/>
      <c r="H1970" s="6"/>
      <c r="I1970" s="19"/>
      <c r="J1970" s="50"/>
      <c r="K1970" s="58"/>
      <c r="L1970" s="6" t="s">
        <v>655</v>
      </c>
      <c r="M1970" s="52" t="s">
        <v>655</v>
      </c>
      <c r="N1970" s="53" t="s">
        <v>655</v>
      </c>
      <c r="O1970" s="6"/>
      <c r="P1970" s="6"/>
      <c r="Q1970" s="6"/>
      <c r="R1970" s="6"/>
    </row>
    <row r="1971">
      <c r="A1971" s="31"/>
      <c r="B1971" s="14"/>
      <c r="C1971" s="14"/>
      <c r="D1971" s="6"/>
      <c r="E1971" s="14"/>
      <c r="F1971" s="25"/>
      <c r="G1971" s="6"/>
      <c r="H1971" s="6"/>
      <c r="I1971" s="19"/>
      <c r="J1971" s="50"/>
      <c r="K1971" s="58"/>
      <c r="L1971" s="6" t="s">
        <v>655</v>
      </c>
      <c r="M1971" s="52" t="s">
        <v>655</v>
      </c>
      <c r="N1971" s="53" t="s">
        <v>655</v>
      </c>
      <c r="O1971" s="6"/>
      <c r="P1971" s="6"/>
      <c r="Q1971" s="6"/>
      <c r="R1971" s="6"/>
    </row>
    <row r="1972">
      <c r="A1972" s="31"/>
      <c r="B1972" s="14"/>
      <c r="C1972" s="14"/>
      <c r="D1972" s="6"/>
      <c r="E1972" s="14"/>
      <c r="F1972" s="25"/>
      <c r="G1972" s="6"/>
      <c r="H1972" s="6"/>
      <c r="I1972" s="19"/>
      <c r="J1972" s="50"/>
      <c r="K1972" s="58"/>
      <c r="L1972" s="6" t="s">
        <v>655</v>
      </c>
      <c r="M1972" s="52" t="s">
        <v>655</v>
      </c>
      <c r="N1972" s="53" t="s">
        <v>655</v>
      </c>
      <c r="O1972" s="6"/>
      <c r="P1972" s="6"/>
      <c r="Q1972" s="6"/>
      <c r="R1972" s="6"/>
    </row>
    <row r="1973">
      <c r="A1973" s="31"/>
      <c r="B1973" s="14"/>
      <c r="C1973" s="14"/>
      <c r="D1973" s="6"/>
      <c r="E1973" s="14"/>
      <c r="F1973" s="25"/>
      <c r="G1973" s="6"/>
      <c r="H1973" s="6"/>
      <c r="I1973" s="19"/>
      <c r="J1973" s="50"/>
      <c r="K1973" s="58"/>
      <c r="L1973" s="6" t="s">
        <v>655</v>
      </c>
      <c r="M1973" s="52" t="s">
        <v>655</v>
      </c>
      <c r="N1973" s="53" t="s">
        <v>655</v>
      </c>
      <c r="O1973" s="6"/>
      <c r="P1973" s="6"/>
      <c r="Q1973" s="6"/>
      <c r="R1973" s="6"/>
    </row>
    <row r="1974">
      <c r="A1974" s="31"/>
      <c r="B1974" s="14"/>
      <c r="C1974" s="14"/>
      <c r="D1974" s="6"/>
      <c r="E1974" s="14"/>
      <c r="F1974" s="25"/>
      <c r="G1974" s="6"/>
      <c r="H1974" s="6"/>
      <c r="I1974" s="19"/>
      <c r="J1974" s="50"/>
      <c r="K1974" s="58"/>
      <c r="L1974" s="6" t="s">
        <v>655</v>
      </c>
      <c r="M1974" s="52" t="s">
        <v>655</v>
      </c>
      <c r="N1974" s="53" t="s">
        <v>655</v>
      </c>
      <c r="O1974" s="6"/>
      <c r="P1974" s="6"/>
      <c r="Q1974" s="6"/>
      <c r="R1974" s="6"/>
    </row>
    <row r="1975">
      <c r="A1975" s="31"/>
      <c r="B1975" s="14"/>
      <c r="C1975" s="14"/>
      <c r="D1975" s="6"/>
      <c r="E1975" s="14"/>
      <c r="F1975" s="25"/>
      <c r="G1975" s="6"/>
      <c r="H1975" s="6"/>
      <c r="I1975" s="19"/>
      <c r="J1975" s="50"/>
      <c r="K1975" s="58"/>
      <c r="L1975" s="6" t="s">
        <v>655</v>
      </c>
      <c r="M1975" s="52" t="s">
        <v>655</v>
      </c>
      <c r="N1975" s="53" t="s">
        <v>655</v>
      </c>
      <c r="O1975" s="6"/>
      <c r="P1975" s="6"/>
      <c r="Q1975" s="6"/>
      <c r="R1975" s="6"/>
    </row>
  </sheetData>
  <autoFilter ref="$A$13:$Z$1634"/>
  <hyperlinks>
    <hyperlink r:id="rId1" location="gid=0" ref="D1"/>
    <hyperlink r:id="rId2" location="gid=796994001" ref="D3"/>
    <hyperlink r:id="rId3" location="gid=0" ref="D4"/>
    <hyperlink r:id="rId4" location="gid=0" ref="D5"/>
    <hyperlink r:id="rId5" location="gid=0" ref="D6"/>
    <hyperlink r:id="rId6" location="gid=0" ref="D7"/>
    <hyperlink r:id="rId7" location="gid=0" ref="D8"/>
    <hyperlink r:id="rId8" location="gid=0" ref="D9"/>
    <hyperlink r:id="rId9" location="gid=1222968113" ref="H14"/>
    <hyperlink r:id="rId10" location="gid=1038633275" ref="H17"/>
    <hyperlink r:id="rId11" location="gid=717172873" ref="H18"/>
    <hyperlink r:id="rId12" location="gid=2058696561" ref="H19"/>
    <hyperlink r:id="rId13" location="gid=600337697" ref="H20"/>
    <hyperlink r:id="rId14" location="gid=23825357" ref="H21"/>
    <hyperlink r:id="rId15" location="gid=1122822598" ref="H22"/>
    <hyperlink r:id="rId16" location="gid=326698304" ref="H23"/>
    <hyperlink r:id="rId17" location="gid=739392640" ref="H24"/>
    <hyperlink r:id="rId18" location="gid=891835937" ref="H25"/>
    <hyperlink r:id="rId19" location="gid=808640473" ref="H26"/>
    <hyperlink r:id="rId20" location="gid=1039816960" ref="H27"/>
    <hyperlink r:id="rId21" location="gid=1117601488" ref="H28"/>
    <hyperlink r:id="rId22" location="gid=77612996" ref="H29"/>
    <hyperlink r:id="rId23" ref="I29"/>
    <hyperlink r:id="rId24" location="gid=1143459343" ref="H30"/>
    <hyperlink r:id="rId25" location="gid=1112644991" ref="H31"/>
    <hyperlink r:id="rId26" location="gid=1098291501" ref="H32"/>
    <hyperlink r:id="rId27" location="gid=2086114011" ref="H33"/>
    <hyperlink r:id="rId28" location="gid=1094262803" ref="H34"/>
    <hyperlink r:id="rId29" location="gid=2132720371" ref="H35"/>
    <hyperlink r:id="rId30" ref="I35"/>
    <hyperlink r:id="rId31" location="gid=1857713469" ref="H36"/>
    <hyperlink r:id="rId32" location="gid=234638124" ref="H37"/>
    <hyperlink r:id="rId33" location="gid=570396026" ref="H38"/>
    <hyperlink r:id="rId34" location="gid=418899370" ref="H39"/>
    <hyperlink r:id="rId35" location="gid=1447691158" ref="H40"/>
    <hyperlink r:id="rId36" location="gid=1447691158" ref="H41"/>
    <hyperlink r:id="rId37" location="gid=465129833" ref="H42"/>
    <hyperlink r:id="rId38" location="gid=1454312032" ref="H44"/>
    <hyperlink r:id="rId39" location="gid=1190089568" ref="H48"/>
    <hyperlink r:id="rId40" location="gid=700032418" ref="H49"/>
    <hyperlink r:id="rId41" location="gid=1830744104" ref="H50"/>
    <hyperlink r:id="rId42" location="gid=987830810" ref="H51"/>
    <hyperlink r:id="rId43" location="gid=1592533153" ref="H52"/>
    <hyperlink r:id="rId44" location="gid=2074952134" ref="H53"/>
    <hyperlink r:id="rId45" location="gid=1089584377" ref="H54"/>
    <hyperlink r:id="rId46" location="gid=1838546198" ref="H61"/>
    <hyperlink r:id="rId47" location="gid=406504917" ref="H110"/>
    <hyperlink r:id="rId48" location="gid=673886496" ref="H111"/>
    <hyperlink r:id="rId49" ref="I111"/>
    <hyperlink r:id="rId50" location="gid=1005264754" ref="H112"/>
    <hyperlink r:id="rId51" location="gid=2057787589" ref="H113"/>
    <hyperlink r:id="rId52" location="gid=566495818" ref="H114"/>
    <hyperlink r:id="rId53" location="gid=1755627096" ref="H115"/>
    <hyperlink r:id="rId54" location="gid=1460101979" ref="H116"/>
    <hyperlink r:id="rId55" location="gid=1724951288" ref="H117"/>
    <hyperlink r:id="rId56" location="gid=1645222765" ref="H118"/>
    <hyperlink r:id="rId57" location="gid=649028784" ref="H119"/>
    <hyperlink r:id="rId58" location="gid=1519561806" ref="H120"/>
    <hyperlink r:id="rId59" location="gid=1434066436" ref="H121"/>
    <hyperlink r:id="rId60" location="gid=944368290" ref="H122"/>
    <hyperlink r:id="rId61" location="gid=1462059153" ref="H123"/>
    <hyperlink r:id="rId62" location="gid=1851450243" ref="H124"/>
    <hyperlink r:id="rId63" location="gid=809581458" ref="H125"/>
    <hyperlink r:id="rId64" location="gid=1930019775" ref="H126"/>
    <hyperlink r:id="rId65" location="gid=1466023727" ref="H127"/>
    <hyperlink r:id="rId66" location="gid=779020277" ref="H128"/>
    <hyperlink r:id="rId67" location="gid=1995746861" ref="H129"/>
    <hyperlink r:id="rId68" location="gid=493360007" ref="H130"/>
    <hyperlink r:id="rId69" ref="I131"/>
    <hyperlink r:id="rId70" location="gid=1323324485" ref="H136"/>
    <hyperlink r:id="rId71" location="gid=1601148863" ref="H141"/>
    <hyperlink r:id="rId72" location="gid=483786929" ref="H142"/>
    <hyperlink r:id="rId73" location="gid=678601315" ref="H143"/>
    <hyperlink r:id="rId74" ref="I143"/>
    <hyperlink r:id="rId75" location="gid=963444236" ref="H144"/>
    <hyperlink r:id="rId76" ref="I144"/>
    <hyperlink r:id="rId77" location="gid=867799308" ref="H145"/>
    <hyperlink r:id="rId78" location="gid=1122098062" ref="H147"/>
    <hyperlink r:id="rId79" location="gid=1703085430" ref="H148"/>
    <hyperlink r:id="rId80" location="gid=1094262803" ref="H149"/>
    <hyperlink r:id="rId81" location="gid=1295057076" ref="H150"/>
    <hyperlink r:id="rId82" location="gid=1404088730" ref="H151"/>
    <hyperlink r:id="rId83" location="gid=1728236412" ref="H152"/>
    <hyperlink r:id="rId84" location="gid=1264375992" ref="H153"/>
    <hyperlink r:id="rId85" location="gid=1223406646" ref="H154"/>
    <hyperlink r:id="rId86" location="gid=994703710" ref="H155"/>
    <hyperlink r:id="rId87" location="gid=178055917" ref="H156"/>
    <hyperlink r:id="rId88" location="gid=1230967250" ref="H158"/>
    <hyperlink r:id="rId89" location="gid=1070135596" ref="H159"/>
    <hyperlink r:id="rId90" location="gid=1671517751" ref="H176"/>
    <hyperlink r:id="rId91" location="gid=2116230963" ref="H177"/>
    <hyperlink r:id="rId92" location="gid=745287457" ref="H178"/>
    <hyperlink r:id="rId93" location="gid=1483169462" ref="H179"/>
    <hyperlink r:id="rId94" location="gid=1300135145" ref="H180"/>
    <hyperlink r:id="rId95" ref="I180"/>
    <hyperlink r:id="rId96" location="gid=2011759996" ref="H181"/>
    <hyperlink r:id="rId97" ref="I181"/>
    <hyperlink r:id="rId98" location="gid=1566731730" ref="H182"/>
    <hyperlink r:id="rId99" ref="I182"/>
    <hyperlink r:id="rId100" location="gid=1014561501" ref="H183"/>
    <hyperlink r:id="rId101" ref="I183"/>
    <hyperlink r:id="rId102" location="gid=886266246" ref="H184"/>
    <hyperlink r:id="rId103" ref="I184"/>
    <hyperlink r:id="rId104" location="gid=1809572747" ref="H185"/>
    <hyperlink r:id="rId105" location="gid=2067153840" ref="H186"/>
    <hyperlink r:id="rId106" location="gid=1442718959" ref="H187"/>
    <hyperlink r:id="rId107" location="gid=821057082" ref="H188"/>
    <hyperlink r:id="rId108" location="gid=577400276" ref="H189"/>
    <hyperlink r:id="rId109" location="gid=1288909819" ref="H190"/>
    <hyperlink r:id="rId110" location="gid=1628703806" ref="H191"/>
    <hyperlink r:id="rId111" location="gid=1845109853" ref="H192"/>
    <hyperlink r:id="rId112" location="gid=1305358292" ref="H193"/>
    <hyperlink r:id="rId113" location="gid=392359480" ref="H195"/>
    <hyperlink r:id="rId114" location="gid=1120669271" ref="H196"/>
    <hyperlink r:id="rId115" location="gid=920768533" ref="H197"/>
    <hyperlink r:id="rId116" location="gid=908182805" ref="H198"/>
    <hyperlink r:id="rId117" location="gid=1311899156" ref="H199"/>
    <hyperlink r:id="rId118" location="gid=242811066" ref="H200"/>
    <hyperlink r:id="rId119" location="gid=1798082760" ref="H201"/>
    <hyperlink r:id="rId120" location="gid=462766492" ref="H204"/>
    <hyperlink r:id="rId121" location="gid=2006507373" ref="H205"/>
    <hyperlink r:id="rId122" location="gid=1232103407" ref="H206"/>
    <hyperlink r:id="rId123" location="gid=224508896" ref="H212"/>
    <hyperlink r:id="rId124" location="gid=276277917" ref="H239"/>
    <hyperlink r:id="rId125" ref="I239"/>
    <hyperlink r:id="rId126" location="gid=1312683414" ref="H240"/>
    <hyperlink r:id="rId127" ref="I240"/>
    <hyperlink r:id="rId128" location="gid=2126809757" ref="H248"/>
    <hyperlink r:id="rId129" location="gid=1037526455" ref="H252"/>
    <hyperlink r:id="rId130" location="gid=1593340955" ref="H253"/>
    <hyperlink r:id="rId131" location="gid=1429092860" ref="H255"/>
    <hyperlink r:id="rId132" location="gid=1127401829" ref="H256"/>
    <hyperlink r:id="rId133" ref="I256"/>
    <hyperlink r:id="rId134" location="gid=38060356" ref="H257"/>
    <hyperlink r:id="rId135" location="gid=440902567" ref="H278"/>
    <hyperlink r:id="rId136" location="gid=1648385259" ref="H318"/>
    <hyperlink r:id="rId137" location="gid=1357245149" ref="H334"/>
    <hyperlink r:id="rId138" location="gid=901281284" ref="H335"/>
    <hyperlink r:id="rId139" ref="I335"/>
    <hyperlink r:id="rId140" location="gid=1015756216" ref="H337"/>
    <hyperlink r:id="rId141" location="gid=894458513" ref="H339"/>
    <hyperlink r:id="rId142" location="gid=962200403" ref="H340"/>
    <hyperlink r:id="rId143" location="gid=425127641" ref="H341"/>
    <hyperlink r:id="rId144" location="gid=632356132" ref="H350"/>
    <hyperlink r:id="rId145" location="gid=1665960639" ref="H351"/>
    <hyperlink r:id="rId146" location="gid=272480543" ref="H352"/>
    <hyperlink r:id="rId147" location="gid=869183546" ref="H353"/>
    <hyperlink r:id="rId148" location="gid=2082220203" ref="H354"/>
    <hyperlink r:id="rId149" location="gid=488139747" ref="H355"/>
    <hyperlink r:id="rId150" location="gid=1355578633" ref="H356"/>
    <hyperlink r:id="rId151" location="gid=288749714" ref="H357"/>
    <hyperlink r:id="rId152" location="gid=1849856896" ref="H358"/>
    <hyperlink r:id="rId153" location="gid=1697091636" ref="H359"/>
    <hyperlink r:id="rId154" location="gid=1652446948" ref="H360"/>
    <hyperlink r:id="rId155" location="gid=981800361" ref="H361"/>
    <hyperlink r:id="rId156" location="gid=955409547" ref="H362"/>
    <hyperlink r:id="rId157" location="gid=1377920249" ref="H363"/>
    <hyperlink r:id="rId158" location="gid=1529981182" ref="H364"/>
    <hyperlink r:id="rId159" location="gid=876314098" ref="H366"/>
    <hyperlink r:id="rId160" location="gid=1666294966" ref="H367"/>
    <hyperlink r:id="rId161" location="gid=444385228" ref="H368"/>
    <hyperlink r:id="rId162" location="gid=1261418769" ref="H369"/>
    <hyperlink r:id="rId163" ref="I369"/>
    <hyperlink r:id="rId164" location="gid=808158041" ref="H370"/>
    <hyperlink r:id="rId165" ref="I370"/>
    <hyperlink r:id="rId166" location="gid=1559792467" ref="H376"/>
    <hyperlink r:id="rId167" location="gid=1430585638" ref="H377"/>
    <hyperlink r:id="rId168" ref="I377"/>
    <hyperlink r:id="rId169" location="gid=921189634" ref="H378"/>
    <hyperlink r:id="rId170" location="gid=1314726953" ref="H386"/>
    <hyperlink r:id="rId171" location="gid=1865118876" ref="H387"/>
    <hyperlink r:id="rId172" ref="I387"/>
    <hyperlink r:id="rId173" location="gid=540806573" ref="H391"/>
    <hyperlink r:id="rId174" location="gid=1318424610" ref="H403"/>
    <hyperlink r:id="rId175" location="gid=68210689" ref="H404"/>
    <hyperlink r:id="rId176" location="gid=862186919" ref="H405"/>
    <hyperlink r:id="rId177" location="gid=80969039" ref="H406"/>
    <hyperlink r:id="rId178" location="gid=1539095406" ref="H409"/>
    <hyperlink r:id="rId179" location="gid=123308300" ref="H410"/>
    <hyperlink r:id="rId180" location="gid=697664258" ref="H414"/>
    <hyperlink r:id="rId181" location="gid=2022377090" ref="H415"/>
    <hyperlink r:id="rId182" location="gid=913968712" ref="H416"/>
    <hyperlink r:id="rId183" location="gid=363363152" ref="H422"/>
    <hyperlink r:id="rId184" location="gid=799259912" ref="H424"/>
    <hyperlink r:id="rId185" location="gid=411584618" ref="H425"/>
    <hyperlink r:id="rId186" location="gid=1064873250" ref="H426"/>
    <hyperlink r:id="rId187" location="gid=489526164" ref="H433"/>
    <hyperlink r:id="rId188" ref="I433"/>
    <hyperlink r:id="rId189" location="gid=337450969" ref="H434"/>
    <hyperlink r:id="rId190" ref="I434"/>
    <hyperlink r:id="rId191" location="gid=1435875576" ref="H435"/>
    <hyperlink r:id="rId192" ref="I435"/>
    <hyperlink r:id="rId193" ref="I436"/>
    <hyperlink r:id="rId194" location="gid=141428453" ref="H437"/>
    <hyperlink r:id="rId195" location="gid=140939233" ref="H445"/>
    <hyperlink r:id="rId196" location="gid=310058684" ref="H446"/>
    <hyperlink r:id="rId197" ref="I446"/>
    <hyperlink r:id="rId198" location="gid=1145227752" ref="H447"/>
    <hyperlink r:id="rId199" location="gid=1109188996" ref="H448"/>
    <hyperlink r:id="rId200" location="gid=613124997" ref="H460"/>
    <hyperlink r:id="rId201" location="gid=2114429362" ref="H467"/>
    <hyperlink r:id="rId202" location="gid=662134191" ref="H468"/>
    <hyperlink r:id="rId203" location="gid=343288429" ref="H474"/>
    <hyperlink r:id="rId204" location="gid=1771081492" ref="H485"/>
    <hyperlink r:id="rId205" location="gid=274135139" ref="H486"/>
    <hyperlink r:id="rId206" location="gid=274135139" ref="H487"/>
    <hyperlink r:id="rId207" location="gid=274135139" ref="H488"/>
    <hyperlink r:id="rId208" location="gid=2098961178" ref="H504"/>
    <hyperlink r:id="rId209" ref="I505"/>
    <hyperlink r:id="rId210" location="gid=1251606175" ref="H511"/>
    <hyperlink r:id="rId211" location="gid=330165580" ref="H512"/>
    <hyperlink r:id="rId212" location="gid=950438285" ref="H513"/>
    <hyperlink r:id="rId213" location="gid=1703085430" ref="H514"/>
    <hyperlink r:id="rId214" location="gid=734388632" ref="H515"/>
    <hyperlink r:id="rId215" location="gid=1201519029" ref="H516"/>
    <hyperlink r:id="rId216" location="gid=251201264" ref="H517"/>
    <hyperlink r:id="rId217" location="gid=1327731705" ref="H518"/>
    <hyperlink r:id="rId218" location="gid=969577696" ref="H519"/>
    <hyperlink r:id="rId219" location="gid=1562121210" ref="H520"/>
    <hyperlink r:id="rId220" location="gid=48405114" ref="H521"/>
    <hyperlink r:id="rId221" location="gid=1469752331" ref="H526"/>
    <hyperlink r:id="rId222" location="gid=1469752331" ref="H527"/>
    <hyperlink r:id="rId223" location="gid=1179595420" ref="H528"/>
    <hyperlink r:id="rId224" location="gid=1179595420" ref="H529"/>
    <hyperlink r:id="rId225" location="gid=1179595420" ref="H530"/>
    <hyperlink r:id="rId226" location="gid=481187794" ref="H535"/>
    <hyperlink r:id="rId227" location="gid=670602752" ref="H537"/>
    <hyperlink r:id="rId228" location="gid=1882277180" ref="H538"/>
    <hyperlink r:id="rId229" location="gid=678589478" ref="H539"/>
    <hyperlink r:id="rId230" location="gid=481187794" ref="H540"/>
    <hyperlink r:id="rId231" location="gid=908346785" ref="H546"/>
    <hyperlink r:id="rId232" location="gid=952023246" ref="H547"/>
    <hyperlink r:id="rId233" ref="I547"/>
    <hyperlink r:id="rId234" location="gid=2080968173" ref="H556"/>
    <hyperlink r:id="rId235" location="gid=307470456" ref="H560"/>
    <hyperlink r:id="rId236" location="gid=76672550" ref="H561"/>
    <hyperlink r:id="rId237" ref="I561"/>
    <hyperlink r:id="rId238" location="gid=1027797639" ref="H562"/>
    <hyperlink r:id="rId239" location="gid=1284874728" ref="H563"/>
    <hyperlink r:id="rId240" location="gid=9028693" ref="H565"/>
    <hyperlink r:id="rId241" location="gid=1024106965" ref="H566"/>
    <hyperlink r:id="rId242" location="gid=1788417276" ref="H569"/>
    <hyperlink r:id="rId243" location="gid=241258397" ref="H570"/>
    <hyperlink r:id="rId244" location="gid=373322802" ref="H572"/>
    <hyperlink r:id="rId245" location="gid=612628733" ref="H573"/>
    <hyperlink r:id="rId246" location="gid=1676523530" ref="H591"/>
    <hyperlink r:id="rId247" location="gid=1484428884" ref="H592"/>
    <hyperlink r:id="rId248" location="gid=1720182899" ref="H598"/>
    <hyperlink r:id="rId249" location="gid=323323731" ref="H599"/>
    <hyperlink r:id="rId250" location="gid=1762521778" ref="H618"/>
    <hyperlink r:id="rId251" location="gid=1599271911" ref="H620"/>
    <hyperlink r:id="rId252" location="gid=117335017" ref="H621"/>
    <hyperlink r:id="rId253" location="gid=1184026835" ref="H622"/>
    <hyperlink r:id="rId254" location="gid=39413399" ref="H640"/>
    <hyperlink r:id="rId255" location="gid=428469808" ref="H641"/>
    <hyperlink r:id="rId256" location="gid=1343159930" ref="H643"/>
    <hyperlink r:id="rId257" location="gid=630818188" ref="H644"/>
    <hyperlink r:id="rId258" location="gid=1872010035" ref="H645"/>
    <hyperlink r:id="rId259" location="gid=227683737" ref="H646"/>
    <hyperlink r:id="rId260" location="gid=42376877" ref="H647"/>
    <hyperlink r:id="rId261" location="gid=654238193" ref="H655"/>
    <hyperlink r:id="rId262" location="gid=501610529" ref="H658"/>
    <hyperlink r:id="rId263" location="gid=1179595420" ref="H660"/>
    <hyperlink r:id="rId264" location="gid=867799308" ref="H661"/>
    <hyperlink r:id="rId265" location="gid=181219872" ref="H666"/>
    <hyperlink r:id="rId266" location="gid=1232288908" ref="H672"/>
    <hyperlink r:id="rId267" location="gid=1607211749" ref="H673"/>
    <hyperlink r:id="rId268" location="gid=373423726" ref="H674"/>
    <hyperlink r:id="rId269" location="gid=2126809757" ref="H675"/>
    <hyperlink r:id="rId270" location="gid=290660546" ref="H676"/>
    <hyperlink r:id="rId271" location="gid=2057403759" ref="H683"/>
    <hyperlink r:id="rId272" location="gid=1354888420" ref="H684"/>
    <hyperlink r:id="rId273" location="gid=1062247251" ref="H685"/>
    <hyperlink r:id="rId274" location="gid=1593101561" ref="H686"/>
    <hyperlink r:id="rId275" location="gid=56472241" ref="H687"/>
    <hyperlink r:id="rId276" location="gid=994638175" ref="H688"/>
    <hyperlink r:id="rId277" location="gid=1217957109" ref="H689"/>
    <hyperlink r:id="rId278" location="gid=923737212" ref="H690"/>
    <hyperlink r:id="rId279" location="gid=257429727" ref="H691"/>
    <hyperlink r:id="rId280" location="gid=1086247611" ref="H692"/>
    <hyperlink r:id="rId281" location="gid=1943197822" ref="H693"/>
    <hyperlink r:id="rId282" location="gid=598220388" ref="H694"/>
    <hyperlink r:id="rId283" location="gid=238235358" ref="H695"/>
    <hyperlink r:id="rId284" location="gid=363768853" ref="H696"/>
    <hyperlink r:id="rId285" location="gid=1165883041" ref="H697"/>
    <hyperlink r:id="rId286" location="gid=173783422" ref="H698"/>
    <hyperlink r:id="rId287" location="gid=1413670863" ref="H699"/>
    <hyperlink r:id="rId288" location="gid=325961003" ref="H700"/>
    <hyperlink r:id="rId289" location="gid=291002696" ref="H701"/>
    <hyperlink r:id="rId290" location="gid=1610263298" ref="H702"/>
    <hyperlink r:id="rId291" location="gid=1334279003" ref="H703"/>
    <hyperlink r:id="rId292" location="gid=1608828847" ref="H704"/>
    <hyperlink r:id="rId293" location="gid=1390124130" ref="H705"/>
    <hyperlink r:id="rId294" location="gid=1190352531" ref="H706"/>
    <hyperlink r:id="rId295" location="gid=828728965" ref="H707"/>
    <hyperlink r:id="rId296" location="gid=1722375014" ref="H708"/>
    <hyperlink r:id="rId297" location="gid=803822262" ref="H709"/>
    <hyperlink r:id="rId298" location="gid=1973217010" ref="H710"/>
    <hyperlink r:id="rId299" location="gid=372650495" ref="H712"/>
    <hyperlink r:id="rId300" location="gid=1742187453" ref="H713"/>
    <hyperlink r:id="rId301" location="gid=1094415968" ref="H714"/>
    <hyperlink r:id="rId302" location="gid=1490545737" ref="H715"/>
    <hyperlink r:id="rId303" location="gid=1582876076" ref="H716"/>
    <hyperlink r:id="rId304" location="gid=2123184099" ref="H717"/>
    <hyperlink r:id="rId305" location="gid=955881279" ref="H718"/>
    <hyperlink r:id="rId306" location="gid=607862402" ref="H719"/>
    <hyperlink r:id="rId307" location="gid=32132627" ref="H720"/>
    <hyperlink r:id="rId308" location="gid=335429819" ref="H721"/>
    <hyperlink r:id="rId309" location="gid=881100781" ref="H722"/>
    <hyperlink r:id="rId310" location="gid=1303982691" ref="H723"/>
    <hyperlink r:id="rId311" location="gid=1947915664" ref="H724"/>
    <hyperlink r:id="rId312" location="gid=575501291" ref="H725"/>
    <hyperlink r:id="rId313" location="gid=90787826" ref="H726"/>
    <hyperlink r:id="rId314" location="gid=1858152678" ref="H727"/>
    <hyperlink r:id="rId315" location="gid=1012385907" ref="H728"/>
    <hyperlink r:id="rId316" location="gid=168468884" ref="H729"/>
    <hyperlink r:id="rId317" location="gid=1713147169" ref="H730"/>
    <hyperlink r:id="rId318" location="gid=1554437241" ref="H731"/>
    <hyperlink r:id="rId319" location="gid=466795514" ref="H732"/>
    <hyperlink r:id="rId320" location="gid=1000508457" ref="H733"/>
    <hyperlink r:id="rId321" location="gid=1051331619" ref="H734"/>
    <hyperlink r:id="rId322" ref="I734"/>
    <hyperlink r:id="rId323" location="gid=1298340576" ref="H735"/>
    <hyperlink r:id="rId324" location="gid=55726116" ref="H736"/>
    <hyperlink r:id="rId325" location="gid=969218818" ref="H737"/>
    <hyperlink r:id="rId326" location="gid=328082788" ref="H738"/>
    <hyperlink r:id="rId327" location="gid=2042348028" ref="H739"/>
    <hyperlink r:id="rId328" location="gid=1202640333" ref="H740"/>
    <hyperlink r:id="rId329" location="gid=1325450813" ref="H741"/>
    <hyperlink r:id="rId330" location="gid=1578036964" ref="H742"/>
    <hyperlink r:id="rId331" location="gid=1517123869" ref="H743"/>
    <hyperlink r:id="rId332" location="gid=1413674534" ref="H744"/>
    <hyperlink r:id="rId333" location="gid=604357555" ref="H745"/>
    <hyperlink r:id="rId334" location="gid=2120381921" ref="H746"/>
    <hyperlink r:id="rId335" location="gid=1677110935" ref="H747"/>
    <hyperlink r:id="rId336" location="gid=1191711449" ref="H748"/>
    <hyperlink r:id="rId337" location="gid=1870096044" ref="H749"/>
    <hyperlink r:id="rId338" location="gid=1300457232" ref="H750"/>
    <hyperlink r:id="rId339" location="gid=815627436" ref="H751"/>
    <hyperlink r:id="rId340" location="gid=1927985373" ref="H752"/>
    <hyperlink r:id="rId341" location="gid=1589045795" ref="H753"/>
    <hyperlink r:id="rId342" ref="I753"/>
    <hyperlink r:id="rId343" location="gid=397817205" ref="H754"/>
    <hyperlink r:id="rId344" location="gid=84528393" ref="H755"/>
    <hyperlink r:id="rId345" location="gid=1217417878" ref="H756"/>
    <hyperlink r:id="rId346" location="gid=632665949" ref="H757"/>
    <hyperlink r:id="rId347" location="gid=1409357007" ref="H758"/>
    <hyperlink r:id="rId348" location="gid=765483752" ref="H759"/>
    <hyperlink r:id="rId349" location="gid=656187579" ref="H760"/>
    <hyperlink r:id="rId350" location="gid=1057256122" ref="H761"/>
    <hyperlink r:id="rId351" location="gid=255089364" ref="H762"/>
    <hyperlink r:id="rId352" location="gid=36908310" ref="H763"/>
    <hyperlink r:id="rId353" location="gid=947386880" ref="H764"/>
    <hyperlink r:id="rId354" location="gid=747557076" ref="H765"/>
    <hyperlink r:id="rId355" location="gid=788221100" ref="H766"/>
    <hyperlink r:id="rId356" location="gid=1984564802" ref="H767"/>
    <hyperlink r:id="rId357" location="gid=1879792750" ref="H768"/>
    <hyperlink r:id="rId358" location="gid=1880476815" ref="H769"/>
    <hyperlink r:id="rId359" location="gid=2089213196" ref="H770"/>
    <hyperlink r:id="rId360" location="gid=1956651299" ref="H771"/>
    <hyperlink r:id="rId361" ref="I771"/>
    <hyperlink r:id="rId362" location="gid=33336285" ref="H772"/>
    <hyperlink r:id="rId363" ref="I772"/>
    <hyperlink r:id="rId364" location="gid=1791563527" ref="H773"/>
    <hyperlink r:id="rId365" location="gid=683523839" ref="H774"/>
    <hyperlink r:id="rId366" ref="I774"/>
    <hyperlink r:id="rId367" location="gid=17563487" ref="H775"/>
    <hyperlink r:id="rId368" location="gid=888939104" ref="H776"/>
    <hyperlink r:id="rId369" location="gid=1430842581" ref="H777"/>
    <hyperlink r:id="rId370" location="gid=1141531368" ref="H778"/>
    <hyperlink r:id="rId371" location="gid=751430157" ref="H779"/>
    <hyperlink r:id="rId372" location="gid=1107137504" ref="H780"/>
    <hyperlink r:id="rId373" location="gid=1248381323" ref="H781"/>
    <hyperlink r:id="rId374" location="gid=964974032" ref="H782"/>
    <hyperlink r:id="rId375" location="gid=1426054658" ref="H783"/>
    <hyperlink r:id="rId376" location="gid=1086511131" ref="H784"/>
    <hyperlink r:id="rId377" location="gid=1900542966" ref="H785"/>
    <hyperlink r:id="rId378" location="gid=1000032786" ref="H786"/>
    <hyperlink r:id="rId379" location="gid=249071120" ref="H787"/>
    <hyperlink r:id="rId380" location="gid=1181793870" ref="H788"/>
    <hyperlink r:id="rId381" location="gid=1609263203" ref="H789"/>
    <hyperlink r:id="rId382" location="gid=1407301391" ref="H790"/>
    <hyperlink r:id="rId383" location="gid=1021209176" ref="H791"/>
    <hyperlink r:id="rId384" location="gid=139795987" ref="H792"/>
    <hyperlink r:id="rId385" location="gid=432585965" ref="H793"/>
    <hyperlink r:id="rId386" location="gid=1835376342" ref="H794"/>
    <hyperlink r:id="rId387" location="gid=1916178969" ref="H795"/>
    <hyperlink r:id="rId388" location="gid=640523369" ref="H796"/>
    <hyperlink r:id="rId389" location="gid=2107770933" ref="H797"/>
    <hyperlink r:id="rId390" location="gid=864081677" ref="H798"/>
    <hyperlink r:id="rId391" location="gid=763040175" ref="H799"/>
    <hyperlink r:id="rId392" location="gid=1599124365" ref="H800"/>
    <hyperlink r:id="rId393" location="gid=1268803659" ref="H801"/>
    <hyperlink r:id="rId394" location="gid=1587877211" ref="H802"/>
    <hyperlink r:id="rId395" location="gid=833062955" ref="H803"/>
    <hyperlink r:id="rId396" location="gid=760560062" ref="H804"/>
    <hyperlink r:id="rId397" location="gid=471133046" ref="H805"/>
    <hyperlink r:id="rId398" ref="I805"/>
    <hyperlink r:id="rId399" location="gid=1180712542" ref="H806"/>
    <hyperlink r:id="rId400" location="gid=1252296860" ref="H807"/>
    <hyperlink r:id="rId401" location="gid=998835814" ref="H808"/>
    <hyperlink r:id="rId402" location="gid=418314272" ref="H809"/>
    <hyperlink r:id="rId403" location="gid=617262299" ref="H810"/>
    <hyperlink r:id="rId404" location="gid=540934155" ref="H811"/>
    <hyperlink r:id="rId405" location="gid=984031511" ref="H812"/>
    <hyperlink r:id="rId406" location="gid=363267103" ref="H813"/>
    <hyperlink r:id="rId407" location="gid=537197080" ref="H814"/>
    <hyperlink r:id="rId408" location="gid=232049031" ref="H815"/>
    <hyperlink r:id="rId409" location="gid=945188652" ref="H816"/>
    <hyperlink r:id="rId410" location="gid=1715541541" ref="H817"/>
    <hyperlink r:id="rId411" location="gid=444310098" ref="H818"/>
    <hyperlink r:id="rId412" location="gid=1988948543" ref="H819"/>
    <hyperlink r:id="rId413" location="gid=1320846516" ref="H820"/>
    <hyperlink r:id="rId414" location="gid=1754531219" ref="H821"/>
    <hyperlink r:id="rId415" location="gid=478234873" ref="H822"/>
    <hyperlink r:id="rId416" location="gid=235307605" ref="H823"/>
    <hyperlink r:id="rId417" location="gid=732973558" ref="H824"/>
    <hyperlink r:id="rId418" location="gid=932084254" ref="H825"/>
    <hyperlink r:id="rId419" location="gid=2128103220" ref="H826"/>
    <hyperlink r:id="rId420" ref="I826"/>
    <hyperlink r:id="rId421" location="gid=1195206502" ref="H827"/>
    <hyperlink r:id="rId422" location="gid=988598667" ref="H828"/>
    <hyperlink r:id="rId423" location="gid=1665166606" ref="H829"/>
    <hyperlink r:id="rId424" location="gid=563761401" ref="H830"/>
    <hyperlink r:id="rId425" location="gid=2092914415" ref="H831"/>
    <hyperlink r:id="rId426" location="gid=1331480544" ref="H832"/>
    <hyperlink r:id="rId427" location="gid=1102875556" ref="H833"/>
    <hyperlink r:id="rId428" location="gid=1997450648" ref="H834"/>
    <hyperlink r:id="rId429" location="gid=79728110" ref="H835"/>
    <hyperlink r:id="rId430" location="gid=1527817991" ref="H836"/>
    <hyperlink r:id="rId431" location="gid=1504466944" ref="H837"/>
    <hyperlink r:id="rId432" location="gid=387655725" ref="H838"/>
    <hyperlink r:id="rId433" location="gid=692135392" ref="H839"/>
    <hyperlink r:id="rId434" ref="I839"/>
    <hyperlink r:id="rId435" location="gid=847490134" ref="H840"/>
    <hyperlink r:id="rId436" location="gid=943458292" ref="H841"/>
    <hyperlink r:id="rId437" ref="I841"/>
    <hyperlink r:id="rId438" location="gid=1166394533" ref="H842"/>
    <hyperlink r:id="rId439" ref="I842"/>
    <hyperlink r:id="rId440" location="gid=1407262521" ref="H843"/>
    <hyperlink r:id="rId441" ref="I843"/>
    <hyperlink r:id="rId442" location="gid=1401788865" ref="H844"/>
    <hyperlink r:id="rId443" ref="I844"/>
    <hyperlink r:id="rId444" location="gid=1455966079" ref="H845"/>
    <hyperlink r:id="rId445" location="gid=811633138" ref="H846"/>
    <hyperlink r:id="rId446" location="gid=1300345470" ref="H847"/>
    <hyperlink r:id="rId447" location="gid=1525507838" ref="H848"/>
    <hyperlink r:id="rId448" location="gid=1721879742" ref="H849"/>
    <hyperlink r:id="rId449" location="gid=1735599010" ref="H850"/>
    <hyperlink r:id="rId450" location="gid=1637195585" ref="H851"/>
    <hyperlink r:id="rId451" location="gid=1429286292" ref="H852"/>
    <hyperlink r:id="rId452" location="gid=1239547160" ref="H853"/>
    <hyperlink r:id="rId453" location="gid=989644917" ref="H854"/>
    <hyperlink r:id="rId454" location="gid=2096121583" ref="H855"/>
    <hyperlink r:id="rId455" location="gid=3034090" ref="H856"/>
    <hyperlink r:id="rId456" location="gid=1509964288" ref="H857"/>
    <hyperlink r:id="rId457" location="gid=673551977" ref="H858"/>
    <hyperlink r:id="rId458" location="gid=573547240" ref="H859"/>
    <hyperlink r:id="rId459" location="gid=1872184030" ref="H860"/>
    <hyperlink r:id="rId460" location="gid=1103814472" ref="H861"/>
    <hyperlink r:id="rId461" location="gid=1402918255" ref="H862"/>
    <hyperlink r:id="rId462" location="gid=1114468550" ref="H863"/>
    <hyperlink r:id="rId463" location="gid=198115662" ref="H864"/>
    <hyperlink r:id="rId464" location="gid=1305190320" ref="H865"/>
    <hyperlink r:id="rId465" location="gid=479418730" ref="H866"/>
    <hyperlink r:id="rId466" location="gid=1538306210" ref="H867"/>
    <hyperlink r:id="rId467" location="gid=830671407" ref="H868"/>
    <hyperlink r:id="rId468" location="gid=772910058" ref="H869"/>
    <hyperlink r:id="rId469" location="gid=1787224258" ref="H870"/>
    <hyperlink r:id="rId470" location="gid=2069894648" ref="H871"/>
    <hyperlink r:id="rId471" location="gid=1644784685" ref="H872"/>
    <hyperlink r:id="rId472" ref="I872"/>
    <hyperlink r:id="rId473" location="gid=1455430518" ref="H873"/>
    <hyperlink r:id="rId474" location="gid=617058408" ref="H874"/>
    <hyperlink r:id="rId475" ref="I874"/>
    <hyperlink r:id="rId476" location="gid=1553204611" ref="H875"/>
    <hyperlink r:id="rId477" location="gid=252316906" ref="H876"/>
    <hyperlink r:id="rId478" location="gid=798053940" ref="H877"/>
    <hyperlink r:id="rId479" location="gid=256251800" ref="H878"/>
    <hyperlink r:id="rId480" location="gid=580229704" ref="H879"/>
    <hyperlink r:id="rId481" location="gid=372457040" ref="H880"/>
    <hyperlink r:id="rId482" location="gid=1402094174" ref="H881"/>
    <hyperlink r:id="rId483" location="gid=511980375" ref="H882"/>
    <hyperlink r:id="rId484" location="gid=1656095741" ref="H883"/>
    <hyperlink r:id="rId485" location="gid=1394380200" ref="H884"/>
    <hyperlink r:id="rId486" location="gid=1203948268" ref="H885"/>
    <hyperlink r:id="rId487" location="gid=532286662" ref="H886"/>
    <hyperlink r:id="rId488" location="gid=152190080" ref="H887"/>
    <hyperlink r:id="rId489" location="gid=415706414" ref="H888"/>
    <hyperlink r:id="rId490" location="gid=1340012708" ref="H889"/>
    <hyperlink r:id="rId491" location="gid=771281495" ref="H890"/>
    <hyperlink r:id="rId492" location="gid=187611865" ref="H891"/>
    <hyperlink r:id="rId493" ref="I891"/>
    <hyperlink r:id="rId494" location="gid=113121864" ref="H892"/>
    <hyperlink r:id="rId495" location="gid=864849570" ref="H893"/>
    <hyperlink r:id="rId496" location="gid=1493713747" ref="H894"/>
    <hyperlink r:id="rId497" location="gid=590422305" ref="H895"/>
    <hyperlink r:id="rId498" location="gid=1285905712" ref="H896"/>
    <hyperlink r:id="rId499" ref="I896"/>
    <hyperlink r:id="rId500" location="gid=575728674" ref="H897"/>
    <hyperlink r:id="rId501" ref="I897"/>
    <hyperlink r:id="rId502" location="gid=282401999" ref="H898"/>
    <hyperlink r:id="rId503" location="gid=641183458" ref="H899"/>
    <hyperlink r:id="rId504" location="gid=598456710" ref="H900"/>
    <hyperlink r:id="rId505" ref="I900"/>
    <hyperlink r:id="rId506" location="gid=2017311436" ref="H901"/>
    <hyperlink r:id="rId507" ref="I901"/>
    <hyperlink r:id="rId508" location="gid=1439077148" ref="H902"/>
    <hyperlink r:id="rId509" ref="I902"/>
    <hyperlink r:id="rId510" location="gid=1846163124" ref="H903"/>
    <hyperlink r:id="rId511" location="gid=1451563730" ref="H904"/>
    <hyperlink r:id="rId512" location="gid=672785947" ref="H905"/>
    <hyperlink r:id="rId513" location="gid=756416994" ref="H906"/>
    <hyperlink r:id="rId514" location="gid=2030780082" ref="H907"/>
    <hyperlink r:id="rId515" location="gid=1207675584" ref="H908"/>
    <hyperlink r:id="rId516" location="gid=383847574" ref="H909"/>
    <hyperlink r:id="rId517" location="gid=1949661648" ref="H910"/>
    <hyperlink r:id="rId518" location="gid=829836669" ref="H911"/>
    <hyperlink r:id="rId519" location="gid=39049871" ref="H912"/>
    <hyperlink r:id="rId520" location="gid=808253211" ref="H913"/>
    <hyperlink r:id="rId521" location="gid=326389439" ref="H914"/>
    <hyperlink r:id="rId522" location="gid=1726616701" ref="H915"/>
    <hyperlink r:id="rId523" location="gid=3373357" ref="H916"/>
    <hyperlink r:id="rId524" location="gid=226411409" ref="H917"/>
    <hyperlink r:id="rId525" location="gid=1127937852" ref="H918"/>
    <hyperlink r:id="rId526" location="gid=602775546" ref="H919"/>
    <hyperlink r:id="rId527" ref="I919"/>
    <hyperlink r:id="rId528" location="gid=1734112233" ref="H920"/>
    <hyperlink r:id="rId529" ref="I920"/>
    <hyperlink r:id="rId530" location="gid=1949585083" ref="H921"/>
    <hyperlink r:id="rId531" location="gid=1530580258" ref="H922"/>
    <hyperlink r:id="rId532" location="gid=2130356176" ref="H923"/>
    <hyperlink r:id="rId533" location="gid=676192549" ref="H924"/>
    <hyperlink r:id="rId534" location="gid=1937947971" ref="H925"/>
    <hyperlink r:id="rId535" location="gid=2138822298" ref="H926"/>
    <hyperlink r:id="rId536" location="gid=188482008" ref="H927"/>
    <hyperlink r:id="rId537" location="gid=1984267459" ref="H928"/>
    <hyperlink r:id="rId538" location="gid=1480745629" ref="H929"/>
    <hyperlink r:id="rId539" location="gid=370993780" ref="H930"/>
    <hyperlink r:id="rId540" location="gid=1071202217" ref="H931"/>
    <hyperlink r:id="rId541" location="gid=953902791" ref="H932"/>
    <hyperlink r:id="rId542" location="gid=263399188" ref="H933"/>
    <hyperlink r:id="rId543" location="gid=889119319" ref="H934"/>
    <hyperlink r:id="rId544" location="gid=1131436691" ref="H935"/>
    <hyperlink r:id="rId545" location="gid=581565940" ref="H936"/>
    <hyperlink r:id="rId546" location="gid=657849366" ref="H937"/>
    <hyperlink r:id="rId547" location="gid=733134081" ref="H938"/>
    <hyperlink r:id="rId548" location="gid=1868311876" ref="H939"/>
    <hyperlink r:id="rId549" ref="I939"/>
    <hyperlink r:id="rId550" location="gid=1509093390" ref="H940"/>
    <hyperlink r:id="rId551" location="gid=2115012790" ref="H941"/>
    <hyperlink r:id="rId552" location="gid=44169429" ref="H942"/>
    <hyperlink r:id="rId553" location="gid=303416269" ref="H943"/>
    <hyperlink r:id="rId554" location="gid=1797830857" ref="H944"/>
    <hyperlink r:id="rId555" location="gid=989193180" ref="H945"/>
    <hyperlink r:id="rId556" location="gid=1343620006" ref="H946"/>
    <hyperlink r:id="rId557" location="gid=24415394" ref="H947"/>
    <hyperlink r:id="rId558" location="gid=1617286788" ref="H948"/>
    <hyperlink r:id="rId559" location="gid=1885071932" ref="H949"/>
    <hyperlink r:id="rId560" location="gid=1349297378" ref="H950"/>
    <hyperlink r:id="rId561" location="gid=521259843" ref="H951"/>
    <hyperlink r:id="rId562" location="gid=1611612481" ref="H952"/>
    <hyperlink r:id="rId563" location="gid=1910790925" ref="H953"/>
    <hyperlink r:id="rId564" location="gid=1573037531" ref="H954"/>
    <hyperlink r:id="rId565" location="gid=1863257249" ref="H955"/>
    <hyperlink r:id="rId566" location="gid=231842022" ref="H956"/>
    <hyperlink r:id="rId567" location="gid=601045685" ref="H957"/>
    <hyperlink r:id="rId568" location="gid=877224124" ref="H958"/>
    <hyperlink r:id="rId569" location="gid=1353187353" ref="H959"/>
    <hyperlink r:id="rId570" location="gid=509147488" ref="H960"/>
    <hyperlink r:id="rId571" location="gid=1534601072" ref="H961"/>
    <hyperlink r:id="rId572" location="gid=49686517" ref="H962"/>
    <hyperlink r:id="rId573" location="gid=9074212" ref="H963"/>
    <hyperlink r:id="rId574" location="gid=1956094116" ref="H964"/>
    <hyperlink r:id="rId575" location="gid=1886195207" ref="H965"/>
    <hyperlink r:id="rId576" location="gid=1347270596" ref="H966"/>
    <hyperlink r:id="rId577" location="gid=1294085884" ref="H967"/>
    <hyperlink r:id="rId578" ref="I967"/>
    <hyperlink r:id="rId579" location="gid=858056712" ref="H968"/>
    <hyperlink r:id="rId580" location="gid=625147630" ref="H969"/>
    <hyperlink r:id="rId581" location="gid=632308495" ref="H970"/>
    <hyperlink r:id="rId582" location="gid=918222638" ref="H971"/>
    <hyperlink r:id="rId583" location="gid=1108501275" ref="H972"/>
    <hyperlink r:id="rId584" location="gid=900983135" ref="H973"/>
    <hyperlink r:id="rId585" location="gid=679741287" ref="H974"/>
    <hyperlink r:id="rId586" location="gid=1315766169" ref="H976"/>
    <hyperlink r:id="rId587" location="gid=667094303" ref="H977"/>
    <hyperlink r:id="rId588" location="gid=667094303" ref="H978"/>
    <hyperlink r:id="rId589" location="gid=667094303" ref="H979"/>
    <hyperlink r:id="rId590" location="gid=151666570" ref="H980"/>
    <hyperlink r:id="rId591" location="gid=1853936778" ref="H981"/>
    <hyperlink r:id="rId592" location="gid=590835051" ref="H982"/>
    <hyperlink r:id="rId593" location="gid=238290316" ref="H983"/>
    <hyperlink r:id="rId594" location="gid=105663629" ref="H984"/>
    <hyperlink r:id="rId595" location="gid=583489484" ref="H985"/>
    <hyperlink r:id="rId596" location="gid=783421015" ref="H986"/>
    <hyperlink r:id="rId597" location="gid=795869723" ref="H987"/>
    <hyperlink r:id="rId598" location="gid=1715786875" ref="H988"/>
    <hyperlink r:id="rId599" location="gid=1956863227" ref="H989"/>
    <hyperlink r:id="rId600" location="gid=1068599727" ref="H990"/>
    <hyperlink r:id="rId601" location="gid=1407510683" ref="H991"/>
    <hyperlink r:id="rId602" location="gid=1084360480" ref="H992"/>
    <hyperlink r:id="rId603" location="gid=43981398" ref="H993"/>
    <hyperlink r:id="rId604" location="gid=1877394014" ref="H994"/>
    <hyperlink r:id="rId605" location="gid=482146990" ref="H995"/>
    <hyperlink r:id="rId606" location="gid=814332945" ref="H996"/>
    <hyperlink r:id="rId607" location="gid=1920719356" ref="H997"/>
    <hyperlink r:id="rId608" location="gid=1792641255" ref="H998"/>
    <hyperlink r:id="rId609" location="gid=1264505014" ref="H999"/>
    <hyperlink r:id="rId610" location="gid=445422518" ref="H1000"/>
    <hyperlink r:id="rId611" location="gid=1676819339" ref="H1001"/>
    <hyperlink r:id="rId612" location="gid=1262206675" ref="H1002"/>
    <hyperlink r:id="rId613" location="gid=2057992272" ref="H1003"/>
    <hyperlink r:id="rId614" location="gid=1007518382" ref="H1004"/>
    <hyperlink r:id="rId615" ref="I1004"/>
    <hyperlink r:id="rId616" location="gid=558650933" ref="H1005"/>
    <hyperlink r:id="rId617" location="gid=1009116353" ref="H1006"/>
    <hyperlink r:id="rId618" location="gid=865770584" ref="H1007"/>
    <hyperlink r:id="rId619" location="gid=1832052773" ref="H1008"/>
    <hyperlink r:id="rId620" location="gid=1472127211" ref="H1009"/>
    <hyperlink r:id="rId621" location="gid=1242332740" ref="H1010"/>
    <hyperlink r:id="rId622" location="gid=1234676505" ref="H1011"/>
    <hyperlink r:id="rId623" location="gid=138432593" ref="H1012"/>
    <hyperlink r:id="rId624" location="gid=80972844" ref="H1013"/>
    <hyperlink r:id="rId625" location="gid=2108967906" ref="H1014"/>
    <hyperlink r:id="rId626" location="gid=196703328" ref="H1015"/>
    <hyperlink r:id="rId627" location="gid=868904483" ref="H1016"/>
    <hyperlink r:id="rId628" location="gid=482221305" ref="H1017"/>
    <hyperlink r:id="rId629" location="gid=199700122" ref="H1018"/>
    <hyperlink r:id="rId630" location="gid=1703617430" ref="H1019"/>
    <hyperlink r:id="rId631" location="gid=1943180572" ref="H1020"/>
    <hyperlink r:id="rId632" location="gid=465508892" ref="H1021"/>
    <hyperlink r:id="rId633" location="gid=919062062" ref="H1022"/>
    <hyperlink r:id="rId634" location="gid=1222438904" ref="H1023"/>
    <hyperlink r:id="rId635" location="gid=915615615" ref="H1024"/>
    <hyperlink r:id="rId636" location="gid=1583073307" ref="H1025"/>
    <hyperlink r:id="rId637" location="gid=64186922" ref="H1026"/>
    <hyperlink r:id="rId638" location="gid=654604347" ref="H1027"/>
    <hyperlink r:id="rId639" location="gid=501983142" ref="H1028"/>
    <hyperlink r:id="rId640" location="gid=1287118524" ref="H1029"/>
    <hyperlink r:id="rId641" location="gid=439341807" ref="H1030"/>
    <hyperlink r:id="rId642" location="gid=1598315264" ref="H1031"/>
    <hyperlink r:id="rId643" location="gid=172452372" ref="H1032"/>
    <hyperlink r:id="rId644" location="gid=178347413" ref="H1033"/>
    <hyperlink r:id="rId645" location="gid=607897783" ref="H1034"/>
    <hyperlink r:id="rId646" location="gid=829089146" ref="H1035"/>
    <hyperlink r:id="rId647" location="gid=1528623731" ref="H1036"/>
    <hyperlink r:id="rId648" location="gid=23356464" ref="H1037"/>
    <hyperlink r:id="rId649" location="gid=1103531360" ref="H1038"/>
    <hyperlink r:id="rId650" location="gid=622576410" ref="H1039"/>
    <hyperlink r:id="rId651" location="gid=1861315460" ref="H1040"/>
    <hyperlink r:id="rId652" location="gid=641020956" ref="H1041"/>
    <hyperlink r:id="rId653" location="gid=1380549667" ref="H1042"/>
    <hyperlink r:id="rId654" location="gid=1226682620" ref="H1043"/>
    <hyperlink r:id="rId655" location="gid=402405412" ref="H1044"/>
    <hyperlink r:id="rId656" location="gid=223359966" ref="H1045"/>
    <hyperlink r:id="rId657" location="gid=314292055" ref="H1046"/>
    <hyperlink r:id="rId658" location="gid=1044392559" ref="H1047"/>
    <hyperlink r:id="rId659" location="gid=1110910026" ref="H1048"/>
    <hyperlink r:id="rId660" location="gid=1609219828" ref="H1050"/>
    <hyperlink r:id="rId661" location="gid=991695454" ref="H1051"/>
    <hyperlink r:id="rId662" location="gid=410405920" ref="H1052"/>
    <hyperlink r:id="rId663" location="gid=1209159022" ref="H1053"/>
    <hyperlink r:id="rId664" location="gid=982286629" ref="H1054"/>
    <hyperlink r:id="rId665" location="gid=867879144" ref="H1055"/>
    <hyperlink r:id="rId666" location="gid=409879207" ref="H1056"/>
    <hyperlink r:id="rId667" location="gid=1472341941" ref="H1057"/>
    <hyperlink r:id="rId668" location="gid=131438467" ref="H1058"/>
    <hyperlink r:id="rId669" location="gid=131438467" ref="H1059"/>
    <hyperlink r:id="rId670" location="gid=131438467" ref="H1060"/>
    <hyperlink r:id="rId671" location="gid=1195287561" ref="H1061"/>
    <hyperlink r:id="rId672" location="gid=584190358" ref="H1062"/>
    <hyperlink r:id="rId673" location="gid=1549482775" ref="H1063"/>
    <hyperlink r:id="rId674" location="gid=911478854" ref="H1064"/>
    <hyperlink r:id="rId675" location="gid=1807719464" ref="H1065"/>
    <hyperlink r:id="rId676" location="gid=2079091831" ref="H1066"/>
    <hyperlink r:id="rId677" location="gid=553643075" ref="H1067"/>
    <hyperlink r:id="rId678" ref="I1067"/>
    <hyperlink r:id="rId679" location="gid=553643075" ref="H1068"/>
    <hyperlink r:id="rId680" ref="I1068"/>
    <hyperlink r:id="rId681" location="gid=382946439" ref="H1069"/>
    <hyperlink r:id="rId682" location="gid=1182179184" ref="H1070"/>
    <hyperlink r:id="rId683" location="gid=691407697" ref="H1071"/>
    <hyperlink r:id="rId684" location="gid=1161001794" ref="H1072"/>
    <hyperlink r:id="rId685" location="gid=1589688669" ref="H1073"/>
    <hyperlink r:id="rId686" location="gid=1281115522" ref="H1074"/>
    <hyperlink r:id="rId687" location="gid=1127542232" ref="H1075"/>
    <hyperlink r:id="rId688" location="gid=422760194" ref="H1076"/>
    <hyperlink r:id="rId689" location="gid=1435558213" ref="H1077"/>
    <hyperlink r:id="rId690" location="gid=546209828" ref="H1078"/>
    <hyperlink r:id="rId691" location="gid=953512789" ref="H1079"/>
    <hyperlink r:id="rId692" location="gid=1238624487" ref="H1080"/>
    <hyperlink r:id="rId693" location="gid=1260602750" ref="H1081"/>
    <hyperlink r:id="rId694" location="gid=2065426247" ref="H1082"/>
    <hyperlink r:id="rId695" location="gid=1465150080" ref="H1083"/>
    <hyperlink r:id="rId696" location="gid=2050581417" ref="H1084"/>
    <hyperlink r:id="rId697" location="gid=661362059" ref="H1085"/>
    <hyperlink r:id="rId698" location="gid=1425191616" ref="H1086"/>
    <hyperlink r:id="rId699" location="gid=797603561" ref="H1087"/>
    <hyperlink r:id="rId700" location="gid=1117044536" ref="H1088"/>
    <hyperlink r:id="rId701" location="gid=1435485307" ref="H1089"/>
    <hyperlink r:id="rId702" location="gid=679792885" ref="H1090"/>
    <hyperlink r:id="rId703" location="gid=282111024" ref="H1091"/>
    <hyperlink r:id="rId704" location="gid=815985378" ref="H1092"/>
    <hyperlink r:id="rId705" location="gid=88187945" ref="H1093"/>
    <hyperlink r:id="rId706" location="gid=729528967" ref="H1094"/>
    <hyperlink r:id="rId707" location="gid=1609158785" ref="H1095"/>
    <hyperlink r:id="rId708" location="gid=1079458308" ref="H1096"/>
    <hyperlink r:id="rId709" location="gid=1759169591" ref="H1097"/>
    <hyperlink r:id="rId710" ref="I1097"/>
    <hyperlink r:id="rId711" location="gid=1644112833" ref="H1098"/>
    <hyperlink r:id="rId712" ref="I1098"/>
    <hyperlink r:id="rId713" location="gid=2083513887" ref="H1099"/>
    <hyperlink r:id="rId714" ref="I1099"/>
    <hyperlink r:id="rId715" location="gid=1363194216" ref="H1100"/>
    <hyperlink r:id="rId716" location="gid=135078699" ref="H1101"/>
    <hyperlink r:id="rId717" location="gid=770240622" ref="H1102"/>
    <hyperlink r:id="rId718" location="gid=644664004" ref="H1103"/>
    <hyperlink r:id="rId719" location="gid=961840138" ref="H1104"/>
    <hyperlink r:id="rId720" location="gid=1777508564" ref="H1105"/>
    <hyperlink r:id="rId721" location="gid=226391427" ref="H1106"/>
    <hyperlink r:id="rId722" location="gid=452615283" ref="H1107"/>
    <hyperlink r:id="rId723" location="gid=545670814" ref="H1108"/>
    <hyperlink r:id="rId724" location="gid=1723281280" ref="H1109"/>
    <hyperlink r:id="rId725" location="gid=1860586350" ref="H1110"/>
    <hyperlink r:id="rId726" location="gid=1377038117" ref="H1111"/>
    <hyperlink r:id="rId727" location="gid=569403802" ref="H1112"/>
    <hyperlink r:id="rId728" location="gid=65622672" ref="H1113"/>
    <hyperlink r:id="rId729" location="gid=1826826370" ref="H1114"/>
    <hyperlink r:id="rId730" location="gid=955853431" ref="H1115"/>
    <hyperlink r:id="rId731" location="gid=1982116441" ref="H1116"/>
    <hyperlink r:id="rId732" location="gid=1088429623" ref="H1117"/>
    <hyperlink r:id="rId733" location="gid=898826045" ref="H1118"/>
    <hyperlink r:id="rId734" location="gid=688262507" ref="H1119"/>
    <hyperlink r:id="rId735" location="gid=366207882" ref="H1120"/>
    <hyperlink r:id="rId736" location="gid=1382770733" ref="H1121"/>
    <hyperlink r:id="rId737" location="gid=1602079335" ref="H1122"/>
    <hyperlink r:id="rId738" location="gid=601138165" ref="H1123"/>
    <hyperlink r:id="rId739" location="gid=558334865" ref="H1124"/>
    <hyperlink r:id="rId740" ref="I1124"/>
    <hyperlink r:id="rId741" location="gid=1345934331" ref="H1125"/>
    <hyperlink r:id="rId742" location="gid=125387875" ref="H1126"/>
    <hyperlink r:id="rId743" location="gid=50364907" ref="H1127"/>
    <hyperlink r:id="rId744" ref="I1127"/>
    <hyperlink r:id="rId745" location="gid=1130285298" ref="H1128"/>
    <hyperlink r:id="rId746" location="gid=1910743713" ref="H1129"/>
    <hyperlink r:id="rId747" location="gid=1431643406" ref="H1130"/>
    <hyperlink r:id="rId748" location="gid=88636317" ref="H1131"/>
    <hyperlink r:id="rId749" location="gid=2095889728" ref="H1132"/>
    <hyperlink r:id="rId750" location="gid=1395855804" ref="H1133"/>
    <hyperlink r:id="rId751" location="gid=1139784984" ref="H1134"/>
    <hyperlink r:id="rId752" location="gid=1356730824" ref="H1135"/>
    <hyperlink r:id="rId753" location="gid=1299542947" ref="H1136"/>
    <hyperlink r:id="rId754" location="gid=415599181" ref="H1137"/>
    <hyperlink r:id="rId755" location="gid=179520414" ref="H1138"/>
    <hyperlink r:id="rId756" location="gid=1276650860" ref="H1139"/>
    <hyperlink r:id="rId757" location="gid=466314675" ref="H1140"/>
    <hyperlink r:id="rId758" location="gid=1237255389" ref="H1141"/>
    <hyperlink r:id="rId759" location="gid=1026140704" ref="H1142"/>
    <hyperlink r:id="rId760" location="gid=103624122" ref="H1143"/>
    <hyperlink r:id="rId761" location="gid=640034925" ref="H1144"/>
    <hyperlink r:id="rId762" location="gid=36677912" ref="H1145"/>
    <hyperlink r:id="rId763" location="gid=784814979" ref="H1146"/>
    <hyperlink r:id="rId764" location="gid=541136391" ref="H1147"/>
    <hyperlink r:id="rId765" location="gid=163574073" ref="H1148"/>
    <hyperlink r:id="rId766" location="gid=1589597012" ref="H1149"/>
    <hyperlink r:id="rId767" location="gid=2115153164" ref="H1150"/>
    <hyperlink r:id="rId768" location="gid=496407740" ref="H1151"/>
    <hyperlink r:id="rId769" location="gid=424075145" ref="H1152"/>
    <hyperlink r:id="rId770" location="gid=1854195509" ref="H1153"/>
    <hyperlink r:id="rId771" location="gid=1106564511" ref="H1155"/>
    <hyperlink r:id="rId772" location="gid=299633943" ref="H1156"/>
    <hyperlink r:id="rId773" location="gid=1173519257" ref="H1157"/>
    <hyperlink r:id="rId774" location="gid=211546180" ref="H1158"/>
    <hyperlink r:id="rId775" location="gid=551597288" ref="H1159"/>
    <hyperlink r:id="rId776" location="gid=857788374" ref="H1160"/>
    <hyperlink r:id="rId777" location="gid=273382735" ref="H1161"/>
    <hyperlink r:id="rId778" location="gid=1897641801" ref="H1177"/>
    <hyperlink r:id="rId779" location="gid=1475893528" ref="H1178"/>
    <hyperlink r:id="rId780" location="gid=2140039738" ref="H1179"/>
    <hyperlink r:id="rId781" location="gid=646496469" ref="H1180"/>
    <hyperlink r:id="rId782" location="gid=60135188" ref="H1183"/>
    <hyperlink r:id="rId783" location="gid=623093467" ref="H1184"/>
    <hyperlink r:id="rId784" location="gid=1947907600" ref="H1186"/>
    <hyperlink r:id="rId785" location="gid=314696825" ref="H1187"/>
    <hyperlink r:id="rId786" location="gid=1548843983" ref="H1188"/>
    <hyperlink r:id="rId787" location="gid=1990935127" ref="H1189"/>
    <hyperlink r:id="rId788" ref="I1189"/>
    <hyperlink r:id="rId789" location="gid=469869658" ref="H1190"/>
    <hyperlink r:id="rId790" location="gid=1873773807" ref="H1191"/>
    <hyperlink r:id="rId791" ref="I1191"/>
    <hyperlink r:id="rId792" location="gid=189831964" ref="H1192"/>
    <hyperlink r:id="rId793" ref="I1192"/>
    <hyperlink r:id="rId794" location="gid=379079889" ref="H1193"/>
    <hyperlink r:id="rId795" ref="I1193"/>
    <hyperlink r:id="rId796" ref="I1194"/>
    <hyperlink r:id="rId797" location="gid=1745739766" ref="H1195"/>
    <hyperlink r:id="rId798" ref="I1195"/>
    <hyperlink r:id="rId799" location="gid=1658272252" ref="H1196"/>
    <hyperlink r:id="rId800" ref="I1196"/>
    <hyperlink r:id="rId801" location="gid=1002976972" ref="H1197"/>
    <hyperlink r:id="rId802" location="gid=38649977" ref="H1198"/>
    <hyperlink r:id="rId803" ref="I1198"/>
    <hyperlink r:id="rId804" location="gid=1612889621" ref="H1199"/>
    <hyperlink r:id="rId805" location="gid=831042065" ref="H1200"/>
    <hyperlink r:id="rId806" location="gid=1246380027" ref="H1201"/>
    <hyperlink r:id="rId807" location="gid=1285680643" ref="H1202"/>
    <hyperlink r:id="rId808" location="gid=1825170573" ref="H1203"/>
    <hyperlink r:id="rId809" location="gid=446883211" ref="H1204"/>
    <hyperlink r:id="rId810" location="gid=1026471419" ref="H1205"/>
    <hyperlink r:id="rId811" location="gid=1022242891" ref="H1206"/>
    <hyperlink r:id="rId812" location="gid=376178489" ref="H1207"/>
    <hyperlink r:id="rId813" location="gid=1836431147" ref="H1208"/>
    <hyperlink r:id="rId814" location="gid=1477675576" ref="H1209"/>
    <hyperlink r:id="rId815" location="gid=1476336114" ref="H1210"/>
    <hyperlink r:id="rId816" location="gid=204053805" ref="H1211"/>
    <hyperlink r:id="rId817" location="gid=340433280" ref="H1212"/>
    <hyperlink r:id="rId818" location="gid=1721100499" ref="H1213"/>
    <hyperlink r:id="rId819" location="gid=800886527" ref="H1214"/>
    <hyperlink r:id="rId820" ref="I1214"/>
    <hyperlink r:id="rId821" location="gid=893741995" ref="H1216"/>
    <hyperlink r:id="rId822" location="gid=2141463724" ref="H1218"/>
    <hyperlink r:id="rId823" location="gid=1656513014" ref="H1219"/>
    <hyperlink r:id="rId824" location="gid=191758898" ref="H1220"/>
    <hyperlink r:id="rId825" location="gid=904343582" ref="H1221"/>
    <hyperlink r:id="rId826" location="gid=346643288" ref="H1222"/>
    <hyperlink r:id="rId827" location="gid=1768479973" ref="H1223"/>
    <hyperlink r:id="rId828" location="gid=1204838295" ref="H1224"/>
    <hyperlink r:id="rId829" location="gid=1410705697" ref="H1225"/>
    <hyperlink r:id="rId830" location="gid=912086412" ref="H1226"/>
    <hyperlink r:id="rId831" ref="I1226"/>
    <hyperlink r:id="rId832" location="gid=882317293" ref="H1227"/>
    <hyperlink r:id="rId833" location="gid=972545165" ref="H1228"/>
    <hyperlink r:id="rId834" location="gid=486432300" ref="H1229"/>
    <hyperlink r:id="rId835" location="gid=1366886932" ref="H1230"/>
    <hyperlink r:id="rId836" location="gid=1822763133" ref="H1231"/>
    <hyperlink r:id="rId837" location="gid=1977634202" ref="H1235"/>
    <hyperlink r:id="rId838" location="gid=1635120281" ref="H1236"/>
    <hyperlink r:id="rId839" ref="I1236"/>
    <hyperlink r:id="rId840" location="gid=360147993" ref="H1237"/>
    <hyperlink r:id="rId841" location="gid=1025924228" ref="H1238"/>
    <hyperlink r:id="rId842" location="gid=318719186" ref="H1239"/>
    <hyperlink r:id="rId843" location="gid=2009717462" ref="H1240"/>
    <hyperlink r:id="rId844" location="gid=852795389" ref="H1241"/>
    <hyperlink r:id="rId845" location="gid=1610184965" ref="H1242"/>
    <hyperlink r:id="rId846" location="gid=1343663490" ref="H1243"/>
    <hyperlink r:id="rId847" location="gid=1381479506" ref="H1244"/>
    <hyperlink r:id="rId848" location="gid=1877547333" ref="H1245"/>
    <hyperlink r:id="rId849" location="gid=1434119046" ref="H1246"/>
    <hyperlink r:id="rId850" location="gid=270470148" ref="H1247"/>
    <hyperlink r:id="rId851" location="gid=473932196" ref="H1248"/>
    <hyperlink r:id="rId852" ref="I1248"/>
    <hyperlink r:id="rId853" location="gid=413594252" ref="H1249"/>
    <hyperlink r:id="rId854" location="gid=2077416738" ref="H1250"/>
    <hyperlink r:id="rId855" location="gid=321356533" ref="H1251"/>
    <hyperlink r:id="rId856" location="gid=1984759556" ref="H1252"/>
    <hyperlink r:id="rId857" location="gid=989349893" ref="H1253"/>
    <hyperlink r:id="rId858" location="gid=234009661" ref="H1254"/>
    <hyperlink r:id="rId859" location="gid=1381599542" ref="H1255"/>
    <hyperlink r:id="rId860" location="gid=1927186728" ref="H1256"/>
    <hyperlink r:id="rId861" location="gid=1752517199" ref="H1257"/>
    <hyperlink r:id="rId862" ref="I1257"/>
    <hyperlink r:id="rId863" location="gid=1206342730" ref="H1258"/>
    <hyperlink r:id="rId864" ref="I1258"/>
    <hyperlink r:id="rId865" location="gid=194199893" ref="H1259"/>
    <hyperlink r:id="rId866" ref="I1259"/>
    <hyperlink r:id="rId867" location="gid=1736090729" ref="H1260"/>
    <hyperlink r:id="rId868" ref="I1260"/>
    <hyperlink r:id="rId869" location="gid=44399105" ref="H1261"/>
    <hyperlink r:id="rId870" location="gid=694232256" ref="H1262"/>
    <hyperlink r:id="rId871" location="gid=1853146413" ref="H1263"/>
    <hyperlink r:id="rId872" location="gid=930912850" ref="H1264"/>
    <hyperlink r:id="rId873" location="gid=2002546597" ref="H1265"/>
    <hyperlink r:id="rId874" location="gid=527260036" ref="H1266"/>
    <hyperlink r:id="rId875" location="gid=368087767" ref="H1267"/>
    <hyperlink r:id="rId876" location="gid=338449454" ref="H1269"/>
    <hyperlink r:id="rId877" location="gid=1656884297" ref="H1270"/>
    <hyperlink r:id="rId878" ref="I1270"/>
    <hyperlink r:id="rId879" location="gid=1198270379" ref="H1271"/>
    <hyperlink r:id="rId880" location="gid=58875188" ref="H1272"/>
    <hyperlink r:id="rId881" location="gid=1628808837" ref="H1273"/>
    <hyperlink r:id="rId882" location="gid=900012262" ref="H1274"/>
    <hyperlink r:id="rId883" location="gid=701601389" ref="H1275"/>
    <hyperlink r:id="rId884" location="gid=565397007" ref="H1276"/>
    <hyperlink r:id="rId885" location="gid=675585882" ref="H1277"/>
    <hyperlink r:id="rId886" location="gid=1992128330" ref="H1278"/>
    <hyperlink r:id="rId887" location="gid=2131274545" ref="H1279"/>
    <hyperlink r:id="rId888" location="gid=1726026331" ref="H1280"/>
    <hyperlink r:id="rId889" location="gid=1351279015" ref="H1281"/>
    <hyperlink r:id="rId890" location="gid=1438023663" ref="H1282"/>
    <hyperlink r:id="rId891" location="gid=1074412945" ref="H1283"/>
    <hyperlink r:id="rId892" location="gid=2082838360" ref="H1284"/>
    <hyperlink r:id="rId893" location="gid=1482027373" ref="H1285"/>
    <hyperlink r:id="rId894" location="gid=373541859" ref="H1286"/>
    <hyperlink r:id="rId895" location="gid=1325521747" ref="H1287"/>
    <hyperlink r:id="rId896" location="gid=1256869366" ref="H1288"/>
    <hyperlink r:id="rId897" location="gid=2022013037" ref="H1289"/>
    <hyperlink r:id="rId898" location="gid=118234582" ref="H1290"/>
    <hyperlink r:id="rId899" location="gid=428989507" ref="H1291"/>
    <hyperlink r:id="rId900" location="gid=388114595" ref="H1292"/>
    <hyperlink r:id="rId901" location="gid=32220211" ref="H1293"/>
    <hyperlink r:id="rId902" ref="I1293"/>
    <hyperlink r:id="rId903" location="gid=1542653489" ref="H1294"/>
    <hyperlink r:id="rId904" location="gid=1756552387" ref="H1295"/>
    <hyperlink r:id="rId905" location="gid=186003248" ref="H1296"/>
    <hyperlink r:id="rId906" location="gid=233188902" ref="H1297"/>
    <hyperlink r:id="rId907" location="gid=380520667" ref="H1298"/>
    <hyperlink r:id="rId908" location="gid=813124693" ref="H1299"/>
    <hyperlink r:id="rId909" ref="I1299"/>
    <hyperlink r:id="rId910" location="gid=482272231" ref="H1300"/>
    <hyperlink r:id="rId911" ref="I1300"/>
    <hyperlink r:id="rId912" location="gid=975659733" ref="H1301"/>
    <hyperlink r:id="rId913" location="gid=1550603494" ref="H1303"/>
    <hyperlink r:id="rId914" location="gid=1822571783" ref="H1304"/>
    <hyperlink r:id="rId915" location="gid=82996176" ref="H1306"/>
    <hyperlink r:id="rId916" location="gid=336437889" ref="H1307"/>
    <hyperlink r:id="rId917" location="gid=370620314" ref="H1308"/>
    <hyperlink r:id="rId918" location="gid=1483885127" ref="H1309"/>
    <hyperlink r:id="rId919" location="gid=1483885127" ref="H1310"/>
    <hyperlink r:id="rId920" location="gid=1258137078" ref="H1311"/>
    <hyperlink r:id="rId921" location="gid=1777992828" ref="H1312"/>
    <hyperlink r:id="rId922" location="gid=1173454533" ref="H1313"/>
    <hyperlink r:id="rId923" location="gid=1902497282" ref="H1314"/>
    <hyperlink r:id="rId924" location="gid=250650053" ref="H1315"/>
    <hyperlink r:id="rId925" location="gid=1920949313" ref="H1316"/>
    <hyperlink r:id="rId926" location="gid=284186374" ref="H1317"/>
    <hyperlink r:id="rId927" location="gid=625849428" ref="H1318"/>
    <hyperlink r:id="rId928" ref="I1318"/>
    <hyperlink r:id="rId929" location="gid=1718528248" ref="H1319"/>
    <hyperlink r:id="rId930" ref="I1319"/>
    <hyperlink r:id="rId931" location="gid=706983585" ref="H1322"/>
    <hyperlink r:id="rId932" location="gid=1207523393" ref="H1323"/>
    <hyperlink r:id="rId933" location="gid=1499291407" ref="H1328"/>
    <hyperlink r:id="rId934" location="gid=64389007" ref="H1329"/>
    <hyperlink r:id="rId935" location="gid=1454177438" ref="H1331"/>
    <hyperlink r:id="rId936" location="gid=305005516" ref="H1332"/>
    <hyperlink r:id="rId937" location="gid=2058620396" ref="H1333"/>
    <hyperlink r:id="rId938" location="gid=1295237501" ref="H1334"/>
    <hyperlink r:id="rId939" location="gid=1445477701" ref="H1338"/>
    <hyperlink r:id="rId940" location="gid=789970235" ref="H1339"/>
    <hyperlink r:id="rId941" location="gid=166966295" ref="H1340"/>
    <hyperlink r:id="rId942" location="gid=316384092" ref="H1341"/>
    <hyperlink r:id="rId943" location="gid=1823447590" ref="H1342"/>
    <hyperlink r:id="rId944" location="gid=1839942165" ref="H1343"/>
    <hyperlink r:id="rId945" location="gid=104937382" ref="H1344"/>
    <hyperlink r:id="rId946" location="gid=371216580" ref="H1345"/>
    <hyperlink r:id="rId947" location="gid=1431037231" ref="H1346"/>
    <hyperlink r:id="rId948" location="gid=1963162360" ref="H1347"/>
    <hyperlink r:id="rId949" location="gid=1488450314" ref="H1349"/>
    <hyperlink r:id="rId950" ref="I1349"/>
    <hyperlink r:id="rId951" location="gid=1656230982" ref="H1350"/>
    <hyperlink r:id="rId952" ref="I1350"/>
    <hyperlink r:id="rId953" location="gid=2128549332" ref="H1351"/>
    <hyperlink r:id="rId954" ref="I1351"/>
    <hyperlink r:id="rId955" location="gid=721503388" ref="H1352"/>
    <hyperlink r:id="rId956" ref="I1352"/>
    <hyperlink r:id="rId957" location="gid=1028732980" ref="H1353"/>
    <hyperlink r:id="rId958" location="gid=1050204202" ref="H1354"/>
    <hyperlink r:id="rId959" ref="I1354"/>
    <hyperlink r:id="rId960" location="gid=394346053" ref="H1355"/>
    <hyperlink r:id="rId961" ref="I1355"/>
    <hyperlink r:id="rId962" location="gid=1924857156" ref="H1356"/>
    <hyperlink r:id="rId963" ref="I1356"/>
    <hyperlink r:id="rId964" location="gid=1420606721" ref="H1357"/>
    <hyperlink r:id="rId965" ref="I1357"/>
    <hyperlink r:id="rId966" location="gid=1959905549" ref="H1358"/>
    <hyperlink r:id="rId967" ref="I1358"/>
    <hyperlink r:id="rId968" location="gid=407138877" ref="H1359"/>
    <hyperlink r:id="rId969" ref="I1359"/>
    <hyperlink r:id="rId970" location="gid=493919396" ref="H1360"/>
    <hyperlink r:id="rId971" ref="I1360"/>
    <hyperlink r:id="rId972" location="gid=969432712" ref="H1361"/>
    <hyperlink r:id="rId973" ref="I1361"/>
    <hyperlink r:id="rId974" location="gid=51775177" ref="H1365"/>
    <hyperlink r:id="rId975" ref="I1365"/>
    <hyperlink r:id="rId976" location="gid=1470173465" ref="H1366"/>
    <hyperlink r:id="rId977" ref="I1366"/>
    <hyperlink r:id="rId978" location="gid=1866713504" ref="H1367"/>
    <hyperlink r:id="rId979" ref="I1367"/>
    <hyperlink r:id="rId980" location="gid=944669618" ref="H1368"/>
    <hyperlink r:id="rId981" ref="I1368"/>
    <hyperlink r:id="rId982" location="gid=322677971" ref="H1369"/>
    <hyperlink r:id="rId983" ref="I1369"/>
    <hyperlink r:id="rId984" location="gid=948129229" ref="H1370"/>
    <hyperlink r:id="rId985" ref="I1370"/>
    <hyperlink r:id="rId986" location="gid=411393776" ref="H1371"/>
    <hyperlink r:id="rId987" ref="I1371"/>
    <hyperlink r:id="rId988" location="gid=1030101240" ref="H1372"/>
    <hyperlink r:id="rId989" ref="I1372"/>
    <hyperlink r:id="rId990" location="gid=594480118" ref="H1373"/>
    <hyperlink r:id="rId991" ref="I1373"/>
    <hyperlink r:id="rId992" location="gid=1880951633" ref="H1376"/>
    <hyperlink r:id="rId993" location="gid=849348771" ref="H1377"/>
    <hyperlink r:id="rId994" ref="I1377"/>
    <hyperlink r:id="rId995" location="gid=741067591" ref="H1379"/>
    <hyperlink r:id="rId996" location="gid=1740138408" ref="H1380"/>
    <hyperlink r:id="rId997" ref="I1380"/>
    <hyperlink r:id="rId998" location="gid=481612285" ref="H1386"/>
    <hyperlink r:id="rId999" location="gid=1944955293" ref="H1387"/>
    <hyperlink r:id="rId1000" ref="I1387"/>
    <hyperlink r:id="rId1001" location="gid=555355320" ref="H1388"/>
    <hyperlink r:id="rId1002" location="gid=1395505896" ref="H1389"/>
    <hyperlink r:id="rId1003" location="gid=1378814711" ref="H1392"/>
    <hyperlink r:id="rId1004" location="gid=532300797" ref="H1393"/>
    <hyperlink r:id="rId1005" location="gid=259875385" ref="H1394"/>
    <hyperlink r:id="rId1006" ref="I1394"/>
    <hyperlink r:id="rId1007" location="gid=1779752983" ref="H1395"/>
    <hyperlink r:id="rId1008" location="gid=255205459" ref="H1400"/>
    <hyperlink r:id="rId1009" location="gid=254963674" ref="H1401"/>
    <hyperlink r:id="rId1010" location="gid=2138110336" ref="H1402"/>
    <hyperlink r:id="rId1011" location="gid=1064274892" ref="H1403"/>
    <hyperlink r:id="rId1012" location="gid=188255576" ref="H1404"/>
    <hyperlink r:id="rId1013" location="gid=1237877981" ref="H1405"/>
    <hyperlink r:id="rId1014" location="gid=1217792882" ref="H1406"/>
    <hyperlink r:id="rId1015" location="gid=1201892812" ref="H1407"/>
    <hyperlink r:id="rId1016" location="gid=1513915226" ref="H1409"/>
    <hyperlink r:id="rId1017" location="gid=1698914895" ref="H1410"/>
    <hyperlink r:id="rId1018" location="gid=239550778" ref="H1411"/>
    <hyperlink r:id="rId1019" location="gid=1264665053" ref="H1412"/>
    <hyperlink r:id="rId1020" location="gid=5854245" ref="H1413"/>
    <hyperlink r:id="rId1021" location="gid=547129883" ref="H1414"/>
    <hyperlink r:id="rId1022" location="gid=641965304" ref="H1415"/>
    <hyperlink r:id="rId1023" location="gid=641965304" ref="H1416"/>
    <hyperlink r:id="rId1024" location="gid=1075878373" ref="H1417"/>
    <hyperlink r:id="rId1025" location="gid=1502613642" ref="H1418"/>
    <hyperlink r:id="rId1026" location="gid=1360222736" ref="H1419"/>
    <hyperlink r:id="rId1027" location="gid=1360222736" ref="H1420"/>
    <hyperlink r:id="rId1028" location="gid=874601105" ref="H1421"/>
    <hyperlink r:id="rId1029" location="gid=658853919" ref="H1422"/>
    <hyperlink r:id="rId1030" location="gid=2025902554" ref="H1423"/>
    <hyperlink r:id="rId1031" location="gid=1885490900" ref="H1424"/>
    <hyperlink r:id="rId1032" location="gid=1197282762" ref="H1425"/>
    <hyperlink r:id="rId1033" location="gid=1276297244" ref="H1441"/>
    <hyperlink r:id="rId1034" location="gid=757624793" ref="H1442"/>
    <hyperlink r:id="rId1035" location="gid=757624793" ref="H1443"/>
    <hyperlink r:id="rId1036" location="gid=549577801" ref="H1460"/>
    <hyperlink r:id="rId1037" location="gid=804949431" ref="H1585"/>
    <hyperlink r:id="rId1038" location="gid=1604017750" ref="H1586"/>
    <hyperlink r:id="rId1039" location="gid=1216643821" ref="H1587"/>
    <hyperlink r:id="rId1040" ref="I1587"/>
    <hyperlink r:id="rId1041" location="gid=102494064" ref="H1588"/>
    <hyperlink r:id="rId1042" ref="I1588"/>
    <hyperlink r:id="rId1043" location="gid=2011623621" ref="H1589"/>
    <hyperlink r:id="rId1044" ref="I1589"/>
    <hyperlink r:id="rId1045" location="gid=1412429298" ref="H1590"/>
    <hyperlink r:id="rId1046" ref="I1590"/>
    <hyperlink r:id="rId1047" location="gid=2032019827" ref="H1591"/>
    <hyperlink r:id="rId1048" ref="I1591"/>
    <hyperlink r:id="rId1049" location="gid=1550603494" ref="H1592"/>
    <hyperlink r:id="rId1050" location="gid=230773618" ref="H1593"/>
    <hyperlink r:id="rId1051" ref="I1593"/>
    <hyperlink r:id="rId1052" location="gid=1568412544" ref="H1597"/>
    <hyperlink r:id="rId1053" ref="I1597"/>
    <hyperlink r:id="rId1054" location="gid=2065488739" ref="H1598"/>
    <hyperlink r:id="rId1055" ref="I1598"/>
    <hyperlink r:id="rId1056" location="gid=680394849" ref="H1600"/>
    <hyperlink r:id="rId1057" location="gid=410419708" ref="H1601"/>
    <hyperlink r:id="rId1058" location="gid=1835030913" ref="H1613"/>
    <hyperlink r:id="rId1059" location="gid=665598290" ref="H1614"/>
    <hyperlink r:id="rId1060" location="gid=364805079" ref="H1615"/>
    <hyperlink r:id="rId1061" location="gid=1464012172" ref="H1616"/>
    <hyperlink r:id="rId1062" location="gid=1212683090" ref="H1618"/>
  </hyperlinks>
  <drawing r:id="rId106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2" max="2" width="10.0"/>
    <col customWidth="1" min="3" max="3" width="14.63"/>
    <col customWidth="1" min="4" max="4" width="12.25"/>
    <col customWidth="1" min="5" max="5" width="80.38"/>
    <col customWidth="1" min="6" max="6" width="8.0"/>
    <col customWidth="1" min="10" max="10" width="17.0"/>
    <col customWidth="1" min="14" max="14" width="17.75"/>
    <col customWidth="1" min="15" max="15" width="38.38"/>
  </cols>
  <sheetData>
    <row r="1">
      <c r="A1" s="31"/>
      <c r="B1" s="14"/>
      <c r="C1" s="14"/>
      <c r="D1" s="48" t="s">
        <v>623</v>
      </c>
      <c r="E1" s="14"/>
      <c r="F1" s="25"/>
      <c r="G1" s="6"/>
      <c r="H1" s="6"/>
      <c r="I1" s="19"/>
      <c r="J1" s="49" t="str">
        <f t="array" ref="J1:J12">IF(A14:A1975="", "",
  IFNA(
    VLOOKUP(
      A14:A1975,
      SORT('АРХИВ'!A:H, ROW('АРХИВ'!A:A), FALSE),
      8,
      FALSE
    )
  ,""))</f>
        <v>#REF!</v>
      </c>
      <c r="K1" s="52"/>
      <c r="L1" s="6"/>
      <c r="M1" s="51" t="str">
        <f t="array" ref="M1:M12">IF($A$14:$A1975="", "", IF(J14:J1975=100, "", IF(K14:K1975="", "", DATEVALUE(LEFT(K14:K1975, 10)) + L14:L1975)))</f>
        <v>#REF!</v>
      </c>
      <c r="O1" s="6"/>
      <c r="P1" s="6"/>
      <c r="Q1" s="6"/>
      <c r="R1" s="6"/>
    </row>
    <row r="2">
      <c r="A2" s="31"/>
      <c r="B2" s="14"/>
      <c r="C2" s="14"/>
      <c r="D2" s="6"/>
      <c r="E2" s="14"/>
      <c r="F2" s="25"/>
      <c r="G2" s="6"/>
      <c r="H2" s="6"/>
      <c r="I2" s="19"/>
      <c r="J2" s="50"/>
      <c r="K2" s="58"/>
      <c r="L2" s="6"/>
      <c r="M2" s="52"/>
      <c r="N2" s="53"/>
      <c r="O2" s="6"/>
      <c r="P2" s="6"/>
      <c r="Q2" s="6"/>
      <c r="R2" s="6"/>
    </row>
    <row r="3">
      <c r="A3" s="31"/>
      <c r="B3" s="14"/>
      <c r="C3" s="14" t="s">
        <v>624</v>
      </c>
      <c r="D3" s="54" t="s">
        <v>625</v>
      </c>
      <c r="E3" s="14"/>
      <c r="F3" s="25"/>
      <c r="G3" s="6"/>
      <c r="H3" s="6"/>
      <c r="I3" s="19"/>
      <c r="J3" s="50"/>
      <c r="K3" s="58"/>
      <c r="L3" s="6"/>
      <c r="M3" s="52"/>
      <c r="N3" s="53"/>
      <c r="O3" s="6"/>
      <c r="P3" s="6"/>
      <c r="Q3" s="6"/>
      <c r="R3" s="6"/>
    </row>
    <row r="4">
      <c r="A4" s="31"/>
      <c r="B4" s="14"/>
      <c r="C4" s="14" t="s">
        <v>626</v>
      </c>
      <c r="D4" s="54" t="s">
        <v>627</v>
      </c>
      <c r="E4" s="14"/>
      <c r="F4" s="25"/>
      <c r="G4" s="6"/>
      <c r="H4" s="6"/>
      <c r="I4" s="19"/>
      <c r="J4" s="50"/>
      <c r="K4" s="58"/>
      <c r="L4" s="6"/>
      <c r="M4" s="52"/>
      <c r="N4" s="53"/>
      <c r="O4" s="6"/>
      <c r="P4" s="6"/>
      <c r="Q4" s="6"/>
      <c r="R4" s="6"/>
    </row>
    <row r="5">
      <c r="A5" s="31"/>
      <c r="B5" s="14"/>
      <c r="C5" s="14" t="s">
        <v>628</v>
      </c>
      <c r="D5" s="54" t="s">
        <v>629</v>
      </c>
      <c r="E5" s="14"/>
      <c r="F5" s="25"/>
      <c r="G5" s="6"/>
      <c r="H5" s="6"/>
      <c r="I5" s="19"/>
      <c r="J5" s="50"/>
      <c r="K5" s="58"/>
      <c r="L5" s="6"/>
      <c r="M5" s="52"/>
      <c r="N5" s="53"/>
      <c r="O5" s="6"/>
      <c r="P5" s="6"/>
      <c r="Q5" s="6"/>
      <c r="R5" s="6"/>
    </row>
    <row r="6">
      <c r="A6" s="31"/>
      <c r="B6" s="14"/>
      <c r="C6" s="14" t="s">
        <v>630</v>
      </c>
      <c r="D6" s="54" t="s">
        <v>631</v>
      </c>
      <c r="E6" s="14"/>
      <c r="F6" s="25"/>
      <c r="G6" s="6"/>
      <c r="H6" s="6"/>
      <c r="I6" s="19"/>
      <c r="J6" s="50"/>
      <c r="K6" s="58"/>
      <c r="L6" s="6"/>
      <c r="M6" s="52"/>
      <c r="N6" s="53"/>
      <c r="O6" s="6"/>
      <c r="P6" s="6"/>
      <c r="Q6" s="6"/>
      <c r="R6" s="6"/>
    </row>
    <row r="7">
      <c r="A7" s="31"/>
      <c r="B7" s="14"/>
      <c r="C7" s="14" t="s">
        <v>632</v>
      </c>
      <c r="D7" s="54" t="s">
        <v>633</v>
      </c>
      <c r="E7" s="14"/>
      <c r="F7" s="25"/>
      <c r="G7" s="6"/>
      <c r="H7" s="6"/>
      <c r="I7" s="19"/>
      <c r="J7" s="50"/>
      <c r="K7" s="58"/>
      <c r="L7" s="6"/>
      <c r="M7" s="52"/>
      <c r="N7" s="53"/>
      <c r="O7" s="6"/>
      <c r="P7" s="6"/>
      <c r="Q7" s="6"/>
      <c r="R7" s="6"/>
    </row>
    <row r="8">
      <c r="A8" s="31"/>
      <c r="B8" s="14"/>
      <c r="C8" s="14" t="s">
        <v>634</v>
      </c>
      <c r="D8" s="54" t="s">
        <v>635</v>
      </c>
      <c r="E8" s="14"/>
      <c r="F8" s="25"/>
      <c r="G8" s="6"/>
      <c r="H8" s="6"/>
      <c r="I8" s="19"/>
      <c r="J8" s="50"/>
      <c r="K8" s="58"/>
      <c r="L8" s="6"/>
      <c r="M8" s="52"/>
      <c r="N8" s="53"/>
      <c r="O8" s="6"/>
      <c r="P8" s="6"/>
      <c r="Q8" s="6"/>
      <c r="R8" s="6"/>
    </row>
    <row r="9">
      <c r="A9" s="31"/>
      <c r="B9" s="14"/>
      <c r="C9" s="14" t="s">
        <v>636</v>
      </c>
      <c r="D9" s="54" t="s">
        <v>637</v>
      </c>
      <c r="E9" s="14"/>
      <c r="F9" s="25"/>
      <c r="G9" s="6"/>
      <c r="H9" s="6"/>
      <c r="I9" s="19"/>
      <c r="J9" s="50"/>
      <c r="K9" s="58"/>
      <c r="L9" s="6"/>
      <c r="M9" s="52"/>
      <c r="N9" s="53"/>
      <c r="O9" s="6"/>
      <c r="P9" s="6"/>
      <c r="Q9" s="6"/>
      <c r="R9" s="6"/>
    </row>
    <row r="10">
      <c r="A10" s="31"/>
      <c r="B10" s="14"/>
      <c r="C10" s="14"/>
      <c r="D10" s="6"/>
      <c r="E10" s="14"/>
      <c r="F10" s="25"/>
      <c r="G10" s="6"/>
      <c r="H10" s="6"/>
      <c r="I10" s="19"/>
      <c r="J10" s="50"/>
      <c r="K10" s="58"/>
      <c r="L10" s="6"/>
      <c r="M10" s="52"/>
      <c r="N10" s="53"/>
      <c r="O10" s="6"/>
      <c r="P10" s="6"/>
      <c r="Q10" s="6"/>
      <c r="R10" s="6"/>
    </row>
    <row r="11">
      <c r="A11" s="31"/>
      <c r="B11" s="14"/>
      <c r="C11" s="14"/>
      <c r="D11" s="6"/>
      <c r="E11" s="14"/>
      <c r="F11" s="25"/>
      <c r="G11" s="6"/>
      <c r="H11" s="6"/>
      <c r="I11" s="19"/>
      <c r="J11" s="50"/>
      <c r="K11" s="58"/>
      <c r="L11" s="6"/>
      <c r="M11" s="52"/>
      <c r="N11" s="53"/>
      <c r="O11" s="6"/>
      <c r="P11" s="6"/>
      <c r="Q11" s="6"/>
      <c r="R11" s="6"/>
    </row>
    <row r="12">
      <c r="A12" s="31" t="s">
        <v>638</v>
      </c>
      <c r="B12" s="14" t="s">
        <v>5</v>
      </c>
      <c r="C12" s="14" t="s">
        <v>639</v>
      </c>
      <c r="D12" s="47" t="s">
        <v>640</v>
      </c>
      <c r="E12" s="31" t="s">
        <v>641</v>
      </c>
      <c r="F12" s="14" t="s">
        <v>642</v>
      </c>
      <c r="G12" s="25" t="s">
        <v>643</v>
      </c>
      <c r="H12" s="6" t="s">
        <v>644</v>
      </c>
      <c r="I12" s="6" t="s">
        <v>645</v>
      </c>
      <c r="J12" s="55" t="s">
        <v>646</v>
      </c>
      <c r="K12" s="56" t="s">
        <v>647</v>
      </c>
      <c r="L12" s="15" t="s">
        <v>648</v>
      </c>
      <c r="M12" s="15" t="s">
        <v>649</v>
      </c>
      <c r="N12" s="15" t="s">
        <v>650</v>
      </c>
      <c r="O12" s="6"/>
      <c r="P12" s="6"/>
      <c r="Q12" s="6"/>
      <c r="R12" s="6"/>
    </row>
    <row r="13" hidden="1">
      <c r="A13" s="31" t="str">
        <f>IFERROR(__xludf.DUMMYFUNCTION("QUERY(IMPORTRANGE(D1, ""АИП 25-27 / РЕН 25-27 / ВНЕ СПИСКА!A:ZZ""), ""SELECT Col6, Col4, Col5, Col38, Col52,Col55,Col56,Col53, Col54, Col28, Col30 OFFSET 12"", 1)"),"6")</f>
        <v>6</v>
      </c>
      <c r="B13" s="14" t="str">
        <f>IFERROR(__xludf.DUMMYFUNCTION("""COMPUTED_VALUE"""),"4")</f>
        <v>4</v>
      </c>
      <c r="C13" s="14" t="str">
        <f>IFERROR(__xludf.DUMMYFUNCTION("""COMPUTED_VALUE"""),"7")</f>
        <v>7</v>
      </c>
      <c r="D13" s="15" t="str">
        <f>IFERROR(__xludf.DUMMYFUNCTION("""COMPUTED_VALUE"""),"38")</f>
        <v>38</v>
      </c>
      <c r="E13" s="14" t="str">
        <f>IFERROR(__xludf.DUMMYFUNCTION("""COMPUTED_VALUE"""),"")</f>
        <v/>
      </c>
      <c r="F13" s="25" t="str">
        <f>IFERROR(__xludf.DUMMYFUNCTION("""COMPUTED_VALUE"""),"")</f>
        <v/>
      </c>
      <c r="G13" s="6" t="str">
        <f>IFERROR(__xludf.DUMMYFUNCTION("""COMPUTED_VALUE"""),"")</f>
        <v/>
      </c>
      <c r="H13" s="6" t="str">
        <f>IFERROR(__xludf.DUMMYFUNCTION("""COMPUTED_VALUE"""),"")</f>
        <v/>
      </c>
      <c r="I13" s="19" t="str">
        <f>IFERROR(__xludf.DUMMYFUNCTION("""COMPUTED_VALUE"""),"")</f>
        <v/>
      </c>
      <c r="J13" s="50" t="str">
        <f>IFERROR(__xludf.DUMMYFUNCTION("""COMPUTED_VALUE"""),"28")</f>
        <v>28</v>
      </c>
      <c r="K13" s="58" t="str">
        <f>IFERROR(__xludf.DUMMYFUNCTION("""COMPUTED_VALUE"""),"32")</f>
        <v>32</v>
      </c>
      <c r="L13" s="6"/>
      <c r="M13" s="52"/>
      <c r="N13" s="53"/>
      <c r="O13" s="6"/>
      <c r="P13" s="6"/>
      <c r="Q13" s="6"/>
      <c r="R13" s="6"/>
    </row>
    <row r="14" hidden="1">
      <c r="A14" s="31" t="str">
        <f>IFERROR(__xludf.DUMMYFUNCTION("""COMPUTED_VALUE"""),"006")</f>
        <v>006</v>
      </c>
      <c r="B14" s="14" t="str">
        <f>IFERROR(__xludf.DUMMYFUNCTION("""COMPUTED_VALUE"""),"АИП-25")</f>
        <v>АИП-25</v>
      </c>
      <c r="C14" s="14" t="str">
        <f>IFERROR(__xludf.DUMMYFUNCTION("""COMPUTED_VALUE"""),"ОКС")</f>
        <v>ОКС</v>
      </c>
      <c r="D14" s="15"/>
      <c r="E14" s="14" t="str">
        <f>IFERROR(__xludf.DUMMYFUNCTION("""COMPUTED_VALUE"""),"Осмотр итогов строительства объекта административного здания на территории поселения Внуковское район Внуково, поселение Внуковское, ул. Авиаконструктора Петлякова")</f>
        <v>Осмотр итогов строительства объекта административного здания на территории поселения Внуковское район Внуково, поселение Внуковское, ул. Авиаконструктора Петлякова</v>
      </c>
      <c r="F14" s="25" t="str">
        <f>IFERROR(__xludf.DUMMYFUNCTION("""COMPUTED_VALUE"""),"#N/A")</f>
        <v>#N/A</v>
      </c>
      <c r="G14" s="6" t="str">
        <f>IFERROR(__xludf.DUMMYFUNCTION("""COMPUTED_VALUE"""),"#N/A")</f>
        <v>#N/A</v>
      </c>
      <c r="H14" s="18" t="str">
        <f>IFERROR(__xludf.DUMMYFUNCTION("""COMPUTED_VALUE"""),"https://docs.google.com/spreadsheets/d/19THEBTE9q0fhN2eApZr6BgenIvLGh0AckaYxHQfHk5w/edit?gid=1222968113#gid=1222968113")</f>
        <v>https://docs.google.com/spreadsheets/d/19THEBTE9q0fhN2eApZr6BgenIvLGh0AckaYxHQfHk5w/edit?gid=1222968113#gid=1222968113</v>
      </c>
      <c r="I14" s="19" t="str">
        <f>IFERROR(__xludf.DUMMYFUNCTION("""COMPUTED_VALUE"""),"https://disk.yandex.ru/client/disk/Осмотры%20объектов%20АНО%20СМГ/006.%20Административное%20здание%20на%20тер%20Внуковское%20д%20Лапшинка")</f>
        <v>https://disk.yandex.ru/client/disk/Осмотры%20объектов%20АНО%20СМГ/006.%20Административное%20здание%20на%20тер%20Внуковское%20д%20Лапшинка</v>
      </c>
      <c r="J14" s="57">
        <f>IFERROR(__xludf.DUMMYFUNCTION("""COMPUTED_VALUE"""),100.0)</f>
        <v>100</v>
      </c>
      <c r="K14" s="58">
        <f>IFERROR(__xludf.DUMMYFUNCTION("""COMPUTED_VALUE"""),45909.0)</f>
        <v>45909</v>
      </c>
      <c r="L14" s="6" t="str">
        <f t="array" ref="L14:L1975">IF(A14:A1975="", "", IF(J14:J1975=100, "Завершен", IF(J14:J1975&lt;=50, 30, IF(J14:J1975&lt;=94, 14, 7))))</f>
        <v>Завершен</v>
      </c>
      <c r="M14" s="13" t="str">
        <f t="array" ref="M14:M1975">IF(A14:A1975="", "", IF(J14:J1975=100, "", IF(K14:K1975="", "", DATEVALUE(LEFT(K14:K1975, 10)) + L14:L1975)))</f>
        <v/>
      </c>
      <c r="N14" s="59" t="str">
        <f t="array" ref="N14:N1975">IF(A14:A1975="", "",
  IF(J14:J1975=100, "✅ Завершен",
  IF(LEFT(O14:O1975, 2)="РВ", "🔴 Объект введен",
  IF(K14:K1975="", "🆕 Нет объездов",
    IF(TODAY() - DATEVALUE(LEFT(K14:K1975, 10)) &gt; L14:L1975, "🔴 ПРОСРОЧЕН",
    IF(L14:L1975 = 30,
       IF(TODAY() - DATEVALUE(LEFT(K14:K1975, 10)) &gt; 23, "🔴 СРОЧНО", 
       IF(TODAY() - DATEVALUE(LEFT(K14:K1975, 10)) &gt; 16, "🟠 ВНИМАНИЕ",
       IF(TODAY() - DATEVALUE(LEFT(K14:K1975, 10)) &gt; 9, "🟡 СКОРО", "🟢 ПО ПЛАНУ"))),
    IF(L14:L1975 = 14,
       IF(TODAY() - DATEVALUE(LEFT(K14:K1975, 10)) &gt; 11, "🔴 СРОЧНО",
       IF(TODAY() - DATEVALUE(LEFT(K14:K1975, 10)) &gt; 7, "🟠 ВНИМАНИЕ",
       IF(TODAY() - DATEVALUE(LEFT(K14:K1975, 10)) &gt; 4, "🟡 СКОРО", "🟢 ПО ПЛАНУ"))),
       IF(TODAY() - DATEVALUE(LEFT(K14:K1975, 10)) &gt; 6, "🔴 СРОЧНО",
       IF(TODAY() - DATEVALUE(LEFT(K14:K1975, 10)) &gt; 4, "🟠 ВНИМАНИЕ",
       IF(TODAY() - DATEVALUE(LEFT(K14:K1975, 10)) &gt; 2, "🟡 СКОРО", "🟢 ПО ПЛАНУ")))
    )))
  )))
)</f>
        <v>✅ Завершен</v>
      </c>
      <c r="O14" s="19" t="s">
        <v>651</v>
      </c>
      <c r="P14" s="37" t="s">
        <v>357</v>
      </c>
      <c r="Q14" s="6" t="str">
        <f t="shared" ref="Q14:Q1975" si="1">VLOOKUP(A14:A15,P:P,1,0)</f>
        <v>#N/A</v>
      </c>
      <c r="R14" s="6"/>
    </row>
    <row r="15" hidden="1">
      <c r="A15" s="31" t="str">
        <f>IFERROR(__xludf.DUMMYFUNCTION("""COMPUTED_VALUE"""),"160д")</f>
        <v>160д</v>
      </c>
      <c r="B15" s="14" t="str">
        <f>IFERROR(__xludf.DUMMYFUNCTION("""COMPUTED_VALUE"""),"АИП-25")</f>
        <v>АИП-25</v>
      </c>
      <c r="C15" s="14" t="str">
        <f>IFERROR(__xludf.DUMMYFUNCTION("""COMPUTED_VALUE"""),"УДС")</f>
        <v>УДС</v>
      </c>
      <c r="D15" s="15"/>
      <c r="E15" s="14" t="str">
        <f>IFERROR(__xludf.DUMMYFUNCTION("""COMPUTED_VALUE"""),"Развитие улично-дорожной сети городского округа Троицк (2 этап). (Строительство
магистральной улицы районного значения от ул. Полковника милиции Курочкина до
Октябрьского проспекта (Подъездная дорога к школе на 2100 мест в микрорайоне ""В"" г.о.
Троицк в "&amp;"городе Москве) Троицк")</f>
        <v>Развитие улично-дорожной сети городского округа Троицк (2 этап). (Строительство
магистральной улицы районного значения от ул. Полковника милиции Курочкина до
Октябрьского проспекта (Подъездная дорога к школе на 2100 мест в микрорайоне "В" г.о.
Троицк в городе Москве) Троицк</v>
      </c>
      <c r="F15" s="25" t="str">
        <f>IFERROR(__xludf.DUMMYFUNCTION("""COMPUTED_VALUE"""),"#N/A")</f>
        <v>#N/A</v>
      </c>
      <c r="G15" s="6" t="str">
        <f>IFERROR(__xludf.DUMMYFUNCTION("""COMPUTED_VALUE"""),"#N/A")</f>
        <v>#N/A</v>
      </c>
      <c r="H15" s="6"/>
      <c r="I15" s="6"/>
      <c r="J15" s="50">
        <f>IFERROR(__xludf.DUMMYFUNCTION("""COMPUTED_VALUE"""),98.0)</f>
        <v>98</v>
      </c>
      <c r="K15" s="58">
        <f>IFERROR(__xludf.DUMMYFUNCTION("""COMPUTED_VALUE"""),45968.0)</f>
        <v>45968</v>
      </c>
      <c r="L15" s="6">
        <v>7.0</v>
      </c>
      <c r="M15" s="52">
        <v>45975.0</v>
      </c>
      <c r="N15" s="53" t="s">
        <v>652</v>
      </c>
      <c r="O15" s="6" t="s">
        <v>653</v>
      </c>
      <c r="P15" s="37" t="s">
        <v>471</v>
      </c>
      <c r="Q15" s="6" t="str">
        <f t="shared" si="1"/>
        <v>#N/A</v>
      </c>
      <c r="R15" s="6"/>
    </row>
    <row r="16" hidden="1">
      <c r="A16" s="31" t="str">
        <f>IFERROR(__xludf.DUMMYFUNCTION("""COMPUTED_VALUE"""),"384д")</f>
        <v>384д</v>
      </c>
      <c r="B16" s="14" t="str">
        <f>IFERROR(__xludf.DUMMYFUNCTION("""COMPUTED_VALUE"""),"АИП-25")</f>
        <v>АИП-25</v>
      </c>
      <c r="C16" s="14" t="str">
        <f>IFERROR(__xludf.DUMMYFUNCTION("""COMPUTED_VALUE"""),"УДС")</f>
        <v>УДС</v>
      </c>
      <c r="D16" s="15"/>
      <c r="E16" s="14" t="str">
        <f>IFERROR(__xludf.DUMMYFUNCTION("""COMPUTED_VALUE"""),"Строительство автомобильной дороги ""Воскресенское - Каракашево - Щербинка"". этап: Этап 5.1 (ОРП) Воскресенское")</f>
        <v>Строительство автомобильной дороги "Воскресенское - Каракашево - Щербинка". этап: Этап 5.1 (ОРП) Воскресенское</v>
      </c>
      <c r="F16" s="25" t="str">
        <f>IFERROR(__xludf.DUMMYFUNCTION("""COMPUTED_VALUE"""),"#N/A")</f>
        <v>#N/A</v>
      </c>
      <c r="G16" s="6" t="str">
        <f>IFERROR(__xludf.DUMMYFUNCTION("""COMPUTED_VALUE"""),"#N/A")</f>
        <v>#N/A</v>
      </c>
      <c r="H16" s="6"/>
      <c r="I16" s="6"/>
      <c r="J16" s="50">
        <f>IFERROR(__xludf.DUMMYFUNCTION("""COMPUTED_VALUE"""),100.0)</f>
        <v>100</v>
      </c>
      <c r="K16" s="58">
        <f>IFERROR(__xludf.DUMMYFUNCTION("""COMPUTED_VALUE"""),45972.0)</f>
        <v>45972</v>
      </c>
      <c r="L16" s="6" t="s">
        <v>654</v>
      </c>
      <c r="M16" s="52" t="s">
        <v>655</v>
      </c>
      <c r="N16" s="53" t="s">
        <v>656</v>
      </c>
      <c r="O16" s="6" t="s">
        <v>657</v>
      </c>
      <c r="P16" s="37" t="s">
        <v>470</v>
      </c>
      <c r="Q16" s="6" t="str">
        <f t="shared" si="1"/>
        <v>#N/A</v>
      </c>
      <c r="R16" s="6"/>
    </row>
    <row r="17" hidden="1">
      <c r="A17" s="31" t="str">
        <f>IFERROR(__xludf.DUMMYFUNCTION("""COMPUTED_VALUE"""),"012")</f>
        <v>012</v>
      </c>
      <c r="B17" s="14" t="str">
        <f>IFERROR(__xludf.DUMMYFUNCTION("""COMPUTED_VALUE"""),"АИП-25")</f>
        <v>АИП-25</v>
      </c>
      <c r="C17" s="14" t="str">
        <f>IFERROR(__xludf.DUMMYFUNCTION("""COMPUTED_VALUE"""),"ОКС")</f>
        <v>ОКС</v>
      </c>
      <c r="D17" s="15"/>
      <c r="E17" s="14" t="str">
        <f>IFERROR(__xludf.DUMMYFUNCTION("""COMPUTED_VALUE"""),"Реконструкция школы № 2062 на 350 мест со строительством пристройки на 550 мест (2-й этап - реконструкция) ТАО, Новофёдоровское, д. Яковлевское, д. 29")</f>
        <v>Реконструкция школы № 2062 на 350 мест со строительством пристройки на 550 мест (2-й этап - реконструкция) ТАО, Новофёдоровское, д. Яковлевское, д. 29</v>
      </c>
      <c r="F17" s="25" t="str">
        <f>IFERROR(__xludf.DUMMYFUNCTION("""COMPUTED_VALUE"""),"#N/A")</f>
        <v>#N/A</v>
      </c>
      <c r="G17" s="6" t="str">
        <f>IFERROR(__xludf.DUMMYFUNCTION("""COMPUTED_VALUE"""),"#N/A")</f>
        <v>#N/A</v>
      </c>
      <c r="H17" s="18" t="str">
        <f>IFERROR(__xludf.DUMMYFUNCTION("""COMPUTED_VALUE"""),"https://docs.google.com/spreadsheets/d/19THEBTE9q0fhN2eApZr6BgenIvLGh0AckaYxHQfHk5w/edit?gid=1038633275#gid=1038633275")</f>
        <v>https://docs.google.com/spreadsheets/d/19THEBTE9q0fhN2eApZr6BgenIvLGh0AckaYxHQfHk5w/edit?gid=1038633275#gid=1038633275</v>
      </c>
      <c r="I17" s="19" t="str">
        <f>IFERROR(__xludf.DUMMYFUNCTION("""COMPUTED_VALUE"""),"https://disk.yandex.ru/client/disk/Осмотры%20объектов%20АНО%20СМГ/012.%20новофедоровское%20СОШ%202062")</f>
        <v>https://disk.yandex.ru/client/disk/Осмотры%20объектов%20АНО%20СМГ/012.%20новофедоровское%20СОШ%202062</v>
      </c>
      <c r="J17" s="50">
        <f>IFERROR(__xludf.DUMMYFUNCTION("""COMPUTED_VALUE"""),100.0)</f>
        <v>100</v>
      </c>
      <c r="K17" s="58">
        <f>IFERROR(__xludf.DUMMYFUNCTION("""COMPUTED_VALUE"""),45889.0)</f>
        <v>45889</v>
      </c>
      <c r="L17" s="6" t="s">
        <v>654</v>
      </c>
      <c r="M17" s="52" t="s">
        <v>655</v>
      </c>
      <c r="N17" s="53" t="s">
        <v>656</v>
      </c>
      <c r="O17" s="19" t="s">
        <v>658</v>
      </c>
      <c r="P17" s="37" t="s">
        <v>1460</v>
      </c>
      <c r="Q17" s="6" t="str">
        <f t="shared" si="1"/>
        <v>#N/A</v>
      </c>
      <c r="R17" s="6"/>
    </row>
    <row r="18" hidden="1">
      <c r="A18" s="31" t="str">
        <f>IFERROR(__xludf.DUMMYFUNCTION("""COMPUTED_VALUE"""),"120")</f>
        <v>120</v>
      </c>
      <c r="B18" s="14" t="str">
        <f>IFERROR(__xludf.DUMMYFUNCTION("""COMPUTED_VALUE"""),"АИП-25")</f>
        <v>АИП-25</v>
      </c>
      <c r="C18" s="14" t="str">
        <f>IFERROR(__xludf.DUMMYFUNCTION("""COMPUTED_VALUE"""),"ОКС")</f>
        <v>ОКС</v>
      </c>
      <c r="D18" s="15"/>
      <c r="E18" s="14" t="str">
        <f>IFERROR(__xludf.DUMMYFUNCTION("""COMPUTED_VALUE"""),"Учебный корпус на 400 мест (этап 2)
 ориентир ул. Базовская, д. 15, корп.13 район Западное Дегунино, ул. Базовская, д. 15, корп. 13")</f>
        <v>Учебный корпус на 400 мест (этап 2)
 ориентир ул. Базовская, д. 15, корп.13 район Западное Дегунино, ул. Базовская, д. 15, корп. 13</v>
      </c>
      <c r="F18" s="25" t="str">
        <f>IFERROR(__xludf.DUMMYFUNCTION("""COMPUTED_VALUE"""),"#N/A")</f>
        <v>#N/A</v>
      </c>
      <c r="G18" s="6" t="str">
        <f>IFERROR(__xludf.DUMMYFUNCTION("""COMPUTED_VALUE"""),"#N/A")</f>
        <v>#N/A</v>
      </c>
      <c r="H18" s="18" t="str">
        <f>IFERROR(__xludf.DUMMYFUNCTION("""COMPUTED_VALUE"""),"https://docs.google.com/spreadsheets/d/19THEBTE9q0fhN2eApZr6BgenIvLGh0AckaYxHQfHk5w/edit?gid=717172873#gid=717172873")</f>
        <v>https://docs.google.com/spreadsheets/d/19THEBTE9q0fhN2eApZr6BgenIvLGh0AckaYxHQfHk5w/edit?gid=717172873#gid=717172873</v>
      </c>
      <c r="I18" s="19" t="str">
        <f>IFERROR(__xludf.DUMMYFUNCTION("""COMPUTED_VALUE"""),"https://disk.yandex.ru/client/disk/Осмотры%20объектов%20АНО%20СМГ/120.%20Базовская%20д15%20корп%2013")</f>
        <v>https://disk.yandex.ru/client/disk/Осмотры%20объектов%20АНО%20СМГ/120.%20Базовская%20д15%20корп%2013</v>
      </c>
      <c r="J18" s="50">
        <f>IFERROR(__xludf.DUMMYFUNCTION("""COMPUTED_VALUE"""),99.9685)</f>
        <v>99.9685</v>
      </c>
      <c r="K18" s="58">
        <f>IFERROR(__xludf.DUMMYFUNCTION("""COMPUTED_VALUE"""),45889.0)</f>
        <v>45889</v>
      </c>
      <c r="L18" s="6">
        <v>7.0</v>
      </c>
      <c r="M18" s="52">
        <v>45896.0</v>
      </c>
      <c r="N18" s="53" t="s">
        <v>652</v>
      </c>
      <c r="O18" s="19" t="s">
        <v>659</v>
      </c>
      <c r="P18" s="37" t="s">
        <v>1461</v>
      </c>
      <c r="Q18" s="6" t="str">
        <f t="shared" si="1"/>
        <v>#N/A</v>
      </c>
      <c r="R18" s="6"/>
    </row>
    <row r="19" hidden="1">
      <c r="A19" s="31" t="str">
        <f>IFERROR(__xludf.DUMMYFUNCTION("""COMPUTED_VALUE"""),"125")</f>
        <v>125</v>
      </c>
      <c r="B19" s="14" t="str">
        <f>IFERROR(__xludf.DUMMYFUNCTION("""COMPUTED_VALUE"""),"АИП-25")</f>
        <v>АИП-25</v>
      </c>
      <c r="C19" s="14" t="str">
        <f>IFERROR(__xludf.DUMMYFUNCTION("""COMPUTED_VALUE"""),"ОКС")</f>
        <v>ОКС</v>
      </c>
      <c r="D19" s="15"/>
      <c r="E19" s="14" t="str">
        <f>IFERROR(__xludf.DUMMYFUNCTION("""COMPUTED_VALUE"""),"Скоропомощный стационарный комплекс на территории ГБУЗ «ГКБ им. В.М. Буянова» ДЗМ
 ул. Бакинская, д. 26 район Царицино, ул. Бакинская, д. 26 (со сносом объектов по адресам: Бакинская ул., д. 26, стр. 6, стр. 8)")</f>
        <v>Скоропомощный стационарный комплекс на территории ГБУЗ «ГКБ им. В.М. Буянова» ДЗМ
 ул. Бакинская, д. 26 район Царицино, ул. Бакинская, д. 26 (со сносом объектов по адресам: Бакинская ул., д. 26, стр. 6, стр. 8)</v>
      </c>
      <c r="F19" s="25" t="str">
        <f>IFERROR(__xludf.DUMMYFUNCTION("""COMPUTED_VALUE"""),"#N/A")</f>
        <v>#N/A</v>
      </c>
      <c r="G19" s="6" t="str">
        <f>IFERROR(__xludf.DUMMYFUNCTION("""COMPUTED_VALUE"""),"#N/A")</f>
        <v>#N/A</v>
      </c>
      <c r="H19" s="18" t="str">
        <f>IFERROR(__xludf.DUMMYFUNCTION("""COMPUTED_VALUE"""),"https://docs.google.com/spreadsheets/d/19THEBTE9q0fhN2eApZr6BgenIvLGh0AckaYxHQfHk5w/edit?gid=2058696561#gid=2058696561")</f>
        <v>https://docs.google.com/spreadsheets/d/19THEBTE9q0fhN2eApZr6BgenIvLGh0AckaYxHQfHk5w/edit?gid=2058696561#gid=2058696561</v>
      </c>
      <c r="I19" s="19" t="str">
        <f>IFERROR(__xludf.DUMMYFUNCTION("""COMPUTED_VALUE"""),"https://disk.yandex.ru/client/disk/Осмотры%20объектов%20АНО%20СМГ/125.%20ГКБ%20им.%20В.И.%20Буянова%20ДЗМ%20Царицино%20ЮАО%20г.%20Москва%20Бакинская%20д.%2026%20с.%208")</f>
        <v>https://disk.yandex.ru/client/disk/Осмотры%20объектов%20АНО%20СМГ/125.%20ГКБ%20им.%20В.И.%20Буянова%20ДЗМ%20Царицино%20ЮАО%20г.%20Москва%20Бакинская%20д.%2026%20с.%208</v>
      </c>
      <c r="J19" s="50">
        <f>IFERROR(__xludf.DUMMYFUNCTION("""COMPUTED_VALUE"""),100.0)</f>
        <v>100</v>
      </c>
      <c r="K19" s="58">
        <f>IFERROR(__xludf.DUMMYFUNCTION("""COMPUTED_VALUE"""),45828.0)</f>
        <v>45828</v>
      </c>
      <c r="L19" s="6" t="s">
        <v>654</v>
      </c>
      <c r="M19" s="52" t="s">
        <v>655</v>
      </c>
      <c r="N19" s="53" t="s">
        <v>656</v>
      </c>
      <c r="O19" s="19" t="s">
        <v>660</v>
      </c>
      <c r="P19" s="37" t="s">
        <v>425</v>
      </c>
      <c r="Q19" s="6" t="str">
        <f t="shared" si="1"/>
        <v>#N/A</v>
      </c>
      <c r="R19" s="6"/>
    </row>
    <row r="20" hidden="1">
      <c r="A20" s="31" t="str">
        <f>IFERROR(__xludf.DUMMYFUNCTION("""COMPUTED_VALUE"""),"259")</f>
        <v>259</v>
      </c>
      <c r="B20" s="14" t="str">
        <f>IFERROR(__xludf.DUMMYFUNCTION("""COMPUTED_VALUE"""),"АИП-25")</f>
        <v>АИП-25</v>
      </c>
      <c r="C20" s="14" t="str">
        <f>IFERROR(__xludf.DUMMYFUNCTION("""COMPUTED_VALUE"""),"ОКС")</f>
        <v>ОКС</v>
      </c>
      <c r="D20" s="15"/>
      <c r="E20" s="14" t="str">
        <f>IFERROR(__xludf.DUMMYFUNCTION("""COMPUTED_VALUE"""),"Физкультурно-оздоровительный комплекс,
 ул. Павла Корчагина, вл. 7 район Алексеевский, ул. Павла Корчагина, вл. 7")</f>
        <v>Физкультурно-оздоровительный комплекс,
 ул. Павла Корчагина, вл. 7 район Алексеевский, ул. Павла Корчагина, вл. 7</v>
      </c>
      <c r="F20" s="25" t="str">
        <f>IFERROR(__xludf.DUMMYFUNCTION("""COMPUTED_VALUE"""),"#N/A")</f>
        <v>#N/A</v>
      </c>
      <c r="G20" s="6" t="str">
        <f>IFERROR(__xludf.DUMMYFUNCTION("""COMPUTED_VALUE"""),"#N/A")</f>
        <v>#N/A</v>
      </c>
      <c r="H20" s="18" t="str">
        <f>IFERROR(__xludf.DUMMYFUNCTION("""COMPUTED_VALUE"""),"https://docs.google.com/spreadsheets/d/19THEBTE9q0fhN2eApZr6BgenIvLGh0AckaYxHQfHk5w/edit?gid=600337697#gid=600337697")</f>
        <v>https://docs.google.com/spreadsheets/d/19THEBTE9q0fhN2eApZr6BgenIvLGh0AckaYxHQfHk5w/edit?gid=600337697#gid=600337697</v>
      </c>
      <c r="I20" s="19" t="str">
        <f>IFERROR(__xludf.DUMMYFUNCTION("""COMPUTED_VALUE"""),"https://disk.yandex.ru/client/disk/Осмотры%20объектов%20АНО%20СМГ/259.%20ул%20Павла%20Корчагина%2C%207")</f>
        <v>https://disk.yandex.ru/client/disk/Осмотры%20объектов%20АНО%20СМГ/259.%20ул%20Павла%20Корчагина%2C%207</v>
      </c>
      <c r="J20" s="50">
        <f>IFERROR(__xludf.DUMMYFUNCTION("""COMPUTED_VALUE"""),100.0)</f>
        <v>100</v>
      </c>
      <c r="K20" s="58">
        <f>IFERROR(__xludf.DUMMYFUNCTION("""COMPUTED_VALUE"""),45828.0)</f>
        <v>45828</v>
      </c>
      <c r="L20" s="6" t="s">
        <v>654</v>
      </c>
      <c r="M20" s="52" t="s">
        <v>655</v>
      </c>
      <c r="N20" s="53" t="s">
        <v>656</v>
      </c>
      <c r="O20" s="19" t="s">
        <v>661</v>
      </c>
      <c r="P20" s="37" t="s">
        <v>445</v>
      </c>
      <c r="Q20" s="6" t="str">
        <f t="shared" si="1"/>
        <v>#N/A</v>
      </c>
      <c r="R20" s="6"/>
    </row>
    <row r="21" hidden="1">
      <c r="A21" s="31" t="str">
        <f>IFERROR(__xludf.DUMMYFUNCTION("""COMPUTED_VALUE"""),"101")</f>
        <v>101</v>
      </c>
      <c r="B21" s="14" t="str">
        <f>IFERROR(__xludf.DUMMYFUNCTION("""COMPUTED_VALUE"""),"АИП-25")</f>
        <v>АИП-25</v>
      </c>
      <c r="C21" s="14" t="str">
        <f>IFERROR(__xludf.DUMMYFUNCTION("""COMPUTED_VALUE"""),"ОКС")</f>
        <v>ОКС</v>
      </c>
      <c r="D21" s="15"/>
      <c r="E21" s="14" t="str">
        <f>IFERROR(__xludf.DUMMYFUNCTION("""COMPUTED_VALUE"""),"Жилой комплекс «Царицыно» 
 подземный паркинг с благоустройством 6-я Радиальная ул., вл. 7 (корп. 5.4) район Бирюлево Восточное, 6-я Радиальная ул, вл. 7 (корп. 5.4)")</f>
        <v>Жилой комплекс «Царицыно» 
 подземный паркинг с благоустройством 6-я Радиальная ул., вл. 7 (корп. 5.4) район Бирюлево Восточное, 6-я Радиальная ул, вл. 7 (корп. 5.4)</v>
      </c>
      <c r="F21" s="25" t="str">
        <f>IFERROR(__xludf.DUMMYFUNCTION("""COMPUTED_VALUE"""),"#N/A")</f>
        <v>#N/A</v>
      </c>
      <c r="G21" s="6" t="str">
        <f>IFERROR(__xludf.DUMMYFUNCTION("""COMPUTED_VALUE"""),"#N/A")</f>
        <v>#N/A</v>
      </c>
      <c r="H21" s="18" t="str">
        <f>IFERROR(__xludf.DUMMYFUNCTION("""COMPUTED_VALUE"""),"https://docs.google.com/spreadsheets/d/19THEBTE9q0fhN2eApZr6BgenIvLGh0AckaYxHQfHk5w/edit?gid=23825357#gid=23825357")</f>
        <v>https://docs.google.com/spreadsheets/d/19THEBTE9q0fhN2eApZr6BgenIvLGh0AckaYxHQfHk5w/edit?gid=23825357#gid=23825357</v>
      </c>
      <c r="I21" s="19" t="str">
        <f>IFERROR(__xludf.DUMMYFUNCTION("""COMPUTED_VALUE"""),"https://disk.yandex.ru/client/disk/Осмотры%20объектов%20АНО%20СМГ/101.%20Подземный%20паркинг.%20ЖК%20%22Царицыно%22.%206-я%20Радиальная%20ул.%2C%20вл.%207%20(корп%205.4)")</f>
        <v>https://disk.yandex.ru/client/disk/Осмотры%20объектов%20АНО%20СМГ/101.%20Подземный%20паркинг.%20ЖК%20%22Царицыно%22.%206-я%20Радиальная%20ул.%2C%20вл.%207%20(корп%205.4)</v>
      </c>
      <c r="J21" s="50">
        <f>IFERROR(__xludf.DUMMYFUNCTION("""COMPUTED_VALUE"""),99.724875)</f>
        <v>99.724875</v>
      </c>
      <c r="K21" s="58">
        <f>IFERROR(__xludf.DUMMYFUNCTION("""COMPUTED_VALUE"""),45861.0)</f>
        <v>45861</v>
      </c>
      <c r="L21" s="6">
        <v>7.0</v>
      </c>
      <c r="M21" s="52">
        <v>45868.0</v>
      </c>
      <c r="N21" s="53" t="s">
        <v>652</v>
      </c>
      <c r="O21" s="19" t="s">
        <v>662</v>
      </c>
      <c r="P21" s="37" t="s">
        <v>443</v>
      </c>
      <c r="Q21" s="6" t="str">
        <f t="shared" si="1"/>
        <v>#N/A</v>
      </c>
      <c r="R21" s="6"/>
    </row>
    <row r="22" hidden="1">
      <c r="A22" s="31" t="str">
        <f>IFERROR(__xludf.DUMMYFUNCTION("""COMPUTED_VALUE"""),"100")</f>
        <v>100</v>
      </c>
      <c r="B22" s="14" t="str">
        <f>IFERROR(__xludf.DUMMYFUNCTION("""COMPUTED_VALUE"""),"АИП-25")</f>
        <v>АИП-25</v>
      </c>
      <c r="C22" s="14" t="str">
        <f>IFERROR(__xludf.DUMMYFUNCTION("""COMPUTED_VALUE"""),"ОКС")</f>
        <v>ОКС</v>
      </c>
      <c r="D22" s="15"/>
      <c r="E22" s="14" t="str">
        <f>IFERROR(__xludf.DUMMYFUNCTION("""COMPUTED_VALUE"""),"Жилой комплекс «Царицыно»
 подземный паркинг с благоустройством
 6-я Радиальная ул., вл. 7 (корп. 5.1) район Бирюлево Восточное, 6-я Радиальная ул, вл. 7 (корп. 5.1)")</f>
        <v>Жилой комплекс «Царицыно»
 подземный паркинг с благоустройством
 6-я Радиальная ул., вл. 7 (корп. 5.1) район Бирюлево Восточное, 6-я Радиальная ул, вл. 7 (корп. 5.1)</v>
      </c>
      <c r="F22" s="25" t="str">
        <f>IFERROR(__xludf.DUMMYFUNCTION("""COMPUTED_VALUE"""),"#N/A")</f>
        <v>#N/A</v>
      </c>
      <c r="G22" s="6" t="str">
        <f>IFERROR(__xludf.DUMMYFUNCTION("""COMPUTED_VALUE"""),"#N/A")</f>
        <v>#N/A</v>
      </c>
      <c r="H22" s="18" t="str">
        <f>IFERROR(__xludf.DUMMYFUNCTION("""COMPUTED_VALUE"""),"https://docs.google.com/spreadsheets/d/19THEBTE9q0fhN2eApZr6BgenIvLGh0AckaYxHQfHk5w/edit?gid=1122822598#gid=1122822598")</f>
        <v>https://docs.google.com/spreadsheets/d/19THEBTE9q0fhN2eApZr6BgenIvLGh0AckaYxHQfHk5w/edit?gid=1122822598#gid=1122822598</v>
      </c>
      <c r="I22" s="19" t="str">
        <f>IFERROR(__xludf.DUMMYFUNCTION("""COMPUTED_VALUE"""),"https://disk.yandex.ru/client/disk/Осмотры%20объектов%20АНО%20СМГ/100.%20Подземный%20паркинг.%20ЖК%20%22Царицыно%22.%206-я%20Радиальная%20ул.%20%2C%20вл.%207%20(корп.%205.1)")</f>
        <v>https://disk.yandex.ru/client/disk/Осмотры%20объектов%20АНО%20СМГ/100.%20Подземный%20паркинг.%20ЖК%20%22Царицыно%22.%206-я%20Радиальная%20ул.%20%2C%20вл.%207%20(корп.%205.1)</v>
      </c>
      <c r="J22" s="50">
        <f>IFERROR(__xludf.DUMMYFUNCTION("""COMPUTED_VALUE"""),99.6405)</f>
        <v>99.6405</v>
      </c>
      <c r="K22" s="58">
        <f>IFERROR(__xludf.DUMMYFUNCTION("""COMPUTED_VALUE"""),45861.0)</f>
        <v>45861</v>
      </c>
      <c r="L22" s="6">
        <v>7.0</v>
      </c>
      <c r="M22" s="52">
        <v>45868.0</v>
      </c>
      <c r="N22" s="53" t="s">
        <v>652</v>
      </c>
      <c r="O22" s="19" t="s">
        <v>663</v>
      </c>
      <c r="P22" s="37" t="s">
        <v>446</v>
      </c>
      <c r="Q22" s="6" t="str">
        <f t="shared" si="1"/>
        <v>#N/A</v>
      </c>
      <c r="R22" s="6"/>
    </row>
    <row r="23" hidden="1">
      <c r="A23" s="31" t="str">
        <f>IFERROR(__xludf.DUMMYFUNCTION("""COMPUTED_VALUE"""),"123")</f>
        <v>123</v>
      </c>
      <c r="B23" s="14" t="str">
        <f>IFERROR(__xludf.DUMMYFUNCTION("""COMPUTED_VALUE"""),"АИП-25")</f>
        <v>АИП-25</v>
      </c>
      <c r="C23" s="14" t="str">
        <f>IFERROR(__xludf.DUMMYFUNCTION("""COMPUTED_VALUE"""),"ОКС")</f>
        <v>ОКС</v>
      </c>
      <c r="D23" s="15"/>
      <c r="E23" s="14" t="str">
        <f>IFERROR(__xludf.DUMMYFUNCTION("""COMPUTED_VALUE"""),"Жилой комплекс «Терлецкий парк»
 Новогиреевская ул., вл.5, корп.1, корп.2 район Новогиреево, Новогиреевская ул., вл. 5, корп. 1, корп. 2")</f>
        <v>Жилой комплекс «Терлецкий парк»
 Новогиреевская ул., вл.5, корп.1, корп.2 район Новогиреево, Новогиреевская ул., вл. 5, корп. 1, корп. 2</v>
      </c>
      <c r="F23" s="25" t="str">
        <f>IFERROR(__xludf.DUMMYFUNCTION("""COMPUTED_VALUE"""),"55.761429")</f>
        <v>55.761429</v>
      </c>
      <c r="G23" s="6" t="str">
        <f>IFERROR(__xludf.DUMMYFUNCTION("""COMPUTED_VALUE"""),"37.796085")</f>
        <v>37.796085</v>
      </c>
      <c r="H23" s="18" t="str">
        <f>IFERROR(__xludf.DUMMYFUNCTION("""COMPUTED_VALUE"""),"https://docs.google.com/spreadsheets/d/19THEBTE9q0fhN2eApZr6BgenIvLGh0AckaYxHQfHk5w/edit?gid=326698304#gid=326698304")</f>
        <v>https://docs.google.com/spreadsheets/d/19THEBTE9q0fhN2eApZr6BgenIvLGh0AckaYxHQfHk5w/edit?gid=326698304#gid=326698304</v>
      </c>
      <c r="I23" s="19" t="str">
        <f>IFERROR(__xludf.DUMMYFUNCTION("""COMPUTED_VALUE"""),"https://disk.yandex.ru/client/disk/Осмотры%20объектов%20АНО%20СМГ/123.%20ЖК%20«Терлецкий%20Парк»%20Новогиреевская%20ул.%2C%20вл.5%2C%20корп.1%2C%20корп.2")</f>
        <v>https://disk.yandex.ru/client/disk/Осмотры%20объектов%20АНО%20СМГ/123.%20ЖК%20«Терлецкий%20Парк»%20Новогиреевская%20ул.%2C%20вл.5%2C%20корп.1%2C%20корп.2</v>
      </c>
      <c r="J23" s="50">
        <f>IFERROR(__xludf.DUMMYFUNCTION("""COMPUTED_VALUE"""),99.757125)</f>
        <v>99.757125</v>
      </c>
      <c r="K23" s="58">
        <f>IFERROR(__xludf.DUMMYFUNCTION("""COMPUTED_VALUE"""),45901.0)</f>
        <v>45901</v>
      </c>
      <c r="L23" s="6">
        <v>7.0</v>
      </c>
      <c r="M23" s="52">
        <v>45908.0</v>
      </c>
      <c r="N23" s="53" t="s">
        <v>652</v>
      </c>
      <c r="O23" s="19" t="s">
        <v>664</v>
      </c>
      <c r="P23" s="37" t="s">
        <v>521</v>
      </c>
      <c r="Q23" s="6" t="str">
        <f t="shared" si="1"/>
        <v>#N/A</v>
      </c>
      <c r="R23" s="6"/>
    </row>
    <row r="24" hidden="1">
      <c r="A24" s="31" t="str">
        <f>IFERROR(__xludf.DUMMYFUNCTION("""COMPUTED_VALUE"""),"118")</f>
        <v>118</v>
      </c>
      <c r="B24" s="14" t="str">
        <f>IFERROR(__xludf.DUMMYFUNCTION("""COMPUTED_VALUE"""),"АИП-25")</f>
        <v>АИП-25</v>
      </c>
      <c r="C24" s="14" t="str">
        <f>IFERROR(__xludf.DUMMYFUNCTION("""COMPUTED_VALUE"""),"ОКС")</f>
        <v>ОКС</v>
      </c>
      <c r="D24" s="15"/>
      <c r="E24" s="14" t="str">
        <f>IFERROR(__xludf.DUMMYFUNCTION("""COMPUTED_VALUE"""),"Жилой комплекс «Царицыно» подземный паркинг с благоустройством 6-я Радиальная ул., вл. 7 (корп. 30,31) район Бирюлево Восточное, 6-я Радиальная ул, вл. 7 (корп. 30, 31)")</f>
        <v>Жилой комплекс «Царицыно» подземный паркинг с благоустройством 6-я Радиальная ул., вл. 7 (корп. 30,31) район Бирюлево Восточное, 6-я Радиальная ул, вл. 7 (корп. 30, 31)</v>
      </c>
      <c r="F24" s="25" t="str">
        <f>IFERROR(__xludf.DUMMYFUNCTION("""COMPUTED_VALUE"""),"#N/A")</f>
        <v>#N/A</v>
      </c>
      <c r="G24" s="6" t="str">
        <f>IFERROR(__xludf.DUMMYFUNCTION("""COMPUTED_VALUE"""),"#N/A")</f>
        <v>#N/A</v>
      </c>
      <c r="H24" s="18" t="str">
        <f>IFERROR(__xludf.DUMMYFUNCTION("""COMPUTED_VALUE"""),"https://docs.google.com/spreadsheets/d/19THEBTE9q0fhN2eApZr6BgenIvLGh0AckaYxHQfHk5w/edit?gid=739392640#gid=739392640")</f>
        <v>https://docs.google.com/spreadsheets/d/19THEBTE9q0fhN2eApZr6BgenIvLGh0AckaYxHQfHk5w/edit?gid=739392640#gid=739392640</v>
      </c>
      <c r="I24" s="19" t="str">
        <f>IFERROR(__xludf.DUMMYFUNCTION("""COMPUTED_VALUE"""),"https://disk.yandex.ru/client/disk/Осмотры%20объектов%20АНО%20СМГ/118.%206-я%20Радиальная%20ул.%2C%20вл.%207%20корп.%2030%2C%2031.%20Паркинг")</f>
        <v>https://disk.yandex.ru/client/disk/Осмотры%20объектов%20АНО%20СМГ/118.%206-я%20Радиальная%20ул.%2C%20вл.%207%20корп.%2030%2C%2031.%20Паркинг</v>
      </c>
      <c r="J24" s="50">
        <f>IFERROR(__xludf.DUMMYFUNCTION("""COMPUTED_VALUE"""),99.87412499999999)</f>
        <v>99.874125</v>
      </c>
      <c r="K24" s="58">
        <f>IFERROR(__xludf.DUMMYFUNCTION("""COMPUTED_VALUE"""),45861.0)</f>
        <v>45861</v>
      </c>
      <c r="L24" s="6">
        <v>7.0</v>
      </c>
      <c r="M24" s="52">
        <v>45868.0</v>
      </c>
      <c r="N24" s="53" t="s">
        <v>652</v>
      </c>
      <c r="O24" s="19" t="s">
        <v>665</v>
      </c>
      <c r="P24" s="37" t="s">
        <v>519</v>
      </c>
      <c r="Q24" s="6" t="str">
        <f t="shared" si="1"/>
        <v>#N/A</v>
      </c>
      <c r="R24" s="6"/>
    </row>
    <row r="25" hidden="1">
      <c r="A25" s="31" t="str">
        <f>IFERROR(__xludf.DUMMYFUNCTION("""COMPUTED_VALUE"""),"117")</f>
        <v>117</v>
      </c>
      <c r="B25" s="14" t="str">
        <f>IFERROR(__xludf.DUMMYFUNCTION("""COMPUTED_VALUE"""),"АИП-25")</f>
        <v>АИП-25</v>
      </c>
      <c r="C25" s="14" t="str">
        <f>IFERROR(__xludf.DUMMYFUNCTION("""COMPUTED_VALUE"""),"ОКС")</f>
        <v>ОКС</v>
      </c>
      <c r="D25" s="15"/>
      <c r="E25" s="14" t="str">
        <f>IFERROR(__xludf.DUMMYFUNCTION("""COMPUTED_VALUE"""),"Жилой комплекс «Царицыно» 
 подземный паркинг с благоустройством
 6-я Радиальная ул., вл. 7 (корп. 27, 28/29) район Бирюлево Восточное, 6-я Радиальная ул, вл. 7 (корп. 27, 28/29)")</f>
        <v>Жилой комплекс «Царицыно» 
 подземный паркинг с благоустройством
 6-я Радиальная ул., вл. 7 (корп. 27, 28/29) район Бирюлево Восточное, 6-я Радиальная ул, вл. 7 (корп. 27, 28/29)</v>
      </c>
      <c r="F25" s="25" t="str">
        <f>IFERROR(__xludf.DUMMYFUNCTION("""COMPUTED_VALUE"""),"#N/A")</f>
        <v>#N/A</v>
      </c>
      <c r="G25" s="6" t="str">
        <f>IFERROR(__xludf.DUMMYFUNCTION("""COMPUTED_VALUE"""),"#N/A")</f>
        <v>#N/A</v>
      </c>
      <c r="H25" s="18" t="str">
        <f>IFERROR(__xludf.DUMMYFUNCTION("""COMPUTED_VALUE"""),"https://docs.google.com/spreadsheets/d/19THEBTE9q0fhN2eApZr6BgenIvLGh0AckaYxHQfHk5w/edit?gid=891835937#gid=891835937")</f>
        <v>https://docs.google.com/spreadsheets/d/19THEBTE9q0fhN2eApZr6BgenIvLGh0AckaYxHQfHk5w/edit?gid=891835937#gid=891835937</v>
      </c>
      <c r="I25" s="19" t="str">
        <f>IFERROR(__xludf.DUMMYFUNCTION("""COMPUTED_VALUE"""),"https://disk.yandex.ru/client/disk/Осмотры%20объектов%20АНО%20СМГ/117.%206-я%20Радиальная%20вл.7%20Корп%2027%2C%2028-29.%20Паркинг")</f>
        <v>https://disk.yandex.ru/client/disk/Осмотры%20объектов%20АНО%20СМГ/117.%206-я%20Радиальная%20вл.7%20Корп%2027%2C%2028-29.%20Паркинг</v>
      </c>
      <c r="J25" s="50">
        <f>IFERROR(__xludf.DUMMYFUNCTION("""COMPUTED_VALUE"""),99.86449999999999)</f>
        <v>99.8645</v>
      </c>
      <c r="K25" s="58">
        <f>IFERROR(__xludf.DUMMYFUNCTION("""COMPUTED_VALUE"""),45861.0)</f>
        <v>45861</v>
      </c>
      <c r="L25" s="6">
        <v>7.0</v>
      </c>
      <c r="M25" s="52">
        <v>45868.0</v>
      </c>
      <c r="N25" s="53" t="s">
        <v>652</v>
      </c>
      <c r="O25" s="19" t="s">
        <v>666</v>
      </c>
      <c r="P25" s="37" t="s">
        <v>442</v>
      </c>
      <c r="Q25" s="6" t="str">
        <f t="shared" si="1"/>
        <v>#N/A</v>
      </c>
      <c r="R25" s="6"/>
    </row>
    <row r="26" hidden="1">
      <c r="A26" s="31" t="str">
        <f>IFERROR(__xludf.DUMMYFUNCTION("""COMPUTED_VALUE"""),"1034")</f>
        <v>1034</v>
      </c>
      <c r="B26" s="14" t="str">
        <f>IFERROR(__xludf.DUMMYFUNCTION("""COMPUTED_VALUE"""),"АИП-25")</f>
        <v>АИП-25</v>
      </c>
      <c r="C26" s="14" t="str">
        <f>IFERROR(__xludf.DUMMYFUNCTION("""COMPUTED_VALUE"""),"УДС")</f>
        <v>УДС</v>
      </c>
      <c r="D26" s="15"/>
      <c r="E26" s="14" t="str">
        <f>IFERROR(__xludf.DUMMYFUNCTION("""COMPUTED_VALUE"""),"Пересадка на ст. ""Текстильщики"" (с БКЛ на ТКЛ) район Текстильщики, Пересадка на ст. ""Текстильщики"" (с БКЛ на ТКЛ)")</f>
        <v>Пересадка на ст. "Текстильщики" (с БКЛ на ТКЛ) район Текстильщики, Пересадка на ст. "Текстильщики" (с БКЛ на ТКЛ)</v>
      </c>
      <c r="F26" s="25" t="str">
        <f>IFERROR(__xludf.DUMMYFUNCTION("""COMPUTED_VALUE"""),"55.708579")</f>
        <v>55.708579</v>
      </c>
      <c r="G26" s="6" t="str">
        <f>IFERROR(__xludf.DUMMYFUNCTION("""COMPUTED_VALUE"""),"37.728959")</f>
        <v>37.728959</v>
      </c>
      <c r="H26" s="18" t="str">
        <f>IFERROR(__xludf.DUMMYFUNCTION("""COMPUTED_VALUE"""),"https://docs.google.com/spreadsheets/d/1jonEGMB3UFHiUZpltF1zURon8gYN7jGSHu-k9t5TXnA/edit?gid=808640473#gid=808640473")</f>
        <v>https://docs.google.com/spreadsheets/d/1jonEGMB3UFHiUZpltF1zURon8gYN7jGSHu-k9t5TXnA/edit?gid=808640473#gid=808640473</v>
      </c>
      <c r="I26" s="6" t="str">
        <f>IFERROR(__xludf.DUMMYFUNCTION("""COMPUTED_VALUE"""),"https://disk.yandex.ru/client/disk/Осмотры%20объектов%20АНО%20СМГ/1034.%20Пересадка%20на%20станции%20метро%20Текстильщики%20(с%20БКЛ%20на%20ТКЛ)")</f>
        <v>https://disk.yandex.ru/client/disk/Осмотры%20объектов%20АНО%20СМГ/1034.%20Пересадка%20на%20станции%20метро%20Текстильщики%20(с%20БКЛ%20на%20ТКЛ)</v>
      </c>
      <c r="J26" s="50">
        <f>IFERROR(__xludf.DUMMYFUNCTION("""COMPUTED_VALUE"""),99.9625)</f>
        <v>99.9625</v>
      </c>
      <c r="K26" s="58">
        <f>IFERROR(__xludf.DUMMYFUNCTION("""COMPUTED_VALUE"""),45957.0)</f>
        <v>45957</v>
      </c>
      <c r="L26" s="6">
        <v>7.0</v>
      </c>
      <c r="M26" s="52">
        <v>45964.0</v>
      </c>
      <c r="N26" s="53" t="s">
        <v>652</v>
      </c>
      <c r="O26" s="6" t="s">
        <v>667</v>
      </c>
      <c r="P26" s="37" t="s">
        <v>1462</v>
      </c>
      <c r="Q26" s="6" t="str">
        <f t="shared" si="1"/>
        <v>#N/A</v>
      </c>
      <c r="R26" s="6"/>
    </row>
    <row r="27" hidden="1">
      <c r="A27" s="31" t="str">
        <f>IFERROR(__xludf.DUMMYFUNCTION("""COMPUTED_VALUE"""),"1038")</f>
        <v>1038</v>
      </c>
      <c r="B27" s="14" t="str">
        <f>IFERROR(__xludf.DUMMYFUNCTION("""COMPUTED_VALUE"""),"АИП-25")</f>
        <v>АИП-25</v>
      </c>
      <c r="C27" s="14" t="str">
        <f>IFERROR(__xludf.DUMMYFUNCTION("""COMPUTED_VALUE"""),"УДС")</f>
        <v>УДС</v>
      </c>
      <c r="D27" s="15"/>
      <c r="E27" s="14" t="str">
        <f>IFERROR(__xludf.DUMMYFUNCTION("""COMPUTED_VALUE"""),"Соединительная ветка с э/депо «Столбово» район Коммунарка")</f>
        <v>Соединительная ветка с э/депо «Столбово» район Коммунарка</v>
      </c>
      <c r="F27" s="25" t="str">
        <f>IFERROR(__xludf.DUMMYFUNCTION("""COMPUTED_VALUE"""),"#N/A")</f>
        <v>#N/A</v>
      </c>
      <c r="G27" s="6" t="str">
        <f>IFERROR(__xludf.DUMMYFUNCTION("""COMPUTED_VALUE"""),"#N/A")</f>
        <v>#N/A</v>
      </c>
      <c r="H27" s="18" t="str">
        <f>IFERROR(__xludf.DUMMYFUNCTION("""COMPUTED_VALUE"""),"https://docs.google.com/spreadsheets/d/1jonEGMB3UFHiUZpltF1zURon8gYN7jGSHu-k9t5TXnA/edit?gid=1039816960#gid=1039816960")</f>
        <v>https://docs.google.com/spreadsheets/d/1jonEGMB3UFHiUZpltF1zURon8gYN7jGSHu-k9t5TXnA/edit?gid=1039816960#gid=1039816960</v>
      </c>
      <c r="I27" s="6"/>
      <c r="J27" s="50">
        <f>IFERROR(__xludf.DUMMYFUNCTION("""COMPUTED_VALUE"""),65.804)</f>
        <v>65.804</v>
      </c>
      <c r="K27" s="58">
        <f>IFERROR(__xludf.DUMMYFUNCTION("""COMPUTED_VALUE"""),45750.0)</f>
        <v>45750</v>
      </c>
      <c r="L27" s="6">
        <v>14.0</v>
      </c>
      <c r="M27" s="52">
        <v>45764.0</v>
      </c>
      <c r="N27" s="53" t="s">
        <v>668</v>
      </c>
      <c r="O27" s="6" t="s">
        <v>669</v>
      </c>
      <c r="P27" s="37" t="s">
        <v>448</v>
      </c>
      <c r="Q27" s="6" t="str">
        <f t="shared" si="1"/>
        <v>#N/A</v>
      </c>
      <c r="R27" s="6"/>
    </row>
    <row r="28" hidden="1">
      <c r="A28" s="31" t="str">
        <f>IFERROR(__xludf.DUMMYFUNCTION("""COMPUTED_VALUE"""),"1116")</f>
        <v>1116</v>
      </c>
      <c r="B28" s="14" t="str">
        <f>IFERROR(__xludf.DUMMYFUNCTION("""COMPUTED_VALUE"""),"АИП-25")</f>
        <v>АИП-25</v>
      </c>
      <c r="C28" s="14" t="str">
        <f>IFERROR(__xludf.DUMMYFUNCTION("""COMPUTED_VALUE"""),"УДС")</f>
        <v>УДС</v>
      </c>
      <c r="D28" s="15"/>
      <c r="E28" s="14" t="str">
        <f>IFERROR(__xludf.DUMMYFUNCTION("""COMPUTED_VALUE"""),"Электродепо «Столбово» район Коммунарка, квартал № 159")</f>
        <v>Электродепо «Столбово» район Коммунарка, квартал № 159</v>
      </c>
      <c r="F28" s="25" t="str">
        <f>IFERROR(__xludf.DUMMYFUNCTION("""COMPUTED_VALUE"""),"#N/A")</f>
        <v>#N/A</v>
      </c>
      <c r="G28" s="6" t="str">
        <f>IFERROR(__xludf.DUMMYFUNCTION("""COMPUTED_VALUE"""),"#N/A")</f>
        <v>#N/A</v>
      </c>
      <c r="H28" s="18" t="str">
        <f>IFERROR(__xludf.DUMMYFUNCTION("""COMPUTED_VALUE"""),"https://docs.google.com/spreadsheets/d/1jonEGMB3UFHiUZpltF1zURon8gYN7jGSHu-k9t5TXnA/edit?gid=1117601488#gid=1117601488")</f>
        <v>https://docs.google.com/spreadsheets/d/1jonEGMB3UFHiUZpltF1zURon8gYN7jGSHu-k9t5TXnA/edit?gid=1117601488#gid=1117601488</v>
      </c>
      <c r="I28" s="6" t="str">
        <f>IFERROR(__xludf.DUMMYFUNCTION("""COMPUTED_VALUE"""),"https://disk.yandex.ru/client/disk/Осмотры%20объектов%20АНО%20СМГ/1034.%20Пересадка%20на%20станции%20метро%20Текстильщики%20(с%20БКЛ%20на%20ТКЛ)")</f>
        <v>https://disk.yandex.ru/client/disk/Осмотры%20объектов%20АНО%20СМГ/1034.%20Пересадка%20на%20станции%20метро%20Текстильщики%20(с%20БКЛ%20на%20ТКЛ)</v>
      </c>
      <c r="J28" s="50">
        <f>IFERROR(__xludf.DUMMYFUNCTION("""COMPUTED_VALUE"""),87.325)</f>
        <v>87.325</v>
      </c>
      <c r="K28" s="58">
        <f>IFERROR(__xludf.DUMMYFUNCTION("""COMPUTED_VALUE"""),45769.0)</f>
        <v>45769</v>
      </c>
      <c r="L28" s="6">
        <v>14.0</v>
      </c>
      <c r="M28" s="52">
        <v>45783.0</v>
      </c>
      <c r="N28" s="53" t="s">
        <v>668</v>
      </c>
      <c r="O28" s="6" t="s">
        <v>670</v>
      </c>
      <c r="P28" s="37" t="s">
        <v>516</v>
      </c>
      <c r="Q28" s="6" t="str">
        <f t="shared" si="1"/>
        <v>#N/A</v>
      </c>
      <c r="R28" s="6"/>
    </row>
    <row r="29" hidden="1">
      <c r="A29" s="31" t="str">
        <f>IFERROR(__xludf.DUMMYFUNCTION("""COMPUTED_VALUE"""),"1132 (этап 2)")</f>
        <v>1132 (этап 2)</v>
      </c>
      <c r="B29" s="14" t="str">
        <f>IFERROR(__xludf.DUMMYFUNCTION("""COMPUTED_VALUE"""),"АИП-25")</f>
        <v>АИП-25</v>
      </c>
      <c r="C29" s="14" t="str">
        <f>IFERROR(__xludf.DUMMYFUNCTION("""COMPUTED_VALUE"""),"УДС")</f>
        <v>УДС</v>
      </c>
      <c r="D29" s="15"/>
      <c r="E29" s="14" t="str">
        <f>IFERROR(__xludf.DUMMYFUNCTION("""COMPUTED_VALUE"""),"Технологическая часть транспортно-пересадочного узла на станции метро «Авиамоторная». Этап 2 Пешеходный переход станции метро «Авиамоторная»")</f>
        <v>Технологическая часть транспортно-пересадочного узла на станции метро «Авиамоторная». Этап 2 Пешеходный переход станции метро «Авиамоторная»</v>
      </c>
      <c r="F29" s="25" t="str">
        <f>IFERROR(__xludf.DUMMYFUNCTION("""COMPUTED_VALUE"""),"55.752962604373806")</f>
        <v>55.752962604373806</v>
      </c>
      <c r="G29" s="6" t="str">
        <f>IFERROR(__xludf.DUMMYFUNCTION("""COMPUTED_VALUE"""),"37.71994250729798")</f>
        <v>37.71994250729798</v>
      </c>
      <c r="H29" s="18" t="str">
        <f>IFERROR(__xludf.DUMMYFUNCTION("""COMPUTED_VALUE"""),"https://docs.google.com/spreadsheets/d/1jonEGMB3UFHiUZpltF1zURon8gYN7jGSHu-k9t5TXnA/edit?gid=77612996#gid=77612996")</f>
        <v>https://docs.google.com/spreadsheets/d/1jonEGMB3UFHiUZpltF1zURon8gYN7jGSHu-k9t5TXnA/edit?gid=77612996#gid=77612996</v>
      </c>
      <c r="I29"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29" s="50">
        <f>IFERROR(__xludf.DUMMYFUNCTION("""COMPUTED_VALUE"""),100.0)</f>
        <v>100</v>
      </c>
      <c r="K29" s="58">
        <f>IFERROR(__xludf.DUMMYFUNCTION("""COMPUTED_VALUE"""),45959.0)</f>
        <v>45959</v>
      </c>
      <c r="L29" s="6" t="s">
        <v>654</v>
      </c>
      <c r="M29" s="52" t="s">
        <v>655</v>
      </c>
      <c r="N29" s="53" t="s">
        <v>656</v>
      </c>
      <c r="O29" s="6" t="s">
        <v>671</v>
      </c>
      <c r="P29" s="37" t="s">
        <v>518</v>
      </c>
      <c r="Q29" s="6" t="str">
        <f t="shared" si="1"/>
        <v>#N/A</v>
      </c>
      <c r="R29" s="6"/>
    </row>
    <row r="30" hidden="1">
      <c r="A30" s="31" t="str">
        <f>IFERROR(__xludf.DUMMYFUNCTION("""COMPUTED_VALUE"""),"1065 (этап 2.2)")</f>
        <v>1065 (этап 2.2)</v>
      </c>
      <c r="B30" s="14" t="str">
        <f>IFERROR(__xludf.DUMMYFUNCTION("""COMPUTED_VALUE"""),"АИП-25")</f>
        <v>АИП-25</v>
      </c>
      <c r="C30" s="14" t="str">
        <f>IFERROR(__xludf.DUMMYFUNCTION("""COMPUTED_VALUE"""),"УДС")</f>
        <v>УДС</v>
      </c>
      <c r="D30" s="15"/>
      <c r="E30" s="14" t="str">
        <f>IFERROR(__xludf.DUMMYFUNCTION("""COMPUTED_VALUE"""),"Технологическая часть транспортно-пересадочного узла на станции метро «Рассказовка» («Новопеределкино»). Этап 2.2 Парковка район Внуково, территория ТПУ «Рассказовка» ")</f>
        <v>Технологическая часть транспортно-пересадочного узла на станции метро «Рассказовка» («Новопеределкино»). Этап 2.2 Парковка район Внуково, территория ТПУ «Рассказовка» </v>
      </c>
      <c r="F30" s="25" t="str">
        <f>IFERROR(__xludf.DUMMYFUNCTION("""COMPUTED_VALUE"""),"55.633969596534705")</f>
        <v>55.633969596534705</v>
      </c>
      <c r="G30" s="6" t="str">
        <f>IFERROR(__xludf.DUMMYFUNCTION("""COMPUTED_VALUE"""),"37.3346986726294")</f>
        <v>37.3346986726294</v>
      </c>
      <c r="H30" s="18" t="str">
        <f>IFERROR(__xludf.DUMMYFUNCTION("""COMPUTED_VALUE"""),"https://docs.google.com/spreadsheets/d/1jonEGMB3UFHiUZpltF1zURon8gYN7jGSHu-k9t5TXnA/edit?gid=1143459343#gid=1143459343")</f>
        <v>https://docs.google.com/spreadsheets/d/1jonEGMB3UFHiUZpltF1zURon8gYN7jGSHu-k9t5TXnA/edit?gid=1143459343#gid=1143459343</v>
      </c>
      <c r="I30"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30" s="50">
        <f>IFERROR(__xludf.DUMMYFUNCTION("""COMPUTED_VALUE"""),100.0)</f>
        <v>100</v>
      </c>
      <c r="K30" s="58">
        <f>IFERROR(__xludf.DUMMYFUNCTION("""COMPUTED_VALUE"""),45974.0)</f>
        <v>45974</v>
      </c>
      <c r="L30" s="6" t="s">
        <v>654</v>
      </c>
      <c r="M30" s="52" t="s">
        <v>655</v>
      </c>
      <c r="N30" s="53" t="s">
        <v>656</v>
      </c>
      <c r="O30" s="6" t="s">
        <v>672</v>
      </c>
      <c r="P30" s="37" t="s">
        <v>523</v>
      </c>
      <c r="Q30" s="6" t="str">
        <f t="shared" si="1"/>
        <v>#N/A</v>
      </c>
      <c r="R30" s="6"/>
    </row>
    <row r="31" hidden="1">
      <c r="A31" s="31" t="str">
        <f>IFERROR(__xludf.DUMMYFUNCTION("""COMPUTED_VALUE"""),"270")</f>
        <v>270</v>
      </c>
      <c r="B31" s="14" t="str">
        <f>IFERROR(__xludf.DUMMYFUNCTION("""COMPUTED_VALUE"""),"АИП-25")</f>
        <v>АИП-25</v>
      </c>
      <c r="C31" s="14" t="str">
        <f>IFERROR(__xludf.DUMMYFUNCTION("""COMPUTED_VALUE"""),"ОКС+УДС")</f>
        <v>ОКС+УДС</v>
      </c>
      <c r="D31" s="15"/>
      <c r="E31" s="14" t="str">
        <f>IFERROR(__xludf.DUMMYFUNCTION("""COMPUTED_VALUE"""),"Подъездная дорога к административному зданию по адресу: 3-я Хорошевская ул., влд.17. Этап 1 - участок № 13 3-я Хорошевская ул., влд.17")</f>
        <v>Подъездная дорога к административному зданию по адресу: 3-я Хорошевская ул., влд.17. Этап 1 - участок № 13 3-я Хорошевская ул., влд.17</v>
      </c>
      <c r="F31" s="25" t="str">
        <f>IFERROR(__xludf.DUMMYFUNCTION("""COMPUTED_VALUE"""),"#N/A")</f>
        <v>#N/A</v>
      </c>
      <c r="G31" s="6" t="str">
        <f>IFERROR(__xludf.DUMMYFUNCTION("""COMPUTED_VALUE"""),"#N/A")</f>
        <v>#N/A</v>
      </c>
      <c r="H31" s="18" t="str">
        <f>IFERROR(__xludf.DUMMYFUNCTION("""COMPUTED_VALUE"""),"https://docs.google.com/spreadsheets/d/19THEBTE9q0fhN2eApZr6BgenIvLGh0AckaYxHQfHk5w/edit?gid=1112644991#gid=1112644991")</f>
        <v>https://docs.google.com/spreadsheets/d/19THEBTE9q0fhN2eApZr6BgenIvLGh0AckaYxHQfHk5w/edit?gid=1112644991#gid=1112644991</v>
      </c>
      <c r="I31" s="19" t="str">
        <f>IFERROR(__xludf.DUMMYFUNCTION("""COMPUTED_VALUE"""),"https://disk.yandex.ru/client/disk/Осмотры%20объектов%20АНО%20СМГ/270.%20Дорога%203-я%20Хорошевская%20вл.17")</f>
        <v>https://disk.yandex.ru/client/disk/Осмотры%20объектов%20АНО%20СМГ/270.%20Дорога%203-я%20Хорошевская%20вл.17</v>
      </c>
      <c r="J31" s="50">
        <f>IFERROR(__xludf.DUMMYFUNCTION("""COMPUTED_VALUE"""),99.9)</f>
        <v>99.9</v>
      </c>
      <c r="K31" s="58">
        <f>IFERROR(__xludf.DUMMYFUNCTION("""COMPUTED_VALUE"""),45887.0)</f>
        <v>45887</v>
      </c>
      <c r="L31" s="6">
        <v>7.0</v>
      </c>
      <c r="M31" s="52">
        <v>45894.0</v>
      </c>
      <c r="N31" s="53" t="s">
        <v>652</v>
      </c>
      <c r="O31" s="19" t="s">
        <v>673</v>
      </c>
      <c r="P31" s="37" t="s">
        <v>435</v>
      </c>
      <c r="Q31" s="6" t="str">
        <f t="shared" si="1"/>
        <v>#N/A</v>
      </c>
      <c r="R31" s="6"/>
    </row>
    <row r="32" hidden="1">
      <c r="A32" s="31" t="str">
        <f>IFERROR(__xludf.DUMMYFUNCTION("""COMPUTED_VALUE"""),"243")</f>
        <v>243</v>
      </c>
      <c r="B32" s="14" t="str">
        <f>IFERROR(__xludf.DUMMYFUNCTION("""COMPUTED_VALUE"""),"АИП-25")</f>
        <v>АИП-25</v>
      </c>
      <c r="C32" s="14" t="str">
        <f>IFERROR(__xludf.DUMMYFUNCTION("""COMPUTED_VALUE"""),"ОКС")</f>
        <v>ОКС</v>
      </c>
      <c r="D32" s="15"/>
      <c r="E32" s="14" t="str">
        <f>IFERROR(__xludf.DUMMYFUNCTION("""COMPUTED_VALUE"""),"Спортивный комплекс,
 ул. Остафьевская, к. «Г» район Южное Бутово, ул. Остафьевская 21, корпус «Г»")</f>
        <v>Спортивный комплекс,
 ул. Остафьевская, к. «Г» район Южное Бутово, ул. Остафьевская 21, корпус «Г»</v>
      </c>
      <c r="F32" s="25" t="str">
        <f>IFERROR(__xludf.DUMMYFUNCTION("""COMPUTED_VALUE"""),"#N/A")</f>
        <v>#N/A</v>
      </c>
      <c r="G32" s="6" t="str">
        <f>IFERROR(__xludf.DUMMYFUNCTION("""COMPUTED_VALUE"""),"#N/A")</f>
        <v>#N/A</v>
      </c>
      <c r="H32" s="18" t="str">
        <f>IFERROR(__xludf.DUMMYFUNCTION("""COMPUTED_VALUE"""),"https://docs.google.com/spreadsheets/d/19THEBTE9q0fhN2eApZr6BgenIvLGh0AckaYxHQfHk5w/edit?gid=1098291501#gid=1098291501")</f>
        <v>https://docs.google.com/spreadsheets/d/19THEBTE9q0fhN2eApZr6BgenIvLGh0AckaYxHQfHk5w/edit?gid=1098291501#gid=1098291501</v>
      </c>
      <c r="I32" s="19" t="str">
        <f>IFERROR(__xludf.DUMMYFUNCTION("""COMPUTED_VALUE"""),"https://disk.yandex.ru/client/disk/Осмотры%20объектов%20АНО%20СМГ/243.Остафьевская%20к.Г%20Южное%20Бутово")</f>
        <v>https://disk.yandex.ru/client/disk/Осмотры%20объектов%20АНО%20СМГ/243.Остафьевская%20к.Г%20Южное%20Бутово</v>
      </c>
      <c r="J32" s="50">
        <f>IFERROR(__xludf.DUMMYFUNCTION("""COMPUTED_VALUE"""),100.0)</f>
        <v>100</v>
      </c>
      <c r="K32" s="58">
        <f>IFERROR(__xludf.DUMMYFUNCTION("""COMPUTED_VALUE"""),45860.0)</f>
        <v>45860</v>
      </c>
      <c r="L32" s="6" t="s">
        <v>654</v>
      </c>
      <c r="M32" s="52" t="s">
        <v>655</v>
      </c>
      <c r="N32" s="53" t="s">
        <v>656</v>
      </c>
      <c r="O32" s="19" t="s">
        <v>674</v>
      </c>
      <c r="P32" s="37" t="s">
        <v>433</v>
      </c>
      <c r="Q32" s="6" t="str">
        <f t="shared" si="1"/>
        <v>#N/A</v>
      </c>
      <c r="R32" s="6"/>
    </row>
    <row r="33" hidden="1">
      <c r="A33" s="31" t="str">
        <f>IFERROR(__xludf.DUMMYFUNCTION("""COMPUTED_VALUE"""),"131")</f>
        <v>131</v>
      </c>
      <c r="B33" s="14" t="str">
        <f>IFERROR(__xludf.DUMMYFUNCTION("""COMPUTED_VALUE"""),"АИП-25")</f>
        <v>АИП-25</v>
      </c>
      <c r="C33" s="14" t="str">
        <f>IFERROR(__xludf.DUMMYFUNCTION("""COMPUTED_VALUE"""),"ОКС")</f>
        <v>ОКС</v>
      </c>
      <c r="D33" s="15"/>
      <c r="E33" s="14" t="str">
        <f>IFERROR(__xludf.DUMMYFUNCTION("""COMPUTED_VALUE"""),"ДОУ на 350 мест с бассейном,
 ул. Дубнинская, д. 9 район Бескудниковский, ул. Дубнинская, д. 9")</f>
        <v>ДОУ на 350 мест с бассейном,
 ул. Дубнинская, д. 9 район Бескудниковский, ул. Дубнинская, д. 9</v>
      </c>
      <c r="F33" s="25" t="str">
        <f>IFERROR(__xludf.DUMMYFUNCTION("""COMPUTED_VALUE"""),"#N/A")</f>
        <v>#N/A</v>
      </c>
      <c r="G33" s="6" t="str">
        <f>IFERROR(__xludf.DUMMYFUNCTION("""COMPUTED_VALUE"""),"#N/A")</f>
        <v>#N/A</v>
      </c>
      <c r="H33" s="18" t="str">
        <f>IFERROR(__xludf.DUMMYFUNCTION("""COMPUTED_VALUE"""),"https://docs.google.com/spreadsheets/d/19THEBTE9q0fhN2eApZr6BgenIvLGh0AckaYxHQfHk5w/edit?gid=2086114011#gid=2086114011")</f>
        <v>https://docs.google.com/spreadsheets/d/19THEBTE9q0fhN2eApZr6BgenIvLGh0AckaYxHQfHk5w/edit?gid=2086114011#gid=2086114011</v>
      </c>
      <c r="I33" s="19" t="str">
        <f>IFERROR(__xludf.DUMMYFUNCTION("""COMPUTED_VALUE"""),"https://disk.yandex.ru/client/disk/Осмотры%20объектов%20АНО%20СМГ/131.%20ДОУ%20на%20350%20мест%20с%20бассейном%20на%20месте%20сноса%20дошкольного%20отделения%20ГБОУ%20Школа%20№%201383%09%09%09")</f>
        <v>https://disk.yandex.ru/client/disk/Осмотры%20объектов%20АНО%20СМГ/131.%20ДОУ%20на%20350%20мест%20с%20бассейном%20на%20месте%20сноса%20дошкольного%20отделения%20ГБОУ%20Школа%20№%201383%09%09%09</v>
      </c>
      <c r="J33" s="50">
        <f>IFERROR(__xludf.DUMMYFUNCTION("""COMPUTED_VALUE"""),99.9605)</f>
        <v>99.9605</v>
      </c>
      <c r="K33" s="58">
        <f>IFERROR(__xludf.DUMMYFUNCTION("""COMPUTED_VALUE"""),45902.0)</f>
        <v>45902</v>
      </c>
      <c r="L33" s="6">
        <v>7.0</v>
      </c>
      <c r="M33" s="52">
        <v>45909.0</v>
      </c>
      <c r="N33" s="53" t="s">
        <v>652</v>
      </c>
      <c r="O33" s="19" t="s">
        <v>675</v>
      </c>
      <c r="P33" s="37" t="s">
        <v>439</v>
      </c>
      <c r="Q33" s="6" t="str">
        <f t="shared" si="1"/>
        <v>#N/A</v>
      </c>
      <c r="R33" s="6"/>
    </row>
    <row r="34" hidden="1">
      <c r="A34" s="31" t="str">
        <f>IFERROR(__xludf.DUMMYFUNCTION("""COMPUTED_VALUE"""),"262")</f>
        <v>262</v>
      </c>
      <c r="B34" s="14" t="str">
        <f>IFERROR(__xludf.DUMMYFUNCTION("""COMPUTED_VALUE"""),"АИП-25")</f>
        <v>АИП-25</v>
      </c>
      <c r="C34" s="14" t="str">
        <f>IFERROR(__xludf.DUMMYFUNCTION("""COMPUTED_VALUE"""),"ОКС")</f>
        <v>ОКС</v>
      </c>
      <c r="D34" s="15"/>
      <c r="E34" s="14" t="str">
        <f>IFERROR(__xludf.DUMMYFUNCTION("""COMPUTED_VALUE"""),"Инфекционный лечебно-диагностический комплекс на территории ГБУЗ «ИКБ №1 ДЗМ»,
  (3 этап - ПАК), Волоколамское шоссе, вл. 63 район Покровское-Стрешнево, Волоколамское шоссе вл. 63")</f>
        <v>Инфекционный лечебно-диагностический комплекс на территории ГБУЗ «ИКБ №1 ДЗМ»,
  (3 этап - ПАК), Волоколамское шоссе, вл. 63 район Покровское-Стрешнево, Волоколамское шоссе вл. 63</v>
      </c>
      <c r="F34" s="25" t="str">
        <f>IFERROR(__xludf.DUMMYFUNCTION("""COMPUTED_VALUE"""),"#N/A")</f>
        <v>#N/A</v>
      </c>
      <c r="G34" s="6" t="str">
        <f>IFERROR(__xludf.DUMMYFUNCTION("""COMPUTED_VALUE"""),"#N/A")</f>
        <v>#N/A</v>
      </c>
      <c r="H34" s="18" t="str">
        <f>IFERROR(__xludf.DUMMYFUNCTION("""COMPUTED_VALUE"""),"https://docs.google.com/spreadsheets/d/19THEBTE9q0fhN2eApZr6BgenIvLGh0AckaYxHQfHk5w/edit?gid=1094262803#gid=1094262803")</f>
        <v>https://docs.google.com/spreadsheets/d/19THEBTE9q0fhN2eApZr6BgenIvLGh0AckaYxHQfHk5w/edit?gid=1094262803#gid=1094262803</v>
      </c>
      <c r="I34" s="19" t="str">
        <f>IFERROR(__xludf.DUMMYFUNCTION("""COMPUTED_VALUE"""),"https://disk.yandex.ru/client/disk/Осмотры%20объектов%20АНО%20СМГ/262.%20Волоколамское%20шоссе%2C%20вл.%2063%20(3%20этап)")</f>
        <v>https://disk.yandex.ru/client/disk/Осмотры%20объектов%20АНО%20СМГ/262.%20Волоколамское%20шоссе%2C%20вл.%2063%20(3%20этап)</v>
      </c>
      <c r="J34" s="50">
        <f>IFERROR(__xludf.DUMMYFUNCTION("""COMPUTED_VALUE"""),100.0)</f>
        <v>100</v>
      </c>
      <c r="K34" s="58">
        <f>IFERROR(__xludf.DUMMYFUNCTION("""COMPUTED_VALUE"""),45838.0)</f>
        <v>45838</v>
      </c>
      <c r="L34" s="6" t="s">
        <v>654</v>
      </c>
      <c r="M34" s="52" t="s">
        <v>655</v>
      </c>
      <c r="N34" s="53" t="s">
        <v>656</v>
      </c>
      <c r="O34" s="19" t="s">
        <v>676</v>
      </c>
      <c r="P34" s="37" t="s">
        <v>441</v>
      </c>
      <c r="Q34" s="6" t="str">
        <f t="shared" si="1"/>
        <v>#N/A</v>
      </c>
      <c r="R34" s="6"/>
    </row>
    <row r="35" hidden="1">
      <c r="A35" s="31" t="str">
        <f>IFERROR(__xludf.DUMMYFUNCTION("""COMPUTED_VALUE"""),"114")</f>
        <v>114</v>
      </c>
      <c r="B35" s="14" t="str">
        <f>IFERROR(__xludf.DUMMYFUNCTION("""COMPUTED_VALUE"""),"АИП-25")</f>
        <v>АИП-25</v>
      </c>
      <c r="C35" s="14" t="str">
        <f>IFERROR(__xludf.DUMMYFUNCTION("""COMPUTED_VALUE"""),"ОКС")</f>
        <v>ОКС</v>
      </c>
      <c r="D35" s="15"/>
      <c r="E35" s="14" t="str">
        <f>IFERROR(__xludf.DUMMYFUNCTION("""COMPUTED_VALUE"""),"Физкультурно-оздоровительный комплекс с бассейном, пересечение ул. Шипиловской и Орехового проезда ""Акварис"" район Зябликово, пересечение ул. Шипиловской и Орехового пр-да (Ореховый проезд,  д.12)")</f>
        <v>Физкультурно-оздоровительный комплекс с бассейном, пересечение ул. Шипиловской и Орехового проезда "Акварис" район Зябликово, пересечение ул. Шипиловской и Орехового пр-да (Ореховый проезд,  д.12)</v>
      </c>
      <c r="F35" s="25" t="str">
        <f>IFERROR(__xludf.DUMMYFUNCTION("""COMPUTED_VALUE"""),"55.623316")</f>
        <v>55.623316</v>
      </c>
      <c r="G35" s="6" t="str">
        <f>IFERROR(__xludf.DUMMYFUNCTION("""COMPUTED_VALUE"""),"37.729792")</f>
        <v>37.729792</v>
      </c>
      <c r="H35" s="18" t="str">
        <f>IFERROR(__xludf.DUMMYFUNCTION("""COMPUTED_VALUE"""),"https://docs.google.com/spreadsheets/d/19THEBTE9q0fhN2eApZr6BgenIvLGh0AckaYxHQfHk5w/edit?gid=2132720371#gid=2132720371")</f>
        <v>https://docs.google.com/spreadsheets/d/19THEBTE9q0fhN2eApZr6BgenIvLGh0AckaYxHQfHk5w/edit?gid=2132720371#gid=2132720371</v>
      </c>
      <c r="I35" s="21" t="str">
        <f>IFERROR(__xludf.DUMMYFUNCTION("""COMPUTED_VALUE"""),"https://disk.yandex.ru/client/disk/%D0%9E%D1%81%D0%BC%D0%BE%D1%82%D1%80%D1%8B%20%D0%BE%D0%B1%D1%8A%D0%B5%D0%BA%D1%82%D0%BE%D0%B2%20%D0%90%D0%9D%D0%9E%20%D0%A1%D0%9C%D0%93/114.%20%D0%A4%D0%9E%D0%9A%20%D0%A1%D0%9A%20%D0%90%D0%BA%D0%B2%D0%B0%D1%80%D0%B8%D1%8"&amp;"1%20%D0%BF%D0%B5%D1%80%D0%B5%D1%81%D0%B5%D1%87%D0%B5%D0%BD%D0%B8%D0%B5%20%D0%A8%D0%B8%D0%BF%D0%B8%D0%BB%D0%BE%D0%B2%D1%81%D0%BA%D0%BE%D0%B9%20%D0%B8%20%D0%9E%D1%80%D0%B5%D1%85%D0%BE%D0%B2%D0%BE%D0%B3%D0%BE%20%D0%BF%D1%80.")</f>
        <v>https://disk.yandex.ru/client/disk/%D0%9E%D1%81%D0%BC%D0%BE%D1%82%D1%80%D1%8B%20%D0%BE%D0%B1%D1%8A%D0%B5%D0%BA%D1%82%D0%BE%D0%B2%20%D0%90%D0%9D%D0%9E%20%D0%A1%D0%9C%D0%93/114.%20%D0%A4%D0%9E%D0%9A%20%D0%A1%D0%9A%20%D0%90%D0%BA%D0%B2%D0%B0%D1%80%D0%B8%D1%81%20%D0%BF%D0%B5%D1%80%D0%B5%D1%81%D0%B5%D1%87%D0%B5%D0%BD%D0%B8%D0%B5%20%D0%A8%D0%B8%D0%BF%D0%B8%D0%BB%D0%BE%D0%B2%D1%81%D0%BA%D0%BE%D0%B9%20%D0%B8%20%D0%9E%D1%80%D0%B5%D1%85%D0%BE%D0%B2%D0%BE%D0%B3%D0%BE%20%D0%BF%D1%80.</v>
      </c>
      <c r="J35" s="50">
        <f>IFERROR(__xludf.DUMMYFUNCTION("""COMPUTED_VALUE"""),100.0)</f>
        <v>100</v>
      </c>
      <c r="K35" s="58">
        <f>IFERROR(__xludf.DUMMYFUNCTION("""COMPUTED_VALUE"""),45972.0)</f>
        <v>45972</v>
      </c>
      <c r="L35" s="6" t="s">
        <v>654</v>
      </c>
      <c r="M35" s="52" t="s">
        <v>655</v>
      </c>
      <c r="N35" s="53" t="s">
        <v>656</v>
      </c>
      <c r="O35" s="19" t="s">
        <v>677</v>
      </c>
      <c r="P35" s="37" t="s">
        <v>1463</v>
      </c>
      <c r="Q35" s="6" t="str">
        <f t="shared" si="1"/>
        <v>#N/A</v>
      </c>
      <c r="R35" s="6"/>
    </row>
    <row r="36" hidden="1">
      <c r="A36" s="31" t="str">
        <f>IFERROR(__xludf.DUMMYFUNCTION("""COMPUTED_VALUE"""),"113")</f>
        <v>113</v>
      </c>
      <c r="B36" s="14" t="str">
        <f>IFERROR(__xludf.DUMMYFUNCTION("""COMPUTED_VALUE"""),"АИП-25")</f>
        <v>АИП-25</v>
      </c>
      <c r="C36" s="14" t="str">
        <f>IFERROR(__xludf.DUMMYFUNCTION("""COMPUTED_VALUE"""),"ОКС")</f>
        <v>ОКС</v>
      </c>
      <c r="D36" s="15"/>
      <c r="E36" s="14" t="str">
        <f>IFERROR(__xludf.DUMMYFUNCTION("""COMPUTED_VALUE"""),"Строительство школы на 800 мест (с дошкольным отделением на 150 мест) на месте сноса объекта незавершенного строительства (пристройка к школе - блоки А, Б, В) в пос. Щаповское пос. Щаповское, пос. Щапово, д. 21, стр. 2")</f>
        <v>Строительство школы на 800 мест (с дошкольным отделением на 150 мест) на месте сноса объекта незавершенного строительства (пристройка к школе - блоки А, Б, В) в пос. Щаповское пос. Щаповское, пос. Щапово, д. 21, стр. 2</v>
      </c>
      <c r="F36" s="25" t="str">
        <f>IFERROR(__xludf.DUMMYFUNCTION("""COMPUTED_VALUE"""),"#N/A")</f>
        <v>#N/A</v>
      </c>
      <c r="G36" s="6" t="str">
        <f>IFERROR(__xludf.DUMMYFUNCTION("""COMPUTED_VALUE"""),"#N/A")</f>
        <v>#N/A</v>
      </c>
      <c r="H36" s="18" t="str">
        <f>IFERROR(__xludf.DUMMYFUNCTION("""COMPUTED_VALUE"""),"https://docs.google.com/spreadsheets/d/19THEBTE9q0fhN2eApZr6BgenIvLGh0AckaYxHQfHk5w/edit?gid=1857713469#gid=1857713469")</f>
        <v>https://docs.google.com/spreadsheets/d/19THEBTE9q0fhN2eApZr6BgenIvLGh0AckaYxHQfHk5w/edit?gid=1857713469#gid=1857713469</v>
      </c>
      <c r="I36" s="19" t="str">
        <f>IFERROR(__xludf.DUMMYFUNCTION("""COMPUTED_VALUE"""),"https://disk.yandex.ru/client/disk/Осмотры%20объектов%20АНО%20СМГ/113.%20Щаповское%20(СОШ%20на%20800)")</f>
        <v>https://disk.yandex.ru/client/disk/Осмотры%20объектов%20АНО%20СМГ/113.%20Щаповское%20(СОШ%20на%20800)</v>
      </c>
      <c r="J36" s="50">
        <f>IFERROR(__xludf.DUMMYFUNCTION("""COMPUTED_VALUE"""),100.0)</f>
        <v>100</v>
      </c>
      <c r="K36" s="58">
        <f>IFERROR(__xludf.DUMMYFUNCTION("""COMPUTED_VALUE"""),45901.0)</f>
        <v>45901</v>
      </c>
      <c r="L36" s="6" t="s">
        <v>654</v>
      </c>
      <c r="M36" s="52" t="s">
        <v>655</v>
      </c>
      <c r="N36" s="53" t="s">
        <v>656</v>
      </c>
      <c r="O36" s="19" t="s">
        <v>678</v>
      </c>
      <c r="P36" s="37" t="s">
        <v>492</v>
      </c>
      <c r="Q36" s="6" t="str">
        <f t="shared" si="1"/>
        <v>#N/A</v>
      </c>
      <c r="R36" s="6"/>
    </row>
    <row r="37" hidden="1">
      <c r="A37" s="31" t="str">
        <f>IFERROR(__xludf.DUMMYFUNCTION("""COMPUTED_VALUE"""),"010")</f>
        <v>010</v>
      </c>
      <c r="B37" s="14" t="str">
        <f>IFERROR(__xludf.DUMMYFUNCTION("""COMPUTED_VALUE"""),"АИП-25")</f>
        <v>АИП-25</v>
      </c>
      <c r="C37" s="14" t="str">
        <f>IFERROR(__xludf.DUMMYFUNCTION("""COMPUTED_VALUE"""),"ОКС")</f>
        <v>ОКС</v>
      </c>
      <c r="D37" s="15"/>
      <c r="E37" s="14" t="str">
        <f>IFERROR(__xludf.DUMMYFUNCTION("""COMPUTED_VALUE"""),"Реконструкция дома культуры, п. Ватутинки п. Ватутинки, пос. Десеновское, ул. Дмитрия Рябинкина, вл. 13 и вл. 13А")</f>
        <v>Реконструкция дома культуры, п. Ватутинки п. Ватутинки, пос. Десеновское, ул. Дмитрия Рябинкина, вл. 13 и вл. 13А</v>
      </c>
      <c r="F37" s="25" t="str">
        <f>IFERROR(__xludf.DUMMYFUNCTION("""COMPUTED_VALUE"""),"#N/A")</f>
        <v>#N/A</v>
      </c>
      <c r="G37" s="6" t="str">
        <f>IFERROR(__xludf.DUMMYFUNCTION("""COMPUTED_VALUE"""),"#N/A")</f>
        <v>#N/A</v>
      </c>
      <c r="H37" s="18" t="str">
        <f>IFERROR(__xludf.DUMMYFUNCTION("""COMPUTED_VALUE"""),"https://docs.google.com/spreadsheets/d/19THEBTE9q0fhN2eApZr6BgenIvLGh0AckaYxHQfHk5w/edit?gid=234638124#gid=234638124")</f>
        <v>https://docs.google.com/spreadsheets/d/19THEBTE9q0fhN2eApZr6BgenIvLGh0AckaYxHQfHk5w/edit?gid=234638124#gid=234638124</v>
      </c>
      <c r="I37" s="19" t="str">
        <f>IFERROR(__xludf.DUMMYFUNCTION("""COMPUTED_VALUE"""),"https://disk.yandex.ru/client/disk/Осмотры%20объектов%20АНО%20СМГ/010.%20Дом%20культуры%2C%20Дмитрия%20Рябинкина%2013")</f>
        <v>https://disk.yandex.ru/client/disk/Осмотры%20объектов%20АНО%20СМГ/010.%20Дом%20культуры%2C%20Дмитрия%20Рябинкина%2013</v>
      </c>
      <c r="J37" s="50">
        <f>IFERROR(__xludf.DUMMYFUNCTION("""COMPUTED_VALUE"""),100.0)</f>
        <v>100</v>
      </c>
      <c r="K37" s="58">
        <f>IFERROR(__xludf.DUMMYFUNCTION("""COMPUTED_VALUE"""),45895.0)</f>
        <v>45895</v>
      </c>
      <c r="L37" s="6" t="s">
        <v>654</v>
      </c>
      <c r="M37" s="52" t="s">
        <v>655</v>
      </c>
      <c r="N37" s="53" t="s">
        <v>656</v>
      </c>
      <c r="O37" s="19" t="s">
        <v>679</v>
      </c>
      <c r="P37" s="37" t="s">
        <v>474</v>
      </c>
      <c r="Q37" s="6" t="str">
        <f t="shared" si="1"/>
        <v>#N/A</v>
      </c>
      <c r="R37" s="6"/>
    </row>
    <row r="38" hidden="1">
      <c r="A38" s="31" t="str">
        <f>IFERROR(__xludf.DUMMYFUNCTION("""COMPUTED_VALUE"""),"009")</f>
        <v>009</v>
      </c>
      <c r="B38" s="14" t="str">
        <f>IFERROR(__xludf.DUMMYFUNCTION("""COMPUTED_VALUE"""),"АИП-25")</f>
        <v>АИП-25</v>
      </c>
      <c r="C38" s="14" t="str">
        <f>IFERROR(__xludf.DUMMYFUNCTION("""COMPUTED_VALUE"""),"ОКС")</f>
        <v>ОКС</v>
      </c>
      <c r="D38" s="15"/>
      <c r="E38" s="14" t="str">
        <f>IFERROR(__xludf.DUMMYFUNCTION("""COMPUTED_VALUE"""),"Школа искусств, п. Московский, мкр. Град Московский пос. Московский, мкр. Град Московский, ул. Никитина, д. 7")</f>
        <v>Школа искусств, п. Московский, мкр. Град Московский пос. Московский, мкр. Град Московский, ул. Никитина, д. 7</v>
      </c>
      <c r="F38" s="25" t="str">
        <f>IFERROR(__xludf.DUMMYFUNCTION("""COMPUTED_VALUE"""),"55.606054")</f>
        <v>55.606054</v>
      </c>
      <c r="G38" s="6" t="str">
        <f>IFERROR(__xludf.DUMMYFUNCTION("""COMPUTED_VALUE"""),"37.369361")</f>
        <v>37.369361</v>
      </c>
      <c r="H38" s="18" t="str">
        <f>IFERROR(__xludf.DUMMYFUNCTION("""COMPUTED_VALUE"""),"https://docs.google.com/spreadsheets/d/19THEBTE9q0fhN2eApZr6BgenIvLGh0AckaYxHQfHk5w/edit?gid=570396026#gid=570396026")</f>
        <v>https://docs.google.com/spreadsheets/d/19THEBTE9q0fhN2eApZr6BgenIvLGh0AckaYxHQfHk5w/edit?gid=570396026#gid=570396026</v>
      </c>
      <c r="I38" s="19" t="str">
        <f>IFERROR(__xludf.DUMMYFUNCTION("""COMPUTED_VALUE"""),"https://disk.yandex.ru/client/disk/Осмотры%20объектов%20АНО%20СМГ/009.%20Школа%20искусств%20п.%20Московский%20микрорайон%203%20д.8")</f>
        <v>https://disk.yandex.ru/client/disk/Осмотры%20объектов%20АНО%20СМГ/009.%20Школа%20искусств%20п.%20Московский%20микрорайон%203%20д.8</v>
      </c>
      <c r="J38" s="50">
        <f>IFERROR(__xludf.DUMMYFUNCTION("""COMPUTED_VALUE"""),100.0)</f>
        <v>100</v>
      </c>
      <c r="K38" s="58">
        <f>IFERROR(__xludf.DUMMYFUNCTION("""COMPUTED_VALUE"""),45972.0)</f>
        <v>45972</v>
      </c>
      <c r="L38" s="6" t="s">
        <v>654</v>
      </c>
      <c r="M38" s="52" t="s">
        <v>655</v>
      </c>
      <c r="N38" s="53" t="s">
        <v>656</v>
      </c>
      <c r="O38" s="19" t="s">
        <v>680</v>
      </c>
      <c r="P38" s="37" t="s">
        <v>437</v>
      </c>
      <c r="Q38" s="6" t="str">
        <f t="shared" si="1"/>
        <v>#N/A</v>
      </c>
      <c r="R38" s="6"/>
    </row>
    <row r="39" hidden="1">
      <c r="A39" s="31" t="str">
        <f>IFERROR(__xludf.DUMMYFUNCTION("""COMPUTED_VALUE"""),"103")</f>
        <v>103</v>
      </c>
      <c r="B39" s="14" t="str">
        <f>IFERROR(__xludf.DUMMYFUNCTION("""COMPUTED_VALUE"""),"АИП-25")</f>
        <v>АИП-25</v>
      </c>
      <c r="C39" s="14" t="str">
        <f>IFERROR(__xludf.DUMMYFUNCTION("""COMPUTED_VALUE"""),"ОКС")</f>
        <v>ОКС</v>
      </c>
      <c r="D39" s="15"/>
      <c r="E39" s="14" t="str">
        <f>IFERROR(__xludf.DUMMYFUNCTION("""COMPUTED_VALUE"""),"  Учебный корпус на 550 мест (в том числе дошкольное отделение на 150 мест),  р-н Куркино, ул. Юровская, д. 99 с автономным источником тепла район Куркино, ул. Юровская, д. 99")</f>
        <v>  Учебный корпус на 550 мест (в том числе дошкольное отделение на 150 мест),  р-н Куркино, ул. Юровская, д. 99 с автономным источником тепла район Куркино, ул. Юровская, д. 99</v>
      </c>
      <c r="F39" s="25" t="str">
        <f>IFERROR(__xludf.DUMMYFUNCTION("""COMPUTED_VALUE"""),"#N/A")</f>
        <v>#N/A</v>
      </c>
      <c r="G39" s="6" t="str">
        <f>IFERROR(__xludf.DUMMYFUNCTION("""COMPUTED_VALUE"""),"#N/A")</f>
        <v>#N/A</v>
      </c>
      <c r="H39" s="18" t="str">
        <f>IFERROR(__xludf.DUMMYFUNCTION("""COMPUTED_VALUE"""),"https://docs.google.com/spreadsheets/d/19THEBTE9q0fhN2eApZr6BgenIvLGh0AckaYxHQfHk5w/edit?gid=418899370#gid=418899370")</f>
        <v>https://docs.google.com/spreadsheets/d/19THEBTE9q0fhN2eApZr6BgenIvLGh0AckaYxHQfHk5w/edit?gid=418899370#gid=418899370</v>
      </c>
      <c r="I39" s="19" t="str">
        <f>IFERROR(__xludf.DUMMYFUNCTION("""COMPUTED_VALUE"""),"https://disk.yandex.ru/client/disk/Осмотры%20объектов%20АНО%20СМГ/103.%20Юровская%2099%20УК%20550%20ДОУ%20150")</f>
        <v>https://disk.yandex.ru/client/disk/Осмотры%20объектов%20АНО%20СМГ/103.%20Юровская%2099%20УК%20550%20ДОУ%20150</v>
      </c>
      <c r="J39" s="50">
        <f>IFERROR(__xludf.DUMMYFUNCTION("""COMPUTED_VALUE"""),100.0)</f>
        <v>100</v>
      </c>
      <c r="K39" s="58">
        <f>IFERROR(__xludf.DUMMYFUNCTION("""COMPUTED_VALUE"""),45901.0)</f>
        <v>45901</v>
      </c>
      <c r="L39" s="6" t="s">
        <v>654</v>
      </c>
      <c r="M39" s="52" t="s">
        <v>655</v>
      </c>
      <c r="N39" s="53" t="s">
        <v>656</v>
      </c>
      <c r="O39" s="19" t="s">
        <v>681</v>
      </c>
      <c r="P39" s="37" t="s">
        <v>450</v>
      </c>
      <c r="Q39" s="6" t="str">
        <f t="shared" si="1"/>
        <v>#N/A</v>
      </c>
      <c r="R39" s="6"/>
    </row>
    <row r="40" hidden="1">
      <c r="A40" s="31" t="str">
        <f>IFERROR(__xludf.DUMMYFUNCTION("""COMPUTED_VALUE"""),"013")</f>
        <v>013</v>
      </c>
      <c r="B40" s="14" t="str">
        <f>IFERROR(__xludf.DUMMYFUNCTION("""COMPUTED_VALUE"""),"АИП-25")</f>
        <v>АИП-25</v>
      </c>
      <c r="C40" s="14" t="str">
        <f>IFERROR(__xludf.DUMMYFUNCTION("""COMPUTED_VALUE"""),"ОКС")</f>
        <v>ОКС</v>
      </c>
      <c r="D40" s="15"/>
      <c r="E40" s="14" t="str">
        <f>IFERROR(__xludf.DUMMYFUNCTION("""COMPUTED_VALUE"""),"Школа на 1100 мест (в части общестроительных работ и устройства наружных инженерных сетей) пос. Мосрентген, квартал 24, вл.2")</f>
        <v>Школа на 1100 мест (в части общестроительных работ и устройства наружных инженерных сетей) пос. Мосрентген, квартал 24, вл.2</v>
      </c>
      <c r="F40" s="25" t="str">
        <f>IFERROR(__xludf.DUMMYFUNCTION("""COMPUTED_VALUE"""),"#N/A")</f>
        <v>#N/A</v>
      </c>
      <c r="G40" s="6" t="str">
        <f>IFERROR(__xludf.DUMMYFUNCTION("""COMPUTED_VALUE"""),"#N/A")</f>
        <v>#N/A</v>
      </c>
      <c r="H40" s="18" t="str">
        <f>IFERROR(__xludf.DUMMYFUNCTION("""COMPUTED_VALUE"""),"https://docs.google.com/spreadsheets/d/19THEBTE9q0fhN2eApZr6BgenIvLGh0AckaYxHQfHk5w/edit?gid=1447691158#gid=1447691158")</f>
        <v>https://docs.google.com/spreadsheets/d/19THEBTE9q0fhN2eApZr6BgenIvLGh0AckaYxHQfHk5w/edit?gid=1447691158#gid=1447691158</v>
      </c>
      <c r="I40" s="19" t="str">
        <f>IFERROR(__xludf.DUMMYFUNCTION("""COMPUTED_VALUE"""),"https://disk.yandex.ru/client/disk/Осмотры%20объектов%20АНО%20СМГ/013.%20СОШ1100%20Мосренген")</f>
        <v>https://disk.yandex.ru/client/disk/Осмотры%20объектов%20АНО%20СМГ/013.%20СОШ1100%20Мосренген</v>
      </c>
      <c r="J40" s="50">
        <f>IFERROR(__xludf.DUMMYFUNCTION("""COMPUTED_VALUE"""),100.0)</f>
        <v>100</v>
      </c>
      <c r="K40" s="58">
        <f>IFERROR(__xludf.DUMMYFUNCTION("""COMPUTED_VALUE"""),45902.0)</f>
        <v>45902</v>
      </c>
      <c r="L40" s="6" t="s">
        <v>654</v>
      </c>
      <c r="M40" s="52" t="s">
        <v>655</v>
      </c>
      <c r="N40" s="53" t="s">
        <v>656</v>
      </c>
      <c r="O40" s="19" t="s">
        <v>682</v>
      </c>
      <c r="P40" s="37" t="s">
        <v>466</v>
      </c>
      <c r="Q40" s="6" t="str">
        <f t="shared" si="1"/>
        <v>#N/A</v>
      </c>
      <c r="R40" s="6"/>
    </row>
    <row r="41" hidden="1">
      <c r="A41" s="31" t="str">
        <f>IFERROR(__xludf.DUMMYFUNCTION("""COMPUTED_VALUE"""),"013")</f>
        <v>013</v>
      </c>
      <c r="B41" s="14" t="str">
        <f>IFERROR(__xludf.DUMMYFUNCTION("""COMPUTED_VALUE"""),"АИП-25")</f>
        <v>АИП-25</v>
      </c>
      <c r="C41" s="14" t="str">
        <f>IFERROR(__xludf.DUMMYFUNCTION("""COMPUTED_VALUE"""),"ОКС")</f>
        <v>ОКС</v>
      </c>
      <c r="D41" s="15"/>
      <c r="E41" s="14" t="str">
        <f>IFERROR(__xludf.DUMMYFUNCTION("""COMPUTED_VALUE"""),"Школа на 1100 мест (в части общестроительных работ и устройства наружных инженерных сетей) Школа на 1100 мест,поселение Мосрентген, квартал 24, д. 2")</f>
        <v>Школа на 1100 мест (в части общестроительных работ и устройства наружных инженерных сетей) Школа на 1100 мест,_x000b_поселение Мосрентген, квартал 24, д. 2</v>
      </c>
      <c r="F41" s="25" t="str">
        <f>IFERROR(__xludf.DUMMYFUNCTION("""COMPUTED_VALUE"""),"#N/A")</f>
        <v>#N/A</v>
      </c>
      <c r="G41" s="6" t="str">
        <f>IFERROR(__xludf.DUMMYFUNCTION("""COMPUTED_VALUE"""),"#N/A")</f>
        <v>#N/A</v>
      </c>
      <c r="H41" s="18" t="str">
        <f>IFERROR(__xludf.DUMMYFUNCTION("""COMPUTED_VALUE"""),"https://docs.google.com/spreadsheets/d/19THEBTE9q0fhN2eApZr6BgenIvLGh0AckaYxHQfHk5w/edit?gid=1447691158#gid=1447691158")</f>
        <v>https://docs.google.com/spreadsheets/d/19THEBTE9q0fhN2eApZr6BgenIvLGh0AckaYxHQfHk5w/edit?gid=1447691158#gid=1447691158</v>
      </c>
      <c r="I41" s="19" t="str">
        <f>IFERROR(__xludf.DUMMYFUNCTION("""COMPUTED_VALUE"""),"https://disk.yandex.ru/client/disk/Осмотры%20объектов%20АНО%20СМГ/013.%20СОШ1100%20Мосренген")</f>
        <v>https://disk.yandex.ru/client/disk/Осмотры%20объектов%20АНО%20СМГ/013.%20СОШ1100%20Мосренген</v>
      </c>
      <c r="J41" s="50">
        <f>IFERROR(__xludf.DUMMYFUNCTION("""COMPUTED_VALUE"""),100.0)</f>
        <v>100</v>
      </c>
      <c r="K41" s="58">
        <f>IFERROR(__xludf.DUMMYFUNCTION("""COMPUTED_VALUE"""),45902.0)</f>
        <v>45902</v>
      </c>
      <c r="L41" s="6" t="s">
        <v>654</v>
      </c>
      <c r="M41" s="52" t="s">
        <v>655</v>
      </c>
      <c r="N41" s="53" t="s">
        <v>656</v>
      </c>
      <c r="O41" s="19" t="s">
        <v>683</v>
      </c>
      <c r="P41" s="37" t="s">
        <v>506</v>
      </c>
      <c r="Q41" s="6" t="str">
        <f t="shared" si="1"/>
        <v>#N/A</v>
      </c>
      <c r="R41" s="6"/>
    </row>
    <row r="42" hidden="1">
      <c r="A42" s="31" t="str">
        <f>IFERROR(__xludf.DUMMYFUNCTION("""COMPUTED_VALUE"""),"011")</f>
        <v>011</v>
      </c>
      <c r="B42" s="14" t="str">
        <f>IFERROR(__xludf.DUMMYFUNCTION("""COMPUTED_VALUE"""),"АИП-25")</f>
        <v>АИП-25</v>
      </c>
      <c r="C42" s="14" t="str">
        <f>IFERROR(__xludf.DUMMYFUNCTION("""COMPUTED_VALUE"""),"ОКС")</f>
        <v>ОКС</v>
      </c>
      <c r="D42" s="15"/>
      <c r="E42" s="14" t="str">
        <f>IFERROR(__xludf.DUMMYFUNCTION("""COMPUTED_VALUE"""),"Реконструкция существующего здания школы № 2075 со строительством пристройки на 300 мест, пос. Красная Пахра, вл. 23-1 пос. Краснопахорское, пос. Красная Пахра, вл. 23-1")</f>
        <v>Реконструкция существующего здания школы _x000b_№ 2075 со строительством пристройки на 300 мест, пос. Красная Пахра, вл. 23-1 пос. Краснопахорское, пос. Красная Пахра, вл. 23-1</v>
      </c>
      <c r="F42" s="25" t="str">
        <f>IFERROR(__xludf.DUMMYFUNCTION("""COMPUTED_VALUE"""),"#N/A")</f>
        <v>#N/A</v>
      </c>
      <c r="G42" s="6" t="str">
        <f>IFERROR(__xludf.DUMMYFUNCTION("""COMPUTED_VALUE"""),"#N/A")</f>
        <v>#N/A</v>
      </c>
      <c r="H42" s="18" t="str">
        <f>IFERROR(__xludf.DUMMYFUNCTION("""COMPUTED_VALUE"""),"https://docs.google.com/spreadsheets/d/19THEBTE9q0fhN2eApZr6BgenIvLGh0AckaYxHQfHk5w/edit?gid=465129833#gid=465129833")</f>
        <v>https://docs.google.com/spreadsheets/d/19THEBTE9q0fhN2eApZr6BgenIvLGh0AckaYxHQfHk5w/edit?gid=465129833#gid=465129833</v>
      </c>
      <c r="I42" s="19" t="str">
        <f>IFERROR(__xludf.DUMMYFUNCTION("""COMPUTED_VALUE"""),"https://disk.yandex.ru/client/disk/Осмотры%20объектов%20АНО%20СМГ/011.%20СОШ%202075%20Красная%20Пахра")</f>
        <v>https://disk.yandex.ru/client/disk/Осмотры%20объектов%20АНО%20СМГ/011.%20СОШ%202075%20Красная%20Пахра</v>
      </c>
      <c r="J42" s="50">
        <f>IFERROR(__xludf.DUMMYFUNCTION("""COMPUTED_VALUE"""),100.0)</f>
        <v>100</v>
      </c>
      <c r="K42" s="58">
        <f>IFERROR(__xludf.DUMMYFUNCTION("""COMPUTED_VALUE"""),45901.0)</f>
        <v>45901</v>
      </c>
      <c r="L42" s="6" t="s">
        <v>654</v>
      </c>
      <c r="M42" s="52" t="s">
        <v>655</v>
      </c>
      <c r="N42" s="53" t="s">
        <v>656</v>
      </c>
      <c r="O42" s="19" t="s">
        <v>684</v>
      </c>
      <c r="P42" s="37" t="s">
        <v>497</v>
      </c>
      <c r="Q42" s="6" t="str">
        <f t="shared" si="1"/>
        <v>#N/A</v>
      </c>
      <c r="R42" s="6"/>
    </row>
    <row r="43" hidden="1">
      <c r="A43" s="31" t="str">
        <f>IFERROR(__xludf.DUMMYFUNCTION("""COMPUTED_VALUE"""),"1153д (этап 5.1.3)")</f>
        <v>1153д (этап 5.1.3)</v>
      </c>
      <c r="B43" s="14" t="str">
        <f>IFERROR(__xludf.DUMMYFUNCTION("""COMPUTED_VALUE"""),"013")</f>
        <v>013</v>
      </c>
      <c r="C43" s="14" t="str">
        <f>IFERROR(__xludf.DUMMYFUNCTION("""COMPUTED_VALUE"""),"УДС")</f>
        <v>УДС</v>
      </c>
      <c r="D43" s="15"/>
      <c r="E43" s="14" t="str">
        <f>IFERROR(__xludf.DUMMYFUNCTION("""COMPUTED_VALUE"""),"Прокладка водопровода Д1000 мм от деревни сосенки до города Троицк со строительством водопроводных узлов ""Станиславль"" и ""Красная Пахра"" этап 5.1.3.
 от деревни Сосенки до города Троицк")</f>
        <v>Прокладка водопровода Д1000 мм от деревни сосенки до города Троицк со строительством водопроводных узлов "Станиславль" и "Красная Пахра" этап 5.1.3.
 от деревни Сосенки до города Троицк</v>
      </c>
      <c r="F43" s="25" t="str">
        <f>IFERROR(__xludf.DUMMYFUNCTION("""COMPUTED_VALUE"""),"55.523077578675746")</f>
        <v>55.523077578675746</v>
      </c>
      <c r="G43" s="6" t="str">
        <f>IFERROR(__xludf.DUMMYFUNCTION("""COMPUTED_VALUE"""),"37.38505719530739")</f>
        <v>37.38505719530739</v>
      </c>
      <c r="H43" s="6"/>
      <c r="I43" s="6"/>
      <c r="J43" s="50">
        <f>IFERROR(__xludf.DUMMYFUNCTION("""COMPUTED_VALUE"""),100.0)</f>
        <v>100</v>
      </c>
      <c r="K43" s="58">
        <f>IFERROR(__xludf.DUMMYFUNCTION("""COMPUTED_VALUE"""),45887.0)</f>
        <v>45887</v>
      </c>
      <c r="L43" s="6" t="s">
        <v>654</v>
      </c>
      <c r="M43" s="52" t="s">
        <v>655</v>
      </c>
      <c r="N43" s="53" t="s">
        <v>656</v>
      </c>
      <c r="O43" s="6" t="s">
        <v>685</v>
      </c>
      <c r="P43" s="37" t="s">
        <v>507</v>
      </c>
      <c r="Q43" s="6" t="str">
        <f t="shared" si="1"/>
        <v>#N/A</v>
      </c>
      <c r="R43" s="6"/>
    </row>
    <row r="44" hidden="1">
      <c r="A44" s="31" t="str">
        <f>IFERROR(__xludf.DUMMYFUNCTION("""COMPUTED_VALUE"""),"1286")</f>
        <v>1286</v>
      </c>
      <c r="B44" s="14" t="str">
        <f>IFERROR(__xludf.DUMMYFUNCTION("""COMPUTED_VALUE"""),"АИП-25")</f>
        <v>АИП-25</v>
      </c>
      <c r="C44" s="14" t="str">
        <f>IFERROR(__xludf.DUMMYFUNCTION("""COMPUTED_VALUE"""),"УДС")</f>
        <v>УДС</v>
      </c>
      <c r="D44" s="15"/>
      <c r="E44" s="14" t="str">
        <f>IFERROR(__xludf.DUMMYFUNCTION("""COMPUTED_VALUE"""),"ПР-56-01-7 Дорога и инженерные коммуникации для застройки мкр.19 (а, б, в) р-на Ховрино (7 пусковой комплекс) 
  г. Москва, район Ховрино, мкр.19 а,б,в")</f>
        <v>ПР-56-01-7 Дорога и инженерные коммуникации для застройки мкр.19 (а, б, в) р-на Ховрино (7 пусковой комплекс) 
  г. Москва, район Ховрино, мкр.19 а,б,в</v>
      </c>
      <c r="F44" s="25" t="str">
        <f>IFERROR(__xludf.DUMMYFUNCTION("""COMPUTED_VALUE"""),"#N/A")</f>
        <v>#N/A</v>
      </c>
      <c r="G44" s="6" t="str">
        <f>IFERROR(__xludf.DUMMYFUNCTION("""COMPUTED_VALUE"""),"#N/A")</f>
        <v>#N/A</v>
      </c>
      <c r="H44" s="18" t="str">
        <f>IFERROR(__xludf.DUMMYFUNCTION("""COMPUTED_VALUE"""),"https://docs.google.com/spreadsheets/d/1MW8OIVEKRJEaLcG-KS0zwZPEQ0eRUWE2y9Gj77rgoxo/edit?gid=1454312032#gid=1454312032")</f>
        <v>https://docs.google.com/spreadsheets/d/1MW8OIVEKRJEaLcG-KS0zwZPEQ0eRUWE2y9Gj77rgoxo/edit?gid=1454312032#gid=1454312032</v>
      </c>
      <c r="I44" s="6"/>
      <c r="J44" s="50">
        <f>IFERROR(__xludf.DUMMYFUNCTION("""COMPUTED_VALUE"""),100.0)</f>
        <v>100</v>
      </c>
      <c r="K44" s="58">
        <f>IFERROR(__xludf.DUMMYFUNCTION("""COMPUTED_VALUE"""),45887.0)</f>
        <v>45887</v>
      </c>
      <c r="L44" s="6" t="s">
        <v>654</v>
      </c>
      <c r="M44" s="52" t="s">
        <v>655</v>
      </c>
      <c r="N44" s="53" t="s">
        <v>656</v>
      </c>
      <c r="O44" s="6" t="s">
        <v>686</v>
      </c>
      <c r="P44" s="37" t="s">
        <v>509</v>
      </c>
      <c r="Q44" s="6" t="str">
        <f t="shared" si="1"/>
        <v>#N/A</v>
      </c>
      <c r="R44" s="6"/>
    </row>
    <row r="45" hidden="1">
      <c r="A45" s="31" t="str">
        <f>IFERROR(__xludf.DUMMYFUNCTION("""COMPUTED_VALUE"""),"182д")</f>
        <v>182д</v>
      </c>
      <c r="B45" s="14" t="str">
        <f>IFERROR(__xludf.DUMMYFUNCTION("""COMPUTED_VALUE"""),"АИП-25")</f>
        <v>АИП-25</v>
      </c>
      <c r="C45" s="14" t="str">
        <f>IFERROR(__xludf.DUMMYFUNCTION("""COMPUTED_VALUE"""),"УДС")</f>
        <v>УДС</v>
      </c>
      <c r="D45" s="15"/>
      <c r="E45" s="14" t="str">
        <f>IFERROR(__xludf.DUMMYFUNCTION("""COMPUTED_VALUE"""),"Многоуровневая транспортная развязка с прилегающей улично – дорожной сетью в районе станции метро ""Мамыри"" (Открытие многоуровневой транспортной развязки в районе станции метро «Корниловская») В районе станции метро «Мамыри» (НАО)")</f>
        <v>Многоуровневая транспортная развязка с прилегающей улично – дорожной сетью в районе станции метро "Мамыри" (Открытие многоуровневой транспортной развязки в районе станции метро «Корниловская») В районе станции метро «Мамыри» (НАО)</v>
      </c>
      <c r="F45" s="25" t="str">
        <f>IFERROR(__xludf.DUMMYFUNCTION("""COMPUTED_VALUE"""),"#N/A")</f>
        <v>#N/A</v>
      </c>
      <c r="G45" s="6" t="str">
        <f>IFERROR(__xludf.DUMMYFUNCTION("""COMPUTED_VALUE"""),"#N/A")</f>
        <v>#N/A</v>
      </c>
      <c r="H45" s="6"/>
      <c r="I45" s="6"/>
      <c r="J45" s="50">
        <f>IFERROR(__xludf.DUMMYFUNCTION("""COMPUTED_VALUE"""),100.0)</f>
        <v>100</v>
      </c>
      <c r="K45" s="58">
        <f>IFERROR(__xludf.DUMMYFUNCTION("""COMPUTED_VALUE"""),45972.0)</f>
        <v>45972</v>
      </c>
      <c r="L45" s="6" t="s">
        <v>654</v>
      </c>
      <c r="M45" s="52" t="s">
        <v>655</v>
      </c>
      <c r="N45" s="53" t="s">
        <v>656</v>
      </c>
      <c r="O45" s="6" t="s">
        <v>687</v>
      </c>
      <c r="P45" s="37" t="s">
        <v>510</v>
      </c>
      <c r="Q45" s="6" t="str">
        <f t="shared" si="1"/>
        <v>#N/A</v>
      </c>
      <c r="R45" s="6"/>
    </row>
    <row r="46" hidden="1">
      <c r="A46" s="31" t="str">
        <f>IFERROR(__xludf.DUMMYFUNCTION("""COMPUTED_VALUE"""),"217д")</f>
        <v>217д</v>
      </c>
      <c r="B46" s="14" t="str">
        <f>IFERROR(__xludf.DUMMYFUNCTION("""COMPUTED_VALUE"""),"АИП-25")</f>
        <v>АИП-25</v>
      </c>
      <c r="C46" s="14" t="str">
        <f>IFERROR(__xludf.DUMMYFUNCTION("""COMPUTED_VALUE"""),"УДС")</f>
        <v>УДС</v>
      </c>
      <c r="D46" s="15"/>
      <c r="E46" s="14" t="str">
        <f>IFERROR(__xludf.DUMMYFUNCTION("""COMPUTED_VALUE"""),"Улично-дорожная сеть в п.Мосрентген. Строительство магистральных улиц районного значения - проектируемые пр-ды 1-2-26, 1-2-23, 1-2-29, 1-2-7, от проектируемого пр-да 1-2-26 до ул. Адмирала Корнилова поселение «Мосрентген», Новомосковский административный "&amp;"округ города Москвы")</f>
        <v>Улично-дорожная сеть в п.Мосрентген. Строительство магистральных улиц районного значения - проектируемые пр-ды 1-2-26, 1-2-23, 1-2-29, 1-2-7, от проектируемого пр-да 1-2-26 до ул. Адмирала Корнилова поселение «Мосрентген», Новомосковский административный округ города Москвы</v>
      </c>
      <c r="F46" s="25" t="str">
        <f>IFERROR(__xludf.DUMMYFUNCTION("""COMPUTED_VALUE"""),"#N/A")</f>
        <v>#N/A</v>
      </c>
      <c r="G46" s="6" t="str">
        <f>IFERROR(__xludf.DUMMYFUNCTION("""COMPUTED_VALUE"""),"#N/A")</f>
        <v>#N/A</v>
      </c>
      <c r="H46" s="6"/>
      <c r="I46" s="6"/>
      <c r="J46" s="50">
        <f>IFERROR(__xludf.DUMMYFUNCTION("""COMPUTED_VALUE"""),99.4)</f>
        <v>99.4</v>
      </c>
      <c r="K46" s="58">
        <f>IFERROR(__xludf.DUMMYFUNCTION("""COMPUTED_VALUE"""),45973.0)</f>
        <v>45973</v>
      </c>
      <c r="L46" s="6">
        <v>7.0</v>
      </c>
      <c r="M46" s="52">
        <v>45980.0</v>
      </c>
      <c r="N46" s="53" t="s">
        <v>652</v>
      </c>
      <c r="O46" s="15" t="s">
        <v>688</v>
      </c>
      <c r="P46" s="37" t="s">
        <v>509</v>
      </c>
      <c r="Q46" s="6" t="str">
        <f t="shared" si="1"/>
        <v>#N/A</v>
      </c>
      <c r="R46" s="6"/>
    </row>
    <row r="47" hidden="1">
      <c r="A47" s="31" t="str">
        <f>IFERROR(__xludf.DUMMYFUNCTION("""COMPUTED_VALUE"""),"155д")</f>
        <v>155д</v>
      </c>
      <c r="B47" s="14" t="str">
        <f>IFERROR(__xludf.DUMMYFUNCTION("""COMPUTED_VALUE"""),"АИП-25")</f>
        <v>АИП-25</v>
      </c>
      <c r="C47" s="14" t="str">
        <f>IFERROR(__xludf.DUMMYFUNCTION("""COMPUTED_VALUE"""),"УДС")</f>
        <v>УДС</v>
      </c>
      <c r="D47" s="15"/>
      <c r="E47" s="14" t="str">
        <f>IFERROR(__xludf.DUMMYFUNCTION("""COMPUTED_VALUE"""),"Улично-дорожная сеть во 2-м мкр. р-на Северный район Северный, СВАО города Москвы")</f>
        <v>Улично-дорожная сеть во 2-м мкр. р-на Северный район Северный, СВАО города Москвы</v>
      </c>
      <c r="F47" s="25" t="str">
        <f>IFERROR(__xludf.DUMMYFUNCTION("""COMPUTED_VALUE"""),"#N/A")</f>
        <v>#N/A</v>
      </c>
      <c r="G47" s="6" t="str">
        <f>IFERROR(__xludf.DUMMYFUNCTION("""COMPUTED_VALUE"""),"#N/A")</f>
        <v>#N/A</v>
      </c>
      <c r="H47" s="6"/>
      <c r="I47" s="6"/>
      <c r="J47" s="50">
        <f>IFERROR(__xludf.DUMMYFUNCTION("""COMPUTED_VALUE"""),100.0)</f>
        <v>100</v>
      </c>
      <c r="K47" s="58">
        <f>IFERROR(__xludf.DUMMYFUNCTION("""COMPUTED_VALUE"""),45973.0)</f>
        <v>45973</v>
      </c>
      <c r="L47" s="6" t="s">
        <v>654</v>
      </c>
      <c r="M47" s="52" t="s">
        <v>655</v>
      </c>
      <c r="N47" s="53" t="s">
        <v>656</v>
      </c>
      <c r="O47" s="6" t="s">
        <v>689</v>
      </c>
      <c r="P47" s="37" t="s">
        <v>457</v>
      </c>
      <c r="Q47" s="6" t="str">
        <f t="shared" si="1"/>
        <v>#N/A</v>
      </c>
      <c r="R47" s="6"/>
    </row>
    <row r="48" hidden="1">
      <c r="A48" s="31" t="str">
        <f>IFERROR(__xludf.DUMMYFUNCTION("""COMPUTED_VALUE"""),"175")</f>
        <v>175</v>
      </c>
      <c r="B48" s="14" t="str">
        <f>IFERROR(__xludf.DUMMYFUNCTION("""COMPUTED_VALUE"""),"АИП-25")</f>
        <v>АИП-25</v>
      </c>
      <c r="C48" s="14" t="str">
        <f>IFERROR(__xludf.DUMMYFUNCTION("""COMPUTED_VALUE"""),"ОКС")</f>
        <v>ОКС</v>
      </c>
      <c r="D48" s="15"/>
      <c r="E48" s="14" t="str">
        <f>IFERROR(__xludf.DUMMYFUNCTION("""COMPUTED_VALUE"""),"Жилые дома с инженерными 
 коммуникациями и благоустройством,
 Чечерский проезд, напротив вл. 54, 56 район Южное Бутово, Чечерский проезд, напротив вл. 54, 56")</f>
        <v>Жилые дома с инженерными 
 коммуникациями и благоустройством,
 Чечерский проезд, напротив вл. 54, 56 район Южное Бутово, Чечерский проезд, напротив вл. 54, 56</v>
      </c>
      <c r="F48" s="25" t="str">
        <f>IFERROR(__xludf.DUMMYFUNCTION("""COMPUTED_VALUE"""),"#N/A")</f>
        <v>#N/A</v>
      </c>
      <c r="G48" s="6" t="str">
        <f>IFERROR(__xludf.DUMMYFUNCTION("""COMPUTED_VALUE"""),"#N/A")</f>
        <v>#N/A</v>
      </c>
      <c r="H48" s="18" t="str">
        <f>IFERROR(__xludf.DUMMYFUNCTION("""COMPUTED_VALUE"""),"https://docs.google.com/spreadsheets/d/19THEBTE9q0fhN2eApZr6BgenIvLGh0AckaYxHQfHk5w/edit?gid=1190089568#gid=1190089568")</f>
        <v>https://docs.google.com/spreadsheets/d/19THEBTE9q0fhN2eApZr6BgenIvLGh0AckaYxHQfHk5w/edit?gid=1190089568#gid=1190089568</v>
      </c>
      <c r="I48" s="19" t="str">
        <f>IFERROR(__xludf.DUMMYFUNCTION("""COMPUTED_VALUE"""),"https://disk.yandex.ru/client/disk/Осмотры%20объектов%20АНО%20СМГ/175.%20Южное%20Бутово%2C%20Чечëрский%20пр-д%2C%20вл.%2054%2C%2056.")</f>
        <v>https://disk.yandex.ru/client/disk/Осмотры%20объектов%20АНО%20СМГ/175.%20Южное%20Бутово%2C%20Чечëрский%20пр-д%2C%20вл.%2054%2C%2056.</v>
      </c>
      <c r="J48" s="50">
        <f>IFERROR(__xludf.DUMMYFUNCTION("""COMPUTED_VALUE"""),99.94)</f>
        <v>99.94</v>
      </c>
      <c r="K48" s="58">
        <f>IFERROR(__xludf.DUMMYFUNCTION("""COMPUTED_VALUE"""),45839.0)</f>
        <v>45839</v>
      </c>
      <c r="L48" s="6">
        <v>7.0</v>
      </c>
      <c r="M48" s="52">
        <v>45846.0</v>
      </c>
      <c r="N48" s="53" t="s">
        <v>652</v>
      </c>
      <c r="O48" s="19" t="s">
        <v>690</v>
      </c>
      <c r="P48" s="37" t="s">
        <v>469</v>
      </c>
      <c r="Q48" s="6" t="str">
        <f t="shared" si="1"/>
        <v>#N/A</v>
      </c>
      <c r="R48" s="6"/>
    </row>
    <row r="49" hidden="1">
      <c r="A49" s="31" t="str">
        <f>IFERROR(__xludf.DUMMYFUNCTION("""COMPUTED_VALUE"""),"176")</f>
        <v>176</v>
      </c>
      <c r="B49" s="14" t="str">
        <f>IFERROR(__xludf.DUMMYFUNCTION("""COMPUTED_VALUE"""),"АИП-25")</f>
        <v>АИП-25</v>
      </c>
      <c r="C49" s="14" t="str">
        <f>IFERROR(__xludf.DUMMYFUNCTION("""COMPUTED_VALUE"""),"ОКС")</f>
        <v>ОКС</v>
      </c>
      <c r="D49" s="15"/>
      <c r="E49" s="14" t="str">
        <f>IFERROR(__xludf.DUMMYFUNCTION("""COMPUTED_VALUE"""),"Административное здание,
  ул. Синявинская, вл. 11 Молжаниновский район, ул. Синявинская, вл. 11")</f>
        <v>Административное здание,
  ул. Синявинская, вл. 11 Молжаниновский район, ул. Синявинская, вл. 11</v>
      </c>
      <c r="F49" s="25" t="str">
        <f>IFERROR(__xludf.DUMMYFUNCTION("""COMPUTED_VALUE"""),"#N/A")</f>
        <v>#N/A</v>
      </c>
      <c r="G49" s="6" t="str">
        <f>IFERROR(__xludf.DUMMYFUNCTION("""COMPUTED_VALUE"""),"#N/A")</f>
        <v>#N/A</v>
      </c>
      <c r="H49" s="18" t="str">
        <f>IFERROR(__xludf.DUMMYFUNCTION("""COMPUTED_VALUE"""),"https://docs.google.com/spreadsheets/d/19THEBTE9q0fhN2eApZr6BgenIvLGh0AckaYxHQfHk5w/edit?gid=700032418#gid=700032418")</f>
        <v>https://docs.google.com/spreadsheets/d/19THEBTE9q0fhN2eApZr6BgenIvLGh0AckaYxHQfHk5w/edit?gid=700032418#gid=700032418</v>
      </c>
      <c r="I49" s="19" t="str">
        <f>IFERROR(__xludf.DUMMYFUNCTION("""COMPUTED_VALUE"""),"https://disk.yandex.ru/client/disk/Осмотры%20объектов%20АНО%20СМГ/176.%20Синявинская%20вл%2011%20(1в)")</f>
        <v>https://disk.yandex.ru/client/disk/Осмотры%20объектов%20АНО%20СМГ/176.%20Синявинская%20вл%2011%20(1в)</v>
      </c>
      <c r="J49" s="50">
        <f>IFERROR(__xludf.DUMMYFUNCTION("""COMPUTED_VALUE"""),100.0)</f>
        <v>100</v>
      </c>
      <c r="K49" s="58">
        <f>IFERROR(__xludf.DUMMYFUNCTION("""COMPUTED_VALUE"""),45839.0)</f>
        <v>45839</v>
      </c>
      <c r="L49" s="6" t="s">
        <v>654</v>
      </c>
      <c r="M49" s="52" t="s">
        <v>655</v>
      </c>
      <c r="N49" s="53" t="s">
        <v>656</v>
      </c>
      <c r="O49" s="19" t="s">
        <v>691</v>
      </c>
      <c r="P49" s="37" t="s">
        <v>472</v>
      </c>
      <c r="Q49" s="6" t="str">
        <f t="shared" si="1"/>
        <v>#N/A</v>
      </c>
      <c r="R49" s="6"/>
    </row>
    <row r="50" hidden="1">
      <c r="A50" s="31" t="str">
        <f>IFERROR(__xludf.DUMMYFUNCTION("""COMPUTED_VALUE"""),"116")</f>
        <v>116</v>
      </c>
      <c r="B50" s="14" t="str">
        <f>IFERROR(__xludf.DUMMYFUNCTION("""COMPUTED_VALUE"""),"АИП-25")</f>
        <v>АИП-25</v>
      </c>
      <c r="C50" s="14" t="str">
        <f>IFERROR(__xludf.DUMMYFUNCTION("""COMPUTED_VALUE"""),"ОКС")</f>
        <v>ОКС</v>
      </c>
      <c r="D50" s="15"/>
      <c r="E50" s="14" t="str">
        <f>IFERROR(__xludf.DUMMYFUNCTION("""COMPUTED_VALUE"""),"Школа на 1200 мест, 
 д. Ватутинки, пос. Десёновское, ул. Кварцевая, д. 3А пос. Десеновское, д. Ватутинки, ул. Кварцевая, 3А")</f>
        <v>Школа на 1200 мест, 
 д. Ватутинки, пос. Десёновское, ул. Кварцевая, д. 3А пос. Десеновское, д. Ватутинки, ул. Кварцевая, 3А</v>
      </c>
      <c r="F50" s="25" t="str">
        <f>IFERROR(__xludf.DUMMYFUNCTION("""COMPUTED_VALUE"""),"55.488695")</f>
        <v>55.488695</v>
      </c>
      <c r="G50" s="6" t="str">
        <f>IFERROR(__xludf.DUMMYFUNCTION("""COMPUTED_VALUE"""),"37.339420")</f>
        <v>37.339420</v>
      </c>
      <c r="H50" s="18" t="str">
        <f>IFERROR(__xludf.DUMMYFUNCTION("""COMPUTED_VALUE"""),"https://docs.google.com/spreadsheets/d/19THEBTE9q0fhN2eApZr6BgenIvLGh0AckaYxHQfHk5w/edit?gid=1830744104#gid=1830744104")</f>
        <v>https://docs.google.com/spreadsheets/d/19THEBTE9q0fhN2eApZr6BgenIvLGh0AckaYxHQfHk5w/edit?gid=1830744104#gid=1830744104</v>
      </c>
      <c r="I50" s="19" t="str">
        <f>IFERROR(__xludf.DUMMYFUNCTION("""COMPUTED_VALUE"""),"https://disk.yandex.ru/client/disk/Осмотры%20объектов%20АНО%20СМГ/116.%20Кварцевая%20ул.%203А%2C%20д.%20Ватутинки%20(СОШ%20на%201200%20м)")</f>
        <v>https://disk.yandex.ru/client/disk/Осмотры%20объектов%20АНО%20СМГ/116.%20Кварцевая%20ул.%203А%2C%20д.%20Ватутинки%20(СОШ%20на%201200%20м)</v>
      </c>
      <c r="J50" s="50">
        <f>IFERROR(__xludf.DUMMYFUNCTION("""COMPUTED_VALUE"""),99.82400000000001)</f>
        <v>99.824</v>
      </c>
      <c r="K50" s="58">
        <f>IFERROR(__xludf.DUMMYFUNCTION("""COMPUTED_VALUE"""),45971.0)</f>
        <v>45971</v>
      </c>
      <c r="L50" s="6">
        <v>7.0</v>
      </c>
      <c r="M50" s="52">
        <v>45978.0</v>
      </c>
      <c r="N50" s="53" t="s">
        <v>692</v>
      </c>
      <c r="O50" s="19" t="s">
        <v>693</v>
      </c>
      <c r="P50" s="37" t="s">
        <v>1464</v>
      </c>
      <c r="Q50" s="6" t="str">
        <f t="shared" si="1"/>
        <v>#N/A</v>
      </c>
      <c r="R50" s="6"/>
    </row>
    <row r="51" hidden="1">
      <c r="A51" s="31" t="str">
        <f>IFERROR(__xludf.DUMMYFUNCTION("""COMPUTED_VALUE"""),"254")</f>
        <v>254</v>
      </c>
      <c r="B51" s="14" t="str">
        <f>IFERROR(__xludf.DUMMYFUNCTION("""COMPUTED_VALUE"""),"АИП-25")</f>
        <v>АИП-25</v>
      </c>
      <c r="C51" s="14" t="str">
        <f>IFERROR(__xludf.DUMMYFUNCTION("""COMPUTED_VALUE"""),"ОКС")</f>
        <v>ОКС</v>
      </c>
      <c r="D51" s="15"/>
      <c r="E51" s="14" t="str">
        <f>IFERROR(__xludf.DUMMYFUNCTION("""COMPUTED_VALUE"""),"ММК. Центр хронических болезней, 
 территория инновационного центра «Сколково»,
 ул. Большой бульвар, д. 46, строение 3  Территория инновационного центра «Сколково»")</f>
        <v>ММК. Центр хронических болезней, 
 территория инновационного центра «Сколково»,
 ул. Большой бульвар, д. 46, строение 3  Территория инновационного центра «Сколково»</v>
      </c>
      <c r="F51" s="25" t="str">
        <f>IFERROR(__xludf.DUMMYFUNCTION("""COMPUTED_VALUE"""),"55.684365")</f>
        <v>55.684365</v>
      </c>
      <c r="G51" s="6" t="str">
        <f>IFERROR(__xludf.DUMMYFUNCTION("""COMPUTED_VALUE"""),"37.348977")</f>
        <v>37.348977</v>
      </c>
      <c r="H51" s="18" t="str">
        <f>IFERROR(__xludf.DUMMYFUNCTION("""COMPUTED_VALUE"""),"https://docs.google.com/spreadsheets/d/19THEBTE9q0fhN2eApZr6BgenIvLGh0AckaYxHQfHk5w/edit?gid=987830810#gid=987830810")</f>
        <v>https://docs.google.com/spreadsheets/d/19THEBTE9q0fhN2eApZr6BgenIvLGh0AckaYxHQfHk5w/edit?gid=987830810#gid=987830810</v>
      </c>
      <c r="I51" s="19" t="str">
        <f>IFERROR(__xludf.DUMMYFUNCTION("""COMPUTED_VALUE"""),"https://disk.yandex.ru/client/disk/Осмотры%20объектов%20АНО%20СМГ/254.%20Ммк%20Сколково%20ЦХБ%20ул%20Большой%20бульвар%2046с3")</f>
        <v>https://disk.yandex.ru/client/disk/Осмотры%20объектов%20АНО%20СМГ/254.%20Ммк%20Сколково%20ЦХБ%20ул%20Большой%20бульвар%2046с3</v>
      </c>
      <c r="J51" s="50">
        <f>IFERROR(__xludf.DUMMYFUNCTION("""COMPUTED_VALUE"""),99.9635)</f>
        <v>99.9635</v>
      </c>
      <c r="K51" s="58">
        <f>IFERROR(__xludf.DUMMYFUNCTION("""COMPUTED_VALUE"""),45972.0)</f>
        <v>45972</v>
      </c>
      <c r="L51" s="6">
        <v>7.0</v>
      </c>
      <c r="M51" s="52">
        <v>45979.0</v>
      </c>
      <c r="N51" s="53" t="s">
        <v>692</v>
      </c>
      <c r="O51" s="19" t="s">
        <v>694</v>
      </c>
      <c r="P51" s="37" t="s">
        <v>490</v>
      </c>
      <c r="Q51" s="6" t="str">
        <f t="shared" si="1"/>
        <v>#N/A</v>
      </c>
      <c r="R51" s="6"/>
    </row>
    <row r="52" hidden="1">
      <c r="A52" s="31" t="str">
        <f>IFERROR(__xludf.DUMMYFUNCTION("""COMPUTED_VALUE"""),"119")</f>
        <v>119</v>
      </c>
      <c r="B52" s="14" t="str">
        <f>IFERROR(__xludf.DUMMYFUNCTION("""COMPUTED_VALUE"""),"АИП-25")</f>
        <v>АИП-25</v>
      </c>
      <c r="C52" s="14" t="str">
        <f>IFERROR(__xludf.DUMMYFUNCTION("""COMPUTED_VALUE"""),"ОКС")</f>
        <v>ОКС</v>
      </c>
      <c r="D52" s="15"/>
      <c r="E52" s="14" t="str">
        <f>IFERROR(__xludf.DUMMYFUNCTION("""COMPUTED_VALUE"""),"Учебный корпус на 300 мест с ДОУ на 125 мест
 просп. Вернадского вл., 12Б район Раменки, пр-кт Вернадского, влд.12Б")</f>
        <v>Учебный корпус на 300 мест с ДОУ на 125 мест
 просп. Вернадского вл., 12Б район Раменки, пр-кт Вернадского, влд.12Б</v>
      </c>
      <c r="F52" s="25" t="str">
        <f>IFERROR(__xludf.DUMMYFUNCTION("""COMPUTED_VALUE"""),"#N/A")</f>
        <v>#N/A</v>
      </c>
      <c r="G52" s="6" t="str">
        <f>IFERROR(__xludf.DUMMYFUNCTION("""COMPUTED_VALUE"""),"#N/A")</f>
        <v>#N/A</v>
      </c>
      <c r="H52" s="18" t="str">
        <f>IFERROR(__xludf.DUMMYFUNCTION("""COMPUTED_VALUE"""),"https://docs.google.com/spreadsheets/d/19THEBTE9q0fhN2eApZr6BgenIvLGh0AckaYxHQfHk5w/edit?gid=1592533153#gid=1592533153")</f>
        <v>https://docs.google.com/spreadsheets/d/19THEBTE9q0fhN2eApZr6BgenIvLGh0AckaYxHQfHk5w/edit?gid=1592533153#gid=1592533153</v>
      </c>
      <c r="I52" s="19" t="str">
        <f>IFERROR(__xludf.DUMMYFUNCTION("""COMPUTED_VALUE"""),"https://disk.yandex.ru/client/disk/Осмотры%20объектов%20АНО%20СМГ/119.%20пр-т%20Вернадского%2012Б%2C%20СОШ%2C%20ДОО")</f>
        <v>https://disk.yandex.ru/client/disk/Осмотры%20объектов%20АНО%20СМГ/119.%20пр-т%20Вернадского%2012Б%2C%20СОШ%2C%20ДОО</v>
      </c>
      <c r="J52" s="50">
        <f>IFERROR(__xludf.DUMMYFUNCTION("""COMPUTED_VALUE"""),100.0)</f>
        <v>100</v>
      </c>
      <c r="K52" s="58">
        <f>IFERROR(__xludf.DUMMYFUNCTION("""COMPUTED_VALUE"""),45902.0)</f>
        <v>45902</v>
      </c>
      <c r="L52" s="6" t="s">
        <v>654</v>
      </c>
      <c r="M52" s="52" t="s">
        <v>655</v>
      </c>
      <c r="N52" s="53" t="s">
        <v>656</v>
      </c>
      <c r="O52" s="19" t="s">
        <v>695</v>
      </c>
      <c r="P52" s="37" t="s">
        <v>504</v>
      </c>
      <c r="Q52" s="6" t="str">
        <f t="shared" si="1"/>
        <v>#N/A</v>
      </c>
      <c r="R52" s="6"/>
    </row>
    <row r="53" hidden="1">
      <c r="A53" s="31" t="str">
        <f>IFERROR(__xludf.DUMMYFUNCTION("""COMPUTED_VALUE"""),"018")</f>
        <v>018</v>
      </c>
      <c r="B53" s="14" t="str">
        <f>IFERROR(__xludf.DUMMYFUNCTION("""COMPUTED_VALUE"""),"АИП-25")</f>
        <v>АИП-25</v>
      </c>
      <c r="C53" s="14" t="str">
        <f>IFERROR(__xludf.DUMMYFUNCTION("""COMPUTED_VALUE"""),"ОКС")</f>
        <v>ОКС</v>
      </c>
      <c r="D53" s="15"/>
      <c r="E53" s="14" t="str">
        <f>IFERROR(__xludf.DUMMYFUNCTION("""COMPUTED_VALUE"""),"Общеобразовательная организация на 1100 мест по адресу: г.п. Щербинка, м-ко Барыши (2 этап: Строительство учебного корпуса на 400 мест на месте сноса существующего здания школы) г.п. Щербинка, ул. Местечко Барыши, з/у 25")</f>
        <v>Общеобразовательная организация на 1100 мест по адресу: г.п. Щербинка, м-ко Барыши (2 этап: Строительство учебного корпуса на 400 мест на месте сноса существующего здания школы) г.п. Щербинка, ул. Местечко Барыши, з/у 25</v>
      </c>
      <c r="F53" s="25" t="str">
        <f>IFERROR(__xludf.DUMMYFUNCTION("""COMPUTED_VALUE"""),"#N/A")</f>
        <v>#N/A</v>
      </c>
      <c r="G53" s="6" t="str">
        <f>IFERROR(__xludf.DUMMYFUNCTION("""COMPUTED_VALUE"""),"#N/A")</f>
        <v>#N/A</v>
      </c>
      <c r="H53" s="18" t="str">
        <f>IFERROR(__xludf.DUMMYFUNCTION("""COMPUTED_VALUE"""),"https://docs.google.com/spreadsheets/d/19THEBTE9q0fhN2eApZr6BgenIvLGh0AckaYxHQfHk5w/edit?gid=2074952134#gid=2074952134")</f>
        <v>https://docs.google.com/spreadsheets/d/19THEBTE9q0fhN2eApZr6BgenIvLGh0AckaYxHQfHk5w/edit?gid=2074952134#gid=2074952134</v>
      </c>
      <c r="I53" s="19" t="str">
        <f>IFERROR(__xludf.DUMMYFUNCTION("""COMPUTED_VALUE"""),"https://disk.yandex.ru/client/disk/Осмотры%20объектов%20АНО%20СМГ/018.%20СОШ%20400%20Щербинка%2C%20ул.%20Барыши")</f>
        <v>https://disk.yandex.ru/client/disk/Осмотры%20объектов%20АНО%20СМГ/018.%20СОШ%20400%20Щербинка%2C%20ул.%20Барыши</v>
      </c>
      <c r="J53" s="50">
        <f>IFERROR(__xludf.DUMMYFUNCTION("""COMPUTED_VALUE"""),100.0)</f>
        <v>100</v>
      </c>
      <c r="K53" s="58">
        <f>IFERROR(__xludf.DUMMYFUNCTION("""COMPUTED_VALUE"""),45937.0)</f>
        <v>45937</v>
      </c>
      <c r="L53" s="6" t="s">
        <v>654</v>
      </c>
      <c r="M53" s="52" t="s">
        <v>655</v>
      </c>
      <c r="N53" s="53" t="s">
        <v>656</v>
      </c>
      <c r="O53" s="19" t="s">
        <v>696</v>
      </c>
      <c r="P53" s="37" t="s">
        <v>430</v>
      </c>
      <c r="Q53" s="6" t="str">
        <f t="shared" si="1"/>
        <v>#N/A</v>
      </c>
      <c r="R53" s="6"/>
    </row>
    <row r="54" hidden="1">
      <c r="A54" s="31" t="str">
        <f>IFERROR(__xludf.DUMMYFUNCTION("""COMPUTED_VALUE"""),"017")</f>
        <v>017</v>
      </c>
      <c r="B54" s="14" t="str">
        <f>IFERROR(__xludf.DUMMYFUNCTION("""COMPUTED_VALUE"""),"АИП-25")</f>
        <v>АИП-25</v>
      </c>
      <c r="C54" s="14" t="str">
        <f>IFERROR(__xludf.DUMMYFUNCTION("""COMPUTED_VALUE"""),"ОКС")</f>
        <v>ОКС</v>
      </c>
      <c r="D54" s="15"/>
      <c r="E54" s="14" t="str">
        <f>IFERROR(__xludf.DUMMYFUNCTION("""COMPUTED_VALUE"""),"Культурно-досуговый центр п. Шишкин Лес, пос. Михайлово-Ярцевское п. Шишкин Лес, пос. Михайлово-Ярцевское")</f>
        <v>Культурно-досуговый центр п. Шишкин Лес, пос. Михайлово-Ярцевское п. Шишкин Лес, пос. Михайлово-Ярцевское</v>
      </c>
      <c r="F54" s="25" t="str">
        <f>IFERROR(__xludf.DUMMYFUNCTION("""COMPUTED_VALUE"""),"55.413782")</f>
        <v>55.413782</v>
      </c>
      <c r="G54" s="6" t="str">
        <f>IFERROR(__xludf.DUMMYFUNCTION("""COMPUTED_VALUE"""),"37.189248")</f>
        <v>37.189248</v>
      </c>
      <c r="H54" s="18" t="str">
        <f>IFERROR(__xludf.DUMMYFUNCTION("""COMPUTED_VALUE"""),"https://docs.google.com/spreadsheets/d/19THEBTE9q0fhN2eApZr6BgenIvLGh0AckaYxHQfHk5w/edit?gid=1089584377#gid=1089584377")</f>
        <v>https://docs.google.com/spreadsheets/d/19THEBTE9q0fhN2eApZr6BgenIvLGh0AckaYxHQfHk5w/edit?gid=1089584377#gid=1089584377</v>
      </c>
      <c r="I54" s="19" t="str">
        <f>IFERROR(__xludf.DUMMYFUNCTION("""COMPUTED_VALUE"""),"https://disk.yandex.ru/client/disk/Осмотры%20объектов%20АНО%20СМГ/017.%20Шишкин%20лес%20КДЦ")</f>
        <v>https://disk.yandex.ru/client/disk/Осмотры%20объектов%20АНО%20СМГ/017.%20Шишкин%20лес%20КДЦ</v>
      </c>
      <c r="J54" s="50">
        <f>IFERROR(__xludf.DUMMYFUNCTION("""COMPUTED_VALUE"""),91.8861275)</f>
        <v>91.8861275</v>
      </c>
      <c r="K54" s="58">
        <f>IFERROR(__xludf.DUMMYFUNCTION("""COMPUTED_VALUE"""),45968.0)</f>
        <v>45968</v>
      </c>
      <c r="L54" s="6">
        <v>14.0</v>
      </c>
      <c r="M54" s="52">
        <v>45982.0</v>
      </c>
      <c r="N54" s="53" t="s">
        <v>692</v>
      </c>
      <c r="O54" s="19" t="s">
        <v>697</v>
      </c>
      <c r="P54" s="37" t="s">
        <v>453</v>
      </c>
      <c r="Q54" s="6" t="str">
        <f t="shared" si="1"/>
        <v>#N/A</v>
      </c>
      <c r="R54" s="6"/>
    </row>
    <row r="55" hidden="1">
      <c r="A55" s="31" t="str">
        <f>IFERROR(__xludf.DUMMYFUNCTION("""COMPUTED_VALUE"""),"389д (сводный)")</f>
        <v>389д (сводный)</v>
      </c>
      <c r="B55" s="14" t="str">
        <f>IFERROR(__xludf.DUMMYFUNCTION("""COMPUTED_VALUE"""),"АИП-25")</f>
        <v>АИП-25</v>
      </c>
      <c r="C55" s="14" t="str">
        <f>IFERROR(__xludf.DUMMYFUNCTION("""COMPUTED_VALUE"""),"УДС")</f>
        <v>УДС</v>
      </c>
      <c r="D55" s="15"/>
      <c r="E55"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Этапы 1.1.2.2.,1.2.2. ")</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Этапы 1.1.2.2.,1.2.2. </v>
      </c>
      <c r="F55" s="25" t="str">
        <f>IFERROR(__xludf.DUMMYFUNCTION("""COMPUTED_VALUE"""),"#N/A")</f>
        <v>#N/A</v>
      </c>
      <c r="G55" s="6" t="str">
        <f>IFERROR(__xludf.DUMMYFUNCTION("""COMPUTED_VALUE"""),"#N/A")</f>
        <v>#N/A</v>
      </c>
      <c r="H55" s="6"/>
      <c r="I55" s="6"/>
      <c r="J55" s="50"/>
      <c r="K55" s="58"/>
      <c r="L55" s="6">
        <v>30.0</v>
      </c>
      <c r="M55" s="52" t="s">
        <v>655</v>
      </c>
      <c r="N55" s="53" t="s">
        <v>698</v>
      </c>
      <c r="O55" s="6"/>
      <c r="P55" s="37" t="s">
        <v>1465</v>
      </c>
      <c r="Q55" s="6" t="str">
        <f t="shared" si="1"/>
        <v>#N/A</v>
      </c>
      <c r="R55" s="6"/>
    </row>
    <row r="56" hidden="1">
      <c r="A56" s="31" t="str">
        <f>IFERROR(__xludf.DUMMYFUNCTION("""COMPUTED_VALUE"""),"389д (этап 1.1.2.2)")</f>
        <v>389д (этап 1.1.2.2)</v>
      </c>
      <c r="B56" s="14"/>
      <c r="C56" s="14" t="str">
        <f>IFERROR(__xludf.DUMMYFUNCTION("""COMPUTED_VALUE"""),"УДС")</f>
        <v>УДС</v>
      </c>
      <c r="D56" s="60"/>
      <c r="E56"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1.1.2.2 г. Москва, ул. Большая Филевская")</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1.1.2.2 г. Москва, ул. Большая Филевская</v>
      </c>
      <c r="F56" s="25" t="str">
        <f>IFERROR(__xludf.DUMMYFUNCTION("""COMPUTED_VALUE"""),"#N/A")</f>
        <v>#N/A</v>
      </c>
      <c r="G56" s="6" t="str">
        <f>IFERROR(__xludf.DUMMYFUNCTION("""COMPUTED_VALUE"""),"#N/A")</f>
        <v>#N/A</v>
      </c>
      <c r="H56" s="6"/>
      <c r="I56" s="6"/>
      <c r="J56" s="50"/>
      <c r="K56" s="58"/>
      <c r="L56" s="6">
        <v>30.0</v>
      </c>
      <c r="M56" s="52" t="s">
        <v>655</v>
      </c>
      <c r="N56" s="53" t="s">
        <v>698</v>
      </c>
      <c r="O56" s="6" t="s">
        <v>699</v>
      </c>
      <c r="P56" s="37" t="s">
        <v>451</v>
      </c>
      <c r="Q56" s="6" t="str">
        <f t="shared" si="1"/>
        <v>#N/A</v>
      </c>
      <c r="R56" s="6"/>
    </row>
    <row r="57" hidden="1">
      <c r="A57" s="31" t="str">
        <f>IFERROR(__xludf.DUMMYFUNCTION("""COMPUTED_VALUE"""),"389д (этап 1.2.2)")</f>
        <v>389д (этап 1.2.2)</v>
      </c>
      <c r="B57" s="14"/>
      <c r="C57" s="14" t="str">
        <f>IFERROR(__xludf.DUMMYFUNCTION("""COMPUTED_VALUE"""),"УДС")</f>
        <v>УДС</v>
      </c>
      <c r="D57" s="15"/>
      <c r="E57" s="14" t="str">
        <f>IFERROR(__xludf.DUMMYFUNCTION("""COMPUTED_VALUE"""),"Строительство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1.2.2 г. Москва, ул. Большая Филевская")</f>
        <v>Строительство искусственного сооружения с улично-дорожной сетью и переустройством инженерных коммуникаций на участке от ул. Б. Филевской до Третьего транспортного кольца вдоль набережной р. Москвы. Этап 1.2.2 г. Москва, ул. Большая Филевская</v>
      </c>
      <c r="F57" s="25" t="str">
        <f>IFERROR(__xludf.DUMMYFUNCTION("""COMPUTED_VALUE"""),"#N/A")</f>
        <v>#N/A</v>
      </c>
      <c r="G57" s="6" t="str">
        <f>IFERROR(__xludf.DUMMYFUNCTION("""COMPUTED_VALUE"""),"#N/A")</f>
        <v>#N/A</v>
      </c>
      <c r="H57" s="6"/>
      <c r="I57" s="6"/>
      <c r="J57" s="50"/>
      <c r="K57" s="58"/>
      <c r="L57" s="6">
        <v>30.0</v>
      </c>
      <c r="M57" s="52" t="s">
        <v>655</v>
      </c>
      <c r="N57" s="53" t="s">
        <v>698</v>
      </c>
      <c r="O57" s="6" t="s">
        <v>700</v>
      </c>
      <c r="P57" s="37" t="s">
        <v>1466</v>
      </c>
      <c r="Q57" s="6" t="str">
        <f t="shared" si="1"/>
        <v>#N/A</v>
      </c>
      <c r="R57" s="6"/>
    </row>
    <row r="58" hidden="1">
      <c r="A58" s="31" t="str">
        <f>IFERROR(__xludf.DUMMYFUNCTION("""COMPUTED_VALUE"""),"390д (этап 3.2)")</f>
        <v>390д (этап 3.2)</v>
      </c>
      <c r="B58" s="14" t="str">
        <f>IFERROR(__xludf.DUMMYFUNCTION("""COMPUTED_VALUE"""),"АИП-25")</f>
        <v>АИП-25</v>
      </c>
      <c r="C58" s="14" t="str">
        <f>IFERROR(__xludf.DUMMYFUNCTION("""COMPUTED_VALUE"""),"УДС")</f>
        <v>УДС</v>
      </c>
      <c r="D58" s="15"/>
      <c r="E58" s="14" t="str">
        <f>IFERROR(__xludf.DUMMYFUNCTION("""COMPUTED_VALUE"""),"Строительство мостового сооружения через старое русло р. Москва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кон"&amp;"ечной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3.2. (Очистное сооружение) ЗИЛ")</f>
        <v>Строительство мостового сооружения через старое русло р. Москва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3.2. (Очистное сооружение) ЗИЛ</v>
      </c>
      <c r="F58" s="25" t="str">
        <f>IFERROR(__xludf.DUMMYFUNCTION("""COMPUTED_VALUE"""),"#N/A")</f>
        <v>#N/A</v>
      </c>
      <c r="G58" s="6" t="str">
        <f>IFERROR(__xludf.DUMMYFUNCTION("""COMPUTED_VALUE"""),"#N/A")</f>
        <v>#N/A</v>
      </c>
      <c r="H58" s="6"/>
      <c r="I58" s="6"/>
      <c r="J58" s="50">
        <f>IFERROR(__xludf.DUMMYFUNCTION("""COMPUTED_VALUE"""),98.0)</f>
        <v>98</v>
      </c>
      <c r="K58" s="58">
        <f>IFERROR(__xludf.DUMMYFUNCTION("""COMPUTED_VALUE"""),45968.0)</f>
        <v>45968</v>
      </c>
      <c r="L58" s="6">
        <v>7.0</v>
      </c>
      <c r="M58" s="52">
        <v>45975.0</v>
      </c>
      <c r="N58" s="53" t="s">
        <v>701</v>
      </c>
      <c r="O58" s="6" t="s">
        <v>702</v>
      </c>
      <c r="P58" s="37" t="s">
        <v>459</v>
      </c>
      <c r="Q58" s="6" t="str">
        <f t="shared" si="1"/>
        <v>#N/A</v>
      </c>
      <c r="R58" s="6"/>
    </row>
    <row r="59" hidden="1">
      <c r="A59" s="31" t="str">
        <f>IFERROR(__xludf.DUMMYFUNCTION("""COMPUTED_VALUE"""),"390д (этап 3.1)")</f>
        <v>390д (этап 3.1)</v>
      </c>
      <c r="B59" s="14" t="str">
        <f>IFERROR(__xludf.DUMMYFUNCTION("""COMPUTED_VALUE"""),"АИП-25")</f>
        <v>АИП-25</v>
      </c>
      <c r="C59" s="14" t="str">
        <f>IFERROR(__xludf.DUMMYFUNCTION("""COMPUTED_VALUE"""),"УДС")</f>
        <v>УДС</v>
      </c>
      <c r="D59" s="15"/>
      <c r="E59" s="14" t="str">
        <f>IFERROR(__xludf.DUMMYFUNCTION("""COMPUTED_VALUE"""),"Строительство мостового сооружения через старое русло р. Москвы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кон"&amp;"ечной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3.1. ЗИЛ")</f>
        <v>Строительство мостового сооружения через старое русло р. Москвы с улично-дорожной сетью в южной части территории публичного акционерного общества "Завод имени И.А. Лихачева" с обустройством пешеходных переходов, отстойно-разворотной площадки, здания конечной станции городского пассажирского транспорта. Обустройство набережной р. Москва в районе территории публичного акционерного общества "Завод имени И.А. Лихачева" . Этапы 3.1. ЗИЛ</v>
      </c>
      <c r="F59" s="25" t="str">
        <f>IFERROR(__xludf.DUMMYFUNCTION("""COMPUTED_VALUE"""),"#N/A")</f>
        <v>#N/A</v>
      </c>
      <c r="G59" s="6" t="str">
        <f>IFERROR(__xludf.DUMMYFUNCTION("""COMPUTED_VALUE"""),"#N/A")</f>
        <v>#N/A</v>
      </c>
      <c r="H59" s="6"/>
      <c r="I59" s="6"/>
      <c r="J59" s="50">
        <f>IFERROR(__xludf.DUMMYFUNCTION("""COMPUTED_VALUE"""),99.97500000000001)</f>
        <v>99.975</v>
      </c>
      <c r="K59" s="58">
        <f>IFERROR(__xludf.DUMMYFUNCTION("""COMPUTED_VALUE"""),45968.0)</f>
        <v>45968</v>
      </c>
      <c r="L59" s="6">
        <v>7.0</v>
      </c>
      <c r="M59" s="52">
        <v>45975.0</v>
      </c>
      <c r="N59" s="53" t="s">
        <v>701</v>
      </c>
      <c r="O59" s="6" t="s">
        <v>703</v>
      </c>
      <c r="P59" s="37" t="s">
        <v>462</v>
      </c>
      <c r="Q59" s="6" t="str">
        <f t="shared" si="1"/>
        <v>#N/A</v>
      </c>
      <c r="R59" s="6"/>
    </row>
    <row r="60" hidden="1">
      <c r="A60" s="31" t="str">
        <f>IFERROR(__xludf.DUMMYFUNCTION("""COMPUTED_VALUE"""),"336д (этап 2.2.2)")</f>
        <v>336д (этап 2.2.2)</v>
      </c>
      <c r="B60" s="14" t="str">
        <f>IFERROR(__xludf.DUMMYFUNCTION("""COMPUTED_VALUE"""),"АИП-25")</f>
        <v>АИП-25</v>
      </c>
      <c r="C60" s="14" t="str">
        <f>IFERROR(__xludf.DUMMYFUNCTION("""COMPUTED_VALUE"""),"УДС")</f>
        <v>УДС</v>
      </c>
      <c r="D60" s="15"/>
      <c r="E60" s="14" t="str">
        <f>IFERROR(__xludf.DUMMYFUNCTION("""COMPUTED_VALUE"""),"Открытие участка ул. Ивана Франко от ул. Житомирская до ул. Герасима Курина (этап 2.2.2) район Фили-Давыдково")</f>
        <v>Открытие участка ул. Ивана Франко от ул. Житомирская до ул. Герасима Курина (этап 2.2.2) район Фили-Давыдково</v>
      </c>
      <c r="F60" s="25" t="str">
        <f>IFERROR(__xludf.DUMMYFUNCTION("""COMPUTED_VALUE"""),"#N/A")</f>
        <v>#N/A</v>
      </c>
      <c r="G60" s="6" t="str">
        <f>IFERROR(__xludf.DUMMYFUNCTION("""COMPUTED_VALUE"""),"#N/A")</f>
        <v>#N/A</v>
      </c>
      <c r="H60" s="6"/>
      <c r="I60" s="6"/>
      <c r="J60" s="50">
        <f>IFERROR(__xludf.DUMMYFUNCTION("""COMPUTED_VALUE"""),100.0)</f>
        <v>100</v>
      </c>
      <c r="K60" s="58">
        <f>IFERROR(__xludf.DUMMYFUNCTION("""COMPUTED_VALUE"""),45974.0)</f>
        <v>45974</v>
      </c>
      <c r="L60" s="6" t="s">
        <v>654</v>
      </c>
      <c r="M60" s="52" t="s">
        <v>655</v>
      </c>
      <c r="N60" s="53" t="s">
        <v>656</v>
      </c>
      <c r="O60" s="6" t="s">
        <v>704</v>
      </c>
      <c r="P60" s="37" t="s">
        <v>1467</v>
      </c>
      <c r="Q60" s="6" t="str">
        <f t="shared" si="1"/>
        <v>#N/A</v>
      </c>
      <c r="R60" s="6"/>
    </row>
    <row r="61" hidden="1">
      <c r="A61" s="31" t="str">
        <f>IFERROR(__xludf.DUMMYFUNCTION("""COMPUTED_VALUE"""),"1288")</f>
        <v>1288</v>
      </c>
      <c r="B61" s="14" t="str">
        <f>IFERROR(__xludf.DUMMYFUNCTION("""COMPUTED_VALUE"""),"АИП-25")</f>
        <v>АИП-25</v>
      </c>
      <c r="C61" s="14" t="str">
        <f>IFERROR(__xludf.DUMMYFUNCTION("""COMPUTED_VALUE"""),"УДС")</f>
        <v>УДС</v>
      </c>
      <c r="D61" s="15"/>
      <c r="E61" s="14" t="str">
        <f>IFERROR(__xludf.DUMMYFUNCTION("""COMPUTED_VALUE"""),"Подземный коллектор для инженерных коммуникаций от подстанции ""Чухлинка"" Окская ул., 7 корпус 1")</f>
        <v>Подземный коллектор для инженерных коммуникаций от подстанции "Чухлинка" Окская ул., 7 корпус 1</v>
      </c>
      <c r="F61" s="25" t="str">
        <f>IFERROR(__xludf.DUMMYFUNCTION("""COMPUTED_VALUE"""),"#N/A")</f>
        <v>#N/A</v>
      </c>
      <c r="G61" s="6" t="str">
        <f>IFERROR(__xludf.DUMMYFUNCTION("""COMPUTED_VALUE"""),"#N/A")</f>
        <v>#N/A</v>
      </c>
      <c r="H61" s="18" t="str">
        <f>IFERROR(__xludf.DUMMYFUNCTION("""COMPUTED_VALUE"""),"https://docs.google.com/spreadsheets/d/1MW8OIVEKRJEaLcG-KS0zwZPEQ0eRUWE2y9Gj77rgoxo/edit?gid=1838546198#gid=1838546198")</f>
        <v>https://docs.google.com/spreadsheets/d/1MW8OIVEKRJEaLcG-KS0zwZPEQ0eRUWE2y9Gj77rgoxo/edit?gid=1838546198#gid=1838546198</v>
      </c>
      <c r="I61" s="6"/>
      <c r="J61" s="50">
        <f>IFERROR(__xludf.DUMMYFUNCTION("""COMPUTED_VALUE"""),90.0)</f>
        <v>90</v>
      </c>
      <c r="K61" s="58">
        <f>IFERROR(__xludf.DUMMYFUNCTION("""COMPUTED_VALUE"""),45954.0)</f>
        <v>45954</v>
      </c>
      <c r="L61" s="6">
        <v>14.0</v>
      </c>
      <c r="M61" s="52">
        <v>45968.0</v>
      </c>
      <c r="N61" s="53" t="s">
        <v>652</v>
      </c>
      <c r="O61" s="6" t="s">
        <v>705</v>
      </c>
      <c r="P61" s="37" t="s">
        <v>460</v>
      </c>
      <c r="Q61" s="6" t="str">
        <f t="shared" si="1"/>
        <v>#N/A</v>
      </c>
      <c r="R61" s="6"/>
    </row>
    <row r="62" hidden="1">
      <c r="A62" s="31" t="str">
        <f>IFERROR(__xludf.DUMMYFUNCTION("""COMPUTED_VALUE"""),"113д (сводный)")</f>
        <v>113д (сводный)</v>
      </c>
      <c r="B62" s="14" t="str">
        <f>IFERROR(__xludf.DUMMYFUNCTION("""COMPUTED_VALUE"""),"АИП-25")</f>
        <v>АИП-25</v>
      </c>
      <c r="C62" s="14" t="str">
        <f>IFERROR(__xludf.DUMMYFUNCTION("""COMPUTED_VALUE"""),"УДС")</f>
        <v>УДС</v>
      </c>
      <c r="D62" s="15"/>
      <c r="E62" s="14" t="str">
        <f>IFERROR(__xludf.DUMMYFUNCTION("""COMPUTED_VALUE"""),"ЮВХ-8. 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Этапы 2.3.2.2, 3.1 ")</f>
        <v>ЮВХ-8. 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Этапы 2.3.2.2, 3.1 </v>
      </c>
      <c r="F62" s="25" t="str">
        <f>IFERROR(__xludf.DUMMYFUNCTION("""COMPUTED_VALUE"""),"#N/A")</f>
        <v>#N/A</v>
      </c>
      <c r="G62" s="6" t="str">
        <f>IFERROR(__xludf.DUMMYFUNCTION("""COMPUTED_VALUE"""),"#N/A")</f>
        <v>#N/A</v>
      </c>
      <c r="H62" s="6"/>
      <c r="I62" s="6"/>
      <c r="J62" s="50"/>
      <c r="K62" s="58"/>
      <c r="L62" s="6">
        <v>30.0</v>
      </c>
      <c r="M62" s="52" t="s">
        <v>655</v>
      </c>
      <c r="N62" s="53" t="s">
        <v>698</v>
      </c>
      <c r="O62" s="6"/>
      <c r="P62" s="37" t="s">
        <v>498</v>
      </c>
      <c r="Q62" s="6" t="str">
        <f t="shared" si="1"/>
        <v>#N/A</v>
      </c>
      <c r="R62" s="6"/>
    </row>
    <row r="63" hidden="1">
      <c r="A63" s="31" t="str">
        <f>IFERROR(__xludf.DUMMYFUNCTION("""COMPUTED_VALUE"""),"113д (этап 2.3.2.2)")</f>
        <v>113д (этап 2.3.2.2)</v>
      </c>
      <c r="B63" s="14"/>
      <c r="C63" s="14" t="str">
        <f>IFERROR(__xludf.DUMMYFUNCTION("""COMPUTED_VALUE"""),"УДС")</f>
        <v>УДС</v>
      </c>
      <c r="D63" s="15"/>
      <c r="E63" s="14" t="str">
        <f>IFERROR(__xludf.DUMMYFUNCTION("""COMPUTED_VALUE"""),"ЮВХ-8.Строительство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2.3.2.2 от ул.Маршала Шестопалова до Павел"&amp;"ецкого направления Московской железной дороги (ЮАО)")</f>
        <v>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2.3.2.2 от ул.Маршала Шестопалова до Павелецкого направления Московской железной дороги (ЮАО)</v>
      </c>
      <c r="F63" s="25" t="str">
        <f>IFERROR(__xludf.DUMMYFUNCTION("""COMPUTED_VALUE"""),"#N/A")</f>
        <v>#N/A</v>
      </c>
      <c r="G63" s="6" t="str">
        <f>IFERROR(__xludf.DUMMYFUNCTION("""COMPUTED_VALUE"""),"#N/A")</f>
        <v>#N/A</v>
      </c>
      <c r="H63" s="6"/>
      <c r="I63" s="6"/>
      <c r="J63" s="50"/>
      <c r="K63" s="58"/>
      <c r="L63" s="6">
        <v>30.0</v>
      </c>
      <c r="M63" s="52" t="s">
        <v>655</v>
      </c>
      <c r="N63" s="53" t="s">
        <v>698</v>
      </c>
      <c r="O63" s="6"/>
      <c r="P63" s="37" t="s">
        <v>500</v>
      </c>
      <c r="Q63" s="6" t="str">
        <f t="shared" si="1"/>
        <v>#N/A</v>
      </c>
      <c r="R63" s="6"/>
    </row>
    <row r="64" hidden="1">
      <c r="A64" s="31" t="str">
        <f>IFERROR(__xludf.DUMMYFUNCTION("""COMPUTED_VALUE"""),"299д (этап 3.1)")</f>
        <v>299д (этап 3.1)</v>
      </c>
      <c r="B64" s="14"/>
      <c r="C64" s="14" t="str">
        <f>IFERROR(__xludf.DUMMYFUNCTION("""COMPUTED_VALUE"""),"УДС")</f>
        <v>УДС</v>
      </c>
      <c r="D64" s="15"/>
      <c r="E64" s="14" t="str">
        <f>IFERROR(__xludf.DUMMYFUNCTION("""COMPUTED_VALUE"""),"ЮВХ-8.Строительство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3.1. от ул.Маршала Шестопалова до Павелецк"&amp;"ого направления Московской железной дороги (ЮАО)")</f>
        <v>ЮВХ-8.Строительство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3.1. от ул.Маршала Шестопалова до Павелецкого направления Московской железной дороги (ЮАО)</v>
      </c>
      <c r="F64" s="25" t="str">
        <f>IFERROR(__xludf.DUMMYFUNCTION("""COMPUTED_VALUE"""),"#N/A")</f>
        <v>#N/A</v>
      </c>
      <c r="G64" s="6" t="str">
        <f>IFERROR(__xludf.DUMMYFUNCTION("""COMPUTED_VALUE"""),"#N/A")</f>
        <v>#N/A</v>
      </c>
      <c r="H64" s="6"/>
      <c r="I64" s="6"/>
      <c r="J64" s="50"/>
      <c r="K64" s="58"/>
      <c r="L64" s="6">
        <v>30.0</v>
      </c>
      <c r="M64" s="52" t="s">
        <v>655</v>
      </c>
      <c r="N64" s="53" t="s">
        <v>698</v>
      </c>
      <c r="O64" s="6"/>
      <c r="P64" s="37" t="s">
        <v>495</v>
      </c>
      <c r="Q64" s="6" t="str">
        <f t="shared" si="1"/>
        <v>#N/A</v>
      </c>
      <c r="R64" s="6"/>
    </row>
    <row r="65" hidden="1">
      <c r="A65" s="31" t="str">
        <f>IFERROR(__xludf.DUMMYFUNCTION("""COMPUTED_VALUE"""),"324д (сводный)")</f>
        <v>324д (сводный)</v>
      </c>
      <c r="B65" s="14" t="str">
        <f>IFERROR(__xludf.DUMMYFUNCTION("""COMPUTED_VALUE"""),"АИП-25")</f>
        <v>АИП-25</v>
      </c>
      <c r="C65" s="14" t="str">
        <f>IFERROR(__xludf.DUMMYFUNCTION("""COMPUTED_VALUE"""),"УДС")</f>
        <v>УДС</v>
      </c>
      <c r="D65" s="15"/>
      <c r="E65" s="14" t="str">
        <f>IFERROR(__xludf.DUMMYFUNCTION("""COMPUTED_VALUE"""),"ЮВХ-3.Участок от ул. Грайвороновская до Шоссейной ул., включая транспортную развязку на пересечении с Волгоградским проспектом. Этапы 1, 2, 3.2.2, 3.3.2, 4 ")</f>
        <v>ЮВХ-3.Участок от ул. Грайвороновская до Шоссейной ул., включая транспортную развязку на пересечении с Волгоградским проспектом. Этапы 1, 2, 3.2.2, 3.3.2, 4 </v>
      </c>
      <c r="F65" s="25" t="str">
        <f>IFERROR(__xludf.DUMMYFUNCTION("""COMPUTED_VALUE"""),"#N/A")</f>
        <v>#N/A</v>
      </c>
      <c r="G65" s="6" t="str">
        <f>IFERROR(__xludf.DUMMYFUNCTION("""COMPUTED_VALUE"""),"#N/A")</f>
        <v>#N/A</v>
      </c>
      <c r="H65" s="6"/>
      <c r="I65" s="6"/>
      <c r="J65" s="50"/>
      <c r="K65" s="58"/>
      <c r="L65" s="6">
        <v>30.0</v>
      </c>
      <c r="M65" s="52" t="s">
        <v>655</v>
      </c>
      <c r="N65" s="53" t="s">
        <v>698</v>
      </c>
      <c r="O65" s="6"/>
      <c r="P65" s="37" t="s">
        <v>432</v>
      </c>
      <c r="Q65" s="6" t="str">
        <f t="shared" si="1"/>
        <v>#N/A</v>
      </c>
      <c r="R65" s="6"/>
    </row>
    <row r="66" hidden="1">
      <c r="A66" s="31" t="str">
        <f>IFERROR(__xludf.DUMMYFUNCTION("""COMPUTED_VALUE"""),"324д (этап 1)")</f>
        <v>324д (этап 1)</v>
      </c>
      <c r="B66" s="14"/>
      <c r="C66" s="14" t="str">
        <f>IFERROR(__xludf.DUMMYFUNCTION("""COMPUTED_VALUE"""),"УДС")</f>
        <v>УДС</v>
      </c>
      <c r="D66" s="60"/>
      <c r="E66"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1 от ул.Грайворо"&amp;"новская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1 от ул.Грайвороновская до ул. Шоссейная (ЮВАО)</v>
      </c>
      <c r="F66" s="25" t="str">
        <f>IFERROR(__xludf.DUMMYFUNCTION("""COMPUTED_VALUE"""),"#N/A")</f>
        <v>#N/A</v>
      </c>
      <c r="G66" s="6" t="str">
        <f>IFERROR(__xludf.DUMMYFUNCTION("""COMPUTED_VALUE"""),"#N/A")</f>
        <v>#N/A</v>
      </c>
      <c r="H66" s="6"/>
      <c r="I66" s="6"/>
      <c r="J66" s="50">
        <f>IFERROR(__xludf.DUMMYFUNCTION("""COMPUTED_VALUE"""),100.0)</f>
        <v>100</v>
      </c>
      <c r="K66" s="58">
        <f>IFERROR(__xludf.DUMMYFUNCTION("""COMPUTED_VALUE"""),45961.0)</f>
        <v>45961</v>
      </c>
      <c r="L66" s="6" t="s">
        <v>654</v>
      </c>
      <c r="M66" s="52" t="s">
        <v>655</v>
      </c>
      <c r="N66" s="53" t="s">
        <v>656</v>
      </c>
      <c r="O66" s="6" t="s">
        <v>706</v>
      </c>
      <c r="P66" s="37" t="s">
        <v>428</v>
      </c>
      <c r="Q66" s="6" t="str">
        <f t="shared" si="1"/>
        <v>#N/A</v>
      </c>
      <c r="R66" s="6"/>
    </row>
    <row r="67" hidden="1">
      <c r="A67" s="31" t="str">
        <f>IFERROR(__xludf.DUMMYFUNCTION("""COMPUTED_VALUE"""),"324д (этап 2)")</f>
        <v>324д (этап 2)</v>
      </c>
      <c r="B67" s="14"/>
      <c r="C67" s="14" t="str">
        <f>IFERROR(__xludf.DUMMYFUNCTION("""COMPUTED_VALUE"""),"УДС")</f>
        <v>УДС</v>
      </c>
      <c r="D67" s="15"/>
      <c r="E67"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2 от ул.Грайвор"&amp;"оновская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2 от ул.Грайвороновская до ул. Шоссейная (ЮВАО)</v>
      </c>
      <c r="F67" s="25" t="str">
        <f>IFERROR(__xludf.DUMMYFUNCTION("""COMPUTED_VALUE"""),"#N/A")</f>
        <v>#N/A</v>
      </c>
      <c r="G67" s="6" t="str">
        <f>IFERROR(__xludf.DUMMYFUNCTION("""COMPUTED_VALUE"""),"#N/A")</f>
        <v>#N/A</v>
      </c>
      <c r="H67" s="6"/>
      <c r="I67" s="6"/>
      <c r="J67" s="50">
        <f>IFERROR(__xludf.DUMMYFUNCTION("""COMPUTED_VALUE"""),100.0)</f>
        <v>100</v>
      </c>
      <c r="K67" s="58">
        <f>IFERROR(__xludf.DUMMYFUNCTION("""COMPUTED_VALUE"""),45968.0)</f>
        <v>45968</v>
      </c>
      <c r="L67" s="6" t="s">
        <v>654</v>
      </c>
      <c r="M67" s="52" t="s">
        <v>655</v>
      </c>
      <c r="N67" s="53" t="s">
        <v>656</v>
      </c>
      <c r="O67" s="6" t="s">
        <v>707</v>
      </c>
      <c r="P67" s="37" t="s">
        <v>464</v>
      </c>
      <c r="Q67" s="6" t="str">
        <f t="shared" si="1"/>
        <v>#N/A</v>
      </c>
      <c r="R67" s="6"/>
    </row>
    <row r="68" hidden="1">
      <c r="A68" s="31" t="str">
        <f>IFERROR(__xludf.DUMMYFUNCTION("""COMPUTED_VALUE"""),"324д (этап 3.2.2)")</f>
        <v>324д (этап 3.2.2)</v>
      </c>
      <c r="B68" s="14"/>
      <c r="C68" s="14" t="str">
        <f>IFERROR(__xludf.DUMMYFUNCTION("""COMPUTED_VALUE"""),"УДС")</f>
        <v>УДС</v>
      </c>
      <c r="D68" s="15"/>
      <c r="E68"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3.2.2 от ул.Грай"&amp;"вороновская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3.2.2 от ул.Грайвороновская до ул. Шоссейная (ЮВАО)</v>
      </c>
      <c r="F68" s="25" t="str">
        <f>IFERROR(__xludf.DUMMYFUNCTION("""COMPUTED_VALUE"""),"#N/A")</f>
        <v>#N/A</v>
      </c>
      <c r="G68" s="6" t="str">
        <f>IFERROR(__xludf.DUMMYFUNCTION("""COMPUTED_VALUE"""),"#N/A")</f>
        <v>#N/A</v>
      </c>
      <c r="H68" s="6"/>
      <c r="I68" s="6"/>
      <c r="J68" s="50">
        <f>IFERROR(__xludf.DUMMYFUNCTION("""COMPUTED_VALUE"""),98.726)</f>
        <v>98.726</v>
      </c>
      <c r="K68" s="58">
        <f>IFERROR(__xludf.DUMMYFUNCTION("""COMPUTED_VALUE"""),45968.0)</f>
        <v>45968</v>
      </c>
      <c r="L68" s="6">
        <v>7.0</v>
      </c>
      <c r="M68" s="52">
        <v>45975.0</v>
      </c>
      <c r="N68" s="53" t="s">
        <v>701</v>
      </c>
      <c r="O68" s="6" t="s">
        <v>708</v>
      </c>
      <c r="P68" s="37" t="s">
        <v>455</v>
      </c>
      <c r="Q68" s="6" t="str">
        <f t="shared" si="1"/>
        <v>#N/A</v>
      </c>
      <c r="R68" s="6"/>
    </row>
    <row r="69" hidden="1">
      <c r="A69" s="31" t="str">
        <f>IFERROR(__xludf.DUMMYFUNCTION("""COMPUTED_VALUE"""),"324д (этап 3.3.2)")</f>
        <v>324д (этап 3.3.2)</v>
      </c>
      <c r="B69" s="14"/>
      <c r="C69" s="14" t="str">
        <f>IFERROR(__xludf.DUMMYFUNCTION("""COMPUTED_VALUE"""),"УДС")</f>
        <v>УДС</v>
      </c>
      <c r="D69" s="15"/>
      <c r="E69"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3.3.2 от ул.Грай"&amp;"вороновская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3.3.2 от ул.Грайвороновская до ул. Шоссейная (ЮВАО)</v>
      </c>
      <c r="F69" s="25" t="str">
        <f>IFERROR(__xludf.DUMMYFUNCTION("""COMPUTED_VALUE"""),"#N/A")</f>
        <v>#N/A</v>
      </c>
      <c r="G69" s="6" t="str">
        <f>IFERROR(__xludf.DUMMYFUNCTION("""COMPUTED_VALUE"""),"#N/A")</f>
        <v>#N/A</v>
      </c>
      <c r="H69" s="6"/>
      <c r="I69" s="6"/>
      <c r="J69" s="50">
        <f>IFERROR(__xludf.DUMMYFUNCTION("""COMPUTED_VALUE"""),92.28)</f>
        <v>92.28</v>
      </c>
      <c r="K69" s="58">
        <f>IFERROR(__xludf.DUMMYFUNCTION("""COMPUTED_VALUE"""),45968.0)</f>
        <v>45968</v>
      </c>
      <c r="L69" s="6">
        <v>14.0</v>
      </c>
      <c r="M69" s="52">
        <v>45982.0</v>
      </c>
      <c r="N69" s="53" t="s">
        <v>692</v>
      </c>
      <c r="O69" s="6" t="s">
        <v>709</v>
      </c>
      <c r="P69" s="37" t="s">
        <v>1468</v>
      </c>
      <c r="Q69" s="6" t="str">
        <f t="shared" si="1"/>
        <v>#N/A</v>
      </c>
      <c r="R69" s="6"/>
    </row>
    <row r="70" hidden="1">
      <c r="A70" s="31" t="str">
        <f>IFERROR(__xludf.DUMMYFUNCTION("""COMPUTED_VALUE"""),"324д (этап 4)")</f>
        <v>324д (этап 4)</v>
      </c>
      <c r="B70" s="14"/>
      <c r="C70" s="14" t="str">
        <f>IFERROR(__xludf.DUMMYFUNCTION("""COMPUTED_VALUE"""),"УДС")</f>
        <v>УДС</v>
      </c>
      <c r="D70" s="15"/>
      <c r="E70" s="14" t="str">
        <f>IFERROR(__xludf.DUMMYFUNCTION("""COMPUTED_VALUE"""),"ЮВХ-3.Строительство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4 от ул.Грайвор"&amp;"оновская до ул. Шоссейная (ЮВАО)")</f>
        <v>ЮВХ-3.Строительство улично-дорожной сети с искусственными сооружениями и переустройством инженерных коммуникаций на участке от ул.Грайвороновская до ул. Шоссейной, включая транспортную развязку на пересечении с Волгоградским пр-ктом. Этап  4 от ул.Грайвороновская до ул. Шоссейная (ЮВАО)</v>
      </c>
      <c r="F70" s="25" t="str">
        <f>IFERROR(__xludf.DUMMYFUNCTION("""COMPUTED_VALUE"""),"#N/A")</f>
        <v>#N/A</v>
      </c>
      <c r="G70" s="6" t="str">
        <f>IFERROR(__xludf.DUMMYFUNCTION("""COMPUTED_VALUE"""),"#N/A")</f>
        <v>#N/A</v>
      </c>
      <c r="H70" s="6"/>
      <c r="I70" s="6"/>
      <c r="J70" s="50">
        <f>IFERROR(__xludf.DUMMYFUNCTION("""COMPUTED_VALUE"""),100.0)</f>
        <v>100</v>
      </c>
      <c r="K70" s="58">
        <f>IFERROR(__xludf.DUMMYFUNCTION("""COMPUTED_VALUE"""),45961.0)</f>
        <v>45961</v>
      </c>
      <c r="L70" s="6" t="s">
        <v>654</v>
      </c>
      <c r="M70" s="52" t="s">
        <v>655</v>
      </c>
      <c r="N70" s="53" t="s">
        <v>656</v>
      </c>
      <c r="O70" s="6" t="s">
        <v>710</v>
      </c>
      <c r="P70" s="37" t="s">
        <v>468</v>
      </c>
      <c r="Q70" s="6" t="str">
        <f t="shared" si="1"/>
        <v>#N/A</v>
      </c>
      <c r="R70" s="6"/>
    </row>
    <row r="71" hidden="1">
      <c r="A71" s="31" t="str">
        <f>IFERROR(__xludf.DUMMYFUNCTION("""COMPUTED_VALUE"""),"240д")</f>
        <v>240д</v>
      </c>
      <c r="B71" s="14" t="str">
        <f>IFERROR(__xludf.DUMMYFUNCTION("""COMPUTED_VALUE"""),"АИП-25")</f>
        <v>АИП-25</v>
      </c>
      <c r="C71" s="14" t="str">
        <f>IFERROR(__xludf.DUMMYFUNCTION("""COMPUTED_VALUE"""),"УДС")</f>
        <v>УДС</v>
      </c>
      <c r="D71" s="15"/>
      <c r="E71" s="14" t="str">
        <f>IFERROR(__xludf.DUMMYFUNCTION("""COMPUTED_VALUE"""),"«Реконструкция Карамышевской набережной. 2 этап. ""Улично­дорожная сеть Карамышевской наб. от ул. Саляма Адиля до ул. Народного Ополчения, ул. Саляма Адиля и участок просп. Маршала Жукова (дублер)""» Карамышевская наб. от ул. Саляма Адиля до ул. Народного"&amp;" Ополчения")</f>
        <v>«Реконструкция Карамышевской набережной. 2 этап. "Улично­дорожная сеть Карамышевской наб. от ул. Саляма Адиля до ул. Народного Ополчения, ул. Саляма Адиля и участок просп. Маршала Жукова (дублер)"» Карамышевская наб. от ул. Саляма Адиля до ул. Народного Ополчения</v>
      </c>
      <c r="F71" s="25" t="str">
        <f>IFERROR(__xludf.DUMMYFUNCTION("""COMPUTED_VALUE"""),"#N/A")</f>
        <v>#N/A</v>
      </c>
      <c r="G71" s="6" t="str">
        <f>IFERROR(__xludf.DUMMYFUNCTION("""COMPUTED_VALUE"""),"#N/A")</f>
        <v>#N/A</v>
      </c>
      <c r="H71" s="6"/>
      <c r="I71" s="6"/>
      <c r="J71" s="50">
        <f>IFERROR(__xludf.DUMMYFUNCTION("""COMPUTED_VALUE"""),99.0)</f>
        <v>99</v>
      </c>
      <c r="K71" s="58">
        <f>IFERROR(__xludf.DUMMYFUNCTION("""COMPUTED_VALUE"""),45974.0)</f>
        <v>45974</v>
      </c>
      <c r="L71" s="6">
        <v>7.0</v>
      </c>
      <c r="M71" s="52">
        <v>45981.0</v>
      </c>
      <c r="N71" s="53" t="s">
        <v>711</v>
      </c>
      <c r="O71" s="6" t="s">
        <v>712</v>
      </c>
      <c r="P71" s="37" t="s">
        <v>342</v>
      </c>
      <c r="Q71" s="6" t="str">
        <f t="shared" si="1"/>
        <v>#N/A</v>
      </c>
      <c r="R71" s="6"/>
    </row>
    <row r="72" hidden="1">
      <c r="A72" s="31" t="str">
        <f>IFERROR(__xludf.DUMMYFUNCTION("""COMPUTED_VALUE"""),"167д")</f>
        <v>167д</v>
      </c>
      <c r="B72" s="14" t="str">
        <f>IFERROR(__xludf.DUMMYFUNCTION("""COMPUTED_VALUE"""),"АИП-25")</f>
        <v>АИП-25</v>
      </c>
      <c r="C72" s="14" t="str">
        <f>IFERROR(__xludf.DUMMYFUNCTION("""COMPUTED_VALUE"""),"УДС")</f>
        <v>УДС</v>
      </c>
      <c r="D72" s="15"/>
      <c r="E72" s="14" t="str">
        <f>IFERROR(__xludf.DUMMYFUNCTION("""COMPUTED_VALUE"""),"ЮВХ-6. этап 2.2. Строительство транспортной развязки на Каширском шоссе. (Открытие движения по эстакаде со съездом с МСД на Каширское шоссе в сторону МКАД) Пересечение МСД и Каширского ш.")</f>
        <v>ЮВХ-6. этап 2.2. Строительство транспортной развязки на Каширском шоссе. (Открытие движения по эстакаде со съездом с МСД на Каширское шоссе в сторону МКАД) Пересечение МСД и Каширского ш.</v>
      </c>
      <c r="F72" s="25" t="str">
        <f>IFERROR(__xludf.DUMMYFUNCTION("""COMPUTED_VALUE"""),"#N/A")</f>
        <v>#N/A</v>
      </c>
      <c r="G72" s="6" t="str">
        <f>IFERROR(__xludf.DUMMYFUNCTION("""COMPUTED_VALUE"""),"#N/A")</f>
        <v>#N/A</v>
      </c>
      <c r="H72" s="6"/>
      <c r="I72" s="6"/>
      <c r="J72" s="50">
        <f>IFERROR(__xludf.DUMMYFUNCTION("""COMPUTED_VALUE"""),70.10685840707964)</f>
        <v>70.10685841</v>
      </c>
      <c r="K72" s="58">
        <f>IFERROR(__xludf.DUMMYFUNCTION("""COMPUTED_VALUE"""),45975.0)</f>
        <v>45975</v>
      </c>
      <c r="L72" s="6">
        <v>14.0</v>
      </c>
      <c r="M72" s="52">
        <v>45989.0</v>
      </c>
      <c r="N72" s="53" t="s">
        <v>711</v>
      </c>
      <c r="O72" s="6" t="s">
        <v>713</v>
      </c>
      <c r="P72" s="37" t="s">
        <v>488</v>
      </c>
      <c r="Q72" s="6" t="str">
        <f t="shared" si="1"/>
        <v>#N/A</v>
      </c>
      <c r="R72" s="6"/>
    </row>
    <row r="73" hidden="1">
      <c r="A73" s="31" t="str">
        <f>IFERROR(__xludf.DUMMYFUNCTION("""COMPUTED_VALUE"""),"305д (сводный)")</f>
        <v>305д (сводный)</v>
      </c>
      <c r="B73" s="14" t="str">
        <f>IFERROR(__xludf.DUMMYFUNCTION("""COMPUTED_VALUE"""),"АИП-25")</f>
        <v>АИП-25</v>
      </c>
      <c r="C73" s="14" t="str">
        <f>IFERROR(__xludf.DUMMYFUNCTION("""COMPUTED_VALUE"""),"УДС")</f>
        <v>УДС</v>
      </c>
      <c r="D73" s="15"/>
      <c r="E73"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3.2.2, 3.2.3, 2.3.3 (ОС)"" ")</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3.2.2, 3.2.3, 2.3.3 (ОС)" </v>
      </c>
      <c r="F73" s="25" t="str">
        <f>IFERROR(__xludf.DUMMYFUNCTION("""COMPUTED_VALUE"""),"#N/A")</f>
        <v>#N/A</v>
      </c>
      <c r="G73" s="6" t="str">
        <f>IFERROR(__xludf.DUMMYFUNCTION("""COMPUTED_VALUE"""),"#N/A")</f>
        <v>#N/A</v>
      </c>
      <c r="H73" s="6"/>
      <c r="I73" s="6"/>
      <c r="J73" s="50"/>
      <c r="K73" s="58"/>
      <c r="L73" s="6">
        <v>30.0</v>
      </c>
      <c r="M73" s="52" t="s">
        <v>655</v>
      </c>
      <c r="N73" s="53" t="s">
        <v>698</v>
      </c>
      <c r="O73" s="6"/>
      <c r="P73" s="37" t="s">
        <v>489</v>
      </c>
      <c r="Q73" s="6" t="str">
        <f t="shared" si="1"/>
        <v>#N/A</v>
      </c>
      <c r="R73" s="6"/>
    </row>
    <row r="74" hidden="1">
      <c r="A74" s="31" t="str">
        <f>IFERROR(__xludf.DUMMYFUNCTION("""COMPUTED_VALUE"""),"305д (этап 3.2.1)")</f>
        <v>305д (этап 3.2.1)</v>
      </c>
      <c r="B74" s="14"/>
      <c r="C74" s="14" t="str">
        <f>IFERROR(__xludf.DUMMYFUNCTION("""COMPUTED_VALUE"""),"УДС")</f>
        <v>УДС</v>
      </c>
      <c r="D74" s="15"/>
      <c r="E74"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3.2.1 от ул.Маршала Шестопалова до Павелецкого направления Московской железной дороги (ЮАО)</v>
      </c>
      <c r="F74" s="25" t="str">
        <f>IFERROR(__xludf.DUMMYFUNCTION("""COMPUTED_VALUE"""),"#N/A")</f>
        <v>#N/A</v>
      </c>
      <c r="G74" s="6" t="str">
        <f>IFERROR(__xludf.DUMMYFUNCTION("""COMPUTED_VALUE"""),"#N/A")</f>
        <v>#N/A</v>
      </c>
      <c r="H74" s="6"/>
      <c r="I74" s="6"/>
      <c r="J74" s="50"/>
      <c r="K74" s="58"/>
      <c r="L74" s="6">
        <v>30.0</v>
      </c>
      <c r="M74" s="52" t="s">
        <v>655</v>
      </c>
      <c r="N74" s="53" t="s">
        <v>698</v>
      </c>
      <c r="O74" s="6" t="s">
        <v>714</v>
      </c>
      <c r="P74" s="37" t="s">
        <v>477</v>
      </c>
      <c r="Q74" s="6" t="str">
        <f t="shared" si="1"/>
        <v>#N/A</v>
      </c>
      <c r="R74" s="6"/>
    </row>
    <row r="75" hidden="1">
      <c r="A75" s="31" t="str">
        <f>IFERROR(__xludf.DUMMYFUNCTION("""COMPUTED_VALUE"""),"305д (этап 3.2.2)")</f>
        <v>305д (этап 3.2.2)</v>
      </c>
      <c r="B75" s="14"/>
      <c r="C75" s="14" t="str">
        <f>IFERROR(__xludf.DUMMYFUNCTION("""COMPUTED_VALUE"""),"УДС")</f>
        <v>УДС</v>
      </c>
      <c r="D75" s="15"/>
      <c r="E75"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3.2.2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3.2.2 от ул.Маршала Шестопалова до Павелецкого направления Московской железной дороги (ЮАО)</v>
      </c>
      <c r="F75" s="25" t="str">
        <f>IFERROR(__xludf.DUMMYFUNCTION("""COMPUTED_VALUE"""),"#N/A")</f>
        <v>#N/A</v>
      </c>
      <c r="G75" s="6" t="str">
        <f>IFERROR(__xludf.DUMMYFUNCTION("""COMPUTED_VALUE"""),"#N/A")</f>
        <v>#N/A</v>
      </c>
      <c r="H75" s="6"/>
      <c r="I75" s="6"/>
      <c r="J75" s="50"/>
      <c r="K75" s="58"/>
      <c r="L75" s="6">
        <v>30.0</v>
      </c>
      <c r="M75" s="52" t="s">
        <v>655</v>
      </c>
      <c r="N75" s="53" t="s">
        <v>698</v>
      </c>
      <c r="O75" s="6" t="s">
        <v>715</v>
      </c>
      <c r="P75" s="37" t="s">
        <v>486</v>
      </c>
      <c r="Q75" s="6" t="str">
        <f t="shared" si="1"/>
        <v>#N/A</v>
      </c>
      <c r="R75" s="6"/>
    </row>
    <row r="76" hidden="1">
      <c r="A76" s="31" t="str">
        <f>IFERROR(__xludf.DUMMYFUNCTION("""COMPUTED_VALUE"""),"371д (этап 3.2.3)")</f>
        <v>371д (этап 3.2.3)</v>
      </c>
      <c r="B76" s="14"/>
      <c r="C76" s="14" t="str">
        <f>IFERROR(__xludf.DUMMYFUNCTION("""COMPUTED_VALUE"""),"УДС")</f>
        <v>УДС</v>
      </c>
      <c r="D76" s="15"/>
      <c r="E7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3.2.3 от ул.Маршала Шестопалова до Павелецкого н"&amp;"аправления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3.2.3 от ул.Маршала Шестопалова до Павелецкого направления Московской железной дороги (ЮАО)</v>
      </c>
      <c r="F76" s="25" t="str">
        <f>IFERROR(__xludf.DUMMYFUNCTION("""COMPUTED_VALUE"""),"#N/A")</f>
        <v>#N/A</v>
      </c>
      <c r="G76" s="6" t="str">
        <f>IFERROR(__xludf.DUMMYFUNCTION("""COMPUTED_VALUE"""),"#N/A")</f>
        <v>#N/A</v>
      </c>
      <c r="H76" s="6"/>
      <c r="I76" s="6"/>
      <c r="J76" s="50"/>
      <c r="K76" s="58"/>
      <c r="L76" s="6">
        <v>30.0</v>
      </c>
      <c r="M76" s="52" t="s">
        <v>655</v>
      </c>
      <c r="N76" s="53" t="s">
        <v>698</v>
      </c>
      <c r="O76" s="6" t="s">
        <v>716</v>
      </c>
      <c r="P76" s="37" t="s">
        <v>476</v>
      </c>
      <c r="Q76" s="6" t="str">
        <f t="shared" si="1"/>
        <v>#N/A</v>
      </c>
      <c r="R76" s="6"/>
    </row>
    <row r="77" hidden="1">
      <c r="A77" s="31" t="str">
        <f>IFERROR(__xludf.DUMMYFUNCTION("""COMPUTED_VALUE"""),"371д (этап 2.3.3)")</f>
        <v>371д (этап 2.3.3)</v>
      </c>
      <c r="B77" s="14"/>
      <c r="C77" s="14" t="str">
        <f>IFERROR(__xludf.DUMMYFUNCTION("""COMPUTED_VALUE"""),"УДС")</f>
        <v>УДС</v>
      </c>
      <c r="D77" s="15"/>
      <c r="E77"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2.3.3 (ОС) от ул.Маршала Шестопалова до Павелецк"&amp;"ого направления Московской железной дороги (ЮАО)")</f>
        <v>Строительство улично-дорожной сети с искусственными сооружениями и переустройством инженерных коммуникаций на участке от ул. Маршала Шестопалова до Павелецкого направления Московской железной дороги. 
 Этап 2.3.3 (ОС) от ул.Маршала Шестопалова до Павелецкого направления Московской железной дороги (ЮАО)</v>
      </c>
      <c r="F77" s="25" t="str">
        <f>IFERROR(__xludf.DUMMYFUNCTION("""COMPUTED_VALUE"""),"#N/A")</f>
        <v>#N/A</v>
      </c>
      <c r="G77" s="6" t="str">
        <f>IFERROR(__xludf.DUMMYFUNCTION("""COMPUTED_VALUE"""),"#N/A")</f>
        <v>#N/A</v>
      </c>
      <c r="H77" s="6"/>
      <c r="I77" s="6"/>
      <c r="J77" s="50"/>
      <c r="K77" s="58"/>
      <c r="L77" s="6">
        <v>30.0</v>
      </c>
      <c r="M77" s="52" t="s">
        <v>655</v>
      </c>
      <c r="N77" s="53" t="s">
        <v>698</v>
      </c>
      <c r="O77" s="6" t="s">
        <v>717</v>
      </c>
      <c r="P77" s="37" t="s">
        <v>484</v>
      </c>
      <c r="Q77" s="6" t="str">
        <f t="shared" si="1"/>
        <v>#N/A</v>
      </c>
      <c r="R77" s="6"/>
    </row>
    <row r="78" hidden="1">
      <c r="A78" s="31" t="str">
        <f>IFERROR(__xludf.DUMMYFUNCTION("""COMPUTED_VALUE"""),"294д (этап 3.2.1)")</f>
        <v>294д (этап 3.2.1)</v>
      </c>
      <c r="B78" s="14" t="str">
        <f>IFERROR(__xludf.DUMMYFUNCTION("""COMPUTED_VALUE"""),"АИП-25")</f>
        <v>АИП-25</v>
      </c>
      <c r="C78" s="14" t="str">
        <f>IFERROR(__xludf.DUMMYFUNCTION("""COMPUTED_VALUE"""),"УДС")</f>
        <v>УДС</v>
      </c>
      <c r="D78" s="15"/>
      <c r="E78"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3.2.1 участок от МКАД до автомобильной дороги ""Солнцев"&amp;"о-Бутово-Варшавское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3.2.1 участок от МКАД до автомобильной дороги "Солнцево-Бутово-Варшавское шоссе" (ЮЗАО, ЮАО, М.О.)</v>
      </c>
      <c r="F78" s="25" t="str">
        <f>IFERROR(__xludf.DUMMYFUNCTION("""COMPUTED_VALUE"""),"#N/A")</f>
        <v>#N/A</v>
      </c>
      <c r="G78" s="6" t="str">
        <f>IFERROR(__xludf.DUMMYFUNCTION("""COMPUTED_VALUE"""),"#N/A")</f>
        <v>#N/A</v>
      </c>
      <c r="H78" s="6"/>
      <c r="I78" s="6"/>
      <c r="J78" s="50">
        <f>IFERROR(__xludf.DUMMYFUNCTION("""COMPUTED_VALUE"""),100.0)</f>
        <v>100</v>
      </c>
      <c r="K78" s="58">
        <f>IFERROR(__xludf.DUMMYFUNCTION("""COMPUTED_VALUE"""),45975.0)</f>
        <v>45975</v>
      </c>
      <c r="L78" s="6" t="s">
        <v>654</v>
      </c>
      <c r="M78" s="52" t="s">
        <v>655</v>
      </c>
      <c r="N78" s="53" t="s">
        <v>656</v>
      </c>
      <c r="O78" s="6"/>
      <c r="P78" s="37" t="s">
        <v>482</v>
      </c>
      <c r="Q78" s="6" t="str">
        <f t="shared" si="1"/>
        <v>#N/A</v>
      </c>
      <c r="R78" s="6"/>
    </row>
    <row r="79" hidden="1">
      <c r="A79" s="31" t="str">
        <f>IFERROR(__xludf.DUMMYFUNCTION("""COMPUTED_VALUE"""),"294д (этап 3.3.3.2.2)")</f>
        <v>294д (этап 3.3.3.2.2)</v>
      </c>
      <c r="B79" s="14" t="str">
        <f>IFERROR(__xludf.DUMMYFUNCTION("""COMPUTED_VALUE"""),"АИП-25")</f>
        <v>АИП-25</v>
      </c>
      <c r="C79" s="14" t="str">
        <f>IFERROR(__xludf.DUMMYFUNCTION("""COMPUTED_VALUE"""),"УДС")</f>
        <v>УДС</v>
      </c>
      <c r="D79" s="15"/>
      <c r="E79"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3.3.3.2.2 участок от МКАД до автомобильной дороги ""Сол"&amp;"нцево-Бутово-Варшавское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3.3.3.2.2 участок от МКАД до автомобильной дороги "Солнцево-Бутово-Варшавское шоссе" (ЮЗАО, ЮАО, М.О.)</v>
      </c>
      <c r="F79" s="25" t="str">
        <f>IFERROR(__xludf.DUMMYFUNCTION("""COMPUTED_VALUE"""),"#N/A")</f>
        <v>#N/A</v>
      </c>
      <c r="G79" s="6" t="str">
        <f>IFERROR(__xludf.DUMMYFUNCTION("""COMPUTED_VALUE"""),"#N/A")</f>
        <v>#N/A</v>
      </c>
      <c r="H79" s="6"/>
      <c r="I79" s="6"/>
      <c r="J79" s="50">
        <f>IFERROR(__xludf.DUMMYFUNCTION("""COMPUTED_VALUE"""),100.0)</f>
        <v>100</v>
      </c>
      <c r="K79" s="58">
        <f>IFERROR(__xludf.DUMMYFUNCTION("""COMPUTED_VALUE"""),45975.0)</f>
        <v>45975</v>
      </c>
      <c r="L79" s="6" t="s">
        <v>654</v>
      </c>
      <c r="M79" s="52" t="s">
        <v>655</v>
      </c>
      <c r="N79" s="53" t="s">
        <v>656</v>
      </c>
      <c r="O79" s="6"/>
      <c r="P79" s="37" t="s">
        <v>480</v>
      </c>
      <c r="Q79" s="6" t="str">
        <f t="shared" si="1"/>
        <v>#N/A</v>
      </c>
      <c r="R79" s="6"/>
    </row>
    <row r="80" hidden="1">
      <c r="A80" s="31" t="str">
        <f>IFERROR(__xludf.DUMMYFUNCTION("""COMPUTED_VALUE"""),"294д (сводный)")</f>
        <v>294д (сводный)</v>
      </c>
      <c r="B80" s="14" t="str">
        <f>IFERROR(__xludf.DUMMYFUNCTION("""COMPUTED_VALUE"""),"АИП-25")</f>
        <v>АИП-25</v>
      </c>
      <c r="C80" s="14" t="str">
        <f>IFERROR(__xludf.DUMMYFUNCTION("""COMPUTED_VALUE"""),"УДС")</f>
        <v>УДС</v>
      </c>
      <c r="D80" s="15"/>
      <c r="E80" s="14" t="str">
        <f>IFERROR(__xludf.DUMMYFUNCTION("""COMPUTED_VALUE"""),"ЮВХ-10. Участок от МКАД до а/д дороги «Солнцево-Бутово-Варшавское ш.» 
Этапы 3.2.1, 3.2.2, 3.3.3.2.2, 3.3.5, 3.3.2.3, 3.3.3.3, 3.3.3.4 ")</f>
        <v>ЮВХ-10. Участок от МКАД до а/д дороги «Солнцево-Бутово-Варшавское ш.» 
Этапы 3.2.1, 3.2.2, 3.3.3.2.2, 3.3.5, 3.3.2.3, 3.3.3.3, 3.3.3.4 </v>
      </c>
      <c r="F80" s="25" t="str">
        <f>IFERROR(__xludf.DUMMYFUNCTION("""COMPUTED_VALUE"""),"#N/A")</f>
        <v>#N/A</v>
      </c>
      <c r="G80" s="6" t="str">
        <f>IFERROR(__xludf.DUMMYFUNCTION("""COMPUTED_VALUE"""),"#N/A")</f>
        <v>#N/A</v>
      </c>
      <c r="H80" s="6"/>
      <c r="I80" s="6"/>
      <c r="J80" s="50"/>
      <c r="K80" s="58"/>
      <c r="L80" s="6">
        <v>30.0</v>
      </c>
      <c r="M80" s="52" t="s">
        <v>655</v>
      </c>
      <c r="N80" s="53" t="s">
        <v>698</v>
      </c>
      <c r="O80" s="6"/>
      <c r="P80" s="37" t="s">
        <v>481</v>
      </c>
      <c r="Q80" s="6" t="str">
        <f t="shared" si="1"/>
        <v>#N/A</v>
      </c>
      <c r="R80" s="6"/>
    </row>
    <row r="81" hidden="1">
      <c r="A81" s="31" t="str">
        <f>IFERROR(__xludf.DUMMYFUNCTION("""COMPUTED_VALUE"""),"294д (этап 3.3.5)")</f>
        <v>294д (этап 3.3.5)</v>
      </c>
      <c r="B81" s="14" t="str">
        <f>IFERROR(__xludf.DUMMYFUNCTION("""COMPUTED_VALUE"""),"АИП-25")</f>
        <v>АИП-25</v>
      </c>
      <c r="C81" s="14" t="str">
        <f>IFERROR(__xludf.DUMMYFUNCTION("""COMPUTED_VALUE"""),"УДС")</f>
        <v>УДС</v>
      </c>
      <c r="D81" s="15"/>
      <c r="E81"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3.3.5 участок от МКАД до автомобильной дороги ""Солнце"&amp;"во-Бутово-Варшавское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3.3.5 участок от МКАД до автомобильной дороги "Солнцево-Бутово-Варшавское шоссе" (ЮЗАО, ЮАО, М.О.)</v>
      </c>
      <c r="F81" s="25" t="str">
        <f>IFERROR(__xludf.DUMMYFUNCTION("""COMPUTED_VALUE"""),"#N/A")</f>
        <v>#N/A</v>
      </c>
      <c r="G81" s="6" t="str">
        <f>IFERROR(__xludf.DUMMYFUNCTION("""COMPUTED_VALUE"""),"#N/A")</f>
        <v>#N/A</v>
      </c>
      <c r="H81" s="6"/>
      <c r="I81" s="6"/>
      <c r="J81" s="50">
        <f>IFERROR(__xludf.DUMMYFUNCTION("""COMPUTED_VALUE"""),87.258584)</f>
        <v>87.258584</v>
      </c>
      <c r="K81" s="58">
        <f>IFERROR(__xludf.DUMMYFUNCTION("""COMPUTED_VALUE"""),45975.0)</f>
        <v>45975</v>
      </c>
      <c r="L81" s="6">
        <v>14.0</v>
      </c>
      <c r="M81" s="52">
        <v>45989.0</v>
      </c>
      <c r="N81" s="53" t="s">
        <v>711</v>
      </c>
      <c r="O81" s="6"/>
      <c r="P81" s="37" t="s">
        <v>479</v>
      </c>
      <c r="Q81" s="6" t="str">
        <f t="shared" si="1"/>
        <v>#N/A</v>
      </c>
      <c r="R81" s="6"/>
    </row>
    <row r="82" hidden="1">
      <c r="A82" s="31" t="str">
        <f>IFERROR(__xludf.DUMMYFUNCTION("""COMPUTED_VALUE"""),"294д (этап 3.2.2)")</f>
        <v>294д (этап 3.2.2)</v>
      </c>
      <c r="B82" s="14" t="str">
        <f>IFERROR(__xludf.DUMMYFUNCTION("""COMPUTED_VALUE"""),"АИП-25")</f>
        <v>АИП-25</v>
      </c>
      <c r="C82" s="14" t="str">
        <f>IFERROR(__xludf.DUMMYFUNCTION("""COMPUTED_VALUE"""),"УДС")</f>
        <v>УДС</v>
      </c>
      <c r="D82" s="15"/>
      <c r="E82"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3.2.2 участок от МКАД до автомобильной дороги ""Солнцев"&amp;"о-Бутово-Варшавское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3.2.2 участок от МКАД до автомобильной дороги "Солнцево-Бутово-Варшавское шоссе" (ЮЗАО, ЮАО, М.О.)</v>
      </c>
      <c r="F82" s="25" t="str">
        <f>IFERROR(__xludf.DUMMYFUNCTION("""COMPUTED_VALUE"""),"#N/A")</f>
        <v>#N/A</v>
      </c>
      <c r="G82" s="6" t="str">
        <f>IFERROR(__xludf.DUMMYFUNCTION("""COMPUTED_VALUE"""),"#N/A")</f>
        <v>#N/A</v>
      </c>
      <c r="H82" s="6"/>
      <c r="I82" s="6"/>
      <c r="J82" s="50">
        <f>IFERROR(__xludf.DUMMYFUNCTION("""COMPUTED_VALUE"""),85.0)</f>
        <v>85</v>
      </c>
      <c r="K82" s="58">
        <f>IFERROR(__xludf.DUMMYFUNCTION("""COMPUTED_VALUE"""),45975.0)</f>
        <v>45975</v>
      </c>
      <c r="L82" s="6">
        <v>14.0</v>
      </c>
      <c r="M82" s="52">
        <v>45989.0</v>
      </c>
      <c r="N82" s="53" t="s">
        <v>711</v>
      </c>
      <c r="O82" s="6"/>
      <c r="P82" s="37" t="s">
        <v>514</v>
      </c>
      <c r="Q82" s="6" t="str">
        <f t="shared" si="1"/>
        <v>#N/A</v>
      </c>
      <c r="R82" s="6"/>
    </row>
    <row r="83" hidden="1">
      <c r="A83" s="31" t="str">
        <f>IFERROR(__xludf.DUMMYFUNCTION("""COMPUTED_VALUE"""),"294д (этап 3.3.2.3)")</f>
        <v>294д (этап 3.3.2.3)</v>
      </c>
      <c r="B83" s="14" t="str">
        <f>IFERROR(__xludf.DUMMYFUNCTION("""COMPUTED_VALUE"""),"АИП-25")</f>
        <v>АИП-25</v>
      </c>
      <c r="C83" s="14" t="str">
        <f>IFERROR(__xludf.DUMMYFUNCTION("""COMPUTED_VALUE"""),"УДС")</f>
        <v>УДС</v>
      </c>
      <c r="D83" s="15"/>
      <c r="E83"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3.3.2.3 участок от МКАД до автомобильной дороги ""Солнц"&amp;"ево-Бутово-Варшавское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3.3.2.3 участок от МКАД до автомобильной дороги "Солнцево-Бутово-Варшавское шоссе" (ЮЗАО, ЮАО, М.О.)</v>
      </c>
      <c r="F83" s="25" t="str">
        <f>IFERROR(__xludf.DUMMYFUNCTION("""COMPUTED_VALUE"""),"#N/A")</f>
        <v>#N/A</v>
      </c>
      <c r="G83" s="6" t="str">
        <f>IFERROR(__xludf.DUMMYFUNCTION("""COMPUTED_VALUE"""),"#N/A")</f>
        <v>#N/A</v>
      </c>
      <c r="H83" s="6"/>
      <c r="I83" s="6"/>
      <c r="J83" s="50">
        <f>IFERROR(__xludf.DUMMYFUNCTION("""COMPUTED_VALUE"""),88.293)</f>
        <v>88.293</v>
      </c>
      <c r="K83" s="58">
        <f>IFERROR(__xludf.DUMMYFUNCTION("""COMPUTED_VALUE"""),45975.0)</f>
        <v>45975</v>
      </c>
      <c r="L83" s="6">
        <v>14.0</v>
      </c>
      <c r="M83" s="52">
        <v>45989.0</v>
      </c>
      <c r="N83" s="53" t="s">
        <v>711</v>
      </c>
      <c r="O83" s="6"/>
      <c r="P83" s="37" t="s">
        <v>511</v>
      </c>
      <c r="Q83" s="6" t="str">
        <f t="shared" si="1"/>
        <v>#N/A</v>
      </c>
      <c r="R83" s="6"/>
    </row>
    <row r="84" hidden="1">
      <c r="A84" s="31" t="str">
        <f>IFERROR(__xludf.DUMMYFUNCTION("""COMPUTED_VALUE"""),"294д (этап 3.3.3.3)")</f>
        <v>294д (этап 3.3.3.3)</v>
      </c>
      <c r="B84" s="14" t="str">
        <f>IFERROR(__xludf.DUMMYFUNCTION("""COMPUTED_VALUE"""),"АИП-25")</f>
        <v>АИП-25</v>
      </c>
      <c r="C84" s="14" t="str">
        <f>IFERROR(__xludf.DUMMYFUNCTION("""COMPUTED_VALUE"""),"УДС")</f>
        <v>УДС</v>
      </c>
      <c r="D84" s="15"/>
      <c r="E84"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3.3.3.3 участок от МКАД до автомобильной дороги ""Солнц"&amp;"ево-Бутово-Варшавское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3.3.3.3 участок от МКАД до автомобильной дороги "Солнцево-Бутово-Варшавское шоссе" (ЮЗАО, ЮАО, М.О.)</v>
      </c>
      <c r="F84" s="25" t="str">
        <f>IFERROR(__xludf.DUMMYFUNCTION("""COMPUTED_VALUE"""),"#N/A")</f>
        <v>#N/A</v>
      </c>
      <c r="G84" s="6" t="str">
        <f>IFERROR(__xludf.DUMMYFUNCTION("""COMPUTED_VALUE"""),"#N/A")</f>
        <v>#N/A</v>
      </c>
      <c r="H84" s="6"/>
      <c r="I84" s="6"/>
      <c r="J84" s="50">
        <f>IFERROR(__xludf.DUMMYFUNCTION("""COMPUTED_VALUE"""),66.22125)</f>
        <v>66.22125</v>
      </c>
      <c r="K84" s="58">
        <f>IFERROR(__xludf.DUMMYFUNCTION("""COMPUTED_VALUE"""),45975.0)</f>
        <v>45975</v>
      </c>
      <c r="L84" s="6">
        <v>14.0</v>
      </c>
      <c r="M84" s="52">
        <v>45989.0</v>
      </c>
      <c r="N84" s="53" t="s">
        <v>711</v>
      </c>
      <c r="O84" s="6"/>
      <c r="P84" s="37" t="s">
        <v>512</v>
      </c>
      <c r="Q84" s="6" t="str">
        <f t="shared" si="1"/>
        <v>#N/A</v>
      </c>
      <c r="R84" s="6"/>
    </row>
    <row r="85" hidden="1">
      <c r="A85" s="31" t="str">
        <f>IFERROR(__xludf.DUMMYFUNCTION("""COMPUTED_VALUE"""),"294д (этап 3.3.3.4)")</f>
        <v>294д (этап 3.3.3.4)</v>
      </c>
      <c r="B85" s="14" t="str">
        <f>IFERROR(__xludf.DUMMYFUNCTION("""COMPUTED_VALUE"""),"АИП-25")</f>
        <v>АИП-25</v>
      </c>
      <c r="C85" s="14" t="str">
        <f>IFERROR(__xludf.DUMMYFUNCTION("""COMPUTED_VALUE"""),"УДС")</f>
        <v>УДС</v>
      </c>
      <c r="D85" s="15"/>
      <c r="E85" s="14" t="str">
        <f>IFERROR(__xludf.DUMMYFUNCTION("""COMPUTED_VALUE"""),"ЮВХ-10.Строительство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3.3.3.4, участок от МКАД до автомобильной дороги ""Сол"&amp;"нцево-Бутово-Варшавское шоссе"" (ЮЗАО, ЮАО, М.О.)")</f>
        <v>ЮВХ-10.Строительство улично-дорожной сети с искусственными сооружениями и переустройством инженерных коммуникаций на участке от МКАД до автомобильной дороги "Солнцево-Бутово-Варшавское ш.". 
 Этапы  3.3.3.4, участок от МКАД до автомобильной дороги "Солнцево-Бутово-Варшавское шоссе" (ЮЗАО, ЮАО, М.О.)</v>
      </c>
      <c r="F85" s="25" t="str">
        <f>IFERROR(__xludf.DUMMYFUNCTION("""COMPUTED_VALUE"""),"#N/A")</f>
        <v>#N/A</v>
      </c>
      <c r="G85" s="6" t="str">
        <f>IFERROR(__xludf.DUMMYFUNCTION("""COMPUTED_VALUE"""),"#N/A")</f>
        <v>#N/A</v>
      </c>
      <c r="H85" s="6"/>
      <c r="I85" s="6"/>
      <c r="J85" s="50">
        <f>IFERROR(__xludf.DUMMYFUNCTION("""COMPUTED_VALUE"""),45.2431)</f>
        <v>45.2431</v>
      </c>
      <c r="K85" s="58">
        <f>IFERROR(__xludf.DUMMYFUNCTION("""COMPUTED_VALUE"""),45975.0)</f>
        <v>45975</v>
      </c>
      <c r="L85" s="6">
        <v>30.0</v>
      </c>
      <c r="M85" s="52">
        <v>46005.0</v>
      </c>
      <c r="N85" s="53" t="s">
        <v>711</v>
      </c>
      <c r="O85" s="6"/>
      <c r="P85" s="37" t="s">
        <v>494</v>
      </c>
      <c r="Q85" s="6" t="str">
        <f t="shared" si="1"/>
        <v>#N/A</v>
      </c>
      <c r="R85" s="6"/>
    </row>
    <row r="86" hidden="1">
      <c r="A86" s="31" t="str">
        <f>IFERROR(__xludf.DUMMYFUNCTION("""COMPUTED_VALUE"""),"184д")</f>
        <v>184д</v>
      </c>
      <c r="B86" s="14" t="str">
        <f>IFERROR(__xludf.DUMMYFUNCTION("""COMPUTED_VALUE"""),"АИП-25")</f>
        <v>АИП-25</v>
      </c>
      <c r="C86" s="14" t="str">
        <f>IFERROR(__xludf.DUMMYFUNCTION("""COMPUTED_VALUE"""),"УДС")</f>
        <v>УДС</v>
      </c>
      <c r="D86" s="15"/>
      <c r="E86" s="14" t="str">
        <f>IFERROR(__xludf.DUMMYFUNCTION("""COMPUTED_VALUE"""),"Строительство и реконструкция улично-дорожной сети в пос. Мосрентген с выездами на Калужское ш. поселение ""Мосрентген"", Новомосковский административный округ города Москвы")</f>
        <v>Строительство и реконструкция улично-дорожной сети в пос. Мосрентген с выездами на Калужское ш. поселение "Мосрентген", Новомосковский административный округ города Москвы</v>
      </c>
      <c r="F86" s="25" t="str">
        <f>IFERROR(__xludf.DUMMYFUNCTION("""COMPUTED_VALUE"""),"#N/A")</f>
        <v>#N/A</v>
      </c>
      <c r="G86" s="6" t="str">
        <f>IFERROR(__xludf.DUMMYFUNCTION("""COMPUTED_VALUE"""),"#N/A")</f>
        <v>#N/A</v>
      </c>
      <c r="H86" s="6"/>
      <c r="I86" s="6"/>
      <c r="J86" s="50">
        <f>IFERROR(__xludf.DUMMYFUNCTION("""COMPUTED_VALUE"""),100.0)</f>
        <v>100</v>
      </c>
      <c r="K86" s="58">
        <f>IFERROR(__xludf.DUMMYFUNCTION("""COMPUTED_VALUE"""),45972.0)</f>
        <v>45972</v>
      </c>
      <c r="L86" s="6" t="s">
        <v>654</v>
      </c>
      <c r="M86" s="52" t="s">
        <v>655</v>
      </c>
      <c r="N86" s="53" t="s">
        <v>656</v>
      </c>
      <c r="O86" s="6" t="s">
        <v>718</v>
      </c>
      <c r="P86" s="37" t="s">
        <v>502</v>
      </c>
      <c r="Q86" s="6" t="str">
        <f t="shared" si="1"/>
        <v>#N/A</v>
      </c>
      <c r="R86" s="6"/>
    </row>
    <row r="87" hidden="1">
      <c r="A87" s="31" t="str">
        <f>IFERROR(__xludf.DUMMYFUNCTION("""COMPUTED_VALUE"""),"110д (сводный)")</f>
        <v>110д (сводный)</v>
      </c>
      <c r="B87" s="14" t="str">
        <f>IFERROR(__xludf.DUMMYFUNCTION("""COMPUTED_VALUE"""),"АИП-25")</f>
        <v>АИП-25</v>
      </c>
      <c r="C87" s="14" t="str">
        <f>IFERROR(__xludf.DUMMYFUNCTION("""COMPUTED_VALUE"""),"УДС")</f>
        <v>УДС</v>
      </c>
      <c r="D87" s="15"/>
      <c r="E87" s="14" t="str">
        <f>IFERROR(__xludf.DUMMYFUNCTION("""COMPUTED_VALUE"""),"Реконструкция Дмитровского путепровода. Этапы 1 и 2 ")</f>
        <v>Реконструкция Дмитровского путепровода. Этапы 1 и 2 </v>
      </c>
      <c r="F87" s="25" t="str">
        <f>IFERROR(__xludf.DUMMYFUNCTION("""COMPUTED_VALUE"""),"#N/A")</f>
        <v>#N/A</v>
      </c>
      <c r="G87" s="6" t="str">
        <f>IFERROR(__xludf.DUMMYFUNCTION("""COMPUTED_VALUE"""),"#N/A")</f>
        <v>#N/A</v>
      </c>
      <c r="H87" s="6"/>
      <c r="I87" s="6"/>
      <c r="J87" s="50"/>
      <c r="K87" s="58"/>
      <c r="L87" s="6">
        <v>30.0</v>
      </c>
      <c r="M87" s="52" t="s">
        <v>655</v>
      </c>
      <c r="N87" s="53" t="s">
        <v>698</v>
      </c>
      <c r="O87" s="6"/>
      <c r="P87" s="6"/>
      <c r="Q87" s="6" t="str">
        <f t="shared" si="1"/>
        <v>#N/A</v>
      </c>
      <c r="R87" s="6"/>
    </row>
    <row r="88" hidden="1">
      <c r="A88" s="31" t="str">
        <f>IFERROR(__xludf.DUMMYFUNCTION("""COMPUTED_VALUE"""),"110д (этап 1)")</f>
        <v>110д (этап 1)</v>
      </c>
      <c r="B88" s="14"/>
      <c r="C88" s="14" t="str">
        <f>IFERROR(__xludf.DUMMYFUNCTION("""COMPUTED_VALUE"""),"УДС")</f>
        <v>УДС</v>
      </c>
      <c r="D88" s="15"/>
      <c r="E88" s="14" t="str">
        <f>IFERROR(__xludf.DUMMYFUNCTION("""COMPUTED_VALUE"""),"Дмитровский путепровод
 Этапы 1 г. Москва, Дмитровское ш. (САО)")</f>
        <v>Дмитровский путепровод
 Этапы 1 г. Москва, Дмитровское ш. (САО)</v>
      </c>
      <c r="F88" s="25" t="str">
        <f>IFERROR(__xludf.DUMMYFUNCTION("""COMPUTED_VALUE"""),"#N/A")</f>
        <v>#N/A</v>
      </c>
      <c r="G88" s="6" t="str">
        <f>IFERROR(__xludf.DUMMYFUNCTION("""COMPUTED_VALUE"""),"#N/A")</f>
        <v>#N/A</v>
      </c>
      <c r="H88" s="6"/>
      <c r="I88" s="6"/>
      <c r="J88" s="50"/>
      <c r="K88" s="58"/>
      <c r="L88" s="6">
        <v>30.0</v>
      </c>
      <c r="M88" s="52" t="s">
        <v>655</v>
      </c>
      <c r="N88" s="53" t="s">
        <v>698</v>
      </c>
      <c r="O88" s="6" t="s">
        <v>719</v>
      </c>
      <c r="P88" s="6"/>
      <c r="Q88" s="6" t="str">
        <f t="shared" si="1"/>
        <v>#N/A</v>
      </c>
      <c r="R88" s="6"/>
    </row>
    <row r="89" hidden="1">
      <c r="A89" s="31" t="str">
        <f>IFERROR(__xludf.DUMMYFUNCTION("""COMPUTED_VALUE"""),"110д (этап 2)")</f>
        <v>110д (этап 2)</v>
      </c>
      <c r="B89" s="14"/>
      <c r="C89" s="14" t="str">
        <f>IFERROR(__xludf.DUMMYFUNCTION("""COMPUTED_VALUE"""),"УДС")</f>
        <v>УДС</v>
      </c>
      <c r="D89" s="15"/>
      <c r="E89" s="14" t="str">
        <f>IFERROR(__xludf.DUMMYFUNCTION("""COMPUTED_VALUE"""),"Дмитровский путепровод
 Этапы 2 г. Москва, Дмитровское ш. (САО)")</f>
        <v>Дмитровский путепровод
 Этапы 2 г. Москва, Дмитровское ш. (САО)</v>
      </c>
      <c r="F89" s="25" t="str">
        <f>IFERROR(__xludf.DUMMYFUNCTION("""COMPUTED_VALUE"""),"#N/A")</f>
        <v>#N/A</v>
      </c>
      <c r="G89" s="6" t="str">
        <f>IFERROR(__xludf.DUMMYFUNCTION("""COMPUTED_VALUE"""),"#N/A")</f>
        <v>#N/A</v>
      </c>
      <c r="H89" s="6"/>
      <c r="I89" s="6"/>
      <c r="J89" s="50"/>
      <c r="K89" s="58"/>
      <c r="L89" s="6">
        <v>30.0</v>
      </c>
      <c r="M89" s="52" t="s">
        <v>655</v>
      </c>
      <c r="N89" s="53" t="s">
        <v>698</v>
      </c>
      <c r="O89" s="6" t="s">
        <v>720</v>
      </c>
      <c r="P89" s="6"/>
      <c r="Q89" s="6" t="str">
        <f t="shared" si="1"/>
        <v>#N/A</v>
      </c>
      <c r="R89" s="6"/>
    </row>
    <row r="90" hidden="1">
      <c r="A90" s="31" t="str">
        <f>IFERROR(__xludf.DUMMYFUNCTION("""COMPUTED_VALUE"""),"1151д (этап 1)")</f>
        <v>1151д (этап 1)</v>
      </c>
      <c r="B90" s="14" t="str">
        <f>IFERROR(__xludf.DUMMYFUNCTION("""COMPUTED_VALUE"""),"АИП-25")</f>
        <v>АИП-25</v>
      </c>
      <c r="C90" s="14" t="str">
        <f>IFERROR(__xludf.DUMMYFUNCTION("""COMPUTED_VALUE"""),"УДС")</f>
        <v>УДС</v>
      </c>
      <c r="D90" s="15"/>
      <c r="E90" s="14" t="str">
        <f>IFERROR(__xludf.DUMMYFUNCTION("""COMPUTED_VALUE"""),"882-05-01 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(1 этап) СОЛНЦЕВО,ТРОПАРЕВО-НИКУЛИНО, ВЕРНАДСКОГО ПР-Т")</f>
        <v>882-05-01 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(1 этап) СОЛНЦЕВО,ТРОПАРЕВО-НИКУЛИНО, ВЕРНАДСКОГО ПР-Т</v>
      </c>
      <c r="F90" s="25" t="str">
        <f>IFERROR(__xludf.DUMMYFUNCTION("""COMPUTED_VALUE"""),"55.6620116986423")</f>
        <v>55.6620116986423</v>
      </c>
      <c r="G90" s="6" t="str">
        <f>IFERROR(__xludf.DUMMYFUNCTION("""COMPUTED_VALUE"""),"37.44633431521266")</f>
        <v>37.44633431521266</v>
      </c>
      <c r="H90" s="6"/>
      <c r="I90" s="6"/>
      <c r="J90" s="50">
        <f>IFERROR(__xludf.DUMMYFUNCTION("""COMPUTED_VALUE"""),60.947500000000005)</f>
        <v>60.9475</v>
      </c>
      <c r="K90" s="58">
        <f>IFERROR(__xludf.DUMMYFUNCTION("""COMPUTED_VALUE"""),45958.0)</f>
        <v>45958</v>
      </c>
      <c r="L90" s="6">
        <v>14.0</v>
      </c>
      <c r="M90" s="52">
        <v>45972.0</v>
      </c>
      <c r="N90" s="53" t="s">
        <v>668</v>
      </c>
      <c r="O90" s="6" t="s">
        <v>721</v>
      </c>
      <c r="P90" s="6"/>
      <c r="Q90" s="6" t="str">
        <f t="shared" si="1"/>
        <v>#N/A</v>
      </c>
      <c r="R90" s="6"/>
    </row>
    <row r="91" hidden="1">
      <c r="A91" s="31" t="str">
        <f>IFERROR(__xludf.DUMMYFUNCTION("""COMPUTED_VALUE"""),"306д (сводный)")</f>
        <v>306д (сводный)</v>
      </c>
      <c r="B91" s="14" t="str">
        <f>IFERROR(__xludf.DUMMYFUNCTION("""COMPUTED_VALUE"""),"АИП-25")</f>
        <v>АИП-25</v>
      </c>
      <c r="C91" s="14" t="str">
        <f>IFERROR(__xludf.DUMMYFUNCTION("""COMPUTED_VALUE"""),"УДС")</f>
        <v>УДС</v>
      </c>
      <c r="D91" s="15"/>
      <c r="E91"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3.3.,4.6., 4.7., 1.2. ")</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3.3.,4.6., 4.7., 1.2. </v>
      </c>
      <c r="F91" s="25" t="str">
        <f>IFERROR(__xludf.DUMMYFUNCTION("""COMPUTED_VALUE"""),"#N/A")</f>
        <v>#N/A</v>
      </c>
      <c r="G91" s="6" t="str">
        <f>IFERROR(__xludf.DUMMYFUNCTION("""COMPUTED_VALUE"""),"#N/A")</f>
        <v>#N/A</v>
      </c>
      <c r="H91" s="6"/>
      <c r="I91" s="6"/>
      <c r="J91" s="50"/>
      <c r="K91" s="58"/>
      <c r="L91" s="6">
        <v>30.0</v>
      </c>
      <c r="M91" s="52" t="s">
        <v>655</v>
      </c>
      <c r="N91" s="53" t="s">
        <v>698</v>
      </c>
      <c r="O91" s="6"/>
      <c r="P91" s="6"/>
      <c r="Q91" s="6" t="str">
        <f t="shared" si="1"/>
        <v>#N/A</v>
      </c>
      <c r="R91" s="6"/>
    </row>
    <row r="92" hidden="1">
      <c r="A92" s="31" t="str">
        <f>IFERROR(__xludf.DUMMYFUNCTION("""COMPUTED_VALUE"""),"306д (сводный 2)")</f>
        <v>306д (сводный 2)</v>
      </c>
      <c r="B92" s="14" t="str">
        <f>IFERROR(__xludf.DUMMYFUNCTION("""COMPUTED_VALUE"""),"АИП-25")</f>
        <v>АИП-25</v>
      </c>
      <c r="C92" s="14" t="str">
        <f>IFERROR(__xludf.DUMMYFUNCTION("""COMPUTED_VALUE"""),"УДС")</f>
        <v>УДС</v>
      </c>
      <c r="D92" s="15"/>
      <c r="E92"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2.2.2, 3.1, 3.4,"&amp;" 4.1.2, 4.3, 4.4, 4.5 ")</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2.2.2, 3.1, 3.4, 4.1.2, 4.3, 4.4, 4.5 </v>
      </c>
      <c r="F92" s="25" t="str">
        <f>IFERROR(__xludf.DUMMYFUNCTION("""COMPUTED_VALUE"""),"#N/A")</f>
        <v>#N/A</v>
      </c>
      <c r="G92" s="6" t="str">
        <f>IFERROR(__xludf.DUMMYFUNCTION("""COMPUTED_VALUE"""),"#N/A")</f>
        <v>#N/A</v>
      </c>
      <c r="H92" s="6"/>
      <c r="I92" s="6"/>
      <c r="J92" s="50"/>
      <c r="K92" s="58"/>
      <c r="L92" s="6">
        <v>30.0</v>
      </c>
      <c r="M92" s="52" t="s">
        <v>655</v>
      </c>
      <c r="N92" s="53" t="s">
        <v>698</v>
      </c>
      <c r="O92" s="6"/>
      <c r="P92" s="6"/>
      <c r="Q92" s="6" t="str">
        <f t="shared" si="1"/>
        <v>#N/A</v>
      </c>
      <c r="R92" s="6"/>
    </row>
    <row r="93" hidden="1">
      <c r="A93" s="31" t="str">
        <f>IFERROR(__xludf.DUMMYFUNCTION("""COMPUTED_VALUE"""),"306д (этап 1.1.2)")</f>
        <v>306д (этап 1.1.2)</v>
      </c>
      <c r="B93" s="14"/>
      <c r="C93" s="14" t="str">
        <f>IFERROR(__xludf.DUMMYFUNCTION("""COMPUTED_VALUE"""),"УДС")</f>
        <v>УДС</v>
      </c>
      <c r="D93" s="15"/>
      <c r="E93"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1.1.2 с ул. Верхние Поля и на пересечении МКАД с ул. Капотня</v>
      </c>
      <c r="F93" s="25" t="str">
        <f>IFERROR(__xludf.DUMMYFUNCTION("""COMPUTED_VALUE"""),"#N/A")</f>
        <v>#N/A</v>
      </c>
      <c r="G93" s="6" t="str">
        <f>IFERROR(__xludf.DUMMYFUNCTION("""COMPUTED_VALUE"""),"#N/A")</f>
        <v>#N/A</v>
      </c>
      <c r="H93" s="6"/>
      <c r="I93" s="6"/>
      <c r="J93" s="50">
        <f>IFERROR(__xludf.DUMMYFUNCTION("""COMPUTED_VALUE"""),100.0)</f>
        <v>100</v>
      </c>
      <c r="K93" s="58"/>
      <c r="L93" s="6" t="s">
        <v>654</v>
      </c>
      <c r="M93" s="52" t="s">
        <v>655</v>
      </c>
      <c r="N93" s="53" t="s">
        <v>656</v>
      </c>
      <c r="O93" s="6"/>
      <c r="P93" s="6"/>
      <c r="Q93" s="6" t="str">
        <f t="shared" si="1"/>
        <v>#N/A</v>
      </c>
      <c r="R93" s="6"/>
    </row>
    <row r="94" hidden="1">
      <c r="A94" s="31" t="str">
        <f>IFERROR(__xludf.DUMMYFUNCTION("""COMPUTED_VALUE"""),"306д (этап 2.2.2)")</f>
        <v>306д (этап 2.2.2)</v>
      </c>
      <c r="B94" s="14"/>
      <c r="C94" s="14" t="str">
        <f>IFERROR(__xludf.DUMMYFUNCTION("""COMPUTED_VALUE"""),"УДС")</f>
        <v>УДС</v>
      </c>
      <c r="D94" s="15"/>
      <c r="E94"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2.2.2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2.2.2 с ул. Верхние Поля и на пересечении МКАД с ул. Капотня</v>
      </c>
      <c r="F94" s="25" t="str">
        <f>IFERROR(__xludf.DUMMYFUNCTION("""COMPUTED_VALUE"""),"#N/A")</f>
        <v>#N/A</v>
      </c>
      <c r="G94" s="6" t="str">
        <f>IFERROR(__xludf.DUMMYFUNCTION("""COMPUTED_VALUE"""),"#N/A")</f>
        <v>#N/A</v>
      </c>
      <c r="H94" s="6"/>
      <c r="I94" s="6"/>
      <c r="J94" s="50"/>
      <c r="K94" s="58"/>
      <c r="L94" s="6">
        <v>30.0</v>
      </c>
      <c r="M94" s="52" t="s">
        <v>655</v>
      </c>
      <c r="N94" s="53" t="s">
        <v>698</v>
      </c>
      <c r="O94" s="6"/>
      <c r="P94" s="6"/>
      <c r="Q94" s="6" t="str">
        <f t="shared" si="1"/>
        <v>#N/A</v>
      </c>
      <c r="R94" s="6"/>
    </row>
    <row r="95" hidden="1">
      <c r="A95" s="31" t="str">
        <f>IFERROR(__xludf.DUMMYFUNCTION("""COMPUTED_VALUE"""),"306д (этап 3.1)")</f>
        <v>306д (этап 3.1)</v>
      </c>
      <c r="B95" s="14"/>
      <c r="C95" s="14" t="str">
        <f>IFERROR(__xludf.DUMMYFUNCTION("""COMPUTED_VALUE"""),"УДС")</f>
        <v>УДС</v>
      </c>
      <c r="D95" s="15"/>
      <c r="E95"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3.1 с ул. Верхние Поля и"&amp;"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3.1 с ул. Верхние Поля и на пересечении МКАД с ул. Капотня</v>
      </c>
      <c r="F95" s="25" t="str">
        <f>IFERROR(__xludf.DUMMYFUNCTION("""COMPUTED_VALUE"""),"#N/A")</f>
        <v>#N/A</v>
      </c>
      <c r="G95" s="6" t="str">
        <f>IFERROR(__xludf.DUMMYFUNCTION("""COMPUTED_VALUE"""),"#N/A")</f>
        <v>#N/A</v>
      </c>
      <c r="H95" s="6"/>
      <c r="I95" s="6"/>
      <c r="J95" s="50"/>
      <c r="K95" s="58"/>
      <c r="L95" s="6">
        <v>30.0</v>
      </c>
      <c r="M95" s="52" t="s">
        <v>655</v>
      </c>
      <c r="N95" s="53" t="s">
        <v>698</v>
      </c>
      <c r="O95" s="6"/>
      <c r="P95" s="6"/>
      <c r="Q95" s="6" t="str">
        <f t="shared" si="1"/>
        <v>#N/A</v>
      </c>
      <c r="R95" s="6"/>
    </row>
    <row r="96" hidden="1">
      <c r="A96" s="31" t="str">
        <f>IFERROR(__xludf.DUMMYFUNCTION("""COMPUTED_VALUE"""),"306д (этап 3.4)")</f>
        <v>306д (этап 3.4)</v>
      </c>
      <c r="B96" s="14"/>
      <c r="C96" s="14" t="str">
        <f>IFERROR(__xludf.DUMMYFUNCTION("""COMPUTED_VALUE"""),"УДС")</f>
        <v>УДС</v>
      </c>
      <c r="D96" s="15"/>
      <c r="E96"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3.4 с ул. Верхние Поля и"&amp;"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3.4 с ул. Верхние Поля и на пересечении МКАД с ул. Капотня</v>
      </c>
      <c r="F96" s="25" t="str">
        <f>IFERROR(__xludf.DUMMYFUNCTION("""COMPUTED_VALUE"""),"#N/A")</f>
        <v>#N/A</v>
      </c>
      <c r="G96" s="6" t="str">
        <f>IFERROR(__xludf.DUMMYFUNCTION("""COMPUTED_VALUE"""),"#N/A")</f>
        <v>#N/A</v>
      </c>
      <c r="H96" s="6"/>
      <c r="I96" s="6"/>
      <c r="J96" s="50"/>
      <c r="K96" s="58"/>
      <c r="L96" s="6">
        <v>30.0</v>
      </c>
      <c r="M96" s="52" t="s">
        <v>655</v>
      </c>
      <c r="N96" s="53" t="s">
        <v>698</v>
      </c>
      <c r="O96" s="6"/>
      <c r="P96" s="6"/>
      <c r="Q96" s="6" t="str">
        <f t="shared" si="1"/>
        <v>#N/A</v>
      </c>
      <c r="R96" s="6"/>
    </row>
    <row r="97" hidden="1">
      <c r="A97" s="31" t="str">
        <f>IFERROR(__xludf.DUMMYFUNCTION("""COMPUTED_VALUE"""),"306д (этап 4.1.2)")</f>
        <v>306д (этап 4.1.2)</v>
      </c>
      <c r="B97" s="14"/>
      <c r="C97" s="14" t="str">
        <f>IFERROR(__xludf.DUMMYFUNCTION("""COMPUTED_VALUE"""),"УДС")</f>
        <v>УДС</v>
      </c>
      <c r="D97" s="60"/>
      <c r="E97"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4.1.2 с ул. Верхние Поля"&amp;" и на пересечении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4.1.2 с ул. Верхние Поля и на пересечении МКАД с ул. Капотня</v>
      </c>
      <c r="F97" s="25" t="str">
        <f>IFERROR(__xludf.DUMMYFUNCTION("""COMPUTED_VALUE"""),"#N/A")</f>
        <v>#N/A</v>
      </c>
      <c r="G97" s="6" t="str">
        <f>IFERROR(__xludf.DUMMYFUNCTION("""COMPUTED_VALUE"""),"#N/A")</f>
        <v>#N/A</v>
      </c>
      <c r="H97" s="6"/>
      <c r="I97" s="6"/>
      <c r="J97" s="50"/>
      <c r="K97" s="58"/>
      <c r="L97" s="6">
        <v>30.0</v>
      </c>
      <c r="M97" s="52" t="s">
        <v>655</v>
      </c>
      <c r="N97" s="53" t="s">
        <v>698</v>
      </c>
      <c r="O97" s="6"/>
      <c r="P97" s="6"/>
      <c r="Q97" s="6" t="str">
        <f t="shared" si="1"/>
        <v>#N/A</v>
      </c>
      <c r="R97" s="6"/>
    </row>
    <row r="98" hidden="1">
      <c r="A98" s="31" t="str">
        <f>IFERROR(__xludf.DUMMYFUNCTION("""COMPUTED_VALUE"""),"306д (этап 4.3)")</f>
        <v>306д (этап 4.3)</v>
      </c>
      <c r="B98" s="14"/>
      <c r="C98" s="14" t="str">
        <f>IFERROR(__xludf.DUMMYFUNCTION("""COMPUTED_VALUE"""),"УДС")</f>
        <v>УДС</v>
      </c>
      <c r="D98" s="15"/>
      <c r="E98"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4.3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4.3 с ул. Верхние Поля и на пересечении МКАД с ул. Капотня</v>
      </c>
      <c r="F98" s="25" t="str">
        <f>IFERROR(__xludf.DUMMYFUNCTION("""COMPUTED_VALUE"""),"#N/A")</f>
        <v>#N/A</v>
      </c>
      <c r="G98" s="6" t="str">
        <f>IFERROR(__xludf.DUMMYFUNCTION("""COMPUTED_VALUE"""),"#N/A")</f>
        <v>#N/A</v>
      </c>
      <c r="H98" s="6"/>
      <c r="I98" s="6"/>
      <c r="J98" s="50"/>
      <c r="K98" s="58"/>
      <c r="L98" s="6">
        <v>30.0</v>
      </c>
      <c r="M98" s="52" t="s">
        <v>655</v>
      </c>
      <c r="N98" s="53" t="s">
        <v>698</v>
      </c>
      <c r="O98" s="6"/>
      <c r="P98" s="6"/>
      <c r="Q98" s="6" t="str">
        <f t="shared" si="1"/>
        <v>#N/A</v>
      </c>
      <c r="R98" s="6"/>
    </row>
    <row r="99" hidden="1">
      <c r="A99" s="31" t="str">
        <f>IFERROR(__xludf.DUMMYFUNCTION("""COMPUTED_VALUE"""),"306д (этап 4.4)")</f>
        <v>306д (этап 4.4)</v>
      </c>
      <c r="B99" s="14"/>
      <c r="C99" s="14" t="str">
        <f>IFERROR(__xludf.DUMMYFUNCTION("""COMPUTED_VALUE"""),"УДС")</f>
        <v>УДС</v>
      </c>
      <c r="D99" s="15"/>
      <c r="E99"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4.4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4.4 с ул. Верхние Поля и на пересечении МКАД с ул. Капотня</v>
      </c>
      <c r="F99" s="25" t="str">
        <f>IFERROR(__xludf.DUMMYFUNCTION("""COMPUTED_VALUE"""),"#N/A")</f>
        <v>#N/A</v>
      </c>
      <c r="G99" s="6" t="str">
        <f>IFERROR(__xludf.DUMMYFUNCTION("""COMPUTED_VALUE"""),"#N/A")</f>
        <v>#N/A</v>
      </c>
      <c r="H99" s="6"/>
      <c r="I99" s="6"/>
      <c r="J99" s="50"/>
      <c r="K99" s="58"/>
      <c r="L99" s="6">
        <v>30.0</v>
      </c>
      <c r="M99" s="52" t="s">
        <v>655</v>
      </c>
      <c r="N99" s="53" t="s">
        <v>698</v>
      </c>
      <c r="O99" s="6"/>
      <c r="P99" s="6"/>
      <c r="Q99" s="6" t="str">
        <f t="shared" si="1"/>
        <v>#N/A</v>
      </c>
      <c r="R99" s="6"/>
    </row>
    <row r="100" hidden="1">
      <c r="A100" s="31" t="str">
        <f>IFERROR(__xludf.DUMMYFUNCTION("""COMPUTED_VALUE"""),"306д (этап 4.5)")</f>
        <v>306д (этап 4.5)</v>
      </c>
      <c r="B100" s="14"/>
      <c r="C100" s="14" t="str">
        <f>IFERROR(__xludf.DUMMYFUNCTION("""COMPUTED_VALUE"""),"УДС")</f>
        <v>УДС</v>
      </c>
      <c r="D100" s="15"/>
      <c r="E100" s="14" t="str">
        <f>IFERROR(__xludf.DUMMYFUNCTION("""COMPUTED_VALUE"""),"Многоуровневые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4.5 с ул. Верхние Поля и на пе"&amp;"ресечении МКАД с ул. Капотня")</f>
        <v>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4.5 с ул. Верхние Поля и на пересечении МКАД с ул. Капотня</v>
      </c>
      <c r="F100" s="25" t="str">
        <f>IFERROR(__xludf.DUMMYFUNCTION("""COMPUTED_VALUE"""),"#N/A")</f>
        <v>#N/A</v>
      </c>
      <c r="G100" s="6" t="str">
        <f>IFERROR(__xludf.DUMMYFUNCTION("""COMPUTED_VALUE"""),"#N/A")</f>
        <v>#N/A</v>
      </c>
      <c r="H100" s="6"/>
      <c r="I100" s="6"/>
      <c r="J100" s="50"/>
      <c r="K100" s="58"/>
      <c r="L100" s="6">
        <v>30.0</v>
      </c>
      <c r="M100" s="52" t="s">
        <v>655</v>
      </c>
      <c r="N100" s="53" t="s">
        <v>698</v>
      </c>
      <c r="O100" s="6"/>
      <c r="P100" s="6"/>
      <c r="Q100" s="6" t="str">
        <f t="shared" si="1"/>
        <v>#N/A</v>
      </c>
      <c r="R100" s="6"/>
    </row>
    <row r="101" hidden="1">
      <c r="A101" s="31" t="str">
        <f>IFERROR(__xludf.DUMMYFUNCTION("""COMPUTED_VALUE"""),"114д (сводный)")</f>
        <v>114д (сводный)</v>
      </c>
      <c r="B101" s="14" t="str">
        <f>IFERROR(__xludf.DUMMYFUNCTION("""COMPUTED_VALUE"""),"АИП-25")</f>
        <v>АИП-25</v>
      </c>
      <c r="C101" s="14" t="str">
        <f>IFERROR(__xludf.DUMMYFUNCTION("""COMPUTED_VALUE"""),"УДС")</f>
        <v>УДС</v>
      </c>
      <c r="D101" s="60"/>
      <c r="E101"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Этапы 1.2, 3.2.3, 3.1. ")</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Этапы 1.2, 3.2.3, 3.1. </v>
      </c>
      <c r="F101" s="25" t="str">
        <f>IFERROR(__xludf.DUMMYFUNCTION("""COMPUTED_VALUE"""),"#N/A")</f>
        <v>#N/A</v>
      </c>
      <c r="G101" s="6" t="str">
        <f>IFERROR(__xludf.DUMMYFUNCTION("""COMPUTED_VALUE"""),"#N/A")</f>
        <v>#N/A</v>
      </c>
      <c r="H101" s="6"/>
      <c r="I101" s="6"/>
      <c r="J101" s="50"/>
      <c r="K101" s="58"/>
      <c r="L101" s="6">
        <v>30.0</v>
      </c>
      <c r="M101" s="52" t="s">
        <v>655</v>
      </c>
      <c r="N101" s="53" t="s">
        <v>698</v>
      </c>
      <c r="O101" s="6"/>
      <c r="P101" s="6"/>
      <c r="Q101" s="6" t="str">
        <f t="shared" si="1"/>
        <v>#N/A</v>
      </c>
      <c r="R101" s="6"/>
    </row>
    <row r="102" hidden="1">
      <c r="A102" s="31" t="str">
        <f>IFERROR(__xludf.DUMMYFUNCTION("""COMPUTED_VALUE"""),"114д (этап 3.2.3)")</f>
        <v>114д (этап 3.2.3)</v>
      </c>
      <c r="B102" s="14"/>
      <c r="C102" s="14" t="str">
        <f>IFERROR(__xludf.DUMMYFUNCTION("""COMPUTED_VALUE"""),"УДС")</f>
        <v>УДС</v>
      </c>
      <c r="D102" s="15"/>
      <c r="E102"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3.2.3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3.2.3 от ул. Полбина до Курьяновского б-ра</v>
      </c>
      <c r="F102" s="25" t="str">
        <f>IFERROR(__xludf.DUMMYFUNCTION("""COMPUTED_VALUE"""),"#N/A")</f>
        <v>#N/A</v>
      </c>
      <c r="G102" s="6" t="str">
        <f>IFERROR(__xludf.DUMMYFUNCTION("""COMPUTED_VALUE"""),"#N/A")</f>
        <v>#N/A</v>
      </c>
      <c r="H102" s="6"/>
      <c r="I102" s="6"/>
      <c r="J102" s="50"/>
      <c r="K102" s="58"/>
      <c r="L102" s="6">
        <v>30.0</v>
      </c>
      <c r="M102" s="52" t="s">
        <v>655</v>
      </c>
      <c r="N102" s="53" t="s">
        <v>698</v>
      </c>
      <c r="O102" s="6" t="s">
        <v>722</v>
      </c>
      <c r="P102" s="6"/>
      <c r="Q102" s="6" t="str">
        <f t="shared" si="1"/>
        <v>#N/A</v>
      </c>
      <c r="R102" s="6"/>
    </row>
    <row r="103" hidden="1">
      <c r="A103" s="31" t="str">
        <f>IFERROR(__xludf.DUMMYFUNCTION("""COMPUTED_VALUE"""),"114д (этап 1.2)")</f>
        <v>114д (этап 1.2)</v>
      </c>
      <c r="B103" s="14"/>
      <c r="C103" s="14" t="str">
        <f>IFERROR(__xludf.DUMMYFUNCTION("""COMPUTED_VALUE"""),"УДС")</f>
        <v>УДС</v>
      </c>
      <c r="D103" s="15"/>
      <c r="E103"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1.2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1.2 от ул. Полбина до Курьяновского б-ра</v>
      </c>
      <c r="F103" s="25" t="str">
        <f>IFERROR(__xludf.DUMMYFUNCTION("""COMPUTED_VALUE"""),"#N/A")</f>
        <v>#N/A</v>
      </c>
      <c r="G103" s="6" t="str">
        <f>IFERROR(__xludf.DUMMYFUNCTION("""COMPUTED_VALUE"""),"#N/A")</f>
        <v>#N/A</v>
      </c>
      <c r="H103" s="6"/>
      <c r="I103" s="6"/>
      <c r="J103" s="50"/>
      <c r="K103" s="58"/>
      <c r="L103" s="6">
        <v>30.0</v>
      </c>
      <c r="M103" s="52" t="s">
        <v>655</v>
      </c>
      <c r="N103" s="53" t="s">
        <v>698</v>
      </c>
      <c r="O103" s="6" t="s">
        <v>723</v>
      </c>
      <c r="P103" s="6"/>
      <c r="Q103" s="6" t="str">
        <f t="shared" si="1"/>
        <v>#N/A</v>
      </c>
      <c r="R103" s="6"/>
    </row>
    <row r="104" hidden="1">
      <c r="A104" s="31" t="str">
        <f>IFERROR(__xludf.DUMMYFUNCTION("""COMPUTED_VALUE"""),"114д (этап 3.1)")</f>
        <v>114д (этап 3.1)</v>
      </c>
      <c r="B104" s="14"/>
      <c r="C104" s="14" t="str">
        <f>IFERROR(__xludf.DUMMYFUNCTION("""COMPUTED_VALUE"""),"УДС")</f>
        <v>УДС</v>
      </c>
      <c r="D104" s="15"/>
      <c r="E104" s="14" t="str">
        <f>IFERROR(__xludf.DUMMYFUNCTION("""COMPUTED_VALUE"""),"ЮВХ-5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3.1 от ул. Полбина до Курьяновского б-ра")</f>
        <v>ЮВХ-5 .Строительство улично-дорожной сети с искусственными сооружениями и переустройством инженерных коммуникаций на участке от ул. Полбина до Курьяновского б-ра. 
 Инженерные коммуникации. Этап 3.1 от ул. Полбина до Курьяновского б-ра</v>
      </c>
      <c r="F104" s="25" t="str">
        <f>IFERROR(__xludf.DUMMYFUNCTION("""COMPUTED_VALUE"""),"#N/A")</f>
        <v>#N/A</v>
      </c>
      <c r="G104" s="6" t="str">
        <f>IFERROR(__xludf.DUMMYFUNCTION("""COMPUTED_VALUE"""),"#N/A")</f>
        <v>#N/A</v>
      </c>
      <c r="H104" s="6"/>
      <c r="I104" s="6"/>
      <c r="J104" s="50"/>
      <c r="K104" s="58"/>
      <c r="L104" s="6">
        <v>30.0</v>
      </c>
      <c r="M104" s="52" t="s">
        <v>655</v>
      </c>
      <c r="N104" s="53" t="s">
        <v>698</v>
      </c>
      <c r="O104" s="6" t="s">
        <v>724</v>
      </c>
      <c r="P104" s="6"/>
      <c r="Q104" s="6" t="str">
        <f t="shared" si="1"/>
        <v>#N/A</v>
      </c>
      <c r="R104" s="6"/>
    </row>
    <row r="105" hidden="1">
      <c r="A105" s="31" t="str">
        <f>IFERROR(__xludf.DUMMYFUNCTION("""COMPUTED_VALUE"""),"336д (сводный)")</f>
        <v>336д (сводный)</v>
      </c>
      <c r="B105" s="14" t="str">
        <f>IFERROR(__xludf.DUMMYFUNCTION("""COMPUTED_VALUE"""),"АИП-25")</f>
        <v>АИП-25</v>
      </c>
      <c r="C105" s="14" t="str">
        <f>IFERROR(__xludf.DUMMYFUNCTION("""COMPUTED_VALUE"""),"УДС")</f>
        <v>УДС</v>
      </c>
      <c r="D105" s="15"/>
      <c r="E105" s="14" t="str">
        <f>IFERROR(__xludf.DUMMYFUNCTION("""COMPUTED_VALUE"""),"Реконструкция участков общегородской улично-дорожной сети - ул. Ивана Франко и Старо-Рублевского путепровода. Этапы 2.1.1., 2.1.2 ")</f>
        <v>Реконструкция участков общегородской улично-дорожной сети - ул. Ивана Франко и Старо-Рублевского путепровода. Этапы 2.1.1., 2.1.2 </v>
      </c>
      <c r="F105" s="25" t="str">
        <f>IFERROR(__xludf.DUMMYFUNCTION("""COMPUTED_VALUE"""),"#N/A")</f>
        <v>#N/A</v>
      </c>
      <c r="G105" s="6" t="str">
        <f>IFERROR(__xludf.DUMMYFUNCTION("""COMPUTED_VALUE"""),"#N/A")</f>
        <v>#N/A</v>
      </c>
      <c r="H105" s="6"/>
      <c r="I105" s="6"/>
      <c r="J105" s="50"/>
      <c r="K105" s="58"/>
      <c r="L105" s="6">
        <v>30.0</v>
      </c>
      <c r="M105" s="52" t="s">
        <v>655</v>
      </c>
      <c r="N105" s="53" t="s">
        <v>698</v>
      </c>
      <c r="O105" s="6"/>
      <c r="P105" s="6"/>
      <c r="Q105" s="6" t="str">
        <f t="shared" si="1"/>
        <v>#N/A</v>
      </c>
      <c r="R105" s="6"/>
    </row>
    <row r="106" hidden="1">
      <c r="A106" s="31" t="str">
        <f>IFERROR(__xludf.DUMMYFUNCTION("""COMPUTED_VALUE"""),"336д (этап 2.1.1)")</f>
        <v>336д (этап 2.1.1)</v>
      </c>
      <c r="B106" s="14"/>
      <c r="C106" s="14" t="str">
        <f>IFERROR(__xludf.DUMMYFUNCTION("""COMPUTED_VALUE"""),"УДС")</f>
        <v>УДС</v>
      </c>
      <c r="D106" s="15"/>
      <c r="E106" s="14" t="str">
        <f>IFERROR(__xludf.DUMMYFUNCTION("""COMPUTED_VALUE"""),"Реконструкция участков общегородской улично-дорожной сети - ул. Ивана Франко и Старо-Рублевского путепровода. 
 Этап 2.1.1 ул.Герасима Курина (ЗАО)")</f>
        <v>Реконструкция участков общегородской улично-дорожной сети - ул. Ивана Франко и Старо-Рублевского путепровода. 
 Этап 2.1.1 ул.Герасима Курина (ЗАО)</v>
      </c>
      <c r="F106" s="25" t="str">
        <f>IFERROR(__xludf.DUMMYFUNCTION("""COMPUTED_VALUE"""),"#N/A")</f>
        <v>#N/A</v>
      </c>
      <c r="G106" s="6" t="str">
        <f>IFERROR(__xludf.DUMMYFUNCTION("""COMPUTED_VALUE"""),"#N/A")</f>
        <v>#N/A</v>
      </c>
      <c r="H106" s="6"/>
      <c r="I106" s="6"/>
      <c r="J106" s="50"/>
      <c r="K106" s="58"/>
      <c r="L106" s="6">
        <v>30.0</v>
      </c>
      <c r="M106" s="52" t="s">
        <v>655</v>
      </c>
      <c r="N106" s="53" t="s">
        <v>698</v>
      </c>
      <c r="O106" s="6"/>
      <c r="P106" s="6"/>
      <c r="Q106" s="6" t="str">
        <f t="shared" si="1"/>
        <v>#N/A</v>
      </c>
      <c r="R106" s="6"/>
    </row>
    <row r="107" hidden="1">
      <c r="A107" s="31" t="str">
        <f>IFERROR(__xludf.DUMMYFUNCTION("""COMPUTED_VALUE"""),"336д (этап 2.1.2)")</f>
        <v>336д (этап 2.1.2)</v>
      </c>
      <c r="B107" s="14"/>
      <c r="C107" s="14" t="str">
        <f>IFERROR(__xludf.DUMMYFUNCTION("""COMPUTED_VALUE"""),"УДС")</f>
        <v>УДС</v>
      </c>
      <c r="D107" s="15"/>
      <c r="E107" s="14" t="str">
        <f>IFERROR(__xludf.DUMMYFUNCTION("""COMPUTED_VALUE"""),"Реконструкция участков общегородской улично-дорожной сети - ул. Ивана Франко и Старо-Рублевского путепровода. 
 Этап 2.1.2 ул.Герасима Курина (ЗАО)")</f>
        <v>Реконструкция участков общегородской улично-дорожной сети - ул. Ивана Франко и Старо-Рублевского путепровода. 
 Этап 2.1.2 ул.Герасима Курина (ЗАО)</v>
      </c>
      <c r="F107" s="25" t="str">
        <f>IFERROR(__xludf.DUMMYFUNCTION("""COMPUTED_VALUE"""),"#N/A")</f>
        <v>#N/A</v>
      </c>
      <c r="G107" s="6" t="str">
        <f>IFERROR(__xludf.DUMMYFUNCTION("""COMPUTED_VALUE"""),"#N/A")</f>
        <v>#N/A</v>
      </c>
      <c r="H107" s="6"/>
      <c r="I107" s="6"/>
      <c r="J107" s="50"/>
      <c r="K107" s="58"/>
      <c r="L107" s="6">
        <v>30.0</v>
      </c>
      <c r="M107" s="52" t="s">
        <v>655</v>
      </c>
      <c r="N107" s="53" t="s">
        <v>698</v>
      </c>
      <c r="O107" s="6"/>
      <c r="P107" s="6"/>
      <c r="Q107" s="6" t="str">
        <f t="shared" si="1"/>
        <v>#N/A</v>
      </c>
      <c r="R107" s="6"/>
    </row>
    <row r="108" hidden="1">
      <c r="A108" s="31" t="str">
        <f>IFERROR(__xludf.DUMMYFUNCTION("""COMPUTED_VALUE"""),"301д")</f>
        <v>301д</v>
      </c>
      <c r="B108" s="14" t="str">
        <f>IFERROR(__xludf.DUMMYFUNCTION("""COMPUTED_VALUE"""),"АИП-25")</f>
        <v>АИП-25</v>
      </c>
      <c r="C108" s="14" t="str">
        <f>IFERROR(__xludf.DUMMYFUNCTION("""COMPUTED_VALUE"""),"УДС")</f>
        <v>УДС</v>
      </c>
      <c r="D108" s="60"/>
      <c r="E108" s="14" t="str">
        <f>IFERROR(__xludf.DUMMYFUNCTION("""COMPUTED_VALUE"""),"Строительство снегосплавного пункта по адресу: 2-я ул. Энтузиастов, влд. 5а с реконструкцией существующего трубопровода, строительством дополнительного трубопровода под железной дорогой и организацией подъездной дороги к снегосплавному пункту. 
 Этап 2 г."&amp;" Москва, 2-я ул. Энтузиастов, влд. 5а")</f>
        <v>Строительство снегосплавного пункта по адресу: 2-я ул. Энтузиастов, влд. 5а с реконструкцией существующего трубопровода, строительством дополнительного трубопровода под железной дорогой и организацией подъездной дороги к снегосплавному пункту. 
 Этап 2 г. Москва, 2-я ул. Энтузиастов, влд. 5а</v>
      </c>
      <c r="F108" s="25" t="str">
        <f>IFERROR(__xludf.DUMMYFUNCTION("""COMPUTED_VALUE"""),"#N/A")</f>
        <v>#N/A</v>
      </c>
      <c r="G108" s="6" t="str">
        <f>IFERROR(__xludf.DUMMYFUNCTION("""COMPUTED_VALUE"""),"#N/A")</f>
        <v>#N/A</v>
      </c>
      <c r="H108" s="6"/>
      <c r="I108" s="6"/>
      <c r="J108" s="50">
        <f>IFERROR(__xludf.DUMMYFUNCTION("""COMPUTED_VALUE"""),100.0)</f>
        <v>100</v>
      </c>
      <c r="K108" s="58">
        <f>IFERROR(__xludf.DUMMYFUNCTION("""COMPUTED_VALUE"""),45968.0)</f>
        <v>45968</v>
      </c>
      <c r="L108" s="6" t="s">
        <v>654</v>
      </c>
      <c r="M108" s="52" t="s">
        <v>655</v>
      </c>
      <c r="N108" s="53" t="s">
        <v>656</v>
      </c>
      <c r="O108" s="6" t="s">
        <v>725</v>
      </c>
      <c r="P108" s="6"/>
      <c r="Q108" s="6" t="str">
        <f t="shared" si="1"/>
        <v>#N/A</v>
      </c>
      <c r="R108" s="6"/>
    </row>
    <row r="109" hidden="1">
      <c r="A109" s="31" t="str">
        <f>IFERROR(__xludf.DUMMYFUNCTION("""COMPUTED_VALUE"""),"297д")</f>
        <v>297д</v>
      </c>
      <c r="B109" s="14" t="str">
        <f>IFERROR(__xludf.DUMMYFUNCTION("""COMPUTED_VALUE"""),"АИП-25")</f>
        <v>АИП-25</v>
      </c>
      <c r="C109" s="14" t="str">
        <f>IFERROR(__xludf.DUMMYFUNCTION("""COMPUTED_VALUE"""),"УДС")</f>
        <v>УДС</v>
      </c>
      <c r="D109" s="15"/>
      <c r="E109" s="14" t="str">
        <f>IFERROR(__xludf.DUMMYFUNCTION("""COMPUTED_VALUE"""),"Внеуличный пешеходный переход через железнодорожные пути Курского направления Московской железной дороги по адресу Новостроевская ул. д. 8 г.Москва, г.Щербинка Новостроевская улица д.8")</f>
        <v>Внеуличный пешеходный переход через железнодорожные пути Курского направления Московской железной дороги по адресу Новостроевская ул. д. 8 г.Москва, г.Щербинка Новостроевская улица д.8</v>
      </c>
      <c r="F109" s="25" t="str">
        <f>IFERROR(__xludf.DUMMYFUNCTION("""COMPUTED_VALUE"""),"#N/A")</f>
        <v>#N/A</v>
      </c>
      <c r="G109" s="6" t="str">
        <f>IFERROR(__xludf.DUMMYFUNCTION("""COMPUTED_VALUE"""),"#N/A")</f>
        <v>#N/A</v>
      </c>
      <c r="H109" s="6"/>
      <c r="I109" s="6"/>
      <c r="J109" s="50">
        <f>IFERROR(__xludf.DUMMYFUNCTION("""COMPUTED_VALUE"""),99.98875000000001)</f>
        <v>99.98875</v>
      </c>
      <c r="K109" s="58">
        <f>IFERROR(__xludf.DUMMYFUNCTION("""COMPUTED_VALUE"""),45971.0)</f>
        <v>45971</v>
      </c>
      <c r="L109" s="6">
        <v>7.0</v>
      </c>
      <c r="M109" s="52">
        <v>45978.0</v>
      </c>
      <c r="N109" s="53" t="s">
        <v>652</v>
      </c>
      <c r="O109" s="15" t="s">
        <v>726</v>
      </c>
      <c r="P109" s="6"/>
      <c r="Q109" s="6" t="str">
        <f t="shared" si="1"/>
        <v>#N/A</v>
      </c>
      <c r="R109" s="6"/>
    </row>
    <row r="110" hidden="1">
      <c r="A110" s="31" t="str">
        <f>IFERROR(__xludf.DUMMYFUNCTION("""COMPUTED_VALUE"""),"1287")</f>
        <v>1287</v>
      </c>
      <c r="B110" s="14" t="str">
        <f>IFERROR(__xludf.DUMMYFUNCTION("""COMPUTED_VALUE"""),"АИП-25")</f>
        <v>АИП-25</v>
      </c>
      <c r="C110" s="14" t="str">
        <f>IFERROR(__xludf.DUMMYFUNCTION("""COMPUTED_VALUE"""),"УДС")</f>
        <v>УДС</v>
      </c>
      <c r="D110" s="60"/>
      <c r="E110" s="14" t="str">
        <f>IFERROR(__xludf.DUMMYFUNCTION("""COMPUTED_VALUE"""),"654-02-02 Городские инженерные коммуникации для комплексной жилой застройки мкр. 2 р-на Солнцево (2 пусковой комплекс) ЗАО г. Москвы, мкр.2 Солнцево")</f>
        <v>654-02-02 Городские инженерные коммуникации для комплексной жилой застройки мкр. 2 р-на Солнцево (2 пусковой комплекс) ЗАО г. Москвы, мкр.2 Солнцево</v>
      </c>
      <c r="F110" s="25" t="str">
        <f>IFERROR(__xludf.DUMMYFUNCTION("""COMPUTED_VALUE"""),"#N/A")</f>
        <v>#N/A</v>
      </c>
      <c r="G110" s="6" t="str">
        <f>IFERROR(__xludf.DUMMYFUNCTION("""COMPUTED_VALUE"""),"#N/A")</f>
        <v>#N/A</v>
      </c>
      <c r="H110" s="18" t="str">
        <f>IFERROR(__xludf.DUMMYFUNCTION("""COMPUTED_VALUE"""),"https://docs.google.com/spreadsheets/d/1MW8OIVEKRJEaLcG-KS0zwZPEQ0eRUWE2y9Gj77rgoxo/edit?gid=406504917#gid=406504917")</f>
        <v>https://docs.google.com/spreadsheets/d/1MW8OIVEKRJEaLcG-KS0zwZPEQ0eRUWE2y9Gj77rgoxo/edit?gid=406504917#gid=406504917</v>
      </c>
      <c r="I110" s="6"/>
      <c r="J110" s="50">
        <f>IFERROR(__xludf.DUMMYFUNCTION("""COMPUTED_VALUE"""),100.0)</f>
        <v>100</v>
      </c>
      <c r="K110" s="58">
        <f>IFERROR(__xludf.DUMMYFUNCTION("""COMPUTED_VALUE"""),45887.0)</f>
        <v>45887</v>
      </c>
      <c r="L110" s="6" t="s">
        <v>654</v>
      </c>
      <c r="M110" s="52" t="s">
        <v>655</v>
      </c>
      <c r="N110" s="53" t="s">
        <v>656</v>
      </c>
      <c r="O110" s="6" t="s">
        <v>727</v>
      </c>
      <c r="P110" s="6"/>
      <c r="Q110" s="6" t="str">
        <f t="shared" si="1"/>
        <v>#N/A</v>
      </c>
      <c r="R110" s="6"/>
    </row>
    <row r="111" hidden="1">
      <c r="A111" s="31" t="str">
        <f>IFERROR(__xludf.DUMMYFUNCTION("""COMPUTED_VALUE"""),"202")</f>
        <v>202</v>
      </c>
      <c r="B111" s="14" t="str">
        <f>IFERROR(__xludf.DUMMYFUNCTION("""COMPUTED_VALUE"""),"АИП-25")</f>
        <v>АИП-25</v>
      </c>
      <c r="C111" s="14" t="str">
        <f>IFERROR(__xludf.DUMMYFUNCTION("""COMPUTED_VALUE"""),"ОКС")</f>
        <v>ОКС</v>
      </c>
      <c r="D111" s="60"/>
      <c r="E111" s="14" t="str">
        <f>IFERROR(__xludf.DUMMYFUNCTION("""COMPUTED_VALUE"""),"Строительство учебного корпуса на 300 мест (на месте сноса существующего здания школы), ЦАО, район Пресненский, Б. Тишинский пер., д. 39 район Пресненский, Б. Тишинский пер., д. 39")</f>
        <v>Строительство учебного корпуса на 300 мест (на месте сноса существующего здания школы), ЦАО, район Пресненский, Б. Тишинский пер., д. 39 район Пресненский, Б. Тишинский пер., д. 39</v>
      </c>
      <c r="F111" s="25" t="str">
        <f>IFERROR(__xludf.DUMMYFUNCTION("""COMPUTED_VALUE"""),"55.768527")</f>
        <v>55.768527</v>
      </c>
      <c r="G111" s="6" t="str">
        <f>IFERROR(__xludf.DUMMYFUNCTION("""COMPUTED_VALUE"""),"37.569809")</f>
        <v>37.569809</v>
      </c>
      <c r="H111" s="18" t="str">
        <f>IFERROR(__xludf.DUMMYFUNCTION("""COMPUTED_VALUE"""),"https://docs.google.com/spreadsheets/d/19THEBTE9q0fhN2eApZr6BgenIvLGh0AckaYxHQfHk5w/edit?gid=673886496#gid=673886496")</f>
        <v>https://docs.google.com/spreadsheets/d/19THEBTE9q0fhN2eApZr6BgenIvLGh0AckaYxHQfHk5w/edit?gid=673886496#gid=673886496</v>
      </c>
      <c r="I111" s="21" t="str">
        <f>IFERROR(__xludf.DUMMYFUNCTION("""COMPUTED_VALUE"""),"https://disk.yandex.ru/client/disk/%D0%9E%D1%81%D0%BC%D0%BE%D1%82%D1%80%D1%8B%20%D0%BE%D0%B1%D1%8A%D0%B5%D0%BA%D1%82%D0%BE%D0%B2%20%D0%90%D0%9D%D0%9E%20%D0%A1%D0%9C%D0%93/202.%20%D0%91.%20%D0%A2%D0%B8%D1%88%D0%B8%D0%BD%D1%81%D0%BA%D0%B8%D0%B9%20%D0%BF%D0%"&amp;"B5%D1%80.%20%D0%B4.39%20")</f>
        <v>https://disk.yandex.ru/client/disk/%D0%9E%D1%81%D0%BC%D0%BE%D1%82%D1%80%D1%8B%20%D0%BE%D0%B1%D1%8A%D0%B5%D0%BA%D1%82%D0%BE%D0%B2%20%D0%90%D0%9D%D0%9E%20%D0%A1%D0%9C%D0%93/202.%20%D0%91.%20%D0%A2%D0%B8%D1%88%D0%B8%D0%BD%D1%81%D0%BA%D0%B8%D0%B9%20%D0%BF%D0%B5%D1%80.%20%D0%B4.39%20</v>
      </c>
      <c r="J111" s="50">
        <f>IFERROR(__xludf.DUMMYFUNCTION("""COMPUTED_VALUE"""),99.9525)</f>
        <v>99.9525</v>
      </c>
      <c r="K111" s="58">
        <f>IFERROR(__xludf.DUMMYFUNCTION("""COMPUTED_VALUE"""),45966.0)</f>
        <v>45966</v>
      </c>
      <c r="L111" s="6">
        <v>7.0</v>
      </c>
      <c r="M111" s="52">
        <v>45973.0</v>
      </c>
      <c r="N111" s="53" t="s">
        <v>652</v>
      </c>
      <c r="O111" s="19" t="s">
        <v>728</v>
      </c>
      <c r="P111" s="6"/>
      <c r="Q111" s="6" t="str">
        <f t="shared" si="1"/>
        <v>#N/A</v>
      </c>
      <c r="R111" s="6"/>
    </row>
    <row r="112" hidden="1">
      <c r="A112" s="31" t="str">
        <f>IFERROR(__xludf.DUMMYFUNCTION("""COMPUTED_VALUE"""),"182")</f>
        <v>182</v>
      </c>
      <c r="B112" s="14" t="str">
        <f>IFERROR(__xludf.DUMMYFUNCTION("""COMPUTED_VALUE"""),"АИП-25")</f>
        <v>АИП-25</v>
      </c>
      <c r="C112" s="14" t="str">
        <f>IFERROR(__xludf.DUMMYFUNCTION("""COMPUTED_VALUE"""),"ОКС")</f>
        <v>ОКС</v>
      </c>
      <c r="D112" s="15"/>
      <c r="E112" s="14" t="str">
        <f>IFERROR(__xludf.DUMMYFUNCTION("""COMPUTED_VALUE"""),"Учебный корпус на 400 мест на месте сноса существующего здания, 2-я Пугачевская ул., д. 12А район Преображенское, ул. 2-я Пугачевская, д. 12А")</f>
        <v>Учебный корпус на 400 мест на месте сноса существующего здания, 2-я Пугачевская ул., д. 12А район Преображенское, ул. 2-я Пугачевская, д. 12А</v>
      </c>
      <c r="F112" s="25" t="str">
        <f>IFERROR(__xludf.DUMMYFUNCTION("""COMPUTED_VALUE"""),"#N/A")</f>
        <v>#N/A</v>
      </c>
      <c r="G112" s="6" t="str">
        <f>IFERROR(__xludf.DUMMYFUNCTION("""COMPUTED_VALUE"""),"#N/A")</f>
        <v>#N/A</v>
      </c>
      <c r="H112" s="18" t="str">
        <f>IFERROR(__xludf.DUMMYFUNCTION("""COMPUTED_VALUE"""),"https://docs.google.com/spreadsheets/d/19THEBTE9q0fhN2eApZr6BgenIvLGh0AckaYxHQfHk5w/edit?gid=1005264754#gid=1005264754")</f>
        <v>https://docs.google.com/spreadsheets/d/19THEBTE9q0fhN2eApZr6BgenIvLGh0AckaYxHQfHk5w/edit?gid=1005264754#gid=1005264754</v>
      </c>
      <c r="I112" s="19" t="str">
        <f>IFERROR(__xludf.DUMMYFUNCTION("""COMPUTED_VALUE"""),"https://disk.yandex.ru/client/disk/Осмотры%20объектов%20АНО%20СМГ/182.%202-я%20Пугачёвская%2C%20д%2012А")</f>
        <v>https://disk.yandex.ru/client/disk/Осмотры%20объектов%20АНО%20СМГ/182.%202-я%20Пугачёвская%2C%20д%2012А</v>
      </c>
      <c r="J112" s="50">
        <f>IFERROR(__xludf.DUMMYFUNCTION("""COMPUTED_VALUE"""),100.0)</f>
        <v>100</v>
      </c>
      <c r="K112" s="58">
        <f>IFERROR(__xludf.DUMMYFUNCTION("""COMPUTED_VALUE"""),45903.0)</f>
        <v>45903</v>
      </c>
      <c r="L112" s="6" t="s">
        <v>654</v>
      </c>
      <c r="M112" s="52" t="s">
        <v>655</v>
      </c>
      <c r="N112" s="53" t="s">
        <v>656</v>
      </c>
      <c r="O112" s="19" t="s">
        <v>729</v>
      </c>
      <c r="P112" s="6"/>
      <c r="Q112" s="6" t="str">
        <f t="shared" si="1"/>
        <v>#N/A</v>
      </c>
      <c r="R112" s="6"/>
    </row>
    <row r="113" hidden="1">
      <c r="A113" s="31" t="str">
        <f>IFERROR(__xludf.DUMMYFUNCTION("""COMPUTED_VALUE"""),"181")</f>
        <v>181</v>
      </c>
      <c r="B113" s="14" t="str">
        <f>IFERROR(__xludf.DUMMYFUNCTION("""COMPUTED_VALUE"""),"АИП-25")</f>
        <v>АИП-25</v>
      </c>
      <c r="C113" s="14" t="str">
        <f>IFERROR(__xludf.DUMMYFUNCTION("""COMPUTED_VALUE"""),"ОКС")</f>
        <v>ОКС</v>
      </c>
      <c r="D113" s="15"/>
      <c r="E113" s="14" t="str">
        <f>IFERROR(__xludf.DUMMYFUNCTION("""COMPUTED_VALUE"""),"Осмотр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f>
        <v>Осмотр хода строительства учебного корпуса на 400 мест (на месте сноса здания школы), ЦАО, район Пресненский, Причальный пр., вл. 7, стр. 1, стр. 1/1 Пресненского района, Причальный проезд, вл. 7, стр. 1, стр. 1/1</v>
      </c>
      <c r="F113" s="25" t="str">
        <f>IFERROR(__xludf.DUMMYFUNCTION("""COMPUTED_VALUE"""),"55.759260")</f>
        <v>55.759260</v>
      </c>
      <c r="G113" s="6" t="str">
        <f>IFERROR(__xludf.DUMMYFUNCTION("""COMPUTED_VALUE"""),"37.518414")</f>
        <v>37.518414</v>
      </c>
      <c r="H113" s="18" t="str">
        <f>IFERROR(__xludf.DUMMYFUNCTION("""COMPUTED_VALUE"""),"https://docs.google.com/spreadsheets/d/19THEBTE9q0fhN2eApZr6BgenIvLGh0AckaYxHQfHk5w/edit?gid=2057787589#gid=2057787589")</f>
        <v>https://docs.google.com/spreadsheets/d/19THEBTE9q0fhN2eApZr6BgenIvLGh0AckaYxHQfHk5w/edit?gid=2057787589#gid=2057787589</v>
      </c>
      <c r="I113" s="19" t="str">
        <f>IFERROR(__xludf.DUMMYFUNCTION("""COMPUTED_VALUE"""),"https://disk.yandex.ru/client/disk/Осмотры%20объектов%20АНО%20СМГ/181.Причальный%20проезд%20школа%20на%20400%20мест")</f>
        <v>https://disk.yandex.ru/client/disk/Осмотры%20объектов%20АНО%20СМГ/181.Причальный%20проезд%20школа%20на%20400%20мест</v>
      </c>
      <c r="J113" s="50">
        <f>IFERROR(__xludf.DUMMYFUNCTION("""COMPUTED_VALUE"""),99.97749999999999)</f>
        <v>99.9775</v>
      </c>
      <c r="K113" s="58">
        <f>IFERROR(__xludf.DUMMYFUNCTION("""COMPUTED_VALUE"""),45973.0)</f>
        <v>45973</v>
      </c>
      <c r="L113" s="6">
        <v>7.0</v>
      </c>
      <c r="M113" s="52">
        <v>45980.0</v>
      </c>
      <c r="N113" s="53" t="s">
        <v>652</v>
      </c>
      <c r="O113" s="61" t="s">
        <v>730</v>
      </c>
      <c r="P113" s="6"/>
      <c r="Q113" s="6" t="str">
        <f t="shared" si="1"/>
        <v>#N/A</v>
      </c>
      <c r="R113" s="6"/>
    </row>
    <row r="114" hidden="1">
      <c r="A114" s="31" t="str">
        <f>IFERROR(__xludf.DUMMYFUNCTION("""COMPUTED_VALUE"""),"203")</f>
        <v>203</v>
      </c>
      <c r="B114" s="14" t="str">
        <f>IFERROR(__xludf.DUMMYFUNCTION("""COMPUTED_VALUE"""),"АИП-25")</f>
        <v>АИП-25</v>
      </c>
      <c r="C114" s="14" t="str">
        <f>IFERROR(__xludf.DUMMYFUNCTION("""COMPUTED_VALUE"""),"ОКС")</f>
        <v>ОКС</v>
      </c>
      <c r="D114" s="15"/>
      <c r="E114" s="14" t="str">
        <f>IFERROR(__xludf.DUMMYFUNCTION("""COMPUTED_VALUE"""),"Школа на 550 мест, р-н Свиблово, пр-д Русанова, к. 50 (участок 80) район Свиблово, проезд Русанова, корп. 50 (участок 80)")</f>
        <v>Школа на 550 мест, р-н Свиблово, пр-д Русанова, к. 50 (участок 80) район Свиблово, проезд Русанова, корп. 50 (участок 80)</v>
      </c>
      <c r="F114" s="25" t="str">
        <f>IFERROR(__xludf.DUMMYFUNCTION("""COMPUTED_VALUE"""),"55.855742")</f>
        <v>55.855742</v>
      </c>
      <c r="G114" s="6" t="str">
        <f>IFERROR(__xludf.DUMMYFUNCTION("""COMPUTED_VALUE"""),"37.640416")</f>
        <v>37.640416</v>
      </c>
      <c r="H114" s="18" t="str">
        <f>IFERROR(__xludf.DUMMYFUNCTION("""COMPUTED_VALUE"""),"https://docs.google.com/spreadsheets/d/19THEBTE9q0fhN2eApZr6BgenIvLGh0AckaYxHQfHk5w/edit?gid=566495818#gid=566495818")</f>
        <v>https://docs.google.com/spreadsheets/d/19THEBTE9q0fhN2eApZr6BgenIvLGh0AckaYxHQfHk5w/edit?gid=566495818#gid=566495818</v>
      </c>
      <c r="I114" s="19" t="str">
        <f>IFERROR(__xludf.DUMMYFUNCTION("""COMPUTED_VALUE"""),"https://disk.yandex.ru/client/disk/Осмотры%20объектов%20АНО%20СМГ/203.%20Школа%20на%20550%20мест.%20Русанова%20корпус%2050")</f>
        <v>https://disk.yandex.ru/client/disk/Осмотры%20объектов%20АНО%20СМГ/203.%20Школа%20на%20550%20мест.%20Русанова%20корпус%2050</v>
      </c>
      <c r="J114" s="50">
        <f>IFERROR(__xludf.DUMMYFUNCTION("""COMPUTED_VALUE"""),99.965)</f>
        <v>99.965</v>
      </c>
      <c r="K114" s="58">
        <f>IFERROR(__xludf.DUMMYFUNCTION("""COMPUTED_VALUE"""),45966.0)</f>
        <v>45966</v>
      </c>
      <c r="L114" s="6">
        <v>7.0</v>
      </c>
      <c r="M114" s="52">
        <v>45973.0</v>
      </c>
      <c r="N114" s="53" t="s">
        <v>652</v>
      </c>
      <c r="O114" s="19" t="s">
        <v>731</v>
      </c>
      <c r="P114" s="6"/>
      <c r="Q114" s="6" t="str">
        <f t="shared" si="1"/>
        <v>#N/A</v>
      </c>
      <c r="R114" s="6"/>
    </row>
    <row r="115" hidden="1">
      <c r="A115" s="31" t="str">
        <f>IFERROR(__xludf.DUMMYFUNCTION("""COMPUTED_VALUE"""),"251")</f>
        <v>251</v>
      </c>
      <c r="B115" s="14" t="str">
        <f>IFERROR(__xludf.DUMMYFUNCTION("""COMPUTED_VALUE"""),"АИП-26")</f>
        <v>АИП-26</v>
      </c>
      <c r="C115" s="14" t="str">
        <f>IFERROR(__xludf.DUMMYFUNCTION("""COMPUTED_VALUE"""),"ОКС")</f>
        <v>ОКС</v>
      </c>
      <c r="D115" s="15"/>
      <c r="E115" s="14" t="str">
        <f>IFERROR(__xludf.DUMMYFUNCTION("""COMPUTED_VALUE"""),"Учебный корпус на 400 мест на месте сноса  неиспользуемого здания ДОУ,  ул. Генерала Глаголева, д. 5, к. 3 район Хорошёво-Мнёвники, ул. Генерала Глаголева, д. 5, к. 3")</f>
        <v>Учебный корпус на 400 мест на месте сноса  неиспользуемого здания ДОУ,  ул. Генерала Глаголева, д. 5, к. 3 район Хорошёво-Мнёвники, ул. Генерала Глаголева, д. 5, к. 3</v>
      </c>
      <c r="F115" s="25" t="str">
        <f>IFERROR(__xludf.DUMMYFUNCTION("""COMPUTED_VALUE"""),"55.779978")</f>
        <v>55.779978</v>
      </c>
      <c r="G115" s="6" t="str">
        <f>IFERROR(__xludf.DUMMYFUNCTION("""COMPUTED_VALUE"""),"37.457480")</f>
        <v>37.457480</v>
      </c>
      <c r="H115" s="18" t="str">
        <f>IFERROR(__xludf.DUMMYFUNCTION("""COMPUTED_VALUE"""),"https://docs.google.com/spreadsheets/d/19THEBTE9q0fhN2eApZr6BgenIvLGh0AckaYxHQfHk5w/edit?gid=1755627096#gid=1755627096")</f>
        <v>https://docs.google.com/spreadsheets/d/19THEBTE9q0fhN2eApZr6BgenIvLGh0AckaYxHQfHk5w/edit?gid=1755627096#gid=1755627096</v>
      </c>
      <c r="I115" s="19" t="str">
        <f>IFERROR(__xludf.DUMMYFUNCTION("""COMPUTED_VALUE"""),"https://disk.yandex.ru/client/disk/Осмотры%20объектов%20АНО%20СМГ/251.%20школа%20400%20мест%20Генерала%20Глаголева")</f>
        <v>https://disk.yandex.ru/client/disk/Осмотры%20объектов%20АНО%20СМГ/251.%20школа%20400%20мест%20Генерала%20Глаголева</v>
      </c>
      <c r="J115" s="50">
        <f>IFERROR(__xludf.DUMMYFUNCTION("""COMPUTED_VALUE"""),70.3643)</f>
        <v>70.3643</v>
      </c>
      <c r="K115" s="58">
        <f>IFERROR(__xludf.DUMMYFUNCTION("""COMPUTED_VALUE"""),45972.0)</f>
        <v>45972</v>
      </c>
      <c r="L115" s="6">
        <v>14.0</v>
      </c>
      <c r="M115" s="52">
        <v>45986.0</v>
      </c>
      <c r="N115" s="53" t="s">
        <v>711</v>
      </c>
      <c r="O115" s="19" t="s">
        <v>732</v>
      </c>
      <c r="P115" s="6"/>
      <c r="Q115" s="6" t="str">
        <f t="shared" si="1"/>
        <v>#N/A</v>
      </c>
      <c r="R115" s="6"/>
    </row>
    <row r="116" hidden="1">
      <c r="A116" s="31" t="str">
        <f>IFERROR(__xludf.DUMMYFUNCTION("""COMPUTED_VALUE"""),"257")</f>
        <v>257</v>
      </c>
      <c r="B116" s="14" t="str">
        <f>IFERROR(__xludf.DUMMYFUNCTION("""COMPUTED_VALUE"""),"АИП-25")</f>
        <v>АИП-25</v>
      </c>
      <c r="C116" s="14" t="str">
        <f>IFERROR(__xludf.DUMMYFUNCTION("""COMPUTED_VALUE"""),"ОКС+УДС")</f>
        <v>ОКС+УДС</v>
      </c>
      <c r="D116" s="15"/>
      <c r="E116" s="14" t="str">
        <f>IFERROR(__xludf.DUMMYFUNCTION("""COMPUTED_VALUE"""),"Участок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f>
        <v>Участок проектируемого проезда №894 с инженерными коммуникациями для жилых домов по адресу: ул. Николая Старостина, напротив вл. 8 район Косино-Ухтомский, ул. Николая Старостина, напротив вл. 8</v>
      </c>
      <c r="F116" s="25" t="str">
        <f>IFERROR(__xludf.DUMMYFUNCTION("""COMPUTED_VALUE"""),"55.730687")</f>
        <v>55.730687</v>
      </c>
      <c r="G116" s="6" t="str">
        <f>IFERROR(__xludf.DUMMYFUNCTION("""COMPUTED_VALUE"""),"37.857446")</f>
        <v>37.857446</v>
      </c>
      <c r="H116" s="18" t="str">
        <f>IFERROR(__xludf.DUMMYFUNCTION("""COMPUTED_VALUE"""),"https://docs.google.com/spreadsheets/d/19THEBTE9q0fhN2eApZr6BgenIvLGh0AckaYxHQfHk5w/edit?gid=1460101979#gid=1460101979")</f>
        <v>https://docs.google.com/spreadsheets/d/19THEBTE9q0fhN2eApZr6BgenIvLGh0AckaYxHQfHk5w/edit?gid=1460101979#gid=1460101979</v>
      </c>
      <c r="I116" s="19" t="str">
        <f>IFERROR(__xludf.DUMMYFUNCTION("""COMPUTED_VALUE"""),"https://disk.yandex.ru/client/disk/Осмотры%20объектов%20АНО%20СМГ/257.%20Проезд%20№%20894%20для%20жилых%20зданий%2C%20ул.%20Николая%20Старостина%2C%20напротив%20вл.%208")</f>
        <v>https://disk.yandex.ru/client/disk/Осмотры%20объектов%20АНО%20СМГ/257.%20Проезд%20№%20894%20для%20жилых%20зданий%2C%20ул.%20Николая%20Старостина%2C%20напротив%20вл.%208</v>
      </c>
      <c r="J116" s="50">
        <f>IFERROR(__xludf.DUMMYFUNCTION("""COMPUTED_VALUE"""),100.0)</f>
        <v>100</v>
      </c>
      <c r="K116" s="58">
        <f>IFERROR(__xludf.DUMMYFUNCTION("""COMPUTED_VALUE"""),45974.0)</f>
        <v>45974</v>
      </c>
      <c r="L116" s="6" t="s">
        <v>654</v>
      </c>
      <c r="M116" s="52" t="s">
        <v>655</v>
      </c>
      <c r="N116" s="53" t="s">
        <v>656</v>
      </c>
      <c r="O116" s="19" t="s">
        <v>733</v>
      </c>
      <c r="P116" s="6"/>
      <c r="Q116" s="6" t="str">
        <f t="shared" si="1"/>
        <v>#N/A</v>
      </c>
      <c r="R116" s="6"/>
    </row>
    <row r="117" hidden="1">
      <c r="A117" s="31" t="str">
        <f>IFERROR(__xludf.DUMMYFUNCTION("""COMPUTED_VALUE"""),"046")</f>
        <v>046</v>
      </c>
      <c r="B117" s="14" t="str">
        <f>IFERROR(__xludf.DUMMYFUNCTION("""COMPUTED_VALUE"""),"ВНЕ СПИСКА")</f>
        <v>ВНЕ СПИСКА</v>
      </c>
      <c r="C117" s="14" t="str">
        <f>IFERROR(__xludf.DUMMYFUNCTION("""COMPUTED_VALUE"""),"ОКС")</f>
        <v>ОКС</v>
      </c>
      <c r="D117" s="15" t="str">
        <f>IFERROR(__xludf.DUMMYFUNCTION("""COMPUTED_VALUE"""),"да")</f>
        <v>да</v>
      </c>
      <c r="E117" s="14" t="str">
        <f>IFERROR(__xludf.DUMMYFUNCTION("""COMPUTED_VALUE"""),"Образовательный комплекс (СОШ 1275, ДОУ 350)
НАО, поселение Сосенское, 
п. Коммунарка кв. 26, з/у 3/3 поселение Сосенское, п. Коммунарка, квартал 26, з/у. 3/3, Лобановский Лес, д.2")</f>
        <v>Образовательный комплекс (СОШ 1275, ДОУ 350)
НАО, поселение Сосенское, 
п. Коммунарка кв. 26, з/у 3/3 поселение Сосенское, п. Коммунарка, квартал 26, з/у. 3/3, Лобановский Лес, д.2</v>
      </c>
      <c r="F117" s="25" t="str">
        <f>IFERROR(__xludf.DUMMYFUNCTION("""COMPUTED_VALUE"""),"#N/A")</f>
        <v>#N/A</v>
      </c>
      <c r="G117" s="6" t="str">
        <f>IFERROR(__xludf.DUMMYFUNCTION("""COMPUTED_VALUE"""),"#N/A")</f>
        <v>#N/A</v>
      </c>
      <c r="H117" s="18" t="str">
        <f>IFERROR(__xludf.DUMMYFUNCTION("""COMPUTED_VALUE"""),"https://docs.google.com/spreadsheets/d/1EI7qusa674eJhuaw-nWWtWMEHVSYMQv7HLsInEZTWpE/edit?gid=1724951288#gid=1724951288")</f>
        <v>https://docs.google.com/spreadsheets/d/1EI7qusa674eJhuaw-nWWtWMEHVSYMQv7HLsInEZTWpE/edit?gid=1724951288#gid=1724951288</v>
      </c>
      <c r="I117" s="19" t="str">
        <f>IFERROR(__xludf.DUMMYFUNCTION("""COMPUTED_VALUE"""),"https://disk.yandex.ru/client/disk/Осмотры%20объектов%20АНО%20СМГ/046.%20СОШ%201275%2C%20ДОУ%20350%20п.Коммунарка%20кв.26%2C%20зу%203")</f>
        <v>https://disk.yandex.ru/client/disk/Осмотры%20объектов%20АНО%20СМГ/046.%20СОШ%201275%2C%20ДОУ%20350%20п.Коммунарка%20кв.26%2C%20зу%203</v>
      </c>
      <c r="J117" s="50">
        <f>IFERROR(__xludf.DUMMYFUNCTION("""COMPUTED_VALUE"""),100.0)</f>
        <v>100</v>
      </c>
      <c r="K117" s="58">
        <f>IFERROR(__xludf.DUMMYFUNCTION("""COMPUTED_VALUE"""),45901.0)</f>
        <v>45901</v>
      </c>
      <c r="L117" s="6" t="s">
        <v>654</v>
      </c>
      <c r="M117" s="52" t="s">
        <v>655</v>
      </c>
      <c r="N117" s="53" t="s">
        <v>656</v>
      </c>
      <c r="O117" s="19" t="s">
        <v>734</v>
      </c>
      <c r="P117" s="6"/>
      <c r="Q117" s="6" t="str">
        <f t="shared" si="1"/>
        <v>#N/A</v>
      </c>
      <c r="R117" s="6"/>
    </row>
    <row r="118" hidden="1">
      <c r="A118" s="31" t="str">
        <f>IFERROR(__xludf.DUMMYFUNCTION("""COMPUTED_VALUE"""),"177")</f>
        <v>177</v>
      </c>
      <c r="B118" s="14" t="str">
        <f>IFERROR(__xludf.DUMMYFUNCTION("""COMPUTED_VALUE"""),"АИП-25")</f>
        <v>АИП-25</v>
      </c>
      <c r="C118" s="14" t="str">
        <f>IFERROR(__xludf.DUMMYFUNCTION("""COMPUTED_VALUE"""),"ОКС")</f>
        <v>ОКС</v>
      </c>
      <c r="D118" s="15"/>
      <c r="E118" s="14" t="str">
        <f>IFERROR(__xludf.DUMMYFUNCTION("""COMPUTED_VALUE"""),"Административное здание,
 ул. 9-я Северная линия, д. 25, корп. 2 район Северный, ул. 9-я Северная линия, дом 1/5; дом 1/5, строение 1")</f>
        <v>Административное здание,
 ул. 9-я Северная линия, д. 25, корп. 2 район Северный, ул. 9-я Северная линия, дом 1/5; дом 1/5, строение 1</v>
      </c>
      <c r="F118" s="25" t="str">
        <f>IFERROR(__xludf.DUMMYFUNCTION("""COMPUTED_VALUE"""),"55.934353")</f>
        <v>55.934353</v>
      </c>
      <c r="G118" s="6" t="str">
        <f>IFERROR(__xludf.DUMMYFUNCTION("""COMPUTED_VALUE"""),"37.556572")</f>
        <v>37.556572</v>
      </c>
      <c r="H118" s="18" t="str">
        <f>IFERROR(__xludf.DUMMYFUNCTION("""COMPUTED_VALUE"""),"https://docs.google.com/spreadsheets/d/19THEBTE9q0fhN2eApZr6BgenIvLGh0AckaYxHQfHk5w/edit?gid=1645222765#gid=1645222765")</f>
        <v>https://docs.google.com/spreadsheets/d/19THEBTE9q0fhN2eApZr6BgenIvLGh0AckaYxHQfHk5w/edit?gid=1645222765#gid=1645222765</v>
      </c>
      <c r="I118" s="19" t="str">
        <f>IFERROR(__xludf.DUMMYFUNCTION("""COMPUTED_VALUE"""),"https://disk.yandex.ru/client/disk/Осмотры%20объектов%20АНО%20СМГ/177.%209-я%20Северная%20линия%20д25%20корп2%20Административное%20здание")</f>
        <v>https://disk.yandex.ru/client/disk/Осмотры%20объектов%20АНО%20СМГ/177.%209-я%20Северная%20линия%20д25%20корп2%20Административное%20здание</v>
      </c>
      <c r="J118" s="50">
        <f>IFERROR(__xludf.DUMMYFUNCTION("""COMPUTED_VALUE"""),100.0)</f>
        <v>100</v>
      </c>
      <c r="K118" s="58">
        <f>IFERROR(__xludf.DUMMYFUNCTION("""COMPUTED_VALUE"""),45971.0)</f>
        <v>45971</v>
      </c>
      <c r="L118" s="6" t="s">
        <v>654</v>
      </c>
      <c r="M118" s="52" t="s">
        <v>655</v>
      </c>
      <c r="N118" s="53" t="s">
        <v>656</v>
      </c>
      <c r="O118" s="19" t="s">
        <v>735</v>
      </c>
      <c r="P118" s="6"/>
      <c r="Q118" s="6" t="str">
        <f t="shared" si="1"/>
        <v>#N/A</v>
      </c>
      <c r="R118" s="6"/>
    </row>
    <row r="119" hidden="1">
      <c r="A119" s="31" t="str">
        <f>IFERROR(__xludf.DUMMYFUNCTION("""COMPUTED_VALUE"""),"180")</f>
        <v>180</v>
      </c>
      <c r="B119" s="14" t="str">
        <f>IFERROR(__xludf.DUMMYFUNCTION("""COMPUTED_VALUE"""),"АИП-25")</f>
        <v>АИП-25</v>
      </c>
      <c r="C119" s="14" t="str">
        <f>IFERROR(__xludf.DUMMYFUNCTION("""COMPUTED_VALUE"""),"ОКС")</f>
        <v>ОКС</v>
      </c>
      <c r="D119" s="15"/>
      <c r="E119" s="14" t="str">
        <f>IFERROR(__xludf.DUMMYFUNCTION("""COMPUTED_VALUE"""),"Административное здание, мкр. Щербинка,  общественная зона вдоль Варшавского шоссе (участок 2) мкр. Щербинка, общественная зона вдоль Варшавского шоссе 
(участок 2), р-н Южное Бутово, ул. Захарьинские Дворики, д. 2, д. 2 стр.1")</f>
        <v>Административное здание, мкр. Щербинка,  общественная зона вдоль Варшавского шоссе (участок 2) мкр. Щербинка, общественная зона вдоль Варшавского шоссе 
(участок 2), р-н Южное Бутово, ул. Захарьинские Дворики, д. 2, д. 2 стр.1</v>
      </c>
      <c r="F119" s="25" t="str">
        <f>IFERROR(__xludf.DUMMYFUNCTION("""COMPUTED_VALUE"""),"55.505055")</f>
        <v>55.505055</v>
      </c>
      <c r="G119" s="6" t="str">
        <f>IFERROR(__xludf.DUMMYFUNCTION("""COMPUTED_VALUE"""),"37.574403")</f>
        <v>37.574403</v>
      </c>
      <c r="H119" s="18" t="str">
        <f>IFERROR(__xludf.DUMMYFUNCTION("""COMPUTED_VALUE"""),"https://docs.google.com/spreadsheets/d/19THEBTE9q0fhN2eApZr6BgenIvLGh0AckaYxHQfHk5w/edit?gid=649028784#gid=649028784")</f>
        <v>https://docs.google.com/spreadsheets/d/19THEBTE9q0fhN2eApZr6BgenIvLGh0AckaYxHQfHk5w/edit?gid=649028784#gid=649028784</v>
      </c>
      <c r="I119" s="19" t="str">
        <f>IFERROR(__xludf.DUMMYFUNCTION("""COMPUTED_VALUE"""),"https://disk.yandex.ru/client/disk/Осмотры%20объектов%20АНО%20СМГ/180.%20Щербинка.%20Административное%20здание.")</f>
        <v>https://disk.yandex.ru/client/disk/Осмотры%20объектов%20АНО%20СМГ/180.%20Щербинка.%20Административное%20здание.</v>
      </c>
      <c r="J119" s="50">
        <f>IFERROR(__xludf.DUMMYFUNCTION("""COMPUTED_VALUE"""),99.647165)</f>
        <v>99.647165</v>
      </c>
      <c r="K119" s="58">
        <f>IFERROR(__xludf.DUMMYFUNCTION("""COMPUTED_VALUE"""),45957.0)</f>
        <v>45957</v>
      </c>
      <c r="L119" s="6">
        <v>7.0</v>
      </c>
      <c r="M119" s="52">
        <v>45964.0</v>
      </c>
      <c r="N119" s="53" t="s">
        <v>652</v>
      </c>
      <c r="O119" s="19" t="s">
        <v>736</v>
      </c>
      <c r="P119" s="6"/>
      <c r="Q119" s="6" t="str">
        <f t="shared" si="1"/>
        <v>#N/A</v>
      </c>
      <c r="R119" s="6"/>
    </row>
    <row r="120" hidden="1">
      <c r="A120" s="31" t="str">
        <f>IFERROR(__xludf.DUMMYFUNCTION("""COMPUTED_VALUE"""),"247")</f>
        <v>247</v>
      </c>
      <c r="B120" s="14" t="str">
        <f>IFERROR(__xludf.DUMMYFUNCTION("""COMPUTED_VALUE"""),"АИП-25")</f>
        <v>АИП-25</v>
      </c>
      <c r="C120" s="14" t="str">
        <f>IFERROR(__xludf.DUMMYFUNCTION("""COMPUTED_VALUE"""),"ОКС")</f>
        <v>ОКС</v>
      </c>
      <c r="D120" s="15"/>
      <c r="E120" s="14" t="str">
        <f>IFERROR(__xludf.DUMMYFUNCTION("""COMPUTED_VALUE"""),"ЖК «Воскресенское», жилой дом, пос. Воскресенское, корп. 4 пос. Воскресенское, д.41, корп. 4")</f>
        <v>ЖК «Воскресенское», жилой дом, пос. Воскресенское, корп. 4 пос. Воскресенское, д.41, корп. 4</v>
      </c>
      <c r="F120" s="25" t="str">
        <f>IFERROR(__xludf.DUMMYFUNCTION("""COMPUTED_VALUE"""),"#N/A")</f>
        <v>#N/A</v>
      </c>
      <c r="G120" s="6" t="str">
        <f>IFERROR(__xludf.DUMMYFUNCTION("""COMPUTED_VALUE"""),"#N/A")</f>
        <v>#N/A</v>
      </c>
      <c r="H120" s="18" t="str">
        <f>IFERROR(__xludf.DUMMYFUNCTION("""COMPUTED_VALUE"""),"https://docs.google.com/spreadsheets/d/19THEBTE9q0fhN2eApZr6BgenIvLGh0AckaYxHQfHk5w/edit?gid=1519561806#gid=1519561806")</f>
        <v>https://docs.google.com/spreadsheets/d/19THEBTE9q0fhN2eApZr6BgenIvLGh0AckaYxHQfHk5w/edit?gid=1519561806#gid=1519561806</v>
      </c>
      <c r="I120" s="19" t="str">
        <f>IFERROR(__xludf.DUMMYFUNCTION("""COMPUTED_VALUE"""),"https://disk.yandex.ru/client/disk/Осмотры%20объектов%20АНО%20СМГ/247.%20Жк%20Воскресенское%20к%204")</f>
        <v>https://disk.yandex.ru/client/disk/Осмотры%20объектов%20АНО%20СМГ/247.%20Жк%20Воскресенское%20к%204</v>
      </c>
      <c r="J120" s="50">
        <f>IFERROR(__xludf.DUMMYFUNCTION("""COMPUTED_VALUE"""),100.0)</f>
        <v>100</v>
      </c>
      <c r="K120" s="58">
        <f>IFERROR(__xludf.DUMMYFUNCTION("""COMPUTED_VALUE"""),45860.0)</f>
        <v>45860</v>
      </c>
      <c r="L120" s="6" t="s">
        <v>654</v>
      </c>
      <c r="M120" s="52" t="s">
        <v>655</v>
      </c>
      <c r="N120" s="53" t="s">
        <v>656</v>
      </c>
      <c r="O120" s="19" t="s">
        <v>737</v>
      </c>
      <c r="P120" s="6"/>
      <c r="Q120" s="6" t="str">
        <f t="shared" si="1"/>
        <v>#N/A</v>
      </c>
      <c r="R120" s="6"/>
    </row>
    <row r="121" hidden="1">
      <c r="A121" s="31" t="str">
        <f>IFERROR(__xludf.DUMMYFUNCTION("""COMPUTED_VALUE"""),"246")</f>
        <v>246</v>
      </c>
      <c r="B121" s="14" t="str">
        <f>IFERROR(__xludf.DUMMYFUNCTION("""COMPUTED_VALUE"""),"АИП-25")</f>
        <v>АИП-25</v>
      </c>
      <c r="C121" s="14" t="str">
        <f>IFERROR(__xludf.DUMMYFUNCTION("""COMPUTED_VALUE"""),"ОКС")</f>
        <v>ОКС</v>
      </c>
      <c r="D121" s="60"/>
      <c r="E121" s="14" t="str">
        <f>IFERROR(__xludf.DUMMYFUNCTION("""COMPUTED_VALUE"""),"ЖК «Воскресенское», жилой дом, пос. Воскресенское, корп. 3 пос. Воскресенское, д.41, корп. 3")</f>
        <v>ЖК «Воскресенское», жилой дом, пос. Воскресенское, корп. 3 пос. Воскресенское, д.41, корп. 3</v>
      </c>
      <c r="F121" s="25" t="str">
        <f>IFERROR(__xludf.DUMMYFUNCTION("""COMPUTED_VALUE"""),"#N/A")</f>
        <v>#N/A</v>
      </c>
      <c r="G121" s="6" t="str">
        <f>IFERROR(__xludf.DUMMYFUNCTION("""COMPUTED_VALUE"""),"#N/A")</f>
        <v>#N/A</v>
      </c>
      <c r="H121" s="18" t="str">
        <f>IFERROR(__xludf.DUMMYFUNCTION("""COMPUTED_VALUE"""),"https://docs.google.com/spreadsheets/d/19THEBTE9q0fhN2eApZr6BgenIvLGh0AckaYxHQfHk5w/edit?gid=1434066436#gid=1434066436")</f>
        <v>https://docs.google.com/spreadsheets/d/19THEBTE9q0fhN2eApZr6BgenIvLGh0AckaYxHQfHk5w/edit?gid=1434066436#gid=1434066436</v>
      </c>
      <c r="I121" s="19" t="str">
        <f>IFERROR(__xludf.DUMMYFUNCTION("""COMPUTED_VALUE"""),"https://disk.yandex.ru/client/disk/Осмотры%20объектов%20АНО%20СМГ/246.%20Жк%20Воскресенское%20к%203")</f>
        <v>https://disk.yandex.ru/client/disk/Осмотры%20объектов%20АНО%20СМГ/246.%20Жк%20Воскресенское%20к%203</v>
      </c>
      <c r="J121" s="50">
        <f>IFERROR(__xludf.DUMMYFUNCTION("""COMPUTED_VALUE"""),100.0)</f>
        <v>100</v>
      </c>
      <c r="K121" s="58">
        <f>IFERROR(__xludf.DUMMYFUNCTION("""COMPUTED_VALUE"""),45860.0)</f>
        <v>45860</v>
      </c>
      <c r="L121" s="6" t="s">
        <v>654</v>
      </c>
      <c r="M121" s="52" t="s">
        <v>655</v>
      </c>
      <c r="N121" s="53" t="s">
        <v>656</v>
      </c>
      <c r="O121" s="19" t="s">
        <v>738</v>
      </c>
      <c r="P121" s="6"/>
      <c r="Q121" s="6" t="str">
        <f t="shared" si="1"/>
        <v>#N/A</v>
      </c>
      <c r="R121" s="6"/>
    </row>
    <row r="122" hidden="1">
      <c r="A122" s="31" t="str">
        <f>IFERROR(__xludf.DUMMYFUNCTION("""COMPUTED_VALUE"""),"245")</f>
        <v>245</v>
      </c>
      <c r="B122" s="14" t="str">
        <f>IFERROR(__xludf.DUMMYFUNCTION("""COMPUTED_VALUE"""),"АИП-25")</f>
        <v>АИП-25</v>
      </c>
      <c r="C122" s="14" t="str">
        <f>IFERROR(__xludf.DUMMYFUNCTION("""COMPUTED_VALUE"""),"ОКС")</f>
        <v>ОКС</v>
      </c>
      <c r="D122" s="15"/>
      <c r="E122" s="14" t="str">
        <f>IFERROR(__xludf.DUMMYFUNCTION("""COMPUTED_VALUE"""),"ЖК «Воскресенское», жилой дом, пос. Воскресенское, корп. 2 пос. Воскресенское, д.41, корп. 2")</f>
        <v>ЖК «Воскресенское», жилой дом, пос. Воскресенское, корп. 2 пос. Воскресенское, д.41, корп. 2</v>
      </c>
      <c r="F122" s="25" t="str">
        <f>IFERROR(__xludf.DUMMYFUNCTION("""COMPUTED_VALUE"""),"#N/A")</f>
        <v>#N/A</v>
      </c>
      <c r="G122" s="6" t="str">
        <f>IFERROR(__xludf.DUMMYFUNCTION("""COMPUTED_VALUE"""),"#N/A")</f>
        <v>#N/A</v>
      </c>
      <c r="H122" s="18" t="str">
        <f>IFERROR(__xludf.DUMMYFUNCTION("""COMPUTED_VALUE"""),"https://docs.google.com/spreadsheets/d/19THEBTE9q0fhN2eApZr6BgenIvLGh0AckaYxHQfHk5w/edit?gid=944368290#gid=944368290")</f>
        <v>https://docs.google.com/spreadsheets/d/19THEBTE9q0fhN2eApZr6BgenIvLGh0AckaYxHQfHk5w/edit?gid=944368290#gid=944368290</v>
      </c>
      <c r="I122" s="19" t="str">
        <f>IFERROR(__xludf.DUMMYFUNCTION("""COMPUTED_VALUE"""),"https://disk.yandex.ru/client/disk/Осмотры%20объектов%20АНО%20СМГ/245.%20Жк%20Воскресенское%20к%202")</f>
        <v>https://disk.yandex.ru/client/disk/Осмотры%20объектов%20АНО%20СМГ/245.%20Жк%20Воскресенское%20к%202</v>
      </c>
      <c r="J122" s="50">
        <f>IFERROR(__xludf.DUMMYFUNCTION("""COMPUTED_VALUE"""),100.0)</f>
        <v>100</v>
      </c>
      <c r="K122" s="58">
        <f>IFERROR(__xludf.DUMMYFUNCTION("""COMPUTED_VALUE"""),45860.0)</f>
        <v>45860</v>
      </c>
      <c r="L122" s="6" t="s">
        <v>654</v>
      </c>
      <c r="M122" s="52" t="s">
        <v>655</v>
      </c>
      <c r="N122" s="53" t="s">
        <v>656</v>
      </c>
      <c r="O122" s="19" t="s">
        <v>739</v>
      </c>
      <c r="P122" s="6"/>
      <c r="Q122" s="6" t="str">
        <f t="shared" si="1"/>
        <v>#N/A</v>
      </c>
      <c r="R122" s="6"/>
    </row>
    <row r="123" hidden="1">
      <c r="A123" s="31" t="str">
        <f>IFERROR(__xludf.DUMMYFUNCTION("""COMPUTED_VALUE"""),"244")</f>
        <v>244</v>
      </c>
      <c r="B123" s="14" t="str">
        <f>IFERROR(__xludf.DUMMYFUNCTION("""COMPUTED_VALUE"""),"АИП-25")</f>
        <v>АИП-25</v>
      </c>
      <c r="C123" s="14" t="str">
        <f>IFERROR(__xludf.DUMMYFUNCTION("""COMPUTED_VALUE"""),"ОКС")</f>
        <v>ОКС</v>
      </c>
      <c r="D123" s="15"/>
      <c r="E123" s="14" t="str">
        <f>IFERROR(__xludf.DUMMYFUNCTION("""COMPUTED_VALUE"""),"ЖК «Воскресенское», жилой дом, пос. Воскресенское, корп. 1 пос. Воскресенское, д.41, корп. 1")</f>
        <v>ЖК «Воскресенское», жилой дом, пос. Воскресенское, корп. 1 пос. Воскресенское, д.41, корп. 1</v>
      </c>
      <c r="F123" s="25" t="str">
        <f>IFERROR(__xludf.DUMMYFUNCTION("""COMPUTED_VALUE"""),"#N/A")</f>
        <v>#N/A</v>
      </c>
      <c r="G123" s="6" t="str">
        <f>IFERROR(__xludf.DUMMYFUNCTION("""COMPUTED_VALUE"""),"#N/A")</f>
        <v>#N/A</v>
      </c>
      <c r="H123" s="18" t="str">
        <f>IFERROR(__xludf.DUMMYFUNCTION("""COMPUTED_VALUE"""),"https://docs.google.com/spreadsheets/d/19THEBTE9q0fhN2eApZr6BgenIvLGh0AckaYxHQfHk5w/edit?gid=1462059153#gid=1462059153")</f>
        <v>https://docs.google.com/spreadsheets/d/19THEBTE9q0fhN2eApZr6BgenIvLGh0AckaYxHQfHk5w/edit?gid=1462059153#gid=1462059153</v>
      </c>
      <c r="I123" s="19" t="str">
        <f>IFERROR(__xludf.DUMMYFUNCTION("""COMPUTED_VALUE"""),"https://disk.yandex.ru/client/disk/Осмотры%20объектов%20АНО%20СМГ/244.%20Жк%20Воскресенское%20к%201")</f>
        <v>https://disk.yandex.ru/client/disk/Осмотры%20объектов%20АНО%20СМГ/244.%20Жк%20Воскресенское%20к%201</v>
      </c>
      <c r="J123" s="50">
        <f>IFERROR(__xludf.DUMMYFUNCTION("""COMPUTED_VALUE"""),99.2875)</f>
        <v>99.2875</v>
      </c>
      <c r="K123" s="58">
        <f>IFERROR(__xludf.DUMMYFUNCTION("""COMPUTED_VALUE"""),45860.0)</f>
        <v>45860</v>
      </c>
      <c r="L123" s="6">
        <v>7.0</v>
      </c>
      <c r="M123" s="52">
        <v>45867.0</v>
      </c>
      <c r="N123" s="53" t="s">
        <v>652</v>
      </c>
      <c r="O123" s="61" t="s">
        <v>740</v>
      </c>
      <c r="P123" s="6"/>
      <c r="Q123" s="6" t="str">
        <f t="shared" si="1"/>
        <v>#N/A</v>
      </c>
      <c r="R123" s="6"/>
    </row>
    <row r="124" hidden="1">
      <c r="A124" s="31" t="str">
        <f>IFERROR(__xludf.DUMMYFUNCTION("""COMPUTED_VALUE"""),"256")</f>
        <v>256</v>
      </c>
      <c r="B124" s="14" t="str">
        <f>IFERROR(__xludf.DUMMYFUNCTION("""COMPUTED_VALUE"""),"АИП-25")</f>
        <v>АИП-25</v>
      </c>
      <c r="C124" s="14" t="str">
        <f>IFERROR(__xludf.DUMMYFUNCTION("""COMPUTED_VALUE"""),"ОКС")</f>
        <v>ОКС</v>
      </c>
      <c r="D124" s="15"/>
      <c r="E124" s="14" t="str">
        <f>IFERROR(__xludf.DUMMYFUNCTION("""COMPUTED_VALUE"""),"Культурно-спортивный центр «Печатники»,  ул. Полбина, вл. 37  район Печатники, ул. Полбина, вл. 37")</f>
        <v>Культурно-спортивный центр «Печатники»,  ул. Полбина, вл. 37  район Печатники, ул. Полбина, вл. 37</v>
      </c>
      <c r="F124" s="25" t="str">
        <f>IFERROR(__xludf.DUMMYFUNCTION("""COMPUTED_VALUE"""),"55.671265")</f>
        <v>55.671265</v>
      </c>
      <c r="G124" s="6" t="str">
        <f>IFERROR(__xludf.DUMMYFUNCTION("""COMPUTED_VALUE"""),"37.724625")</f>
        <v>37.724625</v>
      </c>
      <c r="H124" s="18" t="str">
        <f>IFERROR(__xludf.DUMMYFUNCTION("""COMPUTED_VALUE"""),"https://docs.google.com/spreadsheets/d/19THEBTE9q0fhN2eApZr6BgenIvLGh0AckaYxHQfHk5w/edit?gid=1851450243#gid=1851450243")</f>
        <v>https://docs.google.com/spreadsheets/d/19THEBTE9q0fhN2eApZr6BgenIvLGh0AckaYxHQfHk5w/edit?gid=1851450243#gid=1851450243</v>
      </c>
      <c r="I124" s="19" t="str">
        <f>IFERROR(__xludf.DUMMYFUNCTION("""COMPUTED_VALUE"""),"https://disk.yandex.ru/client/disk/Осмотры%20объектов%20АНО%20СМГ/256.%20Культурно-спортивный%20центр%20%22Печатники%22%2C%20ул.%20Полбина%2C%20вл.%2037")</f>
        <v>https://disk.yandex.ru/client/disk/Осмотры%20объектов%20АНО%20СМГ/256.%20Культурно-спортивный%20центр%20%22Печатники%22%2C%20ул.%20Полбина%2C%20вл.%2037</v>
      </c>
      <c r="J124" s="50">
        <f>IFERROR(__xludf.DUMMYFUNCTION("""COMPUTED_VALUE"""),82.00247499999999)</f>
        <v>82.002475</v>
      </c>
      <c r="K124" s="58">
        <f>IFERROR(__xludf.DUMMYFUNCTION("""COMPUTED_VALUE"""),45967.0)</f>
        <v>45967</v>
      </c>
      <c r="L124" s="6">
        <v>14.0</v>
      </c>
      <c r="M124" s="52">
        <v>45981.0</v>
      </c>
      <c r="N124" s="53" t="s">
        <v>741</v>
      </c>
      <c r="O124" s="19" t="s">
        <v>742</v>
      </c>
      <c r="P124" s="6"/>
      <c r="Q124" s="6" t="str">
        <f t="shared" si="1"/>
        <v>#N/A</v>
      </c>
      <c r="R124" s="6"/>
    </row>
    <row r="125" hidden="1">
      <c r="A125" s="31" t="str">
        <f>IFERROR(__xludf.DUMMYFUNCTION("""COMPUTED_VALUE"""),"115")</f>
        <v>115</v>
      </c>
      <c r="B125" s="14" t="str">
        <f>IFERROR(__xludf.DUMMYFUNCTION("""COMPUTED_VALUE"""),"АИП-25")</f>
        <v>АИП-25</v>
      </c>
      <c r="C125" s="14" t="str">
        <f>IFERROR(__xludf.DUMMYFUNCTION("""COMPUTED_VALUE"""),"ОКС")</f>
        <v>ОКС</v>
      </c>
      <c r="D125" s="60"/>
      <c r="E125" s="14" t="str">
        <f>IFERROR(__xludf.DUMMYFUNCTION("""COMPUTED_VALUE"""),"Жилой комплекс «Академ Палас», проспект Вернадского, вл. 78 район Тропарево-Никулино, проспект Вернадского, вл. 78")</f>
        <v>Жилой комплекс «Академ Палас», проспект Вернадского, вл. 78 район Тропарево-Никулино, проспект Вернадского, вл. 78</v>
      </c>
      <c r="F125" s="25" t="str">
        <f>IFERROR(__xludf.DUMMYFUNCTION("""COMPUTED_VALUE"""),"55.667261")</f>
        <v>55.667261</v>
      </c>
      <c r="G125" s="6" t="str">
        <f>IFERROR(__xludf.DUMMYFUNCTION("""COMPUTED_VALUE"""),"37.482381")</f>
        <v>37.482381</v>
      </c>
      <c r="H125" s="18" t="str">
        <f>IFERROR(__xludf.DUMMYFUNCTION("""COMPUTED_VALUE"""),"https://docs.google.com/spreadsheets/d/19THEBTE9q0fhN2eApZr6BgenIvLGh0AckaYxHQfHk5w/edit?gid=809581458#gid=809581458")</f>
        <v>https://docs.google.com/spreadsheets/d/19THEBTE9q0fhN2eApZr6BgenIvLGh0AckaYxHQfHk5w/edit?gid=809581458#gid=809581458</v>
      </c>
      <c r="I125" s="19" t="str">
        <f>IFERROR(__xludf.DUMMYFUNCTION("""COMPUTED_VALUE"""),"https://disk.yandex.ru/client/disk/Осмотры%20объектов%20АНО%20СМГ/115.%20Жилой%20комплекс%20«Академ%20Палас»%20проспект%20Вернадского%2C%20вл.78")</f>
        <v>https://disk.yandex.ru/client/disk/Осмотры%20объектов%20АНО%20СМГ/115.%20Жилой%20комплекс%20«Академ%20Палас»%20проспект%20Вернадского%2C%20вл.78</v>
      </c>
      <c r="J125" s="50">
        <f>IFERROR(__xludf.DUMMYFUNCTION("""COMPUTED_VALUE"""),99.6315)</f>
        <v>99.6315</v>
      </c>
      <c r="K125" s="58">
        <f>IFERROR(__xludf.DUMMYFUNCTION("""COMPUTED_VALUE"""),45973.0)</f>
        <v>45973</v>
      </c>
      <c r="L125" s="6">
        <v>7.0</v>
      </c>
      <c r="M125" s="52">
        <v>45980.0</v>
      </c>
      <c r="N125" s="53" t="s">
        <v>711</v>
      </c>
      <c r="O125" s="19" t="s">
        <v>743</v>
      </c>
      <c r="P125" s="6"/>
      <c r="Q125" s="6" t="str">
        <f t="shared" si="1"/>
        <v>#N/A</v>
      </c>
      <c r="R125" s="6"/>
    </row>
    <row r="126" hidden="1">
      <c r="A126" s="31" t="str">
        <f>IFERROR(__xludf.DUMMYFUNCTION("""COMPUTED_VALUE"""),"234")</f>
        <v>234</v>
      </c>
      <c r="B126" s="14" t="str">
        <f>IFERROR(__xludf.DUMMYFUNCTION("""COMPUTED_VALUE"""),"АИП-25")</f>
        <v>АИП-25</v>
      </c>
      <c r="C126" s="14" t="str">
        <f>IFERROR(__xludf.DUMMYFUNCTION("""COMPUTED_VALUE"""),"ОКС+УДС")</f>
        <v>ОКС+УДС</v>
      </c>
      <c r="D126" s="15"/>
      <c r="E126" s="14" t="str">
        <f>IFERROR(__xludf.DUMMYFUNCTION("""COMPUTED_VALUE"""),"проспект Вернадского, вл. 12Б 2 этап - дороги и инженерные коммуникации пр-т Вернадского, вл.12Б")</f>
        <v>проспект Вернадского, вл. 12Б 2 этап - дороги и инженерные коммуникации пр-т Вернадского, вл.12Б</v>
      </c>
      <c r="F126" s="25" t="str">
        <f>IFERROR(__xludf.DUMMYFUNCTION("""COMPUTED_VALUE"""),"#N/A")</f>
        <v>#N/A</v>
      </c>
      <c r="G126" s="6" t="str">
        <f>IFERROR(__xludf.DUMMYFUNCTION("""COMPUTED_VALUE"""),"#N/A")</f>
        <v>#N/A</v>
      </c>
      <c r="H126" s="18" t="str">
        <f>IFERROR(__xludf.DUMMYFUNCTION("""COMPUTED_VALUE"""),"https://docs.google.com/spreadsheets/d/19THEBTE9q0fhN2eApZr6BgenIvLGh0AckaYxHQfHk5w/edit?gid=1930019775#gid=1930019775")</f>
        <v>https://docs.google.com/spreadsheets/d/19THEBTE9q0fhN2eApZr6BgenIvLGh0AckaYxHQfHk5w/edit?gid=1930019775#gid=1930019775</v>
      </c>
      <c r="I126" s="19" t="str">
        <f>IFERROR(__xludf.DUMMYFUNCTION("""COMPUTED_VALUE"""),"https://disk.yandex.ru/client/disk/Осмотры%20объектов%20АНО%20СМГ/234.%20пр-т%20Вернадского%2012Б%202-й%20этап%20дороги%20и%20инженерн.коммуникации")</f>
        <v>https://disk.yandex.ru/client/disk/Осмотры%20объектов%20АНО%20СМГ/234.%20пр-т%20Вернадского%2012Б%202-й%20этап%20дороги%20и%20инженерн.коммуникации</v>
      </c>
      <c r="J126" s="50">
        <f>IFERROR(__xludf.DUMMYFUNCTION("""COMPUTED_VALUE"""),100.0)</f>
        <v>100</v>
      </c>
      <c r="K126" s="58">
        <f>IFERROR(__xludf.DUMMYFUNCTION("""COMPUTED_VALUE"""),45902.0)</f>
        <v>45902</v>
      </c>
      <c r="L126" s="6" t="s">
        <v>654</v>
      </c>
      <c r="M126" s="52" t="s">
        <v>655</v>
      </c>
      <c r="N126" s="53" t="s">
        <v>656</v>
      </c>
      <c r="O126" s="19" t="s">
        <v>744</v>
      </c>
      <c r="P126" s="6"/>
      <c r="Q126" s="6" t="str">
        <f t="shared" si="1"/>
        <v>#N/A</v>
      </c>
      <c r="R126" s="6"/>
    </row>
    <row r="127" hidden="1">
      <c r="A127" s="31" t="str">
        <f>IFERROR(__xludf.DUMMYFUNCTION("""COMPUTED_VALUE"""),"063")</f>
        <v>063</v>
      </c>
      <c r="B127" s="14" t="str">
        <f>IFERROR(__xludf.DUMMYFUNCTION("""COMPUTED_VALUE"""),"ВНЕ СПИСКА")</f>
        <v>ВНЕ СПИСКА</v>
      </c>
      <c r="C127" s="14" t="str">
        <f>IFERROR(__xludf.DUMMYFUNCTION("""COMPUTED_VALUE"""),"ОКС")</f>
        <v>ОКС</v>
      </c>
      <c r="D127" s="15" t="str">
        <f>IFERROR(__xludf.DUMMYFUNCTION("""COMPUTED_VALUE"""),"да")</f>
        <v>да</v>
      </c>
      <c r="E127" s="14" t="str">
        <f>IFERROR(__xludf.DUMMYFUNCTION("""COMPUTED_VALUE"""),"СОШ на 1150 учащихся (корп. 65), вблизи д. Николо-Хованское п. Сосенское, вблизи д. Николо-Хованское, район Коммунарка. Понизовье Большое 2")</f>
        <v>СОШ на 1150 учащихся (корп. 65), вблизи д. Николо-Хованское п. Сосенское, вблизи д. Николо-Хованское, район Коммунарка. Понизовье Большое 2</v>
      </c>
      <c r="F127" s="25" t="str">
        <f>IFERROR(__xludf.DUMMYFUNCTION("""COMPUTED_VALUE"""),"#N/A")</f>
        <v>#N/A</v>
      </c>
      <c r="G127" s="6" t="str">
        <f>IFERROR(__xludf.DUMMYFUNCTION("""COMPUTED_VALUE"""),"#N/A")</f>
        <v>#N/A</v>
      </c>
      <c r="H127" s="18" t="str">
        <f>IFERROR(__xludf.DUMMYFUNCTION("""COMPUTED_VALUE"""),"https://docs.google.com/spreadsheets/d/1EI7qusa674eJhuaw-nWWtWMEHVSYMQv7HLsInEZTWpE/edit?gid=1466023727#gid=1466023727")</f>
        <v>https://docs.google.com/spreadsheets/d/1EI7qusa674eJhuaw-nWWtWMEHVSYMQv7HLsInEZTWpE/edit?gid=1466023727#gid=1466023727</v>
      </c>
      <c r="I127" s="19" t="str">
        <f>IFERROR(__xludf.DUMMYFUNCTION("""COMPUTED_VALUE"""),"https://disk.yandex.ru/client/disk/Осмотры%20объектов%20АНО%20СМГ/063.%20СОШ%20на%201150%20учащихся%20(корп.%2065)%2C%20НАО%2C%20п.%20Сосенское%2C%20вблизи%20д.%20Николо-Хованское%2C%20р-н%20Коммунарка")</f>
        <v>https://disk.yandex.ru/client/disk/Осмотры%20объектов%20АНО%20СМГ/063.%20СОШ%20на%201150%20учащихся%20(корп.%2065)%2C%20НАО%2C%20п.%20Сосенское%2C%20вблизи%20д.%20Николо-Хованское%2C%20р-н%20Коммунарка</v>
      </c>
      <c r="J127" s="50">
        <f>IFERROR(__xludf.DUMMYFUNCTION("""COMPUTED_VALUE"""),100.0)</f>
        <v>100</v>
      </c>
      <c r="K127" s="58">
        <f>IFERROR(__xludf.DUMMYFUNCTION("""COMPUTED_VALUE"""),45943.0)</f>
        <v>45943</v>
      </c>
      <c r="L127" s="6" t="s">
        <v>654</v>
      </c>
      <c r="M127" s="52" t="s">
        <v>655</v>
      </c>
      <c r="N127" s="53" t="s">
        <v>656</v>
      </c>
      <c r="O127" s="19" t="s">
        <v>745</v>
      </c>
      <c r="P127" s="6"/>
      <c r="Q127" s="6" t="str">
        <f t="shared" si="1"/>
        <v>#N/A</v>
      </c>
      <c r="R127" s="6"/>
    </row>
    <row r="128" hidden="1">
      <c r="A128" s="31" t="str">
        <f>IFERROR(__xludf.DUMMYFUNCTION("""COMPUTED_VALUE"""),"183")</f>
        <v>183</v>
      </c>
      <c r="B128" s="14" t="str">
        <f>IFERROR(__xludf.DUMMYFUNCTION("""COMPUTED_VALUE"""),"АИП-25")</f>
        <v>АИП-25</v>
      </c>
      <c r="C128" s="14" t="str">
        <f>IFERROR(__xludf.DUMMYFUNCTION("""COMPUTED_VALUE"""),"ОКС")</f>
        <v>ОКС</v>
      </c>
      <c r="D128" s="60"/>
      <c r="E128" s="14" t="str">
        <f>IFERROR(__xludf.DUMMYFUNCTION("""COMPUTED_VALUE"""),"Школа на 550 мест, р-н Ново-Переделкино, мкр. 14, к. 20 район Ново-Переделкино, мкр. 14, к. 20")</f>
        <v>Школа на 550 мест, р-н Ново-Переделкино, мкр. 14, к. 20 район Ново-Переделкино, мкр. 14, к. 20</v>
      </c>
      <c r="F128" s="25" t="str">
        <f>IFERROR(__xludf.DUMMYFUNCTION("""COMPUTED_VALUE"""),"55.650044")</f>
        <v>55.650044</v>
      </c>
      <c r="G128" s="6" t="str">
        <f>IFERROR(__xludf.DUMMYFUNCTION("""COMPUTED_VALUE"""),"37.340165")</f>
        <v>37.340165</v>
      </c>
      <c r="H128" s="18" t="str">
        <f>IFERROR(__xludf.DUMMYFUNCTION("""COMPUTED_VALUE"""),"https://docs.google.com/spreadsheets/d/19THEBTE9q0fhN2eApZr6BgenIvLGh0AckaYxHQfHk5w/edit?gid=779020277#gid=779020277")</f>
        <v>https://docs.google.com/spreadsheets/d/19THEBTE9q0fhN2eApZr6BgenIvLGh0AckaYxHQfHk5w/edit?gid=779020277#gid=779020277</v>
      </c>
      <c r="I128" s="19" t="str">
        <f>IFERROR(__xludf.DUMMYFUNCTION("""COMPUTED_VALUE"""),"https://disk.yandex.ru/client/disk/Осмотры%20объектов%20АНО%20СМГ/183.%20Школа%20на%20550%20мест%2C%20рн%20Ново-Переделкино%2C%20мкр.%2014%2C%20к.%2020")</f>
        <v>https://disk.yandex.ru/client/disk/Осмотры%20объектов%20АНО%20СМГ/183.%20Школа%20на%20550%20мест%2C%20рн%20Ново-Переделкино%2C%20мкр.%2014%2C%20к.%2020</v>
      </c>
      <c r="J128" s="50">
        <f>IFERROR(__xludf.DUMMYFUNCTION("""COMPUTED_VALUE"""),85.3665275)</f>
        <v>85.3665275</v>
      </c>
      <c r="K128" s="58">
        <f>IFERROR(__xludf.DUMMYFUNCTION("""COMPUTED_VALUE"""),45971.0)</f>
        <v>45971</v>
      </c>
      <c r="L128" s="6">
        <v>14.0</v>
      </c>
      <c r="M128" s="52">
        <v>45985.0</v>
      </c>
      <c r="N128" s="53" t="s">
        <v>711</v>
      </c>
      <c r="O128" s="19" t="s">
        <v>746</v>
      </c>
      <c r="P128" s="6"/>
      <c r="Q128" s="6" t="str">
        <f t="shared" si="1"/>
        <v>#N/A</v>
      </c>
      <c r="R128" s="6"/>
    </row>
    <row r="129" hidden="1">
      <c r="A129" s="31" t="str">
        <f>IFERROR(__xludf.DUMMYFUNCTION("""COMPUTED_VALUE"""),"102")</f>
        <v>102</v>
      </c>
      <c r="B129" s="14" t="str">
        <f>IFERROR(__xludf.DUMMYFUNCTION("""COMPUTED_VALUE"""),"АИП-25")</f>
        <v>АИП-25</v>
      </c>
      <c r="C129" s="14" t="str">
        <f>IFERROR(__xludf.DUMMYFUNCTION("""COMPUTED_VALUE"""),"ОКС")</f>
        <v>ОКС</v>
      </c>
      <c r="D129" s="15"/>
      <c r="E129" s="14" t="str">
        <f>IFERROR(__xludf.DUMMYFUNCTION("""COMPUTED_VALUE"""),"СОШ на 600 мест, ул. Тюменская, вл. 5 район  Богородское, ул. Тюменская, вл. 5")</f>
        <v>СОШ на 600 мест, ул. Тюменская, вл. 5 район  Богородское, ул. Тюменская, вл. 5</v>
      </c>
      <c r="F129" s="25" t="str">
        <f>IFERROR(__xludf.DUMMYFUNCTION("""COMPUTED_VALUE"""),"55.809943")</f>
        <v>55.809943</v>
      </c>
      <c r="G129" s="6" t="str">
        <f>IFERROR(__xludf.DUMMYFUNCTION("""COMPUTED_VALUE"""),"37.743889")</f>
        <v>37.743889</v>
      </c>
      <c r="H129" s="18" t="str">
        <f>IFERROR(__xludf.DUMMYFUNCTION("""COMPUTED_VALUE"""),"https://docs.google.com/spreadsheets/d/19THEBTE9q0fhN2eApZr6BgenIvLGh0AckaYxHQfHk5w/edit?gid=1995746861#gid=1995746861")</f>
        <v>https://docs.google.com/spreadsheets/d/19THEBTE9q0fhN2eApZr6BgenIvLGh0AckaYxHQfHk5w/edit?gid=1995746861#gid=1995746861</v>
      </c>
      <c r="I129" s="19" t="str">
        <f>IFERROR(__xludf.DUMMYFUNCTION("""COMPUTED_VALUE"""),"https://disk.yandex.ru/client/disk/Осмотры%20объектов%20АНО%20СМГ/102.%20Школа%20на%20600%20мест%20р-н%20Богородское%2C%20ул.%20Тюменская%2C%20влд.%205")</f>
        <v>https://disk.yandex.ru/client/disk/Осмотры%20объектов%20АНО%20СМГ/102.%20Школа%20на%20600%20мест%20р-н%20Богородское%2C%20ул.%20Тюменская%2C%20влд.%205</v>
      </c>
      <c r="J129" s="50">
        <f>IFERROR(__xludf.DUMMYFUNCTION("""COMPUTED_VALUE"""),99.63434000000001)</f>
        <v>99.63434</v>
      </c>
      <c r="K129" s="58">
        <f>IFERROR(__xludf.DUMMYFUNCTION("""COMPUTED_VALUE"""),45971.0)</f>
        <v>45971</v>
      </c>
      <c r="L129" s="6">
        <v>7.0</v>
      </c>
      <c r="M129" s="52">
        <v>45978.0</v>
      </c>
      <c r="N129" s="53" t="s">
        <v>692</v>
      </c>
      <c r="O129" s="19" t="s">
        <v>747</v>
      </c>
      <c r="P129" s="6"/>
      <c r="Q129" s="6" t="str">
        <f t="shared" si="1"/>
        <v>#N/A</v>
      </c>
      <c r="R129" s="6"/>
    </row>
    <row r="130" hidden="1">
      <c r="A130" s="31" t="str">
        <f>IFERROR(__xludf.DUMMYFUNCTION("""COMPUTED_VALUE"""),"020")</f>
        <v>020</v>
      </c>
      <c r="B130" s="14" t="str">
        <f>IFERROR(__xludf.DUMMYFUNCTION("""COMPUTED_VALUE"""),"АИП-25")</f>
        <v>АИП-25</v>
      </c>
      <c r="C130" s="14" t="str">
        <f>IFERROR(__xludf.DUMMYFUNCTION("""COMPUTED_VALUE"""),"ОКС")</f>
        <v>ОКС</v>
      </c>
      <c r="D130" s="15"/>
      <c r="E130" s="14" t="str">
        <f>IFERROR(__xludf.DUMMYFUNCTION("""COMPUTED_VALUE"""),"«Реконструкция существующего здания школы № 2073 пос. Кленовское с. Кленово (Этап 2)» район Вороново, пос. Кленовское, с. Кленово, ул. Центральная, д.2")</f>
        <v>«Реконструкция существующего здания школы № 2073 пос. Кленовское с. Кленово (Этап 2)» район Вороново, пос. Кленовское, с. Кленово, ул. Центральная, д.2</v>
      </c>
      <c r="F130" s="25" t="str">
        <f>IFERROR(__xludf.DUMMYFUNCTION("""COMPUTED_VALUE"""),"55.322923")</f>
        <v>55.322923</v>
      </c>
      <c r="G130" s="6" t="str">
        <f>IFERROR(__xludf.DUMMYFUNCTION("""COMPUTED_VALUE"""),"37.345438")</f>
        <v>37.345438</v>
      </c>
      <c r="H130" s="18" t="str">
        <f>IFERROR(__xludf.DUMMYFUNCTION("""COMPUTED_VALUE"""),"https://docs.google.com/spreadsheets/d/19THEBTE9q0fhN2eApZr6BgenIvLGh0AckaYxHQfHk5w/edit?gid=493360007#gid=493360007")</f>
        <v>https://docs.google.com/spreadsheets/d/19THEBTE9q0fhN2eApZr6BgenIvLGh0AckaYxHQfHk5w/edit?gid=493360007#gid=493360007</v>
      </c>
      <c r="I130" s="19" t="str">
        <f>IFERROR(__xludf.DUMMYFUNCTION("""COMPUTED_VALUE"""),"https://disk.yandex.ru/client/disk/Осмотры%20объектов%20АНО%20СМГ/020.%20СОШ%202073%20Клëново")</f>
        <v>https://disk.yandex.ru/client/disk/Осмотры%20объектов%20АНО%20СМГ/020.%20СОШ%202073%20Клëново</v>
      </c>
      <c r="J130" s="50">
        <f>IFERROR(__xludf.DUMMYFUNCTION("""COMPUTED_VALUE"""),76.9462425)</f>
        <v>76.9462425</v>
      </c>
      <c r="K130" s="58">
        <f>IFERROR(__xludf.DUMMYFUNCTION("""COMPUTED_VALUE"""),45971.0)</f>
        <v>45971</v>
      </c>
      <c r="L130" s="6">
        <v>14.0</v>
      </c>
      <c r="M130" s="52">
        <v>45985.0</v>
      </c>
      <c r="N130" s="53" t="s">
        <v>711</v>
      </c>
      <c r="O130" s="19" t="s">
        <v>748</v>
      </c>
      <c r="P130" s="6"/>
      <c r="Q130" s="6" t="str">
        <f t="shared" si="1"/>
        <v>#N/A</v>
      </c>
      <c r="R130" s="6"/>
    </row>
    <row r="131" hidden="1">
      <c r="A131" s="31" t="str">
        <f>IFERROR(__xludf.DUMMYFUNCTION("""COMPUTED_VALUE"""),"019")</f>
        <v>019</v>
      </c>
      <c r="B131" s="14"/>
      <c r="C131" s="14" t="str">
        <f>IFERROR(__xludf.DUMMYFUNCTION("""COMPUTED_VALUE"""),"ОКС")</f>
        <v>ОКС</v>
      </c>
      <c r="D131" s="15"/>
      <c r="E131" s="14" t="str">
        <f>IFERROR(__xludf.DUMMYFUNCTION("""COMPUTED_VALUE"""),"Строительство нового учебного корпуса на 300 мест ( 1этап) район Вороново, пос. Кленовское, с. Кленово")</f>
        <v>Строительство нового учебного корпуса на 300 мест ( 1этап) район Вороново, пос. Кленовское, с. Кленово</v>
      </c>
      <c r="F131" s="25" t="str">
        <f>IFERROR(__xludf.DUMMYFUNCTION("""COMPUTED_VALUE"""),"#N/A")</f>
        <v>#N/A</v>
      </c>
      <c r="G131" s="6" t="str">
        <f>IFERROR(__xludf.DUMMYFUNCTION("""COMPUTED_VALUE"""),"#N/A")</f>
        <v>#N/A</v>
      </c>
      <c r="H131" s="6"/>
      <c r="I131" s="21" t="str">
        <f>IFERROR(__xludf.DUMMYFUNCTION("""COMPUTED_VALUE"""),"https://disk.yandex.ru/client/disk/%D0%9E%D1%81%D0%BC%D0%BE%D1%82%D1%80%D1%8B%20%D0%BE%D0%B1%D1%8A%D0%B5%D0%BA%D1%82%D0%BE%D0%B2%20%D0%90%D0%9D%D0%9E%20%D0%A1%D0%9C%D0%93/019.%20%D0%A0%D0%B5%D0%BA%D0%BE%D0%BD%D1%81%D1%82%D1%80%D1%83%D0%BA%D1%86%D0%B8%D1%8"&amp;"F%20%D1%81%D1%83%D1%89%D0%B5%D1%81%D1%82%D0%B2%D1%83%D1%8E%D1%89%D0%B5%D0%B3%D0%BE%20%D0%B7%D0%B4%D0%B0%D0%BD%D0%B8%D1%8F%20%C2%AB%D0%93%D0%91%D0%9E%D0%A3%20%C2%AB%D0%A8%D0%BA%D0%BE%D0%BB%D0%B0%20%E2%84%96%202073%C2%BB%2C%201-%D0%B9%20%D1%8D%D1%82%D0%B0%D"&amp;"0%BF%20%C2%A0%D0%A2%D0%90%D0%9E%2C%20%D0%BF%D0%BE%D1%81.%20%D0%9A%D0%BB%D0%B5%D0%BD%D0%BE%D0%B2%D1%81%D0%BA%D0%BE%D0%B5%2C%20%D1%81.%20%D0%9A%D0%BB%D0%B5%D0%BD%D0%BE%D0%B2%D0%BE%2C%20%D0%A3%D0%BB.%20%D0%A6%D0%B5%D0%BD%D1%82%D1%80%D0%B0%D0%BB%D1%8C%D0%BD%D"&amp;"0%B0%D1%8F%2C%202%2C%20%D1%81%D1%82%D1%80.%201%20(%D0%AD%D1%82%D0%B0%D0%BF%201)")</f>
        <v>https://disk.yandex.ru/client/disk/%D0%9E%D1%81%D0%BC%D0%BE%D1%82%D1%80%D1%8B%20%D0%BE%D0%B1%D1%8A%D0%B5%D0%BA%D1%82%D0%BE%D0%B2%20%D0%90%D0%9D%D0%9E%20%D0%A1%D0%9C%D0%93/019.%20%D0%A0%D0%B5%D0%BA%D0%BE%D0%BD%D1%81%D1%82%D1%80%D1%83%D0%BA%D1%86%D0%B8%D1%8F%20%D1%81%D1%83%D1%89%D0%B5%D1%81%D1%82%D0%B2%D1%83%D1%8E%D1%89%D0%B5%D0%B3%D0%BE%20%D0%B7%D0%B4%D0%B0%D0%BD%D0%B8%D1%8F%20%C2%AB%D0%93%D0%91%D0%9E%D0%A3%20%C2%AB%D0%A8%D0%BA%D0%BE%D0%BB%D0%B0%20%E2%84%96%202073%C2%BB%2C%201-%D0%B9%20%D1%8D%D1%82%D0%B0%D0%BF%20%C2%A0%D0%A2%D0%90%D0%9E%2C%20%D0%BF%D0%BE%D1%81.%20%D0%9A%D0%BB%D0%B5%D0%BD%D0%BE%D0%B2%D1%81%D0%BA%D0%BE%D0%B5%2C%20%D1%81.%20%D0%9A%D0%BB%D0%B5%D0%BD%D0%BE%D0%B2%D0%BE%2C%20%D0%A3%D0%BB.%20%D0%A6%D0%B5%D0%BD%D1%82%D1%80%D0%B0%D0%BB%D1%8C%D0%BD%D0%B0%D1%8F%2C%202%2C%20%D1%81%D1%82%D1%80.%201%20(%D0%AD%D1%82%D0%B0%D0%BF%201)</v>
      </c>
      <c r="J131" s="50"/>
      <c r="K131" s="58"/>
      <c r="L131" s="6">
        <v>30.0</v>
      </c>
      <c r="M131" s="52" t="s">
        <v>655</v>
      </c>
      <c r="N131" s="53" t="s">
        <v>652</v>
      </c>
      <c r="O131" s="19" t="s">
        <v>749</v>
      </c>
      <c r="P131" s="6"/>
      <c r="Q131" s="6" t="str">
        <f t="shared" si="1"/>
        <v>#N/A</v>
      </c>
      <c r="R131" s="6"/>
    </row>
    <row r="132" hidden="1">
      <c r="A132" s="31" t="str">
        <f>IFERROR(__xludf.DUMMYFUNCTION("""COMPUTED_VALUE"""),"140д (сводный)")</f>
        <v>140д (сводный)</v>
      </c>
      <c r="B132" s="14" t="str">
        <f>IFERROR(__xludf.DUMMYFUNCTION("""COMPUTED_VALUE"""),"АИП-25")</f>
        <v>АИП-25</v>
      </c>
      <c r="C132" s="14" t="str">
        <f>IFERROR(__xludf.DUMMYFUNCTION("""COMPUTED_VALUE"""),"УДС")</f>
        <v>УДС</v>
      </c>
      <c r="D132" s="15"/>
      <c r="E132" s="14" t="str">
        <f>IFERROR(__xludf.DUMMYFUNCTION("""COMPUTED_VALUE"""),"Симоновская набережная от существующего участка до Третьего транспортного кольца Этапы 1.1, 1.2 ")</f>
        <v>Симоновская набережная от существующего участка до Третьего транспортного кольца Этапы 1.1, 1.2 </v>
      </c>
      <c r="F132" s="25" t="str">
        <f>IFERROR(__xludf.DUMMYFUNCTION("""COMPUTED_VALUE"""),"#N/A")</f>
        <v>#N/A</v>
      </c>
      <c r="G132" s="6" t="str">
        <f>IFERROR(__xludf.DUMMYFUNCTION("""COMPUTED_VALUE"""),"#N/A")</f>
        <v>#N/A</v>
      </c>
      <c r="H132" s="6"/>
      <c r="I132" s="6"/>
      <c r="J132" s="50"/>
      <c r="K132" s="58"/>
      <c r="L132" s="6">
        <v>30.0</v>
      </c>
      <c r="M132" s="52" t="s">
        <v>655</v>
      </c>
      <c r="N132" s="53" t="s">
        <v>698</v>
      </c>
      <c r="O132" s="6"/>
      <c r="P132" s="6"/>
      <c r="Q132" s="6" t="str">
        <f t="shared" si="1"/>
        <v>#N/A</v>
      </c>
      <c r="R132" s="6"/>
    </row>
    <row r="133" hidden="1">
      <c r="A133" s="31" t="str">
        <f>IFERROR(__xludf.DUMMYFUNCTION("""COMPUTED_VALUE"""),"140д (этап 1.1)")</f>
        <v>140д (этап 1.1)</v>
      </c>
      <c r="B133" s="14"/>
      <c r="C133" s="14" t="str">
        <f>IFERROR(__xludf.DUMMYFUNCTION("""COMPUTED_VALUE"""),"УДС")</f>
        <v>УДС</v>
      </c>
      <c r="D133" s="15"/>
      <c r="E133" s="14" t="str">
        <f>IFERROR(__xludf.DUMMYFUNCTION("""COMPUTED_VALUE"""),"""Симоновская набережная от существующего участка до Третьего транспортного кольца. 
Этапы 1.1."" Симоновская наб.")</f>
        <v>"Симоновская набережная от существующего участка до Третьего транспортного кольца. 
Этапы 1.1." Симоновская наб.</v>
      </c>
      <c r="F133" s="25" t="str">
        <f>IFERROR(__xludf.DUMMYFUNCTION("""COMPUTED_VALUE"""),"#N/A")</f>
        <v>#N/A</v>
      </c>
      <c r="G133" s="6" t="str">
        <f>IFERROR(__xludf.DUMMYFUNCTION("""COMPUTED_VALUE"""),"#N/A")</f>
        <v>#N/A</v>
      </c>
      <c r="H133" s="6"/>
      <c r="I133" s="6"/>
      <c r="J133" s="50"/>
      <c r="K133" s="58"/>
      <c r="L133" s="6">
        <v>30.0</v>
      </c>
      <c r="M133" s="52" t="s">
        <v>655</v>
      </c>
      <c r="N133" s="53" t="s">
        <v>698</v>
      </c>
      <c r="O133" s="6" t="s">
        <v>750</v>
      </c>
      <c r="P133" s="6"/>
      <c r="Q133" s="6" t="str">
        <f t="shared" si="1"/>
        <v>#N/A</v>
      </c>
      <c r="R133" s="6"/>
    </row>
    <row r="134" hidden="1">
      <c r="A134" s="31" t="str">
        <f>IFERROR(__xludf.DUMMYFUNCTION("""COMPUTED_VALUE"""),"140д (этап 1.2)")</f>
        <v>140д (этап 1.2)</v>
      </c>
      <c r="B134" s="14"/>
      <c r="C134" s="14" t="str">
        <f>IFERROR(__xludf.DUMMYFUNCTION("""COMPUTED_VALUE"""),"УДС")</f>
        <v>УДС</v>
      </c>
      <c r="D134" s="15"/>
      <c r="E134" s="14" t="str">
        <f>IFERROR(__xludf.DUMMYFUNCTION("""COMPUTED_VALUE"""),"""Симоновская набережная от существующего участка до Третьего транспортного кольца. 
Этапы 1.2."" Симоновская наб.")</f>
        <v>"Симоновская набережная от существующего участка до Третьего транспортного кольца. 
Этапы 1.2." Симоновская наб.</v>
      </c>
      <c r="F134" s="25" t="str">
        <f>IFERROR(__xludf.DUMMYFUNCTION("""COMPUTED_VALUE"""),"#N/A")</f>
        <v>#N/A</v>
      </c>
      <c r="G134" s="6" t="str">
        <f>IFERROR(__xludf.DUMMYFUNCTION("""COMPUTED_VALUE"""),"#N/A")</f>
        <v>#N/A</v>
      </c>
      <c r="H134" s="6"/>
      <c r="I134" s="6"/>
      <c r="J134" s="50"/>
      <c r="K134" s="58"/>
      <c r="L134" s="6">
        <v>30.0</v>
      </c>
      <c r="M134" s="52" t="s">
        <v>655</v>
      </c>
      <c r="N134" s="53" t="s">
        <v>698</v>
      </c>
      <c r="O134" s="6" t="s">
        <v>750</v>
      </c>
      <c r="P134" s="6"/>
      <c r="Q134" s="6" t="str">
        <f t="shared" si="1"/>
        <v>#N/A</v>
      </c>
      <c r="R134" s="6"/>
    </row>
    <row r="135" hidden="1">
      <c r="A135" s="31" t="str">
        <f>IFERROR(__xludf.DUMMYFUNCTION("""COMPUTED_VALUE"""),"172д (этап 2.1)")</f>
        <v>172д (этап 2.1)</v>
      </c>
      <c r="B135" s="14" t="str">
        <f>IFERROR(__xludf.DUMMYFUNCTION("""COMPUTED_VALUE"""),"АИП-25")</f>
        <v>АИП-25</v>
      </c>
      <c r="C135" s="14" t="str">
        <f>IFERROR(__xludf.DUMMYFUNCTION("""COMPUTED_VALUE"""),"УДС")</f>
        <v>УДС</v>
      </c>
      <c r="D135" s="15"/>
      <c r="E135" s="14" t="str">
        <f>IFERROR(__xludf.DUMMYFUNCTION("""COMPUTED_VALUE"""),"Строительство многоуровневых транспортных развязок на участке магистрали ""Солнцево-Бутово-Варшавское ш."" от ТПУ ""Столбово"" до ул. Поляны. 
 Этапы 2.1. СБВ от ТПУ ""Столбово"" до ул. Поляны")</f>
        <v>Строительство многоуровневых транспортных развязок на участке магистрали "Солнцево-Бутово-Варшавское ш." от ТПУ "Столбово" до ул. Поляны. 
 Этапы 2.1. СБВ от ТПУ "Столбово" до ул. Поляны</v>
      </c>
      <c r="F135" s="25" t="str">
        <f>IFERROR(__xludf.DUMMYFUNCTION("""COMPUTED_VALUE"""),"#N/A")</f>
        <v>#N/A</v>
      </c>
      <c r="G135" s="6" t="str">
        <f>IFERROR(__xludf.DUMMYFUNCTION("""COMPUTED_VALUE"""),"#N/A")</f>
        <v>#N/A</v>
      </c>
      <c r="H135" s="6"/>
      <c r="I135" s="6"/>
      <c r="J135" s="50">
        <f>IFERROR(__xludf.DUMMYFUNCTION("""COMPUTED_VALUE"""),92.86)</f>
        <v>92.86</v>
      </c>
      <c r="K135" s="58">
        <f>IFERROR(__xludf.DUMMYFUNCTION("""COMPUTED_VALUE"""),45971.0)</f>
        <v>45971</v>
      </c>
      <c r="L135" s="6">
        <v>14.0</v>
      </c>
      <c r="M135" s="52">
        <v>45985.0</v>
      </c>
      <c r="N135" s="53" t="s">
        <v>711</v>
      </c>
      <c r="O135" s="6" t="s">
        <v>751</v>
      </c>
      <c r="P135" s="6"/>
      <c r="Q135" s="6" t="str">
        <f t="shared" si="1"/>
        <v>#N/A</v>
      </c>
      <c r="R135" s="6"/>
    </row>
    <row r="136" hidden="1">
      <c r="A136" s="31" t="str">
        <f>IFERROR(__xludf.DUMMYFUNCTION("""COMPUTED_VALUE"""),"208")</f>
        <v>208</v>
      </c>
      <c r="B136" s="14" t="str">
        <f>IFERROR(__xludf.DUMMYFUNCTION("""COMPUTED_VALUE"""),"АИП-25")</f>
        <v>АИП-25</v>
      </c>
      <c r="C136" s="14" t="str">
        <f>IFERROR(__xludf.DUMMYFUNCTION("""COMPUTED_VALUE"""),"УДС")</f>
        <v>УДС</v>
      </c>
      <c r="D136" s="15"/>
      <c r="E136" s="14" t="str">
        <f>IFERROR(__xludf.DUMMYFUNCTION("""COMPUTED_VALUE"""),"Стационарный снегосплавный пункт Березовая ал., влд. 10 Березовая аллея, вл. 10")</f>
        <v>Стационарный снегосплавный пункт Березовая ал., влд. 10 Березовая аллея, вл. 10</v>
      </c>
      <c r="F136" s="25" t="str">
        <f>IFERROR(__xludf.DUMMYFUNCTION("""COMPUTED_VALUE"""),"#N/A")</f>
        <v>#N/A</v>
      </c>
      <c r="G136" s="6" t="str">
        <f>IFERROR(__xludf.DUMMYFUNCTION("""COMPUTED_VALUE"""),"#N/A")</f>
        <v>#N/A</v>
      </c>
      <c r="H136" s="18" t="str">
        <f>IFERROR(__xludf.DUMMYFUNCTION("""COMPUTED_VALUE"""),"https://docs.google.com/spreadsheets/d/1MW8OIVEKRJEaLcG-KS0zwZPEQ0eRUWE2y9Gj77rgoxo/edit?gid=1323324485#gid=1323324485")</f>
        <v>https://docs.google.com/spreadsheets/d/1MW8OIVEKRJEaLcG-KS0zwZPEQ0eRUWE2y9Gj77rgoxo/edit?gid=1323324485#gid=1323324485</v>
      </c>
      <c r="I136" s="6"/>
      <c r="J136" s="50">
        <f>IFERROR(__xludf.DUMMYFUNCTION("""COMPUTED_VALUE"""),100.0)</f>
        <v>100</v>
      </c>
      <c r="K136" s="58">
        <f>IFERROR(__xludf.DUMMYFUNCTION("""COMPUTED_VALUE"""),45887.0)</f>
        <v>45887</v>
      </c>
      <c r="L136" s="6" t="s">
        <v>654</v>
      </c>
      <c r="M136" s="52" t="s">
        <v>655</v>
      </c>
      <c r="N136" s="53" t="s">
        <v>656</v>
      </c>
      <c r="O136" s="6" t="s">
        <v>752</v>
      </c>
      <c r="P136" s="6"/>
      <c r="Q136" s="6" t="str">
        <f t="shared" si="1"/>
        <v>#N/A</v>
      </c>
      <c r="R136" s="6"/>
    </row>
    <row r="137" hidden="1">
      <c r="A137" s="31" t="str">
        <f>IFERROR(__xludf.DUMMYFUNCTION("""COMPUTED_VALUE"""),"150д (сводный)")</f>
        <v>150д (сводный)</v>
      </c>
      <c r="B137" s="14" t="str">
        <f>IFERROR(__xludf.DUMMYFUNCTION("""COMPUTED_VALUE"""),"АИП-25")</f>
        <v>АИП-25</v>
      </c>
      <c r="C137" s="14" t="str">
        <f>IFERROR(__xludf.DUMMYFUNCTION("""COMPUTED_VALUE"""),"УДС")</f>
        <v>УДС</v>
      </c>
      <c r="D137" s="15"/>
      <c r="E137" s="14" t="str">
        <f>IFERROR(__xludf.DUMMYFUNCTION("""COMPUTED_VALUE"""),"Строительство искусственного сооружения в русле р. Москвы с реконструкцией Крутицкой наб. Этап 1.1, 1.2 (ЭТАП 1) ")</f>
        <v>Строительство искусственного сооружения в русле р. Москвы с реконструкцией Крутицкой наб. Этап 1.1, 1.2 (ЭТАП 1) </v>
      </c>
      <c r="F137" s="25" t="str">
        <f>IFERROR(__xludf.DUMMYFUNCTION("""COMPUTED_VALUE"""),"#N/A")</f>
        <v>#N/A</v>
      </c>
      <c r="G137" s="6" t="str">
        <f>IFERROR(__xludf.DUMMYFUNCTION("""COMPUTED_VALUE"""),"#N/A")</f>
        <v>#N/A</v>
      </c>
      <c r="H137" s="6"/>
      <c r="I137" s="6"/>
      <c r="J137" s="50"/>
      <c r="K137" s="58"/>
      <c r="L137" s="6">
        <v>30.0</v>
      </c>
      <c r="M137" s="52" t="s">
        <v>655</v>
      </c>
      <c r="N137" s="53" t="s">
        <v>698</v>
      </c>
      <c r="O137" s="6"/>
      <c r="P137" s="6"/>
      <c r="Q137" s="6" t="str">
        <f t="shared" si="1"/>
        <v>#N/A</v>
      </c>
      <c r="R137" s="6"/>
    </row>
    <row r="138" hidden="1">
      <c r="A138" s="31" t="str">
        <f>IFERROR(__xludf.DUMMYFUNCTION("""COMPUTED_VALUE"""),"150д (этап 1.1)")</f>
        <v>150д (этап 1.1)</v>
      </c>
      <c r="B138" s="14"/>
      <c r="C138" s="14" t="str">
        <f>IFERROR(__xludf.DUMMYFUNCTION("""COMPUTED_VALUE"""),"УДС")</f>
        <v>УДС</v>
      </c>
      <c r="D138" s="15"/>
      <c r="E138" s="14" t="str">
        <f>IFERROR(__xludf.DUMMYFUNCTION("""COMPUTED_VALUE"""),"Строительство искусственного сооружения в русле р. Москвы с реконструкцией Крутицкой наб. Этап 1.1 Русло р. Москвы с реконструкцией Крутицкой набережной")</f>
        <v>Строительство искусственного сооружения в русле р. Москвы с реконструкцией Крутицкой наб. Этап 1.1 Русло р. Москвы с реконструкцией Крутицкой набережной</v>
      </c>
      <c r="F138" s="25" t="str">
        <f>IFERROR(__xludf.DUMMYFUNCTION("""COMPUTED_VALUE"""),"#N/A")</f>
        <v>#N/A</v>
      </c>
      <c r="G138" s="6" t="str">
        <f>IFERROR(__xludf.DUMMYFUNCTION("""COMPUTED_VALUE"""),"#N/A")</f>
        <v>#N/A</v>
      </c>
      <c r="H138" s="6"/>
      <c r="I138" s="6"/>
      <c r="J138" s="50"/>
      <c r="K138" s="58"/>
      <c r="L138" s="6">
        <v>30.0</v>
      </c>
      <c r="M138" s="52" t="s">
        <v>655</v>
      </c>
      <c r="N138" s="53" t="s">
        <v>698</v>
      </c>
      <c r="O138" s="6" t="s">
        <v>750</v>
      </c>
      <c r="P138" s="6"/>
      <c r="Q138" s="6" t="str">
        <f t="shared" si="1"/>
        <v>#N/A</v>
      </c>
      <c r="R138" s="6"/>
    </row>
    <row r="139" hidden="1">
      <c r="A139" s="31" t="str">
        <f>IFERROR(__xludf.DUMMYFUNCTION("""COMPUTED_VALUE"""),"150д (этап 1.2)")</f>
        <v>150д (этап 1.2)</v>
      </c>
      <c r="B139" s="14"/>
      <c r="C139" s="14" t="str">
        <f>IFERROR(__xludf.DUMMYFUNCTION("""COMPUTED_VALUE"""),"УДС")</f>
        <v>УДС</v>
      </c>
      <c r="D139" s="15"/>
      <c r="E139" s="14" t="str">
        <f>IFERROR(__xludf.DUMMYFUNCTION("""COMPUTED_VALUE"""),"Строительство искусственного сооружения в русле р. Москвы с реконструкцией Крутицкой наб. Этап 1.2 Русло р. Москвы с реконструкцией Крутицкой набережной")</f>
        <v>Строительство искусственного сооружения в русле р. Москвы с реконструкцией Крутицкой наб. Этап 1.2 Русло р. Москвы с реконструкцией Крутицкой набережной</v>
      </c>
      <c r="F139" s="25" t="str">
        <f>IFERROR(__xludf.DUMMYFUNCTION("""COMPUTED_VALUE"""),"#N/A")</f>
        <v>#N/A</v>
      </c>
      <c r="G139" s="6" t="str">
        <f>IFERROR(__xludf.DUMMYFUNCTION("""COMPUTED_VALUE"""),"#N/A")</f>
        <v>#N/A</v>
      </c>
      <c r="H139" s="6"/>
      <c r="I139" s="6"/>
      <c r="J139" s="50"/>
      <c r="K139" s="58"/>
      <c r="L139" s="6">
        <v>30.0</v>
      </c>
      <c r="M139" s="52" t="s">
        <v>655</v>
      </c>
      <c r="N139" s="53" t="s">
        <v>698</v>
      </c>
      <c r="O139" s="6" t="s">
        <v>750</v>
      </c>
      <c r="P139" s="6"/>
      <c r="Q139" s="6" t="str">
        <f t="shared" si="1"/>
        <v>#N/A</v>
      </c>
      <c r="R139" s="6"/>
    </row>
    <row r="140" hidden="1">
      <c r="A140" s="31" t="str">
        <f>IFERROR(__xludf.DUMMYFUNCTION("""COMPUTED_VALUE"""),"150д (этап 2)")</f>
        <v>150д (этап 2)</v>
      </c>
      <c r="B140" s="14" t="str">
        <f>IFERROR(__xludf.DUMMYFUNCTION("""COMPUTED_VALUE"""),"АИП-25")</f>
        <v>АИП-25</v>
      </c>
      <c r="C140" s="14" t="str">
        <f>IFERROR(__xludf.DUMMYFUNCTION("""COMPUTED_VALUE"""),"УДС")</f>
        <v>УДС</v>
      </c>
      <c r="D140" s="15"/>
      <c r="E140" s="14" t="str">
        <f>IFERROR(__xludf.DUMMYFUNCTION("""COMPUTED_VALUE"""),"Строительство искусственного сооружения в русле р. Москвы с реконструкцией Крутицкой наб. Этап 2. Русло р. Москвы с реконструкцией Крутицкой набережной")</f>
        <v>Строительство искусственного сооружения в русле р. Москвы с реконструкцией Крутицкой наб. Этап 2. Русло р. Москвы с реконструкцией Крутицкой набережной</v>
      </c>
      <c r="F140" s="25" t="str">
        <f>IFERROR(__xludf.DUMMYFUNCTION("""COMPUTED_VALUE"""),"#N/A")</f>
        <v>#N/A</v>
      </c>
      <c r="G140" s="6" t="str">
        <f>IFERROR(__xludf.DUMMYFUNCTION("""COMPUTED_VALUE"""),"#N/A")</f>
        <v>#N/A</v>
      </c>
      <c r="H140" s="6"/>
      <c r="I140" s="6"/>
      <c r="J140" s="50">
        <f>IFERROR(__xludf.DUMMYFUNCTION("""COMPUTED_VALUE"""),85.60000000000001)</f>
        <v>85.6</v>
      </c>
      <c r="K140" s="58">
        <f>IFERROR(__xludf.DUMMYFUNCTION("""COMPUTED_VALUE"""),45972.0)</f>
        <v>45972</v>
      </c>
      <c r="L140" s="6">
        <v>14.0</v>
      </c>
      <c r="M140" s="52">
        <v>45986.0</v>
      </c>
      <c r="N140" s="53" t="s">
        <v>711</v>
      </c>
      <c r="O140" s="6" t="s">
        <v>750</v>
      </c>
      <c r="P140" s="6"/>
      <c r="Q140" s="6" t="str">
        <f t="shared" si="1"/>
        <v>#N/A</v>
      </c>
      <c r="R140" s="6"/>
    </row>
    <row r="141" hidden="1">
      <c r="A141" s="31" t="str">
        <f>IFERROR(__xludf.DUMMYFUNCTION("""COMPUTED_VALUE"""),"329")</f>
        <v>329</v>
      </c>
      <c r="B141" s="14" t="str">
        <f>IFERROR(__xludf.DUMMYFUNCTION("""COMPUTED_VALUE"""),"АИП-25")</f>
        <v>АИП-25</v>
      </c>
      <c r="C141" s="14" t="str">
        <f>IFERROR(__xludf.DUMMYFUNCTION("""COMPUTED_VALUE"""),"УДС")</f>
        <v>УДС</v>
      </c>
      <c r="D141" s="60"/>
      <c r="E141" s="14" t="str">
        <f>IFERROR(__xludf.DUMMYFUNCTION("""COMPUTED_VALUE"""),"Осмотр хода строительства электродепо ""Южное"" Замоскворецкой линии, ЮАО, район Братеево район Братеево, Бесединское шоссе, влд.17")</f>
        <v>Осмотр хода строительства электродепо "Южное" Замоскворецкой линии, ЮАО, район Братеево район Братеево, Бесединское шоссе, влд.17</v>
      </c>
      <c r="F141" s="25" t="str">
        <f>IFERROR(__xludf.DUMMYFUNCTION("""COMPUTED_VALUE"""),"#N/A")</f>
        <v>#N/A</v>
      </c>
      <c r="G141" s="6" t="str">
        <f>IFERROR(__xludf.DUMMYFUNCTION("""COMPUTED_VALUE"""),"#N/A")</f>
        <v>#N/A</v>
      </c>
      <c r="H141" s="18" t="str">
        <f>IFERROR(__xludf.DUMMYFUNCTION("""COMPUTED_VALUE"""),"https://docs.google.com/spreadsheets/d/1jonEGMB3UFHiUZpltF1zURon8gYN7jGSHu-k9t5TXnA/edit?gid=1601148863#gid=1601148863")</f>
        <v>https://docs.google.com/spreadsheets/d/1jonEGMB3UFHiUZpltF1zURon8gYN7jGSHu-k9t5TXnA/edit?gid=1601148863#gid=1601148863</v>
      </c>
      <c r="I141" s="6" t="str">
        <f>IFERROR(__xludf.DUMMYFUNCTION("""COMPUTED_VALUE"""),"https://disk.yandex.ru/client/disk/Осмотры%20объектов%20АНО%20СМГ/329.%20Электродепо%20Южное")</f>
        <v>https://disk.yandex.ru/client/disk/Осмотры%20объектов%20АНО%20СМГ/329.%20Электродепо%20Южное</v>
      </c>
      <c r="J141" s="50">
        <f>IFERROR(__xludf.DUMMYFUNCTION("""COMPUTED_VALUE"""),96.2828025)</f>
        <v>96.2828025</v>
      </c>
      <c r="K141" s="58">
        <f>IFERROR(__xludf.DUMMYFUNCTION("""COMPUTED_VALUE"""),45810.0)</f>
        <v>45810</v>
      </c>
      <c r="L141" s="6">
        <v>7.0</v>
      </c>
      <c r="M141" s="52">
        <v>45817.0</v>
      </c>
      <c r="N141" s="53" t="s">
        <v>668</v>
      </c>
      <c r="O141" s="6"/>
      <c r="P141" s="6"/>
      <c r="Q141" s="6" t="str">
        <f t="shared" si="1"/>
        <v>#N/A</v>
      </c>
      <c r="R141" s="6"/>
    </row>
    <row r="142" hidden="1">
      <c r="A142" s="31" t="str">
        <f>IFERROR(__xludf.DUMMYFUNCTION("""COMPUTED_VALUE"""),"881 (камера мойки)")</f>
        <v>881 (камера мойки)</v>
      </c>
      <c r="B142" s="14" t="str">
        <f>IFERROR(__xludf.DUMMYFUNCTION("""COMPUTED_VALUE"""),"АИП-25")</f>
        <v>АИП-25</v>
      </c>
      <c r="C142" s="14" t="str">
        <f>IFERROR(__xludf.DUMMYFUNCTION("""COMPUTED_VALUE"""),"УДС")</f>
        <v>УДС</v>
      </c>
      <c r="D142" s="15"/>
      <c r="E142" s="14" t="str">
        <f>IFERROR(__xludf.DUMMYFUNCTION("""COMPUTED_VALUE"""),"Электродепо «Владыкино» Камера мойки район Отрадное, Березовая аллея, вл.8, стр. 3 (площадка электродепо)")</f>
        <v>Электродепо «Владыкино» Камера мойки район Отрадное, Березовая аллея, вл.8, стр. 3 (площадка электродепо)</v>
      </c>
      <c r="F142" s="25" t="str">
        <f>IFERROR(__xludf.DUMMYFUNCTION("""COMPUTED_VALUE"""),"#N/A")</f>
        <v>#N/A</v>
      </c>
      <c r="G142" s="6" t="str">
        <f>IFERROR(__xludf.DUMMYFUNCTION("""COMPUTED_VALUE"""),"#N/A")</f>
        <v>#N/A</v>
      </c>
      <c r="H142" s="18" t="str">
        <f>IFERROR(__xludf.DUMMYFUNCTION("""COMPUTED_VALUE"""),"https://docs.google.com/spreadsheets/d/1jonEGMB3UFHiUZpltF1zURon8gYN7jGSHu-k9t5TXnA/edit?gid=483786929#gid=483786929")</f>
        <v>https://docs.google.com/spreadsheets/d/1jonEGMB3UFHiUZpltF1zURon8gYN7jGSHu-k9t5TXnA/edit?gid=483786929#gid=483786929</v>
      </c>
      <c r="I142" s="6" t="str">
        <f>IFERROR(__xludf.DUMMYFUNCTION("""COMPUTED_VALUE"""),"https://disk.yandex.ru/client/disk/Осмотры%20объектов%20АНО%20СМГ/881.3.%20«Электродепо%20«Владыкино»%20(расширение).%20Этап%3A%20«Камера%20мойки»%09%09%09")</f>
        <v>https://disk.yandex.ru/client/disk/Осмотры%20объектов%20АНО%20СМГ/881.3.%20«Электродепо%20«Владыкино»%20(расширение).%20Этап%3A%20«Камера%20мойки»%09%09%09</v>
      </c>
      <c r="J142" s="50">
        <f>IFERROR(__xludf.DUMMYFUNCTION("""COMPUTED_VALUE"""),30.664)</f>
        <v>30.664</v>
      </c>
      <c r="K142" s="58">
        <f>IFERROR(__xludf.DUMMYFUNCTION("""COMPUTED_VALUE"""),45728.0)</f>
        <v>45728</v>
      </c>
      <c r="L142" s="6">
        <v>30.0</v>
      </c>
      <c r="M142" s="52">
        <v>45758.0</v>
      </c>
      <c r="N142" s="53" t="s">
        <v>668</v>
      </c>
      <c r="O142" s="6" t="s">
        <v>669</v>
      </c>
      <c r="P142" s="6"/>
      <c r="Q142" s="6" t="str">
        <f t="shared" si="1"/>
        <v>#N/A</v>
      </c>
      <c r="R142" s="6"/>
    </row>
    <row r="143" hidden="1">
      <c r="A143" s="31" t="str">
        <f>IFERROR(__xludf.DUMMYFUNCTION("""COMPUTED_VALUE"""),"1134 (этап 2)")</f>
        <v>1134 (этап 2)</v>
      </c>
      <c r="B143" s="14" t="str">
        <f>IFERROR(__xludf.DUMMYFUNCTION("""COMPUTED_VALUE"""),"АИП-25")</f>
        <v>АИП-25</v>
      </c>
      <c r="C143" s="14" t="str">
        <f>IFERROR(__xludf.DUMMYFUNCTION("""COMPUTED_VALUE"""),"УДС")</f>
        <v>УДС</v>
      </c>
      <c r="D143" s="15"/>
      <c r="E143" s="14" t="str">
        <f>IFERROR(__xludf.DUMMYFUNCTION("""COMPUTED_VALUE"""),"Технологическая часть ТПУ на станции метро ""Нижегородская"". Этап 2 г. Москва , м . ""Нижегородская""")</f>
        <v>Технологическая часть ТПУ на станции метро "Нижегородская". Этап 2 г. Москва , м . "Нижегородская"</v>
      </c>
      <c r="F143" s="25" t="str">
        <f>IFERROR(__xludf.DUMMYFUNCTION("""COMPUTED_VALUE"""),"#N/A")</f>
        <v>#N/A</v>
      </c>
      <c r="G143" s="6" t="str">
        <f>IFERROR(__xludf.DUMMYFUNCTION("""COMPUTED_VALUE"""),"#N/A")</f>
        <v>#N/A</v>
      </c>
      <c r="H143" s="18" t="str">
        <f>IFERROR(__xludf.DUMMYFUNCTION("""COMPUTED_VALUE"""),"https://docs.google.com/spreadsheets/d/1jonEGMB3UFHiUZpltF1zURon8gYN7jGSHu-k9t5TXnA/edit?gid=678601315#gid=678601315")</f>
        <v>https://docs.google.com/spreadsheets/d/1jonEGMB3UFHiUZpltF1zURon8gYN7jGSHu-k9t5TXnA/edit?gid=678601315#gid=678601315</v>
      </c>
      <c r="I143" s="18" t="str">
        <f>IFERROR(__xludf.DUMMYFUNCTION("""COMPUTED_VALUE"""),"https://disk.yandex.ru/client/disk/%D0%9E%D1%81%D0%BC%D0%BE%D1%82%D1%80%D1%8B%20%D0%BE%D0%B1%D1%8A%D0%B5%D0%BA%D1%82%D0%BE%D0%B2%20%D0%90%D0%9D%D0%9E%20%D0%A1%D0%9C%D0%93/1134%20%D0%A2%D0%B5%D1%85%D0%BD%D0%BE%D0%BB%D0%BE%D0%B3%D0%B8%D1%87%D0%B5%D1%81%D0%B"&amp;"A%D0%B0%D1%8F%20%D1%87%D0%B0%D1%81%D1%82%D1%8C%20%D0%A2%D0%9F%D0%A3%20%D0%BD%D0%B0%20%D1%81%D1%82%D0%B0%D0%BD%D1%86%D0%B8%D0%B8%20%D0%BC%D0%B5%D1%82%D1%80%D0%BE%20%22%D0%9D%D0%B8%D0%B6%D0%B5%D0%B3%D0%BE%D1%80%D0%BE%D0%B4%D1%81%D0%BA%D0%B0%D1%8F%22%20")</f>
        <v>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v>
      </c>
      <c r="J143" s="50">
        <f>IFERROR(__xludf.DUMMYFUNCTION("""COMPUTED_VALUE"""),100.0)</f>
        <v>100</v>
      </c>
      <c r="K143" s="58">
        <f>IFERROR(__xludf.DUMMYFUNCTION("""COMPUTED_VALUE"""),45973.0)</f>
        <v>45973</v>
      </c>
      <c r="L143" s="6" t="s">
        <v>654</v>
      </c>
      <c r="M143" s="52" t="s">
        <v>655</v>
      </c>
      <c r="N143" s="53" t="s">
        <v>656</v>
      </c>
      <c r="O143" s="6" t="s">
        <v>753</v>
      </c>
      <c r="P143" s="6"/>
      <c r="Q143" s="6" t="str">
        <f t="shared" si="1"/>
        <v>#N/A</v>
      </c>
      <c r="R143" s="6"/>
    </row>
    <row r="144" hidden="1">
      <c r="A144" s="31" t="str">
        <f>IFERROR(__xludf.DUMMYFUNCTION("""COMPUTED_VALUE"""),"1134 (этап 2.1)")</f>
        <v>1134 (этап 2.1)</v>
      </c>
      <c r="B144" s="14" t="str">
        <f>IFERROR(__xludf.DUMMYFUNCTION("""COMPUTED_VALUE"""),"АИП-25")</f>
        <v>АИП-25</v>
      </c>
      <c r="C144" s="14" t="str">
        <f>IFERROR(__xludf.DUMMYFUNCTION("""COMPUTED_VALUE"""),"УДС")</f>
        <v>УДС</v>
      </c>
      <c r="D144" s="15"/>
      <c r="E144" s="14" t="str">
        <f>IFERROR(__xludf.DUMMYFUNCTION("""COMPUTED_VALUE"""),"Технологическая часть ТПУ на станции метро ""Нижегородская"". Этап 2.1 г. Москва , м . ""Нижегородская""")</f>
        <v>Технологическая часть ТПУ на станции метро "Нижегородская". Этап 2.1 г. Москва , м . "Нижегородская"</v>
      </c>
      <c r="F144" s="25" t="str">
        <f>IFERROR(__xludf.DUMMYFUNCTION("""COMPUTED_VALUE"""),"#N/A")</f>
        <v>#N/A</v>
      </c>
      <c r="G144" s="6" t="str">
        <f>IFERROR(__xludf.DUMMYFUNCTION("""COMPUTED_VALUE"""),"#N/A")</f>
        <v>#N/A</v>
      </c>
      <c r="H144" s="18" t="str">
        <f>IFERROR(__xludf.DUMMYFUNCTION("""COMPUTED_VALUE"""),"https://docs.google.com/spreadsheets/d/1jonEGMB3UFHiUZpltF1zURon8gYN7jGSHu-k9t5TXnA/edit?gid=963444236#gid=963444236")</f>
        <v>https://docs.google.com/spreadsheets/d/1jonEGMB3UFHiUZpltF1zURon8gYN7jGSHu-k9t5TXnA/edit?gid=963444236#gid=963444236</v>
      </c>
      <c r="I144" s="18" t="str">
        <f>IFERROR(__xludf.DUMMYFUNCTION("""COMPUTED_VALUE"""),"https://disk.yandex.ru/client/disk/%D0%9E%D1%81%D0%BC%D0%BE%D1%82%D1%80%D1%8B%20%D0%BE%D0%B1%D1%8A%D0%B5%D0%BA%D1%82%D0%BE%D0%B2%20%D0%90%D0%9D%D0%9E%20%D0%A1%D0%9C%D0%93/1134%20%D0%A2%D0%B5%D1%85%D0%BD%D0%BE%D0%BB%D0%BE%D0%B3%D0%B8%D1%87%D0%B5%D1%81%D0%B"&amp;"A%D0%B0%D1%8F%20%D1%87%D0%B0%D1%81%D1%82%D1%8C%20%D0%A2%D0%9F%D0%A3%20%D0%BD%D0%B0%20%D1%81%D1%82%D0%B0%D0%BD%D1%86%D0%B8%D0%B8%20%D0%BC%D0%B5%D1%82%D1%80%D0%BE%20%22%D0%9D%D0%B8%D0%B6%D0%B5%D0%B3%D0%BE%D1%80%D0%BE%D0%B4%D1%81%D0%BA%D0%B0%D1%8F%22%20")</f>
        <v>https://disk.yandex.ru/client/disk/%D0%9E%D1%81%D0%BC%D0%BE%D1%82%D1%80%D1%8B%20%D0%BE%D0%B1%D1%8A%D0%B5%D0%BA%D1%82%D0%BE%D0%B2%20%D0%90%D0%9D%D0%9E%20%D0%A1%D0%9C%D0%93/1134%20%D0%A2%D0%B5%D1%85%D0%BD%D0%BE%D0%BB%D0%BE%D0%B3%D0%B8%D1%87%D0%B5%D1%81%D0%BA%D0%B0%D1%8F%20%D1%87%D0%B0%D1%81%D1%82%D1%8C%20%D0%A2%D0%9F%D0%A3%20%D0%BD%D0%B0%20%D1%81%D1%82%D0%B0%D0%BD%D1%86%D0%B8%D0%B8%20%D0%BC%D0%B5%D1%82%D1%80%D0%BE%20%22%D0%9D%D0%B8%D0%B6%D0%B5%D0%B3%D0%BE%D1%80%D0%BE%D0%B4%D1%81%D0%BA%D0%B0%D1%8F%22%20</v>
      </c>
      <c r="J144" s="50">
        <f>IFERROR(__xludf.DUMMYFUNCTION("""COMPUTED_VALUE"""),94.0)</f>
        <v>94</v>
      </c>
      <c r="K144" s="58">
        <f>IFERROR(__xludf.DUMMYFUNCTION("""COMPUTED_VALUE"""),45959.0)</f>
        <v>45959</v>
      </c>
      <c r="L144" s="6">
        <v>14.0</v>
      </c>
      <c r="M144" s="52">
        <v>45973.0</v>
      </c>
      <c r="N144" s="53" t="s">
        <v>668</v>
      </c>
      <c r="O144" s="6" t="s">
        <v>754</v>
      </c>
      <c r="P144" s="6"/>
      <c r="Q144" s="6" t="str">
        <f t="shared" si="1"/>
        <v>#N/A</v>
      </c>
      <c r="R144" s="6"/>
    </row>
    <row r="145" hidden="1">
      <c r="A145" s="31" t="str">
        <f>IFERROR(__xludf.DUMMYFUNCTION("""COMPUTED_VALUE"""),"1123")</f>
        <v>1123</v>
      </c>
      <c r="B145" s="14" t="str">
        <f>IFERROR(__xludf.DUMMYFUNCTION("""COMPUTED_VALUE"""),"АИП-25")</f>
        <v>АИП-25</v>
      </c>
      <c r="C145" s="14" t="str">
        <f>IFERROR(__xludf.DUMMYFUNCTION("""COMPUTED_VALUE"""),"УДС")</f>
        <v>УДС</v>
      </c>
      <c r="D145" s="60"/>
      <c r="E145" s="14" t="str">
        <f>IFERROR(__xludf.DUMMYFUNCTION("""COMPUTED_VALUE"""),"Технологическая часть ТПУ на станции метро ""Улица Дмитриевского"". Этап 1 «Улично-дорожная сеть и благоустройство» г. Москва, м. ""Улица Дмитриевскоrо""")</f>
        <v>Технологическая часть ТПУ на станции метро "Улица Дмитриевского". Этап 1 «Улично-дорожная сеть и благоустройство» г. Москва, м. "Улица Дмитриевскоrо"</v>
      </c>
      <c r="F145" s="25" t="str">
        <f>IFERROR(__xludf.DUMMYFUNCTION("""COMPUTED_VALUE"""),"#N/A")</f>
        <v>#N/A</v>
      </c>
      <c r="G145" s="6" t="str">
        <f>IFERROR(__xludf.DUMMYFUNCTION("""COMPUTED_VALUE"""),"#N/A")</f>
        <v>#N/A</v>
      </c>
      <c r="H145" s="18" t="str">
        <f>IFERROR(__xludf.DUMMYFUNCTION("""COMPUTED_VALUE"""),"https://docs.google.com/spreadsheets/d/1jonEGMB3UFHiUZpltF1zURon8gYN7jGSHu-k9t5TXnA/edit?gid=867799308#gid=867799308")</f>
        <v>https://docs.google.com/spreadsheets/d/1jonEGMB3UFHiUZpltF1zURon8gYN7jGSHu-k9t5TXnA/edit?gid=867799308#gid=867799308</v>
      </c>
      <c r="I145" s="6"/>
      <c r="J145" s="50">
        <f>IFERROR(__xludf.DUMMYFUNCTION("""COMPUTED_VALUE"""),93.85)</f>
        <v>93.85</v>
      </c>
      <c r="K145" s="58">
        <f>IFERROR(__xludf.DUMMYFUNCTION("""COMPUTED_VALUE"""),45971.0)</f>
        <v>45971</v>
      </c>
      <c r="L145" s="6">
        <v>14.0</v>
      </c>
      <c r="M145" s="52">
        <v>45985.0</v>
      </c>
      <c r="N145" s="53" t="s">
        <v>711</v>
      </c>
      <c r="O145" s="6" t="s">
        <v>755</v>
      </c>
      <c r="P145" s="6"/>
      <c r="Q145" s="6" t="str">
        <f t="shared" si="1"/>
        <v>#N/A</v>
      </c>
      <c r="R145" s="6"/>
    </row>
    <row r="146" hidden="1">
      <c r="A146" s="31" t="str">
        <f>IFERROR(__xludf.DUMMYFUNCTION("""COMPUTED_VALUE"""),"241д")</f>
        <v>241д</v>
      </c>
      <c r="B146" s="14" t="str">
        <f>IFERROR(__xludf.DUMMYFUNCTION("""COMPUTED_VALUE"""),"АИП-25")</f>
        <v>АИП-25</v>
      </c>
      <c r="C146" s="14" t="str">
        <f>IFERROR(__xludf.DUMMYFUNCTION("""COMPUTED_VALUE"""),"УДС")</f>
        <v>УДС</v>
      </c>
      <c r="D146" s="15"/>
      <c r="E146" s="14" t="str">
        <f>IFERROR(__xludf.DUMMYFUNCTION("""COMPUTED_VALUE"""),"""Расширение Поморской улицы и Проектируемого проезда №2257 со строительством Проектируемого проезда вдоль ж/д путей"" проектируемый проезд № 2257")</f>
        <v>"Расширение Поморской улицы и Проектируемого проезда №2257 со строительством Проектируемого проезда вдоль ж/д путей" проектируемый проезд № 2257</v>
      </c>
      <c r="F146" s="25" t="str">
        <f>IFERROR(__xludf.DUMMYFUNCTION("""COMPUTED_VALUE"""),"#N/A")</f>
        <v>#N/A</v>
      </c>
      <c r="G146" s="6" t="str">
        <f>IFERROR(__xludf.DUMMYFUNCTION("""COMPUTED_VALUE"""),"#N/A")</f>
        <v>#N/A</v>
      </c>
      <c r="H146" s="6"/>
      <c r="I146" s="6"/>
      <c r="J146" s="50">
        <f>IFERROR(__xludf.DUMMYFUNCTION("""COMPUTED_VALUE"""),43.37349999999999)</f>
        <v>43.3735</v>
      </c>
      <c r="K146" s="58">
        <f>IFERROR(__xludf.DUMMYFUNCTION("""COMPUTED_VALUE"""),45972.0)</f>
        <v>45972</v>
      </c>
      <c r="L146" s="6">
        <v>30.0</v>
      </c>
      <c r="M146" s="52">
        <v>46002.0</v>
      </c>
      <c r="N146" s="53" t="s">
        <v>711</v>
      </c>
      <c r="O146" s="6" t="s">
        <v>756</v>
      </c>
      <c r="P146" s="6"/>
      <c r="Q146" s="6" t="str">
        <f t="shared" si="1"/>
        <v>#N/A</v>
      </c>
      <c r="R146" s="6"/>
    </row>
    <row r="147" hidden="1">
      <c r="A147" s="31" t="str">
        <f>IFERROR(__xludf.DUMMYFUNCTION("""COMPUTED_VALUE"""),"271")</f>
        <v>271</v>
      </c>
      <c r="B147" s="14" t="str">
        <f>IFERROR(__xludf.DUMMYFUNCTION("""COMPUTED_VALUE"""),"АИП-25")</f>
        <v>АИП-25</v>
      </c>
      <c r="C147" s="14" t="str">
        <f>IFERROR(__xludf.DUMMYFUNCTION("""COMPUTED_VALUE"""),"ОКС+УДС")</f>
        <v>ОКС+УДС</v>
      </c>
      <c r="D147" s="15"/>
      <c r="E147" s="14" t="str">
        <f>IFERROR(__xludf.DUMMYFUNCTION("""COMPUTED_VALUE"""),"Инфекционный лечебно-диагностический комплекс на территории ГБУЗ «ИКБ №1 ДЗМ» по адресу: Волоколамское шоссе вл.63 (4 этап - снос строения 8, благоустройство с учетом строительства плоскостной парковки) район Покровское Стрешнево, Волоколамское шоссе, вл."&amp;" 63")</f>
        <v>Инфекционный лечебно-диагностический комплекс на территории ГБУЗ «ИКБ №1 ДЗМ» по адресу: Волоколамское шоссе вл.63 (4 этап - снос строения 8, благоустройство с учетом строительства плоскостной парковки) район Покровское Стрешнево, Волоколамское шоссе, вл. 63</v>
      </c>
      <c r="F147" s="25" t="str">
        <f>IFERROR(__xludf.DUMMYFUNCTION("""COMPUTED_VALUE"""),"#N/A")</f>
        <v>#N/A</v>
      </c>
      <c r="G147" s="6" t="str">
        <f>IFERROR(__xludf.DUMMYFUNCTION("""COMPUTED_VALUE"""),"#N/A")</f>
        <v>#N/A</v>
      </c>
      <c r="H147" s="18" t="str">
        <f>IFERROR(__xludf.DUMMYFUNCTION("""COMPUTED_VALUE"""),"https://docs.google.com/spreadsheets/d/19THEBTE9q0fhN2eApZr6BgenIvLGh0AckaYxHQfHk5w/edit?gid=1122098062#gid=1122098062")</f>
        <v>https://docs.google.com/spreadsheets/d/19THEBTE9q0fhN2eApZr6BgenIvLGh0AckaYxHQfHk5w/edit?gid=1122098062#gid=1122098062</v>
      </c>
      <c r="I147" s="19" t="str">
        <f>IFERROR(__xludf.DUMMYFUNCTION("""COMPUTED_VALUE"""),"https://disk.yandex.ru/client/disk/Осмотры%20объектов%20АНО%20СМГ/271.%20Волоколамское%20шоссе%2C%20вл%2063%20(4%20этап)")</f>
        <v>https://disk.yandex.ru/client/disk/Осмотры%20объектов%20АНО%20СМГ/271.%20Волоколамское%20шоссе%2C%20вл%2063%20(4%20этап)</v>
      </c>
      <c r="J147" s="50">
        <f>IFERROR(__xludf.DUMMYFUNCTION("""COMPUTED_VALUE"""),100.0)</f>
        <v>100</v>
      </c>
      <c r="K147" s="58">
        <f>IFERROR(__xludf.DUMMYFUNCTION("""COMPUTED_VALUE"""),45902.0)</f>
        <v>45902</v>
      </c>
      <c r="L147" s="6" t="s">
        <v>654</v>
      </c>
      <c r="M147" s="52" t="s">
        <v>655</v>
      </c>
      <c r="N147" s="53" t="s">
        <v>656</v>
      </c>
      <c r="O147" s="19" t="s">
        <v>757</v>
      </c>
      <c r="P147" s="6"/>
      <c r="Q147" s="6" t="str">
        <f t="shared" si="1"/>
        <v>#N/A</v>
      </c>
      <c r="R147" s="6"/>
    </row>
    <row r="148" hidden="1">
      <c r="A148" s="31" t="str">
        <f>IFERROR(__xludf.DUMMYFUNCTION("""COMPUTED_VALUE"""),"297")</f>
        <v>297</v>
      </c>
      <c r="B148" s="14" t="str">
        <f>IFERROR(__xludf.DUMMYFUNCTION("""COMPUTED_VALUE"""),"АИП-25")</f>
        <v>АИП-25</v>
      </c>
      <c r="C148" s="14" t="str">
        <f>IFERROR(__xludf.DUMMYFUNCTION("""COMPUTED_VALUE"""),"ОКС")</f>
        <v>ОКС</v>
      </c>
      <c r="D148" s="15"/>
      <c r="E148" s="14" t="str">
        <f>IFERROR(__xludf.DUMMYFUNCTION("""COMPUTED_VALUE"""),"Лечебно-диагностический комплекс ГБУЗ «МКНЦ им. А.С. Логинова ДЗМ» 2 этап район Перово, ш. Энтузиастов, вл. 86")</f>
        <v>Лечебно-диагностический комплекс ГБУЗ «МКНЦ им. А.С. Логинова ДЗМ» 2 этап район Перово, ш. Энтузиастов, вл. 86</v>
      </c>
      <c r="F148" s="25" t="str">
        <f>IFERROR(__xludf.DUMMYFUNCTION("""COMPUTED_VALUE"""),"55.76521285831778")</f>
        <v>55.76521285831778</v>
      </c>
      <c r="G148" s="6" t="str">
        <f>IFERROR(__xludf.DUMMYFUNCTION("""COMPUTED_VALUE"""),"37.7956623862295")</f>
        <v>37.7956623862295</v>
      </c>
      <c r="H148" s="18" t="str">
        <f>IFERROR(__xludf.DUMMYFUNCTION("""COMPUTED_VALUE"""),"https://docs.google.com/spreadsheets/d/19THEBTE9q0fhN2eApZr6BgenIvLGh0AckaYxHQfHk5w/edit?gid=1703085430#gid=1703085430")</f>
        <v>https://docs.google.com/spreadsheets/d/19THEBTE9q0fhN2eApZr6BgenIvLGh0AckaYxHQfHk5w/edit?gid=1703085430#gid=1703085430</v>
      </c>
      <c r="I148"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148" s="50">
        <f>IFERROR(__xludf.DUMMYFUNCTION("""COMPUTED_VALUE"""),0.0)</f>
        <v>0</v>
      </c>
      <c r="K148" s="58">
        <f>IFERROR(__xludf.DUMMYFUNCTION("""COMPUTED_VALUE"""),45954.0)</f>
        <v>45954</v>
      </c>
      <c r="L148" s="6">
        <v>30.0</v>
      </c>
      <c r="M148" s="52">
        <v>45984.0</v>
      </c>
      <c r="N148" s="53" t="s">
        <v>652</v>
      </c>
      <c r="O148" s="19" t="s">
        <v>758</v>
      </c>
      <c r="P148" s="6"/>
      <c r="Q148" s="6" t="str">
        <f t="shared" si="1"/>
        <v>#N/A</v>
      </c>
      <c r="R148" s="6"/>
    </row>
    <row r="149" hidden="1">
      <c r="A149" s="31" t="str">
        <f>IFERROR(__xludf.DUMMYFUNCTION("""COMPUTED_VALUE"""),"262")</f>
        <v>262</v>
      </c>
      <c r="B149" s="14" t="str">
        <f>IFERROR(__xludf.DUMMYFUNCTION("""COMPUTED_VALUE"""),"АИП-25")</f>
        <v>АИП-25</v>
      </c>
      <c r="C149" s="14" t="str">
        <f>IFERROR(__xludf.DUMMYFUNCTION("""COMPUTED_VALUE"""),"ОКС")</f>
        <v>ОКС</v>
      </c>
      <c r="D149" s="15"/>
      <c r="E149" s="14" t="str">
        <f>IFERROR(__xludf.DUMMYFUNCTION("""COMPUTED_VALUE"""),"Лечебно-диагностический комплекс ГБУЗ «МКНЦ им. А.С. Логинова ДЗМ» 3 этап КПП и благоустройство район Перово, ш. Энтузиастов, вл. 86")</f>
        <v>Лечебно-диагностический комплекс ГБУЗ «МКНЦ им. А.С. Логинова ДЗМ» 3 этап КПП и благоустройство район Перово, ш. Энтузиастов, вл. 86</v>
      </c>
      <c r="F149" s="25" t="str">
        <f>IFERROR(__xludf.DUMMYFUNCTION("""COMPUTED_VALUE"""),"#N/A")</f>
        <v>#N/A</v>
      </c>
      <c r="G149" s="6" t="str">
        <f>IFERROR(__xludf.DUMMYFUNCTION("""COMPUTED_VALUE"""),"#N/A")</f>
        <v>#N/A</v>
      </c>
      <c r="H149" s="18" t="str">
        <f>IFERROR(__xludf.DUMMYFUNCTION("""COMPUTED_VALUE"""),"https://docs.google.com/spreadsheets/d/19THEBTE9q0fhN2eApZr6BgenIvLGh0AckaYxHQfHk5w/edit?gid=1094262803#gid=1094262803")</f>
        <v>https://docs.google.com/spreadsheets/d/19THEBTE9q0fhN2eApZr6BgenIvLGh0AckaYxHQfHk5w/edit?gid=1094262803#gid=1094262803</v>
      </c>
      <c r="I149"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149" s="50">
        <f>IFERROR(__xludf.DUMMYFUNCTION("""COMPUTED_VALUE"""),100.0)</f>
        <v>100</v>
      </c>
      <c r="K149" s="58">
        <f>IFERROR(__xludf.DUMMYFUNCTION("""COMPUTED_VALUE"""),45838.0)</f>
        <v>45838</v>
      </c>
      <c r="L149" s="6" t="s">
        <v>654</v>
      </c>
      <c r="M149" s="52" t="s">
        <v>655</v>
      </c>
      <c r="N149" s="53" t="s">
        <v>656</v>
      </c>
      <c r="O149" s="19" t="s">
        <v>759</v>
      </c>
      <c r="P149" s="6"/>
      <c r="Q149" s="6" t="str">
        <f t="shared" si="1"/>
        <v>#N/A</v>
      </c>
      <c r="R149" s="6"/>
    </row>
    <row r="150" hidden="1">
      <c r="A150" s="31" t="str">
        <f>IFERROR(__xludf.DUMMYFUNCTION("""COMPUTED_VALUE"""),"190")</f>
        <v>190</v>
      </c>
      <c r="B150" s="14" t="str">
        <f>IFERROR(__xludf.DUMMYFUNCTION("""COMPUTED_VALUE"""),"РЕН-25")</f>
        <v>РЕН-25</v>
      </c>
      <c r="C150" s="14" t="str">
        <f>IFERROR(__xludf.DUMMYFUNCTION("""COMPUTED_VALUE"""),"ОКС")</f>
        <v>ОКС</v>
      </c>
      <c r="D150" s="15"/>
      <c r="E150" s="14" t="str">
        <f>IFERROR(__xludf.DUMMYFUNCTION("""COMPUTED_VALUE"""),"Жилой дом с инженерными коммуникациями и благоустройством, Чечерский проезд, вл. 28 район Южное Бутово, Чечерский проезд, вл. 28 участок 1")</f>
        <v>Жилой дом с инженерными коммуникациями и благоустройством, Чечерский проезд, вл. 28 район Южное Бутово, Чечерский проезд, вл. 28 участок 1</v>
      </c>
      <c r="F150" s="25" t="str">
        <f>IFERROR(__xludf.DUMMYFUNCTION("""COMPUTED_VALUE"""),"55.535215")</f>
        <v>55.535215</v>
      </c>
      <c r="G150" s="6" t="str">
        <f>IFERROR(__xludf.DUMMYFUNCTION("""COMPUTED_VALUE"""),"37.537291")</f>
        <v>37.537291</v>
      </c>
      <c r="H150" s="18" t="str">
        <f>IFERROR(__xludf.DUMMYFUNCTION("""COMPUTED_VALUE"""),"https://docs.google.com/spreadsheets/d/1H1MjbG2y0oC0hhID4do1G0_gfyI1jag72lQd7nL3WDQ/edit?gid=1295057076#gid=1295057076")</f>
        <v>https://docs.google.com/spreadsheets/d/1H1MjbG2y0oC0hhID4do1G0_gfyI1jag72lQd7nL3WDQ/edit?gid=1295057076#gid=1295057076</v>
      </c>
      <c r="I150" s="19" t="str">
        <f>IFERROR(__xludf.DUMMYFUNCTION("""COMPUTED_VALUE"""),"https://disk.yandex.ru/client/disk/Осмотры%20объектов%20АНО%20СМГ/190.%20Южное%20Бутово%2C%20Чечëрский%20пр-д%2C%20вл.%2028%2C%20уч.%201.")</f>
        <v>https://disk.yandex.ru/client/disk/Осмотры%20объектов%20АНО%20СМГ/190.%20Южное%20Бутово%2C%20Чечëрский%20пр-д%2C%20вл.%2028%2C%20уч.%201.</v>
      </c>
      <c r="J150" s="50">
        <f>IFERROR(__xludf.DUMMYFUNCTION("""COMPUTED_VALUE"""),99.58862500000001)</f>
        <v>99.588625</v>
      </c>
      <c r="K150" s="58">
        <f>IFERROR(__xludf.DUMMYFUNCTION("""COMPUTED_VALUE"""),45968.0)</f>
        <v>45968</v>
      </c>
      <c r="L150" s="6">
        <v>7.0</v>
      </c>
      <c r="M150" s="52">
        <v>45975.0</v>
      </c>
      <c r="N150" s="53" t="s">
        <v>652</v>
      </c>
      <c r="O150" s="19" t="s">
        <v>760</v>
      </c>
      <c r="P150" s="6"/>
      <c r="Q150" s="6" t="str">
        <f t="shared" si="1"/>
        <v>#N/A</v>
      </c>
      <c r="R150" s="6"/>
    </row>
    <row r="151" hidden="1">
      <c r="A151" s="31" t="str">
        <f>IFERROR(__xludf.DUMMYFUNCTION("""COMPUTED_VALUE"""),"258")</f>
        <v>258</v>
      </c>
      <c r="B151" s="14" t="str">
        <f>IFERROR(__xludf.DUMMYFUNCTION("""COMPUTED_VALUE"""),"АИП-25")</f>
        <v>АИП-25</v>
      </c>
      <c r="C151" s="14" t="str">
        <f>IFERROR(__xludf.DUMMYFUNCTION("""COMPUTED_VALUE"""),"ОКС")</f>
        <v>ОКС</v>
      </c>
      <c r="D151" s="62"/>
      <c r="E151" s="14" t="str">
        <f>IFERROR(__xludf.DUMMYFUNCTION("""COMPUTED_VALUE"""),"Здание для размещения дошкольных групп на 150 мест 
 на месте сноса неиспользуемого здания,
 ул. Астрадамская, д. 15, к. 2 район Тимирязевский, ул. Астрадамская, д. 15, к. 2")</f>
        <v>Здание для размещения дошкольных групп на 150 мест 
 на месте сноса неиспользуемого здания,
 ул. Астрадамская, д. 15, к. 2 район Тимирязевский, ул. Астрадамская, д. 15, к. 2</v>
      </c>
      <c r="F151" s="25" t="str">
        <f>IFERROR(__xludf.DUMMYFUNCTION("""COMPUTED_VALUE"""),"55.813379")</f>
        <v>55.813379</v>
      </c>
      <c r="G151" s="6" t="str">
        <f>IFERROR(__xludf.DUMMYFUNCTION("""COMPUTED_VALUE"""),"37.559936")</f>
        <v>37.559936</v>
      </c>
      <c r="H151" s="18" t="str">
        <f>IFERROR(__xludf.DUMMYFUNCTION("""COMPUTED_VALUE"""),"https://docs.google.com/spreadsheets/d/19THEBTE9q0fhN2eApZr6BgenIvLGh0AckaYxHQfHk5w/edit?gid=1404088730#gid=1404088730")</f>
        <v>https://docs.google.com/spreadsheets/d/19THEBTE9q0fhN2eApZr6BgenIvLGh0AckaYxHQfHk5w/edit?gid=1404088730#gid=1404088730</v>
      </c>
      <c r="I151" s="19" t="str">
        <f>IFERROR(__xludf.DUMMYFUNCTION("""COMPUTED_VALUE"""),"https://disk.yandex.ru/client/disk/Осмотры%20объектов%20АНО%20СМГ/258.%20САО%2C%20ул.%20Астрадамская%2C%20д.%2015%2C%20к.%202%20ДОУ%20150%20мест")</f>
        <v>https://disk.yandex.ru/client/disk/Осмотры%20объектов%20АНО%20СМГ/258.%20САО%2C%20ул.%20Астрадамская%2C%20д.%2015%2C%20к.%202%20ДОУ%20150%20мест</v>
      </c>
      <c r="J151" s="63">
        <f>IFERROR(__xludf.DUMMYFUNCTION("""COMPUTED_VALUE"""),99.87598)</f>
        <v>99.87598</v>
      </c>
      <c r="K151" s="58">
        <f>IFERROR(__xludf.DUMMYFUNCTION("""COMPUTED_VALUE"""),45968.0)</f>
        <v>45968</v>
      </c>
      <c r="L151" s="64">
        <v>7.0</v>
      </c>
      <c r="M151" s="65">
        <v>45975.0</v>
      </c>
      <c r="N151" s="66" t="s">
        <v>701</v>
      </c>
      <c r="O151" s="67" t="s">
        <v>761</v>
      </c>
      <c r="P151" s="64"/>
      <c r="Q151" s="6" t="str">
        <f t="shared" si="1"/>
        <v>#N/A</v>
      </c>
      <c r="R151" s="64"/>
      <c r="S151" s="68"/>
      <c r="T151" s="68"/>
      <c r="U151" s="68"/>
      <c r="V151" s="68"/>
      <c r="W151" s="68"/>
      <c r="X151" s="68"/>
      <c r="Y151" s="68"/>
      <c r="Z151" s="68"/>
    </row>
    <row r="152" hidden="1">
      <c r="A152" s="31" t="str">
        <f>IFERROR(__xludf.DUMMYFUNCTION("""COMPUTED_VALUE"""),"015")</f>
        <v>015</v>
      </c>
      <c r="B152" s="14" t="str">
        <f>IFERROR(__xludf.DUMMYFUNCTION("""COMPUTED_VALUE"""),"АИП-25")</f>
        <v>АИП-25</v>
      </c>
      <c r="C152" s="14" t="str">
        <f>IFERROR(__xludf.DUMMYFUNCTION("""COMPUTED_VALUE"""),"ОКС")</f>
        <v>ОКС</v>
      </c>
      <c r="D152" s="69"/>
      <c r="E152" s="14" t="str">
        <f>IFERROR(__xludf.DUMMYFUNCTION("""COMPUTED_VALUE"""),"Пожарное депо на 4 машино-места, пос. Воскресенское (Завершение работ) п. Воскресенское, влд. 67А")</f>
        <v>Пожарное депо на 4 машино-места, пос. Воскресенское (Завершение работ) п. Воскресенское, влд. 67А</v>
      </c>
      <c r="F152" s="25" t="str">
        <f>IFERROR(__xludf.DUMMYFUNCTION("""COMPUTED_VALUE"""),"55.518890")</f>
        <v>55.518890</v>
      </c>
      <c r="G152" s="6" t="str">
        <f>IFERROR(__xludf.DUMMYFUNCTION("""COMPUTED_VALUE"""),"37.448145")</f>
        <v>37.448145</v>
      </c>
      <c r="H152" s="18" t="str">
        <f>IFERROR(__xludf.DUMMYFUNCTION("""COMPUTED_VALUE"""),"https://docs.google.com/spreadsheets/d/19THEBTE9q0fhN2eApZr6BgenIvLGh0AckaYxHQfHk5w/edit?gid=1728236412#gid=1728236412")</f>
        <v>https://docs.google.com/spreadsheets/d/19THEBTE9q0fhN2eApZr6BgenIvLGh0AckaYxHQfHk5w/edit?gid=1728236412#gid=1728236412</v>
      </c>
      <c r="I152" s="19" t="str">
        <f>IFERROR(__xludf.DUMMYFUNCTION("""COMPUTED_VALUE"""),"https://disk.yandex.ru/client/disk/Осмотры%20объектов%20АНО%20СМГ/015.%20Пожарное%20депо%20на%204%20м-м%2C%20Воскресенское")</f>
        <v>https://disk.yandex.ru/client/disk/Осмотры%20объектов%20АНО%20СМГ/015.%20Пожарное%20депо%20на%204%20м-м%2C%20Воскресенское</v>
      </c>
      <c r="J152" s="50">
        <f>IFERROR(__xludf.DUMMYFUNCTION("""COMPUTED_VALUE"""),97.067355)</f>
        <v>97.067355</v>
      </c>
      <c r="K152" s="58">
        <f>IFERROR(__xludf.DUMMYFUNCTION("""COMPUTED_VALUE"""),45972.0)</f>
        <v>45972</v>
      </c>
      <c r="L152" s="6">
        <v>7.0</v>
      </c>
      <c r="M152" s="52">
        <v>45979.0</v>
      </c>
      <c r="N152" s="53" t="s">
        <v>692</v>
      </c>
      <c r="O152" s="19" t="s">
        <v>762</v>
      </c>
      <c r="P152" s="6"/>
      <c r="Q152" s="6" t="str">
        <f t="shared" si="1"/>
        <v>#N/A</v>
      </c>
      <c r="R152" s="6"/>
    </row>
    <row r="153" hidden="1">
      <c r="A153" s="31" t="str">
        <f>IFERROR(__xludf.DUMMYFUNCTION("""COMPUTED_VALUE"""),"1084")</f>
        <v>1084</v>
      </c>
      <c r="B153" s="14" t="str">
        <f>IFERROR(__xludf.DUMMYFUNCTION("""COMPUTED_VALUE"""),"АИП-25")</f>
        <v>АИП-25</v>
      </c>
      <c r="C153" s="14" t="str">
        <f>IFERROR(__xludf.DUMMYFUNCTION("""COMPUTED_VALUE"""),"ОКС")</f>
        <v>ОКС</v>
      </c>
      <c r="D153" s="15"/>
      <c r="E153" s="14" t="str">
        <f>IFERROR(__xludf.DUMMYFUNCTION("""COMPUTED_VALUE"""),"Строительство сетей канализации, д. Саларьево, пос. Московский. Этап 3 д. Саларьево, пос.  Московский")</f>
        <v>Строительство сетей канализации, д. Саларьево, пос. Московский. Этап 3 д. Саларьево, пос.  Московский</v>
      </c>
      <c r="F153" s="25" t="str">
        <f>IFERROR(__xludf.DUMMYFUNCTION("""COMPUTED_VALUE"""),"55.622733")</f>
        <v>55.622733</v>
      </c>
      <c r="G153" s="6" t="str">
        <f>IFERROR(__xludf.DUMMYFUNCTION("""COMPUTED_VALUE"""),"37.437650")</f>
        <v>37.437650</v>
      </c>
      <c r="H153" s="18" t="str">
        <f>IFERROR(__xludf.DUMMYFUNCTION("""COMPUTED_VALUE"""),"https://docs.google.com/spreadsheets/d/19THEBTE9q0fhN2eApZr6BgenIvLGh0AckaYxHQfHk5w/edit?gid=1264375992#gid=1264375992")</f>
        <v>https://docs.google.com/spreadsheets/d/19THEBTE9q0fhN2eApZr6BgenIvLGh0AckaYxHQfHk5w/edit?gid=1264375992#gid=1264375992</v>
      </c>
      <c r="I153" s="19" t="str">
        <f>IFERROR(__xludf.DUMMYFUNCTION("""COMPUTED_VALUE"""),"https://disk.yandex.ru/client/disk/Осмотры%20объектов%20АНО%20СМГ/1084.%20«Строительство%20сетей%20канализации%20д.%20Саларьево%20пос.%20Московский%20Новомосковского%20административного%20округа%20г.Москвы»%20Этап%203")</f>
        <v>https://disk.yandex.ru/client/disk/Осмотры%20объектов%20АНО%20СМГ/1084.%20«Строительство%20сетей%20канализации%20д.%20Саларьево%20пос.%20Московский%20Новомосковского%20административного%20округа%20г.Москвы»%20Этап%203</v>
      </c>
      <c r="J153" s="50">
        <f>IFERROR(__xludf.DUMMYFUNCTION("""COMPUTED_VALUE"""),99.5)</f>
        <v>99.5</v>
      </c>
      <c r="K153" s="58">
        <f>IFERROR(__xludf.DUMMYFUNCTION("""COMPUTED_VALUE"""),45951.0)</f>
        <v>45951</v>
      </c>
      <c r="L153" s="6">
        <v>7.0</v>
      </c>
      <c r="M153" s="52">
        <v>45958.0</v>
      </c>
      <c r="N153" s="53" t="s">
        <v>652</v>
      </c>
      <c r="O153" s="61" t="s">
        <v>763</v>
      </c>
      <c r="P153" s="6"/>
      <c r="Q153" s="6" t="str">
        <f t="shared" si="1"/>
        <v>#N/A</v>
      </c>
      <c r="R153" s="6"/>
    </row>
    <row r="154" hidden="1">
      <c r="A154" s="31" t="str">
        <f>IFERROR(__xludf.DUMMYFUNCTION("""COMPUTED_VALUE"""),"1129")</f>
        <v>1129</v>
      </c>
      <c r="B154" s="14" t="str">
        <f>IFERROR(__xludf.DUMMYFUNCTION("""COMPUTED_VALUE"""),"АИП-25")</f>
        <v>АИП-25</v>
      </c>
      <c r="C154" s="14" t="str">
        <f>IFERROR(__xludf.DUMMYFUNCTION("""COMPUTED_VALUE"""),"ОКС")</f>
        <v>ОКС</v>
      </c>
      <c r="D154" s="15"/>
      <c r="E154" s="14" t="str">
        <f>IFERROR(__xludf.DUMMYFUNCTION("""COMPUTED_VALUE"""),"Водозаборный узел для садоводческого некоммерческого товарищества «Русь» район Темкинский, СНТ «Русь»")</f>
        <v>Водозаборный узел для садоводческого некоммерческого товарищества «Русь» район Темкинский, СНТ «Русь»</v>
      </c>
      <c r="F154" s="25" t="str">
        <f>IFERROR(__xludf.DUMMYFUNCTION("""COMPUTED_VALUE"""),"55.319224")</f>
        <v>55.319224</v>
      </c>
      <c r="G154" s="6" t="str">
        <f>IFERROR(__xludf.DUMMYFUNCTION("""COMPUTED_VALUE"""),"35.274278")</f>
        <v>35.274278</v>
      </c>
      <c r="H154" s="18" t="str">
        <f>IFERROR(__xludf.DUMMYFUNCTION("""COMPUTED_VALUE"""),"https://docs.google.com/spreadsheets/d/19THEBTE9q0fhN2eApZr6BgenIvLGh0AckaYxHQfHk5w/edit?gid=1223406646#gid=1223406646")</f>
        <v>https://docs.google.com/spreadsheets/d/19THEBTE9q0fhN2eApZr6BgenIvLGh0AckaYxHQfHk5w/edit?gid=1223406646#gid=1223406646</v>
      </c>
      <c r="I154" s="19" t="str">
        <f>IFERROR(__xludf.DUMMYFUNCTION("""COMPUTED_VALUE"""),"https://disk.yandex.ru/client/disk/Осмотры%20объектов%20АНО%20СМГ/1129.%20Водозаборный%20узел.%20СНТ%20%22Русь%22%20Смоленская%20обл.")</f>
        <v>https://disk.yandex.ru/client/disk/Осмотры%20объектов%20АНО%20СМГ/1129.%20Водозаборный%20узел.%20СНТ%20%22Русь%22%20Смоленская%20обл.</v>
      </c>
      <c r="J154" s="50">
        <f>IFERROR(__xludf.DUMMYFUNCTION("""COMPUTED_VALUE"""),100.0)</f>
        <v>100</v>
      </c>
      <c r="K154" s="58">
        <f>IFERROR(__xludf.DUMMYFUNCTION("""COMPUTED_VALUE"""),45894.0)</f>
        <v>45894</v>
      </c>
      <c r="L154" s="6" t="s">
        <v>654</v>
      </c>
      <c r="M154" s="52" t="s">
        <v>655</v>
      </c>
      <c r="N154" s="53" t="s">
        <v>656</v>
      </c>
      <c r="O154" s="19" t="s">
        <v>764</v>
      </c>
      <c r="P154" s="6"/>
      <c r="Q154" s="6" t="str">
        <f t="shared" si="1"/>
        <v>#N/A</v>
      </c>
      <c r="R154" s="6"/>
    </row>
    <row r="155" hidden="1">
      <c r="A155" s="31" t="str">
        <f>IFERROR(__xludf.DUMMYFUNCTION("""COMPUTED_VALUE"""),"1024")</f>
        <v>1024</v>
      </c>
      <c r="B155" s="14" t="str">
        <f>IFERROR(__xludf.DUMMYFUNCTION("""COMPUTED_VALUE"""),"ВНЕ СПИСКА")</f>
        <v>ВНЕ СПИСКА</v>
      </c>
      <c r="C155" s="14" t="str">
        <f>IFERROR(__xludf.DUMMYFUNCTION("""COMPUTED_VALUE"""),"ОКС")</f>
        <v>ОКС</v>
      </c>
      <c r="D155" s="15" t="str">
        <f>IFERROR(__xludf.DUMMYFUNCTION("""COMPUTED_VALUE"""),"да")</f>
        <v>да</v>
      </c>
      <c r="E155" s="14" t="str">
        <f>IFERROR(__xludf.DUMMYFUNCTION("""COMPUTED_VALUE"""),"Осмотр итогов строительства дошкольной образовательной организации на 200 мест в составе ЖК «Остров», СЗАО, р-н Хорошёво-Мнёвники, Нижние Мневники ул. уч. 9  р-н Хорошёво-Мнёвники, Нижние Мневники ул. уч. 9 ")</f>
        <v>Осмотр итогов строительства дошкольной образовательной организации на 200 мест в составе ЖК «Остров», СЗАО, р-н Хорошёво-Мнёвники, Нижние Мневники ул. уч. 9  р-н Хорошёво-Мнёвники, Нижние Мневники ул. уч. 9 </v>
      </c>
      <c r="F155" s="25" t="str">
        <f>IFERROR(__xludf.DUMMYFUNCTION("""COMPUTED_VALUE"""),"#N/A")</f>
        <v>#N/A</v>
      </c>
      <c r="G155" s="6" t="str">
        <f>IFERROR(__xludf.DUMMYFUNCTION("""COMPUTED_VALUE"""),"#N/A")</f>
        <v>#N/A</v>
      </c>
      <c r="H155" s="18" t="str">
        <f>IFERROR(__xludf.DUMMYFUNCTION("""COMPUTED_VALUE"""),"https://docs.google.com/spreadsheets/d/1EI7qusa674eJhuaw-nWWtWMEHVSYMQv7HLsInEZTWpE/edit?gid=994703710#gid=994703710")</f>
        <v>https://docs.google.com/spreadsheets/d/1EI7qusa674eJhuaw-nWWtWMEHVSYMQv7HLsInEZTWpE/edit?gid=994703710#gid=994703710</v>
      </c>
      <c r="I155" s="19" t="str">
        <f>IFERROR(__xludf.DUMMYFUNCTION("""COMPUTED_VALUE"""),"https://disk.yandex.ru/client/disk/Осмотры%20объектов%20АНО%20СМГ/1024.%20ДОУ%20200%20мест%20нижние%20мневники%209")</f>
        <v>https://disk.yandex.ru/client/disk/Осмотры%20объектов%20АНО%20СМГ/1024.%20ДОУ%20200%20мест%20нижние%20мневники%209</v>
      </c>
      <c r="J155" s="50">
        <f>IFERROR(__xludf.DUMMYFUNCTION("""COMPUTED_VALUE"""),99.97749999999999)</f>
        <v>99.9775</v>
      </c>
      <c r="K155" s="58">
        <f>IFERROR(__xludf.DUMMYFUNCTION("""COMPUTED_VALUE"""),45873.0)</f>
        <v>45873</v>
      </c>
      <c r="L155" s="6">
        <v>7.0</v>
      </c>
      <c r="M155" s="52">
        <v>45880.0</v>
      </c>
      <c r="N155" s="53" t="s">
        <v>652</v>
      </c>
      <c r="O155" s="19" t="s">
        <v>765</v>
      </c>
      <c r="P155" s="6"/>
      <c r="Q155" s="6" t="str">
        <f t="shared" si="1"/>
        <v>#N/A</v>
      </c>
      <c r="R155" s="6"/>
    </row>
    <row r="156" hidden="1">
      <c r="A156" s="31" t="str">
        <f>IFERROR(__xludf.DUMMYFUNCTION("""COMPUTED_VALUE"""),"098")</f>
        <v>098</v>
      </c>
      <c r="B156" s="14" t="str">
        <f>IFERROR(__xludf.DUMMYFUNCTION("""COMPUTED_VALUE"""),"АИП-25")</f>
        <v>АИП-25</v>
      </c>
      <c r="C156" s="14" t="str">
        <f>IFERROR(__xludf.DUMMYFUNCTION("""COMPUTED_VALUE"""),"ОКС")</f>
        <v>ОКС</v>
      </c>
      <c r="D156" s="15"/>
      <c r="E156" s="14" t="str">
        <f>IFERROR(__xludf.DUMMYFUNCTION("""COMPUTED_VALUE"""),"Школа на 375 мест (на месте сноса здания), ЗАО, Багратионовский проезд, д. 10 район Филевский Парк, Багратионовский проезд, д. 10")</f>
        <v>Школа на 375 мест (на месте сноса здания), ЗАО, Багратионовский проезд, д. 10 район Филевский Парк, Багратионовский проезд, д. 10</v>
      </c>
      <c r="F156" s="25" t="str">
        <f>IFERROR(__xludf.DUMMYFUNCTION("""COMPUTED_VALUE"""),"#N/A")</f>
        <v>#N/A</v>
      </c>
      <c r="G156" s="6" t="str">
        <f>IFERROR(__xludf.DUMMYFUNCTION("""COMPUTED_VALUE"""),"#N/A")</f>
        <v>#N/A</v>
      </c>
      <c r="H156" s="18" t="str">
        <f>IFERROR(__xludf.DUMMYFUNCTION("""COMPUTED_VALUE"""),"https://docs.google.com/spreadsheets/d/19THEBTE9q0fhN2eApZr6BgenIvLGh0AckaYxHQfHk5w/edit?gid=178055917#gid=178055917")</f>
        <v>https://docs.google.com/spreadsheets/d/19THEBTE9q0fhN2eApZr6BgenIvLGh0AckaYxHQfHk5w/edit?gid=178055917#gid=178055917</v>
      </c>
      <c r="I156" s="19"/>
      <c r="J156" s="50">
        <f>IFERROR(__xludf.DUMMYFUNCTION("""COMPUTED_VALUE"""),99.99549999999999)</f>
        <v>99.9955</v>
      </c>
      <c r="K156" s="58">
        <f>IFERROR(__xludf.DUMMYFUNCTION("""COMPUTED_VALUE"""),45937.0)</f>
        <v>45937</v>
      </c>
      <c r="L156" s="6">
        <v>7.0</v>
      </c>
      <c r="M156" s="52">
        <v>45944.0</v>
      </c>
      <c r="N156" s="53" t="s">
        <v>652</v>
      </c>
      <c r="O156" s="19" t="s">
        <v>766</v>
      </c>
      <c r="P156" s="6"/>
      <c r="Q156" s="6" t="str">
        <f t="shared" si="1"/>
        <v>#N/A</v>
      </c>
      <c r="R156" s="6"/>
    </row>
    <row r="157" hidden="1">
      <c r="A157" s="31"/>
      <c r="B157" s="14"/>
      <c r="C157" s="14" t="str">
        <f>IFERROR(__xludf.DUMMYFUNCTION("""COMPUTED_VALUE"""),"УДС")</f>
        <v>УДС</v>
      </c>
      <c r="D157" s="60"/>
      <c r="E157" s="14" t="str">
        <f>IFERROR(__xludf.DUMMYFUNCTION("""COMPUTED_VALUE"""),"Строительство/реконструкция подьездной дороги к объекту ""Школа на 2200"" по ул. Главная, 9А, 13, 13/3 ул. Главная, р-н Восточный")</f>
        <v>Строительство/реконструкция подьездной дороги к объекту "Школа на 2200" по ул. Главная, 9А, 13, 13/3 ул. Главная, р-н Восточный</v>
      </c>
      <c r="F157" s="25" t="str">
        <f>IFERROR(__xludf.DUMMYFUNCTION("""COMPUTED_VALUE"""),"#N/A")</f>
        <v>#N/A</v>
      </c>
      <c r="G157" s="6" t="str">
        <f>IFERROR(__xludf.DUMMYFUNCTION("""COMPUTED_VALUE"""),"#N/A")</f>
        <v>#N/A</v>
      </c>
      <c r="H157" s="6"/>
      <c r="I157" s="6"/>
      <c r="J157" s="50"/>
      <c r="K157" s="58"/>
      <c r="L157" s="6" t="s">
        <v>655</v>
      </c>
      <c r="M157" s="52" t="s">
        <v>655</v>
      </c>
      <c r="N157" s="53" t="s">
        <v>655</v>
      </c>
      <c r="O157" s="6"/>
      <c r="P157" s="6"/>
      <c r="Q157" s="6" t="str">
        <f t="shared" si="1"/>
        <v>#N/A</v>
      </c>
      <c r="R157" s="6"/>
    </row>
    <row r="158" hidden="1">
      <c r="A158" s="31" t="str">
        <f>IFERROR(__xludf.DUMMYFUNCTION("""COMPUTED_VALUE"""),"097")</f>
        <v>097</v>
      </c>
      <c r="B158" s="14" t="str">
        <f>IFERROR(__xludf.DUMMYFUNCTION("""COMPUTED_VALUE"""),"АИП-25")</f>
        <v>АИП-25</v>
      </c>
      <c r="C158" s="14" t="str">
        <f>IFERROR(__xludf.DUMMYFUNCTION("""COMPUTED_VALUE"""),"ОКС")</f>
        <v>ОКС</v>
      </c>
      <c r="D158" s="15"/>
      <c r="E158" s="14" t="str">
        <f>IFERROR(__xludf.DUMMYFUNCTION("""COMPUTED_VALUE"""),"Учебный корпус на 550 мест и ДОУ на 225 мест, ул. Салтыковская, д. 6 район Косино-Ухтомский, ул. Салтыковская, влд. 6")</f>
        <v>Учебный корпус на 550 мест и ДОУ на 225 мест, ул. Салтыковская, д. 6 район Косино-Ухтомский, ул. Салтыковская, влд. 6</v>
      </c>
      <c r="F158" s="25" t="str">
        <f>IFERROR(__xludf.DUMMYFUNCTION("""COMPUTED_VALUE"""),"55.726012")</f>
        <v>55.726012</v>
      </c>
      <c r="G158" s="6" t="str">
        <f>IFERROR(__xludf.DUMMYFUNCTION("""COMPUTED_VALUE"""),"37.864788")</f>
        <v>37.864788</v>
      </c>
      <c r="H158" s="18" t="str">
        <f>IFERROR(__xludf.DUMMYFUNCTION("""COMPUTED_VALUE"""),"https://docs.google.com/spreadsheets/d/19THEBTE9q0fhN2eApZr6BgenIvLGh0AckaYxHQfHk5w/edit?gid=1230967250#gid=1230967250")</f>
        <v>https://docs.google.com/spreadsheets/d/19THEBTE9q0fhN2eApZr6BgenIvLGh0AckaYxHQfHk5w/edit?gid=1230967250#gid=1230967250</v>
      </c>
      <c r="I158" s="19" t="str">
        <f>IFERROR(__xludf.DUMMYFUNCTION("""COMPUTED_VALUE"""),"https://disk.yandex.ru/client/disk/Осмотры%20объектов%20АНО%20СМГ/097.%20Учебный%20корпус%20на%20550%20мест%20с%20дошкольным%20отделением%20на%20225%20мест%09%09район%09косино-Ухтомский%2C%20ул.%20Салтыковская%2C%20д.6")</f>
        <v>https://disk.yandex.ru/client/disk/Осмотры%20объектов%20АНО%20СМГ/097.%20Учебный%20корпус%20на%20550%20мест%20с%20дошкольным%20отделением%20на%20225%20мест%09%09район%09косино-Ухтомский%2C%20ул.%20Салтыковская%2C%20д.6</v>
      </c>
      <c r="J158" s="50">
        <f>IFERROR(__xludf.DUMMYFUNCTION("""COMPUTED_VALUE"""),83.99336)</f>
        <v>83.99336</v>
      </c>
      <c r="K158" s="58">
        <f>IFERROR(__xludf.DUMMYFUNCTION("""COMPUTED_VALUE"""),45971.0)</f>
        <v>45971</v>
      </c>
      <c r="L158" s="6">
        <v>14.0</v>
      </c>
      <c r="M158" s="52">
        <v>45985.0</v>
      </c>
      <c r="N158" s="53" t="s">
        <v>711</v>
      </c>
      <c r="O158" s="19" t="s">
        <v>767</v>
      </c>
      <c r="P158" s="6"/>
      <c r="Q158" s="6" t="str">
        <f t="shared" si="1"/>
        <v>#N/A</v>
      </c>
      <c r="R158" s="6"/>
    </row>
    <row r="159" hidden="1">
      <c r="A159" s="31" t="str">
        <f>IFERROR(__xludf.DUMMYFUNCTION("""COMPUTED_VALUE"""),"1043")</f>
        <v>1043</v>
      </c>
      <c r="B159" s="14" t="str">
        <f>IFERROR(__xludf.DUMMYFUNCTION("""COMPUTED_VALUE"""),"АИП-25")</f>
        <v>АИП-25</v>
      </c>
      <c r="C159" s="14" t="str">
        <f>IFERROR(__xludf.DUMMYFUNCTION("""COMPUTED_VALUE"""),"УДС")</f>
        <v>УДС</v>
      </c>
      <c r="D159" s="15"/>
      <c r="E159" s="14" t="str">
        <f>IFERROR(__xludf.DUMMYFUNCTION("""COMPUTED_VALUE"""),"Электродепо «Нижегородское» Этап 3 Реконструкция э/депо 2-ой пусковой комплекс район Лефортово, шоссе Энтузиастов, вл.4")</f>
        <v>Электродепо «Нижегородское» Этап 3 Реконструкция э/депо 2-ой пусковой комплекс район Лефортово, шоссе Энтузиастов, вл.4</v>
      </c>
      <c r="F159" s="25" t="str">
        <f>IFERROR(__xludf.DUMMYFUNCTION("""COMPUTED_VALUE"""),"#N/A")</f>
        <v>#N/A</v>
      </c>
      <c r="G159" s="6" t="str">
        <f>IFERROR(__xludf.DUMMYFUNCTION("""COMPUTED_VALUE"""),"#N/A")</f>
        <v>#N/A</v>
      </c>
      <c r="H159" s="18" t="str">
        <f>IFERROR(__xludf.DUMMYFUNCTION("""COMPUTED_VALUE"""),"https://docs.google.com/spreadsheets/d/1jonEGMB3UFHiUZpltF1zURon8gYN7jGSHu-k9t5TXnA/edit?gid=1070135596#gid=1070135596")</f>
        <v>https://docs.google.com/spreadsheets/d/1jonEGMB3UFHiUZpltF1zURon8gYN7jGSHu-k9t5TXnA/edit?gid=1070135596#gid=1070135596</v>
      </c>
      <c r="I159" s="6"/>
      <c r="J159" s="50">
        <f>IFERROR(__xludf.DUMMYFUNCTION("""COMPUTED_VALUE"""),76.7548)</f>
        <v>76.7548</v>
      </c>
      <c r="K159" s="58">
        <f>IFERROR(__xludf.DUMMYFUNCTION("""COMPUTED_VALUE"""),45728.0)</f>
        <v>45728</v>
      </c>
      <c r="L159" s="6">
        <v>14.0</v>
      </c>
      <c r="M159" s="52">
        <v>45742.0</v>
      </c>
      <c r="N159" s="53" t="s">
        <v>668</v>
      </c>
      <c r="O159" s="6" t="s">
        <v>669</v>
      </c>
      <c r="P159" s="6"/>
      <c r="Q159" s="6" t="str">
        <f t="shared" si="1"/>
        <v>#N/A</v>
      </c>
      <c r="R159" s="6"/>
    </row>
    <row r="160" hidden="1">
      <c r="A160" s="31" t="str">
        <f>IFERROR(__xludf.DUMMYFUNCTION("""COMPUTED_VALUE"""),"393д (этап 3.1)")</f>
        <v>393д (этап 3.1)</v>
      </c>
      <c r="B160" s="14" t="str">
        <f>IFERROR(__xludf.DUMMYFUNCTION("""COMPUTED_VALUE"""),"АИП-25")</f>
        <v>АИП-25</v>
      </c>
      <c r="C160" s="14" t="str">
        <f>IFERROR(__xludf.DUMMYFUNCTION("""COMPUTED_VALUE"""),"УДС")</f>
        <v>УДС</v>
      </c>
      <c r="D160" s="15"/>
      <c r="E160" s="14" t="str">
        <f>IFERROR(__xludf.DUMMYFUNCTION("""COMPUTED_VALUE"""),"Строительство путепровода через пути Савеловского направления Московской железной дороги, соединяющий ул. 800 летия Москвы с Инженерной ул. Этапы 3.1 ул. 800-летия Москвы")</f>
        <v>Строительство путепровода через пути Савеловского направления Московской железной дороги, соединяющий ул. 800 летия Москвы с Инженерной ул. Этапы 3.1 ул. 800-летия Москвы</v>
      </c>
      <c r="F160" s="25" t="str">
        <f>IFERROR(__xludf.DUMMYFUNCTION("""COMPUTED_VALUE"""),"#N/A")</f>
        <v>#N/A</v>
      </c>
      <c r="G160" s="6" t="str">
        <f>IFERROR(__xludf.DUMMYFUNCTION("""COMPUTED_VALUE"""),"#N/A")</f>
        <v>#N/A</v>
      </c>
      <c r="H160" s="6"/>
      <c r="I160" s="6"/>
      <c r="J160" s="50">
        <f>IFERROR(__xludf.DUMMYFUNCTION("""COMPUTED_VALUE"""),100.0)</f>
        <v>100</v>
      </c>
      <c r="K160" s="58">
        <f>IFERROR(__xludf.DUMMYFUNCTION("""COMPUTED_VALUE"""),45972.0)</f>
        <v>45972</v>
      </c>
      <c r="L160" s="6" t="s">
        <v>654</v>
      </c>
      <c r="M160" s="52" t="s">
        <v>655</v>
      </c>
      <c r="N160" s="53" t="s">
        <v>656</v>
      </c>
      <c r="O160" s="6" t="s">
        <v>768</v>
      </c>
      <c r="P160" s="6"/>
      <c r="Q160" s="6" t="str">
        <f t="shared" si="1"/>
        <v>#N/A</v>
      </c>
      <c r="R160" s="6"/>
    </row>
    <row r="161" hidden="1">
      <c r="A161" s="31" t="str">
        <f>IFERROR(__xludf.DUMMYFUNCTION("""COMPUTED_VALUE"""),"НД")</f>
        <v>НД</v>
      </c>
      <c r="B161" s="14" t="str">
        <f>IFERROR(__xludf.DUMMYFUNCTION("""COMPUTED_VALUE"""),"АИП-25")</f>
        <v>АИП-25</v>
      </c>
      <c r="C161" s="14" t="str">
        <f>IFERROR(__xludf.DUMMYFUNCTION("""COMPUTED_VALUE"""),"УДС")</f>
        <v>УДС</v>
      </c>
      <c r="D161" s="60"/>
      <c r="E161" s="14" t="str">
        <f>IFERROR(__xludf.DUMMYFUNCTION("""COMPUTED_VALUE"""),"Троицкая линия участок Станция «Новаторская» - станция «Крымская» (Ст. «Вавиловская», «Академическая», «Крымская») Станция «Новаторская» - станция «Крымская» (ЮЗАО, ЮАО)")</f>
        <v>Троицкая линия участок Станция «Новаторская» - станция «Крымская» (Ст. «Вавиловская», «Академическая», «Крымская») Станция «Новаторская» - станция «Крымская» (ЮЗАО, ЮАО)</v>
      </c>
      <c r="F161" s="25" t="str">
        <f>IFERROR(__xludf.DUMMYFUNCTION("""COMPUTED_VALUE"""),"#N/A")</f>
        <v>#N/A</v>
      </c>
      <c r="G161" s="6" t="str">
        <f>IFERROR(__xludf.DUMMYFUNCTION("""COMPUTED_VALUE"""),"#N/A")</f>
        <v>#N/A</v>
      </c>
      <c r="H161" s="6"/>
      <c r="I161" s="6"/>
      <c r="J161" s="50"/>
      <c r="K161" s="58"/>
      <c r="L161" s="6">
        <v>30.0</v>
      </c>
      <c r="M161" s="52" t="s">
        <v>655</v>
      </c>
      <c r="N161" s="53" t="s">
        <v>698</v>
      </c>
      <c r="O161" s="6" t="s">
        <v>669</v>
      </c>
      <c r="P161" s="6"/>
      <c r="Q161" s="6" t="str">
        <f t="shared" si="1"/>
        <v>#N/A</v>
      </c>
      <c r="R161" s="6"/>
    </row>
    <row r="162" hidden="1">
      <c r="A162" s="31" t="str">
        <f>IFERROR(__xludf.DUMMYFUNCTION("""COMPUTED_VALUE"""),"251д (этап 1.3)")</f>
        <v>251д (этап 1.3)</v>
      </c>
      <c r="B162" s="14" t="str">
        <f>IFERROR(__xludf.DUMMYFUNCTION("""COMPUTED_VALUE"""),"АИП-25")</f>
        <v>АИП-25</v>
      </c>
      <c r="C162" s="14" t="str">
        <f>IFERROR(__xludf.DUMMYFUNCTION("""COMPUTED_VALUE"""),"УДС")</f>
        <v>УДС</v>
      </c>
      <c r="D162" s="15"/>
      <c r="E162" s="14" t="str">
        <f>IFERROR(__xludf.DUMMYFUNCTION("""COMPUTED_VALUE"""),"Строительство многоуровневых транспортных развязок на участке магистрали ""Солнцево-Бутово-Варшавское ш."" от ТПУ ""Столбово"" до ул. Поляны. 
 Этап 1.3 СБВ от ТПУ ""Столбово"" до ул. Поляны")</f>
        <v>Строительство многоуровневых транспортных развязок на участке магистрали "Солнцево-Бутово-Варшавское ш." от ТПУ "Столбово" до ул. Поляны. 
 Этап 1.3 СБВ от ТПУ "Столбово" до ул. Поляны</v>
      </c>
      <c r="F162" s="25" t="str">
        <f>IFERROR(__xludf.DUMMYFUNCTION("""COMPUTED_VALUE"""),"#N/A")</f>
        <v>#N/A</v>
      </c>
      <c r="G162" s="6" t="str">
        <f>IFERROR(__xludf.DUMMYFUNCTION("""COMPUTED_VALUE"""),"#N/A")</f>
        <v>#N/A</v>
      </c>
      <c r="H162" s="6"/>
      <c r="I162" s="6"/>
      <c r="J162" s="50">
        <f>IFERROR(__xludf.DUMMYFUNCTION("""COMPUTED_VALUE"""),99.985)</f>
        <v>99.985</v>
      </c>
      <c r="K162" s="58">
        <f>IFERROR(__xludf.DUMMYFUNCTION("""COMPUTED_VALUE"""),45973.0)</f>
        <v>45973</v>
      </c>
      <c r="L162" s="6">
        <v>7.0</v>
      </c>
      <c r="M162" s="52">
        <v>45980.0</v>
      </c>
      <c r="N162" s="53" t="s">
        <v>711</v>
      </c>
      <c r="O162" s="6" t="s">
        <v>769</v>
      </c>
      <c r="P162" s="6"/>
      <c r="Q162" s="6" t="str">
        <f t="shared" si="1"/>
        <v>#N/A</v>
      </c>
      <c r="R162" s="6"/>
    </row>
    <row r="163" hidden="1">
      <c r="A163" s="31" t="str">
        <f>IFERROR(__xludf.DUMMYFUNCTION("""COMPUTED_VALUE"""),"203д (сводный)")</f>
        <v>203д (сводный)</v>
      </c>
      <c r="B163" s="14" t="str">
        <f>IFERROR(__xludf.DUMMYFUNCTION("""COMPUTED_VALUE"""),"АИП-25")</f>
        <v>АИП-25</v>
      </c>
      <c r="C163" s="14" t="str">
        <f>IFERROR(__xludf.DUMMYFUNCTION("""COMPUTED_VALUE"""),"УДС")</f>
        <v>УДС</v>
      </c>
      <c r="D163" s="15"/>
      <c r="E163" s="14" t="str">
        <f>IFERROR(__xludf.DUMMYFUNCTION("""COMPUTED_VALUE"""),"Строительство путепровода Добролюбова-Складочная. Этапы 1.2, 1.3 ")</f>
        <v>Строительство путепровода Добролюбова-Складочная. Этапы 1.2, 1.3 </v>
      </c>
      <c r="F163" s="25" t="str">
        <f>IFERROR(__xludf.DUMMYFUNCTION("""COMPUTED_VALUE"""),"#N/A")</f>
        <v>#N/A</v>
      </c>
      <c r="G163" s="6" t="str">
        <f>IFERROR(__xludf.DUMMYFUNCTION("""COMPUTED_VALUE"""),"#N/A")</f>
        <v>#N/A</v>
      </c>
      <c r="H163" s="6"/>
      <c r="I163" s="6"/>
      <c r="J163" s="50"/>
      <c r="K163" s="58"/>
      <c r="L163" s="6">
        <v>30.0</v>
      </c>
      <c r="M163" s="52" t="s">
        <v>655</v>
      </c>
      <c r="N163" s="53" t="s">
        <v>698</v>
      </c>
      <c r="O163" s="6"/>
      <c r="P163" s="6"/>
      <c r="Q163" s="6" t="str">
        <f t="shared" si="1"/>
        <v>#N/A</v>
      </c>
      <c r="R163" s="6"/>
    </row>
    <row r="164" hidden="1">
      <c r="A164" s="31" t="str">
        <f>IFERROR(__xludf.DUMMYFUNCTION("""COMPUTED_VALUE"""),"203д (этап 1.2)")</f>
        <v>203д (этап 1.2)</v>
      </c>
      <c r="B164" s="14"/>
      <c r="C164" s="14" t="str">
        <f>IFERROR(__xludf.DUMMYFUNCTION("""COMPUTED_VALUE"""),"УДС")</f>
        <v>УДС</v>
      </c>
      <c r="D164" s="15"/>
      <c r="E164" s="14" t="str">
        <f>IFERROR(__xludf.DUMMYFUNCTION("""COMPUTED_VALUE"""),"Строительство путепровода Добролюбова-Складочная. 
 Этапы 1.2 ул. Добролюбова, ул. Складочная")</f>
        <v>Строительство путепровода Добролюбова-Складочная. 
 Этапы 1.2 ул. Добролюбова, ул. Складочная</v>
      </c>
      <c r="F164" s="25" t="str">
        <f>IFERROR(__xludf.DUMMYFUNCTION("""COMPUTED_VALUE"""),"#N/A")</f>
        <v>#N/A</v>
      </c>
      <c r="G164" s="6" t="str">
        <f>IFERROR(__xludf.DUMMYFUNCTION("""COMPUTED_VALUE"""),"#N/A")</f>
        <v>#N/A</v>
      </c>
      <c r="H164" s="6"/>
      <c r="I164" s="6"/>
      <c r="J164" s="50"/>
      <c r="K164" s="58"/>
      <c r="L164" s="6">
        <v>30.0</v>
      </c>
      <c r="M164" s="52" t="s">
        <v>655</v>
      </c>
      <c r="N164" s="53" t="s">
        <v>698</v>
      </c>
      <c r="O164" s="6" t="s">
        <v>770</v>
      </c>
      <c r="P164" s="6"/>
      <c r="Q164" s="6" t="str">
        <f t="shared" si="1"/>
        <v>#N/A</v>
      </c>
      <c r="R164" s="6"/>
    </row>
    <row r="165" hidden="1">
      <c r="A165" s="31" t="str">
        <f>IFERROR(__xludf.DUMMYFUNCTION("""COMPUTED_VALUE"""),"203д (этап 1.3)")</f>
        <v>203д (этап 1.3)</v>
      </c>
      <c r="B165" s="14"/>
      <c r="C165" s="14" t="str">
        <f>IFERROR(__xludf.DUMMYFUNCTION("""COMPUTED_VALUE"""),"УДС")</f>
        <v>УДС</v>
      </c>
      <c r="D165" s="60"/>
      <c r="E165" s="14" t="str">
        <f>IFERROR(__xludf.DUMMYFUNCTION("""COMPUTED_VALUE"""),"Строительство путепровода Добролюбова-Складочная. 
 Этапы 1.3 ул. Добролюбова, ул. Складочная")</f>
        <v>Строительство путепровода Добролюбова-Складочная. 
 Этапы 1.3 ул. Добролюбова, ул. Складочная</v>
      </c>
      <c r="F165" s="25" t="str">
        <f>IFERROR(__xludf.DUMMYFUNCTION("""COMPUTED_VALUE"""),"#N/A")</f>
        <v>#N/A</v>
      </c>
      <c r="G165" s="6" t="str">
        <f>IFERROR(__xludf.DUMMYFUNCTION("""COMPUTED_VALUE"""),"#N/A")</f>
        <v>#N/A</v>
      </c>
      <c r="H165" s="6"/>
      <c r="I165" s="6"/>
      <c r="J165" s="50"/>
      <c r="K165" s="58"/>
      <c r="L165" s="6">
        <v>30.0</v>
      </c>
      <c r="M165" s="52" t="s">
        <v>655</v>
      </c>
      <c r="N165" s="53" t="s">
        <v>652</v>
      </c>
      <c r="O165" s="6" t="s">
        <v>771</v>
      </c>
      <c r="P165" s="6"/>
      <c r="Q165" s="6" t="str">
        <f t="shared" si="1"/>
        <v>#N/A</v>
      </c>
      <c r="R165" s="6"/>
    </row>
    <row r="166" hidden="1">
      <c r="A166" s="31" t="str">
        <f>IFERROR(__xludf.DUMMYFUNCTION("""COMPUTED_VALUE"""),"355д (сводный)")</f>
        <v>355д (сводный)</v>
      </c>
      <c r="B166" s="14" t="str">
        <f>IFERROR(__xludf.DUMMYFUNCTION("""COMPUTED_VALUE"""),"АИП-25")</f>
        <v>АИП-25</v>
      </c>
      <c r="C166" s="14" t="str">
        <f>IFERROR(__xludf.DUMMYFUNCTION("""COMPUTED_VALUE"""),"УДС")</f>
        <v>УДС</v>
      </c>
      <c r="D166" s="15"/>
      <c r="E166" s="14" t="str">
        <f>IFERROR(__xludf.DUMMYFUNCTION("""COMPUTED_VALUE"""),"Строительство путепровода через пути Савеловского направления железной дороги, соединяющего ул.800-летия Москвы с Инженерной ул. Этапы 1.1, 2.2, 3.2, 1.2, 2.3, 2.4, 2.5, 3.3, 3.4 ")</f>
        <v>Строительство путепровода через пути Савеловского направления железной дороги, соединяющего ул.800-летия Москвы с Инженерной ул. Этапы 1.1, 2.2, 3.2, 1.2, 2.3, 2.4, 2.5, 3.3, 3.4 </v>
      </c>
      <c r="F166" s="25" t="str">
        <f>IFERROR(__xludf.DUMMYFUNCTION("""COMPUTED_VALUE"""),"#N/A")</f>
        <v>#N/A</v>
      </c>
      <c r="G166" s="6" t="str">
        <f>IFERROR(__xludf.DUMMYFUNCTION("""COMPUTED_VALUE"""),"#N/A")</f>
        <v>#N/A</v>
      </c>
      <c r="H166" s="6"/>
      <c r="I166" s="6"/>
      <c r="J166" s="50"/>
      <c r="K166" s="58"/>
      <c r="L166" s="6">
        <v>30.0</v>
      </c>
      <c r="M166" s="52" t="s">
        <v>655</v>
      </c>
      <c r="N166" s="53" t="s">
        <v>698</v>
      </c>
      <c r="O166" s="6"/>
      <c r="P166" s="6"/>
      <c r="Q166" s="6" t="str">
        <f t="shared" si="1"/>
        <v>#N/A</v>
      </c>
      <c r="R166" s="6"/>
    </row>
    <row r="167" hidden="1">
      <c r="A167" s="31" t="str">
        <f>IFERROR(__xludf.DUMMYFUNCTION("""COMPUTED_VALUE"""),"355д (этап 1.1)")</f>
        <v>355д (этап 1.1)</v>
      </c>
      <c r="B167" s="14"/>
      <c r="C167" s="14" t="str">
        <f>IFERROR(__xludf.DUMMYFUNCTION("""COMPUTED_VALUE"""),"УДС")</f>
        <v>УДС</v>
      </c>
      <c r="D167" s="15"/>
      <c r="E167"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1.1.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1.1. ул. 800-летия Москвы с Инженерной ул.</v>
      </c>
      <c r="F167" s="25" t="str">
        <f>IFERROR(__xludf.DUMMYFUNCTION("""COMPUTED_VALUE"""),"#N/A")</f>
        <v>#N/A</v>
      </c>
      <c r="G167" s="6" t="str">
        <f>IFERROR(__xludf.DUMMYFUNCTION("""COMPUTED_VALUE"""),"#N/A")</f>
        <v>#N/A</v>
      </c>
      <c r="H167" s="6"/>
      <c r="I167" s="6"/>
      <c r="J167" s="50"/>
      <c r="K167" s="58"/>
      <c r="L167" s="6">
        <v>30.0</v>
      </c>
      <c r="M167" s="52" t="s">
        <v>655</v>
      </c>
      <c r="N167" s="53" t="s">
        <v>698</v>
      </c>
      <c r="O167" s="6"/>
      <c r="P167" s="6"/>
      <c r="Q167" s="6" t="str">
        <f t="shared" si="1"/>
        <v>#N/A</v>
      </c>
      <c r="R167" s="6"/>
    </row>
    <row r="168" hidden="1">
      <c r="A168" s="31" t="str">
        <f>IFERROR(__xludf.DUMMYFUNCTION("""COMPUTED_VALUE"""),"355д (этап 1.2)")</f>
        <v>355д (этап 1.2)</v>
      </c>
      <c r="B168" s="14"/>
      <c r="C168" s="14" t="str">
        <f>IFERROR(__xludf.DUMMYFUNCTION("""COMPUTED_VALUE"""),"УДС")</f>
        <v>УДС</v>
      </c>
      <c r="D168" s="15"/>
      <c r="E168"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1.2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1.2 ул. 800-летия Москвы с Инженерной ул.</v>
      </c>
      <c r="F168" s="25" t="str">
        <f>IFERROR(__xludf.DUMMYFUNCTION("""COMPUTED_VALUE"""),"#N/A")</f>
        <v>#N/A</v>
      </c>
      <c r="G168" s="6" t="str">
        <f>IFERROR(__xludf.DUMMYFUNCTION("""COMPUTED_VALUE"""),"#N/A")</f>
        <v>#N/A</v>
      </c>
      <c r="H168" s="6"/>
      <c r="I168" s="6"/>
      <c r="J168" s="50"/>
      <c r="K168" s="58"/>
      <c r="L168" s="6">
        <v>30.0</v>
      </c>
      <c r="M168" s="52" t="s">
        <v>655</v>
      </c>
      <c r="N168" s="53" t="s">
        <v>698</v>
      </c>
      <c r="O168" s="6"/>
      <c r="P168" s="6"/>
      <c r="Q168" s="6" t="str">
        <f t="shared" si="1"/>
        <v>#N/A</v>
      </c>
      <c r="R168" s="6"/>
    </row>
    <row r="169" hidden="1">
      <c r="A169" s="31" t="str">
        <f>IFERROR(__xludf.DUMMYFUNCTION("""COMPUTED_VALUE"""),"393д (этап 3.2)")</f>
        <v>393д (этап 3.2)</v>
      </c>
      <c r="B169" s="14"/>
      <c r="C169" s="14" t="str">
        <f>IFERROR(__xludf.DUMMYFUNCTION("""COMPUTED_VALUE"""),"УДС")</f>
        <v>УДС</v>
      </c>
      <c r="D169" s="15"/>
      <c r="E169"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3.2 ул. 800-летия Москвы с Инженерной ул.</v>
      </c>
      <c r="F169" s="25" t="str">
        <f>IFERROR(__xludf.DUMMYFUNCTION("""COMPUTED_VALUE"""),"#N/A")</f>
        <v>#N/A</v>
      </c>
      <c r="G169" s="6" t="str">
        <f>IFERROR(__xludf.DUMMYFUNCTION("""COMPUTED_VALUE"""),"#N/A")</f>
        <v>#N/A</v>
      </c>
      <c r="H169" s="6"/>
      <c r="I169" s="6"/>
      <c r="J169" s="50"/>
      <c r="K169" s="58"/>
      <c r="L169" s="6">
        <v>30.0</v>
      </c>
      <c r="M169" s="52" t="s">
        <v>655</v>
      </c>
      <c r="N169" s="53" t="s">
        <v>698</v>
      </c>
      <c r="O169" s="6"/>
      <c r="P169" s="6"/>
      <c r="Q169" s="6" t="str">
        <f t="shared" si="1"/>
        <v>#N/A</v>
      </c>
      <c r="R169" s="6"/>
    </row>
    <row r="170" hidden="1">
      <c r="A170" s="31" t="str">
        <f>IFERROR(__xludf.DUMMYFUNCTION("""COMPUTED_VALUE"""),"393д (этап 3.3)")</f>
        <v>393д (этап 3.3)</v>
      </c>
      <c r="B170" s="14"/>
      <c r="C170" s="14" t="str">
        <f>IFERROR(__xludf.DUMMYFUNCTION("""COMPUTED_VALUE"""),"УДС")</f>
        <v>УДС</v>
      </c>
      <c r="D170" s="15"/>
      <c r="E170"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3.3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3.3 ул. 800-летия Москвы с Инженерной ул.</v>
      </c>
      <c r="F170" s="25" t="str">
        <f>IFERROR(__xludf.DUMMYFUNCTION("""COMPUTED_VALUE"""),"#N/A")</f>
        <v>#N/A</v>
      </c>
      <c r="G170" s="6" t="str">
        <f>IFERROR(__xludf.DUMMYFUNCTION("""COMPUTED_VALUE"""),"#N/A")</f>
        <v>#N/A</v>
      </c>
      <c r="H170" s="6"/>
      <c r="I170" s="6"/>
      <c r="J170" s="50"/>
      <c r="K170" s="58"/>
      <c r="L170" s="6">
        <v>30.0</v>
      </c>
      <c r="M170" s="52" t="s">
        <v>655</v>
      </c>
      <c r="N170" s="53" t="s">
        <v>698</v>
      </c>
      <c r="O170" s="6"/>
      <c r="P170" s="6"/>
      <c r="Q170" s="6" t="str">
        <f t="shared" si="1"/>
        <v>#N/A</v>
      </c>
      <c r="R170" s="6"/>
    </row>
    <row r="171" hidden="1">
      <c r="A171" s="31" t="str">
        <f>IFERROR(__xludf.DUMMYFUNCTION("""COMPUTED_VALUE"""),"393д (этап 3.4)")</f>
        <v>393д (этап 3.4)</v>
      </c>
      <c r="B171" s="14"/>
      <c r="C171" s="14" t="str">
        <f>IFERROR(__xludf.DUMMYFUNCTION("""COMPUTED_VALUE"""),"УДС")</f>
        <v>УДС</v>
      </c>
      <c r="D171" s="15"/>
      <c r="E171"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3.4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3.4 ул. 800-летия Москвы с Инженерной ул.</v>
      </c>
      <c r="F171" s="25" t="str">
        <f>IFERROR(__xludf.DUMMYFUNCTION("""COMPUTED_VALUE"""),"#N/A")</f>
        <v>#N/A</v>
      </c>
      <c r="G171" s="6" t="str">
        <f>IFERROR(__xludf.DUMMYFUNCTION("""COMPUTED_VALUE"""),"#N/A")</f>
        <v>#N/A</v>
      </c>
      <c r="H171" s="6"/>
      <c r="I171" s="6"/>
      <c r="J171" s="50"/>
      <c r="K171" s="58"/>
      <c r="L171" s="6">
        <v>30.0</v>
      </c>
      <c r="M171" s="52" t="s">
        <v>655</v>
      </c>
      <c r="N171" s="53" t="s">
        <v>698</v>
      </c>
      <c r="O171" s="6"/>
      <c r="P171" s="6"/>
      <c r="Q171" s="6" t="str">
        <f t="shared" si="1"/>
        <v>#N/A</v>
      </c>
      <c r="R171" s="6"/>
    </row>
    <row r="172" hidden="1">
      <c r="A172" s="31" t="str">
        <f>IFERROR(__xludf.DUMMYFUNCTION("""COMPUTED_VALUE"""),"392д (этап 2.2)")</f>
        <v>392д (этап 2.2)</v>
      </c>
      <c r="B172" s="14"/>
      <c r="C172" s="14" t="str">
        <f>IFERROR(__xludf.DUMMYFUNCTION("""COMPUTED_VALUE"""),"УДС")</f>
        <v>УДС</v>
      </c>
      <c r="D172" s="15"/>
      <c r="E172"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2.2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2.2 ул. 800-летия Москвы с Инженерной ул.</v>
      </c>
      <c r="F172" s="25" t="str">
        <f>IFERROR(__xludf.DUMMYFUNCTION("""COMPUTED_VALUE"""),"#N/A")</f>
        <v>#N/A</v>
      </c>
      <c r="G172" s="6" t="str">
        <f>IFERROR(__xludf.DUMMYFUNCTION("""COMPUTED_VALUE"""),"#N/A")</f>
        <v>#N/A</v>
      </c>
      <c r="H172" s="6"/>
      <c r="I172" s="6"/>
      <c r="J172" s="50"/>
      <c r="K172" s="58"/>
      <c r="L172" s="6">
        <v>30.0</v>
      </c>
      <c r="M172" s="52" t="s">
        <v>655</v>
      </c>
      <c r="N172" s="53" t="s">
        <v>698</v>
      </c>
      <c r="O172" s="6"/>
      <c r="P172" s="6"/>
      <c r="Q172" s="6" t="str">
        <f t="shared" si="1"/>
        <v>#N/A</v>
      </c>
      <c r="R172" s="6"/>
    </row>
    <row r="173" hidden="1">
      <c r="A173" s="31" t="str">
        <f>IFERROR(__xludf.DUMMYFUNCTION("""COMPUTED_VALUE"""),"392д (этап 2.3)")</f>
        <v>392д (этап 2.3)</v>
      </c>
      <c r="B173" s="14"/>
      <c r="C173" s="14" t="str">
        <f>IFERROR(__xludf.DUMMYFUNCTION("""COMPUTED_VALUE"""),"УДС")</f>
        <v>УДС</v>
      </c>
      <c r="D173" s="15"/>
      <c r="E173"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2..3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2..3 ул. 800-летия Москвы с Инженерной ул.</v>
      </c>
      <c r="F173" s="25" t="str">
        <f>IFERROR(__xludf.DUMMYFUNCTION("""COMPUTED_VALUE"""),"#N/A")</f>
        <v>#N/A</v>
      </c>
      <c r="G173" s="6" t="str">
        <f>IFERROR(__xludf.DUMMYFUNCTION("""COMPUTED_VALUE"""),"#N/A")</f>
        <v>#N/A</v>
      </c>
      <c r="H173" s="6"/>
      <c r="I173" s="6"/>
      <c r="J173" s="50"/>
      <c r="K173" s="58"/>
      <c r="L173" s="6">
        <v>30.0</v>
      </c>
      <c r="M173" s="52" t="s">
        <v>655</v>
      </c>
      <c r="N173" s="53" t="s">
        <v>698</v>
      </c>
      <c r="O173" s="6"/>
      <c r="P173" s="6"/>
      <c r="Q173" s="6" t="str">
        <f t="shared" si="1"/>
        <v>#N/A</v>
      </c>
      <c r="R173" s="6"/>
    </row>
    <row r="174" hidden="1">
      <c r="A174" s="31" t="str">
        <f>IFERROR(__xludf.DUMMYFUNCTION("""COMPUTED_VALUE"""),"392д (этап 2.4)")</f>
        <v>392д (этап 2.4)</v>
      </c>
      <c r="B174" s="14"/>
      <c r="C174" s="14" t="str">
        <f>IFERROR(__xludf.DUMMYFUNCTION("""COMPUTED_VALUE"""),"УДС")</f>
        <v>УДС</v>
      </c>
      <c r="D174" s="15"/>
      <c r="E174"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2.4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2.4 ул. 800-летия Москвы с Инженерной ул.</v>
      </c>
      <c r="F174" s="25" t="str">
        <f>IFERROR(__xludf.DUMMYFUNCTION("""COMPUTED_VALUE"""),"#N/A")</f>
        <v>#N/A</v>
      </c>
      <c r="G174" s="6" t="str">
        <f>IFERROR(__xludf.DUMMYFUNCTION("""COMPUTED_VALUE"""),"#N/A")</f>
        <v>#N/A</v>
      </c>
      <c r="H174" s="6"/>
      <c r="I174" s="6"/>
      <c r="J174" s="50"/>
      <c r="K174" s="58"/>
      <c r="L174" s="6">
        <v>30.0</v>
      </c>
      <c r="M174" s="52" t="s">
        <v>655</v>
      </c>
      <c r="N174" s="53" t="s">
        <v>698</v>
      </c>
      <c r="O174" s="6"/>
      <c r="P174" s="6"/>
      <c r="Q174" s="6" t="str">
        <f t="shared" si="1"/>
        <v>#N/A</v>
      </c>
      <c r="R174" s="6"/>
    </row>
    <row r="175" hidden="1">
      <c r="A175" s="31" t="str">
        <f>IFERROR(__xludf.DUMMYFUNCTION("""COMPUTED_VALUE"""),"392д (этап 2.5)")</f>
        <v>392д (этап 2.5)</v>
      </c>
      <c r="B175" s="14"/>
      <c r="C175" s="14" t="str">
        <f>IFERROR(__xludf.DUMMYFUNCTION("""COMPUTED_VALUE"""),"УДС")</f>
        <v>УДС</v>
      </c>
      <c r="D175" s="15"/>
      <c r="E175" s="14" t="str">
        <f>IFERROR(__xludf.DUMMYFUNCTION("""COMPUTED_VALUE"""),"Строительство путепровода через пути Савеловского направления Московской железной дороги, соединяющего ул. 800-летия Москвы с Инженерной ул.
 Этап 2.5 ул. 800-летия Москвы с Инженерной ул.")</f>
        <v>Строительство путепровода через пути Савеловского направления Московской железной дороги, соединяющего ул. 800-летия Москвы с Инженерной ул.
 Этап 2.5 ул. 800-летия Москвы с Инженерной ул.</v>
      </c>
      <c r="F175" s="25" t="str">
        <f>IFERROR(__xludf.DUMMYFUNCTION("""COMPUTED_VALUE"""),"#N/A")</f>
        <v>#N/A</v>
      </c>
      <c r="G175" s="6" t="str">
        <f>IFERROR(__xludf.DUMMYFUNCTION("""COMPUTED_VALUE"""),"#N/A")</f>
        <v>#N/A</v>
      </c>
      <c r="H175" s="6"/>
      <c r="I175" s="6"/>
      <c r="J175" s="50"/>
      <c r="K175" s="58"/>
      <c r="L175" s="6">
        <v>30.0</v>
      </c>
      <c r="M175" s="52" t="s">
        <v>655</v>
      </c>
      <c r="N175" s="53" t="s">
        <v>698</v>
      </c>
      <c r="O175" s="6"/>
      <c r="P175" s="6"/>
      <c r="Q175" s="6" t="str">
        <f t="shared" si="1"/>
        <v>#N/A</v>
      </c>
      <c r="R175" s="6"/>
    </row>
    <row r="176" hidden="1">
      <c r="A176" s="31" t="str">
        <f>IFERROR(__xludf.DUMMYFUNCTION("""COMPUTED_VALUE"""),"1067 (этап 1.1.3)")</f>
        <v>1067 (этап 1.1.3)</v>
      </c>
      <c r="B176" s="14" t="str">
        <f>IFERROR(__xludf.DUMMYFUNCTION("""COMPUTED_VALUE"""),"АИП-25")</f>
        <v>АИП-25</v>
      </c>
      <c r="C176" s="14" t="str">
        <f>IFERROR(__xludf.DUMMYFUNCTION("""COMPUTED_VALUE"""),"УДС")</f>
        <v>УДС</v>
      </c>
      <c r="D176" s="15"/>
      <c r="E176" s="14" t="str">
        <f>IFERROR(__xludf.DUMMYFUNCTION("""COMPUTED_VALUE"""),"Технологическая часть ТПУ на станции метро ""Лермонтовский проспект"" (""Косино""). 
 Этап 1.1.3 г. Москва, м. ""Лермонтовский проспект""")</f>
        <v>Технологическая часть ТПУ на станции метро "Лермонтовский проспект" ("Косино"). 
 Этап 1.1.3 г. Москва, м. "Лермонтовский проспект"</v>
      </c>
      <c r="F176" s="25" t="str">
        <f>IFERROR(__xludf.DUMMYFUNCTION("""COMPUTED_VALUE"""),"#N/A")</f>
        <v>#N/A</v>
      </c>
      <c r="G176" s="6" t="str">
        <f>IFERROR(__xludf.DUMMYFUNCTION("""COMPUTED_VALUE"""),"#N/A")</f>
        <v>#N/A</v>
      </c>
      <c r="H176" s="18" t="str">
        <f>IFERROR(__xludf.DUMMYFUNCTION("""COMPUTED_VALUE"""),"https://docs.google.com/spreadsheets/d/1jonEGMB3UFHiUZpltF1zURon8gYN7jGSHu-k9t5TXnA/edit?gid=1671517751#gid=1671517751")</f>
        <v>https://docs.google.com/spreadsheets/d/1jonEGMB3UFHiUZpltF1zURon8gYN7jGSHu-k9t5TXnA/edit?gid=1671517751#gid=1671517751</v>
      </c>
      <c r="I176" s="6"/>
      <c r="J176" s="50">
        <f>IFERROR(__xludf.DUMMYFUNCTION("""COMPUTED_VALUE"""),52.8)</f>
        <v>52.8</v>
      </c>
      <c r="K176" s="58">
        <f>IFERROR(__xludf.DUMMYFUNCTION("""COMPUTED_VALUE"""),45971.0)</f>
        <v>45971</v>
      </c>
      <c r="L176" s="6">
        <v>14.0</v>
      </c>
      <c r="M176" s="52">
        <v>45985.0</v>
      </c>
      <c r="N176" s="53" t="s">
        <v>711</v>
      </c>
      <c r="O176" s="6"/>
      <c r="P176" s="6"/>
      <c r="Q176" s="6" t="str">
        <f t="shared" si="1"/>
        <v>#N/A</v>
      </c>
      <c r="R176" s="6"/>
    </row>
    <row r="177" hidden="1">
      <c r="A177" s="31" t="str">
        <f>IFERROR(__xludf.DUMMYFUNCTION("""COMPUTED_VALUE"""),"1067 (этап 1.2.2)")</f>
        <v>1067 (этап 1.2.2)</v>
      </c>
      <c r="B177" s="14" t="str">
        <f>IFERROR(__xludf.DUMMYFUNCTION("""COMPUTED_VALUE"""),"АИП-25")</f>
        <v>АИП-25</v>
      </c>
      <c r="C177" s="14" t="str">
        <f>IFERROR(__xludf.DUMMYFUNCTION("""COMPUTED_VALUE"""),"УДС")</f>
        <v>УДС</v>
      </c>
      <c r="D177" s="15"/>
      <c r="E177" s="14" t="str">
        <f>IFERROR(__xludf.DUMMYFUNCTION("""COMPUTED_VALUE"""),"Технологическая часть ТПУ на станции метро ""Лермонтовский проспект"" (""Косино""). 
 Этап  1.2.2 г. Москва, м. ""Лермонтовский проспект""")</f>
        <v>Технологическая часть ТПУ на станции метро "Лермонтовский проспект" ("Косино"). 
 Этап  1.2.2 г. Москва, м. "Лермонтовский проспект"</v>
      </c>
      <c r="F177" s="25" t="str">
        <f>IFERROR(__xludf.DUMMYFUNCTION("""COMPUTED_VALUE"""),"#N/A")</f>
        <v>#N/A</v>
      </c>
      <c r="G177" s="6" t="str">
        <f>IFERROR(__xludf.DUMMYFUNCTION("""COMPUTED_VALUE"""),"#N/A")</f>
        <v>#N/A</v>
      </c>
      <c r="H177" s="18" t="str">
        <f>IFERROR(__xludf.DUMMYFUNCTION("""COMPUTED_VALUE"""),"https://docs.google.com/spreadsheets/d/1jonEGMB3UFHiUZpltF1zURon8gYN7jGSHu-k9t5TXnA/edit?gid=2116230963#gid=2116230963")</f>
        <v>https://docs.google.com/spreadsheets/d/1jonEGMB3UFHiUZpltF1zURon8gYN7jGSHu-k9t5TXnA/edit?gid=2116230963#gid=2116230963</v>
      </c>
      <c r="I177" s="6"/>
      <c r="J177" s="50">
        <f>IFERROR(__xludf.DUMMYFUNCTION("""COMPUTED_VALUE"""),0.445)</f>
        <v>0.445</v>
      </c>
      <c r="K177" s="58">
        <f>IFERROR(__xludf.DUMMYFUNCTION("""COMPUTED_VALUE"""),45971.0)</f>
        <v>45971</v>
      </c>
      <c r="L177" s="6">
        <v>30.0</v>
      </c>
      <c r="M177" s="52">
        <v>46001.0</v>
      </c>
      <c r="N177" s="53" t="s">
        <v>711</v>
      </c>
      <c r="O177" s="6" t="s">
        <v>772</v>
      </c>
      <c r="P177" s="6"/>
      <c r="Q177" s="6" t="str">
        <f t="shared" si="1"/>
        <v>#N/A</v>
      </c>
      <c r="R177" s="6"/>
    </row>
    <row r="178" hidden="1">
      <c r="A178" s="31" t="str">
        <f>IFERROR(__xludf.DUMMYFUNCTION("""COMPUTED_VALUE"""),"1067 (этап 1.2.1)")</f>
        <v>1067 (этап 1.2.1)</v>
      </c>
      <c r="B178" s="14" t="str">
        <f>IFERROR(__xludf.DUMMYFUNCTION("""COMPUTED_VALUE"""),"АИП-25")</f>
        <v>АИП-25</v>
      </c>
      <c r="C178" s="14" t="str">
        <f>IFERROR(__xludf.DUMMYFUNCTION("""COMPUTED_VALUE"""),"УДС")</f>
        <v>УДС</v>
      </c>
      <c r="D178" s="15"/>
      <c r="E178" s="14" t="str">
        <f>IFERROR(__xludf.DUMMYFUNCTION("""COMPUTED_VALUE"""),"Технологическая часть ТПУ на станции метро ""Лермонтовский проспект"" (""Косино""). 
 Этап 1.2.1, г. Москва, м. ""Лермонтовский проспект""")</f>
        <v>Технологическая часть ТПУ на станции метро "Лермонтовский проспект" ("Косино"). 
 Этап 1.2.1, г. Москва, м. "Лермонтовский проспект"</v>
      </c>
      <c r="F178" s="25" t="str">
        <f>IFERROR(__xludf.DUMMYFUNCTION("""COMPUTED_VALUE"""),"#N/A")</f>
        <v>#N/A</v>
      </c>
      <c r="G178" s="6" t="str">
        <f>IFERROR(__xludf.DUMMYFUNCTION("""COMPUTED_VALUE"""),"#N/A")</f>
        <v>#N/A</v>
      </c>
      <c r="H178" s="18" t="str">
        <f>IFERROR(__xludf.DUMMYFUNCTION("""COMPUTED_VALUE"""),"https://docs.google.com/spreadsheets/d/1jonEGMB3UFHiUZpltF1zURon8gYN7jGSHu-k9t5TXnA/edit?gid=745287457#gid=745287457")</f>
        <v>https://docs.google.com/spreadsheets/d/1jonEGMB3UFHiUZpltF1zURon8gYN7jGSHu-k9t5TXnA/edit?gid=745287457#gid=745287457</v>
      </c>
      <c r="I178" s="6"/>
      <c r="J178" s="50"/>
      <c r="K178" s="58">
        <f>IFERROR(__xludf.DUMMYFUNCTION("""COMPUTED_VALUE"""),45971.0)</f>
        <v>45971</v>
      </c>
      <c r="L178" s="6">
        <v>30.0</v>
      </c>
      <c r="M178" s="52">
        <v>46001.0</v>
      </c>
      <c r="N178" s="53" t="s">
        <v>711</v>
      </c>
      <c r="O178" s="6" t="s">
        <v>773</v>
      </c>
      <c r="P178" s="6"/>
      <c r="Q178" s="6" t="str">
        <f t="shared" si="1"/>
        <v>#N/A</v>
      </c>
      <c r="R178" s="6"/>
    </row>
    <row r="179" hidden="1">
      <c r="A179" s="31" t="str">
        <f>IFERROR(__xludf.DUMMYFUNCTION("""COMPUTED_VALUE"""),"1067 (этап 1.2.3)")</f>
        <v>1067 (этап 1.2.3)</v>
      </c>
      <c r="B179" s="14" t="str">
        <f>IFERROR(__xludf.DUMMYFUNCTION("""COMPUTED_VALUE"""),"АИП-25")</f>
        <v>АИП-25</v>
      </c>
      <c r="C179" s="14" t="str">
        <f>IFERROR(__xludf.DUMMYFUNCTION("""COMPUTED_VALUE"""),"УДС")</f>
        <v>УДС</v>
      </c>
      <c r="D179" s="15"/>
      <c r="E179" s="14" t="str">
        <f>IFERROR(__xludf.DUMMYFUNCTION("""COMPUTED_VALUE"""),"Технологическая часть ТПУ на станции метро ""Лермонтовский проспект"" (""Косино""). 
 Этап 1.2.3 ( ОСВОБОЖДЕНИЕ ТЕРРИТОРИИ для строительства этапов 1.2.1 и 1.2.2) г. Москва, м. ""Лермонтовский проспект""")</f>
        <v>Технологическая часть ТПУ на станции метро "Лермонтовский проспект" ("Косино"). 
 Этап 1.2.3 ( ОСВОБОЖДЕНИЕ ТЕРРИТОРИИ для строительства этапов 1.2.1 и 1.2.2) г. Москва, м. "Лермонтовский проспект"</v>
      </c>
      <c r="F179" s="25" t="str">
        <f>IFERROR(__xludf.DUMMYFUNCTION("""COMPUTED_VALUE"""),"#N/A")</f>
        <v>#N/A</v>
      </c>
      <c r="G179" s="6" t="str">
        <f>IFERROR(__xludf.DUMMYFUNCTION("""COMPUTED_VALUE"""),"#N/A")</f>
        <v>#N/A</v>
      </c>
      <c r="H179" s="18" t="str">
        <f>IFERROR(__xludf.DUMMYFUNCTION("""COMPUTED_VALUE"""),"https://docs.google.com/spreadsheets/d/1jonEGMB3UFHiUZpltF1zURon8gYN7jGSHu-k9t5TXnA/edit?gid=1483169462#gid=1483169462")</f>
        <v>https://docs.google.com/spreadsheets/d/1jonEGMB3UFHiUZpltF1zURon8gYN7jGSHu-k9t5TXnA/edit?gid=1483169462#gid=1483169462</v>
      </c>
      <c r="I179" s="6"/>
      <c r="J179" s="50">
        <f>IFERROR(__xludf.DUMMYFUNCTION("""COMPUTED_VALUE"""),50.0)</f>
        <v>50</v>
      </c>
      <c r="K179" s="58">
        <f>IFERROR(__xludf.DUMMYFUNCTION("""COMPUTED_VALUE"""),45971.0)</f>
        <v>45971</v>
      </c>
      <c r="L179" s="6">
        <v>30.0</v>
      </c>
      <c r="M179" s="52">
        <v>46001.0</v>
      </c>
      <c r="N179" s="53" t="s">
        <v>711</v>
      </c>
      <c r="O179" s="6" t="s">
        <v>774</v>
      </c>
      <c r="P179" s="6"/>
      <c r="Q179" s="6" t="str">
        <f t="shared" si="1"/>
        <v>#N/A</v>
      </c>
      <c r="R179" s="6"/>
    </row>
    <row r="180" hidden="1">
      <c r="A180" s="31" t="str">
        <f>IFERROR(__xludf.DUMMYFUNCTION("""COMPUTED_VALUE"""),"1121 (этап 1)")</f>
        <v>1121 (этап 1)</v>
      </c>
      <c r="B180" s="14" t="str">
        <f>IFERROR(__xludf.DUMMYFUNCTION("""COMPUTED_VALUE"""),"АИП-25")</f>
        <v>АИП-25</v>
      </c>
      <c r="C180" s="14" t="str">
        <f>IFERROR(__xludf.DUMMYFUNCTION("""COMPUTED_VALUE"""),"УДС")</f>
        <v>УДС</v>
      </c>
      <c r="D180" s="15"/>
      <c r="E180" s="14" t="str">
        <f>IFERROR(__xludf.DUMMYFUNCTION("""COMPUTED_VALUE"""),"Технологическая часть ТПУ на станции метро ""Лианозово"". 
Этап 1 ""Устройство УДС улицы Псковская, Дубнинская и Лианозовского проезда, ОРП для электробусов на Дмитровском шоссе. Уширение плоскостной перехватывающей парковки."" г. Москва, м. ""Лианозово""")</f>
        <v>Технологическая часть ТПУ на станции метро "Лианозово". 
Этап 1 "Устройство УДС улицы Псковская, Дубнинская и Лианозовского проезда, ОРП для электробусов на Дмитровском шоссе. Уширение плоскостной перехватывающей парковки." г. Москва, м. "Лианозово"</v>
      </c>
      <c r="F180" s="25" t="str">
        <f>IFERROR(__xludf.DUMMYFUNCTION("""COMPUTED_VALUE"""),"#N/A")</f>
        <v>#N/A</v>
      </c>
      <c r="G180" s="6" t="str">
        <f>IFERROR(__xludf.DUMMYFUNCTION("""COMPUTED_VALUE"""),"#N/A")</f>
        <v>#N/A</v>
      </c>
      <c r="H180" s="18" t="str">
        <f>IFERROR(__xludf.DUMMYFUNCTION("""COMPUTED_VALUE"""),"https://docs.google.com/spreadsheets/d/1jonEGMB3UFHiUZpltF1zURon8gYN7jGSHu-k9t5TXnA/edit?gid=1300135145#gid=1300135145")</f>
        <v>https://docs.google.com/spreadsheets/d/1jonEGMB3UFHiUZpltF1zURon8gYN7jGSHu-k9t5TXnA/edit?gid=1300135145#gid=1300135145</v>
      </c>
      <c r="I180"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180" s="50">
        <f>IFERROR(__xludf.DUMMYFUNCTION("""COMPUTED_VALUE"""),98.14999999999999)</f>
        <v>98.15</v>
      </c>
      <c r="K180" s="58">
        <f>IFERROR(__xludf.DUMMYFUNCTION("""COMPUTED_VALUE"""),45973.0)</f>
        <v>45973</v>
      </c>
      <c r="L180" s="6">
        <v>7.0</v>
      </c>
      <c r="M180" s="52">
        <v>45980.0</v>
      </c>
      <c r="N180" s="53" t="s">
        <v>711</v>
      </c>
      <c r="O180" s="6" t="s">
        <v>775</v>
      </c>
      <c r="P180" s="6"/>
      <c r="Q180" s="6" t="str">
        <f t="shared" si="1"/>
        <v>#N/A</v>
      </c>
      <c r="R180" s="6"/>
    </row>
    <row r="181" hidden="1">
      <c r="A181" s="31" t="str">
        <f>IFERROR(__xludf.DUMMYFUNCTION("""COMPUTED_VALUE"""),"1121 (этап 3)")</f>
        <v>1121 (этап 3)</v>
      </c>
      <c r="B181" s="14" t="str">
        <f>IFERROR(__xludf.DUMMYFUNCTION("""COMPUTED_VALUE"""),"АИП-25")</f>
        <v>АИП-25</v>
      </c>
      <c r="C181" s="14" t="str">
        <f>IFERROR(__xludf.DUMMYFUNCTION("""COMPUTED_VALUE"""),"УДС")</f>
        <v>УДС</v>
      </c>
      <c r="D181" s="15"/>
      <c r="E181" s="14" t="str">
        <f>IFERROR(__xludf.DUMMYFUNCTION("""COMPUTED_VALUE"""),"Технологическая часть ТПУ на станции метро ""Лианозово"". 
Этап 3 ""ОРП для автобусов со зданием конечной станции на Дубнинской улице"" г. Москва, м. ""Лианозово""")</f>
        <v>Технологическая часть ТПУ на станции метро "Лианозово". 
Этап 3 "ОРП для автобусов со зданием конечной станции на Дубнинской улице" г. Москва, м. "Лианозово"</v>
      </c>
      <c r="F181" s="25" t="str">
        <f>IFERROR(__xludf.DUMMYFUNCTION("""COMPUTED_VALUE"""),"#N/A")</f>
        <v>#N/A</v>
      </c>
      <c r="G181" s="6" t="str">
        <f>IFERROR(__xludf.DUMMYFUNCTION("""COMPUTED_VALUE"""),"#N/A")</f>
        <v>#N/A</v>
      </c>
      <c r="H181" s="18" t="str">
        <f>IFERROR(__xludf.DUMMYFUNCTION("""COMPUTED_VALUE"""),"https://docs.google.com/spreadsheets/d/1jonEGMB3UFHiUZpltF1zURon8gYN7jGSHu-k9t5TXnA/edit?gid=2011759996#gid=2011759996")</f>
        <v>https://docs.google.com/spreadsheets/d/1jonEGMB3UFHiUZpltF1zURon8gYN7jGSHu-k9t5TXnA/edit?gid=2011759996#gid=2011759996</v>
      </c>
      <c r="I181"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181" s="50">
        <f>IFERROR(__xludf.DUMMYFUNCTION("""COMPUTED_VALUE"""),93.562305)</f>
        <v>93.562305</v>
      </c>
      <c r="K181" s="58">
        <f>IFERROR(__xludf.DUMMYFUNCTION("""COMPUTED_VALUE"""),45973.0)</f>
        <v>45973</v>
      </c>
      <c r="L181" s="6">
        <v>14.0</v>
      </c>
      <c r="M181" s="52">
        <v>45987.0</v>
      </c>
      <c r="N181" s="53" t="s">
        <v>711</v>
      </c>
      <c r="O181" s="6" t="s">
        <v>669</v>
      </c>
      <c r="P181" s="6"/>
      <c r="Q181" s="6" t="str">
        <f t="shared" si="1"/>
        <v>#N/A</v>
      </c>
      <c r="R181" s="6"/>
    </row>
    <row r="182" hidden="1">
      <c r="A182" s="31" t="str">
        <f>IFERROR(__xludf.DUMMYFUNCTION("""COMPUTED_VALUE"""),"1124 (этап 1.2.1)")</f>
        <v>1124 (этап 1.2.1)</v>
      </c>
      <c r="B182" s="14" t="str">
        <f>IFERROR(__xludf.DUMMYFUNCTION("""COMPUTED_VALUE"""),"АИП-25")</f>
        <v>АИП-25</v>
      </c>
      <c r="C182" s="14" t="str">
        <f>IFERROR(__xludf.DUMMYFUNCTION("""COMPUTED_VALUE"""),"УДС")</f>
        <v>УДС</v>
      </c>
      <c r="D182" s="60"/>
      <c r="E182" s="14" t="str">
        <f>IFERROR(__xludf.DUMMYFUNCTION("""COMPUTED_VALUE"""),"Технологическая часть ТПУ на станции метро ""Лухмановская"". 
 Этапы 1.2.1 г. Москва, м. ""Лухмановская""")</f>
        <v>Технологическая часть ТПУ на станции метро "Лухмановская". 
 Этапы 1.2.1 г. Москва, м. "Лухмановская"</v>
      </c>
      <c r="F182" s="25" t="str">
        <f>IFERROR(__xludf.DUMMYFUNCTION("""COMPUTED_VALUE"""),"#N/A")</f>
        <v>#N/A</v>
      </c>
      <c r="G182" s="6" t="str">
        <f>IFERROR(__xludf.DUMMYFUNCTION("""COMPUTED_VALUE"""),"#N/A")</f>
        <v>#N/A</v>
      </c>
      <c r="H182" s="18" t="str">
        <f>IFERROR(__xludf.DUMMYFUNCTION("""COMPUTED_VALUE"""),"https://docs.google.com/spreadsheets/d/1jonEGMB3UFHiUZpltF1zURon8gYN7jGSHu-k9t5TXnA/edit?gid=1566731730#gid=1566731730")</f>
        <v>https://docs.google.com/spreadsheets/d/1jonEGMB3UFHiUZpltF1zURon8gYN7jGSHu-k9t5TXnA/edit?gid=1566731730#gid=1566731730</v>
      </c>
      <c r="I182"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2" s="50">
        <f>IFERROR(__xludf.DUMMYFUNCTION("""COMPUTED_VALUE"""),9.2208)</f>
        <v>9.2208</v>
      </c>
      <c r="K182" s="58">
        <f>IFERROR(__xludf.DUMMYFUNCTION("""COMPUTED_VALUE"""),45972.0)</f>
        <v>45972</v>
      </c>
      <c r="L182" s="6">
        <v>30.0</v>
      </c>
      <c r="M182" s="52">
        <v>46002.0</v>
      </c>
      <c r="N182" s="53" t="s">
        <v>711</v>
      </c>
      <c r="O182" s="6" t="s">
        <v>669</v>
      </c>
      <c r="P182" s="6"/>
      <c r="Q182" s="6" t="str">
        <f t="shared" si="1"/>
        <v>#N/A</v>
      </c>
      <c r="R182" s="6"/>
    </row>
    <row r="183" hidden="1">
      <c r="A183" s="31" t="str">
        <f>IFERROR(__xludf.DUMMYFUNCTION("""COMPUTED_VALUE"""),"1124 (этап 1.3)")</f>
        <v>1124 (этап 1.3)</v>
      </c>
      <c r="B183" s="14" t="str">
        <f>IFERROR(__xludf.DUMMYFUNCTION("""COMPUTED_VALUE"""),"АИП-25")</f>
        <v>АИП-25</v>
      </c>
      <c r="C183" s="14" t="str">
        <f>IFERROR(__xludf.DUMMYFUNCTION("""COMPUTED_VALUE"""),"УДС")</f>
        <v>УДС</v>
      </c>
      <c r="D183" s="15"/>
      <c r="E183" s="14" t="str">
        <f>IFERROR(__xludf.DUMMYFUNCTION("""COMPUTED_VALUE"""),"Технологическая часть ТПУ на станции метро ""Лухмановская"". 
 Этапы 1.3 г. Москва, м. ""Лухмановская""")</f>
        <v>Технологическая часть ТПУ на станции метро "Лухмановская". 
 Этапы 1.3 г. Москва, м. "Лухмановская"</v>
      </c>
      <c r="F183" s="25" t="str">
        <f>IFERROR(__xludf.DUMMYFUNCTION("""COMPUTED_VALUE"""),"#N/A")</f>
        <v>#N/A</v>
      </c>
      <c r="G183" s="6" t="str">
        <f>IFERROR(__xludf.DUMMYFUNCTION("""COMPUTED_VALUE"""),"#N/A")</f>
        <v>#N/A</v>
      </c>
      <c r="H183" s="18" t="str">
        <f>IFERROR(__xludf.DUMMYFUNCTION("""COMPUTED_VALUE"""),"https://docs.google.com/spreadsheets/d/1jonEGMB3UFHiUZpltF1zURon8gYN7jGSHu-k9t5TXnA/edit?gid=1014561501#gid=1014561501")</f>
        <v>https://docs.google.com/spreadsheets/d/1jonEGMB3UFHiUZpltF1zURon8gYN7jGSHu-k9t5TXnA/edit?gid=1014561501#gid=1014561501</v>
      </c>
      <c r="I183"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3" s="50">
        <f>IFERROR(__xludf.DUMMYFUNCTION("""COMPUTED_VALUE"""),95.06)</f>
        <v>95.06</v>
      </c>
      <c r="K183" s="58">
        <f>IFERROR(__xludf.DUMMYFUNCTION("""COMPUTED_VALUE"""),45972.0)</f>
        <v>45972</v>
      </c>
      <c r="L183" s="6">
        <v>7.0</v>
      </c>
      <c r="M183" s="52">
        <v>45979.0</v>
      </c>
      <c r="N183" s="53" t="s">
        <v>692</v>
      </c>
      <c r="O183" s="6" t="s">
        <v>669</v>
      </c>
      <c r="P183" s="6"/>
      <c r="Q183" s="6" t="str">
        <f t="shared" si="1"/>
        <v>#N/A</v>
      </c>
      <c r="R183" s="6"/>
    </row>
    <row r="184" hidden="1">
      <c r="A184" s="31" t="str">
        <f>IFERROR(__xludf.DUMMYFUNCTION("""COMPUTED_VALUE"""),"1124 (этап 1.2)")</f>
        <v>1124 (этап 1.2)</v>
      </c>
      <c r="B184" s="14" t="str">
        <f>IFERROR(__xludf.DUMMYFUNCTION("""COMPUTED_VALUE"""),"АИП-25")</f>
        <v>АИП-25</v>
      </c>
      <c r="C184" s="14" t="str">
        <f>IFERROR(__xludf.DUMMYFUNCTION("""COMPUTED_VALUE"""),"УДС")</f>
        <v>УДС</v>
      </c>
      <c r="D184" s="15"/>
      <c r="E184" s="14" t="str">
        <f>IFERROR(__xludf.DUMMYFUNCTION("""COMPUTED_VALUE"""),"Технологическая часть ТПУ на станции метро ""Лухмановская"". 
 Этап 1.2 г. Москва, м. ""Лухмановская""")</f>
        <v>Технологическая часть ТПУ на станции метро "Лухмановская". 
 Этап 1.2 г. Москва, м. "Лухмановская"</v>
      </c>
      <c r="F184" s="25" t="str">
        <f>IFERROR(__xludf.DUMMYFUNCTION("""COMPUTED_VALUE"""),"#N/A")</f>
        <v>#N/A</v>
      </c>
      <c r="G184" s="6" t="str">
        <f>IFERROR(__xludf.DUMMYFUNCTION("""COMPUTED_VALUE"""),"#N/A")</f>
        <v>#N/A</v>
      </c>
      <c r="H184" s="18" t="str">
        <f>IFERROR(__xludf.DUMMYFUNCTION("""COMPUTED_VALUE"""),"https://docs.google.com/spreadsheets/d/1jonEGMB3UFHiUZpltF1zURon8gYN7jGSHu-k9t5TXnA/edit?gid=886266246#gid=886266246")</f>
        <v>https://docs.google.com/spreadsheets/d/1jonEGMB3UFHiUZpltF1zURon8gYN7jGSHu-k9t5TXnA/edit?gid=886266246#gid=886266246</v>
      </c>
      <c r="I184"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184" s="50">
        <f>IFERROR(__xludf.DUMMYFUNCTION("""COMPUTED_VALUE"""),84.49249999999999)</f>
        <v>84.4925</v>
      </c>
      <c r="K184" s="58">
        <f>IFERROR(__xludf.DUMMYFUNCTION("""COMPUTED_VALUE"""),45972.0)</f>
        <v>45972</v>
      </c>
      <c r="L184" s="6">
        <v>14.0</v>
      </c>
      <c r="M184" s="52">
        <v>45986.0</v>
      </c>
      <c r="N184" s="53" t="s">
        <v>711</v>
      </c>
      <c r="O184" s="6" t="s">
        <v>669</v>
      </c>
      <c r="P184" s="6"/>
      <c r="Q184" s="6" t="str">
        <f t="shared" si="1"/>
        <v>#N/A</v>
      </c>
      <c r="R184" s="6"/>
    </row>
    <row r="185" hidden="1">
      <c r="A185" s="31" t="str">
        <f>IFERROR(__xludf.DUMMYFUNCTION("""COMPUTED_VALUE"""),"1131 (этап 1.1)")</f>
        <v>1131 (этап 1.1)</v>
      </c>
      <c r="B185" s="14" t="str">
        <f>IFERROR(__xludf.DUMMYFUNCTION("""COMPUTED_VALUE"""),"АИП-25")</f>
        <v>АИП-25</v>
      </c>
      <c r="C185" s="14" t="str">
        <f>IFERROR(__xludf.DUMMYFUNCTION("""COMPUTED_VALUE"""),"УДС")</f>
        <v>УДС</v>
      </c>
      <c r="D185" s="15"/>
      <c r="E185" s="14" t="str">
        <f>IFERROR(__xludf.DUMMYFUNCTION("""COMPUTED_VALUE"""),"Технологическая часть ТПУ на станции метро ""Нагатинский затон"". 
 Этап 1.1 г. Москва, м. ""Нагатинский затон""")</f>
        <v>Технологическая часть ТПУ на станции метро "Нагатинский затон". 
 Этап 1.1 г. Москва, м. "Нагатинский затон"</v>
      </c>
      <c r="F185" s="25" t="str">
        <f>IFERROR(__xludf.DUMMYFUNCTION("""COMPUTED_VALUE"""),"#N/A")</f>
        <v>#N/A</v>
      </c>
      <c r="G185" s="6" t="str">
        <f>IFERROR(__xludf.DUMMYFUNCTION("""COMPUTED_VALUE"""),"#N/A")</f>
        <v>#N/A</v>
      </c>
      <c r="H185" s="18" t="str">
        <f>IFERROR(__xludf.DUMMYFUNCTION("""COMPUTED_VALUE"""),"https://docs.google.com/spreadsheets/d/1jonEGMB3UFHiUZpltF1zURon8gYN7jGSHu-k9t5TXnA/edit?gid=1809572747#gid=1809572747")</f>
        <v>https://docs.google.com/spreadsheets/d/1jonEGMB3UFHiUZpltF1zURon8gYN7jGSHu-k9t5TXnA/edit?gid=1809572747#gid=1809572747</v>
      </c>
      <c r="I185"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185" s="50">
        <f>IFERROR(__xludf.DUMMYFUNCTION("""COMPUTED_VALUE"""),100.0)</f>
        <v>100</v>
      </c>
      <c r="K185" s="58">
        <f>IFERROR(__xludf.DUMMYFUNCTION("""COMPUTED_VALUE"""),45972.0)</f>
        <v>45972</v>
      </c>
      <c r="L185" s="6" t="s">
        <v>654</v>
      </c>
      <c r="M185" s="52" t="s">
        <v>655</v>
      </c>
      <c r="N185" s="53" t="s">
        <v>656</v>
      </c>
      <c r="O185" s="6" t="s">
        <v>776</v>
      </c>
      <c r="P185" s="6"/>
      <c r="Q185" s="6" t="str">
        <f t="shared" si="1"/>
        <v>#N/A</v>
      </c>
      <c r="R185" s="6"/>
    </row>
    <row r="186" hidden="1">
      <c r="A186" s="31" t="str">
        <f>IFERROR(__xludf.DUMMYFUNCTION("""COMPUTED_VALUE"""),"1131 (этап 4)")</f>
        <v>1131 (этап 4)</v>
      </c>
      <c r="B186" s="14" t="str">
        <f>IFERROR(__xludf.DUMMYFUNCTION("""COMPUTED_VALUE"""),"АИП-25")</f>
        <v>АИП-25</v>
      </c>
      <c r="C186" s="14" t="str">
        <f>IFERROR(__xludf.DUMMYFUNCTION("""COMPUTED_VALUE"""),"УДС")</f>
        <v>УДС</v>
      </c>
      <c r="D186" s="15"/>
      <c r="E186" s="14" t="str">
        <f>IFERROR(__xludf.DUMMYFUNCTION("""COMPUTED_VALUE"""),"Технологическая часть ТПУ на станции метро ""Нагатинский затон"". 
 Этап 4 г. Москва, м. ""Нагатинский затон""")</f>
        <v>Технологическая часть ТПУ на станции метро "Нагатинский затон". 
 Этап 4 г. Москва, м. "Нагатинский затон"</v>
      </c>
      <c r="F186" s="25" t="str">
        <f>IFERROR(__xludf.DUMMYFUNCTION("""COMPUTED_VALUE"""),"#N/A")</f>
        <v>#N/A</v>
      </c>
      <c r="G186" s="6" t="str">
        <f>IFERROR(__xludf.DUMMYFUNCTION("""COMPUTED_VALUE"""),"#N/A")</f>
        <v>#N/A</v>
      </c>
      <c r="H186" s="18" t="str">
        <f>IFERROR(__xludf.DUMMYFUNCTION("""COMPUTED_VALUE"""),"https://docs.google.com/spreadsheets/d/1jonEGMB3UFHiUZpltF1zURon8gYN7jGSHu-k9t5TXnA/edit?gid=2067153840#gid=2067153840")</f>
        <v>https://docs.google.com/spreadsheets/d/1jonEGMB3UFHiUZpltF1zURon8gYN7jGSHu-k9t5TXnA/edit?gid=2067153840#gid=2067153840</v>
      </c>
      <c r="I186"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186" s="50">
        <f>IFERROR(__xludf.DUMMYFUNCTION("""COMPUTED_VALUE"""),99.5105)</f>
        <v>99.5105</v>
      </c>
      <c r="K186" s="58">
        <f>IFERROR(__xludf.DUMMYFUNCTION("""COMPUTED_VALUE"""),45972.0)</f>
        <v>45972</v>
      </c>
      <c r="L186" s="6">
        <v>7.0</v>
      </c>
      <c r="M186" s="52">
        <v>45979.0</v>
      </c>
      <c r="N186" s="53" t="s">
        <v>692</v>
      </c>
      <c r="O186" s="6" t="s">
        <v>777</v>
      </c>
      <c r="P186" s="6"/>
      <c r="Q186" s="6" t="str">
        <f t="shared" si="1"/>
        <v>#N/A</v>
      </c>
      <c r="R186" s="6"/>
    </row>
    <row r="187" hidden="1">
      <c r="A187" s="31" t="str">
        <f>IFERROR(__xludf.DUMMYFUNCTION("""COMPUTED_VALUE"""),"1135")</f>
        <v>1135</v>
      </c>
      <c r="B187" s="14" t="str">
        <f>IFERROR(__xludf.DUMMYFUNCTION("""COMPUTED_VALUE"""),"АИП-25")</f>
        <v>АИП-25</v>
      </c>
      <c r="C187" s="14" t="str">
        <f>IFERROR(__xludf.DUMMYFUNCTION("""COMPUTED_VALUE"""),"УДС")</f>
        <v>УДС</v>
      </c>
      <c r="D187" s="15"/>
      <c r="E187" s="14" t="str">
        <f>IFERROR(__xludf.DUMMYFUNCTION("""COMPUTED_VALUE"""),"Технологическая часть ТПУ на станции метро ""Некрасовка"". 
 Этап 1 г. Москва, м. ""Некрасовка""")</f>
        <v>Технологическая часть ТПУ на станции метро "Некрасовка". 
 Этап 1 г. Москва, м. "Некрасовка"</v>
      </c>
      <c r="F187" s="25" t="str">
        <f>IFERROR(__xludf.DUMMYFUNCTION("""COMPUTED_VALUE"""),"#N/A")</f>
        <v>#N/A</v>
      </c>
      <c r="G187" s="6" t="str">
        <f>IFERROR(__xludf.DUMMYFUNCTION("""COMPUTED_VALUE"""),"#N/A")</f>
        <v>#N/A</v>
      </c>
      <c r="H187" s="18" t="str">
        <f>IFERROR(__xludf.DUMMYFUNCTION("""COMPUTED_VALUE"""),"https://docs.google.com/spreadsheets/d/1jonEGMB3UFHiUZpltF1zURon8gYN7jGSHu-k9t5TXnA/edit?gid=1442718959#gid=1442718959")</f>
        <v>https://docs.google.com/spreadsheets/d/1jonEGMB3UFHiUZpltF1zURon8gYN7jGSHu-k9t5TXnA/edit?gid=1442718959#gid=1442718959</v>
      </c>
      <c r="I187" s="6" t="str">
        <f>IFERROR(__xludf.DUMMYFUNCTION("""COMPUTED_VALUE"""),"https://disk.yandex.ru/client/disk/Осмотры%20объектов%20АНО%20СМГ/1135%20Технологическая%20часть%20ТПУ%20на%20станции%20метро%20%22Некрасовка%22")</f>
        <v>https://disk.yandex.ru/client/disk/Осмотры%20объектов%20АНО%20СМГ/1135%20Технологическая%20часть%20ТПУ%20на%20станции%20метро%20%22Некрасовка%22</v>
      </c>
      <c r="J187" s="50">
        <f>IFERROR(__xludf.DUMMYFUNCTION("""COMPUTED_VALUE"""),100.0)</f>
        <v>100</v>
      </c>
      <c r="K187" s="58">
        <f>IFERROR(__xludf.DUMMYFUNCTION("""COMPUTED_VALUE"""),45972.0)</f>
        <v>45972</v>
      </c>
      <c r="L187" s="6" t="s">
        <v>654</v>
      </c>
      <c r="M187" s="52" t="s">
        <v>655</v>
      </c>
      <c r="N187" s="53" t="s">
        <v>656</v>
      </c>
      <c r="O187" s="6" t="s">
        <v>778</v>
      </c>
      <c r="P187" s="6"/>
      <c r="Q187" s="6" t="str">
        <f t="shared" si="1"/>
        <v>#N/A</v>
      </c>
      <c r="R187" s="6"/>
    </row>
    <row r="188" hidden="1">
      <c r="A188" s="31" t="str">
        <f>IFERROR(__xludf.DUMMYFUNCTION("""COMPUTED_VALUE"""),"1065 (5.2)")</f>
        <v>1065 (5.2)</v>
      </c>
      <c r="B188" s="14" t="str">
        <f>IFERROR(__xludf.DUMMYFUNCTION("""COMPUTED_VALUE"""),"АИП-25")</f>
        <v>АИП-25</v>
      </c>
      <c r="C188" s="14" t="str">
        <f>IFERROR(__xludf.DUMMYFUNCTION("""COMPUTED_VALUE"""),"УДС")</f>
        <v>УДС</v>
      </c>
      <c r="D188" s="15"/>
      <c r="E188" s="14" t="str">
        <f>IFERROR(__xludf.DUMMYFUNCTION("""COMPUTED_VALUE"""),"Технологическая часть ТПУ на станции метро ""Рассказовка"". 
 Этапы 5.2. Многоуровневый перехватывающий наземно-подземный
паркинг на 840 м/м с защитными сооружениями ГО г. Москва, м. ""Рассказовка""")</f>
        <v>Технологическая часть ТПУ на станции метро "Рассказовка". 
 Этапы 5.2. Многоуровневый перехватывающий наземно-подземный
паркинг на 840 м/м с защитными сооружениями ГО г. Москва, м. "Рассказовка"</v>
      </c>
      <c r="F188" s="25" t="str">
        <f>IFERROR(__xludf.DUMMYFUNCTION("""COMPUTED_VALUE"""),"55.633969596534705")</f>
        <v>55.633969596534705</v>
      </c>
      <c r="G188" s="6" t="str">
        <f>IFERROR(__xludf.DUMMYFUNCTION("""COMPUTED_VALUE"""),"37.3346986726294")</f>
        <v>37.3346986726294</v>
      </c>
      <c r="H188" s="18" t="str">
        <f>IFERROR(__xludf.DUMMYFUNCTION("""COMPUTED_VALUE"""),"https://docs.google.com/spreadsheets/d/1jonEGMB3UFHiUZpltF1zURon8gYN7jGSHu-k9t5TXnA/edit?gid=821057082#gid=821057082")</f>
        <v>https://docs.google.com/spreadsheets/d/1jonEGMB3UFHiUZpltF1zURon8gYN7jGSHu-k9t5TXnA/edit?gid=821057082#gid=821057082</v>
      </c>
      <c r="I188"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188" s="50">
        <f>IFERROR(__xludf.DUMMYFUNCTION("""COMPUTED_VALUE"""),100.0)</f>
        <v>100</v>
      </c>
      <c r="K188" s="58">
        <f>IFERROR(__xludf.DUMMYFUNCTION("""COMPUTED_VALUE"""),45974.0)</f>
        <v>45974</v>
      </c>
      <c r="L188" s="6" t="s">
        <v>654</v>
      </c>
      <c r="M188" s="52" t="s">
        <v>655</v>
      </c>
      <c r="N188" s="53" t="s">
        <v>656</v>
      </c>
      <c r="O188" s="6" t="s">
        <v>779</v>
      </c>
      <c r="P188" s="6"/>
      <c r="Q188" s="6" t="str">
        <f t="shared" si="1"/>
        <v>#N/A</v>
      </c>
      <c r="R188" s="6"/>
    </row>
    <row r="189" hidden="1">
      <c r="A189" s="31" t="str">
        <f>IFERROR(__xludf.DUMMYFUNCTION("""COMPUTED_VALUE"""),"1065 (5.2.1)")</f>
        <v>1065 (5.2.1)</v>
      </c>
      <c r="B189" s="14" t="str">
        <f>IFERROR(__xludf.DUMMYFUNCTION("""COMPUTED_VALUE"""),"АИП-25")</f>
        <v>АИП-25</v>
      </c>
      <c r="C189" s="14" t="str">
        <f>IFERROR(__xludf.DUMMYFUNCTION("""COMPUTED_VALUE"""),"УДС")</f>
        <v>УДС</v>
      </c>
      <c r="D189" s="15"/>
      <c r="E189" s="14" t="str">
        <f>IFERROR(__xludf.DUMMYFUNCTION("""COMPUTED_VALUE"""),"Технологическая часть ТПУ на станции метро ""Рассказовка"". 
 Этапы 5.2.1 г. Москва, м. ""Рассказовка""")</f>
        <v>Технологическая часть ТПУ на станции метро "Рассказовка". 
 Этапы 5.2.1 г. Москва, м. "Рассказовка"</v>
      </c>
      <c r="F189" s="25" t="str">
        <f>IFERROR(__xludf.DUMMYFUNCTION("""COMPUTED_VALUE"""),"55.633969596534705")</f>
        <v>55.633969596534705</v>
      </c>
      <c r="G189" s="6" t="str">
        <f>IFERROR(__xludf.DUMMYFUNCTION("""COMPUTED_VALUE"""),"37.3346986726294")</f>
        <v>37.3346986726294</v>
      </c>
      <c r="H189" s="18" t="str">
        <f>IFERROR(__xludf.DUMMYFUNCTION("""COMPUTED_VALUE"""),"https://docs.google.com/spreadsheets/d/1jonEGMB3UFHiUZpltF1zURon8gYN7jGSHu-k9t5TXnA/edit?gid=577400276#gid=577400276")</f>
        <v>https://docs.google.com/spreadsheets/d/1jonEGMB3UFHiUZpltF1zURon8gYN7jGSHu-k9t5TXnA/edit?gid=577400276#gid=577400276</v>
      </c>
      <c r="I189"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189" s="50">
        <f>IFERROR(__xludf.DUMMYFUNCTION("""COMPUTED_VALUE"""),100.0)</f>
        <v>100</v>
      </c>
      <c r="K189" s="58">
        <f>IFERROR(__xludf.DUMMYFUNCTION("""COMPUTED_VALUE"""),45974.0)</f>
        <v>45974</v>
      </c>
      <c r="L189" s="6" t="s">
        <v>654</v>
      </c>
      <c r="M189" s="52" t="s">
        <v>655</v>
      </c>
      <c r="N189" s="53" t="s">
        <v>656</v>
      </c>
      <c r="O189" s="6" t="s">
        <v>780</v>
      </c>
      <c r="P189" s="6"/>
      <c r="Q189" s="6" t="str">
        <f t="shared" si="1"/>
        <v>#N/A</v>
      </c>
      <c r="R189" s="6"/>
    </row>
    <row r="190" hidden="1">
      <c r="A190" s="31" t="str">
        <f>IFERROR(__xludf.DUMMYFUNCTION("""COMPUTED_VALUE"""),"1122 (этап 1.1)")</f>
        <v>1122 (этап 1.1)</v>
      </c>
      <c r="B190" s="14" t="str">
        <f>IFERROR(__xludf.DUMMYFUNCTION("""COMPUTED_VALUE"""),"АИП-25")</f>
        <v>АИП-25</v>
      </c>
      <c r="C190" s="14" t="str">
        <f>IFERROR(__xludf.DUMMYFUNCTION("""COMPUTED_VALUE"""),"УДС")</f>
        <v>УДС</v>
      </c>
      <c r="D190" s="60"/>
      <c r="E190" s="14" t="str">
        <f>IFERROR(__xludf.DUMMYFUNCTION("""COMPUTED_VALUE"""),"Технологическая часть ТПУ на станции метро ""Текстильщики"". 
 Этап 1.1 г. Москва, м. ""Текстильщики""")</f>
        <v>Технологическая часть ТПУ на станции метро "Текстильщики". 
 Этап 1.1 г. Москва, м. "Текстильщики"</v>
      </c>
      <c r="F190" s="25" t="str">
        <f>IFERROR(__xludf.DUMMYFUNCTION("""COMPUTED_VALUE"""),"#N/A")</f>
        <v>#N/A</v>
      </c>
      <c r="G190" s="6" t="str">
        <f>IFERROR(__xludf.DUMMYFUNCTION("""COMPUTED_VALUE"""),"#N/A")</f>
        <v>#N/A</v>
      </c>
      <c r="H190" s="18" t="str">
        <f>IFERROR(__xludf.DUMMYFUNCTION("""COMPUTED_VALUE"""),"https://docs.google.com/spreadsheets/d/1jonEGMB3UFHiUZpltF1zURon8gYN7jGSHu-k9t5TXnA/edit?gid=1288909819#gid=1288909819")</f>
        <v>https://docs.google.com/spreadsheets/d/1jonEGMB3UFHiUZpltF1zURon8gYN7jGSHu-k9t5TXnA/edit?gid=1288909819#gid=1288909819</v>
      </c>
      <c r="I190" s="6" t="str">
        <f>IFERROR(__xludf.DUMMYFUNCTION("""COMPUTED_VALUE"""),"https://disk.yandex.ru/client/disk/Осмотры%20объектов%20АНО%20СМГ/1122.%201-1.1%20этап.%20Технологическая%20часть%20ТПУ%20на%20станции%20метро%20%22Текстильщики%22")</f>
        <v>https://disk.yandex.ru/client/disk/Осмотры%20объектов%20АНО%20СМГ/1122.%201-1.1%20этап.%20Технологическая%20часть%20ТПУ%20на%20станции%20метро%20%22Текстильщики%22</v>
      </c>
      <c r="J190" s="50">
        <f>IFERROR(__xludf.DUMMYFUNCTION("""COMPUTED_VALUE"""),96.0)</f>
        <v>96</v>
      </c>
      <c r="K190" s="58">
        <f>IFERROR(__xludf.DUMMYFUNCTION("""COMPUTED_VALUE"""),45972.0)</f>
        <v>45972</v>
      </c>
      <c r="L190" s="6">
        <v>7.0</v>
      </c>
      <c r="M190" s="52">
        <v>45979.0</v>
      </c>
      <c r="N190" s="53" t="s">
        <v>692</v>
      </c>
      <c r="O190" s="6" t="s">
        <v>781</v>
      </c>
      <c r="P190" s="6"/>
      <c r="Q190" s="6" t="str">
        <f t="shared" si="1"/>
        <v>#N/A</v>
      </c>
      <c r="R190" s="6"/>
    </row>
    <row r="191" hidden="1">
      <c r="A191" s="31" t="str">
        <f>IFERROR(__xludf.DUMMYFUNCTION("""COMPUTED_VALUE"""),"1122 (этап 1)")</f>
        <v>1122 (этап 1)</v>
      </c>
      <c r="B191" s="14" t="str">
        <f>IFERROR(__xludf.DUMMYFUNCTION("""COMPUTED_VALUE"""),"АИП-25")</f>
        <v>АИП-25</v>
      </c>
      <c r="C191" s="14" t="str">
        <f>IFERROR(__xludf.DUMMYFUNCTION("""COMPUTED_VALUE"""),"УДС")</f>
        <v>УДС</v>
      </c>
      <c r="D191" s="15"/>
      <c r="E191" s="14" t="str">
        <f>IFERROR(__xludf.DUMMYFUNCTION("""COMPUTED_VALUE"""),"Технологическая часть ТПУ на станции метро ""Текстильщики"". 
 Этап 1 г. Москва, м. ""Текстильщики""")</f>
        <v>Технологическая часть ТПУ на станции метро "Текстильщики". 
 Этап 1 г. Москва, м. "Текстильщики"</v>
      </c>
      <c r="F191" s="25" t="str">
        <f>IFERROR(__xludf.DUMMYFUNCTION("""COMPUTED_VALUE"""),"#N/A")</f>
        <v>#N/A</v>
      </c>
      <c r="G191" s="6" t="str">
        <f>IFERROR(__xludf.DUMMYFUNCTION("""COMPUTED_VALUE"""),"#N/A")</f>
        <v>#N/A</v>
      </c>
      <c r="H191" s="18" t="str">
        <f>IFERROR(__xludf.DUMMYFUNCTION("""COMPUTED_VALUE"""),"https://docs.google.com/spreadsheets/d/1jonEGMB3UFHiUZpltF1zURon8gYN7jGSHu-k9t5TXnA/edit?gid=1628703806#gid=1628703806")</f>
        <v>https://docs.google.com/spreadsheets/d/1jonEGMB3UFHiUZpltF1zURon8gYN7jGSHu-k9t5TXnA/edit?gid=1628703806#gid=1628703806</v>
      </c>
      <c r="I191" s="6" t="str">
        <f>IFERROR(__xludf.DUMMYFUNCTION("""COMPUTED_VALUE"""),"https://disk.yandex.ru/client/disk/Осмотры%20объектов%20АНО%20СМГ/1122.%201-1.1%20этап.%20Технологическая%20часть%20ТПУ%20на%20станции%20метро%20%22Текстильщики%22")</f>
        <v>https://disk.yandex.ru/client/disk/Осмотры%20объектов%20АНО%20СМГ/1122.%201-1.1%20этап.%20Технологическая%20часть%20ТПУ%20на%20станции%20метро%20%22Текстильщики%22</v>
      </c>
      <c r="J191" s="50">
        <f>IFERROR(__xludf.DUMMYFUNCTION("""COMPUTED_VALUE"""),100.0)</f>
        <v>100</v>
      </c>
      <c r="K191" s="58">
        <f>IFERROR(__xludf.DUMMYFUNCTION("""COMPUTED_VALUE"""),45958.0)</f>
        <v>45958</v>
      </c>
      <c r="L191" s="6" t="s">
        <v>654</v>
      </c>
      <c r="M191" s="52" t="s">
        <v>655</v>
      </c>
      <c r="N191" s="53" t="s">
        <v>656</v>
      </c>
      <c r="O191" s="6" t="s">
        <v>782</v>
      </c>
      <c r="P191" s="6"/>
      <c r="Q191" s="6" t="str">
        <f t="shared" si="1"/>
        <v>#N/A</v>
      </c>
      <c r="R191" s="6"/>
    </row>
    <row r="192" hidden="1">
      <c r="A192" s="31" t="str">
        <f>IFERROR(__xludf.DUMMYFUNCTION("""COMPUTED_VALUE"""),"1133 (этап 1.1)")</f>
        <v>1133 (этап 1.1)</v>
      </c>
      <c r="B192" s="14" t="str">
        <f>IFERROR(__xludf.DUMMYFUNCTION("""COMPUTED_VALUE"""),"АИП-25")</f>
        <v>АИП-25</v>
      </c>
      <c r="C192" s="14" t="str">
        <f>IFERROR(__xludf.DUMMYFUNCTION("""COMPUTED_VALUE"""),"УДС")</f>
        <v>УДС</v>
      </c>
      <c r="D192" s="15"/>
      <c r="E192" s="14" t="str">
        <f>IFERROR(__xludf.DUMMYFUNCTION("""COMPUTED_VALUE"""),"Технологическая часть ТПУ на станции метро ""Хорошевская"". 
 Этапы 1.1 г. Москва, м. ""Хорошеская""")</f>
        <v>Технологическая часть ТПУ на станции метро "Хорошевская". 
 Этапы 1.1 г. Москва, м. "Хорошеская"</v>
      </c>
      <c r="F192" s="25" t="str">
        <f>IFERROR(__xludf.DUMMYFUNCTION("""COMPUTED_VALUE"""),"#N/A")</f>
        <v>#N/A</v>
      </c>
      <c r="G192" s="6" t="str">
        <f>IFERROR(__xludf.DUMMYFUNCTION("""COMPUTED_VALUE"""),"#N/A")</f>
        <v>#N/A</v>
      </c>
      <c r="H192" s="18" t="str">
        <f>IFERROR(__xludf.DUMMYFUNCTION("""COMPUTED_VALUE"""),"https://docs.google.com/spreadsheets/d/1jonEGMB3UFHiUZpltF1zURon8gYN7jGSHu-k9t5TXnA/edit?gid=1845109853#gid=1845109853")</f>
        <v>https://docs.google.com/spreadsheets/d/1jonEGMB3UFHiUZpltF1zURon8gYN7jGSHu-k9t5TXnA/edit?gid=1845109853#gid=1845109853</v>
      </c>
      <c r="I192" s="6" t="str">
        <f>IFERROR(__xludf.DUMMYFUNCTION("""COMPUTED_VALUE"""),"https://disk.yandex.ru/client/disk/Осмотры%20объектов%20АНО%20СМГ/1133.1%20ТПУ%20Хорошевская")</f>
        <v>https://disk.yandex.ru/client/disk/Осмотры%20объектов%20АНО%20СМГ/1133.1%20ТПУ%20Хорошевская</v>
      </c>
      <c r="J192" s="50">
        <f>IFERROR(__xludf.DUMMYFUNCTION("""COMPUTED_VALUE"""),99.96000000000001)</f>
        <v>99.96</v>
      </c>
      <c r="K192" s="58">
        <f>IFERROR(__xludf.DUMMYFUNCTION("""COMPUTED_VALUE"""),45972.0)</f>
        <v>45972</v>
      </c>
      <c r="L192" s="6">
        <v>7.0</v>
      </c>
      <c r="M192" s="52">
        <v>45979.0</v>
      </c>
      <c r="N192" s="53" t="s">
        <v>692</v>
      </c>
      <c r="O192" s="6" t="s">
        <v>783</v>
      </c>
      <c r="P192" s="6"/>
      <c r="Q192" s="6" t="str">
        <f t="shared" si="1"/>
        <v>#N/A</v>
      </c>
      <c r="R192" s="6"/>
    </row>
    <row r="193" hidden="1">
      <c r="A193" s="31" t="str">
        <f>IFERROR(__xludf.DUMMYFUNCTION("""COMPUTED_VALUE"""),"1133 (этап 1.2)")</f>
        <v>1133 (этап 1.2)</v>
      </c>
      <c r="B193" s="14" t="str">
        <f>IFERROR(__xludf.DUMMYFUNCTION("""COMPUTED_VALUE"""),"АИП-25")</f>
        <v>АИП-25</v>
      </c>
      <c r="C193" s="14" t="str">
        <f>IFERROR(__xludf.DUMMYFUNCTION("""COMPUTED_VALUE"""),"УДС")</f>
        <v>УДС</v>
      </c>
      <c r="D193" s="15"/>
      <c r="E193" s="14" t="str">
        <f>IFERROR(__xludf.DUMMYFUNCTION("""COMPUTED_VALUE"""),"Технологическая часть ТПУ на станции метро ""Хорошевская"". 
 Этапы 1.2 г. Москва, м. ""Хорошеская""")</f>
        <v>Технологическая часть ТПУ на станции метро "Хорошевская". 
 Этапы 1.2 г. Москва, м. "Хорошеская"</v>
      </c>
      <c r="F193" s="25" t="str">
        <f>IFERROR(__xludf.DUMMYFUNCTION("""COMPUTED_VALUE"""),"#N/A")</f>
        <v>#N/A</v>
      </c>
      <c r="G193" s="6" t="str">
        <f>IFERROR(__xludf.DUMMYFUNCTION("""COMPUTED_VALUE"""),"#N/A")</f>
        <v>#N/A</v>
      </c>
      <c r="H193" s="18" t="str">
        <f>IFERROR(__xludf.DUMMYFUNCTION("""COMPUTED_VALUE"""),"https://docs.google.com/spreadsheets/d/1jonEGMB3UFHiUZpltF1zURon8gYN7jGSHu-k9t5TXnA/edit?gid=1305358292#gid=1305358292")</f>
        <v>https://docs.google.com/spreadsheets/d/1jonEGMB3UFHiUZpltF1zURon8gYN7jGSHu-k9t5TXnA/edit?gid=1305358292#gid=1305358292</v>
      </c>
      <c r="I193" s="6" t="str">
        <f>IFERROR(__xludf.DUMMYFUNCTION("""COMPUTED_VALUE"""),"https://disk.yandex.ru/client/disk/Осмотры%20объектов%20АНО%20СМГ/1133.1%20ТПУ%20Хорошевская")</f>
        <v>https://disk.yandex.ru/client/disk/Осмотры%20объектов%20АНО%20СМГ/1133.1%20ТПУ%20Хорошевская</v>
      </c>
      <c r="J193" s="50">
        <f>IFERROR(__xludf.DUMMYFUNCTION("""COMPUTED_VALUE"""),100.0)</f>
        <v>100</v>
      </c>
      <c r="K193" s="58">
        <f>IFERROR(__xludf.DUMMYFUNCTION("""COMPUTED_VALUE"""),45972.0)</f>
        <v>45972</v>
      </c>
      <c r="L193" s="6" t="s">
        <v>654</v>
      </c>
      <c r="M193" s="52" t="s">
        <v>655</v>
      </c>
      <c r="N193" s="53" t="s">
        <v>656</v>
      </c>
      <c r="O193" s="6" t="s">
        <v>669</v>
      </c>
      <c r="P193" s="6"/>
      <c r="Q193" s="6" t="str">
        <f t="shared" si="1"/>
        <v>#N/A</v>
      </c>
      <c r="R193" s="6"/>
    </row>
    <row r="194" hidden="1">
      <c r="A194" s="31" t="str">
        <f>IFERROR(__xludf.DUMMYFUNCTION("""COMPUTED_VALUE"""),"194д")</f>
        <v>194д</v>
      </c>
      <c r="B194" s="14" t="str">
        <f>IFERROR(__xludf.DUMMYFUNCTION("""COMPUTED_VALUE"""),"АИП-25")</f>
        <v>АИП-25</v>
      </c>
      <c r="C194" s="14" t="str">
        <f>IFERROR(__xludf.DUMMYFUNCTION("""COMPUTED_VALUE"""),"УДС")</f>
        <v>УДС</v>
      </c>
      <c r="D194" s="15"/>
      <c r="E194" s="14" t="str">
        <f>IFERROR(__xludf.DUMMYFUNCTION("""COMPUTED_VALUE"""),"Транспортная развязка на пересечении МКАД с ул. Профсоюзной (2 этап) МКАД - ПРОФСОЮЗНАЯ УЛ.")</f>
        <v>Транспортная развязка на пересечении МКАД с ул. Профсоюзной (2 этап) МКАД - ПРОФСОЮЗНАЯ УЛ.</v>
      </c>
      <c r="F194" s="25" t="str">
        <f>IFERROR(__xludf.DUMMYFUNCTION("""COMPUTED_VALUE"""),"#N/A")</f>
        <v>#N/A</v>
      </c>
      <c r="G194" s="6" t="str">
        <f>IFERROR(__xludf.DUMMYFUNCTION("""COMPUTED_VALUE"""),"#N/A")</f>
        <v>#N/A</v>
      </c>
      <c r="H194" s="6"/>
      <c r="I194" s="6"/>
      <c r="J194" s="50">
        <f>IFERROR(__xludf.DUMMYFUNCTION("""COMPUTED_VALUE"""),94.87741343283581)</f>
        <v>94.87741343</v>
      </c>
      <c r="K194" s="58">
        <f>IFERROR(__xludf.DUMMYFUNCTION("""COMPUTED_VALUE"""),45972.0)</f>
        <v>45972</v>
      </c>
      <c r="L194" s="6">
        <v>7.0</v>
      </c>
      <c r="M194" s="52">
        <v>45979.0</v>
      </c>
      <c r="N194" s="53" t="s">
        <v>692</v>
      </c>
      <c r="O194" s="6" t="s">
        <v>669</v>
      </c>
      <c r="P194" s="6"/>
      <c r="Q194" s="6" t="str">
        <f t="shared" si="1"/>
        <v>#N/A</v>
      </c>
      <c r="R194" s="6"/>
    </row>
    <row r="195" hidden="1">
      <c r="A195" s="31" t="str">
        <f>IFERROR(__xludf.DUMMYFUNCTION("""COMPUTED_VALUE"""),"261")</f>
        <v>261</v>
      </c>
      <c r="B195" s="14" t="str">
        <f>IFERROR(__xludf.DUMMYFUNCTION("""COMPUTED_VALUE"""),"АИП-25")</f>
        <v>АИП-25</v>
      </c>
      <c r="C195" s="14" t="str">
        <f>IFERROR(__xludf.DUMMYFUNCTION("""COMPUTED_VALUE"""),"ОКС")</f>
        <v>ОКС</v>
      </c>
      <c r="D195" s="15"/>
      <c r="E195" s="14" t="str">
        <f>IFERROR(__xludf.DUMMYFUNCTION("""COMPUTED_VALUE"""),"ДОУ на 300 мест, р-н Выхино-Жулебино, мкр. 136 (со сносом нежилого здания по адресу: Сормовская ул., д. 17, к. 8) Сормовская ул., д. 17, к. 8")</f>
        <v>ДОУ на 300 мест, р-н Выхино-Жулебино, мкр. 136 (со сносом нежилого здания по адресу: Сормовская ул., д. 17, к. 8) Сормовская ул., д. 17, к. 8</v>
      </c>
      <c r="F195" s="25" t="str">
        <f>IFERROR(__xludf.DUMMYFUNCTION("""COMPUTED_VALUE"""),"55.705394")</f>
        <v>55.705394</v>
      </c>
      <c r="G195" s="6" t="str">
        <f>IFERROR(__xludf.DUMMYFUNCTION("""COMPUTED_VALUE"""),"37.811982")</f>
        <v>37.811982</v>
      </c>
      <c r="H195" s="18" t="str">
        <f>IFERROR(__xludf.DUMMYFUNCTION("""COMPUTED_VALUE"""),"https://docs.google.com/spreadsheets/d/19THEBTE9q0fhN2eApZr6BgenIvLGh0AckaYxHQfHk5w/edit?gid=392359480#gid=392359480")</f>
        <v>https://docs.google.com/spreadsheets/d/19THEBTE9q0fhN2eApZr6BgenIvLGh0AckaYxHQfHk5w/edit?gid=392359480#gid=392359480</v>
      </c>
      <c r="I195" s="19" t="str">
        <f>IFERROR(__xludf.DUMMYFUNCTION("""COMPUTED_VALUE"""),"https://disk.yandex.ru/client/disk/Осмотры%20объектов%20АНО%20СМГ/261.%20ДОУ%20на%20300%20мест%2C%20р-н%20Выхино-Жулебино%2C%20мкр.%20136%20(со%20сносом%20нежилого%20здания%20по%20адресу%3A%20Сормовская%20ул.%2C%20д.%2017%2C%20к.%208)")</f>
        <v>https://disk.yandex.ru/client/disk/Осмотры%20объектов%20АНО%20СМГ/261.%20ДОУ%20на%20300%20мест%2C%20р-н%20Выхино-Жулебино%2C%20мкр.%20136%20(со%20сносом%20нежилого%20здания%20по%20адресу%3A%20Сормовская%20ул.%2C%20д.%2017%2C%20к.%208)</v>
      </c>
      <c r="J195" s="50">
        <f>IFERROR(__xludf.DUMMYFUNCTION("""COMPUTED_VALUE"""),96.350315)</f>
        <v>96.350315</v>
      </c>
      <c r="K195" s="58">
        <f>IFERROR(__xludf.DUMMYFUNCTION("""COMPUTED_VALUE"""),45967.0)</f>
        <v>45967</v>
      </c>
      <c r="L195" s="6">
        <v>7.0</v>
      </c>
      <c r="M195" s="52">
        <v>45974.0</v>
      </c>
      <c r="N195" s="53" t="s">
        <v>668</v>
      </c>
      <c r="O195" s="19" t="s">
        <v>784</v>
      </c>
      <c r="P195" s="6"/>
      <c r="Q195" s="6" t="str">
        <f t="shared" si="1"/>
        <v>#N/A</v>
      </c>
      <c r="R195" s="6"/>
    </row>
    <row r="196" hidden="1">
      <c r="A196" s="31" t="str">
        <f>IFERROR(__xludf.DUMMYFUNCTION("""COMPUTED_VALUE"""),"178")</f>
        <v>178</v>
      </c>
      <c r="B196" s="14" t="str">
        <f>IFERROR(__xludf.DUMMYFUNCTION("""COMPUTED_VALUE"""),"АИП-25")</f>
        <v>АИП-25</v>
      </c>
      <c r="C196" s="14" t="str">
        <f>IFERROR(__xludf.DUMMYFUNCTION("""COMPUTED_VALUE"""),"ОКС")</f>
        <v>ОКС</v>
      </c>
      <c r="D196" s="15"/>
      <c r="E196" s="14" t="str">
        <f>IFERROR(__xludf.DUMMYFUNCTION("""COMPUTED_VALUE"""),"Административное здание, 2-я ул. Машиностроения, д. 3 район Южнопортовый, 2-я ул. Машиностроения, д. 3")</f>
        <v>Административное здание, 2-я ул. Машиностроения, д. 3 район Южнопортовый, 2-я ул. Машиностроения, д. 3</v>
      </c>
      <c r="F196" s="25" t="str">
        <f>IFERROR(__xludf.DUMMYFUNCTION("""COMPUTED_VALUE"""),"55.711427")</f>
        <v>55.711427</v>
      </c>
      <c r="G196" s="6" t="str">
        <f>IFERROR(__xludf.DUMMYFUNCTION("""COMPUTED_VALUE"""),"37.669099")</f>
        <v>37.669099</v>
      </c>
      <c r="H196" s="18" t="str">
        <f>IFERROR(__xludf.DUMMYFUNCTION("""COMPUTED_VALUE"""),"https://docs.google.com/spreadsheets/d/19THEBTE9q0fhN2eApZr6BgenIvLGh0AckaYxHQfHk5w/edit?gid=1120669271#gid=1120669271")</f>
        <v>https://docs.google.com/spreadsheets/d/19THEBTE9q0fhN2eApZr6BgenIvLGh0AckaYxHQfHk5w/edit?gid=1120669271#gid=1120669271</v>
      </c>
      <c r="I196" s="19" t="str">
        <f>IFERROR(__xludf.DUMMYFUNCTION("""COMPUTED_VALUE"""),"https://disk.yandex.ru/client/disk/Осмотры%20объектов%20АНО%20СМГ/178.%20Административное%20здание%20по%20адресу%3A%202-я%20ул.%20Машиностроения%2C%20д.%203%2C%20район%20Южнопортовый")</f>
        <v>https://disk.yandex.ru/client/disk/Осмотры%20объектов%20АНО%20СМГ/178.%20Административное%20здание%20по%20адресу%3A%202-я%20ул.%20Машиностроения%2C%20д.%203%2C%20район%20Южнопортовый</v>
      </c>
      <c r="J196" s="50">
        <f>IFERROR(__xludf.DUMMYFUNCTION("""COMPUTED_VALUE"""),99.8175)</f>
        <v>99.8175</v>
      </c>
      <c r="K196" s="58">
        <f>IFERROR(__xludf.DUMMYFUNCTION("""COMPUTED_VALUE"""),45972.0)</f>
        <v>45972</v>
      </c>
      <c r="L196" s="6">
        <v>7.0</v>
      </c>
      <c r="M196" s="52">
        <v>45979.0</v>
      </c>
      <c r="N196" s="53" t="s">
        <v>652</v>
      </c>
      <c r="O196" s="19" t="s">
        <v>785</v>
      </c>
      <c r="P196" s="6"/>
      <c r="Q196" s="6" t="str">
        <f t="shared" si="1"/>
        <v>#N/A</v>
      </c>
      <c r="R196" s="6"/>
    </row>
    <row r="197" hidden="1">
      <c r="A197" s="31" t="str">
        <f>IFERROR(__xludf.DUMMYFUNCTION("""COMPUTED_VALUE"""),"236")</f>
        <v>236</v>
      </c>
      <c r="B197" s="14" t="str">
        <f>IFERROR(__xludf.DUMMYFUNCTION("""COMPUTED_VALUE"""),"АИП-25")</f>
        <v>АИП-25</v>
      </c>
      <c r="C197" s="14" t="str">
        <f>IFERROR(__xludf.DUMMYFUNCTION("""COMPUTED_VALUE"""),"ОКС")</f>
        <v>ОКС</v>
      </c>
      <c r="D197" s="15"/>
      <c r="E197" s="14" t="str">
        <f>IFERROR(__xludf.DUMMYFUNCTION("""COMPUTED_VALUE"""),"Жилая застройка с инженерными коммуникациями и благоустройством, р-н Раменки, пр-кт Вернадского, влд.12Б 5 этап - 6-9 корпус пр-кт Вернадского, вл.12Б 5 этап - 6-9 корпус")</f>
        <v>Жилая застройка с инженерными коммуникациями и благоустройством, р-н Раменки, пр-кт Вернадского, влд.12Б 5 этап - 6-9 корпус пр-кт Вернадского, вл.12Б 5 этап - 6-9 корпус</v>
      </c>
      <c r="F197" s="25" t="str">
        <f>IFERROR(__xludf.DUMMYFUNCTION("""COMPUTED_VALUE"""),"55.688485")</f>
        <v>55.688485</v>
      </c>
      <c r="G197" s="6" t="str">
        <f>IFERROR(__xludf.DUMMYFUNCTION("""COMPUTED_VALUE"""),"37.509762")</f>
        <v>37.509762</v>
      </c>
      <c r="H197" s="18" t="str">
        <f>IFERROR(__xludf.DUMMYFUNCTION("""COMPUTED_VALUE"""),"https://docs.google.com/spreadsheets/d/19THEBTE9q0fhN2eApZr6BgenIvLGh0AckaYxHQfHk5w/edit?gid=920768533#gid=920768533")</f>
        <v>https://docs.google.com/spreadsheets/d/19THEBTE9q0fhN2eApZr6BgenIvLGh0AckaYxHQfHk5w/edit?gid=920768533#gid=920768533</v>
      </c>
      <c r="I197" s="19" t="str">
        <f>IFERROR(__xludf.DUMMYFUNCTION("""COMPUTED_VALUE"""),"https://disk.yandex.ru/client/disk/Осмотры%20объектов%20АНО%20СМГ/236.%20пр-т%20Вернадского%2012б%20Жилая%20застройка%20Корп.6-9")</f>
        <v>https://disk.yandex.ru/client/disk/Осмотры%20объектов%20АНО%20СМГ/236.%20пр-т%20Вернадского%2012б%20Жилая%20застройка%20Корп.6-9</v>
      </c>
      <c r="J197" s="50">
        <f>IFERROR(__xludf.DUMMYFUNCTION("""COMPUTED_VALUE"""),100.0)</f>
        <v>100</v>
      </c>
      <c r="K197" s="58">
        <f>IFERROR(__xludf.DUMMYFUNCTION("""COMPUTED_VALUE"""),45968.0)</f>
        <v>45968</v>
      </c>
      <c r="L197" s="6" t="s">
        <v>654</v>
      </c>
      <c r="M197" s="52" t="s">
        <v>655</v>
      </c>
      <c r="N197" s="53" t="s">
        <v>656</v>
      </c>
      <c r="O197" s="19" t="s">
        <v>786</v>
      </c>
      <c r="P197" s="6"/>
      <c r="Q197" s="6" t="str">
        <f t="shared" si="1"/>
        <v>#N/A</v>
      </c>
      <c r="R197" s="6"/>
    </row>
    <row r="198" hidden="1">
      <c r="A198" s="31" t="str">
        <f>IFERROR(__xludf.DUMMYFUNCTION("""COMPUTED_VALUE"""),"252")</f>
        <v>252</v>
      </c>
      <c r="B198" s="14" t="str">
        <f>IFERROR(__xludf.DUMMYFUNCTION("""COMPUTED_VALUE"""),"АИП-25")</f>
        <v>АИП-25</v>
      </c>
      <c r="C198" s="14" t="str">
        <f>IFERROR(__xludf.DUMMYFUNCTION("""COMPUTED_VALUE"""),"ОКС")</f>
        <v>ОКС</v>
      </c>
      <c r="D198" s="15"/>
      <c r="E198" s="14" t="str">
        <f>IFERROR(__xludf.DUMMYFUNCTION("""COMPUTED_VALUE"""),"ММК. Здание апарт-отеля для участников ММК,  территория инновационного центра Сколково, ул. Большой бульвар, д. 56  территории инновационного центра «Сколково»,
ул. Большой бульвар, д. 56")</f>
        <v>ММК. Здание апарт-отеля для участников ММК,  территория инновационного центра Сколково, ул. Большой бульвар, д. 56  территории инновационного центра «Сколково»,
ул. Большой бульвар, д. 56</v>
      </c>
      <c r="F198" s="25" t="str">
        <f>IFERROR(__xludf.DUMMYFUNCTION("""COMPUTED_VALUE"""),"55.682286")</f>
        <v>55.682286</v>
      </c>
      <c r="G198" s="6" t="str">
        <f>IFERROR(__xludf.DUMMYFUNCTION("""COMPUTED_VALUE"""),"37.342829")</f>
        <v>37.342829</v>
      </c>
      <c r="H198" s="18" t="str">
        <f>IFERROR(__xludf.DUMMYFUNCTION("""COMPUTED_VALUE"""),"https://docs.google.com/spreadsheets/d/19THEBTE9q0fhN2eApZr6BgenIvLGh0AckaYxHQfHk5w/edit?gid=908182805#gid=908182805")</f>
        <v>https://docs.google.com/spreadsheets/d/19THEBTE9q0fhN2eApZr6BgenIvLGh0AckaYxHQfHk5w/edit?gid=908182805#gid=908182805</v>
      </c>
      <c r="I198" s="19" t="str">
        <f>IFERROR(__xludf.DUMMYFUNCTION("""COMPUTED_VALUE"""),"https://disk.yandex.ru/client/disk/Осмотры%20объектов%20АНО%20СМГ/252.%20Аппарт%20Отель%2C%20Большой%20бульвар%2053")</f>
        <v>https://disk.yandex.ru/client/disk/Осмотры%20объектов%20АНО%20СМГ/252.%20Аппарт%20Отель%2C%20Большой%20бульвар%2053</v>
      </c>
      <c r="J198" s="50">
        <f>IFERROR(__xludf.DUMMYFUNCTION("""COMPUTED_VALUE"""),89.28499499999998)</f>
        <v>89.284995</v>
      </c>
      <c r="K198" s="58">
        <f>IFERROR(__xludf.DUMMYFUNCTION("""COMPUTED_VALUE"""),45971.0)</f>
        <v>45971</v>
      </c>
      <c r="L198" s="6">
        <v>14.0</v>
      </c>
      <c r="M198" s="52">
        <v>45985.0</v>
      </c>
      <c r="N198" s="53" t="s">
        <v>711</v>
      </c>
      <c r="O198" s="19" t="s">
        <v>787</v>
      </c>
      <c r="P198" s="6"/>
      <c r="Q198" s="6" t="str">
        <f t="shared" si="1"/>
        <v>#N/A</v>
      </c>
      <c r="R198" s="6"/>
    </row>
    <row r="199" hidden="1">
      <c r="A199" s="31" t="str">
        <f>IFERROR(__xludf.DUMMYFUNCTION("""COMPUTED_VALUE"""),"255")</f>
        <v>255</v>
      </c>
      <c r="B199" s="14" t="str">
        <f>IFERROR(__xludf.DUMMYFUNCTION("""COMPUTED_VALUE"""),"АИП-25")</f>
        <v>АИП-25</v>
      </c>
      <c r="C199" s="14" t="str">
        <f>IFERROR(__xludf.DUMMYFUNCTION("""COMPUTED_VALUE"""),"ОКС")</f>
        <v>ОКС</v>
      </c>
      <c r="D199" s="15"/>
      <c r="E199" s="14" t="str">
        <f>IFERROR(__xludf.DUMMYFUNCTION("""COMPUTED_VALUE"""),"ММК-Операционно-реанимационный корпус МГОБ № 62 территория инновационного центра «Сколково»,
ул. Большой бульвар, д. 69 ")</f>
        <v>ММК-Операционно-реанимационный корпус МГОБ № 62 территория инновационного центра «Сколково»,
ул. Большой бульвар, д. 69 </v>
      </c>
      <c r="F199" s="25" t="str">
        <f>IFERROR(__xludf.DUMMYFUNCTION("""COMPUTED_VALUE"""),"55.681995")</f>
        <v>55.681995</v>
      </c>
      <c r="G199" s="6" t="str">
        <f>IFERROR(__xludf.DUMMYFUNCTION("""COMPUTED_VALUE"""),"37.339417")</f>
        <v>37.339417</v>
      </c>
      <c r="H199" s="18" t="str">
        <f>IFERROR(__xludf.DUMMYFUNCTION("""COMPUTED_VALUE"""),"https://docs.google.com/spreadsheets/d/19THEBTE9q0fhN2eApZr6BgenIvLGh0AckaYxHQfHk5w/edit?gid=1311899156#gid=1311899156")</f>
        <v>https://docs.google.com/spreadsheets/d/19THEBTE9q0fhN2eApZr6BgenIvLGh0AckaYxHQfHk5w/edit?gid=1311899156#gid=1311899156</v>
      </c>
      <c r="I199" s="19" t="str">
        <f>IFERROR(__xludf.DUMMYFUNCTION("""COMPUTED_VALUE"""),"https://disk.yandex.ru/client/disk/Осмотры%20объектов%20АНО%20СМГ/255.%20Опер%20Блок%2062%20больница%2C%20Большой%20бул%2069")</f>
        <v>https://disk.yandex.ru/client/disk/Осмотры%20объектов%20АНО%20СМГ/255.%20Опер%20Блок%2062%20больница%2C%20Большой%20бул%2069</v>
      </c>
      <c r="J199" s="50">
        <f>IFERROR(__xludf.DUMMYFUNCTION("""COMPUTED_VALUE"""),83.51981249999999)</f>
        <v>83.5198125</v>
      </c>
      <c r="K199" s="58">
        <f>IFERROR(__xludf.DUMMYFUNCTION("""COMPUTED_VALUE"""),45975.0)</f>
        <v>45975</v>
      </c>
      <c r="L199" s="6">
        <v>14.0</v>
      </c>
      <c r="M199" s="52">
        <v>45989.0</v>
      </c>
      <c r="N199" s="53" t="s">
        <v>711</v>
      </c>
      <c r="O199" s="19" t="s">
        <v>788</v>
      </c>
      <c r="P199" s="6"/>
      <c r="Q199" s="6" t="str">
        <f t="shared" si="1"/>
        <v>#N/A</v>
      </c>
      <c r="R199" s="6"/>
    </row>
    <row r="200" hidden="1">
      <c r="A200" s="31" t="str">
        <f>IFERROR(__xludf.DUMMYFUNCTION("""COMPUTED_VALUE"""),"253")</f>
        <v>253</v>
      </c>
      <c r="B200" s="14" t="str">
        <f>IFERROR(__xludf.DUMMYFUNCTION("""COMPUTED_VALUE"""),"АИП-25")</f>
        <v>АИП-25</v>
      </c>
      <c r="C200" s="14" t="str">
        <f>IFERROR(__xludf.DUMMYFUNCTION("""COMPUTED_VALUE"""),"ОКС")</f>
        <v>ОКС</v>
      </c>
      <c r="D200" s="15"/>
      <c r="E200" s="14" t="str">
        <f>IFERROR(__xludf.DUMMYFUNCTION("""COMPUTED_VALUE"""),"ММК - Амбулаторно-стационарный корпус МГОБ № 62 (ММЦ) территория инновационного центра «Сколково» 
ул. Большой бульвар, д. 67 ")</f>
        <v>ММК - Амбулаторно-стационарный корпус МГОБ № 62 (ММЦ) территория инновационного центра «Сколково» 
ул. Большой бульвар, д. 67 </v>
      </c>
      <c r="F200" s="25" t="str">
        <f>IFERROR(__xludf.DUMMYFUNCTION("""COMPUTED_VALUE"""),"55.681425")</f>
        <v>55.681425</v>
      </c>
      <c r="G200" s="6" t="str">
        <f>IFERROR(__xludf.DUMMYFUNCTION("""COMPUTED_VALUE"""),"37.341391")</f>
        <v>37.341391</v>
      </c>
      <c r="H200" s="18" t="str">
        <f>IFERROR(__xludf.DUMMYFUNCTION("""COMPUTED_VALUE"""),"https://docs.google.com/spreadsheets/d/19THEBTE9q0fhN2eApZr6BgenIvLGh0AckaYxHQfHk5w/edit?gid=242811066#gid=242811066")</f>
        <v>https://docs.google.com/spreadsheets/d/19THEBTE9q0fhN2eApZr6BgenIvLGh0AckaYxHQfHk5w/edit?gid=242811066#gid=242811066</v>
      </c>
      <c r="I200" s="19" t="str">
        <f>IFERROR(__xludf.DUMMYFUNCTION("""COMPUTED_VALUE"""),"https://disk.yandex.ru/client/disk/Осмотры%20объектов%20АНО%20СМГ/253.%20МГОБ%2062%2C%20Большой%20бульвар%2068")</f>
        <v>https://disk.yandex.ru/client/disk/Осмотры%20объектов%20АНО%20СМГ/253.%20МГОБ%2062%2C%20Большой%20бульвар%2068</v>
      </c>
      <c r="J200" s="50">
        <f>IFERROR(__xludf.DUMMYFUNCTION("""COMPUTED_VALUE"""),92.42303500000001)</f>
        <v>92.423035</v>
      </c>
      <c r="K200" s="58">
        <f>IFERROR(__xludf.DUMMYFUNCTION("""COMPUTED_VALUE"""),45975.0)</f>
        <v>45975</v>
      </c>
      <c r="L200" s="6">
        <v>14.0</v>
      </c>
      <c r="M200" s="52">
        <v>45989.0</v>
      </c>
      <c r="N200" s="53" t="s">
        <v>711</v>
      </c>
      <c r="O200" s="19" t="s">
        <v>788</v>
      </c>
      <c r="P200" s="6"/>
      <c r="Q200" s="6" t="str">
        <f t="shared" si="1"/>
        <v>#N/A</v>
      </c>
      <c r="R200" s="6"/>
    </row>
    <row r="201" hidden="1">
      <c r="A201" s="31" t="str">
        <f>IFERROR(__xludf.DUMMYFUNCTION("""COMPUTED_VALUE"""),"1072")</f>
        <v>1072</v>
      </c>
      <c r="B201" s="14" t="str">
        <f>IFERROR(__xludf.DUMMYFUNCTION("""COMPUTED_VALUE"""),"АИП-25")</f>
        <v>АИП-25</v>
      </c>
      <c r="C201" s="14" t="str">
        <f>IFERROR(__xludf.DUMMYFUNCTION("""COMPUTED_VALUE"""),"ОКС+УДС")</f>
        <v>ОКС+УДС</v>
      </c>
      <c r="D201" s="15"/>
      <c r="E201" s="14" t="str">
        <f>IFERROR(__xludf.DUMMYFUNCTION("""COMPUTED_VALUE"""),"Строительство подъездной автомобильной дороги к садоводческим некоммерческим объединениям: СНТ «Волна-1», СНТ «Энергетик», СНТ «Березы» между р.п. Михнево и с. Васильевское г.о. Ступино Московской обл.  г.о. Ступино, между р.п. Михнево и с. Васильевское")</f>
        <v>Строительство подъездной автомобильной дороги к садоводческим некоммерческим объединениям: СНТ «Волна-1», СНТ «Энергетик», СНТ «Березы» между р.п. Михнево и с. Васильевское г.о. Ступино Московской обл.  г.о. Ступино, между р.п. Михнево и с. Васильевское</v>
      </c>
      <c r="F201" s="25" t="str">
        <f>IFERROR(__xludf.DUMMYFUNCTION("""COMPUTED_VALUE"""),"55.125728")</f>
        <v>55.125728</v>
      </c>
      <c r="G201" s="6" t="str">
        <f>IFERROR(__xludf.DUMMYFUNCTION("""COMPUTED_VALUE"""),"38.062231")</f>
        <v>38.062231</v>
      </c>
      <c r="H201" s="18" t="str">
        <f>IFERROR(__xludf.DUMMYFUNCTION("""COMPUTED_VALUE"""),"https://docs.google.com/spreadsheets/d/19THEBTE9q0fhN2eApZr6BgenIvLGh0AckaYxHQfHk5w/edit?gid=1798082760#gid=1798082760")</f>
        <v>https://docs.google.com/spreadsheets/d/19THEBTE9q0fhN2eApZr6BgenIvLGh0AckaYxHQfHk5w/edit?gid=1798082760#gid=1798082760</v>
      </c>
      <c r="I201" s="19" t="str">
        <f>IFERROR(__xludf.DUMMYFUNCTION("""COMPUTED_VALUE"""),"https://disk.yandex.ru/client/disk/Осмотры%20объектов%20АНО%20СМГ/1072.%20Строительство%20подъездной%20автомобильной%20дороги%20к%20садоводческим%20некоммерческим%20объединениям%3A%20СНТ%20«Волна-1»%2C%20СНТ%20«Энергетик»%2C%20СНТ%20«Березы»%20между%20р.п"&amp;".%20Михнево%20и%20с.%20Васильевское%20г.о.%20Ступино%20Московской%20обл.")</f>
        <v>https://disk.yandex.ru/client/disk/Осмотры%20объектов%20АНО%20СМГ/1072.%20Строительство%20подъездной%20автомобильной%20дороги%20к%20садоводческим%20некоммерческим%20объединениям%3A%20СНТ%20«Волна-1»%2C%20СНТ%20«Энергетик»%2C%20СНТ%20«Березы»%20между%20р.п.%20Михнево%20и%20с.%20Васильевское%20г.о.%20Ступино%20Московской%20обл.</v>
      </c>
      <c r="J201" s="50">
        <f>IFERROR(__xludf.DUMMYFUNCTION("""COMPUTED_VALUE"""),100.0)</f>
        <v>100</v>
      </c>
      <c r="K201" s="58">
        <f>IFERROR(__xludf.DUMMYFUNCTION("""COMPUTED_VALUE"""),45894.0)</f>
        <v>45894</v>
      </c>
      <c r="L201" s="6" t="s">
        <v>654</v>
      </c>
      <c r="M201" s="52" t="s">
        <v>655</v>
      </c>
      <c r="N201" s="53" t="s">
        <v>656</v>
      </c>
      <c r="O201" s="19" t="s">
        <v>789</v>
      </c>
      <c r="P201" s="6"/>
      <c r="Q201" s="6" t="str">
        <f t="shared" si="1"/>
        <v>#N/A</v>
      </c>
      <c r="R201" s="6"/>
    </row>
    <row r="202" hidden="1">
      <c r="A202" s="70" t="str">
        <f>IFERROR(__xludf.DUMMYFUNCTION("""COMPUTED_VALUE"""),"1127д")</f>
        <v>1127д</v>
      </c>
      <c r="B202" s="14" t="str">
        <f>IFERROR(__xludf.DUMMYFUNCTION("""COMPUTED_VALUE"""),"АИП-25")</f>
        <v>АИП-25</v>
      </c>
      <c r="C202" s="14" t="str">
        <f>IFERROR(__xludf.DUMMYFUNCTION("""COMPUTED_VALUE"""),"ОКС+УДС")</f>
        <v>ОКС+УДС</v>
      </c>
      <c r="D202" s="15"/>
      <c r="E202" s="14" t="str">
        <f>IFERROR(__xludf.DUMMYFUNCTION("""COMPUTED_VALUE"""),"Строительство подъездной автомобильной дороги от д.Хоругвино до ассоциации садоводческих некоммерческих организаций ""Кочергино"" в Солнечногорском р-не Московской обл. от д Хоругвино до ассоциации садоводческих некоммерческих организаций ""Кочергино"" в "&amp;"Солнечногорском р-не Московской обл.")</f>
        <v>Строительство подъездной автомобильной дороги от д.Хоругвино до ассоциации садоводческих некоммерческих организаций "Кочергино" в Солнечногорском р-не Московской обл. от д Хоругвино до ассоциации садоводческих некоммерческих организаций "Кочергино" в Солнечногорском р-не Московской обл.</v>
      </c>
      <c r="F202" s="25" t="str">
        <f>IFERROR(__xludf.DUMMYFUNCTION("""COMPUTED_VALUE"""),"56.152394")</f>
        <v>56.152394</v>
      </c>
      <c r="G202" s="6" t="str">
        <f>IFERROR(__xludf.DUMMYFUNCTION("""COMPUTED_VALUE"""),"37.209396")</f>
        <v>37.209396</v>
      </c>
      <c r="H202" s="6"/>
      <c r="I202" s="6"/>
      <c r="J202" s="50">
        <f>IFERROR(__xludf.DUMMYFUNCTION("""COMPUTED_VALUE"""),99.7875)</f>
        <v>99.7875</v>
      </c>
      <c r="K202" s="58">
        <f>IFERROR(__xludf.DUMMYFUNCTION("""COMPUTED_VALUE"""),45909.0)</f>
        <v>45909</v>
      </c>
      <c r="L202" s="6">
        <v>7.0</v>
      </c>
      <c r="M202" s="52">
        <v>45916.0</v>
      </c>
      <c r="N202" s="53" t="s">
        <v>668</v>
      </c>
      <c r="O202" s="6" t="s">
        <v>790</v>
      </c>
      <c r="P202" s="6"/>
      <c r="Q202" s="6" t="str">
        <f t="shared" si="1"/>
        <v>#N/A</v>
      </c>
      <c r="R202" s="6"/>
    </row>
    <row r="203" hidden="1">
      <c r="A203" s="31" t="str">
        <f>IFERROR(__xludf.DUMMYFUNCTION("""COMPUTED_VALUE"""),"204д")</f>
        <v>204д</v>
      </c>
      <c r="B203" s="14" t="str">
        <f>IFERROR(__xludf.DUMMYFUNCTION("""COMPUTED_VALUE"""),"АИП-25")</f>
        <v>АИП-25</v>
      </c>
      <c r="C203" s="14" t="str">
        <f>IFERROR(__xludf.DUMMYFUNCTION("""COMPUTED_VALUE"""),"УДС")</f>
        <v>УДС</v>
      </c>
      <c r="D203" s="15"/>
      <c r="E203" s="14" t="str">
        <f>IFERROR(__xludf.DUMMYFUNCTION("""COMPUTED_VALUE"""),"Развитие улично-дорожной сети г.о.Троицк (1 этап). Этап 1.2 реконструкция ул.Заречная с организацией движения пассажирского транспорта г.Троицк")</f>
        <v>Развитие улично-дорожной сети г.о.Троицк (1 этап). Этап 1.2 реконструкция ул.Заречная с организацией движения пассажирского транспорта г.Троицк</v>
      </c>
      <c r="F203" s="25" t="str">
        <f>IFERROR(__xludf.DUMMYFUNCTION("""COMPUTED_VALUE"""),"#N/A")</f>
        <v>#N/A</v>
      </c>
      <c r="G203" s="6" t="str">
        <f>IFERROR(__xludf.DUMMYFUNCTION("""COMPUTED_VALUE"""),"#N/A")</f>
        <v>#N/A</v>
      </c>
      <c r="H203" s="6"/>
      <c r="I203" s="6"/>
      <c r="J203" s="50">
        <f>IFERROR(__xludf.DUMMYFUNCTION("""COMPUTED_VALUE"""),68.746785)</f>
        <v>68.746785</v>
      </c>
      <c r="K203" s="58">
        <f>IFERROR(__xludf.DUMMYFUNCTION("""COMPUTED_VALUE"""),45968.0)</f>
        <v>45968</v>
      </c>
      <c r="L203" s="6">
        <v>14.0</v>
      </c>
      <c r="M203" s="52">
        <v>45982.0</v>
      </c>
      <c r="N203" s="53" t="s">
        <v>692</v>
      </c>
      <c r="O203" s="6" t="s">
        <v>669</v>
      </c>
      <c r="P203" s="6"/>
      <c r="Q203" s="6" t="str">
        <f t="shared" si="1"/>
        <v>#N/A</v>
      </c>
      <c r="R203" s="6"/>
    </row>
    <row r="204" hidden="1">
      <c r="A204" s="31" t="str">
        <f>IFERROR(__xludf.DUMMYFUNCTION("""COMPUTED_VALUE"""),"1070")</f>
        <v>1070</v>
      </c>
      <c r="B204" s="14" t="str">
        <f>IFERROR(__xludf.DUMMYFUNCTION("""COMPUTED_VALUE"""),"АИП-25")</f>
        <v>АИП-25</v>
      </c>
      <c r="C204" s="14" t="str">
        <f>IFERROR(__xludf.DUMMYFUNCTION("""COMPUTED_VALUE"""),"ОКС")</f>
        <v>ОКС</v>
      </c>
      <c r="D204" s="15"/>
      <c r="E204" s="14" t="str">
        <f>IFERROR(__xludf.DUMMYFUNCTION("""COMPUTED_VALUE"""),"Реконструкция и строительство объектов Южно-Бутовских очистных сооружений район Южное Бутово, Проектируемый проезд № 1113, вл. 1 стр. 3")</f>
        <v>Реконструкция и строительство объектов Южно-Бутовских очистных сооружений район Южное Бутово, Проектируемый проезд № 1113, вл. 1 стр. 3</v>
      </c>
      <c r="F204" s="25" t="str">
        <f>IFERROR(__xludf.DUMMYFUNCTION("""COMPUTED_VALUE"""),"#N/A")</f>
        <v>#N/A</v>
      </c>
      <c r="G204" s="6" t="str">
        <f>IFERROR(__xludf.DUMMYFUNCTION("""COMPUTED_VALUE"""),"#N/A")</f>
        <v>#N/A</v>
      </c>
      <c r="H204" s="18" t="str">
        <f>IFERROR(__xludf.DUMMYFUNCTION("""COMPUTED_VALUE"""),"https://docs.google.com/spreadsheets/d/19THEBTE9q0fhN2eApZr6BgenIvLGh0AckaYxHQfHk5w/edit?gid=462766492#gid=462766492")</f>
        <v>https://docs.google.com/spreadsheets/d/19THEBTE9q0fhN2eApZr6BgenIvLGh0AckaYxHQfHk5w/edit?gid=462766492#gid=462766492</v>
      </c>
      <c r="I204" s="19" t="str">
        <f>IFERROR(__xludf.DUMMYFUNCTION("""COMPUTED_VALUE"""),"https://disk.yandex.ru/client/disk/Осмотры%20объектов%20АНО%20СМГ/1070.%20Очистные%20сооружения%20Южное%20Бутово.%20Рек.%20и%20стр.")</f>
        <v>https://disk.yandex.ru/client/disk/Осмотры%20объектов%20АНО%20СМГ/1070.%20Очистные%20сооружения%20Южное%20Бутово.%20Рек.%20и%20стр.</v>
      </c>
      <c r="J204" s="50">
        <f>IFERROR(__xludf.DUMMYFUNCTION("""COMPUTED_VALUE"""),99.94590000000001)</f>
        <v>99.9459</v>
      </c>
      <c r="K204" s="58">
        <f>IFERROR(__xludf.DUMMYFUNCTION("""COMPUTED_VALUE"""),45887.0)</f>
        <v>45887</v>
      </c>
      <c r="L204" s="6">
        <v>7.0</v>
      </c>
      <c r="M204" s="52">
        <v>45894.0</v>
      </c>
      <c r="N204" s="53" t="s">
        <v>652</v>
      </c>
      <c r="O204" s="19" t="s">
        <v>791</v>
      </c>
      <c r="P204" s="6"/>
      <c r="Q204" s="6" t="str">
        <f t="shared" si="1"/>
        <v>#N/A</v>
      </c>
      <c r="R204" s="6"/>
    </row>
    <row r="205" hidden="1">
      <c r="A205" s="31" t="str">
        <f>IFERROR(__xludf.DUMMYFUNCTION("""COMPUTED_VALUE"""),"1077 (этап 2)")</f>
        <v>1077 (этап 2)</v>
      </c>
      <c r="B205" s="14" t="str">
        <f>IFERROR(__xludf.DUMMYFUNCTION("""COMPUTED_VALUE"""),"АИП-25")</f>
        <v>АИП-25</v>
      </c>
      <c r="C205" s="14" t="str">
        <f>IFERROR(__xludf.DUMMYFUNCTION("""COMPUTED_VALUE"""),"ОКС")</f>
        <v>ОКС</v>
      </c>
      <c r="D205" s="15"/>
      <c r="E205" s="14" t="str">
        <f>IFERROR(__xludf.DUMMYFUNCTION("""COMPUTED_VALUE"""),"Реконструкция технологической части КНС-ТЗ1 и КНС-27 с перекладкой существующего канализационного коллектора (II этап)  г.о. Троицк, проспект Октябрьский, в районе площади Академической ")</f>
        <v>Реконструкция технологической части КНС-ТЗ1 и КНС-27 с перекладкой существующего канализационного коллектора (II этап)  г.о. Троицк, проспект Октябрьский, в районе площади Академической </v>
      </c>
      <c r="F205" s="25" t="str">
        <f>IFERROR(__xludf.DUMMYFUNCTION("""COMPUTED_VALUE"""),"55.486222")</f>
        <v>55.486222</v>
      </c>
      <c r="G205" s="6" t="str">
        <f>IFERROR(__xludf.DUMMYFUNCTION("""COMPUTED_VALUE"""),"37.300044")</f>
        <v>37.300044</v>
      </c>
      <c r="H205" s="18" t="str">
        <f>IFERROR(__xludf.DUMMYFUNCTION("""COMPUTED_VALUE"""),"https://docs.google.com/spreadsheets/d/19THEBTE9q0fhN2eApZr6BgenIvLGh0AckaYxHQfHk5w/edit?gid=2006507373#gid=2006507373")</f>
        <v>https://docs.google.com/spreadsheets/d/19THEBTE9q0fhN2eApZr6BgenIvLGh0AckaYxHQfHk5w/edit?gid=2006507373#gid=2006507373</v>
      </c>
      <c r="I205" s="19" t="str">
        <f>IFERROR(__xludf.DUMMYFUNCTION("""COMPUTED_VALUE"""),"https://disk.yandex.ru/client/disk/Осмотры%20объектов%20АНО%20СМГ/1077.%20Канализационный%20коллектор%20КНС-Т31%20и%20КНС-27.%20II%20этап.%20Реконструкция")</f>
        <v>https://disk.yandex.ru/client/disk/Осмотры%20объектов%20АНО%20СМГ/1077.%20Канализационный%20коллектор%20КНС-Т31%20и%20КНС-27.%20II%20этап.%20Реконструкция</v>
      </c>
      <c r="J205" s="50">
        <f>IFERROR(__xludf.DUMMYFUNCTION("""COMPUTED_VALUE"""),99.964)</f>
        <v>99.964</v>
      </c>
      <c r="K205" s="58">
        <f>IFERROR(__xludf.DUMMYFUNCTION("""COMPUTED_VALUE"""),45968.0)</f>
        <v>45968</v>
      </c>
      <c r="L205" s="6">
        <v>7.0</v>
      </c>
      <c r="M205" s="52">
        <v>45975.0</v>
      </c>
      <c r="N205" s="53" t="s">
        <v>701</v>
      </c>
      <c r="O205" s="19" t="s">
        <v>792</v>
      </c>
      <c r="P205" s="6"/>
      <c r="Q205" s="6" t="str">
        <f t="shared" si="1"/>
        <v>#N/A</v>
      </c>
      <c r="R205" s="6"/>
    </row>
    <row r="206" hidden="1">
      <c r="A206" s="31" t="str">
        <f>IFERROR(__xludf.DUMMYFUNCTION("""COMPUTED_VALUE"""),"1078 (этап 4)")</f>
        <v>1078 (этап 4)</v>
      </c>
      <c r="B206" s="14" t="str">
        <f>IFERROR(__xludf.DUMMYFUNCTION("""COMPUTED_VALUE"""),"АИП-25")</f>
        <v>АИП-25</v>
      </c>
      <c r="C206" s="14" t="str">
        <f>IFERROR(__xludf.DUMMYFUNCTION("""COMPUTED_VALUE"""),"ОКС")</f>
        <v>ОКС</v>
      </c>
      <c r="D206" s="60"/>
      <c r="E206" s="14" t="str">
        <f>IFERROR(__xludf.DUMMYFUNCTION("""COMPUTED_VALUE"""),"Реконструкция технологической части КНС-Т31
 и КНС-27 с перекладкой существующего канализационного коллектора (IV этап)  г.о. Троицк, 4 этап. вдоль ул. Академика Черенкова")</f>
        <v>Реконструкция технологической части КНС-Т31
 и КНС-27 с перекладкой существующего канализационного коллектора (IV этап)  г.о. Троицк, 4 этап. вдоль ул. Академика Черенкова</v>
      </c>
      <c r="F206" s="25" t="str">
        <f>IFERROR(__xludf.DUMMYFUNCTION("""COMPUTED_VALUE"""),"55.468127")</f>
        <v>55.468127</v>
      </c>
      <c r="G206" s="6" t="str">
        <f>IFERROR(__xludf.DUMMYFUNCTION("""COMPUTED_VALUE"""),"37.286689")</f>
        <v>37.286689</v>
      </c>
      <c r="H206" s="18" t="str">
        <f>IFERROR(__xludf.DUMMYFUNCTION("""COMPUTED_VALUE"""),"https://docs.google.com/spreadsheets/d/19THEBTE9q0fhN2eApZr6BgenIvLGh0AckaYxHQfHk5w/edit?gid=1232103407#gid=1232103407")</f>
        <v>https://docs.google.com/spreadsheets/d/19THEBTE9q0fhN2eApZr6BgenIvLGh0AckaYxHQfHk5w/edit?gid=1232103407#gid=1232103407</v>
      </c>
      <c r="I206" s="19" t="str">
        <f>IFERROR(__xludf.DUMMYFUNCTION("""COMPUTED_VALUE"""),"https://disk.yandex.ru/client/disk/Осмотры%20объектов%20АНО%20СМГ/1078.%20Канализационный%20коллектор%20КНС-Т31%20и%20КНС-27.%20IV%20этап.%20Реконструкция")</f>
        <v>https://disk.yandex.ru/client/disk/Осмотры%20объектов%20АНО%20СМГ/1078.%20Канализационный%20коллектор%20КНС-Т31%20и%20КНС-27.%20IV%20этап.%20Реконструкция</v>
      </c>
      <c r="J206" s="50">
        <f>IFERROR(__xludf.DUMMYFUNCTION("""COMPUTED_VALUE"""),89.745)</f>
        <v>89.745</v>
      </c>
      <c r="K206" s="58">
        <f>IFERROR(__xludf.DUMMYFUNCTION("""COMPUTED_VALUE"""),45968.0)</f>
        <v>45968</v>
      </c>
      <c r="L206" s="6">
        <v>14.0</v>
      </c>
      <c r="M206" s="52">
        <v>45982.0</v>
      </c>
      <c r="N206" s="53" t="s">
        <v>692</v>
      </c>
      <c r="O206" s="19" t="s">
        <v>793</v>
      </c>
      <c r="P206" s="6"/>
      <c r="Q206" s="6" t="str">
        <f t="shared" si="1"/>
        <v>#N/A</v>
      </c>
      <c r="R206" s="6"/>
    </row>
    <row r="207" hidden="1">
      <c r="A207" s="31" t="str">
        <f>IFERROR(__xludf.DUMMYFUNCTION("""COMPUTED_VALUE"""),"НД")</f>
        <v>НД</v>
      </c>
      <c r="B207" s="14" t="str">
        <f>IFERROR(__xludf.DUMMYFUNCTION("""COMPUTED_VALUE"""),"АИП-25")</f>
        <v>АИП-25</v>
      </c>
      <c r="C207" s="14" t="str">
        <f>IFERROR(__xludf.DUMMYFUNCTION("""COMPUTED_VALUE"""),"УДС")</f>
        <v>УДС</v>
      </c>
      <c r="D207" s="15"/>
      <c r="E207" s="14" t="str">
        <f>IFERROR(__xludf.DUMMYFUNCTION("""COMPUTED_VALUE"""),"Троицкая линия метрополитена на уч. ""Новаторская""- ""ЗИЛ"". Ст. Вавиловская район Ломоносовский")</f>
        <v>Троицкая линия метрополитена на уч. "Новаторская"- "ЗИЛ". Ст. Вавиловская район Ломоносовский</v>
      </c>
      <c r="F207" s="25" t="str">
        <f>IFERROR(__xludf.DUMMYFUNCTION("""COMPUTED_VALUE"""),"#N/A")</f>
        <v>#N/A</v>
      </c>
      <c r="G207" s="6" t="str">
        <f>IFERROR(__xludf.DUMMYFUNCTION("""COMPUTED_VALUE"""),"#N/A")</f>
        <v>#N/A</v>
      </c>
      <c r="H207" s="6"/>
      <c r="I207" s="6"/>
      <c r="J207" s="50"/>
      <c r="K207" s="58"/>
      <c r="L207" s="6">
        <v>30.0</v>
      </c>
      <c r="M207" s="52" t="s">
        <v>655</v>
      </c>
      <c r="N207" s="53" t="s">
        <v>698</v>
      </c>
      <c r="O207" s="6" t="s">
        <v>669</v>
      </c>
      <c r="P207" s="6"/>
      <c r="Q207" s="6" t="str">
        <f t="shared" si="1"/>
        <v>#N/A</v>
      </c>
      <c r="R207" s="6"/>
    </row>
    <row r="208" hidden="1">
      <c r="A208" s="31" t="str">
        <f>IFERROR(__xludf.DUMMYFUNCTION("""COMPUTED_VALUE"""),"НД")</f>
        <v>НД</v>
      </c>
      <c r="B208" s="14" t="str">
        <f>IFERROR(__xludf.DUMMYFUNCTION("""COMPUTED_VALUE"""),"Вне списка")</f>
        <v>Вне списка</v>
      </c>
      <c r="C208" s="14" t="str">
        <f>IFERROR(__xludf.DUMMYFUNCTION("""COMPUTED_VALUE"""),"УДС")</f>
        <v>УДС</v>
      </c>
      <c r="D208" s="15"/>
      <c r="E208" s="14" t="str">
        <f>IFERROR(__xludf.DUMMYFUNCTION("""COMPUTED_VALUE"""),"Технологическая часть транспортно-пересадочного узла на станции метро ""Вавиловская""; пешеходный переход Вавиловская развязка (ТТК) ЮЗАО")</f>
        <v>Технологическая часть транспортно-пересадочного узла на станции метро "Вавиловская"; пешеходный переход Вавиловская развязка (ТТК) ЮЗАО</v>
      </c>
      <c r="F208" s="25" t="str">
        <f>IFERROR(__xludf.DUMMYFUNCTION("""COMPUTED_VALUE"""),"#N/A")</f>
        <v>#N/A</v>
      </c>
      <c r="G208" s="6" t="str">
        <f>IFERROR(__xludf.DUMMYFUNCTION("""COMPUTED_VALUE"""),"#N/A")</f>
        <v>#N/A</v>
      </c>
      <c r="H208" s="6"/>
      <c r="I208" s="6"/>
      <c r="J208" s="50"/>
      <c r="K208" s="58"/>
      <c r="L208" s="6">
        <v>30.0</v>
      </c>
      <c r="M208" s="52" t="s">
        <v>655</v>
      </c>
      <c r="N208" s="53" t="s">
        <v>698</v>
      </c>
      <c r="O208" s="6" t="s">
        <v>683</v>
      </c>
      <c r="P208" s="6"/>
      <c r="Q208" s="6" t="str">
        <f t="shared" si="1"/>
        <v>#N/A</v>
      </c>
      <c r="R208" s="6"/>
    </row>
    <row r="209" hidden="1">
      <c r="A209" s="31" t="str">
        <f>IFERROR(__xludf.DUMMYFUNCTION("""COMPUTED_VALUE"""),"НД")</f>
        <v>НД</v>
      </c>
      <c r="B209" s="14" t="str">
        <f>IFERROR(__xludf.DUMMYFUNCTION("""COMPUTED_VALUE"""),"АИП-25")</f>
        <v>АИП-25</v>
      </c>
      <c r="C209" s="14" t="str">
        <f>IFERROR(__xludf.DUMMYFUNCTION("""COMPUTED_VALUE"""),"УДС")</f>
        <v>УДС</v>
      </c>
      <c r="D209" s="15"/>
      <c r="E209" s="14" t="str">
        <f>IFERROR(__xludf.DUMMYFUNCTION("""COMPUTED_VALUE"""),"Троицкая линия метрополитена на уч. ""Новаторская""- ""ЗИЛ"". Ст. Академическая район Академический")</f>
        <v>Троицкая линия метрополитена на уч. "Новаторская"- "ЗИЛ". Ст. Академическая район Академический</v>
      </c>
      <c r="F209" s="25" t="str">
        <f>IFERROR(__xludf.DUMMYFUNCTION("""COMPUTED_VALUE"""),"#N/A")</f>
        <v>#N/A</v>
      </c>
      <c r="G209" s="6" t="str">
        <f>IFERROR(__xludf.DUMMYFUNCTION("""COMPUTED_VALUE"""),"#N/A")</f>
        <v>#N/A</v>
      </c>
      <c r="H209" s="6"/>
      <c r="I209" s="6"/>
      <c r="J209" s="50"/>
      <c r="K209" s="58"/>
      <c r="L209" s="6">
        <v>30.0</v>
      </c>
      <c r="M209" s="52" t="s">
        <v>655</v>
      </c>
      <c r="N209" s="53" t="s">
        <v>698</v>
      </c>
      <c r="O209" s="6" t="s">
        <v>669</v>
      </c>
      <c r="P209" s="6"/>
      <c r="Q209" s="6" t="str">
        <f t="shared" si="1"/>
        <v>#N/A</v>
      </c>
      <c r="R209" s="6"/>
    </row>
    <row r="210" hidden="1">
      <c r="A210" s="31" t="str">
        <f>IFERROR(__xludf.DUMMYFUNCTION("""COMPUTED_VALUE"""),"НД")</f>
        <v>НД</v>
      </c>
      <c r="B210" s="14" t="str">
        <f>IFERROR(__xludf.DUMMYFUNCTION("""COMPUTED_VALUE"""),"АИП-25")</f>
        <v>АИП-25</v>
      </c>
      <c r="C210" s="14" t="str">
        <f>IFERROR(__xludf.DUMMYFUNCTION("""COMPUTED_VALUE"""),"УДС")</f>
        <v>УДС</v>
      </c>
      <c r="D210" s="15"/>
      <c r="E210" s="14" t="str">
        <f>IFERROR(__xludf.DUMMYFUNCTION("""COMPUTED_VALUE"""),"Троицкая линия метрополитена на уч. ""Новаторская""- ""ЗИЛ"". Ст. Крымская район Донской")</f>
        <v>Троицкая линия метрополитена на уч. "Новаторская"- "ЗИЛ". Ст. Крымская район Донской</v>
      </c>
      <c r="F210" s="25" t="str">
        <f>IFERROR(__xludf.DUMMYFUNCTION("""COMPUTED_VALUE"""),"#N/A")</f>
        <v>#N/A</v>
      </c>
      <c r="G210" s="6" t="str">
        <f>IFERROR(__xludf.DUMMYFUNCTION("""COMPUTED_VALUE"""),"#N/A")</f>
        <v>#N/A</v>
      </c>
      <c r="H210" s="6"/>
      <c r="I210" s="6"/>
      <c r="J210" s="50"/>
      <c r="K210" s="58"/>
      <c r="L210" s="6">
        <v>30.0</v>
      </c>
      <c r="M210" s="52" t="s">
        <v>655</v>
      </c>
      <c r="N210" s="53" t="s">
        <v>698</v>
      </c>
      <c r="O210" s="6" t="s">
        <v>669</v>
      </c>
      <c r="P210" s="6"/>
      <c r="Q210" s="6" t="str">
        <f t="shared" si="1"/>
        <v>#N/A</v>
      </c>
      <c r="R210" s="6"/>
    </row>
    <row r="211" hidden="1">
      <c r="A211" s="31" t="str">
        <f>IFERROR(__xludf.DUMMYFUNCTION("""COMPUTED_VALUE"""),"НД")</f>
        <v>НД</v>
      </c>
      <c r="B211" s="14" t="str">
        <f>IFERROR(__xludf.DUMMYFUNCTION("""COMPUTED_VALUE"""),"АИП-25")</f>
        <v>АИП-25</v>
      </c>
      <c r="C211" s="14" t="str">
        <f>IFERROR(__xludf.DUMMYFUNCTION("""COMPUTED_VALUE"""),"УДС")</f>
        <v>УДС</v>
      </c>
      <c r="D211" s="15"/>
      <c r="E211" s="14" t="str">
        <f>IFERROR(__xludf.DUMMYFUNCTION("""COMPUTED_VALUE"""),"Троицкая линия метрополитена на уч. ""Новаторская""- ""ЗИЛ"". Ст. ЗИЛ район Даниловский")</f>
        <v>Троицкая линия метрополитена на уч. "Новаторская"- "ЗИЛ". Ст. ЗИЛ район Даниловский</v>
      </c>
      <c r="F211" s="25" t="str">
        <f>IFERROR(__xludf.DUMMYFUNCTION("""COMPUTED_VALUE"""),"#N/A")</f>
        <v>#N/A</v>
      </c>
      <c r="G211" s="6" t="str">
        <f>IFERROR(__xludf.DUMMYFUNCTION("""COMPUTED_VALUE"""),"#N/A")</f>
        <v>#N/A</v>
      </c>
      <c r="H211" s="6"/>
      <c r="I211" s="6"/>
      <c r="J211" s="50"/>
      <c r="K211" s="58"/>
      <c r="L211" s="6">
        <v>30.0</v>
      </c>
      <c r="M211" s="52" t="s">
        <v>655</v>
      </c>
      <c r="N211" s="53" t="s">
        <v>698</v>
      </c>
      <c r="O211" s="6" t="s">
        <v>669</v>
      </c>
      <c r="P211" s="6"/>
      <c r="Q211" s="6" t="str">
        <f t="shared" si="1"/>
        <v>#N/A</v>
      </c>
      <c r="R211" s="6"/>
    </row>
    <row r="212" hidden="1">
      <c r="A212" s="31" t="str">
        <f>IFERROR(__xludf.DUMMYFUNCTION("""COMPUTED_VALUE"""),"1030")</f>
        <v>1030</v>
      </c>
      <c r="B212" s="14" t="str">
        <f>IFERROR(__xludf.DUMMYFUNCTION("""COMPUTED_VALUE"""),"АИП-25")</f>
        <v>АИП-25</v>
      </c>
      <c r="C212" s="14" t="str">
        <f>IFERROR(__xludf.DUMMYFUNCTION("""COMPUTED_VALUE"""),"УДС")</f>
        <v>УДС</v>
      </c>
      <c r="D212" s="15"/>
      <c r="E212" s="14" t="str">
        <f>IFERROR(__xludf.DUMMYFUNCTION("""COMPUTED_VALUE"""),"Троицкая линия ст. «ЗИЛ» Автозаводская, д. 23, стр. 788 (ЮАО)")</f>
        <v>Троицкая линия ст. «ЗИЛ» Автозаводская, д. 23, стр. 788 (ЮАО)</v>
      </c>
      <c r="F212" s="25" t="str">
        <f>IFERROR(__xludf.DUMMYFUNCTION("""COMPUTED_VALUE"""),"#N/A")</f>
        <v>#N/A</v>
      </c>
      <c r="G212" s="6" t="str">
        <f>IFERROR(__xludf.DUMMYFUNCTION("""COMPUTED_VALUE"""),"#N/A")</f>
        <v>#N/A</v>
      </c>
      <c r="H212" s="18" t="str">
        <f>IFERROR(__xludf.DUMMYFUNCTION("""COMPUTED_VALUE"""),"https://docs.google.com/spreadsheets/d/1jonEGMB3UFHiUZpltF1zURon8gYN7jGSHu-k9t5TXnA/edit?gid=224508896#gid=224508896")</f>
        <v>https://docs.google.com/spreadsheets/d/1jonEGMB3UFHiUZpltF1zURon8gYN7jGSHu-k9t5TXnA/edit?gid=224508896#gid=224508896</v>
      </c>
      <c r="I212" s="6" t="str">
        <f>IFERROR(__xludf.DUMMYFUNCTION("""COMPUTED_VALUE"""),"https://disk.yandex.ru/client/disk/Осмотры%20объектов%20АНО%20СМГ/1030.%20ст.м.%20Зил")</f>
        <v>https://disk.yandex.ru/client/disk/Осмотры%20объектов%20АНО%20СМГ/1030.%20ст.м.%20Зил</v>
      </c>
      <c r="J212" s="50">
        <f>IFERROR(__xludf.DUMMYFUNCTION("""COMPUTED_VALUE"""),85.90151999999999)</f>
        <v>85.90152</v>
      </c>
      <c r="K212" s="58">
        <f>IFERROR(__xludf.DUMMYFUNCTION("""COMPUTED_VALUE"""),45769.0)</f>
        <v>45769</v>
      </c>
      <c r="L212" s="6">
        <v>14.0</v>
      </c>
      <c r="M212" s="52">
        <v>45783.0</v>
      </c>
      <c r="N212" s="53" t="s">
        <v>668</v>
      </c>
      <c r="O212" s="6" t="s">
        <v>669</v>
      </c>
      <c r="P212" s="6"/>
      <c r="Q212" s="6" t="str">
        <f t="shared" si="1"/>
        <v>#N/A</v>
      </c>
      <c r="R212" s="6"/>
    </row>
    <row r="213" hidden="1">
      <c r="A213" s="31" t="str">
        <f>IFERROR(__xludf.DUMMYFUNCTION("""COMPUTED_VALUE"""),"250д (сводный)")</f>
        <v>250д (сводный)</v>
      </c>
      <c r="B213" s="14" t="str">
        <f>IFERROR(__xludf.DUMMYFUNCTION("""COMPUTED_VALUE"""),"АИП-25")</f>
        <v>АИП-25</v>
      </c>
      <c r="C213" s="14" t="str">
        <f>IFERROR(__xludf.DUMMYFUNCTION("""COMPUTED_VALUE"""),"УДС")</f>
        <v>УДС</v>
      </c>
      <c r="D213" s="15"/>
      <c r="E213" s="14" t="str">
        <f>IFERROR(__xludf.DUMMYFUNCTION("""COMPUTED_VALUE"""),"Строительство многоуровневых транспортных развязок на участке от МКАД до поселка Коммунарка. Участок от ул. Александры Монаховой до транспортной развязки с путепроводом на пересечении дороги СБВ
 ")</f>
        <v>Строительство многоуровневых транспортных развязок на участке от МКАД до поселка Коммунарка. Участок от ул. Александры Монаховой до транспортной развязки с путепроводом на пересечении дороги СБВ
 </v>
      </c>
      <c r="F213" s="25" t="str">
        <f>IFERROR(__xludf.DUMMYFUNCTION("""COMPUTED_VALUE"""),"#N/A")</f>
        <v>#N/A</v>
      </c>
      <c r="G213" s="6" t="str">
        <f>IFERROR(__xludf.DUMMYFUNCTION("""COMPUTED_VALUE"""),"#N/A")</f>
        <v>#N/A</v>
      </c>
      <c r="H213" s="6"/>
      <c r="I213" s="6"/>
      <c r="J213" s="50"/>
      <c r="K213" s="58"/>
      <c r="L213" s="6">
        <v>30.0</v>
      </c>
      <c r="M213" s="52" t="s">
        <v>655</v>
      </c>
      <c r="N213" s="53" t="s">
        <v>698</v>
      </c>
      <c r="O213" s="6"/>
      <c r="P213" s="6"/>
      <c r="Q213" s="6" t="str">
        <f t="shared" si="1"/>
        <v>#N/A</v>
      </c>
      <c r="R213" s="6"/>
    </row>
    <row r="214" hidden="1">
      <c r="A214" s="31" t="str">
        <f>IFERROR(__xludf.DUMMYFUNCTION("""COMPUTED_VALUE"""),"250д (этап 1)")</f>
        <v>250д (этап 1)</v>
      </c>
      <c r="B214" s="14"/>
      <c r="C214" s="14" t="str">
        <f>IFERROR(__xludf.DUMMYFUNCTION("""COMPUTED_VALUE"""),"УДС")</f>
        <v>УДС</v>
      </c>
      <c r="D214" s="15"/>
      <c r="E214" s="14" t="str">
        <f>IFERROR(__xludf.DUMMYFUNCTION("""COMPUTED_VALUE"""),"Транспортная развязка на ул. Ал. Монаховой 
этап 1 ул. Александры Монаховой")</f>
        <v>Транспортная развязка на ул. Ал. Монаховой 
этап 1 ул. Александры Монаховой</v>
      </c>
      <c r="F214" s="25" t="str">
        <f>IFERROR(__xludf.DUMMYFUNCTION("""COMPUTED_VALUE"""),"#N/A")</f>
        <v>#N/A</v>
      </c>
      <c r="G214" s="6" t="str">
        <f>IFERROR(__xludf.DUMMYFUNCTION("""COMPUTED_VALUE"""),"#N/A")</f>
        <v>#N/A</v>
      </c>
      <c r="H214" s="6"/>
      <c r="I214" s="6"/>
      <c r="J214" s="50"/>
      <c r="K214" s="58"/>
      <c r="L214" s="6">
        <v>30.0</v>
      </c>
      <c r="M214" s="52" t="s">
        <v>655</v>
      </c>
      <c r="N214" s="53" t="s">
        <v>698</v>
      </c>
      <c r="O214" s="6" t="s">
        <v>669</v>
      </c>
      <c r="P214" s="6"/>
      <c r="Q214" s="6" t="str">
        <f t="shared" si="1"/>
        <v>#N/A</v>
      </c>
      <c r="R214" s="6"/>
    </row>
    <row r="215" hidden="1">
      <c r="A215" s="31" t="str">
        <f>IFERROR(__xludf.DUMMYFUNCTION("""COMPUTED_VALUE"""),"250д (этап 2)")</f>
        <v>250д (этап 2)</v>
      </c>
      <c r="B215" s="14"/>
      <c r="C215" s="14" t="str">
        <f>IFERROR(__xludf.DUMMYFUNCTION("""COMPUTED_VALUE"""),"УДС")</f>
        <v>УДС</v>
      </c>
      <c r="D215" s="15"/>
      <c r="E215" s="14" t="str">
        <f>IFERROR(__xludf.DUMMYFUNCTION("""COMPUTED_VALUE"""),"Транспортная развязка на ул. Ал. Монаховой
(ЛОС) ул. Александры Монаховой")</f>
        <v>Транспортная развязка на ул. Ал. Монаховой
(ЛОС) ул. Александры Монаховой</v>
      </c>
      <c r="F215" s="25" t="str">
        <f>IFERROR(__xludf.DUMMYFUNCTION("""COMPUTED_VALUE"""),"#N/A")</f>
        <v>#N/A</v>
      </c>
      <c r="G215" s="6" t="str">
        <f>IFERROR(__xludf.DUMMYFUNCTION("""COMPUTED_VALUE"""),"#N/A")</f>
        <v>#N/A</v>
      </c>
      <c r="H215" s="6"/>
      <c r="I215" s="6"/>
      <c r="J215" s="50"/>
      <c r="K215" s="58"/>
      <c r="L215" s="6">
        <v>30.0</v>
      </c>
      <c r="M215" s="52" t="s">
        <v>655</v>
      </c>
      <c r="N215" s="53" t="s">
        <v>698</v>
      </c>
      <c r="O215" s="6" t="s">
        <v>669</v>
      </c>
      <c r="P215" s="6"/>
      <c r="Q215" s="6" t="str">
        <f t="shared" si="1"/>
        <v>#N/A</v>
      </c>
      <c r="R215" s="6"/>
    </row>
    <row r="216" hidden="1">
      <c r="A216" s="31" t="str">
        <f>IFERROR(__xludf.DUMMYFUNCTION("""COMPUTED_VALUE"""),"252д (этап 1)")</f>
        <v>252д (этап 1)</v>
      </c>
      <c r="B216" s="14" t="str">
        <f>IFERROR(__xludf.DUMMYFUNCTION("""COMPUTED_VALUE"""),"АИП-25")</f>
        <v>АИП-25</v>
      </c>
      <c r="C216" s="14" t="str">
        <f>IFERROR(__xludf.DUMMYFUNCTION("""COMPUTED_VALUE"""),"УДС")</f>
        <v>УДС</v>
      </c>
      <c r="D216" s="15"/>
      <c r="E216" s="14" t="str">
        <f>IFERROR(__xludf.DUMMYFUNCTION("""COMPUTED_VALUE"""),"Улично-дорожная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1 этап ул. Лобачевского, Киевское направление МЖД, Мичуринский проспект")</f>
        <v>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1 этап ул. Лобачевского, Киевское направление МЖД, Мичуринский проспект</v>
      </c>
      <c r="F216" s="25" t="str">
        <f>IFERROR(__xludf.DUMMYFUNCTION("""COMPUTED_VALUE"""),"#N/A")</f>
        <v>#N/A</v>
      </c>
      <c r="G216" s="6" t="str">
        <f>IFERROR(__xludf.DUMMYFUNCTION("""COMPUTED_VALUE"""),"#N/A")</f>
        <v>#N/A</v>
      </c>
      <c r="H216" s="6"/>
      <c r="I216" s="6"/>
      <c r="J216" s="50">
        <f>IFERROR(__xludf.DUMMYFUNCTION("""COMPUTED_VALUE"""),100.0)</f>
        <v>100</v>
      </c>
      <c r="K216" s="58">
        <f>IFERROR(__xludf.DUMMYFUNCTION("""COMPUTED_VALUE"""),45972.0)</f>
        <v>45972</v>
      </c>
      <c r="L216" s="6" t="s">
        <v>654</v>
      </c>
      <c r="M216" s="52" t="s">
        <v>655</v>
      </c>
      <c r="N216" s="53" t="s">
        <v>656</v>
      </c>
      <c r="O216" s="6" t="s">
        <v>794</v>
      </c>
      <c r="P216" s="6"/>
      <c r="Q216" s="6" t="str">
        <f t="shared" si="1"/>
        <v>#N/A</v>
      </c>
      <c r="R216" s="6"/>
    </row>
    <row r="217" hidden="1">
      <c r="A217" s="31" t="str">
        <f>IFERROR(__xludf.DUMMYFUNCTION("""COMPUTED_VALUE"""),"165д")</f>
        <v>165д</v>
      </c>
      <c r="B217" s="14" t="str">
        <f>IFERROR(__xludf.DUMMYFUNCTION("""COMPUTED_VALUE"""),"АИП-25")</f>
        <v>АИП-25</v>
      </c>
      <c r="C217" s="14" t="str">
        <f>IFERROR(__xludf.DUMMYFUNCTION("""COMPUTED_VALUE"""),"УДС")</f>
        <v>УДС</v>
      </c>
      <c r="D217" s="15"/>
      <c r="E217" s="14" t="str">
        <f>IFERROR(__xludf.DUMMYFUNCTION("""COMPUTED_VALUE"""),"Дорога, соединяющая ул. Авиаторов с ул. Родниковая. Этап 2.1.2. ОС вблизи ул. Авиаторов и ул. Родниковая")</f>
        <v>Дорога, соединяющая ул. Авиаторов с ул. Родниковая. Этап 2.1.2. ОС вблизи ул. Авиаторов и ул. Родниковая</v>
      </c>
      <c r="F217" s="25" t="str">
        <f>IFERROR(__xludf.DUMMYFUNCTION("""COMPUTED_VALUE"""),"#N/A")</f>
        <v>#N/A</v>
      </c>
      <c r="G217" s="6" t="str">
        <f>IFERROR(__xludf.DUMMYFUNCTION("""COMPUTED_VALUE"""),"#N/A")</f>
        <v>#N/A</v>
      </c>
      <c r="H217" s="6"/>
      <c r="I217" s="6"/>
      <c r="J217" s="50">
        <f>IFERROR(__xludf.DUMMYFUNCTION("""COMPUTED_VALUE"""),100.0)</f>
        <v>100</v>
      </c>
      <c r="K217" s="58">
        <f>IFERROR(__xludf.DUMMYFUNCTION("""COMPUTED_VALUE"""),45972.0)</f>
        <v>45972</v>
      </c>
      <c r="L217" s="6" t="s">
        <v>654</v>
      </c>
      <c r="M217" s="52" t="s">
        <v>655</v>
      </c>
      <c r="N217" s="53" t="s">
        <v>656</v>
      </c>
      <c r="O217" s="6" t="s">
        <v>795</v>
      </c>
      <c r="P217" s="6"/>
      <c r="Q217" s="6" t="str">
        <f t="shared" si="1"/>
        <v>#N/A</v>
      </c>
      <c r="R217" s="6"/>
    </row>
    <row r="218" hidden="1">
      <c r="A218" s="31" t="str">
        <f>IFERROR(__xludf.DUMMYFUNCTION("""COMPUTED_VALUE"""),"385д (сводный)")</f>
        <v>385д (сводный)</v>
      </c>
      <c r="B218" s="14" t="str">
        <f>IFERROR(__xludf.DUMMYFUNCTION("""COMPUTED_VALUE"""),"АИП-25")</f>
        <v>АИП-25</v>
      </c>
      <c r="C218" s="14" t="str">
        <f>IFERROR(__xludf.DUMMYFUNCTION("""COMPUTED_VALUE"""),"УДС")</f>
        <v>УДС</v>
      </c>
      <c r="D218" s="15"/>
      <c r="E218"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3.3, 3.2 (ЦТП, Трансф.подст) ")</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3.3, 3.2 (ЦТП, Трансф.подст) </v>
      </c>
      <c r="F218" s="25" t="str">
        <f>IFERROR(__xludf.DUMMYFUNCTION("""COMPUTED_VALUE"""),"#N/A")</f>
        <v>#N/A</v>
      </c>
      <c r="G218" s="6" t="str">
        <f>IFERROR(__xludf.DUMMYFUNCTION("""COMPUTED_VALUE"""),"#N/A")</f>
        <v>#N/A</v>
      </c>
      <c r="H218" s="6"/>
      <c r="I218" s="6"/>
      <c r="J218" s="50"/>
      <c r="K218" s="58"/>
      <c r="L218" s="6">
        <v>30.0</v>
      </c>
      <c r="M218" s="52" t="s">
        <v>655</v>
      </c>
      <c r="N218" s="53" t="s">
        <v>698</v>
      </c>
      <c r="O218" s="6"/>
      <c r="P218" s="6"/>
      <c r="Q218" s="6" t="str">
        <f t="shared" si="1"/>
        <v>#N/A</v>
      </c>
      <c r="R218" s="6"/>
    </row>
    <row r="219" hidden="1">
      <c r="A219" s="31" t="str">
        <f>IFERROR(__xludf.DUMMYFUNCTION("""COMPUTED_VALUE"""),"385д (сводный 2)")</f>
        <v>385д (сводный 2)</v>
      </c>
      <c r="B219" s="14" t="str">
        <f>IFERROR(__xludf.DUMMYFUNCTION("""COMPUTED_VALUE"""),"АИП-25")</f>
        <v>АИП-25</v>
      </c>
      <c r="C219" s="14" t="str">
        <f>IFERROR(__xludf.DUMMYFUNCTION("""COMPUTED_VALUE"""),"УДС")</f>
        <v>УДС</v>
      </c>
      <c r="D219" s="15"/>
      <c r="E219"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2.1.2, 2.1.3, 2.2 ")</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Этапы 2.1.2, 2.1.3, 2.2 </v>
      </c>
      <c r="F219" s="25" t="str">
        <f>IFERROR(__xludf.DUMMYFUNCTION("""COMPUTED_VALUE"""),"#N/A")</f>
        <v>#N/A</v>
      </c>
      <c r="G219" s="6" t="str">
        <f>IFERROR(__xludf.DUMMYFUNCTION("""COMPUTED_VALUE"""),"#N/A")</f>
        <v>#N/A</v>
      </c>
      <c r="H219" s="6"/>
      <c r="I219" s="6"/>
      <c r="J219" s="50"/>
      <c r="K219" s="58"/>
      <c r="L219" s="6">
        <v>30.0</v>
      </c>
      <c r="M219" s="52" t="s">
        <v>655</v>
      </c>
      <c r="N219" s="53" t="s">
        <v>698</v>
      </c>
      <c r="O219" s="6"/>
      <c r="P219" s="6"/>
      <c r="Q219" s="6" t="str">
        <f t="shared" si="1"/>
        <v>#N/A</v>
      </c>
      <c r="R219" s="6"/>
    </row>
    <row r="220" hidden="1">
      <c r="A220" s="31" t="str">
        <f>IFERROR(__xludf.DUMMYFUNCTION("""COMPUTED_VALUE"""),"385д (этап 2.1.2)")</f>
        <v>385д (этап 2.1.2)</v>
      </c>
      <c r="B220" s="14"/>
      <c r="C220" s="14" t="str">
        <f>IFERROR(__xludf.DUMMYFUNCTION("""COMPUTED_VALUE"""),"УДС")</f>
        <v>УДС</v>
      </c>
      <c r="D220" s="60"/>
      <c r="E220"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2.1.2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2.1.2 ЮВХ от ш. Энтузиастов до
 Рязанского пр-кта</v>
      </c>
      <c r="F220" s="25" t="str">
        <f>IFERROR(__xludf.DUMMYFUNCTION("""COMPUTED_VALUE"""),"#N/A")</f>
        <v>#N/A</v>
      </c>
      <c r="G220" s="6" t="str">
        <f>IFERROR(__xludf.DUMMYFUNCTION("""COMPUTED_VALUE"""),"#N/A")</f>
        <v>#N/A</v>
      </c>
      <c r="H220" s="6"/>
      <c r="I220" s="6"/>
      <c r="J220" s="50"/>
      <c r="K220" s="58"/>
      <c r="L220" s="6">
        <v>30.0</v>
      </c>
      <c r="M220" s="52" t="s">
        <v>655</v>
      </c>
      <c r="N220" s="53" t="s">
        <v>698</v>
      </c>
      <c r="O220" s="6" t="s">
        <v>796</v>
      </c>
      <c r="P220" s="6"/>
      <c r="Q220" s="6" t="str">
        <f t="shared" si="1"/>
        <v>#N/A</v>
      </c>
      <c r="R220" s="6"/>
    </row>
    <row r="221" hidden="1">
      <c r="A221" s="31" t="str">
        <f>IFERROR(__xludf.DUMMYFUNCTION("""COMPUTED_VALUE"""),"385д (этап 2.1.3)")</f>
        <v>385д (этап 2.1.3)</v>
      </c>
      <c r="B221" s="14"/>
      <c r="C221" s="14" t="str">
        <f>IFERROR(__xludf.DUMMYFUNCTION("""COMPUTED_VALUE"""),"УДС")</f>
        <v>УДС</v>
      </c>
      <c r="D221" s="15"/>
      <c r="E221"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2.1.3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2.1.3 ЮВХ от ш. Энтузиастов до
 Рязанского пр-кта</v>
      </c>
      <c r="F221" s="25" t="str">
        <f>IFERROR(__xludf.DUMMYFUNCTION("""COMPUTED_VALUE"""),"#N/A")</f>
        <v>#N/A</v>
      </c>
      <c r="G221" s="6" t="str">
        <f>IFERROR(__xludf.DUMMYFUNCTION("""COMPUTED_VALUE"""),"#N/A")</f>
        <v>#N/A</v>
      </c>
      <c r="H221" s="6"/>
      <c r="I221" s="6"/>
      <c r="J221" s="50"/>
      <c r="K221" s="58"/>
      <c r="L221" s="6">
        <v>30.0</v>
      </c>
      <c r="M221" s="52" t="s">
        <v>655</v>
      </c>
      <c r="N221" s="53" t="s">
        <v>698</v>
      </c>
      <c r="O221" s="6" t="s">
        <v>796</v>
      </c>
      <c r="P221" s="6"/>
      <c r="Q221" s="6" t="str">
        <f t="shared" si="1"/>
        <v>#N/A</v>
      </c>
      <c r="R221" s="6"/>
    </row>
    <row r="222" hidden="1">
      <c r="A222" s="31" t="str">
        <f>IFERROR(__xludf.DUMMYFUNCTION("""COMPUTED_VALUE"""),"385д (этап 2.2)")</f>
        <v>385д (этап 2.2)</v>
      </c>
      <c r="B222" s="14"/>
      <c r="C222" s="14" t="str">
        <f>IFERROR(__xludf.DUMMYFUNCTION("""COMPUTED_VALUE"""),"УДС")</f>
        <v>УДС</v>
      </c>
      <c r="D222" s="15"/>
      <c r="E222"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2.2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2.2 ЮВХ от ш. Энтузиастов до
 Рязанского пр-кта</v>
      </c>
      <c r="F222" s="25" t="str">
        <f>IFERROR(__xludf.DUMMYFUNCTION("""COMPUTED_VALUE"""),"#N/A")</f>
        <v>#N/A</v>
      </c>
      <c r="G222" s="6" t="str">
        <f>IFERROR(__xludf.DUMMYFUNCTION("""COMPUTED_VALUE"""),"#N/A")</f>
        <v>#N/A</v>
      </c>
      <c r="H222" s="6"/>
      <c r="I222" s="6"/>
      <c r="J222" s="50"/>
      <c r="K222" s="58"/>
      <c r="L222" s="6">
        <v>30.0</v>
      </c>
      <c r="M222" s="52" t="s">
        <v>655</v>
      </c>
      <c r="N222" s="53" t="s">
        <v>698</v>
      </c>
      <c r="O222" s="6" t="s">
        <v>797</v>
      </c>
      <c r="P222" s="6"/>
      <c r="Q222" s="6" t="str">
        <f t="shared" si="1"/>
        <v>#N/A</v>
      </c>
      <c r="R222" s="6"/>
    </row>
    <row r="223" hidden="1">
      <c r="A223" s="31" t="str">
        <f>IFERROR(__xludf.DUMMYFUNCTION("""COMPUTED_VALUE"""),"385д (этап 2.3.2)")</f>
        <v>385д (этап 2.3.2)</v>
      </c>
      <c r="B223" s="14"/>
      <c r="C223" s="14" t="str">
        <f>IFERROR(__xludf.DUMMYFUNCTION("""COMPUTED_VALUE"""),"УДС")</f>
        <v>УДС</v>
      </c>
      <c r="D223" s="15"/>
      <c r="E223"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2.3.2 (переустройство сетей РЖД) ЮВХ от ш. Энтузиастов до
 Рязанского пр"&amp;"-кта")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2.3.2 (переустройство сетей РЖД) ЮВХ от ш. Энтузиастов до
 Рязанского пр-кта</v>
      </c>
      <c r="F223" s="25" t="str">
        <f>IFERROR(__xludf.DUMMYFUNCTION("""COMPUTED_VALUE"""),"#N/A")</f>
        <v>#N/A</v>
      </c>
      <c r="G223" s="6" t="str">
        <f>IFERROR(__xludf.DUMMYFUNCTION("""COMPUTED_VALUE"""),"#N/A")</f>
        <v>#N/A</v>
      </c>
      <c r="H223" s="6"/>
      <c r="I223" s="6"/>
      <c r="J223" s="50"/>
      <c r="K223" s="58"/>
      <c r="L223" s="6">
        <v>30.0</v>
      </c>
      <c r="M223" s="52" t="s">
        <v>655</v>
      </c>
      <c r="N223" s="53" t="s">
        <v>698</v>
      </c>
      <c r="O223" s="6"/>
      <c r="P223" s="6"/>
      <c r="Q223" s="6" t="str">
        <f t="shared" si="1"/>
        <v>#N/A</v>
      </c>
      <c r="R223" s="6"/>
    </row>
    <row r="224" hidden="1">
      <c r="A224" s="31" t="str">
        <f>IFERROR(__xludf.DUMMYFUNCTION("""COMPUTED_VALUE"""),"385д (этап 3.3.2) по АИПу 3.2")</f>
        <v>385д (этап 3.3.2) по АИПу 3.2</v>
      </c>
      <c r="B224" s="14"/>
      <c r="C224" s="14" t="str">
        <f>IFERROR(__xludf.DUMMYFUNCTION("""COMPUTED_VALUE"""),"УДС")</f>
        <v>УДС</v>
      </c>
      <c r="D224" s="15"/>
      <c r="E224"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3.3.2 (инженерные коммуникации) ЮВХ от ш. Энтузиастов до
 Рязанского пр-"&amp;"кта")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3.3.2 (инженерные коммуникации) ЮВХ от ш. Энтузиастов до
 Рязанского пр-кта</v>
      </c>
      <c r="F224" s="25" t="str">
        <f>IFERROR(__xludf.DUMMYFUNCTION("""COMPUTED_VALUE"""),"#N/A")</f>
        <v>#N/A</v>
      </c>
      <c r="G224" s="6" t="str">
        <f>IFERROR(__xludf.DUMMYFUNCTION("""COMPUTED_VALUE"""),"#N/A")</f>
        <v>#N/A</v>
      </c>
      <c r="H224" s="6"/>
      <c r="I224" s="6"/>
      <c r="J224" s="50"/>
      <c r="K224" s="58"/>
      <c r="L224" s="6">
        <v>30.0</v>
      </c>
      <c r="M224" s="52" t="s">
        <v>655</v>
      </c>
      <c r="N224" s="53" t="s">
        <v>698</v>
      </c>
      <c r="O224" s="6" t="s">
        <v>797</v>
      </c>
      <c r="P224" s="6"/>
      <c r="Q224" s="6" t="str">
        <f t="shared" si="1"/>
        <v>#N/A</v>
      </c>
      <c r="R224" s="6"/>
    </row>
    <row r="225" hidden="1">
      <c r="A225" s="31" t="str">
        <f>IFERROR(__xludf.DUMMYFUNCTION("""COMPUTED_VALUE"""),"385д (этап 3.3.3) по АИПу 3.3")</f>
        <v>385д (этап 3.3.3) по АИПу 3.3</v>
      </c>
      <c r="B225" s="14"/>
      <c r="C225" s="14" t="str">
        <f>IFERROR(__xludf.DUMMYFUNCTION("""COMPUTED_VALUE"""),"УДС")</f>
        <v>УДС</v>
      </c>
      <c r="D225" s="15"/>
      <c r="E225" s="14" t="str">
        <f>IFERROR(__xludf.DUMMYFUNCTION("""COMPUTED_VALUE"""),"ЮВХ-1.Строительство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3.3.3
 ЮВХ от ш. Энтузиастов до
 Рязанского пр-кта")</f>
        <v>ЮВХ-1.Строительство многоуровневых
 транспортных развязок через Казанское и Горьковское направление Московской железной дороги на участке от ш. Энтузиастов до Рязанского пр-кта
 Этап 3.3.3
 ЮВХ от ш. Энтузиастов до
 Рязанского пр-кта</v>
      </c>
      <c r="F225" s="25" t="str">
        <f>IFERROR(__xludf.DUMMYFUNCTION("""COMPUTED_VALUE"""),"#N/A")</f>
        <v>#N/A</v>
      </c>
      <c r="G225" s="6" t="str">
        <f>IFERROR(__xludf.DUMMYFUNCTION("""COMPUTED_VALUE"""),"#N/A")</f>
        <v>#N/A</v>
      </c>
      <c r="H225" s="6"/>
      <c r="I225" s="6"/>
      <c r="J225" s="50"/>
      <c r="K225" s="58"/>
      <c r="L225" s="6">
        <v>30.0</v>
      </c>
      <c r="M225" s="52" t="s">
        <v>655</v>
      </c>
      <c r="N225" s="53" t="s">
        <v>698</v>
      </c>
      <c r="O225" s="6"/>
      <c r="P225" s="6"/>
      <c r="Q225" s="6" t="str">
        <f t="shared" si="1"/>
        <v>#N/A</v>
      </c>
      <c r="R225" s="6"/>
    </row>
    <row r="226" hidden="1">
      <c r="A226" s="31" t="str">
        <f>IFERROR(__xludf.DUMMYFUNCTION("""COMPUTED_VALUE"""),"нд")</f>
        <v>нд</v>
      </c>
      <c r="B226" s="14" t="str">
        <f>IFERROR(__xludf.DUMMYFUNCTION("""COMPUTED_VALUE"""),"Вне списка")</f>
        <v>Вне списка</v>
      </c>
      <c r="C226" s="14" t="str">
        <f>IFERROR(__xludf.DUMMYFUNCTION("""COMPUTED_VALUE"""),"УДС")</f>
        <v>УДС</v>
      </c>
      <c r="D226" s="15"/>
      <c r="E226" s="14" t="str">
        <f>IFERROR(__xludf.DUMMYFUNCTION("""COMPUTED_VALUE"""),"Строительство многоуровневых транспортных развязок через Казанское и Горьковское направление Московской железной дороги на участке от шоссе Энтузиастов до Рязанского пр-кта (ЮВХ-1) Этап 3  - ""Участок от 5-ой Кабельной улицы до СВХ"""". участок от шоссе Э"&amp;"нтузиастов до Рязанского проспекта")</f>
        <v>Строительство многоуровневых транспортных развязок через Казанское и Горьковское направление Московской железной дороги на участке от шоссе Энтузиастов до Рязанского пр-кта (ЮВХ-1) Этап 3  - "Участок от 5-ой Кабельной улицы до СВХ"". участок от шоссе Энтузиастов до Рязанского проспекта</v>
      </c>
      <c r="F226" s="25" t="str">
        <f>IFERROR(__xludf.DUMMYFUNCTION("""COMPUTED_VALUE"""),"#N/A")</f>
        <v>#N/A</v>
      </c>
      <c r="G226" s="6" t="str">
        <f>IFERROR(__xludf.DUMMYFUNCTION("""COMPUTED_VALUE"""),"#N/A")</f>
        <v>#N/A</v>
      </c>
      <c r="H226" s="6"/>
      <c r="I226" s="6"/>
      <c r="J226" s="50"/>
      <c r="K226" s="58"/>
      <c r="L226" s="6">
        <v>30.0</v>
      </c>
      <c r="M226" s="52" t="s">
        <v>655</v>
      </c>
      <c r="N226" s="53" t="s">
        <v>698</v>
      </c>
      <c r="O226" s="6"/>
      <c r="P226" s="6"/>
      <c r="Q226" s="6" t="str">
        <f t="shared" si="1"/>
        <v>#N/A</v>
      </c>
      <c r="R226" s="6"/>
    </row>
    <row r="227" hidden="1">
      <c r="A227" s="31" t="str">
        <f>IFERROR(__xludf.DUMMYFUNCTION("""COMPUTED_VALUE"""),"253д (сводный)")</f>
        <v>253д (сводный)</v>
      </c>
      <c r="B227" s="14" t="str">
        <f>IFERROR(__xludf.DUMMYFUNCTION("""COMPUTED_VALUE"""),"АИП-25")</f>
        <v>АИП-25</v>
      </c>
      <c r="C227" s="14" t="str">
        <f>IFERROR(__xludf.DUMMYFUNCTION("""COMPUTED_VALUE"""),"УДС")</f>
        <v>УДС</v>
      </c>
      <c r="D227" s="15"/>
      <c r="E227" s="14" t="str">
        <f>IFERROR(__xludf.DUMMYFUNCTION("""COMPUTED_VALUE"""),"Транспортная развязка на пересечении МКАД с Алтуфьевским ш. ")</f>
        <v>Транспортная развязка на пересечении МКАД с Алтуфьевским ш. </v>
      </c>
      <c r="F227" s="25" t="str">
        <f>IFERROR(__xludf.DUMMYFUNCTION("""COMPUTED_VALUE"""),"#N/A")</f>
        <v>#N/A</v>
      </c>
      <c r="G227" s="6" t="str">
        <f>IFERROR(__xludf.DUMMYFUNCTION("""COMPUTED_VALUE"""),"#N/A")</f>
        <v>#N/A</v>
      </c>
      <c r="H227" s="6"/>
      <c r="I227" s="6"/>
      <c r="J227" s="50"/>
      <c r="K227" s="58"/>
      <c r="L227" s="6">
        <v>30.0</v>
      </c>
      <c r="M227" s="52" t="s">
        <v>655</v>
      </c>
      <c r="N227" s="53" t="s">
        <v>698</v>
      </c>
      <c r="O227" s="6"/>
      <c r="P227" s="6"/>
      <c r="Q227" s="6" t="str">
        <f t="shared" si="1"/>
        <v>#N/A</v>
      </c>
      <c r="R227" s="6"/>
    </row>
    <row r="228" hidden="1">
      <c r="A228" s="31" t="str">
        <f>IFERROR(__xludf.DUMMYFUNCTION("""COMPUTED_VALUE"""),"253д (этап 1.1)")</f>
        <v>253д (этап 1.1)</v>
      </c>
      <c r="B228" s="14"/>
      <c r="C228" s="14" t="str">
        <f>IFERROR(__xludf.DUMMYFUNCTION("""COMPUTED_VALUE"""),"УДС")</f>
        <v>УДС</v>
      </c>
      <c r="D228" s="15"/>
      <c r="E228" s="14" t="str">
        <f>IFERROR(__xludf.DUMMYFUNCTION("""COMPUTED_VALUE"""),"Транспортная развязка на пересечении МКАД с Алтуфьевским ш. Этап 1.1. г. Москва, Алтуфьевское ш. (СВАО, М.О.)")</f>
        <v>Транспортная развязка на пересечении МКАД с Алтуфьевским ш. Этап 1.1. г. Москва, Алтуфьевское ш. (СВАО, М.О.)</v>
      </c>
      <c r="F228" s="25" t="str">
        <f>IFERROR(__xludf.DUMMYFUNCTION("""COMPUTED_VALUE"""),"#N/A")</f>
        <v>#N/A</v>
      </c>
      <c r="G228" s="6" t="str">
        <f>IFERROR(__xludf.DUMMYFUNCTION("""COMPUTED_VALUE"""),"#N/A")</f>
        <v>#N/A</v>
      </c>
      <c r="H228" s="6"/>
      <c r="I228" s="6"/>
      <c r="J228" s="50"/>
      <c r="K228" s="58"/>
      <c r="L228" s="6">
        <v>30.0</v>
      </c>
      <c r="M228" s="52" t="s">
        <v>655</v>
      </c>
      <c r="N228" s="53" t="s">
        <v>698</v>
      </c>
      <c r="O228" s="6"/>
      <c r="P228" s="6"/>
      <c r="Q228" s="6" t="str">
        <f t="shared" si="1"/>
        <v>#N/A</v>
      </c>
      <c r="R228" s="6"/>
    </row>
    <row r="229" hidden="1">
      <c r="A229" s="31" t="str">
        <f>IFERROR(__xludf.DUMMYFUNCTION("""COMPUTED_VALUE"""),"253д (этап 1.2)")</f>
        <v>253д (этап 1.2)</v>
      </c>
      <c r="B229" s="14"/>
      <c r="C229" s="14" t="str">
        <f>IFERROR(__xludf.DUMMYFUNCTION("""COMPUTED_VALUE"""),"УДС")</f>
        <v>УДС</v>
      </c>
      <c r="D229" s="15"/>
      <c r="E229" s="14" t="str">
        <f>IFERROR(__xludf.DUMMYFUNCTION("""COMPUTED_VALUE"""),"Транспортная развязка на пересечении МКАД с Алтуфьевским ш. Этап 1.2. г. Москва, Алтуфьевское ш. (СВАО, М.О.)")</f>
        <v>Транспортная развязка на пересечении МКАД с Алтуфьевским ш. Этап 1.2. г. Москва, Алтуфьевское ш. (СВАО, М.О.)</v>
      </c>
      <c r="F229" s="25" t="str">
        <f>IFERROR(__xludf.DUMMYFUNCTION("""COMPUTED_VALUE"""),"#N/A")</f>
        <v>#N/A</v>
      </c>
      <c r="G229" s="6" t="str">
        <f>IFERROR(__xludf.DUMMYFUNCTION("""COMPUTED_VALUE"""),"#N/A")</f>
        <v>#N/A</v>
      </c>
      <c r="H229" s="6"/>
      <c r="I229" s="6"/>
      <c r="J229" s="50"/>
      <c r="K229" s="58"/>
      <c r="L229" s="6">
        <v>30.0</v>
      </c>
      <c r="M229" s="52" t="s">
        <v>655</v>
      </c>
      <c r="N229" s="53" t="s">
        <v>698</v>
      </c>
      <c r="O229" s="6"/>
      <c r="P229" s="6"/>
      <c r="Q229" s="6" t="str">
        <f t="shared" si="1"/>
        <v>#N/A</v>
      </c>
      <c r="R229" s="6"/>
    </row>
    <row r="230" hidden="1">
      <c r="A230" s="31" t="str">
        <f>IFERROR(__xludf.DUMMYFUNCTION("""COMPUTED_VALUE"""),"391д (этап 1.3)")</f>
        <v>391д (этап 1.3)</v>
      </c>
      <c r="B230" s="14"/>
      <c r="C230" s="14" t="str">
        <f>IFERROR(__xludf.DUMMYFUNCTION("""COMPUTED_VALUE"""),"УДС")</f>
        <v>УДС</v>
      </c>
      <c r="D230" s="15"/>
      <c r="E230" s="14" t="str">
        <f>IFERROR(__xludf.DUMMYFUNCTION("""COMPUTED_VALUE"""),"Транспортная развязка на пересечении МКАД с Алтуфьевским ш. Этап 1.3. г. Москва, Алтуфьевское ш. (СВАО, М.О.)")</f>
        <v>Транспортная развязка на пересечении МКАД с Алтуфьевским ш. Этап 1.3. г. Москва, Алтуфьевское ш. (СВАО, М.О.)</v>
      </c>
      <c r="F230" s="25" t="str">
        <f>IFERROR(__xludf.DUMMYFUNCTION("""COMPUTED_VALUE"""),"#N/A")</f>
        <v>#N/A</v>
      </c>
      <c r="G230" s="6" t="str">
        <f>IFERROR(__xludf.DUMMYFUNCTION("""COMPUTED_VALUE"""),"#N/A")</f>
        <v>#N/A</v>
      </c>
      <c r="H230" s="6"/>
      <c r="I230" s="6"/>
      <c r="J230" s="50"/>
      <c r="K230" s="58"/>
      <c r="L230" s="6">
        <v>30.0</v>
      </c>
      <c r="M230" s="52" t="s">
        <v>655</v>
      </c>
      <c r="N230" s="53" t="s">
        <v>698</v>
      </c>
      <c r="O230" s="6"/>
      <c r="P230" s="6"/>
      <c r="Q230" s="6" t="str">
        <f t="shared" si="1"/>
        <v>#N/A</v>
      </c>
      <c r="R230" s="6"/>
    </row>
    <row r="231" hidden="1">
      <c r="A231" s="31" t="str">
        <f>IFERROR(__xludf.DUMMYFUNCTION("""COMPUTED_VALUE"""),"253д (этап 1.4)")</f>
        <v>253д (этап 1.4)</v>
      </c>
      <c r="B231" s="14"/>
      <c r="C231" s="14" t="str">
        <f>IFERROR(__xludf.DUMMYFUNCTION("""COMPUTED_VALUE"""),"УДС")</f>
        <v>УДС</v>
      </c>
      <c r="D231" s="15"/>
      <c r="E231" s="14" t="str">
        <f>IFERROR(__xludf.DUMMYFUNCTION("""COMPUTED_VALUE"""),"Транспортная развязка на пересечении МКАД с Алтуфьевским ш. Этап 1.4. г. Москва, Алтуфьевское ш. (СВАО, М.О.)")</f>
        <v>Транспортная развязка на пересечении МКАД с Алтуфьевским ш. Этап 1.4. г. Москва, Алтуфьевское ш. (СВАО, М.О.)</v>
      </c>
      <c r="F231" s="25" t="str">
        <f>IFERROR(__xludf.DUMMYFUNCTION("""COMPUTED_VALUE"""),"#N/A")</f>
        <v>#N/A</v>
      </c>
      <c r="G231" s="6" t="str">
        <f>IFERROR(__xludf.DUMMYFUNCTION("""COMPUTED_VALUE"""),"#N/A")</f>
        <v>#N/A</v>
      </c>
      <c r="H231" s="6"/>
      <c r="I231" s="6"/>
      <c r="J231" s="50"/>
      <c r="K231" s="58"/>
      <c r="L231" s="6">
        <v>30.0</v>
      </c>
      <c r="M231" s="52" t="s">
        <v>655</v>
      </c>
      <c r="N231" s="53" t="s">
        <v>698</v>
      </c>
      <c r="O231" s="6"/>
      <c r="P231" s="6"/>
      <c r="Q231" s="6" t="str">
        <f t="shared" si="1"/>
        <v>#N/A</v>
      </c>
      <c r="R231" s="6"/>
    </row>
    <row r="232" hidden="1">
      <c r="A232" s="31" t="str">
        <f>IFERROR(__xludf.DUMMYFUNCTION("""COMPUTED_VALUE"""),"253д (этап 1.5) ИСКЛЮЧЕН")</f>
        <v>253д (этап 1.5) ИСКЛЮЧЕН</v>
      </c>
      <c r="B232" s="14"/>
      <c r="C232" s="14" t="str">
        <f>IFERROR(__xludf.DUMMYFUNCTION("""COMPUTED_VALUE"""),"УДС")</f>
        <v>УДС</v>
      </c>
      <c r="D232" s="15"/>
      <c r="E232" s="14" t="str">
        <f>IFERROR(__xludf.DUMMYFUNCTION("""COMPUTED_VALUE"""),"Транспортная развязка на пересечении МКАД с Алтуфьевским ш. Этап 1.5. г. Москва, Алтуфьевское ш. (СВАО, М.О.)")</f>
        <v>Транспортная развязка на пересечении МКАД с Алтуфьевским ш. Этап 1.5. г. Москва, Алтуфьевское ш. (СВАО, М.О.)</v>
      </c>
      <c r="F232" s="25" t="str">
        <f>IFERROR(__xludf.DUMMYFUNCTION("""COMPUTED_VALUE"""),"#N/A")</f>
        <v>#N/A</v>
      </c>
      <c r="G232" s="6" t="str">
        <f>IFERROR(__xludf.DUMMYFUNCTION("""COMPUTED_VALUE"""),"#N/A")</f>
        <v>#N/A</v>
      </c>
      <c r="H232" s="6"/>
      <c r="I232" s="6"/>
      <c r="J232" s="50"/>
      <c r="K232" s="58"/>
      <c r="L232" s="6">
        <v>30.0</v>
      </c>
      <c r="M232" s="52" t="s">
        <v>655</v>
      </c>
      <c r="N232" s="53" t="s">
        <v>698</v>
      </c>
      <c r="O232" s="6"/>
      <c r="P232" s="6"/>
      <c r="Q232" s="6" t="str">
        <f t="shared" si="1"/>
        <v>#N/A</v>
      </c>
      <c r="R232" s="6"/>
    </row>
    <row r="233" hidden="1">
      <c r="A233" s="31" t="str">
        <f>IFERROR(__xludf.DUMMYFUNCTION("""COMPUTED_VALUE"""),"253д (этап 1.6) ИСКЛЮЧЕН")</f>
        <v>253д (этап 1.6) ИСКЛЮЧЕН</v>
      </c>
      <c r="B233" s="14"/>
      <c r="C233" s="14" t="str">
        <f>IFERROR(__xludf.DUMMYFUNCTION("""COMPUTED_VALUE"""),"УДС")</f>
        <v>УДС</v>
      </c>
      <c r="D233" s="15"/>
      <c r="E233" s="14" t="str">
        <f>IFERROR(__xludf.DUMMYFUNCTION("""COMPUTED_VALUE"""),"Транспортная развязка на пересечении МКАД с Алтуфьевским ш. Этап 1.6. г. Москва, Алтуфьевское ш. (СВАО, М.О.)")</f>
        <v>Транспортная развязка на пересечении МКАД с Алтуфьевским ш. Этап 1.6. г. Москва, Алтуфьевское ш. (СВАО, М.О.)</v>
      </c>
      <c r="F233" s="25" t="str">
        <f>IFERROR(__xludf.DUMMYFUNCTION("""COMPUTED_VALUE"""),"#N/A")</f>
        <v>#N/A</v>
      </c>
      <c r="G233" s="6" t="str">
        <f>IFERROR(__xludf.DUMMYFUNCTION("""COMPUTED_VALUE"""),"#N/A")</f>
        <v>#N/A</v>
      </c>
      <c r="H233" s="6"/>
      <c r="I233" s="6"/>
      <c r="J233" s="50"/>
      <c r="K233" s="58"/>
      <c r="L233" s="6">
        <v>30.0</v>
      </c>
      <c r="M233" s="52" t="s">
        <v>655</v>
      </c>
      <c r="N233" s="53" t="s">
        <v>698</v>
      </c>
      <c r="O233" s="6"/>
      <c r="P233" s="6"/>
      <c r="Q233" s="6" t="str">
        <f t="shared" si="1"/>
        <v>#N/A</v>
      </c>
      <c r="R233" s="6"/>
    </row>
    <row r="234" hidden="1">
      <c r="A234" s="31" t="str">
        <f>IFERROR(__xludf.DUMMYFUNCTION("""COMPUTED_VALUE"""),"253д (этап 2.1)")</f>
        <v>253д (этап 2.1)</v>
      </c>
      <c r="B234" s="14"/>
      <c r="C234" s="14" t="str">
        <f>IFERROR(__xludf.DUMMYFUNCTION("""COMPUTED_VALUE"""),"УДС")</f>
        <v>УДС</v>
      </c>
      <c r="D234" s="15"/>
      <c r="E234" s="14" t="str">
        <f>IFERROR(__xludf.DUMMYFUNCTION("""COMPUTED_VALUE"""),"Транспортная развязка на пересечении МКАД с Алтуфьевским ш. Этап 2.1. г. Москва, Алтуфьевское ш. (СВАО, М.О.)")</f>
        <v>Транспортная развязка на пересечении МКАД с Алтуфьевским ш. Этап 2.1. г. Москва, Алтуфьевское ш. (СВАО, М.О.)</v>
      </c>
      <c r="F234" s="25" t="str">
        <f>IFERROR(__xludf.DUMMYFUNCTION("""COMPUTED_VALUE"""),"#N/A")</f>
        <v>#N/A</v>
      </c>
      <c r="G234" s="6" t="str">
        <f>IFERROR(__xludf.DUMMYFUNCTION("""COMPUTED_VALUE"""),"#N/A")</f>
        <v>#N/A</v>
      </c>
      <c r="H234" s="6"/>
      <c r="I234" s="6"/>
      <c r="J234" s="50"/>
      <c r="K234" s="58"/>
      <c r="L234" s="6">
        <v>30.0</v>
      </c>
      <c r="M234" s="52" t="s">
        <v>655</v>
      </c>
      <c r="N234" s="53" t="s">
        <v>698</v>
      </c>
      <c r="O234" s="6"/>
      <c r="P234" s="6"/>
      <c r="Q234" s="6" t="str">
        <f t="shared" si="1"/>
        <v>#N/A</v>
      </c>
      <c r="R234" s="6"/>
    </row>
    <row r="235" hidden="1">
      <c r="A235" s="31" t="str">
        <f>IFERROR(__xludf.DUMMYFUNCTION("""COMPUTED_VALUE"""),"253д (этап 2.2)")</f>
        <v>253д (этап 2.2)</v>
      </c>
      <c r="B235" s="14"/>
      <c r="C235" s="14" t="str">
        <f>IFERROR(__xludf.DUMMYFUNCTION("""COMPUTED_VALUE"""),"УДС")</f>
        <v>УДС</v>
      </c>
      <c r="D235" s="15"/>
      <c r="E235" s="14" t="str">
        <f>IFERROR(__xludf.DUMMYFUNCTION("""COMPUTED_VALUE"""),"Транспортная развязка на пересечении МКАД с Алтуфьевским ш. Этап 2.2. г. Москва, Алтуфьевское ш. (СВАО, М.О.)")</f>
        <v>Транспортная развязка на пересечении МКАД с Алтуфьевским ш. Этап 2.2. г. Москва, Алтуфьевское ш. (СВАО, М.О.)</v>
      </c>
      <c r="F235" s="25" t="str">
        <f>IFERROR(__xludf.DUMMYFUNCTION("""COMPUTED_VALUE"""),"#N/A")</f>
        <v>#N/A</v>
      </c>
      <c r="G235" s="6" t="str">
        <f>IFERROR(__xludf.DUMMYFUNCTION("""COMPUTED_VALUE"""),"#N/A")</f>
        <v>#N/A</v>
      </c>
      <c r="H235" s="6"/>
      <c r="I235" s="6"/>
      <c r="J235" s="50"/>
      <c r="K235" s="58"/>
      <c r="L235" s="6">
        <v>30.0</v>
      </c>
      <c r="M235" s="52" t="s">
        <v>655</v>
      </c>
      <c r="N235" s="53" t="s">
        <v>698</v>
      </c>
      <c r="O235" s="6"/>
      <c r="P235" s="6"/>
      <c r="Q235" s="6" t="str">
        <f t="shared" si="1"/>
        <v>#N/A</v>
      </c>
      <c r="R235" s="6"/>
    </row>
    <row r="236" hidden="1">
      <c r="A236" s="31" t="str">
        <f>IFERROR(__xludf.DUMMYFUNCTION("""COMPUTED_VALUE"""),"391д (сводный)")</f>
        <v>391д (сводный)</v>
      </c>
      <c r="B236" s="14" t="str">
        <f>IFERROR(__xludf.DUMMYFUNCTION("""COMPUTED_VALUE"""),"АИП-25")</f>
        <v>АИП-25</v>
      </c>
      <c r="C236" s="14" t="str">
        <f>IFERROR(__xludf.DUMMYFUNCTION("""COMPUTED_VALUE"""),"УДС")</f>
        <v>УДС</v>
      </c>
      <c r="D236" s="15"/>
      <c r="E236" s="14" t="str">
        <f>IFERROR(__xludf.DUMMYFUNCTION("""COMPUTED_VALUE"""),"Транспортная развязка на пересечении МКАД с Алтуфьевским ш. Инженерная инфраструктура ")</f>
        <v>Транспортная развязка на пересечении МКАД с Алтуфьевским ш. Инженерная инфраструктура </v>
      </c>
      <c r="F236" s="25" t="str">
        <f>IFERROR(__xludf.DUMMYFUNCTION("""COMPUTED_VALUE"""),"#N/A")</f>
        <v>#N/A</v>
      </c>
      <c r="G236" s="6" t="str">
        <f>IFERROR(__xludf.DUMMYFUNCTION("""COMPUTED_VALUE"""),"#N/A")</f>
        <v>#N/A</v>
      </c>
      <c r="H236" s="6"/>
      <c r="I236" s="6"/>
      <c r="J236" s="50"/>
      <c r="K236" s="58"/>
      <c r="L236" s="6">
        <v>30.0</v>
      </c>
      <c r="M236" s="52" t="s">
        <v>655</v>
      </c>
      <c r="N236" s="53" t="s">
        <v>698</v>
      </c>
      <c r="O236" s="6"/>
      <c r="P236" s="6"/>
      <c r="Q236" s="6" t="str">
        <f t="shared" si="1"/>
        <v>#N/A</v>
      </c>
      <c r="R236" s="6"/>
    </row>
    <row r="237" hidden="1">
      <c r="A237" s="31" t="str">
        <f>IFERROR(__xludf.DUMMYFUNCTION("""COMPUTED_VALUE"""),"391д (этап 3.1)")</f>
        <v>391д (этап 3.1)</v>
      </c>
      <c r="B237" s="14"/>
      <c r="C237" s="14" t="str">
        <f>IFERROR(__xludf.DUMMYFUNCTION("""COMPUTED_VALUE"""),"УДС")</f>
        <v>УДС</v>
      </c>
      <c r="D237" s="15"/>
      <c r="E237" s="14" t="str">
        <f>IFERROR(__xludf.DUMMYFUNCTION("""COMPUTED_VALUE"""),"Транспортная развязка на пересечении МКАД с Алтуфьевским ш. Этап 3.1. г. Москва, Алтуфьевское ш. (СВАО, М.О.)")</f>
        <v>Транспортная развязка на пересечении МКАД с Алтуфьевским ш. Этап 3.1. г. Москва, Алтуфьевское ш. (СВАО, М.О.)</v>
      </c>
      <c r="F237" s="25" t="str">
        <f>IFERROR(__xludf.DUMMYFUNCTION("""COMPUTED_VALUE"""),"#N/A")</f>
        <v>#N/A</v>
      </c>
      <c r="G237" s="6" t="str">
        <f>IFERROR(__xludf.DUMMYFUNCTION("""COMPUTED_VALUE"""),"#N/A")</f>
        <v>#N/A</v>
      </c>
      <c r="H237" s="6"/>
      <c r="I237" s="6"/>
      <c r="J237" s="50"/>
      <c r="K237" s="58"/>
      <c r="L237" s="6">
        <v>30.0</v>
      </c>
      <c r="M237" s="52" t="s">
        <v>655</v>
      </c>
      <c r="N237" s="53" t="s">
        <v>698</v>
      </c>
      <c r="O237" s="6"/>
      <c r="P237" s="6"/>
      <c r="Q237" s="6" t="str">
        <f t="shared" si="1"/>
        <v>#N/A</v>
      </c>
      <c r="R237" s="6"/>
    </row>
    <row r="238" hidden="1">
      <c r="A238" s="31" t="str">
        <f>IFERROR(__xludf.DUMMYFUNCTION("""COMPUTED_VALUE"""),"391д (этап 3.2)")</f>
        <v>391д (этап 3.2)</v>
      </c>
      <c r="B238" s="14"/>
      <c r="C238" s="14" t="str">
        <f>IFERROR(__xludf.DUMMYFUNCTION("""COMPUTED_VALUE"""),"УДС")</f>
        <v>УДС</v>
      </c>
      <c r="D238" s="15"/>
      <c r="E238" s="14" t="str">
        <f>IFERROR(__xludf.DUMMYFUNCTION("""COMPUTED_VALUE"""),"Транспортная развязка на пересечении МКАД с Алтуфьевским ш. Этап 3.2. г. Москва, Алтуфьевское ш. (СВАО, М.О.)")</f>
        <v>Транспортная развязка на пересечении МКАД с Алтуфьевским ш. Этап 3.2. г. Москва, Алтуфьевское ш. (СВАО, М.О.)</v>
      </c>
      <c r="F238" s="25" t="str">
        <f>IFERROR(__xludf.DUMMYFUNCTION("""COMPUTED_VALUE"""),"#N/A")</f>
        <v>#N/A</v>
      </c>
      <c r="G238" s="6" t="str">
        <f>IFERROR(__xludf.DUMMYFUNCTION("""COMPUTED_VALUE"""),"#N/A")</f>
        <v>#N/A</v>
      </c>
      <c r="H238" s="6"/>
      <c r="I238" s="6"/>
      <c r="J238" s="50"/>
      <c r="K238" s="58"/>
      <c r="L238" s="6">
        <v>30.0</v>
      </c>
      <c r="M238" s="52" t="s">
        <v>655</v>
      </c>
      <c r="N238" s="53" t="s">
        <v>698</v>
      </c>
      <c r="O238" s="6"/>
      <c r="P238" s="6"/>
      <c r="Q238" s="6" t="str">
        <f t="shared" si="1"/>
        <v>#N/A</v>
      </c>
      <c r="R238" s="6"/>
    </row>
    <row r="239" hidden="1">
      <c r="A239" s="31" t="str">
        <f>IFERROR(__xludf.DUMMYFUNCTION("""COMPUTED_VALUE"""),"1124 (этап 1.1)")</f>
        <v>1124 (этап 1.1)</v>
      </c>
      <c r="B239" s="14" t="str">
        <f>IFERROR(__xludf.DUMMYFUNCTION("""COMPUTED_VALUE"""),"АИП-25")</f>
        <v>АИП-25</v>
      </c>
      <c r="C239" s="14" t="str">
        <f>IFERROR(__xludf.DUMMYFUNCTION("""COMPUTED_VALUE"""),"УДС")</f>
        <v>УДС</v>
      </c>
      <c r="D239" s="15"/>
      <c r="E239" s="14" t="str">
        <f>IFERROR(__xludf.DUMMYFUNCTION("""COMPUTED_VALUE"""),"Технологическая часть ТПУ на станции метро ""Лухмановская"". 
 Этап 1.1 г. Москва, м. ""Лухмановская""")</f>
        <v>Технологическая часть ТПУ на станции метро "Лухмановская". 
 Этап 1.1 г. Москва, м. "Лухмановская"</v>
      </c>
      <c r="F239" s="25" t="str">
        <f>IFERROR(__xludf.DUMMYFUNCTION("""COMPUTED_VALUE"""),"#N/A")</f>
        <v>#N/A</v>
      </c>
      <c r="G239" s="6" t="str">
        <f>IFERROR(__xludf.DUMMYFUNCTION("""COMPUTED_VALUE"""),"#N/A")</f>
        <v>#N/A</v>
      </c>
      <c r="H239" s="18" t="str">
        <f>IFERROR(__xludf.DUMMYFUNCTION("""COMPUTED_VALUE"""),"https://docs.google.com/spreadsheets/d/1jonEGMB3UFHiUZpltF1zURon8gYN7jGSHu-k9t5TXnA/edit?gid=276277917#gid=276277917")</f>
        <v>https://docs.google.com/spreadsheets/d/1jonEGMB3UFHiUZpltF1zURon8gYN7jGSHu-k9t5TXnA/edit?gid=276277917#gid=276277917</v>
      </c>
      <c r="I239" s="18" t="str">
        <f>IFERROR(__xludf.DUMMYFUNCTION("""COMPUTED_VALUE"""),"https://disk.yandex.ru/client/disk/%D0%9E%D1%81%D0%BC%D0%BE%D1%82%D1%80%D1%8B%20%D0%BE%D0%B1%D1%8A%D0%B5%D0%BA%D1%82%D0%BE%D0%B2%20%D0%90%D0%9D%D0%9E%20%D0%A1%D0%9C%D0%93/1124.%20%D0%A2%D0%B5%D1%85%D0%BD%D0%BE%D0%BB%D0%BE%D0%B3%D0%B8%D1%87%D0%B5%D1%81%D0%"&amp;"BA%D0%B0%D1%8F%20%D1%87%D0%B0%D1%81%D1%82%D1%8C%20%D0%A2%D0%9F%D0%A3%20%D0%BD%D0%B0%20%D1%81%D1%82%D0%B0%D0%BD%D1%86%D0%B8%D0%B8%20%D0%BC%D0%B5%D1%82%D1%80%D0%BE%20%22%D0%9B%D1%83%D1%85%D0%BC%D0%B0%D0%BD%D0%BE%D0%B2%D1%81%D0%BA%D0%B0%D1%8F%22")</f>
        <v>https://disk.yandex.ru/client/disk/%D0%9E%D1%81%D0%BC%D0%BE%D1%82%D1%80%D1%8B%20%D0%BE%D0%B1%D1%8A%D0%B5%D0%BA%D1%82%D0%BE%D0%B2%20%D0%90%D0%9D%D0%9E%20%D0%A1%D0%9C%D0%93/1124.%20%D0%A2%D0%B5%D1%85%D0%BD%D0%BE%D0%BB%D0%BE%D0%B3%D0%B8%D1%87%D0%B5%D1%81%D0%BA%D0%B0%D1%8F%20%D1%87%D0%B0%D1%81%D1%82%D1%8C%20%D0%A2%D0%9F%D0%A3%20%D0%BD%D0%B0%20%D1%81%D1%82%D0%B0%D0%BD%D1%86%D0%B8%D0%B8%20%D0%BC%D0%B5%D1%82%D1%80%D0%BE%20%22%D0%9B%D1%83%D1%85%D0%BC%D0%B0%D0%BD%D0%BE%D0%B2%D1%81%D0%BA%D0%B0%D1%8F%22</v>
      </c>
      <c r="J239" s="50">
        <f>IFERROR(__xludf.DUMMYFUNCTION("""COMPUTED_VALUE"""),77.8045)</f>
        <v>77.8045</v>
      </c>
      <c r="K239" s="58">
        <f>IFERROR(__xludf.DUMMYFUNCTION("""COMPUTED_VALUE"""),45972.0)</f>
        <v>45972</v>
      </c>
      <c r="L239" s="6">
        <v>14.0</v>
      </c>
      <c r="M239" s="52">
        <v>45986.0</v>
      </c>
      <c r="N239" s="53" t="s">
        <v>711</v>
      </c>
      <c r="O239" s="6" t="s">
        <v>669</v>
      </c>
      <c r="P239" s="6"/>
      <c r="Q239" s="6" t="str">
        <f t="shared" si="1"/>
        <v>#N/A</v>
      </c>
      <c r="R239" s="6"/>
    </row>
    <row r="240" hidden="1">
      <c r="A240" s="31" t="str">
        <f>IFERROR(__xludf.DUMMYFUNCTION("""COMPUTED_VALUE"""),"1121 (этап 2)")</f>
        <v>1121 (этап 2)</v>
      </c>
      <c r="B240" s="14" t="str">
        <f>IFERROR(__xludf.DUMMYFUNCTION("""COMPUTED_VALUE"""),"АИП-25")</f>
        <v>АИП-25</v>
      </c>
      <c r="C240" s="14" t="str">
        <f>IFERROR(__xludf.DUMMYFUNCTION("""COMPUTED_VALUE"""),"УДС")</f>
        <v>УДС</v>
      </c>
      <c r="D240" s="15"/>
      <c r="E240" s="14" t="str">
        <f>IFERROR(__xludf.DUMMYFUNCTION("""COMPUTED_VALUE"""),"Технологическая часть ТПУ на станции метро ""Лианозово"". Этап 2 ""Подземный пеш. переход через Лианозовский пр-д, подземный пеш. переход через Дубнинскую ул., дополнительный выход из существующего подземного пешеходного перехода к остановочному пункту НГ"&amp;"ПТ со стороны Лианозовского проезда."" ул. Дубнинская, 87, стр. 1")</f>
        <v>Технологическая часть ТПУ на станции метро "Лианозово". Этап 2 "Подземный пеш. переход через Лианозовский пр-д, подземный пеш. переход через Дубнинскую ул., дополнительный выход из существующего подземного пешеходного перехода к остановочному пункту НГПТ со стороны Лианозовского проезда." ул. Дубнинская, 87, стр. 1</v>
      </c>
      <c r="F240" s="25" t="str">
        <f>IFERROR(__xludf.DUMMYFUNCTION("""COMPUTED_VALUE"""),"#N/A")</f>
        <v>#N/A</v>
      </c>
      <c r="G240" s="6" t="str">
        <f>IFERROR(__xludf.DUMMYFUNCTION("""COMPUTED_VALUE"""),"#N/A")</f>
        <v>#N/A</v>
      </c>
      <c r="H240" s="18" t="str">
        <f>IFERROR(__xludf.DUMMYFUNCTION("""COMPUTED_VALUE"""),"https://docs.google.com/spreadsheets/d/1jonEGMB3UFHiUZpltF1zURon8gYN7jGSHu-k9t5TXnA/edit?gid=1312683414#gid=1312683414")</f>
        <v>https://docs.google.com/spreadsheets/d/1jonEGMB3UFHiUZpltF1zURon8gYN7jGSHu-k9t5TXnA/edit?gid=1312683414#gid=1312683414</v>
      </c>
      <c r="I240" s="18" t="str">
        <f>IFERROR(__xludf.DUMMYFUNCTION("""COMPUTED_VALUE"""),"https://disk.yandex.ru/client/disk/%D0%9E%D1%81%D0%BC%D0%BE%D1%82%D1%80%D1%8B%20%D0%BE%D0%B1%D1%8A%D0%B5%D0%BA%D1%82%D0%BE%D0%B2%20%D0%90%D0%9D%D0%9E%20%D0%A1%D0%9C%D0%93/1121.%20%20%D0%A2%D0%B5%D1%85%D0%BD%D0%BE%D0%BB%D0%BE%D0%B3%D0%B8%D1%87%D0%B5%D1%81%"&amp;"D0%BA%D0%B0%D1%8F%20%D1%87%D0%B0%D1%81%D1%82%D1%8C%20%D0%A2%D0%9F%D0%A3%20%D0%BD%D0%B0%20%D1%81%D1%82%D0%B0%D0%BD%D1%86%D0%B8%D0%B8%20%D0%BC%D0%B5%D1%82%D1%80%D0%BE%20%22%D0%9B%D0%B8%D0%B0%D0%BD%D0%BE%D0%B7%D0%BE%D0%B2%D0%BE%22%20")</f>
        <v>https://disk.yandex.ru/client/disk/%D0%9E%D1%81%D0%BC%D0%BE%D1%82%D1%80%D1%8B%20%D0%BE%D0%B1%D1%8A%D0%B5%D0%BA%D1%82%D0%BE%D0%B2%20%D0%90%D0%9D%D0%9E%20%D0%A1%D0%9C%D0%93/1121.%20%20%D0%A2%D0%B5%D1%85%D0%BD%D0%BE%D0%BB%D0%BE%D0%B3%D0%B8%D1%87%D0%B5%D1%81%D0%BA%D0%B0%D1%8F%20%D1%87%D0%B0%D1%81%D1%82%D1%8C%20%D0%A2%D0%9F%D0%A3%20%D0%BD%D0%B0%20%D1%81%D1%82%D0%B0%D0%BD%D1%86%D0%B8%D0%B8%20%D0%BC%D0%B5%D1%82%D1%80%D0%BE%20%22%D0%9B%D0%B8%D0%B0%D0%BD%D0%BE%D0%B7%D0%BE%D0%B2%D0%BE%22%20</v>
      </c>
      <c r="J240" s="50">
        <f>IFERROR(__xludf.DUMMYFUNCTION("""COMPUTED_VALUE"""),94.42399250000001)</f>
        <v>94.4239925</v>
      </c>
      <c r="K240" s="58">
        <f>IFERROR(__xludf.DUMMYFUNCTION("""COMPUTED_VALUE"""),45973.0)</f>
        <v>45973</v>
      </c>
      <c r="L240" s="6">
        <v>7.0</v>
      </c>
      <c r="M240" s="52">
        <v>45980.0</v>
      </c>
      <c r="N240" s="53" t="s">
        <v>711</v>
      </c>
      <c r="O240" s="6" t="s">
        <v>669</v>
      </c>
      <c r="P240" s="6"/>
      <c r="Q240" s="6" t="str">
        <f t="shared" si="1"/>
        <v>#N/A</v>
      </c>
      <c r="R240" s="6"/>
    </row>
    <row r="241" hidden="1">
      <c r="A241" s="31" t="str">
        <f>IFERROR(__xludf.DUMMYFUNCTION("""COMPUTED_VALUE"""),"326д (сводный)")</f>
        <v>326д (сводный)</v>
      </c>
      <c r="B241" s="14" t="str">
        <f>IFERROR(__xludf.DUMMYFUNCTION("""COMPUTED_VALUE"""),"АИП-25")</f>
        <v>АИП-25</v>
      </c>
      <c r="C241" s="14" t="str">
        <f>IFERROR(__xludf.DUMMYFUNCTION("""COMPUTED_VALUE"""),"УДС")</f>
        <v>УДС</v>
      </c>
      <c r="D241" s="15"/>
      <c r="E241"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1.3.2, 1.3.3, 1.5, 1.6.1, 1.6.2, 1.6.3 ")</f>
        <v>Транспортная развязка и мостовые сооружения на территории Мневниковской поймы с примыканием к Северо-Западной хорде Этапы 1.3.2, 1.3.3, 1.5, 1.6.1, 1.6.2, 1.6.3 </v>
      </c>
      <c r="F241" s="25" t="str">
        <f>IFERROR(__xludf.DUMMYFUNCTION("""COMPUTED_VALUE"""),"#N/A")</f>
        <v>#N/A</v>
      </c>
      <c r="G241" s="6" t="str">
        <f>IFERROR(__xludf.DUMMYFUNCTION("""COMPUTED_VALUE"""),"#N/A")</f>
        <v>#N/A</v>
      </c>
      <c r="H241" s="6"/>
      <c r="I241" s="6"/>
      <c r="J241" s="50"/>
      <c r="K241" s="58"/>
      <c r="L241" s="6">
        <v>30.0</v>
      </c>
      <c r="M241" s="52" t="s">
        <v>655</v>
      </c>
      <c r="N241" s="53" t="s">
        <v>698</v>
      </c>
      <c r="O241" s="6"/>
      <c r="P241" s="6"/>
      <c r="Q241" s="6" t="str">
        <f t="shared" si="1"/>
        <v>#N/A</v>
      </c>
      <c r="R241" s="6"/>
    </row>
    <row r="242" hidden="1">
      <c r="A242" s="31" t="str">
        <f>IFERROR(__xludf.DUMMYFUNCTION("""COMPUTED_VALUE"""),"326д (этап 1.3.2)")</f>
        <v>326д (этап 1.3.2)</v>
      </c>
      <c r="B242" s="14"/>
      <c r="C242" s="14" t="str">
        <f>IFERROR(__xludf.DUMMYFUNCTION("""COMPUTED_VALUE"""),"УДС")</f>
        <v>УДС</v>
      </c>
      <c r="D242" s="15"/>
      <c r="E242"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1.3.2 Мневниковская пойма")</f>
        <v>Транспортная развязка и мостовые сооружения на территории Мневниковской поймы с примыканием к Северо-Западной хорде. 
 Этапы 1.3.2 Мневниковская пойма</v>
      </c>
      <c r="F242" s="25" t="str">
        <f>IFERROR(__xludf.DUMMYFUNCTION("""COMPUTED_VALUE"""),"#N/A")</f>
        <v>#N/A</v>
      </c>
      <c r="G242" s="6" t="str">
        <f>IFERROR(__xludf.DUMMYFUNCTION("""COMPUTED_VALUE"""),"#N/A")</f>
        <v>#N/A</v>
      </c>
      <c r="H242" s="6"/>
      <c r="I242" s="6"/>
      <c r="J242" s="50"/>
      <c r="K242" s="58"/>
      <c r="L242" s="6">
        <v>30.0</v>
      </c>
      <c r="M242" s="52" t="s">
        <v>655</v>
      </c>
      <c r="N242" s="53" t="s">
        <v>698</v>
      </c>
      <c r="O242" s="6" t="s">
        <v>798</v>
      </c>
      <c r="P242" s="6"/>
      <c r="Q242" s="6" t="str">
        <f t="shared" si="1"/>
        <v>#N/A</v>
      </c>
      <c r="R242" s="6"/>
    </row>
    <row r="243" hidden="1">
      <c r="A243" s="31" t="str">
        <f>IFERROR(__xludf.DUMMYFUNCTION("""COMPUTED_VALUE"""),"326д (этап 1.6.2)")</f>
        <v>326д (этап 1.6.2)</v>
      </c>
      <c r="B243" s="14"/>
      <c r="C243" s="14" t="str">
        <f>IFERROR(__xludf.DUMMYFUNCTION("""COMPUTED_VALUE"""),"УДС")</f>
        <v>УДС</v>
      </c>
      <c r="D243" s="15"/>
      <c r="E243"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1.6.2 Мневниковская пойма")</f>
        <v>Транспортная развязка и мостовые сооружения на территории Мневниковской поймы с примыканием к Северо-Западной хорде. 
 Этапы 1.6.2 Мневниковская пойма</v>
      </c>
      <c r="F243" s="25" t="str">
        <f>IFERROR(__xludf.DUMMYFUNCTION("""COMPUTED_VALUE"""),"#N/A")</f>
        <v>#N/A</v>
      </c>
      <c r="G243" s="6" t="str">
        <f>IFERROR(__xludf.DUMMYFUNCTION("""COMPUTED_VALUE"""),"#N/A")</f>
        <v>#N/A</v>
      </c>
      <c r="H243" s="6"/>
      <c r="I243" s="6"/>
      <c r="J243" s="50"/>
      <c r="K243" s="58"/>
      <c r="L243" s="6">
        <v>30.0</v>
      </c>
      <c r="M243" s="52" t="s">
        <v>655</v>
      </c>
      <c r="N243" s="53" t="s">
        <v>698</v>
      </c>
      <c r="O243" s="6" t="s">
        <v>798</v>
      </c>
      <c r="P243" s="6"/>
      <c r="Q243" s="6" t="str">
        <f t="shared" si="1"/>
        <v>#N/A</v>
      </c>
      <c r="R243" s="6"/>
    </row>
    <row r="244" hidden="1">
      <c r="A244" s="31" t="str">
        <f>IFERROR(__xludf.DUMMYFUNCTION("""COMPUTED_VALUE"""),"326д (этап 1.6.3)")</f>
        <v>326д (этап 1.6.3)</v>
      </c>
      <c r="B244" s="14"/>
      <c r="C244" s="14" t="str">
        <f>IFERROR(__xludf.DUMMYFUNCTION("""COMPUTED_VALUE"""),"УДС")</f>
        <v>УДС</v>
      </c>
      <c r="D244" s="15"/>
      <c r="E244"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1.6.3 Мневниковская пойма")</f>
        <v>Транспортная развязка и мостовые сооружения на территории Мневниковской поймы с примыканием к Северо-Западной хорде. 
 Этапы 1.6.3 Мневниковская пойма</v>
      </c>
      <c r="F244" s="25" t="str">
        <f>IFERROR(__xludf.DUMMYFUNCTION("""COMPUTED_VALUE"""),"#N/A")</f>
        <v>#N/A</v>
      </c>
      <c r="G244" s="6" t="str">
        <f>IFERROR(__xludf.DUMMYFUNCTION("""COMPUTED_VALUE"""),"#N/A")</f>
        <v>#N/A</v>
      </c>
      <c r="H244" s="6"/>
      <c r="I244" s="6"/>
      <c r="J244" s="50"/>
      <c r="K244" s="58"/>
      <c r="L244" s="6">
        <v>30.0</v>
      </c>
      <c r="M244" s="52" t="s">
        <v>655</v>
      </c>
      <c r="N244" s="53" t="s">
        <v>698</v>
      </c>
      <c r="O244" s="6" t="s">
        <v>799</v>
      </c>
      <c r="P244" s="6"/>
      <c r="Q244" s="6" t="str">
        <f t="shared" si="1"/>
        <v>#N/A</v>
      </c>
      <c r="R244" s="6"/>
    </row>
    <row r="245" hidden="1">
      <c r="A245" s="31" t="str">
        <f>IFERROR(__xludf.DUMMYFUNCTION("""COMPUTED_VALUE"""),"367д (этап 1.5)")</f>
        <v>367д (этап 1.5)</v>
      </c>
      <c r="B245" s="14"/>
      <c r="C245" s="14" t="str">
        <f>IFERROR(__xludf.DUMMYFUNCTION("""COMPUTED_VALUE"""),"УДС")</f>
        <v>УДС</v>
      </c>
      <c r="D245" s="15"/>
      <c r="E245"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1.5 Мневниковская пойма")</f>
        <v>Транспортная развязка и мостовые сооружения на территории Мневниковской поймы с примыканием к Северо-Западной хорде. 
 Этапы 1.5 Мневниковская пойма</v>
      </c>
      <c r="F245" s="25" t="str">
        <f>IFERROR(__xludf.DUMMYFUNCTION("""COMPUTED_VALUE"""),"#N/A")</f>
        <v>#N/A</v>
      </c>
      <c r="G245" s="6" t="str">
        <f>IFERROR(__xludf.DUMMYFUNCTION("""COMPUTED_VALUE"""),"#N/A")</f>
        <v>#N/A</v>
      </c>
      <c r="H245" s="6"/>
      <c r="I245" s="6"/>
      <c r="J245" s="50"/>
      <c r="K245" s="58"/>
      <c r="L245" s="6">
        <v>30.0</v>
      </c>
      <c r="M245" s="52" t="s">
        <v>655</v>
      </c>
      <c r="N245" s="53" t="s">
        <v>698</v>
      </c>
      <c r="O245" s="6" t="s">
        <v>798</v>
      </c>
      <c r="P245" s="6"/>
      <c r="Q245" s="6" t="str">
        <f t="shared" si="1"/>
        <v>#N/A</v>
      </c>
      <c r="R245" s="6"/>
    </row>
    <row r="246" hidden="1">
      <c r="A246" s="31" t="str">
        <f>IFERROR(__xludf.DUMMYFUNCTION("""COMPUTED_VALUE"""),"369д (этап 1.3.3)")</f>
        <v>369д (этап 1.3.3)</v>
      </c>
      <c r="B246" s="14"/>
      <c r="C246" s="14" t="str">
        <f>IFERROR(__xludf.DUMMYFUNCTION("""COMPUTED_VALUE"""),"УДС")</f>
        <v>УДС</v>
      </c>
      <c r="D246" s="15"/>
      <c r="E246"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1.3.3 Мневниковская пойма")</f>
        <v>Транспортная развязка и мостовые сооружения на территории Мневниковской поймы с примыканием к Северо-Западной хорде. 
 Этапы 1.3.3 Мневниковская пойма</v>
      </c>
      <c r="F246" s="25" t="str">
        <f>IFERROR(__xludf.DUMMYFUNCTION("""COMPUTED_VALUE"""),"#N/A")</f>
        <v>#N/A</v>
      </c>
      <c r="G246" s="6" t="str">
        <f>IFERROR(__xludf.DUMMYFUNCTION("""COMPUTED_VALUE"""),"#N/A")</f>
        <v>#N/A</v>
      </c>
      <c r="H246" s="6"/>
      <c r="I246" s="6"/>
      <c r="J246" s="50"/>
      <c r="K246" s="58"/>
      <c r="L246" s="6">
        <v>30.0</v>
      </c>
      <c r="M246" s="52" t="s">
        <v>655</v>
      </c>
      <c r="N246" s="53" t="s">
        <v>698</v>
      </c>
      <c r="O246" s="6" t="s">
        <v>800</v>
      </c>
      <c r="P246" s="6"/>
      <c r="Q246" s="6" t="str">
        <f t="shared" si="1"/>
        <v>#N/A</v>
      </c>
      <c r="R246" s="6"/>
    </row>
    <row r="247" hidden="1">
      <c r="A247" s="31" t="str">
        <f>IFERROR(__xludf.DUMMYFUNCTION("""COMPUTED_VALUE"""),"369д (этап 1.6.1)")</f>
        <v>369д (этап 1.6.1)</v>
      </c>
      <c r="B247" s="14"/>
      <c r="C247" s="14" t="str">
        <f>IFERROR(__xludf.DUMMYFUNCTION("""COMPUTED_VALUE"""),"УДС")</f>
        <v>УДС</v>
      </c>
      <c r="D247" s="15"/>
      <c r="E247" s="14" t="str">
        <f>IFERROR(__xludf.DUMMYFUNCTION("""COMPUTED_VALUE"""),"Транспортная развязка и мостовые сооружения на территории Мневниковской поймы с примыканием к Северо-Западной хорде. 
 Этапы 1.6.1 Мневниковская пойма")</f>
        <v>Транспортная развязка и мостовые сооружения на территории Мневниковской поймы с примыканием к Северо-Западной хорде. 
 Этапы 1.6.1 Мневниковская пойма</v>
      </c>
      <c r="F247" s="25" t="str">
        <f>IFERROR(__xludf.DUMMYFUNCTION("""COMPUTED_VALUE"""),"#N/A")</f>
        <v>#N/A</v>
      </c>
      <c r="G247" s="6" t="str">
        <f>IFERROR(__xludf.DUMMYFUNCTION("""COMPUTED_VALUE"""),"#N/A")</f>
        <v>#N/A</v>
      </c>
      <c r="H247" s="6"/>
      <c r="I247" s="6"/>
      <c r="J247" s="50"/>
      <c r="K247" s="58"/>
      <c r="L247" s="6">
        <v>30.0</v>
      </c>
      <c r="M247" s="52" t="s">
        <v>655</v>
      </c>
      <c r="N247" s="53" t="s">
        <v>698</v>
      </c>
      <c r="O247" s="6" t="s">
        <v>800</v>
      </c>
      <c r="P247" s="6"/>
      <c r="Q247" s="6" t="str">
        <f t="shared" si="1"/>
        <v>#N/A</v>
      </c>
      <c r="R247" s="6"/>
    </row>
    <row r="248" hidden="1">
      <c r="A248" s="31" t="str">
        <f>IFERROR(__xludf.DUMMYFUNCTION("""COMPUTED_VALUE"""),"198")</f>
        <v>198</v>
      </c>
      <c r="B248" s="14" t="str">
        <f>IFERROR(__xludf.DUMMYFUNCTION("""COMPUTED_VALUE"""),"АИП-25")</f>
        <v>АИП-25</v>
      </c>
      <c r="C248" s="14" t="str">
        <f>IFERROR(__xludf.DUMMYFUNCTION("""COMPUTED_VALUE"""),"ОКС")</f>
        <v>ОКС</v>
      </c>
      <c r="D248" s="15"/>
      <c r="E248" s="14" t="str">
        <f>IFERROR(__xludf.DUMMYFUNCTION("""COMPUTED_VALUE"""),"Реконструкция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f>
        <v>Реконструкция объекта незавершенного строительства (ГБУ Центр реабилитации инвалидов "Красная Пахра"), внешних инженерных сетей и сооружений, включая газовую котельную, по адресу: г.о. Троицк Москва, г. Троицк, ул. Лагерная, влд.19 (ТАО)</v>
      </c>
      <c r="F248" s="25" t="str">
        <f>IFERROR(__xludf.DUMMYFUNCTION("""COMPUTED_VALUE"""),"55.500902")</f>
        <v>55.500902</v>
      </c>
      <c r="G248" s="6" t="str">
        <f>IFERROR(__xludf.DUMMYFUNCTION("""COMPUTED_VALUE""")," 37.306494")</f>
        <v> 37.306494</v>
      </c>
      <c r="H248" s="18" t="str">
        <f>IFERROR(__xludf.DUMMYFUNCTION("""COMPUTED_VALUE"""),"https://docs.google.com/spreadsheets/d/19THEBTE9q0fhN2eApZr6BgenIvLGh0AckaYxHQfHk5w/edit?gid=2126809757#gid=2126809757")</f>
        <v>https://docs.google.com/spreadsheets/d/19THEBTE9q0fhN2eApZr6BgenIvLGh0AckaYxHQfHk5w/edit?gid=2126809757#gid=2126809757</v>
      </c>
      <c r="I248" s="19" t="str">
        <f>IFERROR(__xludf.DUMMYFUNCTION("""COMPUTED_VALUE"""),"https://disk.yandex.ru/client/disk/Осмотры%20объектов%20АНО%20СМГ/198.%20РЦИ%20ул.%20Теннисная%202")</f>
        <v>https://disk.yandex.ru/client/disk/Осмотры%20объектов%20АНО%20СМГ/198.%20РЦИ%20ул.%20Теннисная%202</v>
      </c>
      <c r="J248" s="50">
        <f>IFERROR(__xludf.DUMMYFUNCTION("""COMPUTED_VALUE"""),0.0)</f>
        <v>0</v>
      </c>
      <c r="K248" s="58">
        <f>IFERROR(__xludf.DUMMYFUNCTION("""COMPUTED_VALUE"""),45972.0)</f>
        <v>45972</v>
      </c>
      <c r="L248" s="6">
        <v>30.0</v>
      </c>
      <c r="M248" s="52">
        <v>46002.0</v>
      </c>
      <c r="N248" s="53" t="s">
        <v>711</v>
      </c>
      <c r="O248" s="19" t="s">
        <v>801</v>
      </c>
      <c r="P248" s="6"/>
      <c r="Q248" s="6" t="str">
        <f t="shared" si="1"/>
        <v>#N/A</v>
      </c>
      <c r="R248" s="6"/>
    </row>
    <row r="249" hidden="1">
      <c r="A249" s="31" t="str">
        <f>IFERROR(__xludf.DUMMYFUNCTION("""COMPUTED_VALUE"""),"257д")</f>
        <v>257д</v>
      </c>
      <c r="B249" s="14" t="str">
        <f>IFERROR(__xludf.DUMMYFUNCTION("""COMPUTED_VALUE"""),"АИП-25")</f>
        <v>АИП-25</v>
      </c>
      <c r="C249" s="14" t="str">
        <f>IFERROR(__xludf.DUMMYFUNCTION("""COMPUTED_VALUE"""),"УДС")</f>
        <v>УДС</v>
      </c>
      <c r="D249" s="15"/>
      <c r="E249" s="14" t="str">
        <f>IFERROR(__xludf.DUMMYFUNCTION("""COMPUTED_VALUE"""),"Строительство мостового сооружения через р. Москва в створе Берегового пр-да с реконструкцией прилегающей улично-дорожной сети от ул. Новозаводская до 3-я Магистральная ул. (Открытие моста через р. Москву, соединяющего Береговой проезд с Шелепихинским шос"&amp;"се,) Ул. Новозаводская - 3-я Магистральная ул.")</f>
        <v>Строительство мостового сооружения через р. Москва в створе Берегового пр-да с реконструкцией прилегающей улично-дорожной сети от ул. Новозаводская до 3-я Магистральная ул. (Открытие моста через р. Москву, соединяющего Береговой проезд с Шелепихинским шоссе,) Ул. Новозаводская - 3-я Магистральная ул.</v>
      </c>
      <c r="F249" s="25" t="str">
        <f>IFERROR(__xludf.DUMMYFUNCTION("""COMPUTED_VALUE"""),"#N/A")</f>
        <v>#N/A</v>
      </c>
      <c r="G249" s="6" t="str">
        <f>IFERROR(__xludf.DUMMYFUNCTION("""COMPUTED_VALUE"""),"#N/A")</f>
        <v>#N/A</v>
      </c>
      <c r="H249" s="6"/>
      <c r="I249" s="6"/>
      <c r="J249" s="50">
        <f>IFERROR(__xludf.DUMMYFUNCTION("""COMPUTED_VALUE"""),97.90730225988702)</f>
        <v>97.90730226</v>
      </c>
      <c r="K249" s="58">
        <f>IFERROR(__xludf.DUMMYFUNCTION("""COMPUTED_VALUE"""),45974.0)</f>
        <v>45974</v>
      </c>
      <c r="L249" s="6">
        <v>7.0</v>
      </c>
      <c r="M249" s="52">
        <v>45981.0</v>
      </c>
      <c r="N249" s="53" t="s">
        <v>652</v>
      </c>
      <c r="O249" s="6" t="s">
        <v>802</v>
      </c>
      <c r="P249" s="6"/>
      <c r="Q249" s="6" t="str">
        <f t="shared" si="1"/>
        <v>#N/A</v>
      </c>
      <c r="R249" s="6"/>
    </row>
    <row r="250" hidden="1">
      <c r="A250" s="31" t="str">
        <f>IFERROR(__xludf.DUMMYFUNCTION("""COMPUTED_VALUE"""),"386д (этап 1.2)")</f>
        <v>386д (этап 1.2)</v>
      </c>
      <c r="B250" s="14" t="str">
        <f>IFERROR(__xludf.DUMMYFUNCTION("""COMPUTED_VALUE"""),"АИП-25")</f>
        <v>АИП-25</v>
      </c>
      <c r="C250" s="14" t="str">
        <f>IFERROR(__xludf.DUMMYFUNCTION("""COMPUTED_VALUE"""),"УДС")</f>
        <v>УДС</v>
      </c>
      <c r="D250" s="15"/>
      <c r="E250" s="14" t="str">
        <f>IFERROR(__xludf.DUMMYFUNCTION("""COMPUTED_VALUE"""),"Улично-дорожная сеть в промышленной зоне ""Руднево"". Очистное сооружение, Инженерные коммуникации, Отстойно-разворотная площадка 1.2 г. Москва, д. Руднево (ВАО, ЮВАО)")</f>
        <v>Улично-дорожная сеть в промышленной зоне "Руднево". Очистное сооружение, Инженерные коммуникации, Отстойно-разворотная площадка 1.2 г. Москва, д. Руднево (ВАО, ЮВАО)</v>
      </c>
      <c r="F250" s="25" t="str">
        <f>IFERROR(__xludf.DUMMYFUNCTION("""COMPUTED_VALUE"""),"#N/A")</f>
        <v>#N/A</v>
      </c>
      <c r="G250" s="6" t="str">
        <f>IFERROR(__xludf.DUMMYFUNCTION("""COMPUTED_VALUE"""),"#N/A")</f>
        <v>#N/A</v>
      </c>
      <c r="H250" s="6"/>
      <c r="I250" s="6"/>
      <c r="J250" s="50">
        <f>IFERROR(__xludf.DUMMYFUNCTION("""COMPUTED_VALUE"""),100.0)</f>
        <v>100</v>
      </c>
      <c r="K250" s="58">
        <f>IFERROR(__xludf.DUMMYFUNCTION("""COMPUTED_VALUE"""),45957.0)</f>
        <v>45957</v>
      </c>
      <c r="L250" s="6" t="s">
        <v>654</v>
      </c>
      <c r="M250" s="52" t="s">
        <v>655</v>
      </c>
      <c r="N250" s="53" t="s">
        <v>656</v>
      </c>
      <c r="O250" s="6" t="s">
        <v>803</v>
      </c>
      <c r="P250" s="6"/>
      <c r="Q250" s="6" t="str">
        <f t="shared" si="1"/>
        <v>#N/A</v>
      </c>
      <c r="R250" s="6"/>
    </row>
    <row r="251" hidden="1">
      <c r="A251" s="31" t="str">
        <f>IFERROR(__xludf.DUMMYFUNCTION("""COMPUTED_VALUE"""),"386д (этап 1.3)")</f>
        <v>386д (этап 1.3)</v>
      </c>
      <c r="B251" s="14" t="str">
        <f>IFERROR(__xludf.DUMMYFUNCTION("""COMPUTED_VALUE"""),"АИП-25")</f>
        <v>АИП-25</v>
      </c>
      <c r="C251" s="14" t="str">
        <f>IFERROR(__xludf.DUMMYFUNCTION("""COMPUTED_VALUE"""),"УДС")</f>
        <v>УДС</v>
      </c>
      <c r="D251" s="15"/>
      <c r="E251" s="14" t="str">
        <f>IFERROR(__xludf.DUMMYFUNCTION("""COMPUTED_VALUE"""),"Улично-дорожная сеть в промышленной зоне ""Руднево"". Очистное сооружение, Инженерные коммуникации, Отстойно-разворотная площадка 1.3 г. Москва, д. Руднево (ВАО, ЮВАО)")</f>
        <v>Улично-дорожная сеть в промышленной зоне "Руднево". Очистное сооружение, Инженерные коммуникации, Отстойно-разворотная площадка 1.3 г. Москва, д. Руднево (ВАО, ЮВАО)</v>
      </c>
      <c r="F251" s="25" t="str">
        <f>IFERROR(__xludf.DUMMYFUNCTION("""COMPUTED_VALUE"""),"#N/A")</f>
        <v>#N/A</v>
      </c>
      <c r="G251" s="6" t="str">
        <f>IFERROR(__xludf.DUMMYFUNCTION("""COMPUTED_VALUE"""),"#N/A")</f>
        <v>#N/A</v>
      </c>
      <c r="H251" s="6"/>
      <c r="I251" s="6"/>
      <c r="J251" s="50">
        <f>IFERROR(__xludf.DUMMYFUNCTION("""COMPUTED_VALUE"""),100.0)</f>
        <v>100</v>
      </c>
      <c r="K251" s="58">
        <f>IFERROR(__xludf.DUMMYFUNCTION("""COMPUTED_VALUE"""),45957.0)</f>
        <v>45957</v>
      </c>
      <c r="L251" s="6" t="s">
        <v>654</v>
      </c>
      <c r="M251" s="52" t="s">
        <v>655</v>
      </c>
      <c r="N251" s="53" t="s">
        <v>656</v>
      </c>
      <c r="O251" s="6" t="s">
        <v>803</v>
      </c>
      <c r="P251" s="6"/>
      <c r="Q251" s="6" t="str">
        <f t="shared" si="1"/>
        <v>#N/A</v>
      </c>
      <c r="R251" s="6"/>
    </row>
    <row r="252" hidden="1">
      <c r="A252" s="70" t="str">
        <f>IFERROR(__xludf.DUMMYFUNCTION("""COMPUTED_VALUE"""),"237")</f>
        <v>237</v>
      </c>
      <c r="B252" s="14" t="str">
        <f>IFERROR(__xludf.DUMMYFUNCTION("""COMPUTED_VALUE"""),"АИП-25")</f>
        <v>АИП-25</v>
      </c>
      <c r="C252" s="14" t="str">
        <f>IFERROR(__xludf.DUMMYFUNCTION("""COMPUTED_VALUE"""),"ОКС")</f>
        <v>ОКС</v>
      </c>
      <c r="D252" s="15"/>
      <c r="E252" s="14" t="str">
        <f>IFERROR(__xludf.DUMMYFUNCTION("""COMPUTED_VALUE"""),"Проектирование и строительство многофункционального комплекса зданий Национального космического центра по адресу: г.Москва, Филевский б-р (ул. Новозаводская) (АДЦ 2) г.Москва, Филевский б-р (ул. Новозаводская)")</f>
        <v>Проектирование и строительство многофункционального комплекса зданий Национального космического центра по адресу: г.Москва, Филевский б-р (ул. Новозаводская) (АДЦ 2) г.Москва, Филевский б-р (ул. Новозаводская)</v>
      </c>
      <c r="F252" s="25" t="str">
        <f>IFERROR(__xludf.DUMMYFUNCTION("""COMPUTED_VALUE"""),"#N/A")</f>
        <v>#N/A</v>
      </c>
      <c r="G252" s="6" t="str">
        <f>IFERROR(__xludf.DUMMYFUNCTION("""COMPUTED_VALUE"""),"#N/A")</f>
        <v>#N/A</v>
      </c>
      <c r="H252" s="18" t="str">
        <f>IFERROR(__xludf.DUMMYFUNCTION("""COMPUTED_VALUE"""),"https://docs.google.com/spreadsheets/d/19THEBTE9q0fhN2eApZr6BgenIvLGh0AckaYxHQfHk5w/edit?gid=1037526455#gid=1037526455")</f>
        <v>https://docs.google.com/spreadsheets/d/19THEBTE9q0fhN2eApZr6BgenIvLGh0AckaYxHQfHk5w/edit?gid=1037526455#gid=1037526455</v>
      </c>
      <c r="I252" s="19" t="str">
        <f>IFERROR(__xludf.DUMMYFUNCTION("""COMPUTED_VALUE"""),"https://disk.yandex.ru/client/disk/Осмотры%20объектов%20АНО%20СМГ/237%2C238%20Космический%20центр%20(1-8)-9-10-11")</f>
        <v>https://disk.yandex.ru/client/disk/Осмотры%20объектов%20АНО%20СМГ/237%2C238%20Космический%20центр%20(1-8)-9-10-11</v>
      </c>
      <c r="J252" s="50">
        <f>IFERROR(__xludf.DUMMYFUNCTION("""COMPUTED_VALUE"""),74.47891625000001)</f>
        <v>74.47891625</v>
      </c>
      <c r="K252" s="58">
        <f>IFERROR(__xludf.DUMMYFUNCTION("""COMPUTED_VALUE"""),45771.0)</f>
        <v>45771</v>
      </c>
      <c r="L252" s="6">
        <v>14.0</v>
      </c>
      <c r="M252" s="52">
        <v>45785.0</v>
      </c>
      <c r="N252" s="53" t="s">
        <v>668</v>
      </c>
      <c r="O252" s="19" t="s">
        <v>669</v>
      </c>
      <c r="P252" s="6"/>
      <c r="Q252" s="6" t="str">
        <f t="shared" si="1"/>
        <v>#N/A</v>
      </c>
      <c r="R252" s="6"/>
    </row>
    <row r="253" hidden="1">
      <c r="A253" s="31" t="str">
        <f>IFERROR(__xludf.DUMMYFUNCTION("""COMPUTED_VALUE"""),"1025")</f>
        <v>1025</v>
      </c>
      <c r="B253" s="14" t="str">
        <f>IFERROR(__xludf.DUMMYFUNCTION("""COMPUTED_VALUE"""),"ВНЕ СПИСКА")</f>
        <v>ВНЕ СПИСКА</v>
      </c>
      <c r="C253" s="14" t="str">
        <f>IFERROR(__xludf.DUMMYFUNCTION("""COMPUTED_VALUE"""),"ОКС")</f>
        <v>ОКС</v>
      </c>
      <c r="D253" s="15" t="str">
        <f>IFERROR(__xludf.DUMMYFUNCTION("""COMPUTED_VALUE"""),"да")</f>
        <v>да</v>
      </c>
      <c r="E253" s="14" t="str">
        <f>IFERROR(__xludf.DUMMYFUNCTION("""COMPUTED_VALUE"""),"Осмотр хода строительства делового центра,
ЮЗАО, р-н Гагаринский, ул. Академика Зельдовича, з/у 1 р-н Гагаринский, ул. Академика Зельдовича, з/у 1")</f>
        <v>Осмотр хода строительства делового центра,
ЮЗАО, р-н Гагаринский, ул. Академика Зельдовича, з/у 1 р-н Гагаринский, ул. Академика Зельдовича, з/у 1</v>
      </c>
      <c r="F253" s="25" t="str">
        <f>IFERROR(__xludf.DUMMYFUNCTION("""COMPUTED_VALUE"""),"55.705346")</f>
        <v>55.705346</v>
      </c>
      <c r="G253" s="6" t="str">
        <f>IFERROR(__xludf.DUMMYFUNCTION("""COMPUTED_VALUE"""),"37.564311")</f>
        <v>37.564311</v>
      </c>
      <c r="H253" s="18" t="str">
        <f>IFERROR(__xludf.DUMMYFUNCTION("""COMPUTED_VALUE"""),"https://docs.google.com/spreadsheets/d/1EI7qusa674eJhuaw-nWWtWMEHVSYMQv7HLsInEZTWpE/edit?gid=1593340955#gid=1593340955")</f>
        <v>https://docs.google.com/spreadsheets/d/1EI7qusa674eJhuaw-nWWtWMEHVSYMQv7HLsInEZTWpE/edit?gid=1593340955#gid=1593340955</v>
      </c>
      <c r="I253" s="19" t="str">
        <f>IFERROR(__xludf.DUMMYFUNCTION("""COMPUTED_VALUE"""),"https://disk.yandex.ru/client/disk/Осмотры%20объектов%20АНО%20СМГ/1025.%20Административное%20здание.%20ул.%20Академика%20Зельдовича%2C%20з!у%201")</f>
        <v>https://disk.yandex.ru/client/disk/Осмотры%20объектов%20АНО%20СМГ/1025.%20Административное%20здание.%20ул.%20Академика%20Зельдовича%2C%20з!у%201</v>
      </c>
      <c r="J253" s="50"/>
      <c r="K253" s="58">
        <f>IFERROR(__xludf.DUMMYFUNCTION("""COMPUTED_VALUE"""),45972.0)</f>
        <v>45972</v>
      </c>
      <c r="L253" s="6">
        <v>30.0</v>
      </c>
      <c r="M253" s="52">
        <v>46002.0</v>
      </c>
      <c r="N253" s="53" t="s">
        <v>711</v>
      </c>
      <c r="O253" s="19" t="s">
        <v>804</v>
      </c>
      <c r="P253" s="6"/>
      <c r="Q253" s="6" t="str">
        <f t="shared" si="1"/>
        <v>#N/A</v>
      </c>
      <c r="R253" s="6"/>
    </row>
    <row r="254" hidden="1">
      <c r="A254" s="31" t="str">
        <f>IFERROR(__xludf.DUMMYFUNCTION("""COMPUTED_VALUE"""),"231")</f>
        <v>231</v>
      </c>
      <c r="B254" s="14" t="str">
        <f>IFERROR(__xludf.DUMMYFUNCTION("""COMPUTED_VALUE"""),"АИП-26")</f>
        <v>АИП-26</v>
      </c>
      <c r="C254" s="14" t="str">
        <f>IFERROR(__xludf.DUMMYFUNCTION("""COMPUTED_VALUE"""),"ОКС")</f>
        <v>ОКС</v>
      </c>
      <c r="D254" s="15"/>
      <c r="E254" s="14" t="str">
        <f>IFERROR(__xludf.DUMMYFUNCTION("""COMPUTED_VALUE"""),"Реконструкция Центрального Московского ипподрома, САО, Беговой, ул. Беговая, д. 22 Этап 2 г. Москва, ул. Беговая, д. 22")</f>
        <v>Реконструкция Центрального Московского ипподрома, САО, Беговой, ул. Беговая, д. 22 Этап 2 г. Москва, ул. Беговая, д. 22</v>
      </c>
      <c r="F254" s="25" t="str">
        <f>IFERROR(__xludf.DUMMYFUNCTION("""COMPUTED_VALUE"""),"55.777746")</f>
        <v>55.777746</v>
      </c>
      <c r="G254" s="6" t="str">
        <f>IFERROR(__xludf.DUMMYFUNCTION("""COMPUTED_VALUE"""),"37.558642")</f>
        <v>37.558642</v>
      </c>
      <c r="H254" s="6"/>
      <c r="I254" s="19" t="str">
        <f>IFERROR(__xludf.DUMMYFUNCTION("""COMPUTED_VALUE"""),"https://disk.yandex.ru/client/disk/Осмотры%20объектов%20АНО%20СМГ/231.%20Центральный%20Московский%20Ипподром")</f>
        <v>https://disk.yandex.ru/client/disk/Осмотры%20объектов%20АНО%20СМГ/231.%20Центральный%20Московский%20Ипподром</v>
      </c>
      <c r="J254" s="50"/>
      <c r="K254" s="58"/>
      <c r="L254" s="6">
        <v>30.0</v>
      </c>
      <c r="M254" s="52" t="s">
        <v>655</v>
      </c>
      <c r="N254" s="53" t="s">
        <v>698</v>
      </c>
      <c r="O254" s="19" t="s">
        <v>805</v>
      </c>
      <c r="P254" s="6"/>
      <c r="Q254" s="6" t="str">
        <f t="shared" si="1"/>
        <v>#N/A</v>
      </c>
      <c r="R254" s="6"/>
    </row>
    <row r="255" hidden="1">
      <c r="A255" s="31" t="str">
        <f>IFERROR(__xludf.DUMMYFUNCTION("""COMPUTED_VALUE"""),"250")</f>
        <v>250</v>
      </c>
      <c r="B255" s="14" t="str">
        <f>IFERROR(__xludf.DUMMYFUNCTION("""COMPUTED_VALUE"""),"АИП-25")</f>
        <v>АИП-25</v>
      </c>
      <c r="C255" s="14" t="str">
        <f>IFERROR(__xludf.DUMMYFUNCTION("""COMPUTED_VALUE"""),"ОКС")</f>
        <v>ОКС</v>
      </c>
      <c r="D255" s="15"/>
      <c r="E255" s="14" t="str">
        <f>IFERROR(__xludf.DUMMYFUNCTION("""COMPUTED_VALUE"""),"Завершение строительства трамплина К-75 (К-72) 
с инфраструктурой на территории СК «Воробьевы горы» район Раменки, Косыгина ул., вл. 28 на территории СК «Воробьевы горы»")</f>
        <v>Завершение строительства трамплина К-75 (К-72) 
с инфраструктурой на территории СК «Воробьевы горы» район Раменки, Косыгина ул., вл. 28 на территории СК «Воробьевы горы»</v>
      </c>
      <c r="F255" s="25" t="str">
        <f>IFERROR(__xludf.DUMMYFUNCTION("""COMPUTED_VALUE"""),"55.707715")</f>
        <v>55.707715</v>
      </c>
      <c r="G255" s="6" t="str">
        <f>IFERROR(__xludf.DUMMYFUNCTION("""COMPUTED_VALUE"""),"37.546762")</f>
        <v>37.546762</v>
      </c>
      <c r="H255" s="18" t="str">
        <f>IFERROR(__xludf.DUMMYFUNCTION("""COMPUTED_VALUE"""),"https://docs.google.com/spreadsheets/d/19THEBTE9q0fhN2eApZr6BgenIvLGh0AckaYxHQfHk5w/edit?gid=1429092860#gid=1429092860")</f>
        <v>https://docs.google.com/spreadsheets/d/19THEBTE9q0fhN2eApZr6BgenIvLGh0AckaYxHQfHk5w/edit?gid=1429092860#gid=1429092860</v>
      </c>
      <c r="I255" s="19"/>
      <c r="J255" s="50">
        <f>IFERROR(__xludf.DUMMYFUNCTION("""COMPUTED_VALUE"""),96.25675)</f>
        <v>96.25675</v>
      </c>
      <c r="K255" s="58">
        <f>IFERROR(__xludf.DUMMYFUNCTION("""COMPUTED_VALUE"""),45971.0)</f>
        <v>45971</v>
      </c>
      <c r="L255" s="6">
        <v>7.0</v>
      </c>
      <c r="M255" s="52">
        <v>45978.0</v>
      </c>
      <c r="N255" s="53" t="s">
        <v>692</v>
      </c>
      <c r="O255" s="19" t="s">
        <v>806</v>
      </c>
      <c r="P255" s="6"/>
      <c r="Q255" s="6" t="str">
        <f t="shared" si="1"/>
        <v>#N/A</v>
      </c>
      <c r="R255" s="6"/>
    </row>
    <row r="256" hidden="1">
      <c r="A256" s="31" t="str">
        <f>IFERROR(__xludf.DUMMYFUNCTION("""COMPUTED_VALUE"""),"016")</f>
        <v>016</v>
      </c>
      <c r="B256" s="14" t="str">
        <f>IFERROR(__xludf.DUMMYFUNCTION("""COMPUTED_VALUE"""),"АИП-25")</f>
        <v>АИП-25</v>
      </c>
      <c r="C256" s="14" t="str">
        <f>IFERROR(__xludf.DUMMYFUNCTION("""COMPUTED_VALUE"""),"ОКС")</f>
        <v>ОКС</v>
      </c>
      <c r="D256" s="15"/>
      <c r="E256" s="14" t="str">
        <f>IFERROR(__xludf.DUMMYFUNCTION("""COMPUTED_VALUE"""),"Детско-взрослая поликлиника на 750 посещений в смену с женской консультацией и Центр социального обслуживания, пос. Птичное, ул. Лесная район Филимонковский, пос. Птичное, ул. Лесная, з/у 86Б, 86, 86А")</f>
        <v>Детско-взрослая поликлиника на 750 посещений в смену с женской консультацией и Центр социального обслуживания, пос. Птичное, ул. Лесная район Филимонковский, пос. Птичное, ул. Лесная, з/у 86Б, 86, 86А</v>
      </c>
      <c r="F256" s="25" t="str">
        <f>IFERROR(__xludf.DUMMYFUNCTION("""COMPUTED_VALUE"""),"55.526534")</f>
        <v>55.526534</v>
      </c>
      <c r="G256" s="6" t="str">
        <f>IFERROR(__xludf.DUMMYFUNCTION("""COMPUTED_VALUE"""),"37.214836")</f>
        <v>37.214836</v>
      </c>
      <c r="H256" s="18" t="str">
        <f>IFERROR(__xludf.DUMMYFUNCTION("""COMPUTED_VALUE"""),"https://docs.google.com/spreadsheets/d/19THEBTE9q0fhN2eApZr6BgenIvLGh0AckaYxHQfHk5w/edit?gid=1127401829#gid=1127401829")</f>
        <v>https://docs.google.com/spreadsheets/d/19THEBTE9q0fhN2eApZr6BgenIvLGh0AckaYxHQfHk5w/edit?gid=1127401829#gid=1127401829</v>
      </c>
      <c r="I256" s="21" t="str">
        <f>IFERROR(__xludf.DUMMYFUNCTION("""COMPUTED_VALUE"""),"https://disk.yandex.ru/client/disk/%D0%9E%D1%81%D0%BC%D0%BE%D1%82%D1%80%D1%8B%20%D0%BE%D0%B1%D1%8A%D0%B5%D0%BA%D1%82%D0%BE%D0%B2%20%D0%90%D0%9D%D0%9E%20%D0%A1%D0%9C%D0%93/016.%20%D0%9F%D1%82%D0%B8%D1%87%D0%BD%D0%BE%D0%B5%20%D0%BF%D0%BE%D0%BB%D0%B8%D0%BA%D"&amp;"0%BB%D0%B8%D0%BD%D0%B8%D0%BA%D0%B0%20750")</f>
        <v>https://disk.yandex.ru/client/disk/%D0%9E%D1%81%D0%BC%D0%BE%D1%82%D1%80%D1%8B%20%D0%BE%D0%B1%D1%8A%D0%B5%D0%BA%D1%82%D0%BE%D0%B2%20%D0%90%D0%9D%D0%9E%20%D0%A1%D0%9C%D0%93/016.%20%D0%9F%D1%82%D0%B8%D1%87%D0%BD%D0%BE%D0%B5%20%D0%BF%D0%BE%D0%BB%D0%B8%D0%BA%D0%BB%D0%B8%D0%BD%D0%B8%D0%BA%D0%B0%20750</v>
      </c>
      <c r="J256" s="50">
        <f>IFERROR(__xludf.DUMMYFUNCTION("""COMPUTED_VALUE"""),100.0)</f>
        <v>100</v>
      </c>
      <c r="K256" s="58">
        <f>IFERROR(__xludf.DUMMYFUNCTION("""COMPUTED_VALUE"""),45968.0)</f>
        <v>45968</v>
      </c>
      <c r="L256" s="6" t="s">
        <v>654</v>
      </c>
      <c r="M256" s="52" t="s">
        <v>655</v>
      </c>
      <c r="N256" s="53" t="s">
        <v>656</v>
      </c>
      <c r="O256" s="19" t="s">
        <v>807</v>
      </c>
      <c r="P256" s="6"/>
      <c r="Q256" s="6" t="str">
        <f t="shared" si="1"/>
        <v>#N/A</v>
      </c>
      <c r="R256" s="6"/>
    </row>
    <row r="257" hidden="1">
      <c r="A257" s="31" t="str">
        <f>IFERROR(__xludf.DUMMYFUNCTION("""COMPUTED_VALUE"""),"1079")</f>
        <v>1079</v>
      </c>
      <c r="B257" s="14" t="str">
        <f>IFERROR(__xludf.DUMMYFUNCTION("""COMPUTED_VALUE"""),"АИП-25")</f>
        <v>АИП-25</v>
      </c>
      <c r="C257" s="14" t="str">
        <f>IFERROR(__xludf.DUMMYFUNCTION("""COMPUTED_VALUE"""),"ОКС")</f>
        <v>ОКС</v>
      </c>
      <c r="D257" s="15"/>
      <c r="E257" s="14" t="str">
        <f>IFERROR(__xludf.DUMMYFUNCTION("""COMPUTED_VALUE"""),"Реконструкция локальных очистных сооружений г. Троицка г. Москва, г.о.Троицк, Промышленная улица, д.3")</f>
        <v>Реконструкция локальных очистных сооружений г. Троицка г. Москва, г.о.Троицк, Промышленная улица, д.3</v>
      </c>
      <c r="F257" s="25" t="str">
        <f>IFERROR(__xludf.DUMMYFUNCTION("""COMPUTED_VALUE"""),"55.452946")</f>
        <v>55.452946</v>
      </c>
      <c r="G257" s="6" t="str">
        <f>IFERROR(__xludf.DUMMYFUNCTION("""COMPUTED_VALUE"""),"37.273871")</f>
        <v>37.273871</v>
      </c>
      <c r="H257" s="18" t="str">
        <f>IFERROR(__xludf.DUMMYFUNCTION("""COMPUTED_VALUE"""),"https://docs.google.com/spreadsheets/d/19THEBTE9q0fhN2eApZr6BgenIvLGh0AckaYxHQfHk5w/edit?gid=38060356#gid=38060356")</f>
        <v>https://docs.google.com/spreadsheets/d/19THEBTE9q0fhN2eApZr6BgenIvLGh0AckaYxHQfHk5w/edit?gid=38060356#gid=38060356</v>
      </c>
      <c r="I257" s="19" t="str">
        <f>IFERROR(__xludf.DUMMYFUNCTION("""COMPUTED_VALUE"""),"https://disk.yandex.ru/client/disk/Осмотры%20объектов%20АНО%20СМГ/1079.%20Реконструкция%20локальных%20очистных%20сооружений%20г.%20Троицка")</f>
        <v>https://disk.yandex.ru/client/disk/Осмотры%20объектов%20АНО%20СМГ/1079.%20Реконструкция%20локальных%20очистных%20сооружений%20г.%20Троицка</v>
      </c>
      <c r="J257" s="50">
        <f>IFERROR(__xludf.DUMMYFUNCTION("""COMPUTED_VALUE"""),100.0)</f>
        <v>100</v>
      </c>
      <c r="K257" s="58">
        <f>IFERROR(__xludf.DUMMYFUNCTION("""COMPUTED_VALUE"""),45967.0)</f>
        <v>45967</v>
      </c>
      <c r="L257" s="6" t="s">
        <v>654</v>
      </c>
      <c r="M257" s="52" t="s">
        <v>655</v>
      </c>
      <c r="N257" s="53" t="s">
        <v>656</v>
      </c>
      <c r="O257" s="19" t="s">
        <v>808</v>
      </c>
      <c r="P257" s="6"/>
      <c r="Q257" s="6" t="str">
        <f t="shared" si="1"/>
        <v>#N/A</v>
      </c>
      <c r="R257" s="6"/>
    </row>
    <row r="258" hidden="1">
      <c r="A258" s="31" t="str">
        <f>IFERROR(__xludf.DUMMYFUNCTION("""COMPUTED_VALUE"""),"185д (сводный)")</f>
        <v>185д (сводный)</v>
      </c>
      <c r="B258" s="14" t="str">
        <f>IFERROR(__xludf.DUMMYFUNCTION("""COMPUTED_VALUE"""),"АИП-25")</f>
        <v>АИП-25</v>
      </c>
      <c r="C258" s="14" t="str">
        <f>IFERROR(__xludf.DUMMYFUNCTION("""COMPUTED_VALUE"""),"УДС")</f>
        <v>УДС</v>
      </c>
      <c r="D258" s="15"/>
      <c r="E258" s="14" t="str">
        <f>IFERROR(__xludf.DUMMYFUNCTION("""COMPUTED_VALUE"""),"Инженерная и транспортная инфраструктура ММДЦ ""Москва-Сити"". 1 этап. Этап 1.1, Этап 1.2, Этап 1.4, Этап 1.5, Этап 1.6. Этап 1.7. Этап 1.1.1. , Этап 1.1.2. , Этап 1.1.3., Этап 1.2. Этап 1.4.1., Этап 1.4.2. ,Этап 1.5., Этап 1.6.1. , Этап 1.6.2. , Этап 1.3"&amp;".1.,Этап 1.3.2. , Этап 1.3.3. ")</f>
        <v>Инженерная и транспортная инфраструктура ММДЦ "Москва-Сити". 1 этап. Этап 1.1, Этап 1.2, Этап 1.4, Этап 1.5, Этап 1.6. Этап 1.7. Этап 1.1.1. , Этап 1.1.2. , Этап 1.1.3., Этап 1.2. Этап 1.4.1., Этап 1.4.2. ,Этап 1.5., Этап 1.6.1. , Этап 1.6.2. , Этап 1.3.1.,Этап 1.3.2. , Этап 1.3.3. </v>
      </c>
      <c r="F258" s="25" t="str">
        <f>IFERROR(__xludf.DUMMYFUNCTION("""COMPUTED_VALUE"""),"#N/A")</f>
        <v>#N/A</v>
      </c>
      <c r="G258" s="6" t="str">
        <f>IFERROR(__xludf.DUMMYFUNCTION("""COMPUTED_VALUE"""),"#N/A")</f>
        <v>#N/A</v>
      </c>
      <c r="H258" s="6"/>
      <c r="I258" s="6"/>
      <c r="J258" s="50"/>
      <c r="K258" s="58"/>
      <c r="L258" s="6">
        <v>30.0</v>
      </c>
      <c r="M258" s="52" t="s">
        <v>655</v>
      </c>
      <c r="N258" s="53" t="s">
        <v>698</v>
      </c>
      <c r="O258" s="6"/>
      <c r="P258" s="6"/>
      <c r="Q258" s="6" t="str">
        <f t="shared" si="1"/>
        <v>#N/A</v>
      </c>
      <c r="R258" s="6"/>
    </row>
    <row r="259" hidden="1">
      <c r="A259" s="31" t="str">
        <f>IFERROR(__xludf.DUMMYFUNCTION("""COMPUTED_VALUE"""),"НД")</f>
        <v>НД</v>
      </c>
      <c r="B259" s="14" t="str">
        <f>IFERROR(__xludf.DUMMYFUNCTION("""COMPUTED_VALUE"""),"АИП-25")</f>
        <v>АИП-25</v>
      </c>
      <c r="C259" s="14" t="str">
        <f>IFERROR(__xludf.DUMMYFUNCTION("""COMPUTED_VALUE"""),"УДС")</f>
        <v>УДС</v>
      </c>
      <c r="D259" s="15"/>
      <c r="E259" s="14" t="str">
        <f>IFERROR(__xludf.DUMMYFUNCTION("""COMPUTED_VALUE"""),"Инженерная и транспортная инфраструктура ММДЦ ""Москва-Сити"". 1 этап. Этап 1.1. Ппресненская наб, 2-ой Красногвардейский пр-д")</f>
        <v>Инженерная и транспортная инфраструктура ММДЦ "Москва-Сити". 1 этап. Этап 1.1. Ппресненская наб, 2-ой Красногвардейский пр-д</v>
      </c>
      <c r="F259" s="25" t="str">
        <f>IFERROR(__xludf.DUMMYFUNCTION("""COMPUTED_VALUE"""),"#N/A")</f>
        <v>#N/A</v>
      </c>
      <c r="G259" s="6" t="str">
        <f>IFERROR(__xludf.DUMMYFUNCTION("""COMPUTED_VALUE"""),"#N/A")</f>
        <v>#N/A</v>
      </c>
      <c r="H259" s="6"/>
      <c r="I259" s="6"/>
      <c r="J259" s="50"/>
      <c r="K259" s="58"/>
      <c r="L259" s="6">
        <v>30.0</v>
      </c>
      <c r="M259" s="52" t="s">
        <v>655</v>
      </c>
      <c r="N259" s="53" t="s">
        <v>698</v>
      </c>
      <c r="O259" s="6" t="s">
        <v>809</v>
      </c>
      <c r="P259" s="6"/>
      <c r="Q259" s="6" t="str">
        <f t="shared" si="1"/>
        <v>#N/A</v>
      </c>
      <c r="R259" s="6"/>
    </row>
    <row r="260" hidden="1">
      <c r="A260" s="31" t="str">
        <f>IFERROR(__xludf.DUMMYFUNCTION("""COMPUTED_VALUE"""),"НД")</f>
        <v>НД</v>
      </c>
      <c r="B260" s="14" t="str">
        <f>IFERROR(__xludf.DUMMYFUNCTION("""COMPUTED_VALUE"""),"АИП-25")</f>
        <v>АИП-25</v>
      </c>
      <c r="C260" s="14" t="str">
        <f>IFERROR(__xludf.DUMMYFUNCTION("""COMPUTED_VALUE"""),"УДС")</f>
        <v>УДС</v>
      </c>
      <c r="D260" s="15"/>
      <c r="E260" s="14" t="str">
        <f>IFERROR(__xludf.DUMMYFUNCTION("""COMPUTED_VALUE"""),"Инженерная и транспортная инфраструктура ММДЦ ""Москва-Сити"". 1 этап. Этап 1.2. Ппресненская наб, 2-ой Красногвардейский пр-д")</f>
        <v>Инженерная и транспортная инфраструктура ММДЦ "Москва-Сити". 1 этап. Этап 1.2. Ппресненская наб, 2-ой Красногвардейский пр-д</v>
      </c>
      <c r="F260" s="25" t="str">
        <f>IFERROR(__xludf.DUMMYFUNCTION("""COMPUTED_VALUE"""),"#N/A")</f>
        <v>#N/A</v>
      </c>
      <c r="G260" s="6" t="str">
        <f>IFERROR(__xludf.DUMMYFUNCTION("""COMPUTED_VALUE"""),"#N/A")</f>
        <v>#N/A</v>
      </c>
      <c r="H260" s="6"/>
      <c r="I260" s="6"/>
      <c r="J260" s="50"/>
      <c r="K260" s="58"/>
      <c r="L260" s="6">
        <v>30.0</v>
      </c>
      <c r="M260" s="52" t="s">
        <v>655</v>
      </c>
      <c r="N260" s="53" t="s">
        <v>698</v>
      </c>
      <c r="O260" s="6" t="s">
        <v>809</v>
      </c>
      <c r="P260" s="6"/>
      <c r="Q260" s="6" t="str">
        <f t="shared" si="1"/>
        <v>#N/A</v>
      </c>
      <c r="R260" s="6"/>
    </row>
    <row r="261" hidden="1">
      <c r="A261" s="31" t="str">
        <f>IFERROR(__xludf.DUMMYFUNCTION("""COMPUTED_VALUE"""),"185д (этап 1.4.1)")</f>
        <v>185д (этап 1.4.1)</v>
      </c>
      <c r="B261" s="14" t="str">
        <f>IFERROR(__xludf.DUMMYFUNCTION("""COMPUTED_VALUE"""),"АИП-25")</f>
        <v>АИП-25</v>
      </c>
      <c r="C261" s="14" t="str">
        <f>IFERROR(__xludf.DUMMYFUNCTION("""COMPUTED_VALUE"""),"УДС")</f>
        <v>УДС</v>
      </c>
      <c r="D261" s="15"/>
      <c r="E261" s="14" t="str">
        <f>IFERROR(__xludf.DUMMYFUNCTION("""COMPUTED_VALUE"""),"Инженерная и транспортная инфраструктура ММДЦ ""Москва-Сити"". 1 этап. Этап 1.4. Ппресненская наб, 2-ой Красногвардейский пр-д")</f>
        <v>Инженерная и транспортная инфраструктура ММДЦ "Москва-Сити". 1 этап. Этап 1.4. Ппресненская наб, 2-ой Красногвардейский пр-д</v>
      </c>
      <c r="F261" s="25" t="str">
        <f>IFERROR(__xludf.DUMMYFUNCTION("""COMPUTED_VALUE"""),"#N/A")</f>
        <v>#N/A</v>
      </c>
      <c r="G261" s="6" t="str">
        <f>IFERROR(__xludf.DUMMYFUNCTION("""COMPUTED_VALUE"""),"#N/A")</f>
        <v>#N/A</v>
      </c>
      <c r="H261" s="6"/>
      <c r="I261" s="6"/>
      <c r="J261" s="50">
        <f>IFERROR(__xludf.DUMMYFUNCTION("""COMPUTED_VALUE"""),100.0)</f>
        <v>100</v>
      </c>
      <c r="K261" s="58">
        <f>IFERROR(__xludf.DUMMYFUNCTION("""COMPUTED_VALUE"""),45968.0)</f>
        <v>45968</v>
      </c>
      <c r="L261" s="6" t="s">
        <v>654</v>
      </c>
      <c r="M261" s="52" t="s">
        <v>655</v>
      </c>
      <c r="N261" s="53" t="s">
        <v>656</v>
      </c>
      <c r="O261" s="6" t="s">
        <v>809</v>
      </c>
      <c r="P261" s="6"/>
      <c r="Q261" s="6" t="str">
        <f t="shared" si="1"/>
        <v>#N/A</v>
      </c>
      <c r="R261" s="6"/>
    </row>
    <row r="262" hidden="1">
      <c r="A262" s="31" t="str">
        <f>IFERROR(__xludf.DUMMYFUNCTION("""COMPUTED_VALUE"""),"185д (этап 1.5)")</f>
        <v>185д (этап 1.5)</v>
      </c>
      <c r="B262" s="14" t="str">
        <f>IFERROR(__xludf.DUMMYFUNCTION("""COMPUTED_VALUE"""),"АИП-25")</f>
        <v>АИП-25</v>
      </c>
      <c r="C262" s="14" t="str">
        <f>IFERROR(__xludf.DUMMYFUNCTION("""COMPUTED_VALUE"""),"УДС")</f>
        <v>УДС</v>
      </c>
      <c r="D262" s="15"/>
      <c r="E262" s="14" t="str">
        <f>IFERROR(__xludf.DUMMYFUNCTION("""COMPUTED_VALUE"""),"Инженерная и транспортная инфраструктура ММДЦ ""Москва-Сити"". 1 этап. Этап 1.5. Ппресненская наб, 2-ой Красногвардейский пр-д")</f>
        <v>Инженерная и транспортная инфраструктура ММДЦ "Москва-Сити". 1 этап. Этап 1.5. Ппресненская наб, 2-ой Красногвардейский пр-д</v>
      </c>
      <c r="F262" s="25" t="str">
        <f>IFERROR(__xludf.DUMMYFUNCTION("""COMPUTED_VALUE"""),"#N/A")</f>
        <v>#N/A</v>
      </c>
      <c r="G262" s="6" t="str">
        <f>IFERROR(__xludf.DUMMYFUNCTION("""COMPUTED_VALUE"""),"#N/A")</f>
        <v>#N/A</v>
      </c>
      <c r="H262" s="6"/>
      <c r="I262" s="6"/>
      <c r="J262" s="50">
        <f>IFERROR(__xludf.DUMMYFUNCTION("""COMPUTED_VALUE"""),69.2)</f>
        <v>69.2</v>
      </c>
      <c r="K262" s="58">
        <f>IFERROR(__xludf.DUMMYFUNCTION("""COMPUTED_VALUE"""),45968.0)</f>
        <v>45968</v>
      </c>
      <c r="L262" s="6">
        <v>14.0</v>
      </c>
      <c r="M262" s="52">
        <v>45982.0</v>
      </c>
      <c r="N262" s="53" t="s">
        <v>692</v>
      </c>
      <c r="O262" s="6" t="s">
        <v>809</v>
      </c>
      <c r="P262" s="6"/>
      <c r="Q262" s="6" t="str">
        <f t="shared" si="1"/>
        <v>#N/A</v>
      </c>
      <c r="R262" s="6"/>
    </row>
    <row r="263" hidden="1">
      <c r="A263" s="31" t="str">
        <f>IFERROR(__xludf.DUMMYFUNCTION("""COMPUTED_VALUE"""),"НД")</f>
        <v>НД</v>
      </c>
      <c r="B263" s="14" t="str">
        <f>IFERROR(__xludf.DUMMYFUNCTION("""COMPUTED_VALUE"""),"АИП-25")</f>
        <v>АИП-25</v>
      </c>
      <c r="C263" s="14" t="str">
        <f>IFERROR(__xludf.DUMMYFUNCTION("""COMPUTED_VALUE"""),"УДС")</f>
        <v>УДС</v>
      </c>
      <c r="D263" s="15"/>
      <c r="E263" s="14" t="str">
        <f>IFERROR(__xludf.DUMMYFUNCTION("""COMPUTED_VALUE"""),"Инженерная и транспортная инфраструктура ММДЦ ""Москва-Сити"". 1 этап. Этап 1.6. Ппресненская наб, 2-ой Красногвардейский пр-д")</f>
        <v>Инженерная и транспортная инфраструктура ММДЦ "Москва-Сити". 1 этап. Этап 1.6. Ппресненская наб, 2-ой Красногвардейский пр-д</v>
      </c>
      <c r="F263" s="25" t="str">
        <f>IFERROR(__xludf.DUMMYFUNCTION("""COMPUTED_VALUE"""),"#N/A")</f>
        <v>#N/A</v>
      </c>
      <c r="G263" s="6" t="str">
        <f>IFERROR(__xludf.DUMMYFUNCTION("""COMPUTED_VALUE"""),"#N/A")</f>
        <v>#N/A</v>
      </c>
      <c r="H263" s="6"/>
      <c r="I263" s="6"/>
      <c r="J263" s="50"/>
      <c r="K263" s="58"/>
      <c r="L263" s="6">
        <v>30.0</v>
      </c>
      <c r="M263" s="52" t="s">
        <v>655</v>
      </c>
      <c r="N263" s="53" t="s">
        <v>698</v>
      </c>
      <c r="O263" s="6" t="s">
        <v>809</v>
      </c>
      <c r="P263" s="6"/>
      <c r="Q263" s="6" t="str">
        <f t="shared" si="1"/>
        <v>#N/A</v>
      </c>
      <c r="R263" s="6"/>
    </row>
    <row r="264" hidden="1">
      <c r="A264" s="31" t="str">
        <f>IFERROR(__xludf.DUMMYFUNCTION("""COMPUTED_VALUE"""),"НД")</f>
        <v>НД</v>
      </c>
      <c r="B264" s="14" t="str">
        <f>IFERROR(__xludf.DUMMYFUNCTION("""COMPUTED_VALUE"""),"АИП-25")</f>
        <v>АИП-25</v>
      </c>
      <c r="C264" s="14" t="str">
        <f>IFERROR(__xludf.DUMMYFUNCTION("""COMPUTED_VALUE"""),"УДС")</f>
        <v>УДС</v>
      </c>
      <c r="D264" s="15"/>
      <c r="E264" s="14" t="str">
        <f>IFERROR(__xludf.DUMMYFUNCTION("""COMPUTED_VALUE"""),"Инженерная и транспортная инфраструктура ММДЦ ""Москва-Сити"". 1 этап. Этап 1.7. Ппресненская наб, 2-ой Красногвардейский пр-д")</f>
        <v>Инженерная и транспортная инфраструктура ММДЦ "Москва-Сити". 1 этап. Этап 1.7. Ппресненская наб, 2-ой Красногвардейский пр-д</v>
      </c>
      <c r="F264" s="25" t="str">
        <f>IFERROR(__xludf.DUMMYFUNCTION("""COMPUTED_VALUE"""),"#N/A")</f>
        <v>#N/A</v>
      </c>
      <c r="G264" s="6" t="str">
        <f>IFERROR(__xludf.DUMMYFUNCTION("""COMPUTED_VALUE"""),"#N/A")</f>
        <v>#N/A</v>
      </c>
      <c r="H264" s="6"/>
      <c r="I264" s="6"/>
      <c r="J264" s="50"/>
      <c r="K264" s="58"/>
      <c r="L264" s="6">
        <v>30.0</v>
      </c>
      <c r="M264" s="52" t="s">
        <v>655</v>
      </c>
      <c r="N264" s="53" t="s">
        <v>698</v>
      </c>
      <c r="O264" s="6"/>
      <c r="P264" s="6"/>
      <c r="Q264" s="6" t="str">
        <f t="shared" si="1"/>
        <v>#N/A</v>
      </c>
      <c r="R264" s="6"/>
    </row>
    <row r="265" hidden="1">
      <c r="A265" s="31" t="str">
        <f>IFERROR(__xludf.DUMMYFUNCTION("""COMPUTED_VALUE"""),"185д (этап 1.1.1)")</f>
        <v>185д (этап 1.1.1)</v>
      </c>
      <c r="B265" s="14" t="str">
        <f>IFERROR(__xludf.DUMMYFUNCTION("""COMPUTED_VALUE"""),"АИП-25")</f>
        <v>АИП-25</v>
      </c>
      <c r="C265" s="14" t="str">
        <f>IFERROR(__xludf.DUMMYFUNCTION("""COMPUTED_VALUE"""),"УДС")</f>
        <v>УДС</v>
      </c>
      <c r="D265" s="15"/>
      <c r="E265" s="14" t="str">
        <f>IFERROR(__xludf.DUMMYFUNCTION("""COMPUTED_VALUE"""),"Инженерная и транспортная инфраструктура ММДЦ ""Москва-Сити"". 1 этап. Этап 1.1.1. Ппресненская наб, 2-ой Красногвардейский пр-д")</f>
        <v>Инженерная и транспортная инфраструктура ММДЦ "Москва-Сити". 1 этап. Этап 1.1.1. Ппресненская наб, 2-ой Красногвардейский пр-д</v>
      </c>
      <c r="F265" s="25" t="str">
        <f>IFERROR(__xludf.DUMMYFUNCTION("""COMPUTED_VALUE"""),"#N/A")</f>
        <v>#N/A</v>
      </c>
      <c r="G265" s="6" t="str">
        <f>IFERROR(__xludf.DUMMYFUNCTION("""COMPUTED_VALUE"""),"#N/A")</f>
        <v>#N/A</v>
      </c>
      <c r="H265" s="6"/>
      <c r="I265" s="6"/>
      <c r="J265" s="50">
        <f>IFERROR(__xludf.DUMMYFUNCTION("""COMPUTED_VALUE"""),93.1)</f>
        <v>93.1</v>
      </c>
      <c r="K265" s="58">
        <f>IFERROR(__xludf.DUMMYFUNCTION("""COMPUTED_VALUE"""),45968.0)</f>
        <v>45968</v>
      </c>
      <c r="L265" s="6">
        <v>14.0</v>
      </c>
      <c r="M265" s="52">
        <v>45982.0</v>
      </c>
      <c r="N265" s="53" t="s">
        <v>692</v>
      </c>
      <c r="O265" s="6" t="s">
        <v>809</v>
      </c>
      <c r="P265" s="6"/>
      <c r="Q265" s="6" t="str">
        <f t="shared" si="1"/>
        <v>#N/A</v>
      </c>
      <c r="R265" s="6"/>
    </row>
    <row r="266" hidden="1">
      <c r="A266" s="31" t="str">
        <f>IFERROR(__xludf.DUMMYFUNCTION("""COMPUTED_VALUE"""),"185д (этап 1.1.2)")</f>
        <v>185д (этап 1.1.2)</v>
      </c>
      <c r="B266" s="14" t="str">
        <f>IFERROR(__xludf.DUMMYFUNCTION("""COMPUTED_VALUE"""),"АИП-25")</f>
        <v>АИП-25</v>
      </c>
      <c r="C266" s="14" t="str">
        <f>IFERROR(__xludf.DUMMYFUNCTION("""COMPUTED_VALUE"""),"УДС")</f>
        <v>УДС</v>
      </c>
      <c r="D266" s="15"/>
      <c r="E266" s="14" t="str">
        <f>IFERROR(__xludf.DUMMYFUNCTION("""COMPUTED_VALUE"""),"Инженерная и транспортная инфраструктура ММДЦ ""Москва-Сити"". 1 этап. Этап 1.1.2. Ппресненская наб, 2-ой Красногвардейский пр-д")</f>
        <v>Инженерная и транспортная инфраструктура ММДЦ "Москва-Сити". 1 этап. Этап 1.1.2. Ппресненская наб, 2-ой Красногвардейский пр-д</v>
      </c>
      <c r="F266" s="25" t="str">
        <f>IFERROR(__xludf.DUMMYFUNCTION("""COMPUTED_VALUE"""),"#N/A")</f>
        <v>#N/A</v>
      </c>
      <c r="G266" s="6" t="str">
        <f>IFERROR(__xludf.DUMMYFUNCTION("""COMPUTED_VALUE"""),"#N/A")</f>
        <v>#N/A</v>
      </c>
      <c r="H266" s="6"/>
      <c r="I266" s="6"/>
      <c r="J266" s="50">
        <f>IFERROR(__xludf.DUMMYFUNCTION("""COMPUTED_VALUE"""),72.96000000000001)</f>
        <v>72.96</v>
      </c>
      <c r="K266" s="58">
        <f>IFERROR(__xludf.DUMMYFUNCTION("""COMPUTED_VALUE"""),45968.0)</f>
        <v>45968</v>
      </c>
      <c r="L266" s="6">
        <v>14.0</v>
      </c>
      <c r="M266" s="52">
        <v>45982.0</v>
      </c>
      <c r="N266" s="53" t="s">
        <v>692</v>
      </c>
      <c r="O266" s="6" t="s">
        <v>809</v>
      </c>
      <c r="P266" s="6"/>
      <c r="Q266" s="6" t="str">
        <f t="shared" si="1"/>
        <v>#N/A</v>
      </c>
      <c r="R266" s="6"/>
    </row>
    <row r="267" hidden="1">
      <c r="A267" s="31" t="str">
        <f>IFERROR(__xludf.DUMMYFUNCTION("""COMPUTED_VALUE"""),"185д (этап 1.1.3)")</f>
        <v>185д (этап 1.1.3)</v>
      </c>
      <c r="B267" s="14" t="str">
        <f>IFERROR(__xludf.DUMMYFUNCTION("""COMPUTED_VALUE"""),"АИП-25")</f>
        <v>АИП-25</v>
      </c>
      <c r="C267" s="14" t="str">
        <f>IFERROR(__xludf.DUMMYFUNCTION("""COMPUTED_VALUE"""),"УДС")</f>
        <v>УДС</v>
      </c>
      <c r="D267" s="15"/>
      <c r="E267" s="14" t="str">
        <f>IFERROR(__xludf.DUMMYFUNCTION("""COMPUTED_VALUE"""),"Инженерная и транспортная инфраструктура ММДЦ ""Москва-Сити"". 1 этап. Этап 1.1.3. Ппресненская наб, 2-ой Красногвардейский пр-д")</f>
        <v>Инженерная и транспортная инфраструктура ММДЦ "Москва-Сити". 1 этап. Этап 1.1.3. Ппресненская наб, 2-ой Красногвардейский пр-д</v>
      </c>
      <c r="F267" s="25" t="str">
        <f>IFERROR(__xludf.DUMMYFUNCTION("""COMPUTED_VALUE"""),"#N/A")</f>
        <v>#N/A</v>
      </c>
      <c r="G267" s="6" t="str">
        <f>IFERROR(__xludf.DUMMYFUNCTION("""COMPUTED_VALUE"""),"#N/A")</f>
        <v>#N/A</v>
      </c>
      <c r="H267" s="6"/>
      <c r="I267" s="6"/>
      <c r="J267" s="50">
        <f>IFERROR(__xludf.DUMMYFUNCTION("""COMPUTED_VALUE"""),99.0)</f>
        <v>99</v>
      </c>
      <c r="K267" s="58">
        <f>IFERROR(__xludf.DUMMYFUNCTION("""COMPUTED_VALUE"""),45968.0)</f>
        <v>45968</v>
      </c>
      <c r="L267" s="6">
        <v>7.0</v>
      </c>
      <c r="M267" s="52">
        <v>45975.0</v>
      </c>
      <c r="N267" s="53" t="s">
        <v>701</v>
      </c>
      <c r="O267" s="6" t="s">
        <v>809</v>
      </c>
      <c r="P267" s="6"/>
      <c r="Q267" s="6" t="str">
        <f t="shared" si="1"/>
        <v>#N/A</v>
      </c>
      <c r="R267" s="6"/>
    </row>
    <row r="268" hidden="1">
      <c r="A268" s="31" t="str">
        <f>IFERROR(__xludf.DUMMYFUNCTION("""COMPUTED_VALUE"""),"185д (этап 1.4.2)")</f>
        <v>185д (этап 1.4.2)</v>
      </c>
      <c r="B268" s="14" t="str">
        <f>IFERROR(__xludf.DUMMYFUNCTION("""COMPUTED_VALUE"""),"АИП-25")</f>
        <v>АИП-25</v>
      </c>
      <c r="C268" s="14" t="str">
        <f>IFERROR(__xludf.DUMMYFUNCTION("""COMPUTED_VALUE"""),"УДС")</f>
        <v>УДС</v>
      </c>
      <c r="D268" s="15"/>
      <c r="E268" s="14" t="str">
        <f>IFERROR(__xludf.DUMMYFUNCTION("""COMPUTED_VALUE"""),"Инженерная и транспортная инфраструктура ММДЦ ""Москва-Сити"". 1 этап. Этап 1.4.2. Ппресненская наб, 2-ой Красногвардейский пр-д")</f>
        <v>Инженерная и транспортная инфраструктура ММДЦ "Москва-Сити". 1 этап. Этап 1.4.2. Ппресненская наб, 2-ой Красногвардейский пр-д</v>
      </c>
      <c r="F268" s="25" t="str">
        <f>IFERROR(__xludf.DUMMYFUNCTION("""COMPUTED_VALUE"""),"#N/A")</f>
        <v>#N/A</v>
      </c>
      <c r="G268" s="6" t="str">
        <f>IFERROR(__xludf.DUMMYFUNCTION("""COMPUTED_VALUE"""),"#N/A")</f>
        <v>#N/A</v>
      </c>
      <c r="H268" s="6"/>
      <c r="I268" s="6"/>
      <c r="J268" s="50">
        <f>IFERROR(__xludf.DUMMYFUNCTION("""COMPUTED_VALUE"""),100.0)</f>
        <v>100</v>
      </c>
      <c r="K268" s="58">
        <f>IFERROR(__xludf.DUMMYFUNCTION("""COMPUTED_VALUE"""),45968.0)</f>
        <v>45968</v>
      </c>
      <c r="L268" s="6" t="s">
        <v>654</v>
      </c>
      <c r="M268" s="52" t="s">
        <v>655</v>
      </c>
      <c r="N268" s="53" t="s">
        <v>656</v>
      </c>
      <c r="O268" s="6" t="s">
        <v>809</v>
      </c>
      <c r="P268" s="6"/>
      <c r="Q268" s="6" t="str">
        <f t="shared" si="1"/>
        <v>#N/A</v>
      </c>
      <c r="R268" s="6"/>
    </row>
    <row r="269" hidden="1">
      <c r="A269" s="31" t="str">
        <f>IFERROR(__xludf.DUMMYFUNCTION("""COMPUTED_VALUE"""),"185д (этап 1.6.1)")</f>
        <v>185д (этап 1.6.1)</v>
      </c>
      <c r="B269" s="14" t="str">
        <f>IFERROR(__xludf.DUMMYFUNCTION("""COMPUTED_VALUE"""),"АИП-25")</f>
        <v>АИП-25</v>
      </c>
      <c r="C269" s="14" t="str">
        <f>IFERROR(__xludf.DUMMYFUNCTION("""COMPUTED_VALUE"""),"УДС")</f>
        <v>УДС</v>
      </c>
      <c r="D269" s="15"/>
      <c r="E269" s="14" t="str">
        <f>IFERROR(__xludf.DUMMYFUNCTION("""COMPUTED_VALUE"""),"Инженерная и транспортная инфраструктура ММДЦ ""Москва-Сити"". 1 этап. Этап 1.6.1. Ппресненская наб, 2-ой Красногвардейский пр-д")</f>
        <v>Инженерная и транспортная инфраструктура ММДЦ "Москва-Сити". 1 этап. Этап 1.6.1. Ппресненская наб, 2-ой Красногвардейский пр-д</v>
      </c>
      <c r="F269" s="25" t="str">
        <f>IFERROR(__xludf.DUMMYFUNCTION("""COMPUTED_VALUE"""),"#N/A")</f>
        <v>#N/A</v>
      </c>
      <c r="G269" s="6" t="str">
        <f>IFERROR(__xludf.DUMMYFUNCTION("""COMPUTED_VALUE"""),"#N/A")</f>
        <v>#N/A</v>
      </c>
      <c r="H269" s="6"/>
      <c r="I269" s="6"/>
      <c r="J269" s="50">
        <f>IFERROR(__xludf.DUMMYFUNCTION("""COMPUTED_VALUE"""),91.68)</f>
        <v>91.68</v>
      </c>
      <c r="K269" s="58">
        <f>IFERROR(__xludf.DUMMYFUNCTION("""COMPUTED_VALUE"""),45968.0)</f>
        <v>45968</v>
      </c>
      <c r="L269" s="6">
        <v>14.0</v>
      </c>
      <c r="M269" s="52">
        <v>45982.0</v>
      </c>
      <c r="N269" s="53" t="s">
        <v>692</v>
      </c>
      <c r="O269" s="6" t="s">
        <v>809</v>
      </c>
      <c r="P269" s="6"/>
      <c r="Q269" s="6" t="str">
        <f t="shared" si="1"/>
        <v>#N/A</v>
      </c>
      <c r="R269" s="6"/>
    </row>
    <row r="270" hidden="1">
      <c r="A270" s="31" t="str">
        <f>IFERROR(__xludf.DUMMYFUNCTION("""COMPUTED_VALUE"""),"185д (этап 1.6.2)")</f>
        <v>185д (этап 1.6.2)</v>
      </c>
      <c r="B270" s="14" t="str">
        <f>IFERROR(__xludf.DUMMYFUNCTION("""COMPUTED_VALUE"""),"АИП-25")</f>
        <v>АИП-25</v>
      </c>
      <c r="C270" s="14" t="str">
        <f>IFERROR(__xludf.DUMMYFUNCTION("""COMPUTED_VALUE"""),"УДС")</f>
        <v>УДС</v>
      </c>
      <c r="D270" s="15"/>
      <c r="E270" s="14" t="str">
        <f>IFERROR(__xludf.DUMMYFUNCTION("""COMPUTED_VALUE"""),"Инженерная и транспортная инфраструктура ММДЦ ""Москва-Сити"". 1 этап. Этап 1.6.2. Ппресненская наб, 2-ой Красногвардейский пр-д")</f>
        <v>Инженерная и транспортная инфраструктура ММДЦ "Москва-Сити". 1 этап. Этап 1.6.2. Ппресненская наб, 2-ой Красногвардейский пр-д</v>
      </c>
      <c r="F270" s="25" t="str">
        <f>IFERROR(__xludf.DUMMYFUNCTION("""COMPUTED_VALUE"""),"#N/A")</f>
        <v>#N/A</v>
      </c>
      <c r="G270" s="6" t="str">
        <f>IFERROR(__xludf.DUMMYFUNCTION("""COMPUTED_VALUE"""),"#N/A")</f>
        <v>#N/A</v>
      </c>
      <c r="H270" s="6"/>
      <c r="I270" s="6"/>
      <c r="J270" s="50">
        <f>IFERROR(__xludf.DUMMYFUNCTION("""COMPUTED_VALUE"""),99.24)</f>
        <v>99.24</v>
      </c>
      <c r="K270" s="58">
        <f>IFERROR(__xludf.DUMMYFUNCTION("""COMPUTED_VALUE"""),45968.0)</f>
        <v>45968</v>
      </c>
      <c r="L270" s="6">
        <v>7.0</v>
      </c>
      <c r="M270" s="52">
        <v>45975.0</v>
      </c>
      <c r="N270" s="53" t="s">
        <v>701</v>
      </c>
      <c r="O270" s="6" t="s">
        <v>809</v>
      </c>
      <c r="P270" s="6"/>
      <c r="Q270" s="6" t="str">
        <f t="shared" si="1"/>
        <v>#N/A</v>
      </c>
      <c r="R270" s="6"/>
    </row>
    <row r="271" hidden="1">
      <c r="A271" s="31" t="str">
        <f>IFERROR(__xludf.DUMMYFUNCTION("""COMPUTED_VALUE"""),"185д (этап 1.3.1)")</f>
        <v>185д (этап 1.3.1)</v>
      </c>
      <c r="B271" s="14" t="str">
        <f>IFERROR(__xludf.DUMMYFUNCTION("""COMPUTED_VALUE"""),"АИП-25")</f>
        <v>АИП-25</v>
      </c>
      <c r="C271" s="14" t="str">
        <f>IFERROR(__xludf.DUMMYFUNCTION("""COMPUTED_VALUE"""),"УДС")</f>
        <v>УДС</v>
      </c>
      <c r="D271" s="15"/>
      <c r="E271" s="14" t="str">
        <f>IFERROR(__xludf.DUMMYFUNCTION("""COMPUTED_VALUE"""),"Инженерная и транспортная инфраструктура ММДЦ ""Москва-Сити"". 1 этап. Этап 1.3.1. Ппресненская наб, 2-ой Красногвардейский пр-д")</f>
        <v>Инженерная и транспортная инфраструктура ММДЦ "Москва-Сити". 1 этап. Этап 1.3.1. Ппресненская наб, 2-ой Красногвардейский пр-д</v>
      </c>
      <c r="F271" s="25" t="str">
        <f>IFERROR(__xludf.DUMMYFUNCTION("""COMPUTED_VALUE"""),"#N/A")</f>
        <v>#N/A</v>
      </c>
      <c r="G271" s="6" t="str">
        <f>IFERROR(__xludf.DUMMYFUNCTION("""COMPUTED_VALUE"""),"#N/A")</f>
        <v>#N/A</v>
      </c>
      <c r="H271" s="6"/>
      <c r="I271" s="6"/>
      <c r="J271" s="50">
        <f>IFERROR(__xludf.DUMMYFUNCTION("""COMPUTED_VALUE"""),63.349999999999994)</f>
        <v>63.35</v>
      </c>
      <c r="K271" s="58">
        <f>IFERROR(__xludf.DUMMYFUNCTION("""COMPUTED_VALUE"""),45968.0)</f>
        <v>45968</v>
      </c>
      <c r="L271" s="6">
        <v>14.0</v>
      </c>
      <c r="M271" s="52">
        <v>45982.0</v>
      </c>
      <c r="N271" s="53" t="s">
        <v>692</v>
      </c>
      <c r="O271" s="6" t="s">
        <v>810</v>
      </c>
      <c r="P271" s="6"/>
      <c r="Q271" s="6" t="str">
        <f t="shared" si="1"/>
        <v>#N/A</v>
      </c>
      <c r="R271" s="6"/>
    </row>
    <row r="272" hidden="1">
      <c r="A272" s="31" t="str">
        <f>IFERROR(__xludf.DUMMYFUNCTION("""COMPUTED_VALUE"""),"185д (этап 1.3.2)")</f>
        <v>185д (этап 1.3.2)</v>
      </c>
      <c r="B272" s="14" t="str">
        <f>IFERROR(__xludf.DUMMYFUNCTION("""COMPUTED_VALUE"""),"АИП-25")</f>
        <v>АИП-25</v>
      </c>
      <c r="C272" s="14" t="str">
        <f>IFERROR(__xludf.DUMMYFUNCTION("""COMPUTED_VALUE"""),"УДС")</f>
        <v>УДС</v>
      </c>
      <c r="D272" s="15"/>
      <c r="E272" s="14" t="str">
        <f>IFERROR(__xludf.DUMMYFUNCTION("""COMPUTED_VALUE"""),"Инженерная и транспортная инфраструктура ММДЦ ""Москва-Сити"". 1 этап. Этап 1.3.2. Ппресненская наб, 2-ой Красногвардейский пр-д")</f>
        <v>Инженерная и транспортная инфраструктура ММДЦ "Москва-Сити". 1 этап. Этап 1.3.2. Ппресненская наб, 2-ой Красногвардейский пр-д</v>
      </c>
      <c r="F272" s="25" t="str">
        <f>IFERROR(__xludf.DUMMYFUNCTION("""COMPUTED_VALUE"""),"#N/A")</f>
        <v>#N/A</v>
      </c>
      <c r="G272" s="6" t="str">
        <f>IFERROR(__xludf.DUMMYFUNCTION("""COMPUTED_VALUE"""),"#N/A")</f>
        <v>#N/A</v>
      </c>
      <c r="H272" s="6"/>
      <c r="I272" s="6"/>
      <c r="J272" s="50">
        <f>IFERROR(__xludf.DUMMYFUNCTION("""COMPUTED_VALUE"""),80.62299999999999)</f>
        <v>80.623</v>
      </c>
      <c r="K272" s="58">
        <f>IFERROR(__xludf.DUMMYFUNCTION("""COMPUTED_VALUE"""),45968.0)</f>
        <v>45968</v>
      </c>
      <c r="L272" s="6">
        <v>14.0</v>
      </c>
      <c r="M272" s="52">
        <v>45982.0</v>
      </c>
      <c r="N272" s="53" t="s">
        <v>692</v>
      </c>
      <c r="O272" s="6" t="s">
        <v>809</v>
      </c>
      <c r="P272" s="6"/>
      <c r="Q272" s="6" t="str">
        <f t="shared" si="1"/>
        <v>#N/A</v>
      </c>
      <c r="R272" s="6"/>
    </row>
    <row r="273" hidden="1">
      <c r="A273" s="31" t="str">
        <f>IFERROR(__xludf.DUMMYFUNCTION("""COMPUTED_VALUE"""),"185д (этап 1.3.3)")</f>
        <v>185д (этап 1.3.3)</v>
      </c>
      <c r="B273" s="14" t="str">
        <f>IFERROR(__xludf.DUMMYFUNCTION("""COMPUTED_VALUE"""),"АИП-25")</f>
        <v>АИП-25</v>
      </c>
      <c r="C273" s="14" t="str">
        <f>IFERROR(__xludf.DUMMYFUNCTION("""COMPUTED_VALUE"""),"УДС")</f>
        <v>УДС</v>
      </c>
      <c r="D273" s="15"/>
      <c r="E273" s="14" t="str">
        <f>IFERROR(__xludf.DUMMYFUNCTION("""COMPUTED_VALUE"""),"Инженерная и транспортная инфраструктура ММДЦ ""Москва-Сити"". 1 этап. Этап 1.3.3 Ппресненская наб, 2-ой Красногвардейский пр-д")</f>
        <v>Инженерная и транспортная инфраструктура ММДЦ "Москва-Сити". 1 этап. Этап 1.3.3 Ппресненская наб, 2-ой Красногвардейский пр-д</v>
      </c>
      <c r="F273" s="25" t="str">
        <f>IFERROR(__xludf.DUMMYFUNCTION("""COMPUTED_VALUE"""),"#N/A")</f>
        <v>#N/A</v>
      </c>
      <c r="G273" s="6" t="str">
        <f>IFERROR(__xludf.DUMMYFUNCTION("""COMPUTED_VALUE"""),"#N/A")</f>
        <v>#N/A</v>
      </c>
      <c r="H273" s="6"/>
      <c r="I273" s="6"/>
      <c r="J273" s="50">
        <f>IFERROR(__xludf.DUMMYFUNCTION("""COMPUTED_VALUE"""),93.45259999999999)</f>
        <v>93.4526</v>
      </c>
      <c r="K273" s="58">
        <f>IFERROR(__xludf.DUMMYFUNCTION("""COMPUTED_VALUE"""),45968.0)</f>
        <v>45968</v>
      </c>
      <c r="L273" s="6">
        <v>14.0</v>
      </c>
      <c r="M273" s="52">
        <v>45982.0</v>
      </c>
      <c r="N273" s="53" t="s">
        <v>692</v>
      </c>
      <c r="O273" s="6" t="s">
        <v>809</v>
      </c>
      <c r="P273" s="6"/>
      <c r="Q273" s="6" t="str">
        <f t="shared" si="1"/>
        <v>#N/A</v>
      </c>
      <c r="R273" s="6"/>
    </row>
    <row r="274" hidden="1">
      <c r="A274" s="31" t="str">
        <f>IFERROR(__xludf.DUMMYFUNCTION("""COMPUTED_VALUE"""),"177д")</f>
        <v>177д</v>
      </c>
      <c r="B274" s="14" t="str">
        <f>IFERROR(__xludf.DUMMYFUNCTION("""COMPUTED_VALUE"""),"АИП-25")</f>
        <v>АИП-25</v>
      </c>
      <c r="C274" s="14" t="str">
        <f>IFERROR(__xludf.DUMMYFUNCTION("""COMPUTED_VALUE"""),"УДС")</f>
        <v>УДС</v>
      </c>
      <c r="D274" s="15"/>
      <c r="E274" s="14" t="str">
        <f>IFERROR(__xludf.DUMMYFUNCTION("""COMPUTED_VALUE"""),"Строительство и реконструкция автомобильной дороги Мамыри-Пенино-Шарапово (Искусственные сооружения) г.Москва, Летово-Пенино")</f>
        <v>Строительство и реконструкция автомобильной дороги Мамыри-Пенино-Шарапово (Искусственные сооружения) г.Москва, Летово-Пенино</v>
      </c>
      <c r="F274" s="25" t="str">
        <f>IFERROR(__xludf.DUMMYFUNCTION("""COMPUTED_VALUE"""),"#N/A")</f>
        <v>#N/A</v>
      </c>
      <c r="G274" s="6" t="str">
        <f>IFERROR(__xludf.DUMMYFUNCTION("""COMPUTED_VALUE"""),"#N/A")</f>
        <v>#N/A</v>
      </c>
      <c r="H274" s="6"/>
      <c r="I274" s="6"/>
      <c r="J274" s="50">
        <f>IFERROR(__xludf.DUMMYFUNCTION("""COMPUTED_VALUE"""),92.81768101265826)</f>
        <v>92.81768101</v>
      </c>
      <c r="K274" s="58">
        <f>IFERROR(__xludf.DUMMYFUNCTION("""COMPUTED_VALUE"""),45974.0)</f>
        <v>45974</v>
      </c>
      <c r="L274" s="6">
        <v>14.0</v>
      </c>
      <c r="M274" s="52">
        <v>45988.0</v>
      </c>
      <c r="N274" s="53" t="s">
        <v>711</v>
      </c>
      <c r="O274" s="6"/>
      <c r="P274" s="6"/>
      <c r="Q274" s="6" t="str">
        <f t="shared" si="1"/>
        <v>#N/A</v>
      </c>
      <c r="R274" s="6"/>
    </row>
    <row r="275" hidden="1">
      <c r="A275" s="31"/>
      <c r="B275" s="14"/>
      <c r="C275" s="14" t="str">
        <f>IFERROR(__xludf.DUMMYFUNCTION("""COMPUTED_VALUE"""),"УДС")</f>
        <v>УДС</v>
      </c>
      <c r="D275" s="15"/>
      <c r="E275" s="14" t="str">
        <f>IFERROR(__xludf.DUMMYFUNCTION("""COMPUTED_VALUE"""),"Строительство и реконструкция магистральной улицы общегородского значения ""Мамыри –  Пенино - Шарапово"", 1 очередь ""Николо-Хованская ул. – а/д ""М-3 Украина – Середнево – Марьино – Десна"" (Этапы 2, 3, 4, 6) поселения Десеновское, Сосенское, Филимонков"&amp;"ское, Новомосковский административный округ города Москвы")</f>
        <v>Строительство и реконструкция магистральной улицы общегородского значения "Мамыри –  Пенино - Шарапово", 1 очередь "Николо-Хованская ул. – а/д "М-3 Украина – Середнево – Марьино – Десна" (Этапы 2, 3, 4, 6) поселения Десеновское, Сосенское, Филимонковское, Новомосковский административный округ города Москвы</v>
      </c>
      <c r="F275" s="25" t="str">
        <f>IFERROR(__xludf.DUMMYFUNCTION("""COMPUTED_VALUE"""),"#N/A")</f>
        <v>#N/A</v>
      </c>
      <c r="G275" s="6" t="str">
        <f>IFERROR(__xludf.DUMMYFUNCTION("""COMPUTED_VALUE"""),"#N/A")</f>
        <v>#N/A</v>
      </c>
      <c r="H275" s="6"/>
      <c r="I275" s="6"/>
      <c r="J275" s="50"/>
      <c r="K275" s="58"/>
      <c r="L275" s="6" t="s">
        <v>655</v>
      </c>
      <c r="M275" s="52" t="s">
        <v>655</v>
      </c>
      <c r="N275" s="53" t="s">
        <v>655</v>
      </c>
      <c r="O275" s="6" t="s">
        <v>811</v>
      </c>
      <c r="P275" s="6"/>
      <c r="Q275" s="6" t="str">
        <f t="shared" si="1"/>
        <v>#N/A</v>
      </c>
      <c r="R275" s="6"/>
    </row>
    <row r="276" hidden="1">
      <c r="A276" s="31"/>
      <c r="B276" s="14"/>
      <c r="C276" s="14" t="str">
        <f>IFERROR(__xludf.DUMMYFUNCTION("""COMPUTED_VALUE"""),"УДС")</f>
        <v>УДС</v>
      </c>
      <c r="D276" s="15"/>
      <c r="E276" s="14" t="str">
        <f>IFERROR(__xludf.DUMMYFUNCTION("""COMPUTED_VALUE"""),"Строительство и реконструкция магистральной улицы общегородского значения «Мамыри - Пенино - Шарапово», 1 очередь «Николо - Хованская улица -а/д «М-3 Украина – Середнево -Марьино -Десна (Этап 5,7,8,9,10,11) поселения Десеновское, Сосенское, Филимонковское"&amp;", Новомосковский административный округ города Москвы")</f>
        <v>Строительство и реконструкция магистральной улицы общегородского значения «Мамыри - Пенино - Шарапово», 1 очередь «Николо - Хованская улица -а/д «М-3 Украина – Середнево -Марьино -Десна (Этап 5,7,8,9,10,11) поселения Десеновское, Сосенское, Филимонковское, Новомосковский административный округ города Москвы</v>
      </c>
      <c r="F276" s="25" t="str">
        <f>IFERROR(__xludf.DUMMYFUNCTION("""COMPUTED_VALUE"""),"#N/A")</f>
        <v>#N/A</v>
      </c>
      <c r="G276" s="6" t="str">
        <f>IFERROR(__xludf.DUMMYFUNCTION("""COMPUTED_VALUE"""),"#N/A")</f>
        <v>#N/A</v>
      </c>
      <c r="H276" s="6"/>
      <c r="I276" s="6"/>
      <c r="J276" s="50"/>
      <c r="K276" s="58"/>
      <c r="L276" s="6" t="s">
        <v>655</v>
      </c>
      <c r="M276" s="52" t="s">
        <v>655</v>
      </c>
      <c r="N276" s="53" t="s">
        <v>655</v>
      </c>
      <c r="O276" s="6" t="s">
        <v>812</v>
      </c>
      <c r="P276" s="6"/>
      <c r="Q276" s="6" t="str">
        <f t="shared" si="1"/>
        <v>#N/A</v>
      </c>
      <c r="R276" s="6"/>
    </row>
    <row r="277" hidden="1">
      <c r="A277" s="31" t="str">
        <f>IFERROR(__xludf.DUMMYFUNCTION("""COMPUTED_VALUE"""),"175д")</f>
        <v>175д</v>
      </c>
      <c r="B277" s="14" t="str">
        <f>IFERROR(__xludf.DUMMYFUNCTION("""COMPUTED_VALUE"""),"АИП-25")</f>
        <v>АИП-25</v>
      </c>
      <c r="C277" s="14" t="str">
        <f>IFERROR(__xludf.DUMMYFUNCTION("""COMPUTED_VALUE"""),"УДС")</f>
        <v>УДС</v>
      </c>
      <c r="D277" s="15"/>
      <c r="E277" s="14" t="str">
        <f>IFERROR(__xludf.DUMMYFUNCTION("""COMPUTED_VALUE"""),"Строительство улицы районного значения от Боровского ш. до ж/д ст. Кокошкино от Боровского шоссе до ж/д ст. Кокошкино (Киевское направление МЖД)")</f>
        <v>Строительство улицы районного значения от Боровского ш. до ж/д ст. Кокошкино от Боровского шоссе до ж/д ст. Кокошкино (Киевское направление МЖД)</v>
      </c>
      <c r="F277" s="25" t="str">
        <f>IFERROR(__xludf.DUMMYFUNCTION("""COMPUTED_VALUE"""),"#N/A")</f>
        <v>#N/A</v>
      </c>
      <c r="G277" s="6" t="str">
        <f>IFERROR(__xludf.DUMMYFUNCTION("""COMPUTED_VALUE"""),"#N/A")</f>
        <v>#N/A</v>
      </c>
      <c r="H277" s="6"/>
      <c r="I277" s="6"/>
      <c r="J277" s="50">
        <f>IFERROR(__xludf.DUMMYFUNCTION("""COMPUTED_VALUE"""),0.0)</f>
        <v>0</v>
      </c>
      <c r="K277" s="58">
        <f>IFERROR(__xludf.DUMMYFUNCTION("""COMPUTED_VALUE"""),45968.0)</f>
        <v>45968</v>
      </c>
      <c r="L277" s="6">
        <v>30.0</v>
      </c>
      <c r="M277" s="52">
        <v>45998.0</v>
      </c>
      <c r="N277" s="53" t="s">
        <v>711</v>
      </c>
      <c r="O277" s="6" t="s">
        <v>813</v>
      </c>
      <c r="P277" s="6"/>
      <c r="Q277" s="6" t="str">
        <f t="shared" si="1"/>
        <v>#N/A</v>
      </c>
      <c r="R277" s="6"/>
    </row>
    <row r="278" hidden="1">
      <c r="A278" s="31" t="str">
        <f>IFERROR(__xludf.DUMMYFUNCTION("""COMPUTED_VALUE"""),"1128")</f>
        <v>1128</v>
      </c>
      <c r="B278" s="14" t="str">
        <f>IFERROR(__xludf.DUMMYFUNCTION("""COMPUTED_VALUE"""),"АИП-25")</f>
        <v>АИП-25</v>
      </c>
      <c r="C278" s="14" t="str">
        <f>IFERROR(__xludf.DUMMYFUNCTION("""COMPUTED_VALUE"""),"ОКС")</f>
        <v>ОКС</v>
      </c>
      <c r="D278" s="15"/>
      <c r="E278" s="14" t="str">
        <f>IFERROR(__xludf.DUMMYFUNCTION("""COMPUTED_VALUE"""),"Водозаборные узлы для ассоциации садоводческих некоммерческих товариществ «Бель» в Талдомском районе Московской области. Этап 2  Талдомский г.о., северо-восточнее д. Бельское, 
з/у с кадастровым номером 50:01:0060525:194")</f>
        <v>Водозаборные узлы для ассоциации садоводческих некоммерческих товариществ «Бель» в Талдомском районе Московской области. Этап 2  Талдомский г.о., северо-восточнее д. Бельское, 
з/у с кадастровым номером 50:01:0060525:194</v>
      </c>
      <c r="F278" s="25" t="str">
        <f>IFERROR(__xludf.DUMMYFUNCTION("""COMPUTED_VALUE"""),"56.644096")</f>
        <v>56.644096</v>
      </c>
      <c r="G278" s="6" t="str">
        <f>IFERROR(__xludf.DUMMYFUNCTION("""COMPUTED_VALUE"""),"37.663715")</f>
        <v>37.663715</v>
      </c>
      <c r="H278" s="18" t="str">
        <f>IFERROR(__xludf.DUMMYFUNCTION("""COMPUTED_VALUE"""),"https://docs.google.com/spreadsheets/d/19THEBTE9q0fhN2eApZr6BgenIvLGh0AckaYxHQfHk5w/edit?gid=440902567#gid=440902567")</f>
        <v>https://docs.google.com/spreadsheets/d/19THEBTE9q0fhN2eApZr6BgenIvLGh0AckaYxHQfHk5w/edit?gid=440902567#gid=440902567</v>
      </c>
      <c r="I278" s="19" t="str">
        <f>IFERROR(__xludf.DUMMYFUNCTION("""COMPUTED_VALUE"""),"https://disk.yandex.ru/client/disk/Осмотры%20объектов%20АНО%20СМГ/1128%20Водозаборные%20узлы%20для%20ассоциации%20садоводческих%20некоммерческих%0Aтовариществ%20«Бель»%20в%20Талдомском%20районе%20Московской%20области.Этап%202")</f>
        <v>https://disk.yandex.ru/client/disk/Осмотры%20объектов%20АНО%20СМГ/1128%20Водозаборные%20узлы%20для%20ассоциации%20садоводческих%20некоммерческих%0Aтовариществ%20«Бель»%20в%20Талдомском%20районе%20Московской%20области.Этап%202</v>
      </c>
      <c r="J278" s="50">
        <f>IFERROR(__xludf.DUMMYFUNCTION("""COMPUTED_VALUE"""),84.86999999999999)</f>
        <v>84.87</v>
      </c>
      <c r="K278" s="58">
        <f>IFERROR(__xludf.DUMMYFUNCTION("""COMPUTED_VALUE"""),45882.0)</f>
        <v>45882</v>
      </c>
      <c r="L278" s="6">
        <v>14.0</v>
      </c>
      <c r="M278" s="52">
        <v>45896.0</v>
      </c>
      <c r="N278" s="53" t="s">
        <v>652</v>
      </c>
      <c r="O278" s="19" t="s">
        <v>814</v>
      </c>
      <c r="P278" s="6"/>
      <c r="Q278" s="6" t="str">
        <f t="shared" si="1"/>
        <v>#N/A</v>
      </c>
      <c r="R278" s="6"/>
    </row>
    <row r="279" hidden="1">
      <c r="A279" s="31" t="str">
        <f>IFERROR(__xludf.DUMMYFUNCTION("""COMPUTED_VALUE"""),"388д")</f>
        <v>388д</v>
      </c>
      <c r="B279" s="14"/>
      <c r="C279" s="14" t="str">
        <f>IFERROR(__xludf.DUMMYFUNCTION("""COMPUTED_VALUE"""),"УДС")</f>
        <v>УДС</v>
      </c>
      <c r="D279" s="15"/>
      <c r="E279" s="14" t="str">
        <f>IFERROR(__xludf.DUMMYFUNCTION("""COMPUTED_VALUE"""),"Реконструкция ул. Антонова-Овсеенко и прилегающей улично–дорожной сети для обеспечения транспортной доступности
 «Сити-2»
 1 этап ТЕХНИЧЕСКИЙ ПУСК ул. Антонова-Овсеенко")</f>
        <v>Реконструкция ул. Антонова-Овсеенко и прилегающей улично–дорожной сети для обеспечения транспортной доступности
 «Сити-2»
 1 этап ТЕХНИЧЕСКИЙ ПУСК ул. Антонова-Овсеенко</v>
      </c>
      <c r="F279" s="25" t="str">
        <f>IFERROR(__xludf.DUMMYFUNCTION("""COMPUTED_VALUE"""),"#N/A")</f>
        <v>#N/A</v>
      </c>
      <c r="G279" s="6" t="str">
        <f>IFERROR(__xludf.DUMMYFUNCTION("""COMPUTED_VALUE"""),"#N/A")</f>
        <v>#N/A</v>
      </c>
      <c r="H279" s="6"/>
      <c r="I279" s="6"/>
      <c r="J279" s="50">
        <f>IFERROR(__xludf.DUMMYFUNCTION("""COMPUTED_VALUE"""),0.504)</f>
        <v>0.504</v>
      </c>
      <c r="K279" s="58">
        <f>IFERROR(__xludf.DUMMYFUNCTION("""COMPUTED_VALUE"""),45968.0)</f>
        <v>45968</v>
      </c>
      <c r="L279" s="6">
        <v>30.0</v>
      </c>
      <c r="M279" s="52">
        <v>45998.0</v>
      </c>
      <c r="N279" s="53" t="s">
        <v>711</v>
      </c>
      <c r="O279" s="6" t="s">
        <v>815</v>
      </c>
      <c r="P279" s="6"/>
      <c r="Q279" s="6" t="str">
        <f t="shared" si="1"/>
        <v>#N/A</v>
      </c>
      <c r="R279" s="6"/>
    </row>
    <row r="280" hidden="1">
      <c r="A280" s="31" t="str">
        <f>IFERROR(__xludf.DUMMYFUNCTION("""COMPUTED_VALUE"""),"261д")</f>
        <v>261д</v>
      </c>
      <c r="B280" s="14" t="str">
        <f>IFERROR(__xludf.DUMMYFUNCTION("""COMPUTED_VALUE"""),"АИП-25")</f>
        <v>АИП-25</v>
      </c>
      <c r="C280" s="14" t="str">
        <f>IFERROR(__xludf.DUMMYFUNCTION("""COMPUTED_VALUE"""),"УДС")</f>
        <v>УДС</v>
      </c>
      <c r="D280" s="15"/>
      <c r="E280" s="14" t="str">
        <f>IFERROR(__xludf.DUMMYFUNCTION("""COMPUTED_VALUE"""),"Строительство проектируемого проезда № 3982 от Варшавского шоссе до проектируемого проезда № 3982. Этапы 1 от Варшавского шоссе до проектируемого проезда № 3982")</f>
        <v>Строительство проектируемого проезда № 3982 от Варшавского шоссе до проектируемого проезда № 3982. Этапы 1 от Варшавского шоссе до проектируемого проезда № 3982</v>
      </c>
      <c r="F280" s="25" t="str">
        <f>IFERROR(__xludf.DUMMYFUNCTION("""COMPUTED_VALUE"""),"#N/A")</f>
        <v>#N/A</v>
      </c>
      <c r="G280" s="6" t="str">
        <f>IFERROR(__xludf.DUMMYFUNCTION("""COMPUTED_VALUE"""),"#N/A")</f>
        <v>#N/A</v>
      </c>
      <c r="H280" s="6"/>
      <c r="I280" s="6"/>
      <c r="J280" s="50">
        <f>IFERROR(__xludf.DUMMYFUNCTION("""COMPUTED_VALUE"""),30.64413)</f>
        <v>30.64413</v>
      </c>
      <c r="K280" s="58">
        <f>IFERROR(__xludf.DUMMYFUNCTION("""COMPUTED_VALUE"""),45975.0)</f>
        <v>45975</v>
      </c>
      <c r="L280" s="6">
        <v>30.0</v>
      </c>
      <c r="M280" s="52">
        <v>46005.0</v>
      </c>
      <c r="N280" s="53" t="s">
        <v>711</v>
      </c>
      <c r="O280" s="6" t="s">
        <v>816</v>
      </c>
      <c r="P280" s="6"/>
      <c r="Q280" s="6" t="str">
        <f t="shared" si="1"/>
        <v>#N/A</v>
      </c>
      <c r="R280" s="6"/>
    </row>
    <row r="281" hidden="1">
      <c r="A281" s="31" t="str">
        <f>IFERROR(__xludf.DUMMYFUNCTION("""COMPUTED_VALUE"""),"376д")</f>
        <v>376д</v>
      </c>
      <c r="B281" s="14" t="str">
        <f>IFERROR(__xludf.DUMMYFUNCTION("""COMPUTED_VALUE"""),"АИП-25")</f>
        <v>АИП-25</v>
      </c>
      <c r="C281" s="14" t="str">
        <f>IFERROR(__xludf.DUMMYFUNCTION("""COMPUTED_VALUE"""),"УДС")</f>
        <v>УДС</v>
      </c>
      <c r="D281" s="15"/>
      <c r="E281" s="14" t="str">
        <f>IFERROR(__xludf.DUMMYFUNCTION("""COMPUTED_VALUE"""),"Реконструкция проезда «Г» с выездом на Центральный и Московский проспекты проезд «Г»")</f>
        <v>Реконструкция проезда «Г» с выездом на Центральный и Московский проспекты проезд «Г»</v>
      </c>
      <c r="F281" s="25" t="str">
        <f>IFERROR(__xludf.DUMMYFUNCTION("""COMPUTED_VALUE"""),"#N/A")</f>
        <v>#N/A</v>
      </c>
      <c r="G281" s="6" t="str">
        <f>IFERROR(__xludf.DUMMYFUNCTION("""COMPUTED_VALUE"""),"#N/A")</f>
        <v>#N/A</v>
      </c>
      <c r="H281" s="6"/>
      <c r="I281" s="6"/>
      <c r="J281" s="50">
        <f>IFERROR(__xludf.DUMMYFUNCTION("""COMPUTED_VALUE"""),85.164)</f>
        <v>85.164</v>
      </c>
      <c r="K281" s="58">
        <f>IFERROR(__xludf.DUMMYFUNCTION("""COMPUTED_VALUE"""),45971.0)</f>
        <v>45971</v>
      </c>
      <c r="L281" s="6">
        <v>14.0</v>
      </c>
      <c r="M281" s="52">
        <v>45985.0</v>
      </c>
      <c r="N281" s="53" t="s">
        <v>711</v>
      </c>
      <c r="O281" s="6" t="s">
        <v>817</v>
      </c>
      <c r="P281" s="6"/>
      <c r="Q281" s="6" t="str">
        <f t="shared" si="1"/>
        <v>#N/A</v>
      </c>
      <c r="R281" s="6"/>
    </row>
    <row r="282" hidden="1">
      <c r="A282" s="31" t="str">
        <f>IFERROR(__xludf.DUMMYFUNCTION("""COMPUTED_VALUE"""),"354д (сводный)")</f>
        <v>354д (сводный)</v>
      </c>
      <c r="B282" s="14" t="str">
        <f>IFERROR(__xludf.DUMMYFUNCTION("""COMPUTED_VALUE"""),"АИП-25")</f>
        <v>АИП-25</v>
      </c>
      <c r="C282" s="14" t="str">
        <f>IFERROR(__xludf.DUMMYFUNCTION("""COMPUTED_VALUE"""),"УДС")</f>
        <v>УДС</v>
      </c>
      <c r="D282" s="60"/>
      <c r="E282" s="14" t="str">
        <f>IFERROR(__xludf.DUMMYFUNCTION("""COMPUTED_VALUE"""),"Строительство путепроводов на пересечении Октябрьского направления Московской железной дороги в районе 24-25 км Ленинградского шоссе с необходимой для их функционирования улично-дорожной сетью. Этапы 1, 2.3, 2.4, 4, 2.5, 3 ")</f>
        <v>Строительство путепроводов на пересечении Октябрьского направления Московской железной дороги в районе 24-25 км Ленинградского шоссе с необходимой для их функционирования улично-дорожной сетью. Этапы 1, 2.3, 2.4, 4, 2.5, 3 </v>
      </c>
      <c r="F282" s="25" t="str">
        <f>IFERROR(__xludf.DUMMYFUNCTION("""COMPUTED_VALUE"""),"#N/A")</f>
        <v>#N/A</v>
      </c>
      <c r="G282" s="6" t="str">
        <f>IFERROR(__xludf.DUMMYFUNCTION("""COMPUTED_VALUE"""),"#N/A")</f>
        <v>#N/A</v>
      </c>
      <c r="H282" s="6"/>
      <c r="I282" s="6"/>
      <c r="J282" s="50"/>
      <c r="K282" s="58"/>
      <c r="L282" s="6">
        <v>30.0</v>
      </c>
      <c r="M282" s="52" t="s">
        <v>655</v>
      </c>
      <c r="N282" s="53" t="s">
        <v>698</v>
      </c>
      <c r="O282" s="6"/>
      <c r="P282" s="6"/>
      <c r="Q282" s="6" t="str">
        <f t="shared" si="1"/>
        <v>#N/A</v>
      </c>
      <c r="R282" s="6"/>
    </row>
    <row r="283" hidden="1">
      <c r="A283" s="31" t="str">
        <f>IFERROR(__xludf.DUMMYFUNCTION("""COMPUTED_VALUE"""),"354д (этап 4)")</f>
        <v>354д (этап 4)</v>
      </c>
      <c r="B283" s="14"/>
      <c r="C283" s="14" t="str">
        <f>IFERROR(__xludf.DUMMYFUNCTION("""COMPUTED_VALUE"""),"УДС")</f>
        <v>УДС</v>
      </c>
      <c r="D283" s="15"/>
      <c r="E283"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4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4 г. Москва, 24 км Ленинградского ш.</v>
      </c>
      <c r="F283" s="25" t="str">
        <f>IFERROR(__xludf.DUMMYFUNCTION("""COMPUTED_VALUE"""),"#N/A")</f>
        <v>#N/A</v>
      </c>
      <c r="G283" s="6" t="str">
        <f>IFERROR(__xludf.DUMMYFUNCTION("""COMPUTED_VALUE"""),"#N/A")</f>
        <v>#N/A</v>
      </c>
      <c r="H283" s="6"/>
      <c r="I283" s="6"/>
      <c r="J283" s="50"/>
      <c r="K283" s="58"/>
      <c r="L283" s="6">
        <v>30.0</v>
      </c>
      <c r="M283" s="52" t="s">
        <v>655</v>
      </c>
      <c r="N283" s="53" t="s">
        <v>698</v>
      </c>
      <c r="O283" s="6" t="s">
        <v>669</v>
      </c>
      <c r="P283" s="6"/>
      <c r="Q283" s="6" t="str">
        <f t="shared" si="1"/>
        <v>#N/A</v>
      </c>
      <c r="R283" s="6"/>
    </row>
    <row r="284" hidden="1">
      <c r="A284" s="31" t="str">
        <f>IFERROR(__xludf.DUMMYFUNCTION("""COMPUTED_VALUE"""),"354д (этап 3)")</f>
        <v>354д (этап 3)</v>
      </c>
      <c r="B284" s="14"/>
      <c r="C284" s="14" t="str">
        <f>IFERROR(__xludf.DUMMYFUNCTION("""COMPUTED_VALUE"""),"УДС")</f>
        <v>УДС</v>
      </c>
      <c r="D284" s="15"/>
      <c r="E284"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3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3 г. Москва, 24 км Ленинградского ш.</v>
      </c>
      <c r="F284" s="25" t="str">
        <f>IFERROR(__xludf.DUMMYFUNCTION("""COMPUTED_VALUE"""),"#N/A")</f>
        <v>#N/A</v>
      </c>
      <c r="G284" s="6" t="str">
        <f>IFERROR(__xludf.DUMMYFUNCTION("""COMPUTED_VALUE"""),"#N/A")</f>
        <v>#N/A</v>
      </c>
      <c r="H284" s="6"/>
      <c r="I284" s="6"/>
      <c r="J284" s="50"/>
      <c r="K284" s="58"/>
      <c r="L284" s="6">
        <v>30.0</v>
      </c>
      <c r="M284" s="52" t="s">
        <v>655</v>
      </c>
      <c r="N284" s="53" t="s">
        <v>698</v>
      </c>
      <c r="O284" s="6" t="s">
        <v>818</v>
      </c>
      <c r="P284" s="6"/>
      <c r="Q284" s="6" t="str">
        <f t="shared" si="1"/>
        <v>#N/A</v>
      </c>
      <c r="R284" s="6"/>
    </row>
    <row r="285" hidden="1">
      <c r="A285" s="31" t="str">
        <f>IFERROR(__xludf.DUMMYFUNCTION("""COMPUTED_VALUE"""),"354д (этап 2.3.2)")</f>
        <v>354д (этап 2.3.2)</v>
      </c>
      <c r="B285" s="14"/>
      <c r="C285" s="14" t="str">
        <f>IFERROR(__xludf.DUMMYFUNCTION("""COMPUTED_VALUE"""),"УДС")</f>
        <v>УДС</v>
      </c>
      <c r="D285" s="15"/>
      <c r="E285"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2.3.2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2.3.2 г. Москва, 24 км Ленинградского ш.</v>
      </c>
      <c r="F285" s="25" t="str">
        <f>IFERROR(__xludf.DUMMYFUNCTION("""COMPUTED_VALUE"""),"#N/A")</f>
        <v>#N/A</v>
      </c>
      <c r="G285" s="6" t="str">
        <f>IFERROR(__xludf.DUMMYFUNCTION("""COMPUTED_VALUE"""),"#N/A")</f>
        <v>#N/A</v>
      </c>
      <c r="H285" s="6"/>
      <c r="I285" s="6"/>
      <c r="J285" s="50"/>
      <c r="K285" s="58"/>
      <c r="L285" s="6">
        <v>30.0</v>
      </c>
      <c r="M285" s="52" t="s">
        <v>655</v>
      </c>
      <c r="N285" s="53" t="s">
        <v>698</v>
      </c>
      <c r="O285" s="6" t="s">
        <v>819</v>
      </c>
      <c r="P285" s="6"/>
      <c r="Q285" s="6" t="str">
        <f t="shared" si="1"/>
        <v>#N/A</v>
      </c>
      <c r="R285" s="6"/>
    </row>
    <row r="286" hidden="1">
      <c r="A286" s="31" t="str">
        <f>IFERROR(__xludf.DUMMYFUNCTION("""COMPUTED_VALUE"""),"354д (этап 2.3.3)")</f>
        <v>354д (этап 2.3.3)</v>
      </c>
      <c r="B286" s="14"/>
      <c r="C286" s="14" t="str">
        <f>IFERROR(__xludf.DUMMYFUNCTION("""COMPUTED_VALUE"""),"УДС")</f>
        <v>УДС</v>
      </c>
      <c r="D286" s="15"/>
      <c r="E286"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2.3.3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2.3.3 г. Москва, 24 км Ленинградского ш.</v>
      </c>
      <c r="F286" s="25" t="str">
        <f>IFERROR(__xludf.DUMMYFUNCTION("""COMPUTED_VALUE"""),"#N/A")</f>
        <v>#N/A</v>
      </c>
      <c r="G286" s="6" t="str">
        <f>IFERROR(__xludf.DUMMYFUNCTION("""COMPUTED_VALUE"""),"#N/A")</f>
        <v>#N/A</v>
      </c>
      <c r="H286" s="6"/>
      <c r="I286" s="6"/>
      <c r="J286" s="50"/>
      <c r="K286" s="58"/>
      <c r="L286" s="6">
        <v>30.0</v>
      </c>
      <c r="M286" s="52" t="s">
        <v>655</v>
      </c>
      <c r="N286" s="53" t="s">
        <v>698</v>
      </c>
      <c r="O286" s="6" t="s">
        <v>820</v>
      </c>
      <c r="P286" s="6"/>
      <c r="Q286" s="6" t="str">
        <f t="shared" si="1"/>
        <v>#N/A</v>
      </c>
      <c r="R286" s="6"/>
    </row>
    <row r="287" hidden="1">
      <c r="A287" s="31" t="str">
        <f>IFERROR(__xludf.DUMMYFUNCTION("""COMPUTED_VALUE"""),"354д (этап 2.4)")</f>
        <v>354д (этап 2.4)</v>
      </c>
      <c r="B287" s="14"/>
      <c r="C287" s="14" t="str">
        <f>IFERROR(__xludf.DUMMYFUNCTION("""COMPUTED_VALUE"""),"УДС")</f>
        <v>УДС</v>
      </c>
      <c r="D287" s="15"/>
      <c r="E287"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2.4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2.4 г. Москва, 24 км Ленинградского ш.</v>
      </c>
      <c r="F287" s="25" t="str">
        <f>IFERROR(__xludf.DUMMYFUNCTION("""COMPUTED_VALUE"""),"#N/A")</f>
        <v>#N/A</v>
      </c>
      <c r="G287" s="6" t="str">
        <f>IFERROR(__xludf.DUMMYFUNCTION("""COMPUTED_VALUE"""),"#N/A")</f>
        <v>#N/A</v>
      </c>
      <c r="H287" s="6"/>
      <c r="I287" s="6"/>
      <c r="J287" s="50"/>
      <c r="K287" s="58"/>
      <c r="L287" s="6">
        <v>30.0</v>
      </c>
      <c r="M287" s="52" t="s">
        <v>655</v>
      </c>
      <c r="N287" s="53" t="s">
        <v>698</v>
      </c>
      <c r="O287" s="6" t="s">
        <v>669</v>
      </c>
      <c r="P287" s="6"/>
      <c r="Q287" s="6" t="str">
        <f t="shared" si="1"/>
        <v>#N/A</v>
      </c>
      <c r="R287" s="6"/>
    </row>
    <row r="288" hidden="1">
      <c r="A288" s="31" t="str">
        <f>IFERROR(__xludf.DUMMYFUNCTION("""COMPUTED_VALUE"""),"354д (этап 2.5)")</f>
        <v>354д (этап 2.5)</v>
      </c>
      <c r="B288" s="14"/>
      <c r="C288" s="14" t="str">
        <f>IFERROR(__xludf.DUMMYFUNCTION("""COMPUTED_VALUE"""),"УДС")</f>
        <v>УДС</v>
      </c>
      <c r="D288" s="15"/>
      <c r="E288" s="14" t="str">
        <f>IFERROR(__xludf.DUMMYFUNCTION("""COMPUTED_VALUE"""),"Строительство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2.5 г. Москва, 24 км Ленинградского ш.")</f>
        <v>Строительство путепроводов на пересечении Октябрьского направления железной дороги в районе 24-25 км Ленинградского ш. с необходимой для их функционирования улично-дорожной сетью. 
 Этап 2.5 г. Москва, 24 км Ленинградского ш.</v>
      </c>
      <c r="F288" s="25" t="str">
        <f>IFERROR(__xludf.DUMMYFUNCTION("""COMPUTED_VALUE"""),"#N/A")</f>
        <v>#N/A</v>
      </c>
      <c r="G288" s="6" t="str">
        <f>IFERROR(__xludf.DUMMYFUNCTION("""COMPUTED_VALUE"""),"#N/A")</f>
        <v>#N/A</v>
      </c>
      <c r="H288" s="6"/>
      <c r="I288" s="6"/>
      <c r="J288" s="50"/>
      <c r="K288" s="58"/>
      <c r="L288" s="6">
        <v>30.0</v>
      </c>
      <c r="M288" s="52" t="s">
        <v>655</v>
      </c>
      <c r="N288" s="53" t="s">
        <v>698</v>
      </c>
      <c r="O288" s="6" t="s">
        <v>669</v>
      </c>
      <c r="P288" s="6"/>
      <c r="Q288" s="6" t="str">
        <f t="shared" si="1"/>
        <v>#N/A</v>
      </c>
      <c r="R288" s="6"/>
    </row>
    <row r="289" hidden="1">
      <c r="A289" s="31" t="str">
        <f>IFERROR(__xludf.DUMMYFUNCTION("""COMPUTED_VALUE"""),"178д (сводный)")</f>
        <v>178д (сводный)</v>
      </c>
      <c r="B289" s="14" t="str">
        <f>IFERROR(__xludf.DUMMYFUNCTION("""COMPUTED_VALUE"""),"АИП-25")</f>
        <v>АИП-25</v>
      </c>
      <c r="C289" s="14" t="str">
        <f>IFERROR(__xludf.DUMMYFUNCTION("""COMPUTED_VALUE"""),"УДС")</f>
        <v>УДС</v>
      </c>
      <c r="D289" s="15"/>
      <c r="E289" s="14" t="str">
        <f>IFERROR(__xludf.DUMMYFUNCTION("""COMPUTED_VALUE"""),"Реконструкция улично-дорожной сети р-нов Ростокино и Алексеевский
 Этапы 2.1.1., 2.1.2. ")</f>
        <v>Реконструкция улично-дорожной сети р-нов Ростокино и Алексеевский
 Этапы 2.1.1., 2.1.2. </v>
      </c>
      <c r="F289" s="25" t="str">
        <f>IFERROR(__xludf.DUMMYFUNCTION("""COMPUTED_VALUE"""),"#N/A")</f>
        <v>#N/A</v>
      </c>
      <c r="G289" s="6" t="str">
        <f>IFERROR(__xludf.DUMMYFUNCTION("""COMPUTED_VALUE"""),"#N/A")</f>
        <v>#N/A</v>
      </c>
      <c r="H289" s="6"/>
      <c r="I289" s="6"/>
      <c r="J289" s="50"/>
      <c r="K289" s="58"/>
      <c r="L289" s="6">
        <v>30.0</v>
      </c>
      <c r="M289" s="52" t="s">
        <v>655</v>
      </c>
      <c r="N289" s="53" t="s">
        <v>698</v>
      </c>
      <c r="O289" s="6"/>
      <c r="P289" s="6"/>
      <c r="Q289" s="6" t="str">
        <f t="shared" si="1"/>
        <v>#N/A</v>
      </c>
      <c r="R289" s="6"/>
    </row>
    <row r="290" hidden="1">
      <c r="A290" s="31" t="str">
        <f>IFERROR(__xludf.DUMMYFUNCTION("""COMPUTED_VALUE"""),"178д (этап 2.1.1)")</f>
        <v>178д (этап 2.1.1)</v>
      </c>
      <c r="B290" s="14"/>
      <c r="C290" s="14" t="str">
        <f>IFERROR(__xludf.DUMMYFUNCTION("""COMPUTED_VALUE"""),"УДС")</f>
        <v>УДС</v>
      </c>
      <c r="D290" s="15"/>
      <c r="E290" s="14" t="str">
        <f>IFERROR(__xludf.DUMMYFUNCTION("""COMPUTED_VALUE"""),"Реконструкция улично-дорожной сети р-нов Ростокино и Алексеевский
 Этапы 2.1.1 г. Москва, Ростокино, Алексеевский (СВАО)")</f>
        <v>Реконструкция улично-дорожной сети р-нов Ростокино и Алексеевский
 Этапы 2.1.1 г. Москва, Ростокино, Алексеевский (СВАО)</v>
      </c>
      <c r="F290" s="25" t="str">
        <f>IFERROR(__xludf.DUMMYFUNCTION("""COMPUTED_VALUE"""),"#N/A")</f>
        <v>#N/A</v>
      </c>
      <c r="G290" s="6" t="str">
        <f>IFERROR(__xludf.DUMMYFUNCTION("""COMPUTED_VALUE"""),"#N/A")</f>
        <v>#N/A</v>
      </c>
      <c r="H290" s="6"/>
      <c r="I290" s="6"/>
      <c r="J290" s="50"/>
      <c r="K290" s="58"/>
      <c r="L290" s="6">
        <v>30.0</v>
      </c>
      <c r="M290" s="52" t="s">
        <v>655</v>
      </c>
      <c r="N290" s="53" t="s">
        <v>698</v>
      </c>
      <c r="O290" s="6" t="s">
        <v>821</v>
      </c>
      <c r="P290" s="6"/>
      <c r="Q290" s="6" t="str">
        <f t="shared" si="1"/>
        <v>#N/A</v>
      </c>
      <c r="R290" s="6"/>
    </row>
    <row r="291" hidden="1">
      <c r="A291" s="31" t="str">
        <f>IFERROR(__xludf.DUMMYFUNCTION("""COMPUTED_VALUE"""),"178д (этап 2.1.2)")</f>
        <v>178д (этап 2.1.2)</v>
      </c>
      <c r="B291" s="14"/>
      <c r="C291" s="14" t="str">
        <f>IFERROR(__xludf.DUMMYFUNCTION("""COMPUTED_VALUE"""),"УДС")</f>
        <v>УДС</v>
      </c>
      <c r="D291" s="15"/>
      <c r="E291" s="14" t="str">
        <f>IFERROR(__xludf.DUMMYFUNCTION("""COMPUTED_VALUE"""),"Реконструкция улично-дорожной сети р-нов Ростокино и Алексеевский
 Этапы 2.1.2 г. Москва, Ростокино, Алексеевский (СВАО)")</f>
        <v>Реконструкция улично-дорожной сети р-нов Ростокино и Алексеевский
 Этапы 2.1.2 г. Москва, Ростокино, Алексеевский (СВАО)</v>
      </c>
      <c r="F291" s="25" t="str">
        <f>IFERROR(__xludf.DUMMYFUNCTION("""COMPUTED_VALUE"""),"#N/A")</f>
        <v>#N/A</v>
      </c>
      <c r="G291" s="6" t="str">
        <f>IFERROR(__xludf.DUMMYFUNCTION("""COMPUTED_VALUE"""),"#N/A")</f>
        <v>#N/A</v>
      </c>
      <c r="H291" s="6"/>
      <c r="I291" s="6"/>
      <c r="J291" s="50"/>
      <c r="K291" s="58"/>
      <c r="L291" s="6">
        <v>30.0</v>
      </c>
      <c r="M291" s="52" t="s">
        <v>655</v>
      </c>
      <c r="N291" s="53" t="s">
        <v>698</v>
      </c>
      <c r="O291" s="6" t="s">
        <v>821</v>
      </c>
      <c r="P291" s="6"/>
      <c r="Q291" s="6" t="str">
        <f t="shared" si="1"/>
        <v>#N/A</v>
      </c>
      <c r="R291" s="6"/>
    </row>
    <row r="292" hidden="1">
      <c r="A292" s="31" t="str">
        <f>IFERROR(__xludf.DUMMYFUNCTION("""COMPUTED_VALUE"""),"189д")</f>
        <v>189д</v>
      </c>
      <c r="B292" s="14" t="str">
        <f>IFERROR(__xludf.DUMMYFUNCTION("""COMPUTED_VALUE"""),"АИП-25")</f>
        <v>АИП-25</v>
      </c>
      <c r="C292" s="14" t="str">
        <f>IFERROR(__xludf.DUMMYFUNCTION("""COMPUTED_VALUE"""),"УДС")</f>
        <v>УДС</v>
      </c>
      <c r="D292" s="15"/>
      <c r="E292" s="14" t="str">
        <f>IFERROR(__xludf.DUMMYFUNCTION("""COMPUTED_VALUE"""),"Реконструкция 2-го Грайвороновского пр-да на участке между Рязанским пр-ктом и железнодорожной веткой ""Новопролетарская"" РЕК.ЖЕЛЕЗНОДОРОЖНОГО ПЕРЕЕЗДА НА 1 КМ РЯЗАНСКОГО НАПР.МЖД")</f>
        <v>Реконструкция 2-го Грайвороновского пр-да на участке между Рязанским пр-ктом и железнодорожной веткой "Новопролетарская" РЕК.ЖЕЛЕЗНОДОРОЖНОГО ПЕРЕЕЗДА НА 1 КМ РЯЗАНСКОГО НАПР.МЖД</v>
      </c>
      <c r="F292" s="25" t="str">
        <f>IFERROR(__xludf.DUMMYFUNCTION("""COMPUTED_VALUE"""),"#N/A")</f>
        <v>#N/A</v>
      </c>
      <c r="G292" s="6" t="str">
        <f>IFERROR(__xludf.DUMMYFUNCTION("""COMPUTED_VALUE"""),"#N/A")</f>
        <v>#N/A</v>
      </c>
      <c r="H292" s="6"/>
      <c r="I292" s="6"/>
      <c r="J292" s="50">
        <f>IFERROR(__xludf.DUMMYFUNCTION("""COMPUTED_VALUE"""),100.0)</f>
        <v>100</v>
      </c>
      <c r="K292" s="58">
        <f>IFERROR(__xludf.DUMMYFUNCTION("""COMPUTED_VALUE"""),45974.0)</f>
        <v>45974</v>
      </c>
      <c r="L292" s="6" t="s">
        <v>654</v>
      </c>
      <c r="M292" s="52" t="s">
        <v>655</v>
      </c>
      <c r="N292" s="53" t="s">
        <v>656</v>
      </c>
      <c r="O292" s="6" t="s">
        <v>822</v>
      </c>
      <c r="P292" s="6"/>
      <c r="Q292" s="6" t="str">
        <f t="shared" si="1"/>
        <v>#N/A</v>
      </c>
      <c r="R292" s="6"/>
    </row>
    <row r="293" hidden="1">
      <c r="A293" s="31" t="str">
        <f>IFERROR(__xludf.DUMMYFUNCTION("""COMPUTED_VALUE"""),"265д")</f>
        <v>265д</v>
      </c>
      <c r="B293" s="14" t="str">
        <f>IFERROR(__xludf.DUMMYFUNCTION("""COMPUTED_VALUE"""),"АИП-25")</f>
        <v>АИП-25</v>
      </c>
      <c r="C293" s="14" t="str">
        <f>IFERROR(__xludf.DUMMYFUNCTION("""COMPUTED_VALUE"""),"УДС")</f>
        <v>УДС</v>
      </c>
      <c r="D293" s="15"/>
      <c r="E293" s="14" t="str">
        <f>IFERROR(__xludf.DUMMYFUNCTION("""COMPUTED_VALUE"""),"Строительство и благоустройство участка Симоновской наб., прилегающей к территории жилого комплекса по адресу: Симоновская наб., влд.1 Симоновская набережная, вл.1")</f>
        <v>Строительство и благоустройство участка Симоновской наб., прилегающей к территории жилого комплекса по адресу: Симоновская наб., влд.1 Симоновская набережная, вл.1</v>
      </c>
      <c r="F293" s="25" t="str">
        <f>IFERROR(__xludf.DUMMYFUNCTION("""COMPUTED_VALUE"""),"#N/A")</f>
        <v>#N/A</v>
      </c>
      <c r="G293" s="6" t="str">
        <f>IFERROR(__xludf.DUMMYFUNCTION("""COMPUTED_VALUE"""),"#N/A")</f>
        <v>#N/A</v>
      </c>
      <c r="H293" s="6"/>
      <c r="I293" s="6"/>
      <c r="J293" s="50">
        <f>IFERROR(__xludf.DUMMYFUNCTION("""COMPUTED_VALUE"""),51.303200000000004)</f>
        <v>51.3032</v>
      </c>
      <c r="K293" s="58">
        <f>IFERROR(__xludf.DUMMYFUNCTION("""COMPUTED_VALUE"""),45972.0)</f>
        <v>45972</v>
      </c>
      <c r="L293" s="6">
        <v>14.0</v>
      </c>
      <c r="M293" s="52">
        <v>45986.0</v>
      </c>
      <c r="N293" s="53" t="s">
        <v>711</v>
      </c>
      <c r="O293" s="6" t="s">
        <v>823</v>
      </c>
      <c r="P293" s="6"/>
      <c r="Q293" s="6" t="str">
        <f t="shared" si="1"/>
        <v>#N/A</v>
      </c>
      <c r="R293" s="6"/>
    </row>
    <row r="294" hidden="1">
      <c r="A294" s="31" t="str">
        <f>IFERROR(__xludf.DUMMYFUNCTION("""COMPUTED_VALUE"""),"229д")</f>
        <v>229д</v>
      </c>
      <c r="B294" s="14" t="str">
        <f>IFERROR(__xludf.DUMMYFUNCTION("""COMPUTED_VALUE"""),"АИП-25")</f>
        <v>АИП-25</v>
      </c>
      <c r="C294" s="14" t="str">
        <f>IFERROR(__xludf.DUMMYFUNCTION("""COMPUTED_VALUE"""),"УДС")</f>
        <v>УДС</v>
      </c>
      <c r="D294" s="15"/>
      <c r="E294" s="14" t="str">
        <f>IFERROR(__xludf.DUMMYFUNCTION("""COMPUTED_VALUE"""),"Строительство автомобильной дороги от автомобильной дороги ""Солцево-Бутово-Видное"" до ул. Родниковая, Торговая Этап 1.1 От автомобильной дороги ""Солнцево-Бутово-Видное"", до ул. Родниковая, Торговая")</f>
        <v>Строительство автомобильной дороги от автомобильной дороги "Солцево-Бутово-Видное" до ул. Родниковая, Торговая Этап 1.1 От автомобильной дороги "Солнцево-Бутово-Видное", до ул. Родниковая, Торговая</v>
      </c>
      <c r="F294" s="25" t="str">
        <f>IFERROR(__xludf.DUMMYFUNCTION("""COMPUTED_VALUE"""),"#N/A")</f>
        <v>#N/A</v>
      </c>
      <c r="G294" s="6" t="str">
        <f>IFERROR(__xludf.DUMMYFUNCTION("""COMPUTED_VALUE"""),"#N/A")</f>
        <v>#N/A</v>
      </c>
      <c r="H294" s="6"/>
      <c r="I294" s="6"/>
      <c r="J294" s="50">
        <f>IFERROR(__xludf.DUMMYFUNCTION("""COMPUTED_VALUE"""),58.30225)</f>
        <v>58.30225</v>
      </c>
      <c r="K294" s="58">
        <f>IFERROR(__xludf.DUMMYFUNCTION("""COMPUTED_VALUE"""),45971.0)</f>
        <v>45971</v>
      </c>
      <c r="L294" s="6">
        <v>14.0</v>
      </c>
      <c r="M294" s="52">
        <v>45985.0</v>
      </c>
      <c r="N294" s="53" t="s">
        <v>711</v>
      </c>
      <c r="O294" s="6"/>
      <c r="P294" s="6"/>
      <c r="Q294" s="6" t="str">
        <f t="shared" si="1"/>
        <v>#N/A</v>
      </c>
      <c r="R294" s="6"/>
    </row>
    <row r="295" hidden="1">
      <c r="A295" s="31" t="str">
        <f>IFERROR(__xludf.DUMMYFUNCTION("""COMPUTED_VALUE"""),"128д")</f>
        <v>128д</v>
      </c>
      <c r="B295" s="14" t="str">
        <f>IFERROR(__xludf.DUMMYFUNCTION("""COMPUTED_VALUE"""),"АИП-25")</f>
        <v>АИП-25</v>
      </c>
      <c r="C295" s="14" t="str">
        <f>IFERROR(__xludf.DUMMYFUNCTION("""COMPUTED_VALUE"""),"УДС")</f>
        <v>УДС</v>
      </c>
      <c r="D295" s="15"/>
      <c r="E295" s="14" t="str">
        <f>IFERROR(__xludf.DUMMYFUNCTION("""COMPUTED_VALUE"""),"Развитие улично-дорожной сети г.о. Троицк (2 этап). Строительство и реконструкция улицы от ул. Академика Черенкова до Калужского шоссе от ул. Академика Черенкова до Калужского шоссе")</f>
        <v>Развитие улично-дорожной сети г.о. Троицк (2 этап). Строительство и реконструкция улицы от ул. Академика Черенкова до Калужского шоссе от ул. Академика Черенкова до Калужского шоссе</v>
      </c>
      <c r="F295" s="25" t="str">
        <f>IFERROR(__xludf.DUMMYFUNCTION("""COMPUTED_VALUE"""),"#N/A")</f>
        <v>#N/A</v>
      </c>
      <c r="G295" s="6" t="str">
        <f>IFERROR(__xludf.DUMMYFUNCTION("""COMPUTED_VALUE"""),"#N/A")</f>
        <v>#N/A</v>
      </c>
      <c r="H295" s="6"/>
      <c r="I295" s="6"/>
      <c r="J295" s="50">
        <f>IFERROR(__xludf.DUMMYFUNCTION("""COMPUTED_VALUE"""),71.9654)</f>
        <v>71.9654</v>
      </c>
      <c r="K295" s="58">
        <f>IFERROR(__xludf.DUMMYFUNCTION("""COMPUTED_VALUE"""),45973.0)</f>
        <v>45973</v>
      </c>
      <c r="L295" s="6">
        <v>14.0</v>
      </c>
      <c r="M295" s="52">
        <v>45987.0</v>
      </c>
      <c r="N295" s="53" t="s">
        <v>711</v>
      </c>
      <c r="O295" s="6"/>
      <c r="P295" s="6"/>
      <c r="Q295" s="6" t="str">
        <f t="shared" si="1"/>
        <v>#N/A</v>
      </c>
      <c r="R295" s="6"/>
    </row>
    <row r="296" hidden="1">
      <c r="A296" s="31" t="str">
        <f>IFERROR(__xludf.DUMMYFUNCTION("""COMPUTED_VALUE"""),"232д (сводный)")</f>
        <v>232д (сводный)</v>
      </c>
      <c r="B296" s="14" t="str">
        <f>IFERROR(__xludf.DUMMYFUNCTION("""COMPUTED_VALUE"""),"АИП-25")</f>
        <v>АИП-25</v>
      </c>
      <c r="C296" s="14" t="str">
        <f>IFERROR(__xludf.DUMMYFUNCTION("""COMPUTED_VALUE"""),"УДС")</f>
        <v>УДС</v>
      </c>
      <c r="D296" s="15"/>
      <c r="E296"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Этапы 1.1.3.4, 1.1.3.7, 1.1.3.8, 1.1.3.5, 1.1.3.6 ")</f>
        <v>Реконструкция транспортной развязки на пересечении МКАД с Липецкой ул. со строительством необходимых для функционирования подъездных дорог. Этапы 1.1.3.4, 1.1.3.7, 1.1.3.8, 1.1.3.5, 1.1.3.6 </v>
      </c>
      <c r="F296" s="25" t="str">
        <f>IFERROR(__xludf.DUMMYFUNCTION("""COMPUTED_VALUE"""),"#N/A")</f>
        <v>#N/A</v>
      </c>
      <c r="G296" s="6" t="str">
        <f>IFERROR(__xludf.DUMMYFUNCTION("""COMPUTED_VALUE"""),"#N/A")</f>
        <v>#N/A</v>
      </c>
      <c r="H296" s="6"/>
      <c r="I296" s="6"/>
      <c r="J296" s="50"/>
      <c r="K296" s="58"/>
      <c r="L296" s="6">
        <v>30.0</v>
      </c>
      <c r="M296" s="52" t="s">
        <v>655</v>
      </c>
      <c r="N296" s="53" t="s">
        <v>698</v>
      </c>
      <c r="O296" s="6"/>
      <c r="P296" s="6"/>
      <c r="Q296" s="6" t="str">
        <f t="shared" si="1"/>
        <v>#N/A</v>
      </c>
      <c r="R296" s="6"/>
    </row>
    <row r="297" hidden="1">
      <c r="A297" s="31" t="str">
        <f>IFERROR(__xludf.DUMMYFUNCTION("""COMPUTED_VALUE"""),"232д (этап 1.1.3.4)")</f>
        <v>232д (этап 1.1.3.4)</v>
      </c>
      <c r="B297" s="14"/>
      <c r="C297" s="14" t="str">
        <f>IFERROR(__xludf.DUMMYFUNCTION("""COMPUTED_VALUE"""),"УДС")</f>
        <v>УДС</v>
      </c>
      <c r="D297" s="15"/>
      <c r="E297"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1.1.3.4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1.1.3.4 Транспортная развязка на пересечении МКАД с Липецкой ул.</v>
      </c>
      <c r="F297" s="25" t="str">
        <f>IFERROR(__xludf.DUMMYFUNCTION("""COMPUTED_VALUE"""),"#N/A")</f>
        <v>#N/A</v>
      </c>
      <c r="G297" s="6" t="str">
        <f>IFERROR(__xludf.DUMMYFUNCTION("""COMPUTED_VALUE"""),"#N/A")</f>
        <v>#N/A</v>
      </c>
      <c r="H297" s="6"/>
      <c r="I297" s="6"/>
      <c r="J297" s="50"/>
      <c r="K297" s="58"/>
      <c r="L297" s="6">
        <v>30.0</v>
      </c>
      <c r="M297" s="52" t="s">
        <v>655</v>
      </c>
      <c r="N297" s="53" t="s">
        <v>698</v>
      </c>
      <c r="O297" s="6" t="s">
        <v>824</v>
      </c>
      <c r="P297" s="6"/>
      <c r="Q297" s="6" t="str">
        <f t="shared" si="1"/>
        <v>#N/A</v>
      </c>
      <c r="R297" s="6"/>
    </row>
    <row r="298" hidden="1">
      <c r="A298" s="31" t="str">
        <f>IFERROR(__xludf.DUMMYFUNCTION("""COMPUTED_VALUE"""),"232д (этап 1.1.3.5)")</f>
        <v>232д (этап 1.1.3.5)</v>
      </c>
      <c r="B298" s="14"/>
      <c r="C298" s="14" t="str">
        <f>IFERROR(__xludf.DUMMYFUNCTION("""COMPUTED_VALUE"""),"УДС")</f>
        <v>УДС</v>
      </c>
      <c r="D298" s="15"/>
      <c r="E298"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1.1.3.5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1.1.3.5 Транспортная развязка на пересечении МКАД с Липецкой ул.</v>
      </c>
      <c r="F298" s="25" t="str">
        <f>IFERROR(__xludf.DUMMYFUNCTION("""COMPUTED_VALUE"""),"#N/A")</f>
        <v>#N/A</v>
      </c>
      <c r="G298" s="6" t="str">
        <f>IFERROR(__xludf.DUMMYFUNCTION("""COMPUTED_VALUE"""),"#N/A")</f>
        <v>#N/A</v>
      </c>
      <c r="H298" s="6"/>
      <c r="I298" s="6"/>
      <c r="J298" s="50"/>
      <c r="K298" s="58"/>
      <c r="L298" s="6">
        <v>30.0</v>
      </c>
      <c r="M298" s="52" t="s">
        <v>655</v>
      </c>
      <c r="N298" s="53" t="s">
        <v>698</v>
      </c>
      <c r="O298" s="6" t="s">
        <v>825</v>
      </c>
      <c r="P298" s="6"/>
      <c r="Q298" s="6" t="str">
        <f t="shared" si="1"/>
        <v>#N/A</v>
      </c>
      <c r="R298" s="6"/>
    </row>
    <row r="299" hidden="1">
      <c r="A299" s="31" t="str">
        <f>IFERROR(__xludf.DUMMYFUNCTION("""COMPUTED_VALUE"""),"232д (этап 1.1.3.6)")</f>
        <v>232д (этап 1.1.3.6)</v>
      </c>
      <c r="B299" s="14"/>
      <c r="C299" s="14" t="str">
        <f>IFERROR(__xludf.DUMMYFUNCTION("""COMPUTED_VALUE"""),"УДС")</f>
        <v>УДС</v>
      </c>
      <c r="D299" s="15"/>
      <c r="E299"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1.1.3.6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1.1.3.6 Транспортная развязка на пересечении МКАД с Липецкой ул.</v>
      </c>
      <c r="F299" s="25" t="str">
        <f>IFERROR(__xludf.DUMMYFUNCTION("""COMPUTED_VALUE"""),"#N/A")</f>
        <v>#N/A</v>
      </c>
      <c r="G299" s="6" t="str">
        <f>IFERROR(__xludf.DUMMYFUNCTION("""COMPUTED_VALUE"""),"#N/A")</f>
        <v>#N/A</v>
      </c>
      <c r="H299" s="6"/>
      <c r="I299" s="6"/>
      <c r="J299" s="50"/>
      <c r="K299" s="58"/>
      <c r="L299" s="6">
        <v>30.0</v>
      </c>
      <c r="M299" s="52" t="s">
        <v>655</v>
      </c>
      <c r="N299" s="53" t="s">
        <v>698</v>
      </c>
      <c r="O299" s="6" t="s">
        <v>825</v>
      </c>
      <c r="P299" s="6"/>
      <c r="Q299" s="6" t="str">
        <f t="shared" si="1"/>
        <v>#N/A</v>
      </c>
      <c r="R299" s="6"/>
    </row>
    <row r="300" hidden="1">
      <c r="A300" s="31" t="str">
        <f>IFERROR(__xludf.DUMMYFUNCTION("""COMPUTED_VALUE"""),"232д (этап 1.1.3.7)")</f>
        <v>232д (этап 1.1.3.7)</v>
      </c>
      <c r="B300" s="14"/>
      <c r="C300" s="14" t="str">
        <f>IFERROR(__xludf.DUMMYFUNCTION("""COMPUTED_VALUE"""),"УДС")</f>
        <v>УДС</v>
      </c>
      <c r="D300" s="15"/>
      <c r="E300"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1.1.3.7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1.1.3.7 Транспортная развязка на пересечении МКАД с Липецкой ул.</v>
      </c>
      <c r="F300" s="25" t="str">
        <f>IFERROR(__xludf.DUMMYFUNCTION("""COMPUTED_VALUE"""),"#N/A")</f>
        <v>#N/A</v>
      </c>
      <c r="G300" s="6" t="str">
        <f>IFERROR(__xludf.DUMMYFUNCTION("""COMPUTED_VALUE"""),"#N/A")</f>
        <v>#N/A</v>
      </c>
      <c r="H300" s="6"/>
      <c r="I300" s="6"/>
      <c r="J300" s="50"/>
      <c r="K300" s="58"/>
      <c r="L300" s="6">
        <v>30.0</v>
      </c>
      <c r="M300" s="52" t="s">
        <v>655</v>
      </c>
      <c r="N300" s="53" t="s">
        <v>698</v>
      </c>
      <c r="O300" s="6" t="s">
        <v>824</v>
      </c>
      <c r="P300" s="6"/>
      <c r="Q300" s="6" t="str">
        <f t="shared" si="1"/>
        <v>#N/A</v>
      </c>
      <c r="R300" s="6"/>
    </row>
    <row r="301" hidden="1">
      <c r="A301" s="31" t="str">
        <f>IFERROR(__xludf.DUMMYFUNCTION("""COMPUTED_VALUE"""),"232д (этап 1.1.3.8)")</f>
        <v>232д (этап 1.1.3.8)</v>
      </c>
      <c r="B301" s="14"/>
      <c r="C301" s="14" t="str">
        <f>IFERROR(__xludf.DUMMYFUNCTION("""COMPUTED_VALUE"""),"УДС")</f>
        <v>УДС</v>
      </c>
      <c r="D301" s="15"/>
      <c r="E301" s="14" t="str">
        <f>IFERROR(__xludf.DUMMYFUNCTION("""COMPUTED_VALUE"""),"Реконструкция транспортной развязки на пересечении МКАД с Липецкой ул. со строительством необходимых для функционирования подъездных дорог. 
 Этап 1.1.3.8 Транспортная развязка на пересечении МКАД с Липецкой ул.")</f>
        <v>Реконструкция транспортной развязки на пересечении МКАД с Липецкой ул. со строительством необходимых для функционирования подъездных дорог. 
 Этап 1.1.3.8 Транспортная развязка на пересечении МКАД с Липецкой ул.</v>
      </c>
      <c r="F301" s="25" t="str">
        <f>IFERROR(__xludf.DUMMYFUNCTION("""COMPUTED_VALUE"""),"#N/A")</f>
        <v>#N/A</v>
      </c>
      <c r="G301" s="6" t="str">
        <f>IFERROR(__xludf.DUMMYFUNCTION("""COMPUTED_VALUE"""),"#N/A")</f>
        <v>#N/A</v>
      </c>
      <c r="H301" s="6"/>
      <c r="I301" s="6"/>
      <c r="J301" s="50"/>
      <c r="K301" s="58"/>
      <c r="L301" s="6">
        <v>30.0</v>
      </c>
      <c r="M301" s="52" t="s">
        <v>655</v>
      </c>
      <c r="N301" s="53" t="s">
        <v>698</v>
      </c>
      <c r="O301" s="6" t="s">
        <v>826</v>
      </c>
      <c r="P301" s="6"/>
      <c r="Q301" s="6" t="str">
        <f t="shared" si="1"/>
        <v>#N/A</v>
      </c>
      <c r="R301" s="6"/>
    </row>
    <row r="302" hidden="1">
      <c r="A302" s="31" t="str">
        <f>IFERROR(__xludf.DUMMYFUNCTION("""COMPUTED_VALUE"""),"232д (сводный 2)")</f>
        <v>232д (сводный 2)</v>
      </c>
      <c r="B302" s="14" t="str">
        <f>IFERROR(__xludf.DUMMYFUNCTION("""COMPUTED_VALUE"""),"АИП-25")</f>
        <v>АИП-25</v>
      </c>
      <c r="C302" s="14" t="str">
        <f>IFERROR(__xludf.DUMMYFUNCTION("""COMPUTED_VALUE"""),"УДС")</f>
        <v>УДС</v>
      </c>
      <c r="D302" s="15"/>
      <c r="E302" s="14" t="str">
        <f>IFERROR(__xludf.DUMMYFUNCTION("""COMPUTED_VALUE"""),"Транспортная развязка на пересечении МКАД с Липецкой ул. Этапы 1.1.3.9., 1.2., 1.1.3.2.2. ")</f>
        <v>Транспортная развязка на пересечении МКАД с Липецкой ул. Этапы 1.1.3.9., 1.2., 1.1.3.2.2. </v>
      </c>
      <c r="F302" s="25" t="str">
        <f>IFERROR(__xludf.DUMMYFUNCTION("""COMPUTED_VALUE"""),"#N/A")</f>
        <v>#N/A</v>
      </c>
      <c r="G302" s="6" t="str">
        <f>IFERROR(__xludf.DUMMYFUNCTION("""COMPUTED_VALUE"""),"#N/A")</f>
        <v>#N/A</v>
      </c>
      <c r="H302" s="6"/>
      <c r="I302" s="6"/>
      <c r="J302" s="50"/>
      <c r="K302" s="58"/>
      <c r="L302" s="6">
        <v>30.0</v>
      </c>
      <c r="M302" s="52" t="s">
        <v>655</v>
      </c>
      <c r="N302" s="53" t="s">
        <v>698</v>
      </c>
      <c r="O302" s="6"/>
      <c r="P302" s="6"/>
      <c r="Q302" s="6" t="str">
        <f t="shared" si="1"/>
        <v>#N/A</v>
      </c>
      <c r="R302" s="6"/>
    </row>
    <row r="303" hidden="1">
      <c r="A303" s="31" t="str">
        <f>IFERROR(__xludf.DUMMYFUNCTION("""COMPUTED_VALUE"""),"232д (этап 1.1.3.2.2)")</f>
        <v>232д (этап 1.1.3.2.2)</v>
      </c>
      <c r="B303" s="14"/>
      <c r="C303" s="14" t="str">
        <f>IFERROR(__xludf.DUMMYFUNCTION("""COMPUTED_VALUE"""),"УДС")</f>
        <v>УДС</v>
      </c>
      <c r="D303" s="15"/>
      <c r="E303" s="14" t="str">
        <f>IFERROR(__xludf.DUMMYFUNCTION("""COMPUTED_VALUE"""),"Транспортная развязка на пересечении МКАД с Липецкой ул. Этапы 1.1.3.2.2 МКАД")</f>
        <v>Транспортная развязка на пересечении МКАД с Липецкой ул. Этапы 1.1.3.2.2 МКАД</v>
      </c>
      <c r="F303" s="25" t="str">
        <f>IFERROR(__xludf.DUMMYFUNCTION("""COMPUTED_VALUE"""),"#N/A")</f>
        <v>#N/A</v>
      </c>
      <c r="G303" s="6" t="str">
        <f>IFERROR(__xludf.DUMMYFUNCTION("""COMPUTED_VALUE"""),"#N/A")</f>
        <v>#N/A</v>
      </c>
      <c r="H303" s="6"/>
      <c r="I303" s="6"/>
      <c r="J303" s="50"/>
      <c r="K303" s="58"/>
      <c r="L303" s="6">
        <v>30.0</v>
      </c>
      <c r="M303" s="52" t="s">
        <v>655</v>
      </c>
      <c r="N303" s="53" t="s">
        <v>698</v>
      </c>
      <c r="O303" s="6" t="s">
        <v>827</v>
      </c>
      <c r="P303" s="6"/>
      <c r="Q303" s="6" t="str">
        <f t="shared" si="1"/>
        <v>#N/A</v>
      </c>
      <c r="R303" s="6"/>
    </row>
    <row r="304" hidden="1">
      <c r="A304" s="31" t="str">
        <f>IFERROR(__xludf.DUMMYFUNCTION("""COMPUTED_VALUE"""),"232д (этап 1.1.3.9)")</f>
        <v>232д (этап 1.1.3.9)</v>
      </c>
      <c r="B304" s="14"/>
      <c r="C304" s="14" t="str">
        <f>IFERROR(__xludf.DUMMYFUNCTION("""COMPUTED_VALUE"""),"УДС")</f>
        <v>УДС</v>
      </c>
      <c r="D304" s="15"/>
      <c r="E304" s="14" t="str">
        <f>IFERROR(__xludf.DUMMYFUNCTION("""COMPUTED_VALUE"""),"Транспортная развязка на пересечении МКАД с Липецкой ул. Этапы 1.1.3.9 МКАД")</f>
        <v>Транспортная развязка на пересечении МКАД с Липецкой ул. Этапы 1.1.3.9 МКАД</v>
      </c>
      <c r="F304" s="25" t="str">
        <f>IFERROR(__xludf.DUMMYFUNCTION("""COMPUTED_VALUE"""),"#N/A")</f>
        <v>#N/A</v>
      </c>
      <c r="G304" s="6" t="str">
        <f>IFERROR(__xludf.DUMMYFUNCTION("""COMPUTED_VALUE"""),"#N/A")</f>
        <v>#N/A</v>
      </c>
      <c r="H304" s="6"/>
      <c r="I304" s="6"/>
      <c r="J304" s="50"/>
      <c r="K304" s="58"/>
      <c r="L304" s="6">
        <v>30.0</v>
      </c>
      <c r="M304" s="52" t="s">
        <v>655</v>
      </c>
      <c r="N304" s="53" t="s">
        <v>698</v>
      </c>
      <c r="O304" s="6" t="s">
        <v>826</v>
      </c>
      <c r="P304" s="6"/>
      <c r="Q304" s="6" t="str">
        <f t="shared" si="1"/>
        <v>#N/A</v>
      </c>
      <c r="R304" s="6"/>
    </row>
    <row r="305" hidden="1">
      <c r="A305" s="31" t="str">
        <f>IFERROR(__xludf.DUMMYFUNCTION("""COMPUTED_VALUE"""),"232д (этап 1.2)")</f>
        <v>232д (этап 1.2)</v>
      </c>
      <c r="B305" s="14"/>
      <c r="C305" s="14" t="str">
        <f>IFERROR(__xludf.DUMMYFUNCTION("""COMPUTED_VALUE"""),"УДС")</f>
        <v>УДС</v>
      </c>
      <c r="D305" s="15"/>
      <c r="E305" s="14" t="str">
        <f>IFERROR(__xludf.DUMMYFUNCTION("""COMPUTED_VALUE"""),"Транспортная развязка на пересечении МКАД с Липецкой ул. Этапы 1.2 МКАД")</f>
        <v>Транспортная развязка на пересечении МКАД с Липецкой ул. Этапы 1.2 МКАД</v>
      </c>
      <c r="F305" s="25" t="str">
        <f>IFERROR(__xludf.DUMMYFUNCTION("""COMPUTED_VALUE"""),"#N/A")</f>
        <v>#N/A</v>
      </c>
      <c r="G305" s="6" t="str">
        <f>IFERROR(__xludf.DUMMYFUNCTION("""COMPUTED_VALUE"""),"#N/A")</f>
        <v>#N/A</v>
      </c>
      <c r="H305" s="6"/>
      <c r="I305" s="6"/>
      <c r="J305" s="50"/>
      <c r="K305" s="58"/>
      <c r="L305" s="6">
        <v>30.0</v>
      </c>
      <c r="M305" s="52" t="s">
        <v>655</v>
      </c>
      <c r="N305" s="53" t="s">
        <v>698</v>
      </c>
      <c r="O305" s="6" t="s">
        <v>828</v>
      </c>
      <c r="P305" s="6"/>
      <c r="Q305" s="6" t="str">
        <f t="shared" si="1"/>
        <v>#N/A</v>
      </c>
      <c r="R305" s="6"/>
    </row>
    <row r="306" hidden="1">
      <c r="A306" s="31" t="str">
        <f>IFERROR(__xludf.DUMMYFUNCTION("""COMPUTED_VALUE"""),"335д (сводный)")</f>
        <v>335д (сводный)</v>
      </c>
      <c r="B306" s="14" t="str">
        <f>IFERROR(__xludf.DUMMYFUNCTION("""COMPUTED_VALUE"""),"АИП-25")</f>
        <v>АИП-25</v>
      </c>
      <c r="C306" s="14" t="str">
        <f>IFERROR(__xludf.DUMMYFUNCTION("""COMPUTED_VALUE"""),"УДС")</f>
        <v>УДС</v>
      </c>
      <c r="D306" s="15"/>
      <c r="E30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6"&amp;", 4 (ОС) ")</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 4 (ОС) </v>
      </c>
      <c r="F306" s="25" t="str">
        <f>IFERROR(__xludf.DUMMYFUNCTION("""COMPUTED_VALUE"""),"#N/A")</f>
        <v>#N/A</v>
      </c>
      <c r="G306" s="6" t="str">
        <f>IFERROR(__xludf.DUMMYFUNCTION("""COMPUTED_VALUE"""),"#N/A")</f>
        <v>#N/A</v>
      </c>
      <c r="H306" s="6"/>
      <c r="I306" s="6"/>
      <c r="J306" s="50"/>
      <c r="K306" s="58"/>
      <c r="L306" s="6">
        <v>30.0</v>
      </c>
      <c r="M306" s="52" t="s">
        <v>655</v>
      </c>
      <c r="N306" s="53" t="s">
        <v>698</v>
      </c>
      <c r="O306" s="6"/>
      <c r="P306" s="6"/>
      <c r="Q306" s="6" t="str">
        <f t="shared" si="1"/>
        <v>#N/A</v>
      </c>
      <c r="R306" s="6"/>
    </row>
    <row r="307" hidden="1">
      <c r="A307" s="31" t="str">
        <f>IFERROR(__xludf.DUMMYFUNCTION("""COMPUTED_VALUE"""),"335д (этап 4)")</f>
        <v>335д (этап 4)</v>
      </c>
      <c r="B307" s="14"/>
      <c r="C307" s="14" t="str">
        <f>IFERROR(__xludf.DUMMYFUNCTION("""COMPUTED_VALUE"""),"УДС")</f>
        <v>УДС</v>
      </c>
      <c r="D307" s="15"/>
      <c r="E307"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Этап"&amp;" 4 (ОС) 3-й Дорожный проезд, 24")</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4 (ОС) 3-й Дорожный проезд, 24</v>
      </c>
      <c r="F307" s="25" t="str">
        <f>IFERROR(__xludf.DUMMYFUNCTION("""COMPUTED_VALUE"""),"#N/A")</f>
        <v>#N/A</v>
      </c>
      <c r="G307" s="6" t="str">
        <f>IFERROR(__xludf.DUMMYFUNCTION("""COMPUTED_VALUE"""),"#N/A")</f>
        <v>#N/A</v>
      </c>
      <c r="H307" s="6"/>
      <c r="I307" s="6"/>
      <c r="J307" s="50"/>
      <c r="K307" s="58"/>
      <c r="L307" s="6">
        <v>30.0</v>
      </c>
      <c r="M307" s="52" t="s">
        <v>655</v>
      </c>
      <c r="N307" s="53" t="s">
        <v>698</v>
      </c>
      <c r="O307" s="6" t="s">
        <v>829</v>
      </c>
      <c r="P307" s="6"/>
      <c r="Q307" s="6" t="str">
        <f t="shared" si="1"/>
        <v>#N/A</v>
      </c>
      <c r="R307" s="6"/>
    </row>
    <row r="308" hidden="1">
      <c r="A308" s="31" t="str">
        <f>IFERROR(__xludf.DUMMYFUNCTION("""COMPUTED_VALUE"""),"335д (этап 6)")</f>
        <v>335д (этап 6)</v>
      </c>
      <c r="B308" s="14"/>
      <c r="C308" s="14" t="str">
        <f>IFERROR(__xludf.DUMMYFUNCTION("""COMPUTED_VALUE"""),"УДС")</f>
        <v>УДС</v>
      </c>
      <c r="D308" s="15"/>
      <c r="E308" s="14" t="str">
        <f>IFERROR(__xludf.DUMMYFUNCTION("""COMPUTED_VALUE"""),"Строительство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Этап"&amp;" 6 3-й Дорожный проезд, 24")</f>
        <v>Строительство улично-дорожной сети с искусственными сооружениями и переустройством инженерных коммуникаций на участке от Павелецкого направления Московской железной дороги до МКАД с транспортной развязкой на пересечении МКАД с Юго-Восточной хордой. 
 Этап 6 3-й Дорожный проезд, 24</v>
      </c>
      <c r="F308" s="25" t="str">
        <f>IFERROR(__xludf.DUMMYFUNCTION("""COMPUTED_VALUE"""),"#N/A")</f>
        <v>#N/A</v>
      </c>
      <c r="G308" s="6" t="str">
        <f>IFERROR(__xludf.DUMMYFUNCTION("""COMPUTED_VALUE"""),"#N/A")</f>
        <v>#N/A</v>
      </c>
      <c r="H308" s="6"/>
      <c r="I308" s="6"/>
      <c r="J308" s="50"/>
      <c r="K308" s="58"/>
      <c r="L308" s="6">
        <v>30.0</v>
      </c>
      <c r="M308" s="52" t="s">
        <v>655</v>
      </c>
      <c r="N308" s="53" t="s">
        <v>698</v>
      </c>
      <c r="O308" s="6" t="s">
        <v>830</v>
      </c>
      <c r="P308" s="6"/>
      <c r="Q308" s="6" t="str">
        <f t="shared" si="1"/>
        <v>#N/A</v>
      </c>
      <c r="R308" s="6"/>
    </row>
    <row r="309" hidden="1">
      <c r="A309" s="31" t="str">
        <f>IFERROR(__xludf.DUMMYFUNCTION("""COMPUTED_VALUE"""),"112д (сводный)")</f>
        <v>112д (сводный)</v>
      </c>
      <c r="B309" s="14" t="str">
        <f>IFERROR(__xludf.DUMMYFUNCTION("""COMPUTED_VALUE"""),"АИП-25")</f>
        <v>АИП-25</v>
      </c>
      <c r="C309" s="14" t="str">
        <f>IFERROR(__xludf.DUMMYFUNCTION("""COMPUTED_VALUE"""),"УДС")</f>
        <v>УДС</v>
      </c>
      <c r="D309" s="15"/>
      <c r="E309" s="14" t="str">
        <f>IFERROR(__xludf.DUMMYFUNCTION("""COMPUTED_VALUE"""),"ЮР-1. Участок от ул.Каспийской до 1-го Котляковского пер. Этапы 2.3, 2.4, 2.5, 2.1, 2.6, 3 ")</f>
        <v>ЮР-1. Участок от ул.Каспийской до 1-го Котляковского пер. Этапы 2.3, 2.4, 2.5, 2.1, 2.6, 3 </v>
      </c>
      <c r="F309" s="25" t="str">
        <f>IFERROR(__xludf.DUMMYFUNCTION("""COMPUTED_VALUE"""),"#N/A")</f>
        <v>#N/A</v>
      </c>
      <c r="G309" s="6" t="str">
        <f>IFERROR(__xludf.DUMMYFUNCTION("""COMPUTED_VALUE"""),"#N/A")</f>
        <v>#N/A</v>
      </c>
      <c r="H309" s="6"/>
      <c r="I309" s="6"/>
      <c r="J309" s="50"/>
      <c r="K309" s="58"/>
      <c r="L309" s="6">
        <v>30.0</v>
      </c>
      <c r="M309" s="52" t="s">
        <v>655</v>
      </c>
      <c r="N309" s="53" t="s">
        <v>698</v>
      </c>
      <c r="O309" s="6"/>
      <c r="P309" s="6"/>
      <c r="Q309" s="6" t="str">
        <f t="shared" si="1"/>
        <v>#N/A</v>
      </c>
      <c r="R309" s="6"/>
    </row>
    <row r="310" hidden="1">
      <c r="A310" s="31" t="str">
        <f>IFERROR(__xludf.DUMMYFUNCTION("""COMPUTED_VALUE"""),"112д (этап 2.1)")</f>
        <v>112д (этап 2.1)</v>
      </c>
      <c r="B310" s="14"/>
      <c r="C310" s="14" t="str">
        <f>IFERROR(__xludf.DUMMYFUNCTION("""COMPUTED_VALUE"""),"УДС")</f>
        <v>УДС</v>
      </c>
      <c r="D310" s="15"/>
      <c r="E310"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2.1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2.1 ул.Каспийская 1-й Котляковский переулок.</v>
      </c>
      <c r="F310" s="25" t="str">
        <f>IFERROR(__xludf.DUMMYFUNCTION("""COMPUTED_VALUE"""),"#N/A")</f>
        <v>#N/A</v>
      </c>
      <c r="G310" s="6" t="str">
        <f>IFERROR(__xludf.DUMMYFUNCTION("""COMPUTED_VALUE"""),"#N/A")</f>
        <v>#N/A</v>
      </c>
      <c r="H310" s="6"/>
      <c r="I310" s="6"/>
      <c r="J310" s="50"/>
      <c r="K310" s="58"/>
      <c r="L310" s="6">
        <v>30.0</v>
      </c>
      <c r="M310" s="52" t="s">
        <v>655</v>
      </c>
      <c r="N310" s="53" t="s">
        <v>698</v>
      </c>
      <c r="O310" s="6"/>
      <c r="P310" s="6"/>
      <c r="Q310" s="6" t="str">
        <f t="shared" si="1"/>
        <v>#N/A</v>
      </c>
      <c r="R310" s="6"/>
    </row>
    <row r="311" hidden="1">
      <c r="A311" s="31" t="str">
        <f>IFERROR(__xludf.DUMMYFUNCTION("""COMPUTED_VALUE"""),"112д (этап 2.3)")</f>
        <v>112д (этап 2.3)</v>
      </c>
      <c r="B311" s="14"/>
      <c r="C311" s="14" t="str">
        <f>IFERROR(__xludf.DUMMYFUNCTION("""COMPUTED_VALUE"""),"УДС")</f>
        <v>УДС</v>
      </c>
      <c r="D311" s="15"/>
      <c r="E311"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2.3,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2.3, ул.Каспийская 1-й Котляковский переулок.</v>
      </c>
      <c r="F311" s="25" t="str">
        <f>IFERROR(__xludf.DUMMYFUNCTION("""COMPUTED_VALUE"""),"#N/A")</f>
        <v>#N/A</v>
      </c>
      <c r="G311" s="6" t="str">
        <f>IFERROR(__xludf.DUMMYFUNCTION("""COMPUTED_VALUE"""),"#N/A")</f>
        <v>#N/A</v>
      </c>
      <c r="H311" s="6"/>
      <c r="I311" s="6"/>
      <c r="J311" s="50"/>
      <c r="K311" s="58"/>
      <c r="L311" s="6">
        <v>30.0</v>
      </c>
      <c r="M311" s="52" t="s">
        <v>655</v>
      </c>
      <c r="N311" s="53" t="s">
        <v>698</v>
      </c>
      <c r="O311" s="6"/>
      <c r="P311" s="6"/>
      <c r="Q311" s="6" t="str">
        <f t="shared" si="1"/>
        <v>#N/A</v>
      </c>
      <c r="R311" s="6"/>
    </row>
    <row r="312" hidden="1">
      <c r="A312" s="31" t="str">
        <f>IFERROR(__xludf.DUMMYFUNCTION("""COMPUTED_VALUE"""),"112д (этап 2.4)")</f>
        <v>112д (этап 2.4)</v>
      </c>
      <c r="B312" s="14"/>
      <c r="C312" s="14" t="str">
        <f>IFERROR(__xludf.DUMMYFUNCTION("""COMPUTED_VALUE"""),"УДС")</f>
        <v>УДС</v>
      </c>
      <c r="D312" s="15"/>
      <c r="E312"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2.4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2.4 ул.Каспийская 1-й Котляковский переулок.</v>
      </c>
      <c r="F312" s="25" t="str">
        <f>IFERROR(__xludf.DUMMYFUNCTION("""COMPUTED_VALUE"""),"#N/A")</f>
        <v>#N/A</v>
      </c>
      <c r="G312" s="6" t="str">
        <f>IFERROR(__xludf.DUMMYFUNCTION("""COMPUTED_VALUE"""),"#N/A")</f>
        <v>#N/A</v>
      </c>
      <c r="H312" s="6"/>
      <c r="I312" s="6"/>
      <c r="J312" s="50"/>
      <c r="K312" s="58"/>
      <c r="L312" s="6">
        <v>30.0</v>
      </c>
      <c r="M312" s="52" t="s">
        <v>655</v>
      </c>
      <c r="N312" s="53" t="s">
        <v>698</v>
      </c>
      <c r="O312" s="6"/>
      <c r="P312" s="6"/>
      <c r="Q312" s="6" t="str">
        <f t="shared" si="1"/>
        <v>#N/A</v>
      </c>
      <c r="R312" s="6"/>
    </row>
    <row r="313" hidden="1">
      <c r="A313" s="31" t="str">
        <f>IFERROR(__xludf.DUMMYFUNCTION("""COMPUTED_VALUE"""),"112д (этап 2.5)")</f>
        <v>112д (этап 2.5)</v>
      </c>
      <c r="B313" s="14"/>
      <c r="C313" s="14" t="str">
        <f>IFERROR(__xludf.DUMMYFUNCTION("""COMPUTED_VALUE"""),"УДС")</f>
        <v>УДС</v>
      </c>
      <c r="D313" s="15"/>
      <c r="E313"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2.5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2.5 ул.Каспийская 1-й Котляковский переулок.</v>
      </c>
      <c r="F313" s="25" t="str">
        <f>IFERROR(__xludf.DUMMYFUNCTION("""COMPUTED_VALUE"""),"#N/A")</f>
        <v>#N/A</v>
      </c>
      <c r="G313" s="6" t="str">
        <f>IFERROR(__xludf.DUMMYFUNCTION("""COMPUTED_VALUE"""),"#N/A")</f>
        <v>#N/A</v>
      </c>
      <c r="H313" s="6"/>
      <c r="I313" s="6"/>
      <c r="J313" s="50"/>
      <c r="K313" s="58"/>
      <c r="L313" s="6">
        <v>30.0</v>
      </c>
      <c r="M313" s="52" t="s">
        <v>655</v>
      </c>
      <c r="N313" s="53" t="s">
        <v>698</v>
      </c>
      <c r="O313" s="6"/>
      <c r="P313" s="6"/>
      <c r="Q313" s="6" t="str">
        <f t="shared" si="1"/>
        <v>#N/A</v>
      </c>
      <c r="R313" s="6"/>
    </row>
    <row r="314" hidden="1">
      <c r="A314" s="31" t="str">
        <f>IFERROR(__xludf.DUMMYFUNCTION("""COMPUTED_VALUE"""),"112д (этап 2.6)")</f>
        <v>112д (этап 2.6)</v>
      </c>
      <c r="B314" s="14"/>
      <c r="C314" s="14" t="str">
        <f>IFERROR(__xludf.DUMMYFUNCTION("""COMPUTED_VALUE"""),"УДС")</f>
        <v>УДС</v>
      </c>
      <c r="D314" s="15"/>
      <c r="E314"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2.6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2.6 ул.Каспийская 1-й Котляковский переулок.</v>
      </c>
      <c r="F314" s="25" t="str">
        <f>IFERROR(__xludf.DUMMYFUNCTION("""COMPUTED_VALUE"""),"#N/A")</f>
        <v>#N/A</v>
      </c>
      <c r="G314" s="6" t="str">
        <f>IFERROR(__xludf.DUMMYFUNCTION("""COMPUTED_VALUE"""),"#N/A")</f>
        <v>#N/A</v>
      </c>
      <c r="H314" s="6"/>
      <c r="I314" s="6"/>
      <c r="J314" s="50"/>
      <c r="K314" s="58"/>
      <c r="L314" s="6">
        <v>30.0</v>
      </c>
      <c r="M314" s="52" t="s">
        <v>655</v>
      </c>
      <c r="N314" s="53" t="s">
        <v>698</v>
      </c>
      <c r="O314" s="6"/>
      <c r="P314" s="6"/>
      <c r="Q314" s="6" t="str">
        <f t="shared" si="1"/>
        <v>#N/A</v>
      </c>
      <c r="R314" s="6"/>
    </row>
    <row r="315" hidden="1">
      <c r="A315" s="31" t="str">
        <f>IFERROR(__xludf.DUMMYFUNCTION("""COMPUTED_VALUE"""),"112д (этап 3)")</f>
        <v>112д (этап 3)</v>
      </c>
      <c r="B315" s="14"/>
      <c r="C315" s="14" t="str">
        <f>IFERROR(__xludf.DUMMYFUNCTION("""COMPUTED_VALUE"""),"УДС")</f>
        <v>УДС</v>
      </c>
      <c r="D315" s="15"/>
      <c r="E315"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3 ул.Каспийская 1-й Котляковский переулок.")</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Этапы 3 ул.Каспийская 1-й Котляковский переулок.</v>
      </c>
      <c r="F315" s="25" t="str">
        <f>IFERROR(__xludf.DUMMYFUNCTION("""COMPUTED_VALUE"""),"#N/A")</f>
        <v>#N/A</v>
      </c>
      <c r="G315" s="6" t="str">
        <f>IFERROR(__xludf.DUMMYFUNCTION("""COMPUTED_VALUE"""),"#N/A")</f>
        <v>#N/A</v>
      </c>
      <c r="H315" s="6"/>
      <c r="I315" s="6"/>
      <c r="J315" s="50"/>
      <c r="K315" s="58"/>
      <c r="L315" s="6">
        <v>30.0</v>
      </c>
      <c r="M315" s="52" t="s">
        <v>655</v>
      </c>
      <c r="N315" s="53" t="s">
        <v>698</v>
      </c>
      <c r="O315" s="6"/>
      <c r="P315" s="6"/>
      <c r="Q315" s="6" t="str">
        <f t="shared" si="1"/>
        <v>#N/A</v>
      </c>
      <c r="R315" s="6"/>
    </row>
    <row r="316" hidden="1">
      <c r="A316" s="31" t="str">
        <f>IFERROR(__xludf.DUMMYFUNCTION("""COMPUTED_VALUE"""),"356д (этап 1.5)")</f>
        <v>356д (этап 1.5)</v>
      </c>
      <c r="B316" s="14" t="str">
        <f>IFERROR(__xludf.DUMMYFUNCTION("""COMPUTED_VALUE"""),"АИП-25")</f>
        <v>АИП-25</v>
      </c>
      <c r="C316" s="14" t="str">
        <f>IFERROR(__xludf.DUMMYFUNCTION("""COMPUTED_VALUE"""),"УДС")</f>
        <v>УДС</v>
      </c>
      <c r="D316" s="15"/>
      <c r="E316" s="14" t="str">
        <f>IFERROR(__xludf.DUMMYFUNCTION("""COMPUTED_VALUE"""),"Строительство участков улично-дорожной сети для ТПУ ""Ярославская"" 
 этап 1.5 СВАО")</f>
        <v>Строительство участков улично-дорожной сети для ТПУ "Ярославская" 
 этап 1.5 СВАО</v>
      </c>
      <c r="F316" s="25" t="str">
        <f>IFERROR(__xludf.DUMMYFUNCTION("""COMPUTED_VALUE"""),"#N/A")</f>
        <v>#N/A</v>
      </c>
      <c r="G316" s="6" t="str">
        <f>IFERROR(__xludf.DUMMYFUNCTION("""COMPUTED_VALUE"""),"#N/A")</f>
        <v>#N/A</v>
      </c>
      <c r="H316" s="6"/>
      <c r="I316" s="6"/>
      <c r="J316" s="50">
        <f>IFERROR(__xludf.DUMMYFUNCTION("""COMPUTED_VALUE"""),83.295)</f>
        <v>83.295</v>
      </c>
      <c r="K316" s="58">
        <f>IFERROR(__xludf.DUMMYFUNCTION("""COMPUTED_VALUE"""),45972.0)</f>
        <v>45972</v>
      </c>
      <c r="L316" s="6">
        <v>14.0</v>
      </c>
      <c r="M316" s="52">
        <v>45986.0</v>
      </c>
      <c r="N316" s="53" t="s">
        <v>711</v>
      </c>
      <c r="O316" s="6" t="s">
        <v>831</v>
      </c>
      <c r="P316" s="6"/>
      <c r="Q316" s="6" t="str">
        <f t="shared" si="1"/>
        <v>#N/A</v>
      </c>
      <c r="R316" s="6"/>
    </row>
    <row r="317" hidden="1">
      <c r="A317" s="31" t="str">
        <f>IFERROR(__xludf.DUMMYFUNCTION("""COMPUTED_VALUE"""),"356д (этап 2.1)")</f>
        <v>356д (этап 2.1)</v>
      </c>
      <c r="B317" s="14" t="str">
        <f>IFERROR(__xludf.DUMMYFUNCTION("""COMPUTED_VALUE"""),"АИП-25")</f>
        <v>АИП-25</v>
      </c>
      <c r="C317" s="14" t="str">
        <f>IFERROR(__xludf.DUMMYFUNCTION("""COMPUTED_VALUE"""),"УДС")</f>
        <v>УДС</v>
      </c>
      <c r="D317" s="15"/>
      <c r="E317" s="14" t="str">
        <f>IFERROR(__xludf.DUMMYFUNCTION("""COMPUTED_VALUE"""),"Строительство участков улично-дорожной сети для ТПУ ""Ярославская"" 
 этап 2.1 СВАО")</f>
        <v>Строительство участков улично-дорожной сети для ТПУ "Ярославская" 
 этап 2.1 СВАО</v>
      </c>
      <c r="F317" s="25" t="str">
        <f>IFERROR(__xludf.DUMMYFUNCTION("""COMPUTED_VALUE"""),"#N/A")</f>
        <v>#N/A</v>
      </c>
      <c r="G317" s="6" t="str">
        <f>IFERROR(__xludf.DUMMYFUNCTION("""COMPUTED_VALUE"""),"#N/A")</f>
        <v>#N/A</v>
      </c>
      <c r="H317" s="6"/>
      <c r="I317" s="6"/>
      <c r="J317" s="50">
        <f>IFERROR(__xludf.DUMMYFUNCTION("""COMPUTED_VALUE"""),99.25)</f>
        <v>99.25</v>
      </c>
      <c r="K317" s="58">
        <f>IFERROR(__xludf.DUMMYFUNCTION("""COMPUTED_VALUE"""),45944.0)</f>
        <v>45944</v>
      </c>
      <c r="L317" s="6">
        <v>7.0</v>
      </c>
      <c r="M317" s="52">
        <v>45951.0</v>
      </c>
      <c r="N317" s="53" t="s">
        <v>668</v>
      </c>
      <c r="O317" s="6" t="s">
        <v>832</v>
      </c>
      <c r="P317" s="6"/>
      <c r="Q317" s="6" t="str">
        <f t="shared" si="1"/>
        <v>#N/A</v>
      </c>
      <c r="R317" s="6"/>
    </row>
    <row r="318" hidden="1">
      <c r="A318" s="31" t="str">
        <f>IFERROR(__xludf.DUMMYFUNCTION("""COMPUTED_VALUE"""),"191")</f>
        <v>191</v>
      </c>
      <c r="B318" s="14" t="str">
        <f>IFERROR(__xludf.DUMMYFUNCTION("""COMPUTED_VALUE"""),"РЕН-25")</f>
        <v>РЕН-25</v>
      </c>
      <c r="C318" s="14" t="str">
        <f>IFERROR(__xludf.DUMMYFUNCTION("""COMPUTED_VALUE"""),"ОКС")</f>
        <v>ОКС</v>
      </c>
      <c r="D318" s="15"/>
      <c r="E318" s="14" t="str">
        <f>IFERROR(__xludf.DUMMYFUNCTION("""COMPUTED_VALUE"""),"Часовая ул., д. 27/12 район Аэропорт, Часовая ул., д. 27/12")</f>
        <v>Часовая ул., д. 27/12 район Аэропорт, Часовая ул., д. 27/12</v>
      </c>
      <c r="F318" s="25" t="str">
        <f>IFERROR(__xludf.DUMMYFUNCTION("""COMPUTED_VALUE"""),"55.811401")</f>
        <v>55.811401</v>
      </c>
      <c r="G318" s="6" t="str">
        <f>IFERROR(__xludf.DUMMYFUNCTION("""COMPUTED_VALUE"""),"37.517123")</f>
        <v>37.517123</v>
      </c>
      <c r="H318" s="18" t="str">
        <f>IFERROR(__xludf.DUMMYFUNCTION("""COMPUTED_VALUE"""),"https://docs.google.com/spreadsheets/d/1H1MjbG2y0oC0hhID4do1G0_gfyI1jag72lQd7nL3WDQ/edit?gid=1648385259#gid=1648385259")</f>
        <v>https://docs.google.com/spreadsheets/d/1H1MjbG2y0oC0hhID4do1G0_gfyI1jag72lQd7nL3WDQ/edit?gid=1648385259#gid=1648385259</v>
      </c>
      <c r="I318" s="19" t="str">
        <f>IFERROR(__xludf.DUMMYFUNCTION("""COMPUTED_VALUE"""),"https://disk.yandex.ru/client/disk/Осмотры%20объектов%20АНО%20СМГ/191.%20Часовая%2027-12")</f>
        <v>https://disk.yandex.ru/client/disk/Осмотры%20объектов%20АНО%20СМГ/191.%20Часовая%2027-12</v>
      </c>
      <c r="J318" s="50">
        <f>IFERROR(__xludf.DUMMYFUNCTION("""COMPUTED_VALUE"""),84.26642)</f>
        <v>84.26642</v>
      </c>
      <c r="K318" s="58">
        <f>IFERROR(__xludf.DUMMYFUNCTION("""COMPUTED_VALUE"""),45972.0)</f>
        <v>45972</v>
      </c>
      <c r="L318" s="6">
        <v>14.0</v>
      </c>
      <c r="M318" s="52">
        <v>45986.0</v>
      </c>
      <c r="N318" s="53" t="s">
        <v>711</v>
      </c>
      <c r="O318" s="19" t="s">
        <v>833</v>
      </c>
      <c r="P318" s="6"/>
      <c r="Q318" s="6" t="str">
        <f t="shared" si="1"/>
        <v>#N/A</v>
      </c>
      <c r="R318" s="6"/>
    </row>
    <row r="319" hidden="1">
      <c r="A319" s="31" t="str">
        <f>IFERROR(__xludf.DUMMYFUNCTION("""COMPUTED_VALUE"""),"303д")</f>
        <v>303д</v>
      </c>
      <c r="B319" s="14" t="str">
        <f>IFERROR(__xludf.DUMMYFUNCTION("""COMPUTED_VALUE"""),"АИП-25")</f>
        <v>АИП-25</v>
      </c>
      <c r="C319" s="14" t="str">
        <f>IFERROR(__xludf.DUMMYFUNCTION("""COMPUTED_VALUE"""),"УДС")</f>
        <v>УДС</v>
      </c>
      <c r="D319" s="15"/>
      <c r="E319" s="14" t="str">
        <f>IFERROR(__xludf.DUMMYFUNCTION("""COMPUTED_VALUE"""),"Строительство улично-дорожной сети для транспортного обслуживания объектов социальной инфраструктуры в д. Лапшинка, влд. 57 НАО, д. Лапшинка, влд. 57")</f>
        <v>Строительство улично-дорожной сети для транспортного обслуживания объектов социальной инфраструктуры в д. Лапшинка, влд. 57 НАО, д. Лапшинка, влд. 57</v>
      </c>
      <c r="F319" s="25" t="str">
        <f>IFERROR(__xludf.DUMMYFUNCTION("""COMPUTED_VALUE"""),"#N/A")</f>
        <v>#N/A</v>
      </c>
      <c r="G319" s="6" t="str">
        <f>IFERROR(__xludf.DUMMYFUNCTION("""COMPUTED_VALUE"""),"#N/A")</f>
        <v>#N/A</v>
      </c>
      <c r="H319" s="6"/>
      <c r="I319" s="6"/>
      <c r="J319" s="50">
        <f>IFERROR(__xludf.DUMMYFUNCTION("""COMPUTED_VALUE"""),40.52823477100933)</f>
        <v>40.52823477</v>
      </c>
      <c r="K319" s="58">
        <f>IFERROR(__xludf.DUMMYFUNCTION("""COMPUTED_VALUE"""),45974.0)</f>
        <v>45974</v>
      </c>
      <c r="L319" s="6">
        <v>30.0</v>
      </c>
      <c r="M319" s="52">
        <v>46004.0</v>
      </c>
      <c r="N319" s="53" t="s">
        <v>711</v>
      </c>
      <c r="O319" s="6" t="s">
        <v>834</v>
      </c>
      <c r="P319" s="6"/>
      <c r="Q319" s="6" t="str">
        <f t="shared" si="1"/>
        <v>#N/A</v>
      </c>
      <c r="R319" s="6"/>
    </row>
    <row r="320" hidden="1">
      <c r="A320" s="31" t="str">
        <f>IFERROR(__xludf.DUMMYFUNCTION("""COMPUTED_VALUE"""),"263д")</f>
        <v>263д</v>
      </c>
      <c r="B320" s="14" t="str">
        <f>IFERROR(__xludf.DUMMYFUNCTION("""COMPUTED_VALUE"""),"АИП-25")</f>
        <v>АИП-25</v>
      </c>
      <c r="C320" s="14" t="str">
        <f>IFERROR(__xludf.DUMMYFUNCTION("""COMPUTED_VALUE"""),"УДС")</f>
        <v>УДС</v>
      </c>
      <c r="D320" s="15"/>
      <c r="E320" s="14" t="str">
        <f>IFERROR(__xludf.DUMMYFUNCTION("""COMPUTED_VALUE"""),"Развитие улично-дорожной сети г.о. Троицк (1 этап). Этап 1.1. Строительство участка магистральной улицы общегородского значения от Октябрьского пр-кта до Калужского ш. От Октябрьского пр-кта до Калужского ш.")</f>
        <v>Развитие улично-дорожной сети г.о. Троицк (1 этап). Этап 1.1. Строительство участка магистральной улицы общегородского значения от Октябрьского пр-кта до Калужского ш. От Октябрьского пр-кта до Калужского ш.</v>
      </c>
      <c r="F320" s="25" t="str">
        <f>IFERROR(__xludf.DUMMYFUNCTION("""COMPUTED_VALUE"""),"#N/A")</f>
        <v>#N/A</v>
      </c>
      <c r="G320" s="6" t="str">
        <f>IFERROR(__xludf.DUMMYFUNCTION("""COMPUTED_VALUE"""),"#N/A")</f>
        <v>#N/A</v>
      </c>
      <c r="H320" s="6"/>
      <c r="I320" s="6"/>
      <c r="J320" s="50">
        <f>IFERROR(__xludf.DUMMYFUNCTION("""COMPUTED_VALUE"""),24.0)</f>
        <v>24</v>
      </c>
      <c r="K320" s="58">
        <f>IFERROR(__xludf.DUMMYFUNCTION("""COMPUTED_VALUE"""),45975.0)</f>
        <v>45975</v>
      </c>
      <c r="L320" s="6">
        <v>30.0</v>
      </c>
      <c r="M320" s="52">
        <v>46005.0</v>
      </c>
      <c r="N320" s="53" t="s">
        <v>711</v>
      </c>
      <c r="O320" s="6"/>
      <c r="P320" s="6"/>
      <c r="Q320" s="6" t="str">
        <f t="shared" si="1"/>
        <v>#N/A</v>
      </c>
      <c r="R320" s="6"/>
    </row>
    <row r="321" hidden="1">
      <c r="A321" s="31" t="str">
        <f>IFERROR(__xludf.DUMMYFUNCTION("""COMPUTED_VALUE"""),"089д (сводный)")</f>
        <v>089д (сводный)</v>
      </c>
      <c r="B321" s="14" t="str">
        <f>IFERROR(__xludf.DUMMYFUNCTION("""COMPUTED_VALUE"""),"АИП-25")</f>
        <v>АИП-25</v>
      </c>
      <c r="C321" s="14" t="str">
        <f>IFERROR(__xludf.DUMMYFUNCTION("""COMPUTED_VALUE"""),"УДС")</f>
        <v>УДС</v>
      </c>
      <c r="D321" s="15"/>
      <c r="E321" s="14" t="str">
        <f>IFERROR(__xludf.DUMMYFUNCTION("""COMPUTED_VALUE"""),"Строительство эстакад основного хода, эстакадсъездов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Яро"&amp;"славского ш. в рамках строительства Северо-Восточной хорды Этап 1. Транспортная развязка на пересечении Северо-Восточной хорды с Ярославским ш. Этапы 1.3.5, 1.4, 3 ")</f>
        <v>Строительство эстакад основного хода, эстакадсъездов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Этапы 1.3.5, 1.4, 3 </v>
      </c>
      <c r="F321" s="25" t="str">
        <f>IFERROR(__xludf.DUMMYFUNCTION("""COMPUTED_VALUE"""),"#N/A")</f>
        <v>#N/A</v>
      </c>
      <c r="G321" s="6" t="str">
        <f>IFERROR(__xludf.DUMMYFUNCTION("""COMPUTED_VALUE"""),"#N/A")</f>
        <v>#N/A</v>
      </c>
      <c r="H321" s="6"/>
      <c r="I321" s="6"/>
      <c r="J321" s="50"/>
      <c r="K321" s="58"/>
      <c r="L321" s="6">
        <v>30.0</v>
      </c>
      <c r="M321" s="52" t="s">
        <v>655</v>
      </c>
      <c r="N321" s="53" t="s">
        <v>698</v>
      </c>
      <c r="O321" s="6"/>
      <c r="P321" s="6"/>
      <c r="Q321" s="6" t="str">
        <f t="shared" si="1"/>
        <v>#N/A</v>
      </c>
      <c r="R321" s="6"/>
    </row>
    <row r="322" hidden="1">
      <c r="A322" s="31" t="str">
        <f>IFERROR(__xludf.DUMMYFUNCTION("""COMPUTED_VALUE"""),"089д (этап 1.3.5)")</f>
        <v>089д (этап 1.3.5)</v>
      </c>
      <c r="B322" s="14"/>
      <c r="C322" s="14" t="str">
        <f>IFERROR(__xludf.DUMMYFUNCTION("""COMPUTED_VALUE"""),"УДС")</f>
        <v>УДС</v>
      </c>
      <c r="D322" s="15"/>
      <c r="E322"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1.3.5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1.3.5 СВХ от Открытого ш. до
 Ярославского ш</v>
      </c>
      <c r="F322" s="25" t="str">
        <f>IFERROR(__xludf.DUMMYFUNCTION("""COMPUTED_VALUE"""),"#N/A")</f>
        <v>#N/A</v>
      </c>
      <c r="G322" s="6" t="str">
        <f>IFERROR(__xludf.DUMMYFUNCTION("""COMPUTED_VALUE"""),"#N/A")</f>
        <v>#N/A</v>
      </c>
      <c r="H322" s="6"/>
      <c r="I322" s="6"/>
      <c r="J322" s="50">
        <f>IFERROR(__xludf.DUMMYFUNCTION("""COMPUTED_VALUE"""),100.0)</f>
        <v>100</v>
      </c>
      <c r="K322" s="58">
        <f>IFERROR(__xludf.DUMMYFUNCTION("""COMPUTED_VALUE"""),45966.0)</f>
        <v>45966</v>
      </c>
      <c r="L322" s="6" t="s">
        <v>654</v>
      </c>
      <c r="M322" s="52" t="s">
        <v>655</v>
      </c>
      <c r="N322" s="53" t="s">
        <v>656</v>
      </c>
      <c r="O322" s="6" t="s">
        <v>835</v>
      </c>
      <c r="P322" s="6"/>
      <c r="Q322" s="6" t="str">
        <f t="shared" si="1"/>
        <v>#N/A</v>
      </c>
      <c r="R322" s="6"/>
    </row>
    <row r="323" hidden="1">
      <c r="A323" s="31" t="str">
        <f>IFERROR(__xludf.DUMMYFUNCTION("""COMPUTED_VALUE"""),"089д (этап 1.4)")</f>
        <v>089д (этап 1.4)</v>
      </c>
      <c r="B323" s="14"/>
      <c r="C323" s="14" t="str">
        <f>IFERROR(__xludf.DUMMYFUNCTION("""COMPUTED_VALUE"""),"УДС")</f>
        <v>УДС</v>
      </c>
      <c r="D323" s="15"/>
      <c r="E323"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1.4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1.4 СВХ от Открытого ш. до
 Ярославского ш</v>
      </c>
      <c r="F323" s="25" t="str">
        <f>IFERROR(__xludf.DUMMYFUNCTION("""COMPUTED_VALUE"""),"#N/A")</f>
        <v>#N/A</v>
      </c>
      <c r="G323" s="6" t="str">
        <f>IFERROR(__xludf.DUMMYFUNCTION("""COMPUTED_VALUE"""),"#N/A")</f>
        <v>#N/A</v>
      </c>
      <c r="H323" s="6"/>
      <c r="I323" s="6"/>
      <c r="J323" s="50">
        <f>IFERROR(__xludf.DUMMYFUNCTION("""COMPUTED_VALUE"""),55.574999999999996)</f>
        <v>55.575</v>
      </c>
      <c r="K323" s="58">
        <f>IFERROR(__xludf.DUMMYFUNCTION("""COMPUTED_VALUE"""),45966.0)</f>
        <v>45966</v>
      </c>
      <c r="L323" s="6">
        <v>14.0</v>
      </c>
      <c r="M323" s="52">
        <v>45980.0</v>
      </c>
      <c r="N323" s="53" t="s">
        <v>741</v>
      </c>
      <c r="O323" s="6" t="s">
        <v>836</v>
      </c>
      <c r="P323" s="6"/>
      <c r="Q323" s="6" t="str">
        <f t="shared" si="1"/>
        <v>#N/A</v>
      </c>
      <c r="R323" s="6"/>
    </row>
    <row r="324" hidden="1">
      <c r="A324" s="31" t="str">
        <f>IFERROR(__xludf.DUMMYFUNCTION("""COMPUTED_VALUE"""),"089д (этап 3)")</f>
        <v>089д (этап 3)</v>
      </c>
      <c r="B324" s="14"/>
      <c r="C324" s="14" t="str">
        <f>IFERROR(__xludf.DUMMYFUNCTION("""COMPUTED_VALUE"""),"УДС")</f>
        <v>УДС</v>
      </c>
      <c r="D324" s="15"/>
      <c r="E324" s="14" t="str">
        <f>IFERROR(__xludf.DUMMYFUNCTION("""COMPUTED_VALUE"""),"Строительство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Яр"&amp;"ославского ш. в рамках строительства СевероВосточной хорды Этап 1. Транспортная развязка на пересечении СевероВосточной хорды с Ярославским ш.
 Этап 3 СВХ от Открытого ш. до
 Ярославского ш")</f>
        <v>Строительство эстакад основного хода, эстакад съездов Ярославского ш., разворотного путепровода, железнодорожных эстакад, переустройство инженерных сетей и коммуникаций, с реконструкцией/строительством улично-дорожной сети на участке от Открытого ш. до Ярославского ш. в рамках строительства СевероВосточной хорды Этап 1. Транспортная развязка на пересечении СевероВосточной хорды с Ярославским ш.
 Этап 3 СВХ от Открытого ш. до
 Ярославского ш</v>
      </c>
      <c r="F324" s="25" t="str">
        <f>IFERROR(__xludf.DUMMYFUNCTION("""COMPUTED_VALUE"""),"#N/A")</f>
        <v>#N/A</v>
      </c>
      <c r="G324" s="6" t="str">
        <f>IFERROR(__xludf.DUMMYFUNCTION("""COMPUTED_VALUE"""),"#N/A")</f>
        <v>#N/A</v>
      </c>
      <c r="H324" s="6"/>
      <c r="I324" s="6"/>
      <c r="J324" s="50">
        <f>IFERROR(__xludf.DUMMYFUNCTION("""COMPUTED_VALUE"""),100.0)</f>
        <v>100</v>
      </c>
      <c r="K324" s="58">
        <f>IFERROR(__xludf.DUMMYFUNCTION("""COMPUTED_VALUE"""),45966.0)</f>
        <v>45966</v>
      </c>
      <c r="L324" s="6" t="s">
        <v>654</v>
      </c>
      <c r="M324" s="52" t="s">
        <v>655</v>
      </c>
      <c r="N324" s="53" t="s">
        <v>656</v>
      </c>
      <c r="O324" s="6" t="s">
        <v>796</v>
      </c>
      <c r="P324" s="6"/>
      <c r="Q324" s="6" t="str">
        <f t="shared" si="1"/>
        <v>#N/A</v>
      </c>
      <c r="R324" s="6"/>
    </row>
    <row r="325" hidden="1">
      <c r="A325" s="31" t="str">
        <f>IFERROR(__xludf.DUMMYFUNCTION("""COMPUTED_VALUE"""),"080д (сводный)")</f>
        <v>080д (сводный)</v>
      </c>
      <c r="B325" s="14" t="str">
        <f>IFERROR(__xludf.DUMMYFUNCTION("""COMPUTED_VALUE"""),"АИП-25")</f>
        <v>АИП-25</v>
      </c>
      <c r="C325" s="14" t="str">
        <f>IFERROR(__xludf.DUMMYFUNCTION("""COMPUTED_VALUE"""),"УДС")</f>
        <v>УДС</v>
      </c>
      <c r="D325" s="15"/>
      <c r="E325"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2.2.1, 2.3, 2.4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2.2.1, 2.3, 2.4 </v>
      </c>
      <c r="F325" s="25" t="str">
        <f>IFERROR(__xludf.DUMMYFUNCTION("""COMPUTED_VALUE"""),"#N/A")</f>
        <v>#N/A</v>
      </c>
      <c r="G325" s="6" t="str">
        <f>IFERROR(__xludf.DUMMYFUNCTION("""COMPUTED_VALUE"""),"#N/A")</f>
        <v>#N/A</v>
      </c>
      <c r="H325" s="6"/>
      <c r="I325" s="6"/>
      <c r="J325" s="50"/>
      <c r="K325" s="58"/>
      <c r="L325" s="6">
        <v>30.0</v>
      </c>
      <c r="M325" s="52" t="s">
        <v>655</v>
      </c>
      <c r="N325" s="53" t="s">
        <v>698</v>
      </c>
      <c r="O325" s="6"/>
      <c r="P325" s="6"/>
      <c r="Q325" s="6" t="str">
        <f t="shared" si="1"/>
        <v>#N/A</v>
      </c>
      <c r="R325" s="6"/>
    </row>
    <row r="326" hidden="1">
      <c r="A326" s="31" t="str">
        <f>IFERROR(__xludf.DUMMYFUNCTION("""COMPUTED_VALUE"""),"080д (этап 2.1)")</f>
        <v>080д (этап 2.1)</v>
      </c>
      <c r="B326" s="14"/>
      <c r="C326" s="14" t="str">
        <f>IFERROR(__xludf.DUMMYFUNCTION("""COMPUTED_VALUE"""),"УДС")</f>
        <v>УДС</v>
      </c>
      <c r="D326" s="15"/>
      <c r="E326"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2.1 СВХ от Ярославского до Дмитровского ш.</v>
      </c>
      <c r="F326" s="25" t="str">
        <f>IFERROR(__xludf.DUMMYFUNCTION("""COMPUTED_VALUE"""),"#N/A")</f>
        <v>#N/A</v>
      </c>
      <c r="G326" s="6" t="str">
        <f>IFERROR(__xludf.DUMMYFUNCTION("""COMPUTED_VALUE"""),"#N/A")</f>
        <v>#N/A</v>
      </c>
      <c r="H326" s="6"/>
      <c r="I326" s="6"/>
      <c r="J326" s="50"/>
      <c r="K326" s="58"/>
      <c r="L326" s="6">
        <v>30.0</v>
      </c>
      <c r="M326" s="52" t="s">
        <v>655</v>
      </c>
      <c r="N326" s="53" t="s">
        <v>698</v>
      </c>
      <c r="O326" s="6" t="s">
        <v>837</v>
      </c>
      <c r="P326" s="6"/>
      <c r="Q326" s="6" t="str">
        <f t="shared" si="1"/>
        <v>#N/A</v>
      </c>
      <c r="R326" s="6"/>
    </row>
    <row r="327" hidden="1">
      <c r="A327" s="31" t="str">
        <f>IFERROR(__xludf.DUMMYFUNCTION("""COMPUTED_VALUE"""),"080д (этап 2.2.1)")</f>
        <v>080д (этап 2.2.1)</v>
      </c>
      <c r="B327" s="14"/>
      <c r="C327" s="14" t="str">
        <f>IFERROR(__xludf.DUMMYFUNCTION("""COMPUTED_VALUE"""),"УДС")</f>
        <v>УДС</v>
      </c>
      <c r="D327" s="15"/>
      <c r="E327"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2.2.1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2.2.1 СВХ от Ярославского до Дмитровского ш.</v>
      </c>
      <c r="F327" s="25" t="str">
        <f>IFERROR(__xludf.DUMMYFUNCTION("""COMPUTED_VALUE"""),"#N/A")</f>
        <v>#N/A</v>
      </c>
      <c r="G327" s="6" t="str">
        <f>IFERROR(__xludf.DUMMYFUNCTION("""COMPUTED_VALUE"""),"#N/A")</f>
        <v>#N/A</v>
      </c>
      <c r="H327" s="6"/>
      <c r="I327" s="6"/>
      <c r="J327" s="50"/>
      <c r="K327" s="58"/>
      <c r="L327" s="6">
        <v>30.0</v>
      </c>
      <c r="M327" s="52" t="s">
        <v>655</v>
      </c>
      <c r="N327" s="53" t="s">
        <v>698</v>
      </c>
      <c r="O327" s="6" t="s">
        <v>837</v>
      </c>
      <c r="P327" s="6"/>
      <c r="Q327" s="6" t="str">
        <f t="shared" si="1"/>
        <v>#N/A</v>
      </c>
      <c r="R327" s="6"/>
    </row>
    <row r="328" hidden="1">
      <c r="A328" s="31" t="str">
        <f>IFERROR(__xludf.DUMMYFUNCTION("""COMPUTED_VALUE"""),"080д (этап 2.3)")</f>
        <v>080д (этап 2.3)</v>
      </c>
      <c r="B328" s="14"/>
      <c r="C328" s="14" t="str">
        <f>IFERROR(__xludf.DUMMYFUNCTION("""COMPUTED_VALUE"""),"УДС")</f>
        <v>УДС</v>
      </c>
      <c r="D328" s="15"/>
      <c r="E328"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Отстойно-разворотные площадки «Окружная», «Владыкино». Этап 2.3. Переустройство инженерных комму"&amp;"никаций АО «ОЭК», ПАО «Россети».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Отстойно-разворотные площадки «Окружная», «Владыкино». Этап 2.3. Переустройство инженерных коммуникаций АО «ОЭК», ПАО «Россети». СВХ от Ярославского до Дмитровского ш.</v>
      </c>
      <c r="F328" s="25" t="str">
        <f>IFERROR(__xludf.DUMMYFUNCTION("""COMPUTED_VALUE"""),"#N/A")</f>
        <v>#N/A</v>
      </c>
      <c r="G328" s="6" t="str">
        <f>IFERROR(__xludf.DUMMYFUNCTION("""COMPUTED_VALUE"""),"#N/A")</f>
        <v>#N/A</v>
      </c>
      <c r="H328" s="6"/>
      <c r="I328" s="6"/>
      <c r="J328" s="50"/>
      <c r="K328" s="58"/>
      <c r="L328" s="6">
        <v>30.0</v>
      </c>
      <c r="M328" s="52" t="s">
        <v>655</v>
      </c>
      <c r="N328" s="53" t="s">
        <v>698</v>
      </c>
      <c r="O328" s="6" t="s">
        <v>838</v>
      </c>
      <c r="P328" s="6"/>
      <c r="Q328" s="6" t="str">
        <f t="shared" si="1"/>
        <v>#N/A</v>
      </c>
      <c r="R328" s="6"/>
    </row>
    <row r="329" hidden="1">
      <c r="A329" s="31" t="str">
        <f>IFERROR(__xludf.DUMMYFUNCTION("""COMPUTED_VALUE"""),"080д (этап 2.4)")</f>
        <v>080д (этап 2.4)</v>
      </c>
      <c r="B329" s="14"/>
      <c r="C329" s="14" t="str">
        <f>IFERROR(__xludf.DUMMYFUNCTION("""COMPUTED_VALUE"""),"УДС")</f>
        <v>УДС</v>
      </c>
      <c r="D329" s="15"/>
      <c r="E329"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2.4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2.4 СВХ от Ярославского до Дмитровского ш.</v>
      </c>
      <c r="F329" s="25" t="str">
        <f>IFERROR(__xludf.DUMMYFUNCTION("""COMPUTED_VALUE"""),"#N/A")</f>
        <v>#N/A</v>
      </c>
      <c r="G329" s="6" t="str">
        <f>IFERROR(__xludf.DUMMYFUNCTION("""COMPUTED_VALUE"""),"#N/A")</f>
        <v>#N/A</v>
      </c>
      <c r="H329" s="6"/>
      <c r="I329" s="6"/>
      <c r="J329" s="50"/>
      <c r="K329" s="58"/>
      <c r="L329" s="6">
        <v>30.0</v>
      </c>
      <c r="M329" s="52" t="s">
        <v>655</v>
      </c>
      <c r="N329" s="53" t="s">
        <v>698</v>
      </c>
      <c r="O329" s="6" t="s">
        <v>838</v>
      </c>
      <c r="P329" s="6"/>
      <c r="Q329" s="6" t="str">
        <f t="shared" si="1"/>
        <v>#N/A</v>
      </c>
      <c r="R329" s="6"/>
    </row>
    <row r="330" hidden="1">
      <c r="A330" s="31" t="str">
        <f>IFERROR(__xludf.DUMMYFUNCTION("""COMPUTED_VALUE"""),"397д (сводный)")</f>
        <v>397д (сводный)</v>
      </c>
      <c r="B330" s="14" t="str">
        <f>IFERROR(__xludf.DUMMYFUNCTION("""COMPUTED_VALUE"""),"АИП-25")</f>
        <v>АИП-25</v>
      </c>
      <c r="C330" s="14" t="str">
        <f>IFERROR(__xludf.DUMMYFUNCTION("""COMPUTED_VALUE"""),"УДС")</f>
        <v>УДС</v>
      </c>
      <c r="D330" s="15"/>
      <c r="E330"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5.2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5.2 </v>
      </c>
      <c r="F330" s="25" t="str">
        <f>IFERROR(__xludf.DUMMYFUNCTION("""COMPUTED_VALUE"""),"#N/A")</f>
        <v>#N/A</v>
      </c>
      <c r="G330" s="6" t="str">
        <f>IFERROR(__xludf.DUMMYFUNCTION("""COMPUTED_VALUE"""),"#N/A")</f>
        <v>#N/A</v>
      </c>
      <c r="H330" s="6"/>
      <c r="I330" s="6"/>
      <c r="J330" s="50"/>
      <c r="K330" s="58"/>
      <c r="L330" s="6">
        <v>30.0</v>
      </c>
      <c r="M330" s="52" t="s">
        <v>655</v>
      </c>
      <c r="N330" s="53" t="s">
        <v>698</v>
      </c>
      <c r="O330" s="6"/>
      <c r="P330" s="6"/>
      <c r="Q330" s="6" t="str">
        <f t="shared" si="1"/>
        <v>#N/A</v>
      </c>
      <c r="R330" s="6"/>
    </row>
    <row r="331" hidden="1">
      <c r="A331" s="31" t="str">
        <f>IFERROR(__xludf.DUMMYFUNCTION("""COMPUTED_VALUE"""),"397д (этап 5.1)")</f>
        <v>397д (этап 5.1)</v>
      </c>
      <c r="B331" s="14"/>
      <c r="C331" s="14" t="str">
        <f>IFERROR(__xludf.DUMMYFUNCTION("""COMPUTED_VALUE"""),"УДС")</f>
        <v>УДС</v>
      </c>
      <c r="D331" s="15"/>
      <c r="E331"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5.1 СВХ от Ярославского до Дмитровского ш.</v>
      </c>
      <c r="F331" s="25" t="str">
        <f>IFERROR(__xludf.DUMMYFUNCTION("""COMPUTED_VALUE"""),"#N/A")</f>
        <v>#N/A</v>
      </c>
      <c r="G331" s="6" t="str">
        <f>IFERROR(__xludf.DUMMYFUNCTION("""COMPUTED_VALUE"""),"#N/A")</f>
        <v>#N/A</v>
      </c>
      <c r="H331" s="6"/>
      <c r="I331" s="6"/>
      <c r="J331" s="50"/>
      <c r="K331" s="58"/>
      <c r="L331" s="6">
        <v>30.0</v>
      </c>
      <c r="M331" s="52" t="s">
        <v>655</v>
      </c>
      <c r="N331" s="53" t="s">
        <v>698</v>
      </c>
      <c r="O331" s="6" t="s">
        <v>839</v>
      </c>
      <c r="P331" s="6"/>
      <c r="Q331" s="6" t="str">
        <f t="shared" si="1"/>
        <v>#N/A</v>
      </c>
      <c r="R331" s="6"/>
    </row>
    <row r="332" hidden="1">
      <c r="A332" s="31" t="str">
        <f>IFERROR(__xludf.DUMMYFUNCTION("""COMPUTED_VALUE"""),"397д (этап 5.2)")</f>
        <v>397д (этап 5.2)</v>
      </c>
      <c r="B332" s="14"/>
      <c r="C332" s="14" t="str">
        <f>IFERROR(__xludf.DUMMYFUNCTION("""COMPUTED_VALUE"""),"УДС")</f>
        <v>УДС</v>
      </c>
      <c r="D332" s="15"/>
      <c r="E332"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5.2 СВХ от Ярославского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5.2 СВХ от Ярославского до Дмитровского ш.</v>
      </c>
      <c r="F332" s="25" t="str">
        <f>IFERROR(__xludf.DUMMYFUNCTION("""COMPUTED_VALUE"""),"#N/A")</f>
        <v>#N/A</v>
      </c>
      <c r="G332" s="6" t="str">
        <f>IFERROR(__xludf.DUMMYFUNCTION("""COMPUTED_VALUE"""),"#N/A")</f>
        <v>#N/A</v>
      </c>
      <c r="H332" s="6"/>
      <c r="I332" s="6"/>
      <c r="J332" s="50"/>
      <c r="K332" s="58"/>
      <c r="L332" s="6">
        <v>30.0</v>
      </c>
      <c r="M332" s="52" t="s">
        <v>655</v>
      </c>
      <c r="N332" s="53" t="s">
        <v>698</v>
      </c>
      <c r="O332" s="6" t="s">
        <v>840</v>
      </c>
      <c r="P332" s="6"/>
      <c r="Q332" s="6" t="str">
        <f t="shared" si="1"/>
        <v>#N/A</v>
      </c>
      <c r="R332" s="6"/>
    </row>
    <row r="333" hidden="1">
      <c r="A333" s="31" t="str">
        <f>IFERROR(__xludf.DUMMYFUNCTION("""COMPUTED_VALUE"""),"121д")</f>
        <v>121д</v>
      </c>
      <c r="B333" s="14" t="str">
        <f>IFERROR(__xludf.DUMMYFUNCTION("""COMPUTED_VALUE"""),"АИП-25")</f>
        <v>АИП-25</v>
      </c>
      <c r="C333" s="14" t="str">
        <f>IFERROR(__xludf.DUMMYFUNCTION("""COMPUTED_VALUE"""),"УДС")</f>
        <v>УДС</v>
      </c>
      <c r="D333" s="15"/>
      <c r="E333" s="14" t="str">
        <f>IFERROR(__xludf.DUMMYFUNCTION("""COMPUTED_VALUE"""),"Улично-дорожная сеть: внутриквартальные пр-ды №1053, №1054, №1055. Этап Зеленая река внутриквартальные пр-ды №1053, №1054, №1055")</f>
        <v>Улично-дорожная сеть: внутриквартальные пр-ды №1053, №1054, №1055. Этап Зеленая река внутриквартальные пр-ды №1053, №1054, №1055</v>
      </c>
      <c r="F333" s="25" t="str">
        <f>IFERROR(__xludf.DUMMYFUNCTION("""COMPUTED_VALUE"""),"#N/A")</f>
        <v>#N/A</v>
      </c>
      <c r="G333" s="6" t="str">
        <f>IFERROR(__xludf.DUMMYFUNCTION("""COMPUTED_VALUE"""),"#N/A")</f>
        <v>#N/A</v>
      </c>
      <c r="H333" s="6"/>
      <c r="I333" s="6"/>
      <c r="J333" s="50">
        <f>IFERROR(__xludf.DUMMYFUNCTION("""COMPUTED_VALUE"""),0.0)</f>
        <v>0</v>
      </c>
      <c r="K333" s="58">
        <f>IFERROR(__xludf.DUMMYFUNCTION("""COMPUTED_VALUE"""),45973.0)</f>
        <v>45973</v>
      </c>
      <c r="L333" s="6">
        <v>30.0</v>
      </c>
      <c r="M333" s="52">
        <v>46003.0</v>
      </c>
      <c r="N333" s="53" t="s">
        <v>711</v>
      </c>
      <c r="O333" s="6" t="s">
        <v>841</v>
      </c>
      <c r="P333" s="6"/>
      <c r="Q333" s="6" t="str">
        <f t="shared" si="1"/>
        <v>#N/A</v>
      </c>
      <c r="R333" s="6"/>
    </row>
    <row r="334" hidden="1">
      <c r="A334" s="31" t="str">
        <f>IFERROR(__xludf.DUMMYFUNCTION("""COMPUTED_VALUE"""),"881")</f>
        <v>881</v>
      </c>
      <c r="B334" s="14" t="str">
        <f>IFERROR(__xludf.DUMMYFUNCTION("""COMPUTED_VALUE"""),"АИП-25")</f>
        <v>АИП-25</v>
      </c>
      <c r="C334" s="14" t="str">
        <f>IFERROR(__xludf.DUMMYFUNCTION("""COMPUTED_VALUE"""),"УДС")</f>
        <v>УДС</v>
      </c>
      <c r="D334" s="15"/>
      <c r="E334" s="14" t="str">
        <f>IFERROR(__xludf.DUMMYFUNCTION("""COMPUTED_VALUE"""),"Электродепо «Владыкино» Компрессорная Березовая Аллея, влд. 8, стр. 3 (СВАО)")</f>
        <v>Электродепо «Владыкино» Компрессорная Березовая Аллея, влд. 8, стр. 3 (СВАО)</v>
      </c>
      <c r="F334" s="25" t="str">
        <f>IFERROR(__xludf.DUMMYFUNCTION("""COMPUTED_VALUE"""),"#N/A")</f>
        <v>#N/A</v>
      </c>
      <c r="G334" s="6" t="str">
        <f>IFERROR(__xludf.DUMMYFUNCTION("""COMPUTED_VALUE"""),"#N/A")</f>
        <v>#N/A</v>
      </c>
      <c r="H334" s="18" t="str">
        <f>IFERROR(__xludf.DUMMYFUNCTION("""COMPUTED_VALUE"""),"https://docs.google.com/spreadsheets/d/1jonEGMB3UFHiUZpltF1zURon8gYN7jGSHu-k9t5TXnA/edit?gid=1357245149#gid=1357245149")</f>
        <v>https://docs.google.com/spreadsheets/d/1jonEGMB3UFHiUZpltF1zURon8gYN7jGSHu-k9t5TXnA/edit?gid=1357245149#gid=1357245149</v>
      </c>
      <c r="I334" s="6" t="str">
        <f>IFERROR(__xludf.DUMMYFUNCTION("""COMPUTED_VALUE"""),"https://disk.yandex.ru/client/disk/Осмотры%20объектов%20АНО%20СМГ/881.%20Электродепо%20«Владыкино»%20(расширение).%20Этап%3A%20«Дооборудование%20помещения%20кроссовой%20связи%20№%2010%20в%20здании%20Пост%20ЭЦ».%20Этап%3A%20«Реконструкция%20компрессорной%2"&amp;"0станции»")</f>
        <v>https://disk.yandex.ru/client/disk/Осмотры%20объектов%20АНО%20СМГ/881.%20Электродепо%20«Владыкино»%20(расширение).%20Этап%3A%20«Дооборудование%20помещения%20кроссовой%20связи%20№%2010%20в%20здании%20Пост%20ЭЦ».%20Этап%3A%20«Реконструкция%20компрессорной%20станции»</v>
      </c>
      <c r="J334" s="50">
        <f>IFERROR(__xludf.DUMMYFUNCTION("""COMPUTED_VALUE"""),0.0)</f>
        <v>0</v>
      </c>
      <c r="K334" s="58">
        <f>IFERROR(__xludf.DUMMYFUNCTION("""COMPUTED_VALUE"""),45728.0)</f>
        <v>45728</v>
      </c>
      <c r="L334" s="6">
        <v>30.0</v>
      </c>
      <c r="M334" s="52">
        <v>45758.0</v>
      </c>
      <c r="N334" s="53" t="s">
        <v>668</v>
      </c>
      <c r="O334" s="6"/>
      <c r="P334" s="6"/>
      <c r="Q334" s="6" t="str">
        <f t="shared" si="1"/>
        <v>#N/A</v>
      </c>
      <c r="R334" s="6"/>
    </row>
    <row r="335" hidden="1">
      <c r="A335" s="31" t="str">
        <f>IFERROR(__xludf.DUMMYFUNCTION("""COMPUTED_VALUE"""),"1020")</f>
        <v>1020</v>
      </c>
      <c r="B335" s="14" t="str">
        <f>IFERROR(__xludf.DUMMYFUNCTION("""COMPUTED_VALUE"""),"АИП-25")</f>
        <v>АИП-25</v>
      </c>
      <c r="C335" s="14" t="str">
        <f>IFERROR(__xludf.DUMMYFUNCTION("""COMPUTED_VALUE"""),"ОКС")</f>
        <v>ОКС</v>
      </c>
      <c r="D335" s="15"/>
      <c r="E335" s="14" t="str">
        <f>IFERROR(__xludf.DUMMYFUNCTION("""COMPUTED_VALUE"""),"Теплоснабжение жилого комплекса с подземной автостоянкой, ул. 4-я Парковая, влд. 16 ВАО г. Москвы, район Измайлово, 4-я Парковая ул.,вл.16")</f>
        <v>Теплоснабжение жилого комплекса с подземной автостоянкой, ул. 4-я Парковая, влд. 16 ВАО г. Москвы, район Измайлово, 4-я Парковая ул.,вл.16</v>
      </c>
      <c r="F335" s="25" t="str">
        <f>IFERROR(__xludf.DUMMYFUNCTION("""COMPUTED_VALUE"""),"55.7948")</f>
        <v>55.7948</v>
      </c>
      <c r="G335" s="6" t="str">
        <f>IFERROR(__xludf.DUMMYFUNCTION("""COMPUTED_VALUE"""),"37.7882")</f>
        <v>37.7882</v>
      </c>
      <c r="H335" s="18" t="str">
        <f>IFERROR(__xludf.DUMMYFUNCTION("""COMPUTED_VALUE"""),"https://docs.google.com/spreadsheets/d/19THEBTE9q0fhN2eApZr6BgenIvLGh0AckaYxHQfHk5w/edit?gid=901281284#gid=901281284")</f>
        <v>https://docs.google.com/spreadsheets/d/19THEBTE9q0fhN2eApZr6BgenIvLGh0AckaYxHQfHk5w/edit?gid=901281284#gid=901281284</v>
      </c>
      <c r="I335" s="21" t="str">
        <f>IFERROR(__xludf.DUMMYFUNCTION("""COMPUTED_VALUE"""),"https://disk.yandex.ru/client/disk/%D0%9E%D1%81%D0%BC%D0%BE%D1%82%D1%80%D1%8B%20%D0%BE%D0%B1%D1%8A%D0%B5%D0%BA%D1%82%D0%BE%D0%B2%20%D0%90%D0%9D%D0%9E%20%D0%A1%D0%9C%D0%93/1020.%20%D1%83%D0%BB.%204-%D1%8F%20%D0%9F%D0%B0%D1%80%D0%BA%D0%BE%D0%B2%D0%B0%D1%8F%"&amp;"2C%20%D0%B2%D0%BB%D0%B4.%2016%20(%D0%A2%D0%B5%D0%BF%D0%BB%D0%BE%D1%81%D0%BD%D0%B0%D0%B1%D0%B6%D0%B5%D0%BD%D0%B8%D0%B5%20%D0%B6%D0%B8%D0%BB%D0%BE%D0%B3%D0%BE%20%D0%BA%D0%BE%D0%BC%D0%BF%D0%BB%D0%B5%D0%BA%D1%81%D0%B0%20%D1%81%20%D0%BF%D0%BE%D0%B4%D0%B7%D0%B5"&amp;"%D0%BC%D0%BD%D0%BE%D0%B9%20%D0%B0%D0%B2%D1%82%D0%BE%D1%81%D1%82%D0%BE%D1%8F%D0%BD%D0%BA%D0%BE%D0%B9)")</f>
        <v>https://disk.yandex.ru/client/disk/%D0%9E%D1%81%D0%BC%D0%BE%D1%82%D1%80%D1%8B%20%D0%BE%D0%B1%D1%8A%D0%B5%D0%BA%D1%82%D0%BE%D0%B2%20%D0%90%D0%9D%D0%9E%20%D0%A1%D0%9C%D0%93/1020.%20%D1%83%D0%BB.%204-%D1%8F%20%D0%9F%D0%B0%D1%80%D0%BA%D0%BE%D0%B2%D0%B0%D1%8F%2C%20%D0%B2%D0%BB%D0%B4.%2016%20(%D0%A2%D0%B5%D0%BF%D0%BB%D0%BE%D1%81%D0%BD%D0%B0%D0%B1%D0%B6%D0%B5%D0%BD%D0%B8%D0%B5%20%D0%B6%D0%B8%D0%BB%D0%BE%D0%B3%D0%BE%20%D0%BA%D0%BE%D0%BC%D0%BF%D0%BB%D0%B5%D0%BA%D1%81%D0%B0%20%D1%81%20%D0%BF%D0%BE%D0%B4%D0%B7%D0%B5%D0%BC%D0%BD%D0%BE%D0%B9%20%D0%B0%D0%B2%D1%82%D0%BE%D1%81%D1%82%D0%BE%D1%8F%D0%BD%D0%BA%D0%BE%D0%B9)</v>
      </c>
      <c r="J335" s="50">
        <f>IFERROR(__xludf.DUMMYFUNCTION("""COMPUTED_VALUE"""),58.513)</f>
        <v>58.513</v>
      </c>
      <c r="K335" s="58">
        <f>IFERROR(__xludf.DUMMYFUNCTION("""COMPUTED_VALUE"""),45973.0)</f>
        <v>45973</v>
      </c>
      <c r="L335" s="6">
        <v>14.0</v>
      </c>
      <c r="M335" s="52">
        <v>45987.0</v>
      </c>
      <c r="N335" s="53" t="s">
        <v>711</v>
      </c>
      <c r="O335" s="19" t="s">
        <v>768</v>
      </c>
      <c r="P335" s="6"/>
      <c r="Q335" s="6" t="str">
        <f t="shared" si="1"/>
        <v>#N/A</v>
      </c>
      <c r="R335" s="6"/>
    </row>
    <row r="336" hidden="1">
      <c r="A336" s="31" t="str">
        <f>IFERROR(__xludf.DUMMYFUNCTION("""COMPUTED_VALUE"""),"НД")</f>
        <v>НД</v>
      </c>
      <c r="B336" s="14" t="str">
        <f>IFERROR(__xludf.DUMMYFUNCTION("""COMPUTED_VALUE"""),"АИП-25")</f>
        <v>АИП-25</v>
      </c>
      <c r="C336" s="14" t="str">
        <f>IFERROR(__xludf.DUMMYFUNCTION("""COMPUTED_VALUE"""),"УДС")</f>
        <v>УДС</v>
      </c>
      <c r="D336" s="15"/>
      <c r="E336" s="14" t="str">
        <f>IFERROR(__xludf.DUMMYFUNCTION("""COMPUTED_VALUE"""),"06-7601 Инженерные коммуникации для мкр.3Б, г. Зеленограда ЗелАО г. Москвы, г. Зеленоград, мкр. 3Б")</f>
        <v>06-7601 Инженерные коммуникации для мкр.3Б, г. Зеленограда ЗелАО г. Москвы, г. Зеленоград, мкр. 3Б</v>
      </c>
      <c r="F336" s="25" t="str">
        <f>IFERROR(__xludf.DUMMYFUNCTION("""COMPUTED_VALUE"""),"#N/A")</f>
        <v>#N/A</v>
      </c>
      <c r="G336" s="6" t="str">
        <f>IFERROR(__xludf.DUMMYFUNCTION("""COMPUTED_VALUE"""),"#N/A")</f>
        <v>#N/A</v>
      </c>
      <c r="H336" s="6"/>
      <c r="I336" s="6"/>
      <c r="J336" s="50"/>
      <c r="K336" s="58"/>
      <c r="L336" s="6">
        <v>30.0</v>
      </c>
      <c r="M336" s="52" t="s">
        <v>655</v>
      </c>
      <c r="N336" s="53" t="s">
        <v>698</v>
      </c>
      <c r="O336" s="6"/>
      <c r="P336" s="6"/>
      <c r="Q336" s="6" t="str">
        <f t="shared" si="1"/>
        <v>#N/A</v>
      </c>
      <c r="R336" s="6"/>
    </row>
    <row r="337" hidden="1">
      <c r="A337" s="31" t="str">
        <f>IFERROR(__xludf.DUMMYFUNCTION("""COMPUTED_VALUE"""),"1160")</f>
        <v>1160</v>
      </c>
      <c r="B337" s="14" t="str">
        <f>IFERROR(__xludf.DUMMYFUNCTION("""COMPUTED_VALUE"""),"АИП-25")</f>
        <v>АИП-25</v>
      </c>
      <c r="C337" s="14" t="str">
        <f>IFERROR(__xludf.DUMMYFUNCTION("""COMPUTED_VALUE"""),"УДС")</f>
        <v>УДС</v>
      </c>
      <c r="D337" s="15"/>
      <c r="E337" s="14" t="str">
        <f>IFERROR(__xludf.DUMMYFUNCTION("""COMPUTED_VALUE"""),"Очистное сооружение № 1 у д. Ликова д. Ликова")</f>
        <v>Очистное сооружение № 1 у д. Ликова д. Ликова</v>
      </c>
      <c r="F337" s="25" t="str">
        <f>IFERROR(__xludf.DUMMYFUNCTION("""COMPUTED_VALUE"""),"#N/A")</f>
        <v>#N/A</v>
      </c>
      <c r="G337" s="6" t="str">
        <f>IFERROR(__xludf.DUMMYFUNCTION("""COMPUTED_VALUE"""),"#N/A")</f>
        <v>#N/A</v>
      </c>
      <c r="H337" s="18" t="str">
        <f>IFERROR(__xludf.DUMMYFUNCTION("""COMPUTED_VALUE"""),"https://docs.google.com/spreadsheets/d/1MW8OIVEKRJEaLcG-KS0zwZPEQ0eRUWE2y9Gj77rgoxo/edit?gid=1015756216#gid=1015756216")</f>
        <v>https://docs.google.com/spreadsheets/d/1MW8OIVEKRJEaLcG-KS0zwZPEQ0eRUWE2y9Gj77rgoxo/edit?gid=1015756216#gid=1015756216</v>
      </c>
      <c r="I337" s="6" t="str">
        <f>IFERROR(__xludf.DUMMYFUNCTION("""COMPUTED_VALUE"""),"https://disk.yandex.ru/client/disk/Осмотры%20объектов%20АНО%20СМГ/1160.%20Очистные%20сооружения%20%231у%20д.%20Ликова")</f>
        <v>https://disk.yandex.ru/client/disk/Осмотры%20объектов%20АНО%20СМГ/1160.%20Очистные%20сооружения%20%231у%20д.%20Ликова</v>
      </c>
      <c r="J337" s="50">
        <f>IFERROR(__xludf.DUMMYFUNCTION("""COMPUTED_VALUE"""),87.93125)</f>
        <v>87.93125</v>
      </c>
      <c r="K337" s="58">
        <f>IFERROR(__xludf.DUMMYFUNCTION("""COMPUTED_VALUE"""),45959.0)</f>
        <v>45959</v>
      </c>
      <c r="L337" s="6">
        <v>14.0</v>
      </c>
      <c r="M337" s="52">
        <v>45973.0</v>
      </c>
      <c r="N337" s="53" t="s">
        <v>668</v>
      </c>
      <c r="O337" s="6" t="s">
        <v>842</v>
      </c>
      <c r="P337" s="6"/>
      <c r="Q337" s="6" t="str">
        <f t="shared" si="1"/>
        <v>#N/A</v>
      </c>
      <c r="R337" s="6"/>
    </row>
    <row r="338" hidden="1">
      <c r="A338" s="31" t="str">
        <f>IFERROR(__xludf.DUMMYFUNCTION("""COMPUTED_VALUE"""),"1058.1 (1058д)!!!! архив?!")</f>
        <v>1058.1 (1058д)!!!! архив?!</v>
      </c>
      <c r="B338" s="14" t="str">
        <f>IFERROR(__xludf.DUMMYFUNCTION("""COMPUTED_VALUE"""),"АИП-25")</f>
        <v>АИП-25</v>
      </c>
      <c r="C338" s="14" t="str">
        <f>IFERROR(__xludf.DUMMYFUNCTION("""COMPUTED_VALUE"""),"УДС")</f>
        <v>УДС</v>
      </c>
      <c r="D338" s="15"/>
      <c r="E338" s="14" t="str">
        <f>IFERROR(__xludf.DUMMYFUNCTION("""COMPUTED_VALUE"""),"Реконструкция канализационно-насосной станции (КНС) ""Внуковская"", д. Лапшинка, пос. Московский ЗАО г. Москвы, квартал № 61, район Внуково")</f>
        <v>Реконструкция канализационно-насосной станции (КНС) "Внуковская", д. Лапшинка, пос. Московский ЗАО г. Москвы, квартал № 61, район Внуково</v>
      </c>
      <c r="F338" s="25" t="str">
        <f>IFERROR(__xludf.DUMMYFUNCTION("""COMPUTED_VALUE"""),"#N/A")</f>
        <v>#N/A</v>
      </c>
      <c r="G338" s="6" t="str">
        <f>IFERROR(__xludf.DUMMYFUNCTION("""COMPUTED_VALUE"""),"#N/A")</f>
        <v>#N/A</v>
      </c>
      <c r="H338" s="6"/>
      <c r="I338" s="6" t="str">
        <f>IFERROR(__xludf.DUMMYFUNCTION("""COMPUTED_VALUE"""),"https://disk.yandex.ru/client/disk/Осмотры%20объектов%20АНО%20СМГ/1058.1%20Реконструкция%20канализационно-насосной%20станции%20(КНС)%20«Внуковская»%20д.%20Лапшинка%2C%20пос.%20Московский")</f>
        <v>https://disk.yandex.ru/client/disk/Осмотры%20объектов%20АНО%20СМГ/1058.1%20Реконструкция%20канализационно-насосной%20станции%20(КНС)%20«Внуковская»%20д.%20Лапшинка%2C%20пос.%20Московский</v>
      </c>
      <c r="J338" s="50"/>
      <c r="K338" s="58"/>
      <c r="L338" s="6">
        <v>30.0</v>
      </c>
      <c r="M338" s="52" t="s">
        <v>655</v>
      </c>
      <c r="N338" s="53" t="s">
        <v>698</v>
      </c>
      <c r="O338" s="6"/>
      <c r="P338" s="6"/>
      <c r="Q338" s="6" t="str">
        <f t="shared" si="1"/>
        <v>#N/A</v>
      </c>
      <c r="R338" s="6"/>
    </row>
    <row r="339" hidden="1">
      <c r="A339" s="31" t="str">
        <f>IFERROR(__xludf.DUMMYFUNCTION("""COMPUTED_VALUE"""),"248")</f>
        <v>248</v>
      </c>
      <c r="B339" s="14" t="str">
        <f>IFERROR(__xludf.DUMMYFUNCTION("""COMPUTED_VALUE"""),"АИП-26")</f>
        <v>АИП-26</v>
      </c>
      <c r="C339" s="14" t="str">
        <f>IFERROR(__xludf.DUMMYFUNCTION("""COMPUTED_VALUE"""),"ОКС")</f>
        <v>ОКС</v>
      </c>
      <c r="D339" s="15"/>
      <c r="E339" s="14" t="str">
        <f>IFERROR(__xludf.DUMMYFUNCTION("""COMPUTED_VALUE"""),"ДОУ на 320 мест, р-н Бирюлево Восточное, 
 ул. 6-я Радиальная, влд. 7 р-н Бирюлево Восточное, 
 ул. 6-я Радиальная, влд. 7")</f>
        <v>ДОУ на 320 мест, р-н Бирюлево Восточное, 
 ул. 6-я Радиальная, влд. 7 р-н Бирюлево Восточное, 
 ул. 6-я Радиальная, влд. 7</v>
      </c>
      <c r="F339" s="25" t="str">
        <f>IFERROR(__xludf.DUMMYFUNCTION("""COMPUTED_VALUE"""),"55.605316")</f>
        <v>55.605316</v>
      </c>
      <c r="G339" s="6" t="str">
        <f>IFERROR(__xludf.DUMMYFUNCTION("""COMPUTED_VALUE"""),"37.653715")</f>
        <v>37.653715</v>
      </c>
      <c r="H339" s="18" t="str">
        <f>IFERROR(__xludf.DUMMYFUNCTION("""COMPUTED_VALUE"""),"https://docs.google.com/spreadsheets/d/19THEBTE9q0fhN2eApZr6BgenIvLGh0AckaYxHQfHk5w/edit?gid=894458513#gid=894458513")</f>
        <v>https://docs.google.com/spreadsheets/d/19THEBTE9q0fhN2eApZr6BgenIvLGh0AckaYxHQfHk5w/edit?gid=894458513#gid=894458513</v>
      </c>
      <c r="I339" s="19" t="str">
        <f>IFERROR(__xludf.DUMMYFUNCTION("""COMPUTED_VALUE"""),"https://disk.yandex.ru/client/disk/Осмотры%20объектов%20АНО%20СМГ/248.%206-я%20Радиальная%20ул.%2C%20влд.7%2C%20участок%2021.%20ДОУ%20на%20320%20мест")</f>
        <v>https://disk.yandex.ru/client/disk/Осмотры%20объектов%20АНО%20СМГ/248.%206-я%20Радиальная%20ул.%2C%20влд.7%2C%20участок%2021.%20ДОУ%20на%20320%20мест</v>
      </c>
      <c r="J339" s="50">
        <f>IFERROR(__xludf.DUMMYFUNCTION("""COMPUTED_VALUE"""),48.5302725)</f>
        <v>48.5302725</v>
      </c>
      <c r="K339" s="58">
        <f>IFERROR(__xludf.DUMMYFUNCTION("""COMPUTED_VALUE"""),45968.0)</f>
        <v>45968</v>
      </c>
      <c r="L339" s="6">
        <v>30.0</v>
      </c>
      <c r="M339" s="52">
        <v>45998.0</v>
      </c>
      <c r="N339" s="53" t="s">
        <v>711</v>
      </c>
      <c r="O339" s="19" t="s">
        <v>843</v>
      </c>
      <c r="P339" s="6"/>
      <c r="Q339" s="6" t="str">
        <f t="shared" si="1"/>
        <v>#N/A</v>
      </c>
      <c r="R339" s="6"/>
    </row>
    <row r="340" hidden="1">
      <c r="A340" s="31" t="str">
        <f>IFERROR(__xludf.DUMMYFUNCTION("""COMPUTED_VALUE"""),"228")</f>
        <v>228</v>
      </c>
      <c r="B340" s="14" t="str">
        <f>IFERROR(__xludf.DUMMYFUNCTION("""COMPUTED_VALUE"""),"АИП-25")</f>
        <v>АИП-25</v>
      </c>
      <c r="C340" s="14" t="str">
        <f>IFERROR(__xludf.DUMMYFUNCTION("""COMPUTED_VALUE"""),"ОКС")</f>
        <v>ОКС</v>
      </c>
      <c r="D340" s="15"/>
      <c r="E340" s="14" t="str">
        <f>IFERROR(__xludf.DUMMYFUNCTION("""COMPUTED_VALUE"""),"ДОУ на 150 мест по адресу: пересечение ул. Минской с Киевским направлением Московской железной дороги в пойме р. Раменки пересечение ул. Минской с Киевским направлением Московской железной дороги в пойме реки Раменки")</f>
        <v>ДОУ на 150 мест по адресу: пересечение ул. Минской с Киевским направлением Московской железной дороги в пойме р. Раменки пересечение ул. Минской с Киевским направлением Московской железной дороги в пойме реки Раменки</v>
      </c>
      <c r="F340" s="25" t="str">
        <f>IFERROR(__xludf.DUMMYFUNCTION("""COMPUTED_VALUE"""),"55.715333")</f>
        <v>55.715333</v>
      </c>
      <c r="G340" s="6" t="str">
        <f>IFERROR(__xludf.DUMMYFUNCTION("""COMPUTED_VALUE"""),"37.500206")</f>
        <v>37.500206</v>
      </c>
      <c r="H340" s="18" t="str">
        <f>IFERROR(__xludf.DUMMYFUNCTION("""COMPUTED_VALUE"""),"https://docs.google.com/spreadsheets/d/19THEBTE9q0fhN2eApZr6BgenIvLGh0AckaYxHQfHk5w/edit?gid=962200403#gid=962200403")</f>
        <v>https://docs.google.com/spreadsheets/d/19THEBTE9q0fhN2eApZr6BgenIvLGh0AckaYxHQfHk5w/edit?gid=962200403#gid=962200403</v>
      </c>
      <c r="I340" s="19" t="str">
        <f>IFERROR(__xludf.DUMMYFUNCTION("""COMPUTED_VALUE"""),"https://disk.yandex.ru/client/disk/Осмотры%20объектов%20АНО%20СМГ/228..ДОУ%20150%20мест%20Раменки%20ул%20Минская")</f>
        <v>https://disk.yandex.ru/client/disk/Осмотры%20объектов%20АНО%20СМГ/228..ДОУ%20150%20мест%20Раменки%20ул%20Минская</v>
      </c>
      <c r="J340" s="50">
        <f>IFERROR(__xludf.DUMMYFUNCTION("""COMPUTED_VALUE"""),29.012)</f>
        <v>29.012</v>
      </c>
      <c r="K340" s="58">
        <f>IFERROR(__xludf.DUMMYFUNCTION("""COMPUTED_VALUE"""),45967.0)</f>
        <v>45967</v>
      </c>
      <c r="L340" s="6">
        <v>30.0</v>
      </c>
      <c r="M340" s="52">
        <v>45997.0</v>
      </c>
      <c r="N340" s="53" t="s">
        <v>711</v>
      </c>
      <c r="O340" s="19" t="s">
        <v>844</v>
      </c>
      <c r="P340" s="6"/>
      <c r="Q340" s="6" t="str">
        <f t="shared" si="1"/>
        <v>#N/A</v>
      </c>
      <c r="R340" s="6"/>
    </row>
    <row r="341" hidden="1">
      <c r="A341" s="31" t="str">
        <f>IFERROR(__xludf.DUMMYFUNCTION("""COMPUTED_VALUE"""),"108")</f>
        <v>108</v>
      </c>
      <c r="B341" s="14" t="str">
        <f>IFERROR(__xludf.DUMMYFUNCTION("""COMPUTED_VALUE"""),"АИП-25")</f>
        <v>АИП-25</v>
      </c>
      <c r="C341" s="14" t="str">
        <f>IFERROR(__xludf.DUMMYFUNCTION("""COMPUTED_VALUE"""),"ОКС")</f>
        <v>ОКС</v>
      </c>
      <c r="D341" s="15"/>
      <c r="E341" s="14" t="str">
        <f>IFERROR(__xludf.DUMMYFUNCTION("""COMPUTED_VALUE"""),"Жилые дома с инженерными коммуникациями и благоустройством, р-н Косино-Ухтомский, ул. Николая Старостина, напротив влд. 8 район Косино-Ухтомский, ул.Николая Старостина, напротив влд. 8 (этап 2) (ВАО)")</f>
        <v>Жилые дома с инженерными коммуникациями и благоустройством, р-н Косино-Ухтомский, ул. Николая Старостина, напротив влд. 8 район Косино-Ухтомский, ул.Николая Старостина, напротив влд. 8 (этап 2) (ВАО)</v>
      </c>
      <c r="F341" s="25" t="str">
        <f>IFERROR(__xludf.DUMMYFUNCTION("""COMPUTED_VALUE"""),"55.730556")</f>
        <v>55.730556</v>
      </c>
      <c r="G341" s="6" t="str">
        <f>IFERROR(__xludf.DUMMYFUNCTION("""COMPUTED_VALUE"""),"37.855961")</f>
        <v>37.855961</v>
      </c>
      <c r="H341" s="18" t="str">
        <f>IFERROR(__xludf.DUMMYFUNCTION("""COMPUTED_VALUE"""),"https://docs.google.com/spreadsheets/d/19THEBTE9q0fhN2eApZr6BgenIvLGh0AckaYxHQfHk5w/edit?gid=425127641#gid=425127641")</f>
        <v>https://docs.google.com/spreadsheets/d/19THEBTE9q0fhN2eApZr6BgenIvLGh0AckaYxHQfHk5w/edit?gid=425127641#gid=425127641</v>
      </c>
      <c r="I341" s="19" t="str">
        <f>IFERROR(__xludf.DUMMYFUNCTION("""COMPUTED_VALUE"""),"https://disk.yandex.ru/client/disk/Осмотры%20объектов%20АНО%20СМГ/108.%20Жилые%20дома%20ул.%20Николая%20Старостина%2C%20напротив%20влд.%208")</f>
        <v>https://disk.yandex.ru/client/disk/Осмотры%20объектов%20АНО%20СМГ/108.%20Жилые%20дома%20ул.%20Николая%20Старостина%2C%20напротив%20влд.%208</v>
      </c>
      <c r="J341" s="50">
        <f>IFERROR(__xludf.DUMMYFUNCTION("""COMPUTED_VALUE"""),75.65595)</f>
        <v>75.65595</v>
      </c>
      <c r="K341" s="58">
        <f>IFERROR(__xludf.DUMMYFUNCTION("""COMPUTED_VALUE"""),45971.0)</f>
        <v>45971</v>
      </c>
      <c r="L341" s="6">
        <v>14.0</v>
      </c>
      <c r="M341" s="52">
        <v>45985.0</v>
      </c>
      <c r="N341" s="53" t="s">
        <v>711</v>
      </c>
      <c r="O341" s="19" t="s">
        <v>845</v>
      </c>
      <c r="P341" s="6"/>
      <c r="Q341" s="6" t="str">
        <f t="shared" si="1"/>
        <v>#N/A</v>
      </c>
      <c r="R341" s="6"/>
    </row>
    <row r="342" hidden="1">
      <c r="A342" s="31" t="str">
        <f>IFERROR(__xludf.DUMMYFUNCTION("""COMPUTED_VALUE"""),"377д (сводный)")</f>
        <v>377д (сводный)</v>
      </c>
      <c r="B342" s="14" t="str">
        <f>IFERROR(__xludf.DUMMYFUNCTION("""COMPUTED_VALUE"""),"АИП-25")</f>
        <v>АИП-25</v>
      </c>
      <c r="C342" s="14" t="str">
        <f>IFERROR(__xludf.DUMMYFUNCTION("""COMPUTED_VALUE"""),"УДС")</f>
        <v>УДС</v>
      </c>
      <c r="D342" s="15"/>
      <c r="E342"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1.2., Этап 1.1.2 ")</f>
        <v>Строительство многоуровневых транспортных развязок в пос. Рассудово, пос. Киевский с реконструкцией Киевского шоссе на участке 51-65 км Этап 1.2., Этап 1.1.2 </v>
      </c>
      <c r="F342" s="25" t="str">
        <f>IFERROR(__xludf.DUMMYFUNCTION("""COMPUTED_VALUE"""),"#N/A")</f>
        <v>#N/A</v>
      </c>
      <c r="G342" s="6" t="str">
        <f>IFERROR(__xludf.DUMMYFUNCTION("""COMPUTED_VALUE"""),"#N/A")</f>
        <v>#N/A</v>
      </c>
      <c r="H342" s="6"/>
      <c r="I342" s="6"/>
      <c r="J342" s="50"/>
      <c r="K342" s="58"/>
      <c r="L342" s="6">
        <v>30.0</v>
      </c>
      <c r="M342" s="52" t="s">
        <v>655</v>
      </c>
      <c r="N342" s="53" t="s">
        <v>698</v>
      </c>
      <c r="O342" s="6"/>
      <c r="P342" s="6"/>
      <c r="Q342" s="6" t="str">
        <f t="shared" si="1"/>
        <v>#N/A</v>
      </c>
      <c r="R342" s="6"/>
    </row>
    <row r="343" hidden="1">
      <c r="A343" s="31" t="str">
        <f>IFERROR(__xludf.DUMMYFUNCTION("""COMPUTED_VALUE"""),"377д (этап 1.1.2)")</f>
        <v>377д (этап 1.1.2)</v>
      </c>
      <c r="B343" s="14"/>
      <c r="C343" s="14" t="str">
        <f>IFERROR(__xludf.DUMMYFUNCTION("""COMPUTED_VALUE"""),"УДС")</f>
        <v>УДС</v>
      </c>
      <c r="D343" s="15"/>
      <c r="E343"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1.1.2. пос. Рассудово, пос. Киевский")</f>
        <v>Строительство многоуровневых транспортных развязок в пос. Рассудово, пос. Киевский с реконструкцией Киевского шоссе на участке 
 51-65 км Этап 1.1.2. пос. Рассудово, пос. Киевский</v>
      </c>
      <c r="F343" s="25" t="str">
        <f>IFERROR(__xludf.DUMMYFUNCTION("""COMPUTED_VALUE"""),"#N/A")</f>
        <v>#N/A</v>
      </c>
      <c r="G343" s="6" t="str">
        <f>IFERROR(__xludf.DUMMYFUNCTION("""COMPUTED_VALUE"""),"#N/A")</f>
        <v>#N/A</v>
      </c>
      <c r="H343" s="6"/>
      <c r="I343" s="6"/>
      <c r="J343" s="50"/>
      <c r="K343" s="58"/>
      <c r="L343" s="6">
        <v>30.0</v>
      </c>
      <c r="M343" s="52" t="s">
        <v>655</v>
      </c>
      <c r="N343" s="53" t="s">
        <v>698</v>
      </c>
      <c r="O343" s="6" t="s">
        <v>846</v>
      </c>
      <c r="P343" s="6"/>
      <c r="Q343" s="6" t="str">
        <f t="shared" si="1"/>
        <v>#N/A</v>
      </c>
      <c r="R343" s="6"/>
    </row>
    <row r="344" hidden="1">
      <c r="A344" s="31" t="str">
        <f>IFERROR(__xludf.DUMMYFUNCTION("""COMPUTED_VALUE"""),"377д (этап 1.2)")</f>
        <v>377д (этап 1.2)</v>
      </c>
      <c r="B344" s="14"/>
      <c r="C344" s="14" t="str">
        <f>IFERROR(__xludf.DUMMYFUNCTION("""COMPUTED_VALUE"""),"УДС")</f>
        <v>УДС</v>
      </c>
      <c r="D344" s="15"/>
      <c r="E344" s="14" t="str">
        <f>IFERROR(__xludf.DUMMYFUNCTION("""COMPUTED_VALUE"""),"Строительство многоуровневых транспортных развязок в пос. Рассудово, пос. Киевский с реконструкцией Киевского шоссе на участке 
 51-65 км Этап 1.2. пос. Рассудово, пос. Киевский")</f>
        <v>Строительство многоуровневых транспортных развязок в пос. Рассудово, пос. Киевский с реконструкцией Киевского шоссе на участке 
 51-65 км Этап 1.2. пос. Рассудово, пос. Киевский</v>
      </c>
      <c r="F344" s="25" t="str">
        <f>IFERROR(__xludf.DUMMYFUNCTION("""COMPUTED_VALUE"""),"#N/A")</f>
        <v>#N/A</v>
      </c>
      <c r="G344" s="6" t="str">
        <f>IFERROR(__xludf.DUMMYFUNCTION("""COMPUTED_VALUE"""),"#N/A")</f>
        <v>#N/A</v>
      </c>
      <c r="H344" s="6"/>
      <c r="I344" s="6"/>
      <c r="J344" s="50"/>
      <c r="K344" s="58"/>
      <c r="L344" s="6">
        <v>30.0</v>
      </c>
      <c r="M344" s="52" t="s">
        <v>655</v>
      </c>
      <c r="N344" s="53" t="s">
        <v>698</v>
      </c>
      <c r="O344" s="6" t="s">
        <v>847</v>
      </c>
      <c r="P344" s="6"/>
      <c r="Q344" s="6" t="str">
        <f t="shared" si="1"/>
        <v>#N/A</v>
      </c>
      <c r="R344" s="6"/>
    </row>
    <row r="345" hidden="1">
      <c r="A345" s="31" t="str">
        <f>IFERROR(__xludf.DUMMYFUNCTION("""COMPUTED_VALUE"""),"125д")</f>
        <v>125д</v>
      </c>
      <c r="B345" s="14" t="str">
        <f>IFERROR(__xludf.DUMMYFUNCTION("""COMPUTED_VALUE"""),"АИП-25")</f>
        <v>АИП-25</v>
      </c>
      <c r="C345" s="14" t="str">
        <f>IFERROR(__xludf.DUMMYFUNCTION("""COMPUTED_VALUE"""),"УДС")</f>
        <v>УДС</v>
      </c>
      <c r="D345" s="15"/>
      <c r="E345" s="14" t="str">
        <f>IFERROR(__xludf.DUMMYFUNCTION("""COMPUTED_VALUE"""),"Строительство улично-дорожной сети для застройки ""ЗИЛ-ЮГ""
 Этап 1.1 ЗИЛ")</f>
        <v>Строительство улично-дорожной сети для застройки "ЗИЛ-ЮГ"
 Этап 1.1 ЗИЛ</v>
      </c>
      <c r="F345" s="25" t="str">
        <f>IFERROR(__xludf.DUMMYFUNCTION("""COMPUTED_VALUE"""),"#N/A")</f>
        <v>#N/A</v>
      </c>
      <c r="G345" s="6" t="str">
        <f>IFERROR(__xludf.DUMMYFUNCTION("""COMPUTED_VALUE"""),"#N/A")</f>
        <v>#N/A</v>
      </c>
      <c r="H345" s="6"/>
      <c r="I345" s="6"/>
      <c r="J345" s="50">
        <f>IFERROR(__xludf.DUMMYFUNCTION("""COMPUTED_VALUE"""),62.0)</f>
        <v>62</v>
      </c>
      <c r="K345" s="58">
        <f>IFERROR(__xludf.DUMMYFUNCTION("""COMPUTED_VALUE"""),45968.0)</f>
        <v>45968</v>
      </c>
      <c r="L345" s="6">
        <v>14.0</v>
      </c>
      <c r="M345" s="52">
        <v>45982.0</v>
      </c>
      <c r="N345" s="53" t="s">
        <v>692</v>
      </c>
      <c r="O345" s="6" t="s">
        <v>848</v>
      </c>
      <c r="P345" s="6"/>
      <c r="Q345" s="6" t="str">
        <f t="shared" si="1"/>
        <v>#N/A</v>
      </c>
      <c r="R345" s="6"/>
    </row>
    <row r="346" hidden="1">
      <c r="A346" s="31" t="str">
        <f>IFERROR(__xludf.DUMMYFUNCTION("""COMPUTED_VALUE"""),"159д")</f>
        <v>159д</v>
      </c>
      <c r="B346" s="14" t="str">
        <f>IFERROR(__xludf.DUMMYFUNCTION("""COMPUTED_VALUE"""),"АИП-25")</f>
        <v>АИП-25</v>
      </c>
      <c r="C346" s="14" t="str">
        <f>IFERROR(__xludf.DUMMYFUNCTION("""COMPUTED_VALUE"""),"УДС")</f>
        <v>УДС</v>
      </c>
      <c r="D346" s="15"/>
      <c r="E346" s="14" t="str">
        <f>IFERROR(__xludf.DUMMYFUNCTION("""COMPUTED_VALUE"""),"Транспортная развязка на пересечении МКАД с Алтуфьевским шоссе. ОС пересечение МКАД с Алтуфьевским шоссе")</f>
        <v>Транспортная развязка на пересечении МКАД с Алтуфьевским шоссе. ОС пересечение МКАД с Алтуфьевским шоссе</v>
      </c>
      <c r="F346" s="25" t="str">
        <f>IFERROR(__xludf.DUMMYFUNCTION("""COMPUTED_VALUE"""),"#N/A")</f>
        <v>#N/A</v>
      </c>
      <c r="G346" s="6" t="str">
        <f>IFERROR(__xludf.DUMMYFUNCTION("""COMPUTED_VALUE"""),"#N/A")</f>
        <v>#N/A</v>
      </c>
      <c r="H346" s="6"/>
      <c r="I346" s="6"/>
      <c r="J346" s="50">
        <f>IFERROR(__xludf.DUMMYFUNCTION("""COMPUTED_VALUE"""),7.948)</f>
        <v>7.948</v>
      </c>
      <c r="K346" s="58">
        <f>IFERROR(__xludf.DUMMYFUNCTION("""COMPUTED_VALUE"""),45973.0)</f>
        <v>45973</v>
      </c>
      <c r="L346" s="6">
        <v>30.0</v>
      </c>
      <c r="M346" s="52">
        <v>46003.0</v>
      </c>
      <c r="N346" s="53" t="s">
        <v>711</v>
      </c>
      <c r="O346" s="6" t="s">
        <v>849</v>
      </c>
      <c r="P346" s="6"/>
      <c r="Q346" s="6" t="str">
        <f t="shared" si="1"/>
        <v>#N/A</v>
      </c>
      <c r="R346" s="6"/>
    </row>
    <row r="347" hidden="1">
      <c r="A347" s="31" t="str">
        <f>IFERROR(__xludf.DUMMYFUNCTION("""COMPUTED_VALUE"""),"327д")</f>
        <v>327д</v>
      </c>
      <c r="B347" s="14" t="str">
        <f>IFERROR(__xludf.DUMMYFUNCTION("""COMPUTED_VALUE"""),"АИП-25")</f>
        <v>АИП-25</v>
      </c>
      <c r="C347" s="14" t="str">
        <f>IFERROR(__xludf.DUMMYFUNCTION("""COMPUTED_VALUE"""),"УДС")</f>
        <v>УДС</v>
      </c>
      <c r="D347" s="15"/>
      <c r="E347" s="14" t="str">
        <f>IFERROR(__xludf.DUMMYFUNCTION("""COMPUTED_VALUE"""),"Пешеходный переход через МЦД-1 и Дмитровское шоссе в районе д.29 Дмитровское шоссе в районе д.29")</f>
        <v>Пешеходный переход через МЦД-1 и Дмитровское шоссе в районе д.29 Дмитровское шоссе в районе д.29</v>
      </c>
      <c r="F347" s="25" t="str">
        <f>IFERROR(__xludf.DUMMYFUNCTION("""COMPUTED_VALUE"""),"#N/A")</f>
        <v>#N/A</v>
      </c>
      <c r="G347" s="6" t="str">
        <f>IFERROR(__xludf.DUMMYFUNCTION("""COMPUTED_VALUE"""),"#N/A")</f>
        <v>#N/A</v>
      </c>
      <c r="H347" s="6"/>
      <c r="I347" s="6" t="str">
        <f>IFERROR(__xludf.DUMMYFUNCTION("""COMPUTED_VALUE"""),"https://disk.yandex.ru/client/disk/Осмотры%20объектов%20АНО%20СМГ/(327)%20Пешеходный%20переход%20через%20МЦД-1%20и%20Дмитровское%20ш.%20в%20районе%20д.29")</f>
        <v>https://disk.yandex.ru/client/disk/Осмотры%20объектов%20АНО%20СМГ/(327)%20Пешеходный%20переход%20через%20МЦД-1%20и%20Дмитровское%20ш.%20в%20районе%20д.29</v>
      </c>
      <c r="J347" s="50">
        <f>IFERROR(__xludf.DUMMYFUNCTION("""COMPUTED_VALUE"""),86.27312500000001)</f>
        <v>86.273125</v>
      </c>
      <c r="K347" s="58">
        <f>IFERROR(__xludf.DUMMYFUNCTION("""COMPUTED_VALUE"""),45974.0)</f>
        <v>45974</v>
      </c>
      <c r="L347" s="6">
        <v>14.0</v>
      </c>
      <c r="M347" s="52">
        <v>45988.0</v>
      </c>
      <c r="N347" s="53" t="s">
        <v>711</v>
      </c>
      <c r="O347" s="6" t="s">
        <v>850</v>
      </c>
      <c r="P347" s="6"/>
      <c r="Q347" s="6" t="str">
        <f t="shared" si="1"/>
        <v>#N/A</v>
      </c>
      <c r="R347" s="6"/>
    </row>
    <row r="348" hidden="1">
      <c r="A348" s="31" t="str">
        <f>IFERROR(__xludf.DUMMYFUNCTION("""COMPUTED_VALUE"""),"1251д")</f>
        <v>1251д</v>
      </c>
      <c r="B348" s="14" t="str">
        <f>IFERROR(__xludf.DUMMYFUNCTION("""COMPUTED_VALUE"""),"АИП-25")</f>
        <v>АИП-25</v>
      </c>
      <c r="C348" s="14" t="str">
        <f>IFERROR(__xludf.DUMMYFUNCTION("""COMPUTED_VALUE"""),"УДС")</f>
        <v>УДС</v>
      </c>
      <c r="D348" s="15"/>
      <c r="E348" s="14" t="str">
        <f>IFERROR(__xludf.DUMMYFUNCTION("""COMPUTED_VALUE"""),"Реконструкция водоочистных сооружений, пруд- отстойник ""Орехово-Борисово"", 2 этап (0,35 куб.м/сутки), Шипиловский пр-д, влд. 24 г. Москва, ул.
 Шипиловский пр-д, влд. 24")</f>
        <v>Реконструкция водоочистных сооружений, пруд- отстойник "Орехово-Борисово", 2 этап (0,35 куб.м/сутки), Шипиловский пр-д, влд. 24 г. Москва, ул.
 Шипиловский пр-д, влд. 24</v>
      </c>
      <c r="F348" s="25" t="str">
        <f>IFERROR(__xludf.DUMMYFUNCTION("""COMPUTED_VALUE"""),"#N/A")</f>
        <v>#N/A</v>
      </c>
      <c r="G348" s="6" t="str">
        <f>IFERROR(__xludf.DUMMYFUNCTION("""COMPUTED_VALUE"""),"#N/A")</f>
        <v>#N/A</v>
      </c>
      <c r="H348" s="6"/>
      <c r="I348" s="6" t="str">
        <f>IFERROR(__xludf.DUMMYFUNCTION("""COMPUTED_VALUE"""),"https://disk.yandex.ru/client/disk/Осмотры%20объектов%20АНО%20СМГ/1251%20Реконструкция%20водоочистных%20сооружений%2C%20пруд%20отстойник%20%22Орехово-Борисов%22%202%20этап%20(0%2C35%20куб.%20м.%20с.)%2C%20Шипиловский%20пр-д%2C%20влд.%2024%20(завершение%20"&amp;"строительства)")</f>
        <v>https://disk.yandex.ru/client/disk/Осмотры%20объектов%20АНО%20СМГ/1251%20Реконструкция%20водоочистных%20сооружений%2C%20пруд%20отстойник%20%22Орехово-Борисов%22%202%20этап%20(0%2C35%20куб.%20м.%20с.)%2C%20Шипиловский%20пр-д%2C%20влд.%2024%20(завершение%20строительства)</v>
      </c>
      <c r="J348" s="50">
        <f>IFERROR(__xludf.DUMMYFUNCTION("""COMPUTED_VALUE"""),63.59760500000001)</f>
        <v>63.597605</v>
      </c>
      <c r="K348" s="58">
        <f>IFERROR(__xludf.DUMMYFUNCTION("""COMPUTED_VALUE"""),45888.0)</f>
        <v>45888</v>
      </c>
      <c r="L348" s="6">
        <v>14.0</v>
      </c>
      <c r="M348" s="52">
        <v>45902.0</v>
      </c>
      <c r="N348" s="53" t="s">
        <v>668</v>
      </c>
      <c r="O348" s="6" t="s">
        <v>851</v>
      </c>
      <c r="P348" s="6"/>
      <c r="Q348" s="6" t="str">
        <f t="shared" si="1"/>
        <v>#N/A</v>
      </c>
      <c r="R348" s="6"/>
    </row>
    <row r="349" hidden="1">
      <c r="A349" s="31" t="str">
        <f>IFERROR(__xludf.DUMMYFUNCTION("""COMPUTED_VALUE"""),"430д")</f>
        <v>430д</v>
      </c>
      <c r="B349" s="14" t="str">
        <f>IFERROR(__xludf.DUMMYFUNCTION("""COMPUTED_VALUE"""),"АИП-25")</f>
        <v>АИП-25</v>
      </c>
      <c r="C349" s="14" t="str">
        <f>IFERROR(__xludf.DUMMYFUNCTION("""COMPUTED_VALUE"""),"УДС")</f>
        <v>УДС</v>
      </c>
      <c r="D349" s="15"/>
      <c r="E349" s="14" t="str">
        <f>IFERROR(__xludf.DUMMYFUNCTION("""COMPUTED_VALUE"""),"02-6015 Строительство инженерных коммуникаций на территории ""Дьяково"" (1,2 пусковые комплексы) ЮАО, Проспект Андропопва, вл. 39")</f>
        <v>02-6015 Строительство инженерных коммуникаций на территории "Дьяково" (1,2 пусковые комплексы) ЮАО, Проспект Андропопва, вл. 39</v>
      </c>
      <c r="F349" s="25" t="str">
        <f>IFERROR(__xludf.DUMMYFUNCTION("""COMPUTED_VALUE"""),"#N/A")</f>
        <v>#N/A</v>
      </c>
      <c r="G349" s="6" t="str">
        <f>IFERROR(__xludf.DUMMYFUNCTION("""COMPUTED_VALUE"""),"#N/A")</f>
        <v>#N/A</v>
      </c>
      <c r="H349" s="6"/>
      <c r="I349" s="6"/>
      <c r="J349" s="50">
        <f>IFERROR(__xludf.DUMMYFUNCTION("""COMPUTED_VALUE"""),93.878115)</f>
        <v>93.878115</v>
      </c>
      <c r="K349" s="58">
        <f>IFERROR(__xludf.DUMMYFUNCTION("""COMPUTED_VALUE"""),45887.0)</f>
        <v>45887</v>
      </c>
      <c r="L349" s="6">
        <v>14.0</v>
      </c>
      <c r="M349" s="52">
        <v>45901.0</v>
      </c>
      <c r="N349" s="53" t="s">
        <v>668</v>
      </c>
      <c r="O349" s="6"/>
      <c r="P349" s="6"/>
      <c r="Q349" s="6" t="str">
        <f t="shared" si="1"/>
        <v>#N/A</v>
      </c>
      <c r="R349" s="6"/>
    </row>
    <row r="350" hidden="1">
      <c r="A350" s="31" t="str">
        <f>IFERROR(__xludf.DUMMYFUNCTION("""COMPUTED_VALUE"""),"1035")</f>
        <v>1035</v>
      </c>
      <c r="B350" s="14" t="str">
        <f>IFERROR(__xludf.DUMMYFUNCTION("""COMPUTED_VALUE"""),"АИП-25")</f>
        <v>АИП-25</v>
      </c>
      <c r="C350" s="14" t="str">
        <f>IFERROR(__xludf.DUMMYFUNCTION("""COMPUTED_VALUE"""),"УДС")</f>
        <v>УДС</v>
      </c>
      <c r="D350" s="15"/>
      <c r="E350" s="14" t="str">
        <f>IFERROR(__xludf.DUMMYFUNCTION("""COMPUTED_VALUE"""),"Электродепо «Выхино» (реконструкция)Здание АВС и КТЦ; Инженерное обеспечение Рязанский проспект, влд. 105, стр. 12-13 (ЮВАО)")</f>
        <v>Электродепо «Выхино» (реконструкция)Здание АВС и КТЦ; Инженерное обеспечение Рязанский проспект, влд. 105, стр. 12-13 (ЮВАО)</v>
      </c>
      <c r="F350" s="25" t="str">
        <f>IFERROR(__xludf.DUMMYFUNCTION("""COMPUTED_VALUE"""),"#N/A")</f>
        <v>#N/A</v>
      </c>
      <c r="G350" s="6" t="str">
        <f>IFERROR(__xludf.DUMMYFUNCTION("""COMPUTED_VALUE"""),"#N/A")</f>
        <v>#N/A</v>
      </c>
      <c r="H350" s="18" t="str">
        <f>IFERROR(__xludf.DUMMYFUNCTION("""COMPUTED_VALUE"""),"https://docs.google.com/spreadsheets/d/1jonEGMB3UFHiUZpltF1zURon8gYN7jGSHu-k9t5TXnA/edit?gid=632356132#gid=632356132")</f>
        <v>https://docs.google.com/spreadsheets/d/1jonEGMB3UFHiUZpltF1zURon8gYN7jGSHu-k9t5TXnA/edit?gid=632356132#gid=632356132</v>
      </c>
      <c r="I350" s="6" t="str">
        <f>IFERROR(__xludf.DUMMYFUNCTION("""COMPUTED_VALUE"""),"https://disk.yandex.ru/client/disk/Осмотры%20объектов%20АНО%20СМГ/Электродепо%20Выхино%20/12.03.25%20Джинджолия")</f>
        <v>https://disk.yandex.ru/client/disk/Осмотры%20объектов%20АНО%20СМГ/Электродепо%20Выхино%20/12.03.25%20Джинджолия</v>
      </c>
      <c r="J350" s="50">
        <f>IFERROR(__xludf.DUMMYFUNCTION("""COMPUTED_VALUE"""),46.610875)</f>
        <v>46.610875</v>
      </c>
      <c r="K350" s="58"/>
      <c r="L350" s="6">
        <v>30.0</v>
      </c>
      <c r="M350" s="52" t="s">
        <v>655</v>
      </c>
      <c r="N350" s="53" t="s">
        <v>698</v>
      </c>
      <c r="O350" s="6" t="s">
        <v>669</v>
      </c>
      <c r="P350" s="6"/>
      <c r="Q350" s="6" t="str">
        <f t="shared" si="1"/>
        <v>#N/A</v>
      </c>
      <c r="R350" s="6"/>
    </row>
    <row r="351" hidden="1">
      <c r="A351" s="31" t="str">
        <f>IFERROR(__xludf.DUMMYFUNCTION("""COMPUTED_VALUE"""),"1130 (этап 1)")</f>
        <v>1130 (этап 1)</v>
      </c>
      <c r="B351" s="14" t="str">
        <f>IFERROR(__xludf.DUMMYFUNCTION("""COMPUTED_VALUE"""),"АИП-25")</f>
        <v>АИП-25</v>
      </c>
      <c r="C351" s="14" t="str">
        <f>IFERROR(__xludf.DUMMYFUNCTION("""COMPUTED_VALUE"""),"УДС")</f>
        <v>УДС</v>
      </c>
      <c r="D351" s="15"/>
      <c r="E351" s="14" t="str">
        <f>IFERROR(__xludf.DUMMYFUNCTION("""COMPUTED_VALUE"""),"Технологическая часть ТПУ на станции метро ""Лефортово"". Этапы 1 г.Москва,
 м. ""Лефортово""")</f>
        <v>Технологическая часть ТПУ на станции метро "Лефортово". Этапы 1 г.Москва,
 м. "Лефортово"</v>
      </c>
      <c r="F351" s="25" t="str">
        <f>IFERROR(__xludf.DUMMYFUNCTION("""COMPUTED_VALUE"""),"#N/A")</f>
        <v>#N/A</v>
      </c>
      <c r="G351" s="6" t="str">
        <f>IFERROR(__xludf.DUMMYFUNCTION("""COMPUTED_VALUE"""),"#N/A")</f>
        <v>#N/A</v>
      </c>
      <c r="H351" s="18" t="str">
        <f>IFERROR(__xludf.DUMMYFUNCTION("""COMPUTED_VALUE"""),"https://docs.google.com/spreadsheets/d/1jonEGMB3UFHiUZpltF1zURon8gYN7jGSHu-k9t5TXnA/edit?gid=1665960639#gid=1665960639")</f>
        <v>https://docs.google.com/spreadsheets/d/1jonEGMB3UFHiUZpltF1zURon8gYN7jGSHu-k9t5TXnA/edit?gid=1665960639#gid=1665960639</v>
      </c>
      <c r="I351" s="6" t="str">
        <f>IFERROR(__xludf.DUMMYFUNCTION("""COMPUTED_VALUE"""),"https://disk.yandex.ru/client/disk/Осмотры%20объектов%20АНО%20СМГ/1130.%20Технологическая%20часть%20ТПУ%20Лефортово")</f>
        <v>https://disk.yandex.ru/client/disk/Осмотры%20объектов%20АНО%20СМГ/1130.%20Технологическая%20часть%20ТПУ%20Лефортово</v>
      </c>
      <c r="J351" s="50">
        <f>IFERROR(__xludf.DUMMYFUNCTION("""COMPUTED_VALUE"""),65.612)</f>
        <v>65.612</v>
      </c>
      <c r="K351" s="58">
        <f>IFERROR(__xludf.DUMMYFUNCTION("""COMPUTED_VALUE"""),45973.0)</f>
        <v>45973</v>
      </c>
      <c r="L351" s="6">
        <v>14.0</v>
      </c>
      <c r="M351" s="52">
        <v>45987.0</v>
      </c>
      <c r="N351" s="53" t="s">
        <v>711</v>
      </c>
      <c r="O351" s="6" t="s">
        <v>852</v>
      </c>
      <c r="P351" s="6"/>
      <c r="Q351" s="6" t="str">
        <f t="shared" si="1"/>
        <v>#N/A</v>
      </c>
      <c r="R351" s="6"/>
    </row>
    <row r="352" hidden="1">
      <c r="A352" s="31" t="str">
        <f>IFERROR(__xludf.DUMMYFUNCTION("""COMPUTED_VALUE"""),"1130 (этап 4)")</f>
        <v>1130 (этап 4)</v>
      </c>
      <c r="B352" s="14" t="str">
        <f>IFERROR(__xludf.DUMMYFUNCTION("""COMPUTED_VALUE"""),"АИП-25")</f>
        <v>АИП-25</v>
      </c>
      <c r="C352" s="14" t="str">
        <f>IFERROR(__xludf.DUMMYFUNCTION("""COMPUTED_VALUE"""),"УДС")</f>
        <v>УДС</v>
      </c>
      <c r="D352" s="15"/>
      <c r="E352" s="14" t="str">
        <f>IFERROR(__xludf.DUMMYFUNCTION("""COMPUTED_VALUE"""),"Технологическая часть ТПУ на станции метро ""Лефортово"". Этапы 4 г.Москва,
 м. ""Лефортово""")</f>
        <v>Технологическая часть ТПУ на станции метро "Лефортово". Этапы 4 г.Москва,
 м. "Лефортово"</v>
      </c>
      <c r="F352" s="25" t="str">
        <f>IFERROR(__xludf.DUMMYFUNCTION("""COMPUTED_VALUE"""),"#N/A")</f>
        <v>#N/A</v>
      </c>
      <c r="G352" s="6" t="str">
        <f>IFERROR(__xludf.DUMMYFUNCTION("""COMPUTED_VALUE"""),"#N/A")</f>
        <v>#N/A</v>
      </c>
      <c r="H352" s="18" t="str">
        <f>IFERROR(__xludf.DUMMYFUNCTION("""COMPUTED_VALUE"""),"https://docs.google.com/spreadsheets/d/1jonEGMB3UFHiUZpltF1zURon8gYN7jGSHu-k9t5TXnA/edit?gid=272480543#gid=272480543")</f>
        <v>https://docs.google.com/spreadsheets/d/1jonEGMB3UFHiUZpltF1zURon8gYN7jGSHu-k9t5TXnA/edit?gid=272480543#gid=272480543</v>
      </c>
      <c r="I352" s="6" t="str">
        <f>IFERROR(__xludf.DUMMYFUNCTION("""COMPUTED_VALUE"""),"https://disk.yandex.ru/client/disk/Осмотры%20объектов%20АНО%20СМГ/1130.%20Технологическая%20часть%20ТПУ%20Лефортово")</f>
        <v>https://disk.yandex.ru/client/disk/Осмотры%20объектов%20АНО%20СМГ/1130.%20Технологическая%20часть%20ТПУ%20Лефортово</v>
      </c>
      <c r="J352" s="50">
        <f>IFERROR(__xludf.DUMMYFUNCTION("""COMPUTED_VALUE"""),97.0)</f>
        <v>97</v>
      </c>
      <c r="K352" s="58">
        <f>IFERROR(__xludf.DUMMYFUNCTION("""COMPUTED_VALUE"""),45959.0)</f>
        <v>45959</v>
      </c>
      <c r="L352" s="6">
        <v>7.0</v>
      </c>
      <c r="M352" s="52">
        <v>45966.0</v>
      </c>
      <c r="N352" s="53" t="s">
        <v>668</v>
      </c>
      <c r="O352" s="6" t="s">
        <v>853</v>
      </c>
      <c r="P352" s="6"/>
      <c r="Q352" s="6" t="str">
        <f t="shared" si="1"/>
        <v>#N/A</v>
      </c>
      <c r="R352" s="6"/>
    </row>
    <row r="353" hidden="1">
      <c r="A353" s="31" t="str">
        <f>IFERROR(__xludf.DUMMYFUNCTION("""COMPUTED_VALUE"""),"1131 (этап 6.1)")</f>
        <v>1131 (этап 6.1)</v>
      </c>
      <c r="B353" s="14" t="str">
        <f>IFERROR(__xludf.DUMMYFUNCTION("""COMPUTED_VALUE"""),"АИП-25")</f>
        <v>АИП-25</v>
      </c>
      <c r="C353" s="14" t="str">
        <f>IFERROR(__xludf.DUMMYFUNCTION("""COMPUTED_VALUE"""),"УДС")</f>
        <v>УДС</v>
      </c>
      <c r="D353" s="15"/>
      <c r="E353" s="14" t="str">
        <f>IFERROR(__xludf.DUMMYFUNCTION("""COMPUTED_VALUE"""),"Технологическая часть ТПУ на станции метро ""Нагатинский затон"". Этапы 6.1 г.Москва,
 м. ""Нагатинский затон""")</f>
        <v>Технологическая часть ТПУ на станции метро "Нагатинский затон". Этапы 6.1 г.Москва,
 м. "Нагатинский затон"</v>
      </c>
      <c r="F353" s="25" t="str">
        <f>IFERROR(__xludf.DUMMYFUNCTION("""COMPUTED_VALUE"""),"#N/A")</f>
        <v>#N/A</v>
      </c>
      <c r="G353" s="6" t="str">
        <f>IFERROR(__xludf.DUMMYFUNCTION("""COMPUTED_VALUE"""),"#N/A")</f>
        <v>#N/A</v>
      </c>
      <c r="H353" s="18" t="str">
        <f>IFERROR(__xludf.DUMMYFUNCTION("""COMPUTED_VALUE"""),"https://docs.google.com/spreadsheets/d/1jonEGMB3UFHiUZpltF1zURon8gYN7jGSHu-k9t5TXnA/edit?gid=869183546#gid=869183546")</f>
        <v>https://docs.google.com/spreadsheets/d/1jonEGMB3UFHiUZpltF1zURon8gYN7jGSHu-k9t5TXnA/edit?gid=869183546#gid=869183546</v>
      </c>
      <c r="I353"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353" s="50">
        <f>IFERROR(__xludf.DUMMYFUNCTION("""COMPUTED_VALUE"""),0.0)</f>
        <v>0</v>
      </c>
      <c r="K353" s="58">
        <f>IFERROR(__xludf.DUMMYFUNCTION("""COMPUTED_VALUE"""),45972.0)</f>
        <v>45972</v>
      </c>
      <c r="L353" s="6">
        <v>30.0</v>
      </c>
      <c r="M353" s="52">
        <v>46002.0</v>
      </c>
      <c r="N353" s="53" t="s">
        <v>711</v>
      </c>
      <c r="O353" s="6" t="s">
        <v>854</v>
      </c>
      <c r="P353" s="6"/>
      <c r="Q353" s="6" t="str">
        <f t="shared" si="1"/>
        <v>#N/A</v>
      </c>
      <c r="R353" s="6"/>
    </row>
    <row r="354" hidden="1">
      <c r="A354" s="31" t="str">
        <f>IFERROR(__xludf.DUMMYFUNCTION("""COMPUTED_VALUE"""),"1131 (этап 6.2)")</f>
        <v>1131 (этап 6.2)</v>
      </c>
      <c r="B354" s="14" t="str">
        <f>IFERROR(__xludf.DUMMYFUNCTION("""COMPUTED_VALUE"""),"АИП-25")</f>
        <v>АИП-25</v>
      </c>
      <c r="C354" s="14" t="str">
        <f>IFERROR(__xludf.DUMMYFUNCTION("""COMPUTED_VALUE"""),"УДС")</f>
        <v>УДС</v>
      </c>
      <c r="D354" s="15"/>
      <c r="E354" s="14" t="str">
        <f>IFERROR(__xludf.DUMMYFUNCTION("""COMPUTED_VALUE"""),"Технологическая часть ТПУ на станции метро ""Нагатинский затон"". Этапы 6.2 г.Москва,
 м. ""Нагатинский затон""")</f>
        <v>Технологическая часть ТПУ на станции метро "Нагатинский затон". Этапы 6.2 г.Москва,
 м. "Нагатинский затон"</v>
      </c>
      <c r="F354" s="25" t="str">
        <f>IFERROR(__xludf.DUMMYFUNCTION("""COMPUTED_VALUE"""),"#N/A")</f>
        <v>#N/A</v>
      </c>
      <c r="G354" s="6" t="str">
        <f>IFERROR(__xludf.DUMMYFUNCTION("""COMPUTED_VALUE"""),"#N/A")</f>
        <v>#N/A</v>
      </c>
      <c r="H354" s="18" t="str">
        <f>IFERROR(__xludf.DUMMYFUNCTION("""COMPUTED_VALUE"""),"https://docs.google.com/spreadsheets/d/1jonEGMB3UFHiUZpltF1zURon8gYN7jGSHu-k9t5TXnA/edit?gid=2082220203#gid=2082220203")</f>
        <v>https://docs.google.com/spreadsheets/d/1jonEGMB3UFHiUZpltF1zURon8gYN7jGSHu-k9t5TXnA/edit?gid=2082220203#gid=2082220203</v>
      </c>
      <c r="I354" s="6" t="str">
        <f>IFERROR(__xludf.DUMMYFUNCTION("""COMPUTED_VALUE"""),"https://disk.yandex.ru/client/disk/Осмотры%20объектов%20АНО%20СМГ/1131.%20Технологическая%20часть%20ТПУ%20на%20станции%20метро%20%22Нагатинский%20затон%22")</f>
        <v>https://disk.yandex.ru/client/disk/Осмотры%20объектов%20АНО%20СМГ/1131.%20Технологическая%20часть%20ТПУ%20на%20станции%20метро%20%22Нагатинский%20затон%22</v>
      </c>
      <c r="J354" s="50">
        <f>IFERROR(__xludf.DUMMYFUNCTION("""COMPUTED_VALUE"""),0.0)</f>
        <v>0</v>
      </c>
      <c r="K354" s="58">
        <f>IFERROR(__xludf.DUMMYFUNCTION("""COMPUTED_VALUE"""),45972.0)</f>
        <v>45972</v>
      </c>
      <c r="L354" s="6">
        <v>30.0</v>
      </c>
      <c r="M354" s="52">
        <v>46002.0</v>
      </c>
      <c r="N354" s="53" t="s">
        <v>711</v>
      </c>
      <c r="O354" s="6" t="s">
        <v>855</v>
      </c>
      <c r="P354" s="6"/>
      <c r="Q354" s="6" t="str">
        <f t="shared" si="1"/>
        <v>#N/A</v>
      </c>
      <c r="R354" s="6"/>
    </row>
    <row r="355" hidden="1">
      <c r="A355" s="31" t="str">
        <f>IFERROR(__xludf.DUMMYFUNCTION("""COMPUTED_VALUE"""),"1120")</f>
        <v>1120</v>
      </c>
      <c r="B355" s="14" t="str">
        <f>IFERROR(__xludf.DUMMYFUNCTION("""COMPUTED_VALUE"""),"АИП-25")</f>
        <v>АИП-25</v>
      </c>
      <c r="C355" s="14" t="str">
        <f>IFERROR(__xludf.DUMMYFUNCTION("""COMPUTED_VALUE"""),"УДС")</f>
        <v>УДС</v>
      </c>
      <c r="D355" s="15"/>
      <c r="E355" s="14" t="str">
        <f>IFERROR(__xludf.DUMMYFUNCTION("""COMPUTED_VALUE"""),"Технологическая часть ТПУ на станции метро ""Варшавская"" г. Москва, м. ""Варшавская""")</f>
        <v>Технологическая часть ТПУ на станции метро "Варшавская" г. Москва, м. "Варшавская"</v>
      </c>
      <c r="F355" s="25" t="str">
        <f>IFERROR(__xludf.DUMMYFUNCTION("""COMPUTED_VALUE"""),"#N/A")</f>
        <v>#N/A</v>
      </c>
      <c r="G355" s="6" t="str">
        <f>IFERROR(__xludf.DUMMYFUNCTION("""COMPUTED_VALUE"""),"#N/A")</f>
        <v>#N/A</v>
      </c>
      <c r="H355" s="18" t="str">
        <f>IFERROR(__xludf.DUMMYFUNCTION("""COMPUTED_VALUE"""),"https://docs.google.com/spreadsheets/d/1jonEGMB3UFHiUZpltF1zURon8gYN7jGSHu-k9t5TXnA/edit?gid=488139747#gid=488139747")</f>
        <v>https://docs.google.com/spreadsheets/d/1jonEGMB3UFHiUZpltF1zURon8gYN7jGSHu-k9t5TXnA/edit?gid=488139747#gid=488139747</v>
      </c>
      <c r="I355" s="6" t="str">
        <f>IFERROR(__xludf.DUMMYFUNCTION("""COMPUTED_VALUE"""),"https://disk.yandex.ru/client/disk/Осмотры%20объектов%20АНО%20СМГ/1120.%20Технологическая%20часть%20ТПУ%20на%20станции%20метро%20%22Варшавская%22")</f>
        <v>https://disk.yandex.ru/client/disk/Осмотры%20объектов%20АНО%20СМГ/1120.%20Технологическая%20часть%20ТПУ%20на%20станции%20метро%20%22Варшавская%22</v>
      </c>
      <c r="J355" s="50">
        <f>IFERROR(__xludf.DUMMYFUNCTION("""COMPUTED_VALUE"""),59.934)</f>
        <v>59.934</v>
      </c>
      <c r="K355" s="58">
        <f>IFERROR(__xludf.DUMMYFUNCTION("""COMPUTED_VALUE"""),45972.0)</f>
        <v>45972</v>
      </c>
      <c r="L355" s="6">
        <v>14.0</v>
      </c>
      <c r="M355" s="52">
        <v>45986.0</v>
      </c>
      <c r="N355" s="53" t="s">
        <v>711</v>
      </c>
      <c r="O355" s="6" t="s">
        <v>856</v>
      </c>
      <c r="P355" s="6"/>
      <c r="Q355" s="6" t="str">
        <f t="shared" si="1"/>
        <v>#N/A</v>
      </c>
      <c r="R355" s="6"/>
    </row>
    <row r="356" hidden="1">
      <c r="A356" s="31" t="str">
        <f>IFERROR(__xludf.DUMMYFUNCTION("""COMPUTED_VALUE"""),"265")</f>
        <v>265</v>
      </c>
      <c r="B356" s="14" t="str">
        <f>IFERROR(__xludf.DUMMYFUNCTION("""COMPUTED_VALUE"""),"АИП-26")</f>
        <v>АИП-26</v>
      </c>
      <c r="C356" s="14" t="str">
        <f>IFERROR(__xludf.DUMMYFUNCTION("""COMPUTED_VALUE"""),"ОКС")</f>
        <v>ОКС</v>
      </c>
      <c r="D356" s="15"/>
      <c r="E356" s="14" t="str">
        <f>IFERROR(__xludf.DUMMYFUNCTION("""COMPUTED_VALUE"""),"Стоматологическая поликлиника, ул. Новогиреевская, з/у 30/1 район Перово, ул. Новогиреевская, з/у 30/1")</f>
        <v>Стоматологическая поликлиника, ул. Новогиреевская, з/у 30/1 район Перово, ул. Новогиреевская, з/у 30/1</v>
      </c>
      <c r="F356" s="25" t="str">
        <f>IFERROR(__xludf.DUMMYFUNCTION("""COMPUTED_VALUE"""),"55.754895")</f>
        <v>55.754895</v>
      </c>
      <c r="G356" s="6" t="str">
        <f>IFERROR(__xludf.DUMMYFUNCTION("""COMPUTED_VALUE"""),"37.795346")</f>
        <v>37.795346</v>
      </c>
      <c r="H356" s="18" t="str">
        <f>IFERROR(__xludf.DUMMYFUNCTION("""COMPUTED_VALUE"""),"https://docs.google.com/spreadsheets/d/19THEBTE9q0fhN2eApZr6BgenIvLGh0AckaYxHQfHk5w/edit?gid=1355578633#gid=1355578633")</f>
        <v>https://docs.google.com/spreadsheets/d/19THEBTE9q0fhN2eApZr6BgenIvLGh0AckaYxHQfHk5w/edit?gid=1355578633#gid=1355578633</v>
      </c>
      <c r="I356" s="19" t="str">
        <f>IFERROR(__xludf.DUMMYFUNCTION("""COMPUTED_VALUE"""),"https://disk.yandex.ru/client/disk/Осмотры%20объектов%20АНО%20СМГ/265.%20Новогиреевская%20зу%2030%20к1%20стоматологическая%20поликлиника")</f>
        <v>https://disk.yandex.ru/client/disk/Осмотры%20объектов%20АНО%20СМГ/265.%20Новогиреевская%20зу%2030%20к1%20стоматологическая%20поликлиника</v>
      </c>
      <c r="J356" s="50">
        <f>IFERROR(__xludf.DUMMYFUNCTION("""COMPUTED_VALUE"""),31.45)</f>
        <v>31.45</v>
      </c>
      <c r="K356" s="58">
        <f>IFERROR(__xludf.DUMMYFUNCTION("""COMPUTED_VALUE"""),45967.0)</f>
        <v>45967</v>
      </c>
      <c r="L356" s="6">
        <v>30.0</v>
      </c>
      <c r="M356" s="52">
        <v>45997.0</v>
      </c>
      <c r="N356" s="53" t="s">
        <v>711</v>
      </c>
      <c r="O356" s="19" t="s">
        <v>857</v>
      </c>
      <c r="P356" s="6"/>
      <c r="Q356" s="6" t="str">
        <f t="shared" si="1"/>
        <v>#N/A</v>
      </c>
      <c r="R356" s="6"/>
    </row>
    <row r="357" hidden="1">
      <c r="A357" s="31" t="str">
        <f>IFERROR(__xludf.DUMMYFUNCTION("""COMPUTED_VALUE"""),"266")</f>
        <v>266</v>
      </c>
      <c r="B357" s="14" t="str">
        <f>IFERROR(__xludf.DUMMYFUNCTION("""COMPUTED_VALUE"""),"АИП-26")</f>
        <v>АИП-26</v>
      </c>
      <c r="C357" s="14" t="str">
        <f>IFERROR(__xludf.DUMMYFUNCTION("""COMPUTED_VALUE"""),"ОКС")</f>
        <v>ОКС</v>
      </c>
      <c r="D357" s="15"/>
      <c r="E357" s="14" t="str">
        <f>IFERROR(__xludf.DUMMYFUNCTION("""COMPUTED_VALUE"""),"Здание дошкольных групп на 225 мест, Стрельбищенский пер., вл. 14 район Пресненский,  Стрельбищенский пер., вл. 14")</f>
        <v>Здание дошкольных групп на 225 мест, Стрельбищенский пер., вл. 14 район Пресненский,  Стрельбищенский пер., вл. 14</v>
      </c>
      <c r="F357" s="25" t="str">
        <f>IFERROR(__xludf.DUMMYFUNCTION("""COMPUTED_VALUE"""),"55.759750")</f>
        <v>55.759750</v>
      </c>
      <c r="G357" s="6" t="str">
        <f>IFERROR(__xludf.DUMMYFUNCTION("""COMPUTED_VALUE"""),"37.540254")</f>
        <v>37.540254</v>
      </c>
      <c r="H357" s="18" t="str">
        <f>IFERROR(__xludf.DUMMYFUNCTION("""COMPUTED_VALUE"""),"https://docs.google.com/spreadsheets/d/19THEBTE9q0fhN2eApZr6BgenIvLGh0AckaYxHQfHk5w/edit?gid=288749714#gid=288749714")</f>
        <v>https://docs.google.com/spreadsheets/d/19THEBTE9q0fhN2eApZr6BgenIvLGh0AckaYxHQfHk5w/edit?gid=288749714#gid=288749714</v>
      </c>
      <c r="I357" s="19" t="str">
        <f>IFERROR(__xludf.DUMMYFUNCTION("""COMPUTED_VALUE"""),"https://disk.yandex.ru/client/disk/Осмотры%20объектов%20АНО%20СМГ/266.%20Здание%20дошкольных%20групп%20на%20225%20мест%20Стрельбищенский%20пер.%2C%20вл.%2014")</f>
        <v>https://disk.yandex.ru/client/disk/Осмотры%20объектов%20АНО%20СМГ/266.%20Здание%20дошкольных%20групп%20на%20225%20мест%20Стрельбищенский%20пер.%2C%20вл.%2014</v>
      </c>
      <c r="J357" s="50">
        <f>IFERROR(__xludf.DUMMYFUNCTION("""COMPUTED_VALUE"""),66.95835)</f>
        <v>66.95835</v>
      </c>
      <c r="K357" s="58">
        <f>IFERROR(__xludf.DUMMYFUNCTION("""COMPUTED_VALUE"""),45967.0)</f>
        <v>45967</v>
      </c>
      <c r="L357" s="6">
        <v>14.0</v>
      </c>
      <c r="M357" s="52">
        <v>45981.0</v>
      </c>
      <c r="N357" s="53" t="s">
        <v>741</v>
      </c>
      <c r="O357" s="19" t="s">
        <v>858</v>
      </c>
      <c r="P357" s="6"/>
      <c r="Q357" s="6" t="str">
        <f t="shared" si="1"/>
        <v>#N/A</v>
      </c>
      <c r="R357" s="6"/>
    </row>
    <row r="358" hidden="1">
      <c r="A358" s="31" t="str">
        <f>IFERROR(__xludf.DUMMYFUNCTION("""COMPUTED_VALUE"""),"209")</f>
        <v>209</v>
      </c>
      <c r="B358" s="14" t="str">
        <f>IFERROR(__xludf.DUMMYFUNCTION("""COMPUTED_VALUE"""),"АИП-25")</f>
        <v>АИП-25</v>
      </c>
      <c r="C358" s="14" t="str">
        <f>IFERROR(__xludf.DUMMYFUNCTION("""COMPUTED_VALUE"""),"ОКС")</f>
        <v>ОКС</v>
      </c>
      <c r="D358" s="15"/>
      <c r="E358" s="14" t="str">
        <f>IFERROR(__xludf.DUMMYFUNCTION("""COMPUTED_VALUE"""),"Жилые дома с инженерной подготовкой, с перекладкой инженерных коммуникаций, со сносом жилых домов, ул. 9-я Северная Линия, вл. 3 район Северный, 9-я Северная Линия д. 1, д. 3, д. 7, д. 9")</f>
        <v>Жилые дома с инженерной подготовкой, с перекладкой инженерных коммуникаций, со сносом жилых домов, ул. 9-я Северная Линия, вл. 3 район Северный, 9-я Северная Линия д. 1, д. 3, д. 7, д. 9</v>
      </c>
      <c r="F358" s="25" t="str">
        <f>IFERROR(__xludf.DUMMYFUNCTION("""COMPUTED_VALUE"""),"55.935526")</f>
        <v>55.935526</v>
      </c>
      <c r="G358" s="6" t="str">
        <f>IFERROR(__xludf.DUMMYFUNCTION("""COMPUTED_VALUE"""),"37.550855")</f>
        <v>37.550855</v>
      </c>
      <c r="H358" s="18" t="str">
        <f>IFERROR(__xludf.DUMMYFUNCTION("""COMPUTED_VALUE"""),"https://docs.google.com/spreadsheets/d/19THEBTE9q0fhN2eApZr6BgenIvLGh0AckaYxHQfHk5w/edit?gid=1849856896#gid=1849856896")</f>
        <v>https://docs.google.com/spreadsheets/d/19THEBTE9q0fhN2eApZr6BgenIvLGh0AckaYxHQfHk5w/edit?gid=1849856896#gid=1849856896</v>
      </c>
      <c r="I358" s="19" t="str">
        <f>IFERROR(__xludf.DUMMYFUNCTION("""COMPUTED_VALUE"""),"https://disk.yandex.ru/client/disk/Осмотры%20объектов%20АНО%20СМГ/209.%20%5C9-я%20Северная%20линия%20вл3")</f>
        <v>https://disk.yandex.ru/client/disk/Осмотры%20объектов%20АНО%20СМГ/209.%20%5C9-я%20Северная%20линия%20вл3</v>
      </c>
      <c r="J358" s="50">
        <f>IFERROR(__xludf.DUMMYFUNCTION("""COMPUTED_VALUE"""),89.116945)</f>
        <v>89.116945</v>
      </c>
      <c r="K358" s="58">
        <f>IFERROR(__xludf.DUMMYFUNCTION("""COMPUTED_VALUE"""),45971.0)</f>
        <v>45971</v>
      </c>
      <c r="L358" s="6">
        <v>14.0</v>
      </c>
      <c r="M358" s="52">
        <v>45985.0</v>
      </c>
      <c r="N358" s="53" t="s">
        <v>711</v>
      </c>
      <c r="O358" s="19" t="s">
        <v>859</v>
      </c>
      <c r="P358" s="6"/>
      <c r="Q358" s="6" t="str">
        <f t="shared" si="1"/>
        <v>#N/A</v>
      </c>
      <c r="R358" s="6"/>
    </row>
    <row r="359" hidden="1">
      <c r="A359" s="31" t="str">
        <f>IFERROR(__xludf.DUMMYFUNCTION("""COMPUTED_VALUE"""),"210")</f>
        <v>210</v>
      </c>
      <c r="B359" s="14" t="str">
        <f>IFERROR(__xludf.DUMMYFUNCTION("""COMPUTED_VALUE"""),"АИП-25")</f>
        <v>АИП-25</v>
      </c>
      <c r="C359" s="14" t="str">
        <f>IFERROR(__xludf.DUMMYFUNCTION("""COMPUTED_VALUE"""),"ОКС")</f>
        <v>ОКС</v>
      </c>
      <c r="D359" s="15"/>
      <c r="E359" s="14" t="str">
        <f>IFERROR(__xludf.DUMMYFUNCTION("""COMPUTED_VALUE"""),"Жилой дом с инженерными  коммуникациями и благоустройством, 
ул. Главмосстроя, вл. 1 район Солнцево, ул. Главмосстроя, д.1")</f>
        <v>Жилой дом с инженерными  коммуникациями и благоустройством, 
ул. Главмосстроя, вл. 1 район Солнцево, ул. Главмосстроя, д.1</v>
      </c>
      <c r="F359" s="25" t="str">
        <f>IFERROR(__xludf.DUMMYFUNCTION("""COMPUTED_VALUE"""),"55.650729")</f>
        <v>55.650729</v>
      </c>
      <c r="G359" s="6" t="str">
        <f>IFERROR(__xludf.DUMMYFUNCTION("""COMPUTED_VALUE"""),"37.409127")</f>
        <v>37.409127</v>
      </c>
      <c r="H359" s="18" t="str">
        <f>IFERROR(__xludf.DUMMYFUNCTION("""COMPUTED_VALUE"""),"https://docs.google.com/spreadsheets/d/19THEBTE9q0fhN2eApZr6BgenIvLGh0AckaYxHQfHk5w/edit?gid=1697091636#gid=1697091636")</f>
        <v>https://docs.google.com/spreadsheets/d/19THEBTE9q0fhN2eApZr6BgenIvLGh0AckaYxHQfHk5w/edit?gid=1697091636#gid=1697091636</v>
      </c>
      <c r="I359" s="19" t="str">
        <f>IFERROR(__xludf.DUMMYFUNCTION("""COMPUTED_VALUE"""),"https://disk.yandex.ru/client/disk/Осмотры%20объектов%20АНО%20СМГ/210.%20Жилой%20дом%20с%20инженерными%20коммуникациями%20и%0Aблагоустройством%20по%20адресу%3A%20Главмосстроя%20ул.%2C%20влд.1")</f>
        <v>https://disk.yandex.ru/client/disk/Осмотры%20объектов%20АНО%20СМГ/210.%20Жилой%20дом%20с%20инженерными%20коммуникациями%20и%0Aблагоустройством%20по%20адресу%3A%20Главмосстроя%20ул.%2C%20влд.1</v>
      </c>
      <c r="J359" s="50">
        <f>IFERROR(__xludf.DUMMYFUNCTION("""COMPUTED_VALUE"""),99.71000000000001)</f>
        <v>99.71</v>
      </c>
      <c r="K359" s="58">
        <f>IFERROR(__xludf.DUMMYFUNCTION("""COMPUTED_VALUE"""),45968.0)</f>
        <v>45968</v>
      </c>
      <c r="L359" s="6">
        <v>7.0</v>
      </c>
      <c r="M359" s="52">
        <v>45975.0</v>
      </c>
      <c r="N359" s="53" t="s">
        <v>652</v>
      </c>
      <c r="O359" s="19" t="s">
        <v>860</v>
      </c>
      <c r="P359" s="6"/>
      <c r="Q359" s="6" t="str">
        <f t="shared" si="1"/>
        <v>#N/A</v>
      </c>
      <c r="R359" s="6"/>
    </row>
    <row r="360" hidden="1">
      <c r="A360" s="31" t="str">
        <f>IFERROR(__xludf.DUMMYFUNCTION("""COMPUTED_VALUE"""),"195")</f>
        <v>195</v>
      </c>
      <c r="B360" s="14" t="str">
        <f>IFERROR(__xludf.DUMMYFUNCTION("""COMPUTED_VALUE"""),"АИП-25")</f>
        <v>АИП-25</v>
      </c>
      <c r="C360" s="14" t="str">
        <f>IFERROR(__xludf.DUMMYFUNCTION("""COMPUTED_VALUE"""),"ОКС")</f>
        <v>ОКС</v>
      </c>
      <c r="D360" s="15"/>
      <c r="E360" s="14" t="str">
        <f>IFERROR(__xludf.DUMMYFUNCTION("""COMPUTED_VALUE"""),"Строительство здания Государственного бюджетного учреждения культуры города Москвы «Московская государственная картинная галерея Василия Нестеренко» район Савёловский, ул. Бутырская, д. 1")</f>
        <v>Строительство здания Государственного бюджетного учреждения культуры города Москвы «Московская государственная картинная галерея Василия Нестеренко» район Савёловский, ул. Бутырская, д. 1</v>
      </c>
      <c r="F360" s="25" t="str">
        <f>IFERROR(__xludf.DUMMYFUNCTION("""COMPUTED_VALUE"""),"55.792812")</f>
        <v>55.792812</v>
      </c>
      <c r="G360" s="6" t="str">
        <f>IFERROR(__xludf.DUMMYFUNCTION("""COMPUTED_VALUE"""),"37.584146")</f>
        <v>37.584146</v>
      </c>
      <c r="H360" s="18" t="str">
        <f>IFERROR(__xludf.DUMMYFUNCTION("""COMPUTED_VALUE"""),"https://docs.google.com/spreadsheets/d/19THEBTE9q0fhN2eApZr6BgenIvLGh0AckaYxHQfHk5w/edit?gid=1652446948#gid=1652446948")</f>
        <v>https://docs.google.com/spreadsheets/d/19THEBTE9q0fhN2eApZr6BgenIvLGh0AckaYxHQfHk5w/edit?gid=1652446948#gid=1652446948</v>
      </c>
      <c r="I360" s="19" t="str">
        <f>IFERROR(__xludf.DUMMYFUNCTION("""COMPUTED_VALUE"""),"https://disk.yandex.ru/client/disk/Осмотры%20объектов%20АНО%20СМГ/195.%20ул.%20Бутырская%2C%20д.1%20Здание%20Государственного%20бюджетного%20учреждения%20культуры%20города%20Москвы%20«Московская%20государственная%20картинная%20галерея%20Василия%20Нестерен"&amp;"ко")</f>
        <v>https://disk.yandex.ru/client/disk/Осмотры%20объектов%20АНО%20СМГ/195.%20ул.%20Бутырская%2C%20д.1%20Здание%20Государственного%20бюджетного%20учреждения%20культуры%20города%20Москвы%20«Московская%20государственная%20картинная%20галерея%20Василия%20Нестеренко</v>
      </c>
      <c r="J360" s="50">
        <f>IFERROR(__xludf.DUMMYFUNCTION("""COMPUTED_VALUE"""),72.90147000000002)</f>
        <v>72.90147</v>
      </c>
      <c r="K360" s="58">
        <f>IFERROR(__xludf.DUMMYFUNCTION("""COMPUTED_VALUE"""),45967.0)</f>
        <v>45967</v>
      </c>
      <c r="L360" s="6">
        <v>14.0</v>
      </c>
      <c r="M360" s="52">
        <v>45981.0</v>
      </c>
      <c r="N360" s="53" t="s">
        <v>741</v>
      </c>
      <c r="O360" s="19" t="s">
        <v>861</v>
      </c>
      <c r="P360" s="6"/>
      <c r="Q360" s="6" t="str">
        <f t="shared" si="1"/>
        <v>#N/A</v>
      </c>
      <c r="R360" s="6"/>
    </row>
    <row r="361" hidden="1">
      <c r="A361" s="31" t="str">
        <f>IFERROR(__xludf.DUMMYFUNCTION("""COMPUTED_VALUE"""),"193")</f>
        <v>193</v>
      </c>
      <c r="B361" s="14" t="str">
        <f>IFERROR(__xludf.DUMMYFUNCTION("""COMPUTED_VALUE"""),"АИП-25")</f>
        <v>АИП-25</v>
      </c>
      <c r="C361" s="14" t="str">
        <f>IFERROR(__xludf.DUMMYFUNCTION("""COMPUTED_VALUE"""),"ОКС")</f>
        <v>ОКС</v>
      </c>
      <c r="D361" s="15"/>
      <c r="E361" s="14" t="str">
        <f>IFERROR(__xludf.DUMMYFUNCTION("""COMPUTED_VALUE"""),"Административное здание,
ул. Летчика Бабушкина, д. 42 район Лосиноостровский, ул. Летчика Бабушкина, д. 42")</f>
        <v>Административное здание,
ул. Летчика Бабушкина, д. 42 район Лосиноостровский, ул. Летчика Бабушкина, д. 42</v>
      </c>
      <c r="F361" s="25" t="str">
        <f>IFERROR(__xludf.DUMMYFUNCTION("""COMPUTED_VALUE"""),"55.873634")</f>
        <v>55.873634</v>
      </c>
      <c r="G361" s="6" t="str">
        <f>IFERROR(__xludf.DUMMYFUNCTION("""COMPUTED_VALUE"""),"37.679357")</f>
        <v>37.679357</v>
      </c>
      <c r="H361" s="18" t="str">
        <f>IFERROR(__xludf.DUMMYFUNCTION("""COMPUTED_VALUE"""),"https://docs.google.com/spreadsheets/d/19THEBTE9q0fhN2eApZr6BgenIvLGh0AckaYxHQfHk5w/edit?gid=981800361#gid=981800361")</f>
        <v>https://docs.google.com/spreadsheets/d/19THEBTE9q0fhN2eApZr6BgenIvLGh0AckaYxHQfHk5w/edit?gid=981800361#gid=981800361</v>
      </c>
      <c r="I361" s="19" t="str">
        <f>IFERROR(__xludf.DUMMYFUNCTION("""COMPUTED_VALUE"""),"https://disk.yandex.ru/client/disk/Осмотры%20объектов%20АНО%20СМГ/193%20Летчика%20бабушкина%2042%20(Админ%20здание)")</f>
        <v>https://disk.yandex.ru/client/disk/Осмотры%20объектов%20АНО%20СМГ/193%20Летчика%20бабушкина%2042%20(Админ%20здание)</v>
      </c>
      <c r="J361" s="50">
        <f>IFERROR(__xludf.DUMMYFUNCTION("""COMPUTED_VALUE"""),79.158675)</f>
        <v>79.158675</v>
      </c>
      <c r="K361" s="58">
        <f>IFERROR(__xludf.DUMMYFUNCTION("""COMPUTED_VALUE"""),45967.0)</f>
        <v>45967</v>
      </c>
      <c r="L361" s="6">
        <v>14.0</v>
      </c>
      <c r="M361" s="52">
        <v>45981.0</v>
      </c>
      <c r="N361" s="53" t="s">
        <v>741</v>
      </c>
      <c r="O361" s="19" t="s">
        <v>862</v>
      </c>
      <c r="P361" s="6"/>
      <c r="Q361" s="6" t="str">
        <f t="shared" si="1"/>
        <v>#N/A</v>
      </c>
      <c r="R361" s="6"/>
    </row>
    <row r="362" hidden="1">
      <c r="A362" s="31" t="str">
        <f>IFERROR(__xludf.DUMMYFUNCTION("""COMPUTED_VALUE"""),"187")</f>
        <v>187</v>
      </c>
      <c r="B362" s="14" t="str">
        <f>IFERROR(__xludf.DUMMYFUNCTION("""COMPUTED_VALUE"""),"АИП-25")</f>
        <v>АИП-25</v>
      </c>
      <c r="C362" s="14" t="str">
        <f>IFERROR(__xludf.DUMMYFUNCTION("""COMPUTED_VALUE"""),"ОКС")</f>
        <v>ОКС</v>
      </c>
      <c r="D362" s="15"/>
      <c r="E362" s="14" t="str">
        <f>IFERROR(__xludf.DUMMYFUNCTION("""COMPUTED_VALUE"""),"ЖК «Триумфальный» 3-й жилой комплекс, 
район Фили-Давыдково, кв. 1-2, к. 18, 18а район Фили-Давыдково, кв. 1-2, к. 18, 18а")</f>
        <v>ЖК «Триумфальный» 3-й жилой комплекс, 
район Фили-Давыдково, кв. 1-2, к. 18, 18а район Фили-Давыдково, кв. 1-2, к. 18, 18а</v>
      </c>
      <c r="F362" s="25" t="str">
        <f>IFERROR(__xludf.DUMMYFUNCTION("""COMPUTED_VALUE"""),"55.726169")</f>
        <v>55.726169</v>
      </c>
      <c r="G362" s="6" t="str">
        <f>IFERROR(__xludf.DUMMYFUNCTION("""COMPUTED_VALUE"""),"37.475609")</f>
        <v>37.475609</v>
      </c>
      <c r="H362" s="18" t="str">
        <f>IFERROR(__xludf.DUMMYFUNCTION("""COMPUTED_VALUE"""),"https://docs.google.com/spreadsheets/d/19THEBTE9q0fhN2eApZr6BgenIvLGh0AckaYxHQfHk5w/edit?gid=955409547#gid=955409547")</f>
        <v>https://docs.google.com/spreadsheets/d/19THEBTE9q0fhN2eApZr6BgenIvLGh0AckaYxHQfHk5w/edit?gid=955409547#gid=955409547</v>
      </c>
      <c r="I362" s="19" t="str">
        <f>IFERROR(__xludf.DUMMYFUNCTION("""COMPUTED_VALUE"""),"https://disk.yandex.ru/client/disk/Осмотры%20объектов%20АНО%20СМГ/187.%20жк%20триумфальный%20Славянский%20бульвар")</f>
        <v>https://disk.yandex.ru/client/disk/Осмотры%20объектов%20АНО%20СМГ/187.%20жк%20триумфальный%20Славянский%20бульвар</v>
      </c>
      <c r="J362" s="50">
        <f>IFERROR(__xludf.DUMMYFUNCTION("""COMPUTED_VALUE"""),99.926)</f>
        <v>99.926</v>
      </c>
      <c r="K362" s="58">
        <f>IFERROR(__xludf.DUMMYFUNCTION("""COMPUTED_VALUE"""),45972.0)</f>
        <v>45972</v>
      </c>
      <c r="L362" s="6">
        <v>7.0</v>
      </c>
      <c r="M362" s="52">
        <v>45979.0</v>
      </c>
      <c r="N362" s="53" t="s">
        <v>692</v>
      </c>
      <c r="O362" s="19" t="s">
        <v>863</v>
      </c>
      <c r="P362" s="6"/>
      <c r="Q362" s="6" t="str">
        <f t="shared" si="1"/>
        <v>#N/A</v>
      </c>
      <c r="R362" s="6"/>
    </row>
    <row r="363" hidden="1">
      <c r="A363" s="31" t="str">
        <f>IFERROR(__xludf.DUMMYFUNCTION("""COMPUTED_VALUE"""),"1083")</f>
        <v>1083</v>
      </c>
      <c r="B363" s="14" t="str">
        <f>IFERROR(__xludf.DUMMYFUNCTION("""COMPUTED_VALUE"""),"АИП-25")</f>
        <v>АИП-25</v>
      </c>
      <c r="C363" s="14" t="str">
        <f>IFERROR(__xludf.DUMMYFUNCTION("""COMPUTED_VALUE"""),"ОКС+УДС")</f>
        <v>ОКС+УДС</v>
      </c>
      <c r="D363" s="15"/>
      <c r="E363" s="14" t="str">
        <f>IFERROR(__xludf.DUMMYFUNCTION("""COMPUTED_VALUE"""),"Строительство сетей канализации с. Остафьево пос. Рязановское Новомосковского административного округа г.Москвы Этап 1 с. Остафьево пос. Рязановское Новомосковского административного округа г.Москвы")</f>
        <v>Строительство сетей канализации с. Остафьево пос. Рязановское Новомосковского административного округа г.Москвы Этап 1 с. Остафьево пос. Рязановское Новомосковского административного округа г.Москвы</v>
      </c>
      <c r="F363" s="25" t="str">
        <f>IFERROR(__xludf.DUMMYFUNCTION("""COMPUTED_VALUE"""),"55.498461")</f>
        <v>55.498461</v>
      </c>
      <c r="G363" s="6" t="str">
        <f>IFERROR(__xludf.DUMMYFUNCTION("""COMPUTED_VALUE"""),"37.505471")</f>
        <v>37.505471</v>
      </c>
      <c r="H363" s="18" t="str">
        <f>IFERROR(__xludf.DUMMYFUNCTION("""COMPUTED_VALUE"""),"https://docs.google.com/spreadsheets/d/19THEBTE9q0fhN2eApZr6BgenIvLGh0AckaYxHQfHk5w/edit?gid=1377920249#gid=1377920249")</f>
        <v>https://docs.google.com/spreadsheets/d/19THEBTE9q0fhN2eApZr6BgenIvLGh0AckaYxHQfHk5w/edit?gid=1377920249#gid=1377920249</v>
      </c>
      <c r="I363" s="19" t="str">
        <f>IFERROR(__xludf.DUMMYFUNCTION("""COMPUTED_VALUE"""),"https://disk.yandex.ru/client/disk/Осмотры%20объектов%20АНО%20СМГ/1083.%20строительство%20сетей%20канализации%20с.%20Остафьево%20пос.%20Рязановское%20Новомосковского")</f>
        <v>https://disk.yandex.ru/client/disk/Осмотры%20объектов%20АНО%20СМГ/1083.%20строительство%20сетей%20канализации%20с.%20Остафьево%20пос.%20Рязановское%20Новомосковского</v>
      </c>
      <c r="J363" s="50">
        <f>IFERROR(__xludf.DUMMYFUNCTION("""COMPUTED_VALUE"""),87.42299999999999)</f>
        <v>87.423</v>
      </c>
      <c r="K363" s="58">
        <f>IFERROR(__xludf.DUMMYFUNCTION("""COMPUTED_VALUE"""),45972.0)</f>
        <v>45972</v>
      </c>
      <c r="L363" s="6">
        <v>14.0</v>
      </c>
      <c r="M363" s="52">
        <v>45986.0</v>
      </c>
      <c r="N363" s="53" t="s">
        <v>711</v>
      </c>
      <c r="O363" s="19" t="s">
        <v>864</v>
      </c>
      <c r="P363" s="6"/>
      <c r="Q363" s="6" t="str">
        <f t="shared" si="1"/>
        <v>#N/A</v>
      </c>
      <c r="R363" s="6"/>
    </row>
    <row r="364" hidden="1">
      <c r="A364" s="31" t="str">
        <f>IFERROR(__xludf.DUMMYFUNCTION("""COMPUTED_VALUE"""),"1183")</f>
        <v>1183</v>
      </c>
      <c r="B364" s="14" t="str">
        <f>IFERROR(__xludf.DUMMYFUNCTION("""COMPUTED_VALUE"""),"АИП-25")</f>
        <v>АИП-25</v>
      </c>
      <c r="C364" s="14" t="str">
        <f>IFERROR(__xludf.DUMMYFUNCTION("""COMPUTED_VALUE"""),"ОКС")</f>
        <v>ОКС</v>
      </c>
      <c r="D364" s="15"/>
      <c r="E364" s="14" t="str">
        <f>IFERROR(__xludf.DUMMYFUNCTION("""COMPUTED_VALUE"""),"Строительство сетей канализации с. Остафьево 2 этап. Канализационная насосная станция ул. Зеленовка, с. Остафьево пос. Рязановское Новомосковского административного округа г.Москвы")</f>
        <v>Строительство сетей канализации с. Остафьево 2 этап. Канализационная насосная станция ул. Зеленовка, с. Остафьево пос. Рязановское Новомосковского административного округа г.Москвы</v>
      </c>
      <c r="F364" s="25" t="str">
        <f>IFERROR(__xludf.DUMMYFUNCTION("""COMPUTED_VALUE"""),"55.498102")</f>
        <v>55.498102</v>
      </c>
      <c r="G364" s="6" t="str">
        <f>IFERROR(__xludf.DUMMYFUNCTION("""COMPUTED_VALUE"""),"37.506046")</f>
        <v>37.506046</v>
      </c>
      <c r="H364" s="18" t="str">
        <f>IFERROR(__xludf.DUMMYFUNCTION("""COMPUTED_VALUE"""),"https://docs.google.com/spreadsheets/d/19THEBTE9q0fhN2eApZr6BgenIvLGh0AckaYxHQfHk5w/edit?gid=1529981182#gid=1529981182")</f>
        <v>https://docs.google.com/spreadsheets/d/19THEBTE9q0fhN2eApZr6BgenIvLGh0AckaYxHQfHk5w/edit?gid=1529981182#gid=1529981182</v>
      </c>
      <c r="I364" s="19" t="str">
        <f>IFERROR(__xludf.DUMMYFUNCTION("""COMPUTED_VALUE"""),"https://disk.yandex.ru/client/disk/Осмотры%20объектов%20АНО%20СМГ/1183.%20Строительство%20сетей%20канализации.%20Остафьево%202%20этап%20КНС")</f>
        <v>https://disk.yandex.ru/client/disk/Осмотры%20объектов%20АНО%20СМГ/1183.%20Строительство%20сетей%20канализации.%20Остафьево%202%20этап%20КНС</v>
      </c>
      <c r="J364" s="50">
        <f>IFERROR(__xludf.DUMMYFUNCTION("""COMPUTED_VALUE"""),80.24)</f>
        <v>80.24</v>
      </c>
      <c r="K364" s="58">
        <f>IFERROR(__xludf.DUMMYFUNCTION("""COMPUTED_VALUE"""),45968.0)</f>
        <v>45968</v>
      </c>
      <c r="L364" s="6">
        <v>14.0</v>
      </c>
      <c r="M364" s="52">
        <v>45982.0</v>
      </c>
      <c r="N364" s="53" t="s">
        <v>692</v>
      </c>
      <c r="O364" s="19" t="s">
        <v>865</v>
      </c>
      <c r="P364" s="6"/>
      <c r="Q364" s="6" t="str">
        <f t="shared" si="1"/>
        <v>#N/A</v>
      </c>
      <c r="R364" s="6"/>
    </row>
    <row r="365" hidden="1">
      <c r="A365" s="70" t="str">
        <f>IFERROR(__xludf.DUMMYFUNCTION("""COMPUTED_VALUE"""),"1071д")</f>
        <v>1071д</v>
      </c>
      <c r="B365" s="14" t="str">
        <f>IFERROR(__xludf.DUMMYFUNCTION("""COMPUTED_VALUE"""),"АИП-25")</f>
        <v>АИП-25</v>
      </c>
      <c r="C365" s="14" t="str">
        <f>IFERROR(__xludf.DUMMYFUNCTION("""COMPUTED_VALUE"""),"ОКС+УДС")</f>
        <v>ОКС+УДС</v>
      </c>
      <c r="D365" s="15"/>
      <c r="E365" s="14" t="str">
        <f>IFERROR(__xludf.DUMMYFUNCTION("""COMPUTED_VALUE"""),"Строительство подъездной автомобильной дороги к садоводческим некоммерческим объединениям СНТ СН ""Просторы"", СНТ ""Журавушка"", СНТ ""Родничок"", СНТ ""Рябинка"", СНТ ""Пчелка"", СНТ ""Мечта"", СНТ ""Радуга"", СНТ ""Кедр"", СНТ ""Ромашка"", СНТ ""Тители"&amp;"-6"", СНТ ""Лесная поляна-7"", СНТ ""Березки НТ"", СНТ ""Заря"", СНТ ""Луч"", СНТ ""Никольское"", СНТ ""Поляна-14"", СНТ ""Озерное"" вблизи д.Николо-Тители г.о. Ступино Московской обл. вблизи д.Николо-Тители г.о. Ступино Московской обл.")</f>
        <v>Строительство подъездной автомобильной дороги к садоводческим некоммерческим объединениям СНТ СН "Просторы", СНТ "Журавушка", СНТ "Родничок", СНТ "Рябинка", СНТ "Пчелка", СНТ "Мечта", СНТ "Радуга", СНТ "Кедр", СНТ "Ромашка", СНТ "Тители-6", СНТ "Лесная поляна-7", СНТ "Березки НТ", СНТ "Заря", СНТ "Луч", СНТ "Никольское", СНТ "Поляна-14", СНТ "Озерное" вблизи д.Николо-Тители г.о. Ступино Московской обл. вблизи д.Николо-Тители г.о. Ступино Московской обл.</v>
      </c>
      <c r="F365" s="25" t="str">
        <f>IFERROR(__xludf.DUMMYFUNCTION("""COMPUTED_VALUE"""),"55.130555")</f>
        <v>55.130555</v>
      </c>
      <c r="G365" s="6" t="str">
        <f>IFERROR(__xludf.DUMMYFUNCTION("""COMPUTED_VALUE"""),"38.093011")</f>
        <v>38.093011</v>
      </c>
      <c r="H365" s="6"/>
      <c r="I365" s="6" t="str">
        <f>IFERROR(__xludf.DUMMYFUNCTION("""COMPUTED_VALUE"""),"https://disk.yandex.ru/client/disk/Осмотры%20объектов%20АНО%20СМГ/1071.%20Строительство%20подъездной%20автомобильной%20дороги%20к%20садоводческим%20некоммерческим%20объединениям%20СНТ%20«Просторы»%2C%20СНТ%20«Журавушка»%2C%20СНТ%20«Родничок»%2C%20СНТ%20«Р"&amp;"ябинка»%2C%20СНТ%20«Пчелка»%2C%20СНТ%20«Мечта»%2C%20СНТ%20«Радуга»%2C%20СНТ%20«Кедр»%2C%20СНТ%20«Ромашка»%2C%20СНТ%20«Тители-6»%2C%20СНТ%20«Лесная")</f>
        <v>https://disk.yandex.ru/client/disk/Осмотры%20объектов%20АНО%20СМГ/1071.%20Строительство%20подъездной%20автомобильной%20дороги%20к%20садоводческим%20некоммерческим%20объединениям%20СНТ%20«Просторы»%2C%20СНТ%20«Журавушка»%2C%20СНТ%20«Родничок»%2C%20СНТ%20«Рябинка»%2C%20СНТ%20«Пчелка»%2C%20СНТ%20«Мечта»%2C%20СНТ%20«Радуга»%2C%20СНТ%20«Кедр»%2C%20СНТ%20«Ромашка»%2C%20СНТ%20«Тители-6»%2C%20СНТ%20«Лесная</v>
      </c>
      <c r="J365" s="50">
        <f>IFERROR(__xludf.DUMMYFUNCTION("""COMPUTED_VALUE"""),92.0)</f>
        <v>92</v>
      </c>
      <c r="K365" s="58">
        <f>IFERROR(__xludf.DUMMYFUNCTION("""COMPUTED_VALUE"""),45894.0)</f>
        <v>45894</v>
      </c>
      <c r="L365" s="6">
        <v>14.0</v>
      </c>
      <c r="M365" s="52">
        <v>45908.0</v>
      </c>
      <c r="N365" s="53" t="s">
        <v>668</v>
      </c>
      <c r="O365" s="6" t="s">
        <v>866</v>
      </c>
      <c r="P365" s="6"/>
      <c r="Q365" s="6" t="str">
        <f t="shared" si="1"/>
        <v>#N/A</v>
      </c>
      <c r="R365" s="6"/>
    </row>
    <row r="366" hidden="1">
      <c r="A366" s="31" t="str">
        <f>IFERROR(__xludf.DUMMYFUNCTION("""COMPUTED_VALUE"""),"1086")</f>
        <v>1086</v>
      </c>
      <c r="B366" s="14" t="str">
        <f>IFERROR(__xludf.DUMMYFUNCTION("""COMPUTED_VALUE"""),"АИП-25")</f>
        <v>АИП-25</v>
      </c>
      <c r="C366" s="14" t="str">
        <f>IFERROR(__xludf.DUMMYFUNCTION("""COMPUTED_VALUE"""),"ОКС")</f>
        <v>ОКС</v>
      </c>
      <c r="D366" s="15"/>
      <c r="E366" s="14" t="str">
        <f>IFERROR(__xludf.DUMMYFUNCTION("""COMPUTED_VALUE"""),"Проектирование и строительство очистных сооружений поверхностного стока в п. Коммунарка п. Коммунарка")</f>
        <v>Проектирование и строительство очистных сооружений поверхностного стока в п. Коммунарка п. Коммунарка</v>
      </c>
      <c r="F366" s="25" t="str">
        <f>IFERROR(__xludf.DUMMYFUNCTION("""COMPUTED_VALUE"""),"55.563802")</f>
        <v>55.563802</v>
      </c>
      <c r="G366" s="6" t="str">
        <f>IFERROR(__xludf.DUMMYFUNCTION("""COMPUTED_VALUE"""),"37.474696")</f>
        <v>37.474696</v>
      </c>
      <c r="H366" s="18" t="str">
        <f>IFERROR(__xludf.DUMMYFUNCTION("""COMPUTED_VALUE"""),"https://docs.google.com/spreadsheets/d/19THEBTE9q0fhN2eApZr6BgenIvLGh0AckaYxHQfHk5w/edit?gid=876314098#gid=876314098")</f>
        <v>https://docs.google.com/spreadsheets/d/19THEBTE9q0fhN2eApZr6BgenIvLGh0AckaYxHQfHk5w/edit?gid=876314098#gid=876314098</v>
      </c>
      <c r="I366" s="19" t="str">
        <f>IFERROR(__xludf.DUMMYFUNCTION("""COMPUTED_VALUE"""),"https://disk.yandex.ru/client/disk/Осмотры%20объектов%20АНО%20СМГ/1086.%20Проектирование%20и%20строительство%20очистных%20сооружений%20поверхностного%20стока%20Коммунарка")</f>
        <v>https://disk.yandex.ru/client/disk/Осмотры%20объектов%20АНО%20СМГ/1086.%20Проектирование%20и%20строительство%20очистных%20сооружений%20поверхностного%20стока%20Коммунарка</v>
      </c>
      <c r="J366" s="50">
        <f>IFERROR(__xludf.DUMMYFUNCTION("""COMPUTED_VALUE"""),6.7105)</f>
        <v>6.7105</v>
      </c>
      <c r="K366" s="58">
        <f>IFERROR(__xludf.DUMMYFUNCTION("""COMPUTED_VALUE"""),45967.0)</f>
        <v>45967</v>
      </c>
      <c r="L366" s="6">
        <v>30.0</v>
      </c>
      <c r="M366" s="52">
        <v>45997.0</v>
      </c>
      <c r="N366" s="53" t="s">
        <v>711</v>
      </c>
      <c r="O366" s="19" t="s">
        <v>867</v>
      </c>
      <c r="P366" s="6"/>
      <c r="Q366" s="6" t="str">
        <f t="shared" si="1"/>
        <v>#N/A</v>
      </c>
      <c r="R366" s="6"/>
    </row>
    <row r="367" hidden="1">
      <c r="A367" s="31" t="str">
        <f>IFERROR(__xludf.DUMMYFUNCTION("""COMPUTED_VALUE"""),"1080")</f>
        <v>1080</v>
      </c>
      <c r="B367" s="14" t="str">
        <f>IFERROR(__xludf.DUMMYFUNCTION("""COMPUTED_VALUE"""),"АИП-25")</f>
        <v>АИП-25</v>
      </c>
      <c r="C367" s="14" t="str">
        <f>IFERROR(__xludf.DUMMYFUNCTION("""COMPUTED_VALUE"""),"ОКС")</f>
        <v>ОКС</v>
      </c>
      <c r="D367" s="15"/>
      <c r="E367" s="14" t="str">
        <f>IFERROR(__xludf.DUMMYFUNCTION("""COMPUTED_VALUE"""),"Проектирование и строительство первой очереди КНС «Прокшино» с АРР и напорными трубопроводами              г. Москва, поселение Сосенское")</f>
        <v>Проектирование и строительство первой очереди КНС «Прокшино» с АРР и напорными трубопроводами              г. Москва, поселение Сосенское</v>
      </c>
      <c r="F367" s="25" t="str">
        <f>IFERROR(__xludf.DUMMYFUNCTION("""COMPUTED_VALUE"""),"55.587344")</f>
        <v>55.587344</v>
      </c>
      <c r="G367" s="6" t="str">
        <f>IFERROR(__xludf.DUMMYFUNCTION("""COMPUTED_VALUE"""),"37.416515")</f>
        <v>37.416515</v>
      </c>
      <c r="H367" s="18" t="str">
        <f>IFERROR(__xludf.DUMMYFUNCTION("""COMPUTED_VALUE"""),"https://docs.google.com/spreadsheets/d/19THEBTE9q0fhN2eApZr6BgenIvLGh0AckaYxHQfHk5w/edit?gid=1666294966#gid=1666294966")</f>
        <v>https://docs.google.com/spreadsheets/d/19THEBTE9q0fhN2eApZr6BgenIvLGh0AckaYxHQfHk5w/edit?gid=1666294966#gid=1666294966</v>
      </c>
      <c r="I367" s="19" t="str">
        <f>IFERROR(__xludf.DUMMYFUNCTION("""COMPUTED_VALUE"""),"https://disk.yandex.ru/client/disk/Осмотры%20объектов%20АНО%20СМГ/1080.%20Проектирование%20и%20строительство%201%20очереди%20КНС%20Прокшино%20с%20АРР%20и%20напорными%20трубопроводами")</f>
        <v>https://disk.yandex.ru/client/disk/Осмотры%20объектов%20АНО%20СМГ/1080.%20Проектирование%20и%20строительство%201%20очереди%20КНС%20Прокшино%20с%20АРР%20и%20напорными%20трубопроводами</v>
      </c>
      <c r="J367" s="50">
        <f>IFERROR(__xludf.DUMMYFUNCTION("""COMPUTED_VALUE"""),91.28706375)</f>
        <v>91.28706375</v>
      </c>
      <c r="K367" s="58">
        <f>IFERROR(__xludf.DUMMYFUNCTION("""COMPUTED_VALUE"""),45972.0)</f>
        <v>45972</v>
      </c>
      <c r="L367" s="6">
        <v>14.0</v>
      </c>
      <c r="M367" s="52">
        <v>45986.0</v>
      </c>
      <c r="N367" s="53" t="s">
        <v>711</v>
      </c>
      <c r="O367" s="19" t="s">
        <v>868</v>
      </c>
      <c r="P367" s="6"/>
      <c r="Q367" s="6" t="str">
        <f t="shared" si="1"/>
        <v>#N/A</v>
      </c>
      <c r="R367" s="6"/>
    </row>
    <row r="368" hidden="1">
      <c r="A368" s="31" t="str">
        <f>IFERROR(__xludf.DUMMYFUNCTION("""COMPUTED_VALUE"""),"1087")</f>
        <v>1087</v>
      </c>
      <c r="B368" s="14" t="str">
        <f>IFERROR(__xludf.DUMMYFUNCTION("""COMPUTED_VALUE"""),"АИП-25")</f>
        <v>АИП-25</v>
      </c>
      <c r="C368" s="14" t="str">
        <f>IFERROR(__xludf.DUMMYFUNCTION("""COMPUTED_VALUE"""),"ОКС")</f>
        <v>ОКС</v>
      </c>
      <c r="D368" s="15"/>
      <c r="E368" s="14" t="str">
        <f>IFERROR(__xludf.DUMMYFUNCTION("""COMPUTED_VALUE"""),"Проектирование и строительство головных объектов водоснабжения Административно-делового центра в п. Коммунарка (1 очередь). 1 Этап г.Москва, округ Коммунака, внутригородская территория квартал № 121, дом 1А, строение 1")</f>
        <v>Проектирование и строительство головных объектов водоснабжения Административно-делового центра в п. Коммунарка (1 очередь). 1 Этап г.Москва, округ Коммунака, внутригородская территория квартал № 121, дом 1А, строение 1</v>
      </c>
      <c r="F368" s="25" t="str">
        <f>IFERROR(__xludf.DUMMYFUNCTION("""COMPUTED_VALUE"""),"55.587380")</f>
        <v>55.587380</v>
      </c>
      <c r="G368" s="6" t="str">
        <f>IFERROR(__xludf.DUMMYFUNCTION("""COMPUTED_VALUE"""),"37.476017")</f>
        <v>37.476017</v>
      </c>
      <c r="H368" s="18" t="str">
        <f>IFERROR(__xludf.DUMMYFUNCTION("""COMPUTED_VALUE"""),"https://docs.google.com/spreadsheets/d/19THEBTE9q0fhN2eApZr6BgenIvLGh0AckaYxHQfHk5w/edit?gid=444385228#gid=444385228")</f>
        <v>https://docs.google.com/spreadsheets/d/19THEBTE9q0fhN2eApZr6BgenIvLGh0AckaYxHQfHk5w/edit?gid=444385228#gid=444385228</v>
      </c>
      <c r="I368" s="19" t="str">
        <f>IFERROR(__xludf.DUMMYFUNCTION("""COMPUTED_VALUE"""),"https://disk.yandex.ru/client/disk/Осмотры%20объектов%20АНО%20СМГ/1087.%20Проектирование%20и%20строительство%20головных%20объектов%20водоснабжения%20Административно-%20делового%20центра%20в%20пос.%20Коммунарка%20%20(1%20очередь)")</f>
        <v>https://disk.yandex.ru/client/disk/Осмотры%20объектов%20АНО%20СМГ/1087.%20Проектирование%20и%20строительство%20головных%20объектов%20водоснабжения%20Административно-%20делового%20центра%20в%20пос.%20Коммунарка%20%20(1%20очередь)</v>
      </c>
      <c r="J368" s="50">
        <f>IFERROR(__xludf.DUMMYFUNCTION("""COMPUTED_VALUE"""),98.77000000000001)</f>
        <v>98.77</v>
      </c>
      <c r="K368" s="58">
        <f>IFERROR(__xludf.DUMMYFUNCTION("""COMPUTED_VALUE"""),45972.0)</f>
        <v>45972</v>
      </c>
      <c r="L368" s="6">
        <v>7.0</v>
      </c>
      <c r="M368" s="52">
        <v>45979.0</v>
      </c>
      <c r="N368" s="53" t="s">
        <v>692</v>
      </c>
      <c r="O368" s="19" t="s">
        <v>869</v>
      </c>
      <c r="P368" s="6"/>
      <c r="Q368" s="6" t="str">
        <f t="shared" si="1"/>
        <v>#N/A</v>
      </c>
      <c r="R368" s="6"/>
    </row>
    <row r="369" hidden="1">
      <c r="A369" s="31" t="str">
        <f>IFERROR(__xludf.DUMMYFUNCTION("""COMPUTED_VALUE"""),"290")</f>
        <v>290</v>
      </c>
      <c r="B369" s="14" t="str">
        <f>IFERROR(__xludf.DUMMYFUNCTION("""COMPUTED_VALUE"""),"АИП-26")</f>
        <v>АИП-26</v>
      </c>
      <c r="C369" s="14" t="str">
        <f>IFERROR(__xludf.DUMMYFUNCTION("""COMPUTED_VALUE"""),"ОКС")</f>
        <v>ОКС</v>
      </c>
      <c r="D369" s="15"/>
      <c r="E369" s="14" t="str">
        <f>IFERROR(__xludf.DUMMYFUNCTION("""COMPUTED_VALUE"""),"Школа на 1150 мест, ул. Золоторожский Вал, вл. 11 район Лефортово, ул. Золоторожский Вал, вл. 11")</f>
        <v>Школа на 1150 мест, ул. Золоторожский Вал, вл. 11 район Лефортово, ул. Золоторожский Вал, вл. 11</v>
      </c>
      <c r="F369" s="25" t="str">
        <f>IFERROR(__xludf.DUMMYFUNCTION("""COMPUTED_VALUE"""),"55.749967")</f>
        <v>55.749967</v>
      </c>
      <c r="G369" s="6" t="str">
        <f>IFERROR(__xludf.DUMMYFUNCTION("""COMPUTED_VALUE"""),"37.692577")</f>
        <v>37.692577</v>
      </c>
      <c r="H369" s="18" t="str">
        <f>IFERROR(__xludf.DUMMYFUNCTION("""COMPUTED_VALUE"""),"https://docs.google.com/spreadsheets/d/19THEBTE9q0fhN2eApZr6BgenIvLGh0AckaYxHQfHk5w/edit?gid=1261418769#gid=1261418769")</f>
        <v>https://docs.google.com/spreadsheets/d/19THEBTE9q0fhN2eApZr6BgenIvLGh0AckaYxHQfHk5w/edit?gid=1261418769#gid=1261418769</v>
      </c>
      <c r="I369" s="21" t="str">
        <f>IFERROR(__xludf.DUMMYFUNCTION("""COMPUTED_VALUE"""),"https://disk.yandex.ru/client/disk/%D0%9E%D1%81%D0%BC%D0%BE%D1%82%D1%80%D1%8B%20%D0%BE%D0%B1%D1%8A%D0%B5%D0%BA%D1%82%D0%BE%D0%B2%20%D0%90%D0%9D%D0%9E%20%D0%A1%D0%9C%D0%93/290.%20%D0%97%D0%BE%D0%BB%D0%BE%D1%82%D0%BE%D1%80%D0%BE%D0%B6%D1%81%D0%BA%D0%B8%D0%B"&amp;"9%20%D0%B2%D0%B0%D0%BB%20%D0%B2%D0%BB%D0%B4%2011%20%D0%A8%D0%BA%D0%BE%D0%BB%D0%B0%20%D0%BD%D0%B0%201150%20%D0%BC%D0%B5%D1%81%D1%82%20")</f>
        <v>https://disk.yandex.ru/client/disk/%D0%9E%D1%81%D0%BC%D0%BE%D1%82%D1%80%D1%8B%20%D0%BE%D0%B1%D1%8A%D0%B5%D0%BA%D1%82%D0%BE%D0%B2%20%D0%90%D0%9D%D0%9E%20%D0%A1%D0%9C%D0%93/290.%20%D0%97%D0%BE%D0%BB%D0%BE%D1%82%D0%BE%D1%80%D0%BE%D0%B6%D1%81%D0%BA%D0%B8%D0%B9%20%D0%B2%D0%B0%D0%BB%20%D0%B2%D0%BB%D0%B4%2011%20%D0%A8%D0%BA%D0%BE%D0%BB%D0%B0%20%D0%BD%D0%B0%201150%20%D0%BC%D0%B5%D1%81%D1%82%20</v>
      </c>
      <c r="J369" s="50">
        <f>IFERROR(__xludf.DUMMYFUNCTION("""COMPUTED_VALUE"""),47.0464125)</f>
        <v>47.0464125</v>
      </c>
      <c r="K369" s="58">
        <f>IFERROR(__xludf.DUMMYFUNCTION("""COMPUTED_VALUE"""),45967.0)</f>
        <v>45967</v>
      </c>
      <c r="L369" s="6">
        <v>30.0</v>
      </c>
      <c r="M369" s="52">
        <v>45997.0</v>
      </c>
      <c r="N369" s="53" t="s">
        <v>711</v>
      </c>
      <c r="O369" s="19" t="s">
        <v>870</v>
      </c>
      <c r="P369" s="6"/>
      <c r="Q369" s="6" t="str">
        <f t="shared" si="1"/>
        <v>#N/A</v>
      </c>
      <c r="R369" s="6"/>
    </row>
    <row r="370" hidden="1">
      <c r="A370" s="31" t="str">
        <f>IFERROR(__xludf.DUMMYFUNCTION("""COMPUTED_VALUE"""),"184")</f>
        <v>184</v>
      </c>
      <c r="B370" s="14" t="str">
        <f>IFERROR(__xludf.DUMMYFUNCTION("""COMPUTED_VALUE"""),"АИП-26")</f>
        <v>АИП-26</v>
      </c>
      <c r="C370" s="14" t="str">
        <f>IFERROR(__xludf.DUMMYFUNCTION("""COMPUTED_VALUE"""),"ОКС")</f>
        <v>ОКС</v>
      </c>
      <c r="D370" s="15"/>
      <c r="E370" s="14" t="str">
        <f>IFERROR(__xludf.DUMMYFUNCTION("""COMPUTED_VALUE"""),"Учебный корпус на 400 мест (на месте сноса), район Богородское, 2-я Гражданская ул., д. 8 район Богородское, ул. 2-я Гражданская, д. 8")</f>
        <v>Учебный корпус на 400 мест (на месте сноса), район Богородское, 2-я Гражданская ул., д. 8 район Богородское, ул. 2-я Гражданская, д. 8</v>
      </c>
      <c r="F370" s="25" t="str">
        <f>IFERROR(__xludf.DUMMYFUNCTION("""COMPUTED_VALUE"""),"55.813731")</f>
        <v>55.813731</v>
      </c>
      <c r="G370" s="6" t="str">
        <f>IFERROR(__xludf.DUMMYFUNCTION("""COMPUTED_VALUE"""),"37.700987")</f>
        <v>37.700987</v>
      </c>
      <c r="H370" s="18" t="str">
        <f>IFERROR(__xludf.DUMMYFUNCTION("""COMPUTED_VALUE"""),"https://docs.google.com/spreadsheets/d/19THEBTE9q0fhN2eApZr6BgenIvLGh0AckaYxHQfHk5w/edit?gid=808158041#gid=808158041")</f>
        <v>https://docs.google.com/spreadsheets/d/19THEBTE9q0fhN2eApZr6BgenIvLGh0AckaYxHQfHk5w/edit?gid=808158041#gid=808158041</v>
      </c>
      <c r="I370" s="21" t="str">
        <f>IFERROR(__xludf.DUMMYFUNCTION("""COMPUTED_VALUE"""),"https://disk.yandex.ru/client/disk/%D0%9E%D1%81%D0%BC%D0%BE%D1%82%D1%80%D1%8B%20%D0%BE%D0%B1%D1%8A%D0%B5%D0%BA%D1%82%D0%BE%D0%B2%20%D0%90%D0%9D%D0%9E%20%D0%A1%D0%9C%D0%93/184.%20%D0%A3%D1%87%D0%B5%D0%B1%D0%BD%D1%8B%D0%B9%20%D0%BA%D0%BE%D1%80%D0%BF%D1%83%D"&amp;"1%81%20%D0%BD%D0%B0%20400%20%D0%BC%D0%B5%D1%81%D1%82%202-%D1%8F%20%D0%93%D1%80%D0%B0%D0%B6%D0%B4%D0%B0%D0%BD%D1%81%D0%BA%D0%B0%D1%8F%2C%20%D0%B4.%208")</f>
        <v>https://disk.yandex.ru/client/disk/%D0%9E%D1%81%D0%BC%D0%BE%D1%82%D1%80%D1%8B%20%D0%BE%D0%B1%D1%8A%D0%B5%D0%BA%D1%82%D0%BE%D0%B2%20%D0%90%D0%9D%D0%9E%20%D0%A1%D0%9C%D0%93/184.%20%D0%A3%D1%87%D0%B5%D0%B1%D0%BD%D1%8B%D0%B9%20%D0%BA%D0%BE%D1%80%D0%BF%D1%83%D1%81%20%D0%BD%D0%B0%20400%20%D0%BC%D0%B5%D1%81%D1%82%202-%D1%8F%20%D0%93%D1%80%D0%B0%D0%B6%D0%B4%D0%B0%D0%BD%D1%81%D0%BA%D0%B0%D1%8F%2C%20%D0%B4.%208</v>
      </c>
      <c r="J370" s="50">
        <f>IFERROR(__xludf.DUMMYFUNCTION("""COMPUTED_VALUE"""),95.79223999999999)</f>
        <v>95.79224</v>
      </c>
      <c r="K370" s="58">
        <f>IFERROR(__xludf.DUMMYFUNCTION("""COMPUTED_VALUE"""),45971.0)</f>
        <v>45971</v>
      </c>
      <c r="L370" s="6">
        <v>7.0</v>
      </c>
      <c r="M370" s="52">
        <v>45978.0</v>
      </c>
      <c r="N370" s="53" t="s">
        <v>692</v>
      </c>
      <c r="O370" s="19" t="s">
        <v>871</v>
      </c>
      <c r="P370" s="6"/>
      <c r="Q370" s="6" t="str">
        <f t="shared" si="1"/>
        <v>#N/A</v>
      </c>
      <c r="R370" s="6"/>
    </row>
    <row r="371" hidden="1">
      <c r="A371" s="31" t="str">
        <f>IFERROR(__xludf.DUMMYFUNCTION("""COMPUTED_VALUE"""),"131д")</f>
        <v>131д</v>
      </c>
      <c r="B371" s="14" t="str">
        <f>IFERROR(__xludf.DUMMYFUNCTION("""COMPUTED_VALUE"""),"АИП-25")</f>
        <v>АИП-25</v>
      </c>
      <c r="C371" s="14" t="str">
        <f>IFERROR(__xludf.DUMMYFUNCTION("""COMPUTED_VALUE"""),"УДС")</f>
        <v>УДС</v>
      </c>
      <c r="D371" s="15"/>
      <c r="E371" s="14" t="str">
        <f>IFERROR(__xludf.DUMMYFUNCTION("""COMPUTED_VALUE"""),"Строительство улицы районного значения от ул.Южная до Залинейного пер.с выездами на Варшавское ш. от ул.Южная до Залинейного пер.с выездами на Варшавское шоссе")</f>
        <v>Строительство улицы районного значения от ул.Южная до Залинейного пер.с выездами на Варшавское ш. от ул.Южная до Залинейного пер.с выездами на Варшавское шоссе</v>
      </c>
      <c r="F371" s="25" t="str">
        <f>IFERROR(__xludf.DUMMYFUNCTION("""COMPUTED_VALUE"""),"#N/A")</f>
        <v>#N/A</v>
      </c>
      <c r="G371" s="6" t="str">
        <f>IFERROR(__xludf.DUMMYFUNCTION("""COMPUTED_VALUE"""),"#N/A")</f>
        <v>#N/A</v>
      </c>
      <c r="H371" s="6"/>
      <c r="I371" s="6"/>
      <c r="J371" s="50">
        <f>IFERROR(__xludf.DUMMYFUNCTION("""COMPUTED_VALUE"""),99.67255449999999)</f>
        <v>99.6725545</v>
      </c>
      <c r="K371" s="58">
        <f>IFERROR(__xludf.DUMMYFUNCTION("""COMPUTED_VALUE"""),45973.0)</f>
        <v>45973</v>
      </c>
      <c r="L371" s="6">
        <v>7.0</v>
      </c>
      <c r="M371" s="52">
        <v>45980.0</v>
      </c>
      <c r="N371" s="53" t="s">
        <v>711</v>
      </c>
      <c r="O371" s="6" t="s">
        <v>872</v>
      </c>
      <c r="P371" s="6"/>
      <c r="Q371" s="6" t="str">
        <f t="shared" si="1"/>
        <v>#N/A</v>
      </c>
      <c r="R371" s="6"/>
    </row>
    <row r="372" hidden="1">
      <c r="A372" s="31" t="str">
        <f>IFERROR(__xludf.DUMMYFUNCTION("""COMPUTED_VALUE"""),"268д (сводный)")</f>
        <v>268д (сводный)</v>
      </c>
      <c r="B372" s="14" t="str">
        <f>IFERROR(__xludf.DUMMYFUNCTION("""COMPUTED_VALUE"""),"АИП-25")</f>
        <v>АИП-25</v>
      </c>
      <c r="C372" s="14" t="str">
        <f>IFERROR(__xludf.DUMMYFUNCTION("""COMPUTED_VALUE"""),"УДС")</f>
        <v>УДС</v>
      </c>
      <c r="D372" s="15"/>
      <c r="E372" s="14" t="str">
        <f>IFERROR(__xludf.DUMMYFUNCTION("""COMPUTED_VALUE"""),"Строительство магистральной улицы районного значения ""Калужское ш. - д. Бачурино - а/д ""Солнцево – Бутово - Видное"" в части этапов 1.1 и 1.3 ")</f>
        <v>Строительство магистральной улицы районного значения "Калужское ш. - д. Бачурино - а/д "Солнцево – Бутово - Видное" в части этапов 1.1 и 1.3 </v>
      </c>
      <c r="F372" s="25" t="str">
        <f>IFERROR(__xludf.DUMMYFUNCTION("""COMPUTED_VALUE"""),"#N/A")</f>
        <v>#N/A</v>
      </c>
      <c r="G372" s="6" t="str">
        <f>IFERROR(__xludf.DUMMYFUNCTION("""COMPUTED_VALUE"""),"#N/A")</f>
        <v>#N/A</v>
      </c>
      <c r="H372" s="6"/>
      <c r="I372" s="6"/>
      <c r="J372" s="50"/>
      <c r="K372" s="58"/>
      <c r="L372" s="6">
        <v>30.0</v>
      </c>
      <c r="M372" s="52" t="s">
        <v>655</v>
      </c>
      <c r="N372" s="53" t="s">
        <v>698</v>
      </c>
      <c r="O372" s="6"/>
      <c r="P372" s="6"/>
      <c r="Q372" s="6" t="str">
        <f t="shared" si="1"/>
        <v>#N/A</v>
      </c>
      <c r="R372" s="6"/>
    </row>
    <row r="373" hidden="1">
      <c r="A373" s="31" t="str">
        <f>IFERROR(__xludf.DUMMYFUNCTION("""COMPUTED_VALUE"""),"268д (этап 1.3)")</f>
        <v>268д (этап 1.3)</v>
      </c>
      <c r="B373" s="14"/>
      <c r="C373" s="14" t="str">
        <f>IFERROR(__xludf.DUMMYFUNCTION("""COMPUTED_VALUE"""),"УДС")</f>
        <v>УДС</v>
      </c>
      <c r="D373" s="15"/>
      <c r="E373" s="14" t="str">
        <f>IFERROR(__xludf.DUMMYFUNCTION("""COMPUTED_VALUE"""),"Строительство магистральной улицы районного значения ""Калужское ш. - д. Бачурино - а/д ""Солнцево – Бутово - Видное""
Этап 1.3
(Осмотр хода строительства участка
а/д «Солнцево-Бутово-Варшавское шоссе» от ул. Эдварда Грига
до ул. Поляны, ТиНАО, р-н Коммун"&amp;"арка (этап 1.3), ЮЗАО, р-н Южное Бутово) п. Сосенское, Коммунарка")</f>
        <v>Строительство магистральной улицы районного значения "Калужское ш. - д. Бачурино - а/д "Солнцево – Бутово - Видное"
Этап 1.3
(Осмотр хода строительства участка
а/д «Солнцево-Бутово-Варшавское шоссе» от ул. Эдварда Грига
до ул. Поляны, ТиНАО, р-н Коммунарка (этап 1.3), ЮЗАО, р-н Южное Бутово) п. Сосенское, Коммунарка</v>
      </c>
      <c r="F373" s="25" t="str">
        <f>IFERROR(__xludf.DUMMYFUNCTION("""COMPUTED_VALUE"""),"#N/A")</f>
        <v>#N/A</v>
      </c>
      <c r="G373" s="6" t="str">
        <f>IFERROR(__xludf.DUMMYFUNCTION("""COMPUTED_VALUE"""),"#N/A")</f>
        <v>#N/A</v>
      </c>
      <c r="H373" s="6"/>
      <c r="I373" s="6"/>
      <c r="J373" s="50"/>
      <c r="K373" s="58"/>
      <c r="L373" s="6">
        <v>30.0</v>
      </c>
      <c r="M373" s="52" t="s">
        <v>655</v>
      </c>
      <c r="N373" s="53" t="s">
        <v>698</v>
      </c>
      <c r="O373" s="6" t="s">
        <v>873</v>
      </c>
      <c r="P373" s="6"/>
      <c r="Q373" s="6" t="str">
        <f t="shared" si="1"/>
        <v>#N/A</v>
      </c>
      <c r="R373" s="6"/>
    </row>
    <row r="374" hidden="1">
      <c r="A374" s="31" t="str">
        <f>IFERROR(__xludf.DUMMYFUNCTION("""COMPUTED_VALUE"""),"268д (этап 1.1)")</f>
        <v>268д (этап 1.1)</v>
      </c>
      <c r="B374" s="14"/>
      <c r="C374" s="14" t="str">
        <f>IFERROR(__xludf.DUMMYFUNCTION("""COMPUTED_VALUE"""),"УДС")</f>
        <v>УДС</v>
      </c>
      <c r="D374" s="15"/>
      <c r="E374" s="14" t="str">
        <f>IFERROR(__xludf.DUMMYFUNCTION("""COMPUTED_VALUE"""),"Строительство магистральной улицы районного значения ""Калужское ш. - д. Бачурино - а/д ""Солнцево – Бутово - Видное""
Этап 1.1
(Осмотр хода строительства участка
а/д «Солнцево-Бутово-Варшавское шоссе» от ул. Эдварда Грига
до ул. Поляны, ТиНАО, р-н Коммун"&amp;"арка (этап 1.3), ЮЗАО, р-н Южное Бутово) ")</f>
        <v>Строительство магистральной улицы районного значения "Калужское ш. - д. Бачурино - а/д "Солнцево – Бутово - Видное"
Этап 1.1
(Осмотр хода строительства участка
а/д «Солнцево-Бутово-Варшавское шоссе» от ул. Эдварда Грига
до ул. Поляны, ТиНАО, р-н Коммунарка (этап 1.3), ЮЗАО, р-н Южное Бутово) </v>
      </c>
      <c r="F374" s="25" t="str">
        <f>IFERROR(__xludf.DUMMYFUNCTION("""COMPUTED_VALUE"""),"#N/A")</f>
        <v>#N/A</v>
      </c>
      <c r="G374" s="6" t="str">
        <f>IFERROR(__xludf.DUMMYFUNCTION("""COMPUTED_VALUE"""),"#N/A")</f>
        <v>#N/A</v>
      </c>
      <c r="H374" s="6"/>
      <c r="I374" s="6"/>
      <c r="J374" s="50"/>
      <c r="K374" s="58"/>
      <c r="L374" s="6">
        <v>30.0</v>
      </c>
      <c r="M374" s="52" t="s">
        <v>655</v>
      </c>
      <c r="N374" s="53" t="s">
        <v>698</v>
      </c>
      <c r="O374" s="6" t="s">
        <v>669</v>
      </c>
      <c r="P374" s="6"/>
      <c r="Q374" s="6" t="str">
        <f t="shared" si="1"/>
        <v>#N/A</v>
      </c>
      <c r="R374" s="6"/>
    </row>
    <row r="375" hidden="1">
      <c r="A375" s="31" t="str">
        <f>IFERROR(__xludf.DUMMYFUNCTION("""COMPUTED_VALUE"""),"282д")</f>
        <v>282д</v>
      </c>
      <c r="B375" s="14" t="str">
        <f>IFERROR(__xludf.DUMMYFUNCTION("""COMPUTED_VALUE"""),"АИП-25")</f>
        <v>АИП-25</v>
      </c>
      <c r="C375" s="14" t="str">
        <f>IFERROR(__xludf.DUMMYFUNCTION("""COMPUTED_VALUE"""),"УДС")</f>
        <v>УДС</v>
      </c>
      <c r="D375" s="15"/>
      <c r="E375" s="14" t="str">
        <f>IFERROR(__xludf.DUMMYFUNCTION("""COMPUTED_VALUE"""),"Строительство магистральной улицы районного значения ""Калужское ш. - д. Бачурино - а/д ""Солнцево – Бутово - Видное""
Этап 1.2 ")</f>
        <v>Строительство магистральной улицы районного значения "Калужское ш. - д. Бачурино - а/д "Солнцево – Бутово - Видное"
Этап 1.2 </v>
      </c>
      <c r="F375" s="25" t="str">
        <f>IFERROR(__xludf.DUMMYFUNCTION("""COMPUTED_VALUE"""),"#N/A")</f>
        <v>#N/A</v>
      </c>
      <c r="G375" s="6" t="str">
        <f>IFERROR(__xludf.DUMMYFUNCTION("""COMPUTED_VALUE"""),"#N/A")</f>
        <v>#N/A</v>
      </c>
      <c r="H375" s="6"/>
      <c r="I375" s="6"/>
      <c r="J375" s="50">
        <f>IFERROR(__xludf.DUMMYFUNCTION("""COMPUTED_VALUE"""),25.090199999999996)</f>
        <v>25.0902</v>
      </c>
      <c r="K375" s="58">
        <f>IFERROR(__xludf.DUMMYFUNCTION("""COMPUTED_VALUE"""),45971.0)</f>
        <v>45971</v>
      </c>
      <c r="L375" s="6">
        <v>30.0</v>
      </c>
      <c r="M375" s="52">
        <v>46001.0</v>
      </c>
      <c r="N375" s="53" t="s">
        <v>711</v>
      </c>
      <c r="O375" s="6"/>
      <c r="P375" s="6"/>
      <c r="Q375" s="6" t="str">
        <f t="shared" si="1"/>
        <v>#N/A</v>
      </c>
      <c r="R375" s="6"/>
    </row>
    <row r="376" hidden="1">
      <c r="A376" s="31" t="str">
        <f>IFERROR(__xludf.DUMMYFUNCTION("""COMPUTED_VALUE"""),"188")</f>
        <v>188</v>
      </c>
      <c r="B376" s="14" t="str">
        <f>IFERROR(__xludf.DUMMYFUNCTION("""COMPUTED_VALUE"""),"АИП-26")</f>
        <v>АИП-26</v>
      </c>
      <c r="C376" s="14" t="str">
        <f>IFERROR(__xludf.DUMMYFUNCTION("""COMPUTED_VALUE"""),"ОКС")</f>
        <v>ОКС</v>
      </c>
      <c r="D376" s="60"/>
      <c r="E376" s="14" t="str">
        <f>IFERROR(__xludf.DUMMYFUNCTION("""COMPUTED_VALUE"""),"Жилой дом с подземной автостоянкой(проектно-изыскательские и строительно-монтажные работы по сносу и строительству) район Бутырский, ул. Милашенкова, вл.6")</f>
        <v>Жилой дом с подземной автостоянкой(проектно-изыскательские и строительно-монтажные работы по сносу и строительству) район Бутырский, ул. Милашенкова, вл.6</v>
      </c>
      <c r="F376" s="25" t="str">
        <f>IFERROR(__xludf.DUMMYFUNCTION("""COMPUTED_VALUE"""),"55.82384253354808")</f>
        <v>55.82384253354808</v>
      </c>
      <c r="G376" s="6" t="str">
        <f>IFERROR(__xludf.DUMMYFUNCTION("""COMPUTED_VALUE"""),"37.58752899867056")</f>
        <v>37.58752899867056</v>
      </c>
      <c r="H376" s="18" t="str">
        <f>IFERROR(__xludf.DUMMYFUNCTION("""COMPUTED_VALUE"""),"https://docs.google.com/spreadsheets/d/19THEBTE9q0fhN2eApZr6BgenIvLGh0AckaYxHQfHk5w/edit?gid=1559792467#gid=1559792467")</f>
        <v>https://docs.google.com/spreadsheets/d/19THEBTE9q0fhN2eApZr6BgenIvLGh0AckaYxHQfHk5w/edit?gid=1559792467#gid=1559792467</v>
      </c>
      <c r="I376" s="19" t="str">
        <f>IFERROR(__xludf.DUMMYFUNCTION("""COMPUTED_VALUE"""),"https://disk.yandex.ru/client/disk/Осмотры%20объектов%20АНО%20СМГ/188.%20СВАО%2C%20район%2C%20Бутырский%2C%20ул.%20Милашенкова%2C%20влд.6%09")</f>
        <v>https://disk.yandex.ru/client/disk/Осмотры%20объектов%20АНО%20СМГ/188.%20СВАО%2C%20район%2C%20Бутырский%2C%20ул.%20Милашенкова%2C%20влд.6%09</v>
      </c>
      <c r="J376" s="50">
        <f>IFERROR(__xludf.DUMMYFUNCTION("""COMPUTED_VALUE"""),88.93446)</f>
        <v>88.93446</v>
      </c>
      <c r="K376" s="58">
        <f>IFERROR(__xludf.DUMMYFUNCTION("""COMPUTED_VALUE"""),45973.0)</f>
        <v>45973</v>
      </c>
      <c r="L376" s="6">
        <v>14.0</v>
      </c>
      <c r="M376" s="52">
        <v>45987.0</v>
      </c>
      <c r="N376" s="53" t="s">
        <v>711</v>
      </c>
      <c r="O376" s="19" t="s">
        <v>874</v>
      </c>
      <c r="P376" s="6"/>
      <c r="Q376" s="6" t="str">
        <f t="shared" si="1"/>
        <v>#N/A</v>
      </c>
      <c r="R376" s="6"/>
    </row>
    <row r="377" hidden="1">
      <c r="A377" s="31" t="str">
        <f>IFERROR(__xludf.DUMMYFUNCTION("""COMPUTED_VALUE"""),"274")</f>
        <v>274</v>
      </c>
      <c r="B377" s="14" t="str">
        <f>IFERROR(__xludf.DUMMYFUNCTION("""COMPUTED_VALUE"""),"АИП-26")</f>
        <v>АИП-26</v>
      </c>
      <c r="C377" s="14" t="str">
        <f>IFERROR(__xludf.DUMMYFUNCTION("""COMPUTED_VALUE"""),"ОКС")</f>
        <v>ОКС</v>
      </c>
      <c r="D377" s="15"/>
      <c r="E377" s="14" t="str">
        <f>IFERROR(__xludf.DUMMYFUNCTION("""COMPUTED_VALUE"""),"Здание образовательной организации (общее образование) на 700 мест р-н Северное Измайлово, мкр. 41-50, ул. 11-я Парковая, з/у 45Б")</f>
        <v>Здание образовательной организации (общее образование) на 700 мест р-н Северное Измайлово, мкр. 41-50, ул. 11-я Парковая, з/у 45Б</v>
      </c>
      <c r="F377" s="25" t="str">
        <f>IFERROR(__xludf.DUMMYFUNCTION("""COMPUTED_VALUE"""),"55.803722")</f>
        <v>55.803722</v>
      </c>
      <c r="G377" s="6" t="str">
        <f>IFERROR(__xludf.DUMMYFUNCTION("""COMPUTED_VALUE"""),"37.804206")</f>
        <v>37.804206</v>
      </c>
      <c r="H377" s="18" t="str">
        <f>IFERROR(__xludf.DUMMYFUNCTION("""COMPUTED_VALUE"""),"https://docs.google.com/spreadsheets/d/19THEBTE9q0fhN2eApZr6BgenIvLGh0AckaYxHQfHk5w/edit?gid=1430585638#gid=1430585638")</f>
        <v>https://docs.google.com/spreadsheets/d/19THEBTE9q0fhN2eApZr6BgenIvLGh0AckaYxHQfHk5w/edit?gid=1430585638#gid=1430585638</v>
      </c>
      <c r="I377" s="21" t="str">
        <f>IFERROR(__xludf.DUMMYFUNCTION("""COMPUTED_VALUE"""),"https://disk.yandex.ru/client/disk/%D0%9E%D1%81%D0%BC%D0%BE%D1%82%D1%80%D1%8B%20%D0%BE%D0%B1%D1%8A%D0%B5%D0%BA%D1%82%D0%BE%D0%B2%20%D0%90%D0%9D%D0%9E%20%D0%A1%D0%9C%D0%93/274.%20%D0%A1%D0%B5%D0%B2%D0%B5%D1%80%D0%BD%D0%BE%D0%B5%20%D0%98%D0%B7%D0%BC%D0%B0%D"&amp;"0%B9%D0%BB%D0%BE%D0%B2%D0%BE%2011%D1%8F%20%D0%BF%D0%B0%D1%80%D0%BA%D0%BE%D0%B2%D0%B0%D1%8F%20%D0%B7%D1%83%2045%D0%91%20%D0%97%D0%B4%D0%B0%D0%BD%D0%B8%D0%B5%20%D0%BE%D0%B1%D1%80%D0%B0%D0%B7%D0%BE%D0%B2%D0%B0%D1%82%D0%B5%D0%BB%D1%8C%D0%BD%D0%BE%D0%B9%20%D0%"&amp;"BE%D1%80%D0%B3%D0%B0%D0%BD%D0%B8%D0%B7%D0%B0%D1%86%D0%B8%D0%B8%20%D0%BD%D0%B0%20700%20%D0%BC%D0%B5%D1%81%D1%82%20")</f>
        <v>https://disk.yandex.ru/client/disk/%D0%9E%D1%81%D0%BC%D0%BE%D1%82%D1%80%D1%8B%20%D0%BE%D0%B1%D1%8A%D0%B5%D0%BA%D1%82%D0%BE%D0%B2%20%D0%90%D0%9D%D0%9E%20%D0%A1%D0%9C%D0%93/274.%20%D0%A1%D0%B5%D0%B2%D0%B5%D1%80%D0%BD%D0%BE%D0%B5%20%D0%98%D0%B7%D0%BC%D0%B0%D0%B9%D0%BB%D0%BE%D0%B2%D0%BE%2011%D1%8F%20%D0%BF%D0%B0%D1%80%D0%BA%D0%BE%D0%B2%D0%B0%D1%8F%20%D0%B7%D1%83%2045%D0%91%20%D0%97%D0%B4%D0%B0%D0%BD%D0%B8%D0%B5%20%D0%BE%D0%B1%D1%80%D0%B0%D0%B7%D0%BE%D0%B2%D0%B0%D1%82%D0%B5%D0%BB%D1%8C%D0%BD%D0%BE%D0%B9%20%D0%BE%D1%80%D0%B3%D0%B0%D0%BD%D0%B8%D0%B7%D0%B0%D1%86%D0%B8%D0%B8%20%D0%BD%D0%B0%20700%20%D0%BC%D0%B5%D1%81%D1%82%20</v>
      </c>
      <c r="J377" s="50">
        <f>IFERROR(__xludf.DUMMYFUNCTION("""COMPUTED_VALUE"""),45.954175)</f>
        <v>45.954175</v>
      </c>
      <c r="K377" s="58">
        <f>IFERROR(__xludf.DUMMYFUNCTION("""COMPUTED_VALUE"""),45972.0)</f>
        <v>45972</v>
      </c>
      <c r="L377" s="6">
        <v>30.0</v>
      </c>
      <c r="M377" s="52">
        <v>46002.0</v>
      </c>
      <c r="N377" s="53" t="s">
        <v>711</v>
      </c>
      <c r="O377" s="19" t="s">
        <v>875</v>
      </c>
      <c r="P377" s="6"/>
      <c r="Q377" s="6" t="str">
        <f t="shared" si="1"/>
        <v>#N/A</v>
      </c>
      <c r="R377" s="6"/>
    </row>
    <row r="378" hidden="1">
      <c r="A378" s="31" t="str">
        <f>IFERROR(__xludf.DUMMYFUNCTION("""COMPUTED_VALUE"""),"303")</f>
        <v>303</v>
      </c>
      <c r="B378" s="14" t="str">
        <f>IFERROR(__xludf.DUMMYFUNCTION("""COMPUTED_VALUE"""),"АИП-26")</f>
        <v>АИП-26</v>
      </c>
      <c r="C378" s="14" t="str">
        <f>IFERROR(__xludf.DUMMYFUNCTION("""COMPUTED_VALUE"""),"ОКС")</f>
        <v>ОКС</v>
      </c>
      <c r="D378" s="15"/>
      <c r="E378" s="14" t="str">
        <f>IFERROR(__xludf.DUMMYFUNCTION("""COMPUTED_VALUE"""),"Реконструкция с устройством лифтов зданий ГБУ города Москвы «Комплексный реабилитационно-образовательный центр» р-н Северное Измайлово, ул. 16-я Парковая, д.4")</f>
        <v>Реконструкция с устройством лифтов зданий ГБУ города Москвы «Комплексный реабилитационно-образовательный центр» р-н Северное Измайлово, ул. 16-я Парковая, д.4</v>
      </c>
      <c r="F378" s="25" t="str">
        <f>IFERROR(__xludf.DUMMYFUNCTION("""COMPUTED_VALUE"""),"55.797432")</f>
        <v>55.797432</v>
      </c>
      <c r="G378" s="6" t="str">
        <f>IFERROR(__xludf.DUMMYFUNCTION("""COMPUTED_VALUE"""),"37.823951")</f>
        <v>37.823951</v>
      </c>
      <c r="H378" s="18" t="str">
        <f>IFERROR(__xludf.DUMMYFUNCTION("""COMPUTED_VALUE"""),"https://docs.google.com/spreadsheets/d/19THEBTE9q0fhN2eApZr6BgenIvLGh0AckaYxHQfHk5w/edit?gid=921189634#gid=921189634")</f>
        <v>https://docs.google.com/spreadsheets/d/19THEBTE9q0fhN2eApZr6BgenIvLGh0AckaYxHQfHk5w/edit?gid=921189634#gid=921189634</v>
      </c>
      <c r="I378" s="19" t="str">
        <f>IFERROR(__xludf.DUMMYFUNCTION("""COMPUTED_VALUE"""),"https://disk.yandex.ru/client/disk/Осмотры%20объектов%20АНО%20СМГ/303.%20Реконструкция%20с%20устройством%20лифтов%20зданий%20ГБУ%20города%20Москвы%20«Комплексный%20реабилитационно-образовательный%20центр»%20по%20адресу%3A%20ул.%2016-я%20Парковая%2C%20д.4»")</f>
        <v>https://disk.yandex.ru/client/disk/Осмотры%20объектов%20АНО%20СМГ/303.%20Реконструкция%20с%20устройством%20лифтов%20зданий%20ГБУ%20города%20Москвы%20«Комплексный%20реабилитационно-образовательный%20центр»%20по%20адресу%3A%20ул.%2016-я%20Парковая%2C%20д.4»</v>
      </c>
      <c r="J378" s="50">
        <f>IFERROR(__xludf.DUMMYFUNCTION("""COMPUTED_VALUE"""),0.0)</f>
        <v>0</v>
      </c>
      <c r="K378" s="58">
        <f>IFERROR(__xludf.DUMMYFUNCTION("""COMPUTED_VALUE"""),45954.0)</f>
        <v>45954</v>
      </c>
      <c r="L378" s="6">
        <v>30.0</v>
      </c>
      <c r="M378" s="52">
        <v>45984.0</v>
      </c>
      <c r="N378" s="53" t="s">
        <v>741</v>
      </c>
      <c r="O378" s="19" t="s">
        <v>876</v>
      </c>
      <c r="P378" s="6"/>
      <c r="Q378" s="6" t="str">
        <f t="shared" si="1"/>
        <v>#N/A</v>
      </c>
      <c r="R378" s="6"/>
    </row>
    <row r="379" hidden="1">
      <c r="A379" s="31" t="str">
        <f>IFERROR(__xludf.DUMMYFUNCTION("""COMPUTED_VALUE"""),"400д (2 этап)")</f>
        <v>400д (2 этап)</v>
      </c>
      <c r="B379" s="14" t="str">
        <f>IFERROR(__xludf.DUMMYFUNCTION("""COMPUTED_VALUE"""),"АИП-26")</f>
        <v>АИП-26</v>
      </c>
      <c r="C379" s="14" t="str">
        <f>IFERROR(__xludf.DUMMYFUNCTION("""COMPUTED_VALUE"""),"УДС")</f>
        <v>УДС</v>
      </c>
      <c r="D379" s="15"/>
      <c r="E379" s="14" t="str">
        <f>IFERROR(__xludf.DUMMYFUNCTION("""COMPUTED_VALUE"""),"Переустройство инженерных коммуникаций и сооружений ОАО РЖД в составе этапов ЮВХ-9, ЮВХ-3 и ЮВХ-5 пересечение МКАД с Юго-Восточной хордой")</f>
        <v>Переустройство инженерных коммуникаций и сооружений ОАО РЖД в составе этапов ЮВХ-9, ЮВХ-3 и ЮВХ-5 пересечение МКАД с Юго-Восточной хордой</v>
      </c>
      <c r="F379" s="25" t="str">
        <f>IFERROR(__xludf.DUMMYFUNCTION("""COMPUTED_VALUE"""),"#N/A")</f>
        <v>#N/A</v>
      </c>
      <c r="G379" s="6" t="str">
        <f>IFERROR(__xludf.DUMMYFUNCTION("""COMPUTED_VALUE"""),"#N/A")</f>
        <v>#N/A</v>
      </c>
      <c r="H379" s="6"/>
      <c r="I379" s="6"/>
      <c r="J379" s="50">
        <f>IFERROR(__xludf.DUMMYFUNCTION("""COMPUTED_VALUE"""),83.2975)</f>
        <v>83.2975</v>
      </c>
      <c r="K379" s="58">
        <f>IFERROR(__xludf.DUMMYFUNCTION("""COMPUTED_VALUE"""),45973.0)</f>
        <v>45973</v>
      </c>
      <c r="L379" s="6">
        <v>14.0</v>
      </c>
      <c r="M379" s="52">
        <v>45987.0</v>
      </c>
      <c r="N379" s="53" t="s">
        <v>711</v>
      </c>
      <c r="O379" s="6" t="s">
        <v>768</v>
      </c>
      <c r="P379" s="6"/>
      <c r="Q379" s="6" t="str">
        <f t="shared" si="1"/>
        <v>#N/A</v>
      </c>
      <c r="R379" s="6"/>
    </row>
    <row r="380" hidden="1">
      <c r="A380" s="31" t="str">
        <f>IFERROR(__xludf.DUMMYFUNCTION("""COMPUTED_VALUE"""),"401д (сводный)")</f>
        <v>401д (сводный)</v>
      </c>
      <c r="B380" s="14" t="str">
        <f>IFERROR(__xludf.DUMMYFUNCTION("""COMPUTED_VALUE"""),"АИП-26")</f>
        <v>АИП-26</v>
      </c>
      <c r="C380" s="14" t="str">
        <f>IFERROR(__xludf.DUMMYFUNCTION("""COMPUTED_VALUE"""),"УДС")</f>
        <v>УДС</v>
      </c>
      <c r="D380" s="15"/>
      <c r="E380"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3.3.5, 3.4 ")</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3.3.5, 3.4 </v>
      </c>
      <c r="F380" s="25" t="str">
        <f>IFERROR(__xludf.DUMMYFUNCTION("""COMPUTED_VALUE"""),"#N/A")</f>
        <v>#N/A</v>
      </c>
      <c r="G380" s="6" t="str">
        <f>IFERROR(__xludf.DUMMYFUNCTION("""COMPUTED_VALUE"""),"#N/A")</f>
        <v>#N/A</v>
      </c>
      <c r="H380" s="6"/>
      <c r="I380" s="6"/>
      <c r="J380" s="50"/>
      <c r="K380" s="58"/>
      <c r="L380" s="6">
        <v>30.0</v>
      </c>
      <c r="M380" s="52" t="s">
        <v>655</v>
      </c>
      <c r="N380" s="53" t="s">
        <v>698</v>
      </c>
      <c r="O380" s="6"/>
      <c r="P380" s="6"/>
      <c r="Q380" s="6" t="str">
        <f t="shared" si="1"/>
        <v>#N/A</v>
      </c>
      <c r="R380" s="6"/>
    </row>
    <row r="381" hidden="1">
      <c r="A381" s="31" t="str">
        <f>IFERROR(__xludf.DUMMYFUNCTION("""COMPUTED_VALUE"""),"401д (этап 3.2.2)")</f>
        <v>401д (этап 3.2.2)</v>
      </c>
      <c r="B381" s="14"/>
      <c r="C381" s="14" t="str">
        <f>IFERROR(__xludf.DUMMYFUNCTION("""COMPUTED_VALUE"""),"УДС")</f>
        <v>УДС</v>
      </c>
      <c r="D381" s="15"/>
      <c r="E381"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3.2.2 от Ярославского ш. до Дмитровского ш.</v>
      </c>
      <c r="F381" s="25" t="str">
        <f>IFERROR(__xludf.DUMMYFUNCTION("""COMPUTED_VALUE"""),"#N/A")</f>
        <v>#N/A</v>
      </c>
      <c r="G381" s="6" t="str">
        <f>IFERROR(__xludf.DUMMYFUNCTION("""COMPUTED_VALUE"""),"#N/A")</f>
        <v>#N/A</v>
      </c>
      <c r="H381" s="6"/>
      <c r="I381" s="6"/>
      <c r="J381" s="50"/>
      <c r="K381" s="58"/>
      <c r="L381" s="6">
        <v>30.0</v>
      </c>
      <c r="M381" s="52" t="s">
        <v>655</v>
      </c>
      <c r="N381" s="53" t="s">
        <v>698</v>
      </c>
      <c r="O381" s="6" t="s">
        <v>877</v>
      </c>
      <c r="P381" s="6"/>
      <c r="Q381" s="6" t="str">
        <f t="shared" si="1"/>
        <v>#N/A</v>
      </c>
      <c r="R381" s="6"/>
    </row>
    <row r="382" hidden="1">
      <c r="A382" s="31" t="str">
        <f>IFERROR(__xludf.DUMMYFUNCTION("""COMPUTED_VALUE"""),"401д (этап 3.4)")</f>
        <v>401д (этап 3.4)</v>
      </c>
      <c r="B382" s="14"/>
      <c r="C382" s="14" t="str">
        <f>IFERROR(__xludf.DUMMYFUNCTION("""COMPUTED_VALUE"""),"УДС")</f>
        <v>УДС</v>
      </c>
      <c r="D382" s="60"/>
      <c r="E382"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3.4.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3.4. от Ярославского ш. до Дмитровского ш.</v>
      </c>
      <c r="F382" s="25" t="str">
        <f>IFERROR(__xludf.DUMMYFUNCTION("""COMPUTED_VALUE"""),"#N/A")</f>
        <v>#N/A</v>
      </c>
      <c r="G382" s="6" t="str">
        <f>IFERROR(__xludf.DUMMYFUNCTION("""COMPUTED_VALUE"""),"#N/A")</f>
        <v>#N/A</v>
      </c>
      <c r="H382" s="6"/>
      <c r="I382" s="6"/>
      <c r="J382" s="50"/>
      <c r="K382" s="58"/>
      <c r="L382" s="6">
        <v>30.0</v>
      </c>
      <c r="M382" s="52" t="s">
        <v>655</v>
      </c>
      <c r="N382" s="53" t="s">
        <v>698</v>
      </c>
      <c r="O382" s="6" t="s">
        <v>877</v>
      </c>
      <c r="P382" s="6"/>
      <c r="Q382" s="6" t="str">
        <f t="shared" si="1"/>
        <v>#N/A</v>
      </c>
      <c r="R382" s="6"/>
    </row>
    <row r="383" hidden="1">
      <c r="A383" s="31" t="str">
        <f>IFERROR(__xludf.DUMMYFUNCTION("""COMPUTED_VALUE"""),"401д (этап 3.3.5)")</f>
        <v>401д (этап 3.3.5)</v>
      </c>
      <c r="B383" s="14"/>
      <c r="C383" s="14" t="str">
        <f>IFERROR(__xludf.DUMMYFUNCTION("""COMPUTED_VALUE"""),"УДС")</f>
        <v>УДС</v>
      </c>
      <c r="D383" s="15"/>
      <c r="E383" s="14" t="str">
        <f>IFERROR(__xludf.DUMMYFUNCTION("""COMPUTED_VALUE"""),"Строительство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ком"&amp;"муникаций,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3.3.5 от Ярославского ш. до Дмитровского ш.")</f>
        <v>Строительство эстакад основного хода, многоуровневых транспортных развязок в районе станции метро "Владыкино", станции метро "Ботанический сад", эстакад-съездов Ярославского ш., мостов через р. Яузу, р. Лихоборку, переустройство инженерных сетей и коммуникаций, с реконструкцией/строительством улично-дорожной сети на участке от Ярославского ш. до Дмитровского ш. в рамках строительства СевероВосточной хорды. Этапы 3.3.5 от Ярославского ш. до Дмитровского ш.</v>
      </c>
      <c r="F383" s="25" t="str">
        <f>IFERROR(__xludf.DUMMYFUNCTION("""COMPUTED_VALUE"""),"#N/A")</f>
        <v>#N/A</v>
      </c>
      <c r="G383" s="6" t="str">
        <f>IFERROR(__xludf.DUMMYFUNCTION("""COMPUTED_VALUE"""),"#N/A")</f>
        <v>#N/A</v>
      </c>
      <c r="H383" s="6"/>
      <c r="I383" s="6"/>
      <c r="J383" s="50"/>
      <c r="K383" s="58"/>
      <c r="L383" s="6">
        <v>30.0</v>
      </c>
      <c r="M383" s="52" t="s">
        <v>655</v>
      </c>
      <c r="N383" s="53" t="s">
        <v>698</v>
      </c>
      <c r="O383" s="6" t="s">
        <v>877</v>
      </c>
      <c r="P383" s="6"/>
      <c r="Q383" s="6" t="str">
        <f t="shared" si="1"/>
        <v>#N/A</v>
      </c>
      <c r="R383" s="6"/>
    </row>
    <row r="384" hidden="1">
      <c r="A384" s="31" t="str">
        <f>IFERROR(__xludf.DUMMYFUNCTION("""COMPUTED_VALUE"""),"379д")</f>
        <v>379д</v>
      </c>
      <c r="B384" s="14" t="str">
        <f>IFERROR(__xludf.DUMMYFUNCTION("""COMPUTED_VALUE"""),"АИП-26")</f>
        <v>АИП-26</v>
      </c>
      <c r="C384" s="14" t="str">
        <f>IFERROR(__xludf.DUMMYFUNCTION("""COMPUTED_VALUE"""),"УДС")</f>
        <v>УДС</v>
      </c>
      <c r="D384" s="15"/>
      <c r="E384" s="14" t="str">
        <f>IFERROR(__xludf.DUMMYFUNCTION("""COMPUTED_VALUE"""),"Пешеходный переход через МЦД-1 и Дмитровское шоссе в районе д.5-д.7, корп.2 Дмитровское шоссе в районе д.5-д.7, корп.2")</f>
        <v>Пешеходный переход через МЦД-1 и Дмитровское шоссе в районе д.5-д.7, корп.2 Дмитровское шоссе в районе д.5-д.7, корп.2</v>
      </c>
      <c r="F384" s="25" t="str">
        <f>IFERROR(__xludf.DUMMYFUNCTION("""COMPUTED_VALUE"""),"#N/A")</f>
        <v>#N/A</v>
      </c>
      <c r="G384" s="6" t="str">
        <f>IFERROR(__xludf.DUMMYFUNCTION("""COMPUTED_VALUE"""),"#N/A")</f>
        <v>#N/A</v>
      </c>
      <c r="H384" s="6"/>
      <c r="I384" s="6"/>
      <c r="J384" s="50">
        <f>IFERROR(__xludf.DUMMYFUNCTION("""COMPUTED_VALUE"""),46.782)</f>
        <v>46.782</v>
      </c>
      <c r="K384" s="58">
        <f>IFERROR(__xludf.DUMMYFUNCTION("""COMPUTED_VALUE"""),45974.0)</f>
        <v>45974</v>
      </c>
      <c r="L384" s="6">
        <v>30.0</v>
      </c>
      <c r="M384" s="52">
        <v>46004.0</v>
      </c>
      <c r="N384" s="53" t="s">
        <v>711</v>
      </c>
      <c r="O384" s="6" t="s">
        <v>878</v>
      </c>
      <c r="P384" s="6"/>
      <c r="Q384" s="6" t="str">
        <f t="shared" si="1"/>
        <v>#N/A</v>
      </c>
      <c r="R384" s="6"/>
    </row>
    <row r="385" hidden="1">
      <c r="A385" s="31" t="str">
        <f>IFERROR(__xludf.DUMMYFUNCTION("""COMPUTED_VALUE"""),"403д")</f>
        <v>403д</v>
      </c>
      <c r="B385" s="14" t="str">
        <f>IFERROR(__xludf.DUMMYFUNCTION("""COMPUTED_VALUE"""),"АИП-26")</f>
        <v>АИП-26</v>
      </c>
      <c r="C385" s="14" t="str">
        <f>IFERROR(__xludf.DUMMYFUNCTION("""COMPUTED_VALUE"""),"УДС")</f>
        <v>УДС</v>
      </c>
      <c r="D385" s="15"/>
      <c r="E385" s="14" t="str">
        <f>IFERROR(__xludf.DUMMYFUNCTION("""COMPUTED_VALUE"""),"07-049-2 Дороги и инженерные коммуникации для кв-ла 1, 2 п. Бутово (2 пусковой комплекс) ул. Изюмская, д.52")</f>
        <v>07-049-2 Дороги и инженерные коммуникации для кв-ла 1, 2 п. Бутово (2 пусковой комплекс) ул. Изюмская, д.52</v>
      </c>
      <c r="F385" s="25" t="str">
        <f>IFERROR(__xludf.DUMMYFUNCTION("""COMPUTED_VALUE"""),"55.54312758533966")</f>
        <v>55.54312758533966</v>
      </c>
      <c r="G385" s="6" t="str">
        <f>IFERROR(__xludf.DUMMYFUNCTION("""COMPUTED_VALUE"""),"37.559514603842544")</f>
        <v>37.559514603842544</v>
      </c>
      <c r="H385" s="6"/>
      <c r="I385" s="6"/>
      <c r="J385" s="50">
        <f>IFERROR(__xludf.DUMMYFUNCTION("""COMPUTED_VALUE"""),51.23)</f>
        <v>51.23</v>
      </c>
      <c r="K385" s="58">
        <f>IFERROR(__xludf.DUMMYFUNCTION("""COMPUTED_VALUE"""),45954.0)</f>
        <v>45954</v>
      </c>
      <c r="L385" s="6">
        <v>14.0</v>
      </c>
      <c r="M385" s="52">
        <v>45968.0</v>
      </c>
      <c r="N385" s="53" t="s">
        <v>668</v>
      </c>
      <c r="O385" s="6" t="s">
        <v>879</v>
      </c>
      <c r="P385" s="6"/>
      <c r="Q385" s="6" t="str">
        <f t="shared" si="1"/>
        <v>#N/A</v>
      </c>
      <c r="R385" s="6"/>
    </row>
    <row r="386" hidden="1">
      <c r="A386" s="31" t="str">
        <f>IFERROR(__xludf.DUMMYFUNCTION("""COMPUTED_VALUE"""),"291")</f>
        <v>291</v>
      </c>
      <c r="B386" s="14" t="str">
        <f>IFERROR(__xludf.DUMMYFUNCTION("""COMPUTED_VALUE"""),"АИП-26")</f>
        <v>АИП-26</v>
      </c>
      <c r="C386" s="14" t="str">
        <f>IFERROR(__xludf.DUMMYFUNCTION("""COMPUTED_VALUE"""),"ОКС")</f>
        <v>ОКС</v>
      </c>
      <c r="D386" s="15"/>
      <c r="E386" s="14" t="str">
        <f>IFERROR(__xludf.DUMMYFUNCTION("""COMPUTED_VALUE"""),"Учебный корпус на 300 мест ул. Соколово-Мещерская, д. 2, к. 2, стр. 1")</f>
        <v>Учебный корпус на 300 мест ул. Соколово-Мещерская, д. 2, к. 2, стр. 1</v>
      </c>
      <c r="F386" s="25" t="str">
        <f>IFERROR(__xludf.DUMMYFUNCTION("""COMPUTED_VALUE"""),"55.891047")</f>
        <v>55.891047</v>
      </c>
      <c r="G386" s="6" t="str">
        <f>IFERROR(__xludf.DUMMYFUNCTION("""COMPUTED_VALUE"""),"37.389131")</f>
        <v>37.389131</v>
      </c>
      <c r="H386" s="18" t="str">
        <f>IFERROR(__xludf.DUMMYFUNCTION("""COMPUTED_VALUE"""),"https://docs.google.com/spreadsheets/d/19THEBTE9q0fhN2eApZr6BgenIvLGh0AckaYxHQfHk5w/edit?gid=1314726953#gid=1314726953")</f>
        <v>https://docs.google.com/spreadsheets/d/19THEBTE9q0fhN2eApZr6BgenIvLGh0AckaYxHQfHk5w/edit?gid=1314726953#gid=1314726953</v>
      </c>
      <c r="I386" s="19" t="str">
        <f>IFERROR(__xludf.DUMMYFUNCTION("""COMPUTED_VALUE"""),"https://disk.yandex.ru/client/disk/Осмотры%20объектов%20АНО%20СМГ/291.%20Соколово-Мещерская%20д2%20к2%20с1%20УК%20300")</f>
        <v>https://disk.yandex.ru/client/disk/Осмотры%20объектов%20АНО%20СМГ/291.%20Соколово-Мещерская%20д2%20к2%20с1%20УК%20300</v>
      </c>
      <c r="J386" s="50">
        <f>IFERROR(__xludf.DUMMYFUNCTION("""COMPUTED_VALUE"""),64.03155)</f>
        <v>64.03155</v>
      </c>
      <c r="K386" s="58">
        <f>IFERROR(__xludf.DUMMYFUNCTION("""COMPUTED_VALUE"""),45972.0)</f>
        <v>45972</v>
      </c>
      <c r="L386" s="6">
        <v>14.0</v>
      </c>
      <c r="M386" s="52">
        <v>45986.0</v>
      </c>
      <c r="N386" s="53" t="s">
        <v>711</v>
      </c>
      <c r="O386" s="19" t="s">
        <v>880</v>
      </c>
      <c r="P386" s="6"/>
      <c r="Q386" s="6" t="str">
        <f t="shared" si="1"/>
        <v>#N/A</v>
      </c>
      <c r="R386" s="6"/>
    </row>
    <row r="387" hidden="1">
      <c r="A387" s="31" t="str">
        <f>IFERROR(__xludf.DUMMYFUNCTION("""COMPUTED_VALUE"""),"288")</f>
        <v>288</v>
      </c>
      <c r="B387" s="14" t="str">
        <f>IFERROR(__xludf.DUMMYFUNCTION("""COMPUTED_VALUE"""),"АИП-26")</f>
        <v>АИП-26</v>
      </c>
      <c r="C387" s="14" t="str">
        <f>IFERROR(__xludf.DUMMYFUNCTION("""COMPUTED_VALUE"""),"ОКС")</f>
        <v>ОКС</v>
      </c>
      <c r="D387" s="15"/>
      <c r="E387" s="14" t="str">
        <f>IFERROR(__xludf.DUMMYFUNCTION("""COMPUTED_VALUE"""),"Школа на 825 мест р-н Бирюлево Восточное, ул. 6-я Радиальная, влд. 7, участок 18")</f>
        <v>Школа на 825 мест р-н Бирюлево Восточное, ул. 6-я Радиальная, влд. 7, участок 18</v>
      </c>
      <c r="F387" s="25" t="str">
        <f>IFERROR(__xludf.DUMMYFUNCTION("""COMPUTED_VALUE"""),"55.605921686896686")</f>
        <v>55.605921686896686</v>
      </c>
      <c r="G387" s="6" t="str">
        <f>IFERROR(__xludf.DUMMYFUNCTION("""COMPUTED_VALUE"""),"37.667039820189274")</f>
        <v>37.667039820189274</v>
      </c>
      <c r="H387" s="18" t="str">
        <f>IFERROR(__xludf.DUMMYFUNCTION("""COMPUTED_VALUE"""),"https://docs.google.com/spreadsheets/d/19THEBTE9q0fhN2eApZr6BgenIvLGh0AckaYxHQfHk5w/edit?gid=1865118876#gid=1865118876")</f>
        <v>https://docs.google.com/spreadsheets/d/19THEBTE9q0fhN2eApZr6BgenIvLGh0AckaYxHQfHk5w/edit?gid=1865118876#gid=1865118876</v>
      </c>
      <c r="I387" s="21" t="str">
        <f>IFERROR(__xludf.DUMMYFUNCTION("""COMPUTED_VALUE"""),"https://disk.yandex.ru/client/disk/%D0%9E%D1%81%D0%BC%D0%BE%D1%82%D1%80%D1%8B%20%D0%BE%D0%B1%D1%8A%D0%B5%D0%BA%D1%82%D0%BE%D0%B2%20%D0%90%D0%9D%D0%9E%20%D0%A1%D0%9C%D0%93/288.%206-%D1%8F%20%D0%A0%D0%B0%D0%B4%D0%B8%D0%B0%D0%BB%D1%8C%D0%BD%D0%B0%D1%8F%20%D0"&amp;"%B2%D0%BB%D0%B4.7%20%D1%83%D1%87%D0%B0%D1%81%D1%82%D0%BE%D0%BA%2018%20%D0%A8%D0%BA%D0%BE%D0%BB%D0%B0%20%D0%BD%D0%B0%20825%20%D0%BC%D0%B5%D1%81%D1%82")</f>
        <v>https://disk.yandex.ru/client/disk/%D0%9E%D1%81%D0%BC%D0%BE%D1%82%D1%80%D1%8B%20%D0%BE%D0%B1%D1%8A%D0%B5%D0%BA%D1%82%D0%BE%D0%B2%20%D0%90%D0%9D%D0%9E%20%D0%A1%D0%9C%D0%93/288.%206-%D1%8F%20%D0%A0%D0%B0%D0%B4%D0%B8%D0%B0%D0%BB%D1%8C%D0%BD%D0%B0%D1%8F%20%D0%B2%D0%BB%D0%B4.7%20%D1%83%D1%87%D0%B0%D1%81%D1%82%D0%BE%D0%BA%2018%20%D0%A8%D0%BA%D0%BE%D0%BB%D0%B0%20%D0%BD%D0%B0%20825%20%D0%BC%D0%B5%D1%81%D1%82</v>
      </c>
      <c r="J387" s="50">
        <f>IFERROR(__xludf.DUMMYFUNCTION("""COMPUTED_VALUE"""),72.21346750000001)</f>
        <v>72.2134675</v>
      </c>
      <c r="K387" s="58">
        <f>IFERROR(__xludf.DUMMYFUNCTION("""COMPUTED_VALUE"""),45972.0)</f>
        <v>45972</v>
      </c>
      <c r="L387" s="6">
        <v>14.0</v>
      </c>
      <c r="M387" s="52">
        <v>45986.0</v>
      </c>
      <c r="N387" s="53" t="s">
        <v>711</v>
      </c>
      <c r="O387" s="19" t="s">
        <v>881</v>
      </c>
      <c r="P387" s="6"/>
      <c r="Q387" s="6" t="str">
        <f t="shared" si="1"/>
        <v>#N/A</v>
      </c>
      <c r="R387" s="6"/>
    </row>
    <row r="388" hidden="1">
      <c r="A388" s="70" t="str">
        <f>IFERROR(__xludf.DUMMYFUNCTION("""COMPUTED_VALUE"""),"1150д (этап 1)")</f>
        <v>1150д (этап 1)</v>
      </c>
      <c r="B388" s="14" t="str">
        <f>IFERROR(__xludf.DUMMYFUNCTION("""COMPUTED_VALUE"""),"АИП-26")</f>
        <v>АИП-26</v>
      </c>
      <c r="C388" s="14" t="str">
        <f>IFERROR(__xludf.DUMMYFUNCTION("""COMPUTED_VALUE"""),"ОКС+УДС")</f>
        <v>ОКС+УДС</v>
      </c>
      <c r="D388" s="15"/>
      <c r="E388"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1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1 Нарофоминский г.о. Московской обл.</v>
      </c>
      <c r="F388" s="25" t="str">
        <f>IFERROR(__xludf.DUMMYFUNCTION("""COMPUTED_VALUE"""),"55.3235038033209")</f>
        <v>55.3235038033209</v>
      </c>
      <c r="G388" s="6" t="str">
        <f>IFERROR(__xludf.DUMMYFUNCTION("""COMPUTED_VALUE"""),"35.963989539426755")</f>
        <v>35.963989539426755</v>
      </c>
      <c r="H388" s="6"/>
      <c r="I388" s="6"/>
      <c r="J388" s="50">
        <f>IFERROR(__xludf.DUMMYFUNCTION("""COMPUTED_VALUE"""),82.80000000000001)</f>
        <v>82.8</v>
      </c>
      <c r="K388" s="58">
        <f>IFERROR(__xludf.DUMMYFUNCTION("""COMPUTED_VALUE"""),45894.0)</f>
        <v>45894</v>
      </c>
      <c r="L388" s="6">
        <v>14.0</v>
      </c>
      <c r="M388" s="52">
        <v>45908.0</v>
      </c>
      <c r="N388" s="53" t="s">
        <v>668</v>
      </c>
      <c r="O388" s="6" t="s">
        <v>882</v>
      </c>
      <c r="P388" s="6"/>
      <c r="Q388" s="6" t="str">
        <f t="shared" si="1"/>
        <v>#N/A</v>
      </c>
      <c r="R388" s="6"/>
    </row>
    <row r="389" hidden="1">
      <c r="A389" s="70" t="str">
        <f>IFERROR(__xludf.DUMMYFUNCTION("""COMPUTED_VALUE"""),"1150д (этап 2)")</f>
        <v>1150д (этап 2)</v>
      </c>
      <c r="B389" s="14" t="str">
        <f>IFERROR(__xludf.DUMMYFUNCTION("""COMPUTED_VALUE"""),"АИП-26")</f>
        <v>АИП-26</v>
      </c>
      <c r="C389" s="14" t="str">
        <f>IFERROR(__xludf.DUMMYFUNCTION("""COMPUTED_VALUE"""),"ОКС+УДС")</f>
        <v>ОКС+УДС</v>
      </c>
      <c r="D389" s="15"/>
      <c r="E389"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2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2 Нарофоминский г.о. Московской обл.</v>
      </c>
      <c r="F389" s="25" t="str">
        <f>IFERROR(__xludf.DUMMYFUNCTION("""COMPUTED_VALUE"""),"55.3235038033209")</f>
        <v>55.3235038033209</v>
      </c>
      <c r="G389" s="6" t="str">
        <f>IFERROR(__xludf.DUMMYFUNCTION("""COMPUTED_VALUE"""),"35.963989539426755")</f>
        <v>35.963989539426755</v>
      </c>
      <c r="H389" s="6"/>
      <c r="I389" s="6"/>
      <c r="J389" s="50">
        <f>IFERROR(__xludf.DUMMYFUNCTION("""COMPUTED_VALUE"""),81.30000000000001)</f>
        <v>81.3</v>
      </c>
      <c r="K389" s="58">
        <f>IFERROR(__xludf.DUMMYFUNCTION("""COMPUTED_VALUE"""),45894.0)</f>
        <v>45894</v>
      </c>
      <c r="L389" s="6">
        <v>14.0</v>
      </c>
      <c r="M389" s="52">
        <v>45908.0</v>
      </c>
      <c r="N389" s="53" t="s">
        <v>668</v>
      </c>
      <c r="O389" s="6" t="s">
        <v>882</v>
      </c>
      <c r="P389" s="6"/>
      <c r="Q389" s="6" t="str">
        <f t="shared" si="1"/>
        <v>#N/A</v>
      </c>
      <c r="R389" s="6"/>
    </row>
    <row r="390" hidden="1">
      <c r="A390" s="70" t="str">
        <f>IFERROR(__xludf.DUMMYFUNCTION("""COMPUTED_VALUE"""),"1150д (этап 3)")</f>
        <v>1150д (этап 3)</v>
      </c>
      <c r="B390" s="14" t="str">
        <f>IFERROR(__xludf.DUMMYFUNCTION("""COMPUTED_VALUE"""),"АИП-26")</f>
        <v>АИП-26</v>
      </c>
      <c r="C390" s="14" t="str">
        <f>IFERROR(__xludf.DUMMYFUNCTION("""COMPUTED_VALUE"""),"ОКС+УДС")</f>
        <v>ОКС+УДС</v>
      </c>
      <c r="D390" s="15"/>
      <c r="E390" s="14" t="str">
        <f>IFERROR(__xludf.DUMMYFUNCTION("""COMPUTED_VALUE"""),"Строительство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Нарофоминск"&amp;"ого г.о. Московской обл. (1,2,3,4,5 этапы) Этап 3 Нарофоминский г.о. Московской обл.")</f>
        <v>Строительство подъездной автомобильной дороги к садоводческим некоммерческим товариществам "Василек", "Ромашка", "Квант 88", "Флора", "Дубовка", "Алесь 2002", "Южное", "Архангельское 1", "Архангельское 2", "Архангельское 3" Нарофоминского г.о. Московской обл. (1,2,3,4,5 этапы) Этап 3 Нарофоминский г.о. Московской обл.</v>
      </c>
      <c r="F390" s="25" t="str">
        <f>IFERROR(__xludf.DUMMYFUNCTION("""COMPUTED_VALUE"""),"55.3235038033209")</f>
        <v>55.3235038033209</v>
      </c>
      <c r="G390" s="6" t="str">
        <f>IFERROR(__xludf.DUMMYFUNCTION("""COMPUTED_VALUE"""),"35.963989539426755")</f>
        <v>35.963989539426755</v>
      </c>
      <c r="H390" s="6"/>
      <c r="I390" s="6"/>
      <c r="J390" s="50">
        <f>IFERROR(__xludf.DUMMYFUNCTION("""COMPUTED_VALUE"""),81.30000000000001)</f>
        <v>81.3</v>
      </c>
      <c r="K390" s="58">
        <f>IFERROR(__xludf.DUMMYFUNCTION("""COMPUTED_VALUE"""),45894.0)</f>
        <v>45894</v>
      </c>
      <c r="L390" s="6">
        <v>14.0</v>
      </c>
      <c r="M390" s="52">
        <v>45908.0</v>
      </c>
      <c r="N390" s="53" t="s">
        <v>668</v>
      </c>
      <c r="O390" s="6" t="s">
        <v>882</v>
      </c>
      <c r="P390" s="6"/>
      <c r="Q390" s="6" t="str">
        <f t="shared" si="1"/>
        <v>#N/A</v>
      </c>
      <c r="R390" s="6"/>
    </row>
    <row r="391" hidden="1">
      <c r="A391" s="31" t="str">
        <f>IFERROR(__xludf.DUMMYFUNCTION("""COMPUTED_VALUE"""),"021")</f>
        <v>021</v>
      </c>
      <c r="B391" s="14" t="str">
        <f>IFERROR(__xludf.DUMMYFUNCTION("""COMPUTED_VALUE"""),"АИП-26")</f>
        <v>АИП-26</v>
      </c>
      <c r="C391" s="14" t="str">
        <f>IFERROR(__xludf.DUMMYFUNCTION("""COMPUTED_VALUE"""),"ОКС")</f>
        <v>ОКС</v>
      </c>
      <c r="D391" s="15"/>
      <c r="E391" s="14" t="str">
        <f>IFERROR(__xludf.DUMMYFUNCTION("""COMPUTED_VALUE"""),"Дошкольное отделение на 300 мест с бассейном, пос. Московский, вблизи д. Лапшинка поселение Московский, вблизи дер. Лапшинка")</f>
        <v>Дошкольное отделение на 300 мест с бассейном, пос. Московский, вблизи д. Лапшинка поселение Московский, вблизи дер. Лапшинка</v>
      </c>
      <c r="F391" s="25" t="str">
        <f>IFERROR(__xludf.DUMMYFUNCTION("""COMPUTED_VALUE"""),"55.62025314949007")</f>
        <v>55.62025314949007</v>
      </c>
      <c r="G391" s="6" t="str">
        <f>IFERROR(__xludf.DUMMYFUNCTION("""COMPUTED_VALUE"""),"37.30968234127762")</f>
        <v>37.30968234127762</v>
      </c>
      <c r="H391" s="18" t="str">
        <f>IFERROR(__xludf.DUMMYFUNCTION("""COMPUTED_VALUE"""),"https://docs.google.com/spreadsheets/d/19THEBTE9q0fhN2eApZr6BgenIvLGh0AckaYxHQfHk5w/edit?gid=540806573#gid=540806573")</f>
        <v>https://docs.google.com/spreadsheets/d/19THEBTE9q0fhN2eApZr6BgenIvLGh0AckaYxHQfHk5w/edit?gid=540806573#gid=540806573</v>
      </c>
      <c r="I391" s="19" t="str">
        <f>IFERROR(__xludf.DUMMYFUNCTION("""COMPUTED_VALUE"""),"https://disk.yandex.ru/client/disk/Осмотры%20объектов%20АНО%20СМГ/021.%20ДОУ%20300%20д.Лапшинка")</f>
        <v>https://disk.yandex.ru/client/disk/Осмотры%20объектов%20АНО%20СМГ/021.%20ДОУ%20300%20д.Лапшинка</v>
      </c>
      <c r="J391" s="50">
        <f>IFERROR(__xludf.DUMMYFUNCTION("""COMPUTED_VALUE"""),0.5760000000000001)</f>
        <v>0.576</v>
      </c>
      <c r="K391" s="58">
        <f>IFERROR(__xludf.DUMMYFUNCTION("""COMPUTED_VALUE"""),45951.0)</f>
        <v>45951</v>
      </c>
      <c r="L391" s="6">
        <v>30.0</v>
      </c>
      <c r="M391" s="52">
        <v>45981.0</v>
      </c>
      <c r="N391" s="53" t="s">
        <v>701</v>
      </c>
      <c r="O391" s="19" t="s">
        <v>883</v>
      </c>
      <c r="P391" s="6"/>
      <c r="Q391" s="6" t="str">
        <f t="shared" si="1"/>
        <v>#N/A</v>
      </c>
      <c r="R391" s="6"/>
    </row>
    <row r="392" hidden="1">
      <c r="A392" s="31" t="str">
        <f>IFERROR(__xludf.DUMMYFUNCTION("""COMPUTED_VALUE"""),"374д")</f>
        <v>374д</v>
      </c>
      <c r="B392" s="14" t="str">
        <f>IFERROR(__xludf.DUMMYFUNCTION("""COMPUTED_VALUE"""),"АИП-26")</f>
        <v>АИП-26</v>
      </c>
      <c r="C392" s="14" t="str">
        <f>IFERROR(__xludf.DUMMYFUNCTION("""COMPUTED_VALUE"""),"УДС")</f>
        <v>УДС</v>
      </c>
      <c r="D392" s="15"/>
      <c r="E392" s="14" t="str">
        <f>IFERROR(__xludf.DUMMYFUNCTION("""COMPUTED_VALUE"""),"Строительство искусственного сооружения через железнодорожные пути, соединяющего ул. Костромскую и Юрловский пр-д от ул. Костромская до Юрловского проезда, через Казеевский пер.")</f>
        <v>Строительство искусственного сооружения через железнодорожные пути, соединяющего ул. Костромскую и Юрловский пр-д от ул. Костромская до Юрловского проезда, через Казеевский пер.</v>
      </c>
      <c r="F392" s="25" t="str">
        <f>IFERROR(__xludf.DUMMYFUNCTION("""COMPUTED_VALUE"""),"#N/A")</f>
        <v>#N/A</v>
      </c>
      <c r="G392" s="6" t="str">
        <f>IFERROR(__xludf.DUMMYFUNCTION("""COMPUTED_VALUE"""),"#N/A")</f>
        <v>#N/A</v>
      </c>
      <c r="H392" s="6"/>
      <c r="I392" s="6"/>
      <c r="J392" s="50">
        <f>IFERROR(__xludf.DUMMYFUNCTION("""COMPUTED_VALUE"""),61.025439999999996)</f>
        <v>61.02544</v>
      </c>
      <c r="K392" s="58">
        <f>IFERROR(__xludf.DUMMYFUNCTION("""COMPUTED_VALUE"""),45972.0)</f>
        <v>45972</v>
      </c>
      <c r="L392" s="6">
        <v>14.0</v>
      </c>
      <c r="M392" s="52">
        <v>45986.0</v>
      </c>
      <c r="N392" s="53" t="s">
        <v>711</v>
      </c>
      <c r="O392" s="6" t="s">
        <v>884</v>
      </c>
      <c r="P392" s="6"/>
      <c r="Q392" s="6" t="str">
        <f t="shared" si="1"/>
        <v>#N/A</v>
      </c>
      <c r="R392" s="6"/>
    </row>
    <row r="393" hidden="1">
      <c r="A393" s="31" t="str">
        <f>IFERROR(__xludf.DUMMYFUNCTION("""COMPUTED_VALUE"""),"226д (сводный)")</f>
        <v>226д (сводный)</v>
      </c>
      <c r="B393" s="14" t="str">
        <f>IFERROR(__xludf.DUMMYFUNCTION("""COMPUTED_VALUE"""),"АИП-26")</f>
        <v>АИП-26</v>
      </c>
      <c r="C393" s="14" t="str">
        <f>IFERROR(__xludf.DUMMYFUNCTION("""COMPUTED_VALUE"""),"УДС")</f>
        <v>УДС</v>
      </c>
      <c r="D393" s="15"/>
      <c r="E393"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3,4"&amp;",4.1.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3,4,4.1. ул. Сельскохозяйственная, ул. Вильгельма Пика, ул. Декабристов</v>
      </c>
      <c r="F393" s="25" t="str">
        <f>IFERROR(__xludf.DUMMYFUNCTION("""COMPUTED_VALUE"""),"#N/A")</f>
        <v>#N/A</v>
      </c>
      <c r="G393" s="6" t="str">
        <f>IFERROR(__xludf.DUMMYFUNCTION("""COMPUTED_VALUE"""),"#N/A")</f>
        <v>#N/A</v>
      </c>
      <c r="H393" s="6"/>
      <c r="I393" s="6"/>
      <c r="J393" s="50"/>
      <c r="K393" s="58"/>
      <c r="L393" s="6">
        <v>30.0</v>
      </c>
      <c r="M393" s="52" t="s">
        <v>655</v>
      </c>
      <c r="N393" s="53" t="s">
        <v>698</v>
      </c>
      <c r="O393" s="6"/>
      <c r="P393" s="6"/>
      <c r="Q393" s="6" t="str">
        <f t="shared" si="1"/>
        <v>#N/A</v>
      </c>
      <c r="R393" s="6"/>
    </row>
    <row r="394" hidden="1">
      <c r="A394" s="31" t="str">
        <f>IFERROR(__xludf.DUMMYFUNCTION("""COMPUTED_VALUE"""),"226д (этап 3)")</f>
        <v>226д (этап 3)</v>
      </c>
      <c r="B394" s="14"/>
      <c r="C394" s="14" t="str">
        <f>IFERROR(__xludf.DUMMYFUNCTION("""COMPUTED_VALUE"""),"УДС")</f>
        <v>УДС</v>
      </c>
      <c r="D394" s="15"/>
      <c r="E394"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 у"&amp;"л.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 ул. Сельскохозяйственная, ул. Вильгельма Пика, ул. Декабристов</v>
      </c>
      <c r="F394" s="25" t="str">
        <f>IFERROR(__xludf.DUMMYFUNCTION("""COMPUTED_VALUE"""),"#N/A")</f>
        <v>#N/A</v>
      </c>
      <c r="G394" s="6" t="str">
        <f>IFERROR(__xludf.DUMMYFUNCTION("""COMPUTED_VALUE"""),"#N/A")</f>
        <v>#N/A</v>
      </c>
      <c r="H394" s="6"/>
      <c r="I394" s="6"/>
      <c r="J394" s="50"/>
      <c r="K394" s="58"/>
      <c r="L394" s="6">
        <v>30.0</v>
      </c>
      <c r="M394" s="52" t="s">
        <v>655</v>
      </c>
      <c r="N394" s="53" t="s">
        <v>698</v>
      </c>
      <c r="O394" s="6" t="s">
        <v>885</v>
      </c>
      <c r="P394" s="6"/>
      <c r="Q394" s="6" t="str">
        <f t="shared" si="1"/>
        <v>#N/A</v>
      </c>
      <c r="R394" s="6"/>
    </row>
    <row r="395" hidden="1">
      <c r="A395" s="31" t="str">
        <f>IFERROR(__xludf.DUMMYFUNCTION("""COMPUTED_VALUE"""),"226д (этап 4)")</f>
        <v>226д (этап 4)</v>
      </c>
      <c r="B395" s="14"/>
      <c r="C395" s="14" t="str">
        <f>IFERROR(__xludf.DUMMYFUNCTION("""COMPUTED_VALUE"""),"УДС")</f>
        <v>УДС</v>
      </c>
      <c r="D395" s="15"/>
      <c r="E395"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3,4"&amp;",4.1.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3,4,4.1. ул. Сельскохозяйственная, ул. Вильгельма Пика, ул. Декабристов</v>
      </c>
      <c r="F395" s="25" t="str">
        <f>IFERROR(__xludf.DUMMYFUNCTION("""COMPUTED_VALUE"""),"#N/A")</f>
        <v>#N/A</v>
      </c>
      <c r="G395" s="6" t="str">
        <f>IFERROR(__xludf.DUMMYFUNCTION("""COMPUTED_VALUE"""),"#N/A")</f>
        <v>#N/A</v>
      </c>
      <c r="H395" s="6"/>
      <c r="I395" s="6"/>
      <c r="J395" s="50"/>
      <c r="K395" s="58"/>
      <c r="L395" s="6">
        <v>30.0</v>
      </c>
      <c r="M395" s="52" t="s">
        <v>655</v>
      </c>
      <c r="N395" s="53" t="s">
        <v>698</v>
      </c>
      <c r="O395" s="6" t="s">
        <v>885</v>
      </c>
      <c r="P395" s="6"/>
      <c r="Q395" s="6" t="str">
        <f t="shared" si="1"/>
        <v>#N/A</v>
      </c>
      <c r="R395" s="6"/>
    </row>
    <row r="396" hidden="1">
      <c r="A396" s="31" t="str">
        <f>IFERROR(__xludf.DUMMYFUNCTION("""COMPUTED_VALUE"""),"226д (этап 4.1)")</f>
        <v>226д (этап 4.1)</v>
      </c>
      <c r="B396" s="14"/>
      <c r="C396" s="14" t="str">
        <f>IFERROR(__xludf.DUMMYFUNCTION("""COMPUTED_VALUE"""),"УДС")</f>
        <v>УДС</v>
      </c>
      <c r="D396" s="15"/>
      <c r="E396" s="14" t="str">
        <f>IFERROR(__xludf.DUMMYFUNCTION("""COMPUTED_VALUE"""),"Мостовые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4.1"&amp;" ул. Сельскохозяйственная, ул. Вильгельма Пика, ул. Декабристов")</f>
        <v>Мостовые сооружения через р. Лихоборку, р. Яузу, внеуличные пешеходные переходы, переустройство инженерных сетей и коммуникаций, с реконструкцией ул. Сельскохозяйственная, ул. Вильгельма Пика, ул. Декабристов, обеспечивающих их функционирование. Этапы 4.1 ул. Сельскохозяйственная, ул. Вильгельма Пика, ул. Декабристов</v>
      </c>
      <c r="F396" s="25" t="str">
        <f>IFERROR(__xludf.DUMMYFUNCTION("""COMPUTED_VALUE"""),"#N/A")</f>
        <v>#N/A</v>
      </c>
      <c r="G396" s="6" t="str">
        <f>IFERROR(__xludf.DUMMYFUNCTION("""COMPUTED_VALUE"""),"#N/A")</f>
        <v>#N/A</v>
      </c>
      <c r="H396" s="6"/>
      <c r="I396" s="6"/>
      <c r="J396" s="50"/>
      <c r="K396" s="58"/>
      <c r="L396" s="6">
        <v>30.0</v>
      </c>
      <c r="M396" s="52" t="s">
        <v>655</v>
      </c>
      <c r="N396" s="53" t="s">
        <v>698</v>
      </c>
      <c r="O396" s="6" t="s">
        <v>885</v>
      </c>
      <c r="P396" s="6"/>
      <c r="Q396" s="6" t="str">
        <f t="shared" si="1"/>
        <v>#N/A</v>
      </c>
      <c r="R396" s="6"/>
    </row>
    <row r="397" hidden="1">
      <c r="A397" s="31" t="str">
        <f>IFERROR(__xludf.DUMMYFUNCTION("""COMPUTED_VALUE"""),"1153д (этап 5.1.3)")</f>
        <v>1153д (этап 5.1.3)</v>
      </c>
      <c r="B397" s="14"/>
      <c r="C397" s="14" t="str">
        <f>IFERROR(__xludf.DUMMYFUNCTION("""COMPUTED_VALUE"""),"УДС")</f>
        <v>УДС</v>
      </c>
      <c r="D397" s="15"/>
      <c r="E397" s="14" t="str">
        <f>IFERROR(__xludf.DUMMYFUNCTION("""COMPUTED_VALUE"""),"РВУ ""Станиславль"" этап 5.1.3 п.Десеновское")</f>
        <v>РВУ "Станиславль" этап 5.1.3 п.Десеновское</v>
      </c>
      <c r="F397" s="25" t="str">
        <f>IFERROR(__xludf.DUMMYFUNCTION("""COMPUTED_VALUE"""),"55.523077578675746")</f>
        <v>55.523077578675746</v>
      </c>
      <c r="G397" s="6" t="str">
        <f>IFERROR(__xludf.DUMMYFUNCTION("""COMPUTED_VALUE"""),"37.38505719530739")</f>
        <v>37.38505719530739</v>
      </c>
      <c r="H397" s="6"/>
      <c r="I397" s="6"/>
      <c r="J397" s="50">
        <f>IFERROR(__xludf.DUMMYFUNCTION("""COMPUTED_VALUE"""),100.0)</f>
        <v>100</v>
      </c>
      <c r="K397" s="58">
        <f>IFERROR(__xludf.DUMMYFUNCTION("""COMPUTED_VALUE"""),45887.0)</f>
        <v>45887</v>
      </c>
      <c r="L397" s="6" t="s">
        <v>654</v>
      </c>
      <c r="M397" s="52" t="s">
        <v>655</v>
      </c>
      <c r="N397" s="53" t="s">
        <v>656</v>
      </c>
      <c r="O397" s="6" t="s">
        <v>886</v>
      </c>
      <c r="P397" s="6"/>
      <c r="Q397" s="6" t="str">
        <f t="shared" si="1"/>
        <v>#N/A</v>
      </c>
      <c r="R397" s="6"/>
    </row>
    <row r="398" hidden="1">
      <c r="A398" s="31" t="str">
        <f>IFERROR(__xludf.DUMMYFUNCTION("""COMPUTED_VALUE"""),"1153д (этап 1)")</f>
        <v>1153д (этап 1)</v>
      </c>
      <c r="B398" s="14" t="str">
        <f>IFERROR(__xludf.DUMMYFUNCTION("""COMPUTED_VALUE"""),"АИП-26")</f>
        <v>АИП-26</v>
      </c>
      <c r="C398" s="14" t="str">
        <f>IFERROR(__xludf.DUMMYFUNCTION("""COMPUTED_VALUE"""),"УДС")</f>
        <v>УДС</v>
      </c>
      <c r="D398" s="15"/>
      <c r="E398" s="14" t="str">
        <f>IFERROR(__xludf.DUMMYFUNCTION("""COMPUTED_VALUE"""),"РВУ ""Станиславль"" этап 1 п.Десеновское")</f>
        <v>РВУ "Станиславль" этап 1 п.Десеновское</v>
      </c>
      <c r="F398" s="25" t="str">
        <f>IFERROR(__xludf.DUMMYFUNCTION("""COMPUTED_VALUE"""),"55.523077578675746")</f>
        <v>55.523077578675746</v>
      </c>
      <c r="G398" s="6" t="str">
        <f>IFERROR(__xludf.DUMMYFUNCTION("""COMPUTED_VALUE"""),"37.38505719530739")</f>
        <v>37.38505719530739</v>
      </c>
      <c r="H398" s="6"/>
      <c r="I398" s="6"/>
      <c r="J398" s="50">
        <f>IFERROR(__xludf.DUMMYFUNCTION("""COMPUTED_VALUE"""),74.26239500000001)</f>
        <v>74.262395</v>
      </c>
      <c r="K398" s="58">
        <f>IFERROR(__xludf.DUMMYFUNCTION("""COMPUTED_VALUE"""),45954.0)</f>
        <v>45954</v>
      </c>
      <c r="L398" s="6">
        <v>14.0</v>
      </c>
      <c r="M398" s="52">
        <v>45968.0</v>
      </c>
      <c r="N398" s="53" t="s">
        <v>668</v>
      </c>
      <c r="O398" s="6" t="s">
        <v>886</v>
      </c>
      <c r="P398" s="6"/>
      <c r="Q398" s="6" t="str">
        <f t="shared" si="1"/>
        <v>#N/A</v>
      </c>
      <c r="R398" s="6"/>
    </row>
    <row r="399" hidden="1">
      <c r="A399" s="31" t="str">
        <f>IFERROR(__xludf.DUMMYFUNCTION("""COMPUTED_VALUE"""),"1153д (этап 2)")</f>
        <v>1153д (этап 2)</v>
      </c>
      <c r="B399" s="14" t="str">
        <f>IFERROR(__xludf.DUMMYFUNCTION("""COMPUTED_VALUE"""),"АИП-26")</f>
        <v>АИП-26</v>
      </c>
      <c r="C399" s="14" t="str">
        <f>IFERROR(__xludf.DUMMYFUNCTION("""COMPUTED_VALUE"""),"УДС")</f>
        <v>УДС</v>
      </c>
      <c r="D399" s="15"/>
      <c r="E399" s="14" t="str">
        <f>IFERROR(__xludf.DUMMYFUNCTION("""COMPUTED_VALUE"""),"РВУ ""Станиславль"" этап 2 п.Десеновское")</f>
        <v>РВУ "Станиславль" этап 2 п.Десеновское</v>
      </c>
      <c r="F399" s="25" t="str">
        <f>IFERROR(__xludf.DUMMYFUNCTION("""COMPUTED_VALUE"""),"55.523077578675746")</f>
        <v>55.523077578675746</v>
      </c>
      <c r="G399" s="6" t="str">
        <f>IFERROR(__xludf.DUMMYFUNCTION("""COMPUTED_VALUE"""),"37.38505719530739")</f>
        <v>37.38505719530739</v>
      </c>
      <c r="H399" s="6"/>
      <c r="I399" s="6"/>
      <c r="J399" s="50">
        <f>IFERROR(__xludf.DUMMYFUNCTION("""COMPUTED_VALUE"""),82.625)</f>
        <v>82.625</v>
      </c>
      <c r="K399" s="58">
        <f>IFERROR(__xludf.DUMMYFUNCTION("""COMPUTED_VALUE"""),45954.0)</f>
        <v>45954</v>
      </c>
      <c r="L399" s="6">
        <v>14.0</v>
      </c>
      <c r="M399" s="52">
        <v>45968.0</v>
      </c>
      <c r="N399" s="53" t="s">
        <v>668</v>
      </c>
      <c r="O399" s="6" t="s">
        <v>886</v>
      </c>
      <c r="P399" s="6"/>
      <c r="Q399" s="6" t="str">
        <f t="shared" si="1"/>
        <v>#N/A</v>
      </c>
      <c r="R399" s="6"/>
    </row>
    <row r="400" hidden="1">
      <c r="A400" s="31" t="str">
        <f>IFERROR(__xludf.DUMMYFUNCTION("""COMPUTED_VALUE"""),"286д (сводный)")</f>
        <v>286д (сводный)</v>
      </c>
      <c r="B400" s="14" t="str">
        <f>IFERROR(__xludf.DUMMYFUNCTION("""COMPUTED_VALUE"""),"АИП-26")</f>
        <v>АИП-26</v>
      </c>
      <c r="C400" s="14" t="str">
        <f>IFERROR(__xludf.DUMMYFUNCTION("""COMPUTED_VALUE"""),"УДС")</f>
        <v>УДС</v>
      </c>
      <c r="D400" s="15"/>
      <c r="E400"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1.3. ")</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1.3. </v>
      </c>
      <c r="F400" s="25" t="str">
        <f>IFERROR(__xludf.DUMMYFUNCTION("""COMPUTED_VALUE"""),"#N/A")</f>
        <v>#N/A</v>
      </c>
      <c r="G400" s="6" t="str">
        <f>IFERROR(__xludf.DUMMYFUNCTION("""COMPUTED_VALUE"""),"#N/A")</f>
        <v>#N/A</v>
      </c>
      <c r="H400" s="6"/>
      <c r="I400" s="6"/>
      <c r="J400" s="50"/>
      <c r="K400" s="58"/>
      <c r="L400" s="6">
        <v>30.0</v>
      </c>
      <c r="M400" s="52" t="s">
        <v>655</v>
      </c>
      <c r="N400" s="53" t="s">
        <v>698</v>
      </c>
      <c r="O400" s="6"/>
      <c r="P400" s="6"/>
      <c r="Q400" s="6" t="str">
        <f t="shared" si="1"/>
        <v>#N/A</v>
      </c>
      <c r="R400" s="6"/>
    </row>
    <row r="401" hidden="1">
      <c r="A401" s="31" t="str">
        <f>IFERROR(__xludf.DUMMYFUNCTION("""COMPUTED_VALUE"""),"286д (этап 1.1.2)")</f>
        <v>286д (этап 1.1.2)</v>
      </c>
      <c r="B401" s="14"/>
      <c r="C401" s="14" t="str">
        <f>IFERROR(__xludf.DUMMYFUNCTION("""COMPUTED_VALUE"""),"УДС")</f>
        <v>УДС</v>
      </c>
      <c r="D401" s="15"/>
      <c r="E401"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Кутузовское шоссе, Середниковская улица и улица Дмитрия Разумовского")</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1.1.2 Кутузовское шоссе, Середниковская улица и улица Дмитрия Разумовского</v>
      </c>
      <c r="F401" s="25" t="str">
        <f>IFERROR(__xludf.DUMMYFUNCTION("""COMPUTED_VALUE"""),"#N/A")</f>
        <v>#N/A</v>
      </c>
      <c r="G401" s="6" t="str">
        <f>IFERROR(__xludf.DUMMYFUNCTION("""COMPUTED_VALUE"""),"#N/A")</f>
        <v>#N/A</v>
      </c>
      <c r="H401" s="6"/>
      <c r="I401" s="6"/>
      <c r="J401" s="50"/>
      <c r="K401" s="58"/>
      <c r="L401" s="6">
        <v>30.0</v>
      </c>
      <c r="M401" s="52" t="s">
        <v>655</v>
      </c>
      <c r="N401" s="53" t="s">
        <v>698</v>
      </c>
      <c r="O401" s="6" t="s">
        <v>887</v>
      </c>
      <c r="P401" s="6"/>
      <c r="Q401" s="6" t="str">
        <f t="shared" si="1"/>
        <v>#N/A</v>
      </c>
      <c r="R401" s="6"/>
    </row>
    <row r="402" hidden="1">
      <c r="A402" s="31" t="str">
        <f>IFERROR(__xludf.DUMMYFUNCTION("""COMPUTED_VALUE"""),"286д (этап 1.3)")</f>
        <v>286д (этап 1.3)</v>
      </c>
      <c r="B402" s="14"/>
      <c r="C402" s="14" t="str">
        <f>IFERROR(__xludf.DUMMYFUNCTION("""COMPUTED_VALUE"""),"УДС")</f>
        <v>УДС</v>
      </c>
      <c r="D402" s="15"/>
      <c r="E402" s="14" t="str">
        <f>IFERROR(__xludf.DUMMYFUNCTION("""COMPUTED_VALUE"""),"Строительство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1.3 Кутузовское шоссе, Середниковская улица и улица Дмитрия Разумовского")</f>
        <v>Строительство улично-дорожной сети для транспортного обслуживания территории, ограниченной Кутузовским шоссе, Середниковской улицей и улицей Дмитрия Разумовского. Этапы 1.3 Кутузовское шоссе, Середниковская улица и улица Дмитрия Разумовского</v>
      </c>
      <c r="F402" s="25" t="str">
        <f>IFERROR(__xludf.DUMMYFUNCTION("""COMPUTED_VALUE"""),"#N/A")</f>
        <v>#N/A</v>
      </c>
      <c r="G402" s="6" t="str">
        <f>IFERROR(__xludf.DUMMYFUNCTION("""COMPUTED_VALUE"""),"#N/A")</f>
        <v>#N/A</v>
      </c>
      <c r="H402" s="6"/>
      <c r="I402" s="6"/>
      <c r="J402" s="50"/>
      <c r="K402" s="58"/>
      <c r="L402" s="6">
        <v>30.0</v>
      </c>
      <c r="M402" s="52" t="s">
        <v>655</v>
      </c>
      <c r="N402" s="53" t="s">
        <v>698</v>
      </c>
      <c r="O402" s="6" t="s">
        <v>888</v>
      </c>
      <c r="P402" s="6"/>
      <c r="Q402" s="6" t="str">
        <f t="shared" si="1"/>
        <v>#N/A</v>
      </c>
      <c r="R402" s="6"/>
    </row>
    <row r="403" hidden="1">
      <c r="A403" s="31" t="str">
        <f>IFERROR(__xludf.DUMMYFUNCTION("""COMPUTED_VALUE"""),"289")</f>
        <v>289</v>
      </c>
      <c r="B403" s="14" t="str">
        <f>IFERROR(__xludf.DUMMYFUNCTION("""COMPUTED_VALUE"""),"АИП-26")</f>
        <v>АИП-26</v>
      </c>
      <c r="C403" s="14" t="str">
        <f>IFERROR(__xludf.DUMMYFUNCTION("""COMPUTED_VALUE"""),"ОКС")</f>
        <v>ОКС</v>
      </c>
      <c r="D403" s="15"/>
      <c r="E403" s="14" t="str">
        <f>IFERROR(__xludf.DUMMYFUNCTION("""COMPUTED_VALUE"""),"Школа на 825 мест р-н Бирюлево Восточное, ул. 6-я Радиальная, влд. 7, участок 20")</f>
        <v>Школа на 825 мест р-н Бирюлево Восточное, ул. 6-я Радиальная, влд. 7, участок 20</v>
      </c>
      <c r="F403" s="25" t="str">
        <f>IFERROR(__xludf.DUMMYFUNCTION("""COMPUTED_VALUE"""),"55.60541624503389")</f>
        <v>55.60541624503389</v>
      </c>
      <c r="G403" s="6" t="str">
        <f>IFERROR(__xludf.DUMMYFUNCTION("""COMPUTED_VALUE"""),"37.6541506745906")</f>
        <v>37.6541506745906</v>
      </c>
      <c r="H403" s="18" t="str">
        <f>IFERROR(__xludf.DUMMYFUNCTION("""COMPUTED_VALUE"""),"https://docs.google.com/spreadsheets/d/19THEBTE9q0fhN2eApZr6BgenIvLGh0AckaYxHQfHk5w/edit?gid=1318424610#gid=1318424610")</f>
        <v>https://docs.google.com/spreadsheets/d/19THEBTE9q0fhN2eApZr6BgenIvLGh0AckaYxHQfHk5w/edit?gid=1318424610#gid=1318424610</v>
      </c>
      <c r="I403" s="19" t="str">
        <f>IFERROR(__xludf.DUMMYFUNCTION("""COMPUTED_VALUE"""),"https://disk.yandex.ru/client/disk/Осмотры%20объектов%20АНО%20СМГ/289.%206-я%20Радиальная%2C%20влд.%207%2C%20участок%2020.%20Школа%20на%20825%20мест")</f>
        <v>https://disk.yandex.ru/client/disk/Осмотры%20объектов%20АНО%20СМГ/289.%206-я%20Радиальная%2C%20влд.%207%2C%20участок%2020.%20Школа%20на%20825%20мест</v>
      </c>
      <c r="J403" s="50">
        <f>IFERROR(__xludf.DUMMYFUNCTION("""COMPUTED_VALUE"""),43.4603)</f>
        <v>43.4603</v>
      </c>
      <c r="K403" s="58">
        <f>IFERROR(__xludf.DUMMYFUNCTION("""COMPUTED_VALUE"""),45968.0)</f>
        <v>45968</v>
      </c>
      <c r="L403" s="6">
        <v>30.0</v>
      </c>
      <c r="M403" s="52">
        <v>45998.0</v>
      </c>
      <c r="N403" s="53" t="s">
        <v>711</v>
      </c>
      <c r="O403" s="19" t="s">
        <v>889</v>
      </c>
      <c r="P403" s="6"/>
      <c r="Q403" s="6" t="str">
        <f t="shared" si="1"/>
        <v>#N/A</v>
      </c>
      <c r="R403" s="6"/>
    </row>
    <row r="404" hidden="1">
      <c r="A404" s="31" t="str">
        <f>IFERROR(__xludf.DUMMYFUNCTION("""COMPUTED_VALUE"""),"286")</f>
        <v>286</v>
      </c>
      <c r="B404" s="14" t="str">
        <f>IFERROR(__xludf.DUMMYFUNCTION("""COMPUTED_VALUE"""),"АИП-26")</f>
        <v>АИП-26</v>
      </c>
      <c r="C404" s="14" t="str">
        <f>IFERROR(__xludf.DUMMYFUNCTION("""COMPUTED_VALUE"""),"ОКС")</f>
        <v>ОКС</v>
      </c>
      <c r="D404" s="71"/>
      <c r="E404" s="14" t="str">
        <f>IFERROR(__xludf.DUMMYFUNCTION("""COMPUTED_VALUE"""),"Школа на 1000 мест р-н Даниловский, ул. Восточная, влд. 4А")</f>
        <v>Школа на 1000 мест р-н Даниловский, ул. Восточная, влд. 4А</v>
      </c>
      <c r="F404" s="25" t="str">
        <f>IFERROR(__xludf.DUMMYFUNCTION("""COMPUTED_VALUE"""),"55.71805864742407")</f>
        <v>55.71805864742407</v>
      </c>
      <c r="G404" s="6" t="str">
        <f>IFERROR(__xludf.DUMMYFUNCTION("""COMPUTED_VALUE"""),"37.657010748687185")</f>
        <v>37.657010748687185</v>
      </c>
      <c r="H404" s="18" t="str">
        <f>IFERROR(__xludf.DUMMYFUNCTION("""COMPUTED_VALUE"""),"https://docs.google.com/spreadsheets/d/19THEBTE9q0fhN2eApZr6BgenIvLGh0AckaYxHQfHk5w/edit?gid=68210689#gid=68210689")</f>
        <v>https://docs.google.com/spreadsheets/d/19THEBTE9q0fhN2eApZr6BgenIvLGh0AckaYxHQfHk5w/edit?gid=68210689#gid=68210689</v>
      </c>
      <c r="I404" s="19" t="str">
        <f>IFERROR(__xludf.DUMMYFUNCTION("""COMPUTED_VALUE"""),"https://disk.yandex.ru/client/disk/Осмотры%20объектов%20АНО%20СМГ/286.%20Школа%20на%201000%20мест%2C%20р-н%20Дорогомиловский%2C%20ул.%20Восточная%2C%20вл.%204А")</f>
        <v>https://disk.yandex.ru/client/disk/Осмотры%20объектов%20АНО%20СМГ/286.%20Школа%20на%201000%20мест%2C%20р-н%20Дорогомиловский%2C%20ул.%20Восточная%2C%20вл.%204А</v>
      </c>
      <c r="J404" s="50">
        <f>IFERROR(__xludf.DUMMYFUNCTION("""COMPUTED_VALUE"""),61.280355)</f>
        <v>61.280355</v>
      </c>
      <c r="K404" s="58">
        <f>IFERROR(__xludf.DUMMYFUNCTION("""COMPUTED_VALUE"""),45971.0)</f>
        <v>45971</v>
      </c>
      <c r="L404" s="6">
        <v>14.0</v>
      </c>
      <c r="M404" s="52">
        <v>45985.0</v>
      </c>
      <c r="N404" s="53" t="s">
        <v>711</v>
      </c>
      <c r="O404" s="19" t="s">
        <v>890</v>
      </c>
      <c r="P404" s="6"/>
      <c r="Q404" s="6" t="str">
        <f t="shared" si="1"/>
        <v>#N/A</v>
      </c>
      <c r="R404" s="6"/>
    </row>
    <row r="405" hidden="1">
      <c r="A405" s="31" t="str">
        <f>IFERROR(__xludf.DUMMYFUNCTION("""COMPUTED_VALUE"""),"287")</f>
        <v>287</v>
      </c>
      <c r="B405" s="14" t="str">
        <f>IFERROR(__xludf.DUMMYFUNCTION("""COMPUTED_VALUE"""),"АИП-26")</f>
        <v>АИП-26</v>
      </c>
      <c r="C405" s="14" t="str">
        <f>IFERROR(__xludf.DUMMYFUNCTION("""COMPUTED_VALUE"""),"ОКС")</f>
        <v>ОКС</v>
      </c>
      <c r="D405" s="69"/>
      <c r="E405" s="14" t="str">
        <f>IFERROR(__xludf.DUMMYFUNCTION("""COMPUTED_VALUE"""),"Здание образовательной организации на 525 мест (350 школьных и 175 дошкольных) р-н Соколиная Гора, пр-кт Буденного, влд. 51")</f>
        <v>Здание образовательной организации на 525 мест (350 школьных и 175 дошкольных) р-н Соколиная Гора, пр-кт Буденного, влд. 51</v>
      </c>
      <c r="F405" s="25" t="str">
        <f>IFERROR(__xludf.DUMMYFUNCTION("""COMPUTED_VALUE"""),"55.75962520844539")</f>
        <v>55.75962520844539</v>
      </c>
      <c r="G405" s="6" t="str">
        <f>IFERROR(__xludf.DUMMYFUNCTION("""COMPUTED_VALUE"""),"37.739837665357825")</f>
        <v>37.739837665357825</v>
      </c>
      <c r="H405" s="18" t="str">
        <f>IFERROR(__xludf.DUMMYFUNCTION("""COMPUTED_VALUE"""),"https://docs.google.com/spreadsheets/d/19THEBTE9q0fhN2eApZr6BgenIvLGh0AckaYxHQfHk5w/edit?gid=862186919#gid=862186919")</f>
        <v>https://docs.google.com/spreadsheets/d/19THEBTE9q0fhN2eApZr6BgenIvLGh0AckaYxHQfHk5w/edit?gid=862186919#gid=862186919</v>
      </c>
      <c r="I405" s="19" t="str">
        <f>IFERROR(__xludf.DUMMYFUNCTION("""COMPUTED_VALUE"""),"https://disk.yandex.ru/client/disk/Осмотры%20объектов%20АНО%20СМГ/287.%20Здание%20образовательной%20организации%20на%20525%20мест%20Буденного%2051")</f>
        <v>https://disk.yandex.ru/client/disk/Осмотры%20объектов%20АНО%20СМГ/287.%20Здание%20образовательной%20организации%20на%20525%20мест%20Буденного%2051</v>
      </c>
      <c r="J405" s="50">
        <f>IFERROR(__xludf.DUMMYFUNCTION("""COMPUTED_VALUE"""),27.1965)</f>
        <v>27.1965</v>
      </c>
      <c r="K405" s="58">
        <f>IFERROR(__xludf.DUMMYFUNCTION("""COMPUTED_VALUE"""),45950.0)</f>
        <v>45950</v>
      </c>
      <c r="L405" s="6">
        <v>30.0</v>
      </c>
      <c r="M405" s="52">
        <v>45980.0</v>
      </c>
      <c r="N405" s="53" t="s">
        <v>701</v>
      </c>
      <c r="O405" s="19" t="s">
        <v>891</v>
      </c>
      <c r="P405" s="6"/>
      <c r="Q405" s="6" t="str">
        <f t="shared" si="1"/>
        <v>#N/A</v>
      </c>
      <c r="R405" s="6"/>
    </row>
    <row r="406" hidden="1">
      <c r="A406" s="31" t="str">
        <f>IFERROR(__xludf.DUMMYFUNCTION("""COMPUTED_VALUE"""),"273")</f>
        <v>273</v>
      </c>
      <c r="B406" s="14" t="str">
        <f>IFERROR(__xludf.DUMMYFUNCTION("""COMPUTED_VALUE"""),"АИП-26")</f>
        <v>АИП-26</v>
      </c>
      <c r="C406" s="14" t="str">
        <f>IFERROR(__xludf.DUMMYFUNCTION("""COMPUTED_VALUE"""),"ОКС")</f>
        <v>ОКС</v>
      </c>
      <c r="D406" s="72"/>
      <c r="E406" s="14" t="str">
        <f>IFERROR(__xludf.DUMMYFUNCTION("""COMPUTED_VALUE"""),"Здание образовательной организации на 1500 мест (общее образование 1225 мест, дошкольное образование 275 мест) р-н Измайлово, Сиреневый бульвар, вл. 4")</f>
        <v>Здание образовательной организации на 1500 мест (общее образование 1225 мест, дошкольное образование 275 мест) р-н Измайлово, Сиреневый бульвар, вл. 4</v>
      </c>
      <c r="F406" s="25" t="str">
        <f>IFERROR(__xludf.DUMMYFUNCTION("""COMPUTED_VALUE"""),"55.79985421604904")</f>
        <v>55.79985421604904</v>
      </c>
      <c r="G406" s="6" t="str">
        <f>IFERROR(__xludf.DUMMYFUNCTION("""COMPUTED_VALUE"""),"37.760885662703735")</f>
        <v>37.760885662703735</v>
      </c>
      <c r="H406" s="18" t="str">
        <f>IFERROR(__xludf.DUMMYFUNCTION("""COMPUTED_VALUE"""),"https://docs.google.com/spreadsheets/d/19THEBTE9q0fhN2eApZr6BgenIvLGh0AckaYxHQfHk5w/edit?gid=80969039#gid=80969039")</f>
        <v>https://docs.google.com/spreadsheets/d/19THEBTE9q0fhN2eApZr6BgenIvLGh0AckaYxHQfHk5w/edit?gid=80969039#gid=80969039</v>
      </c>
      <c r="I406" s="19" t="str">
        <f>IFERROR(__xludf.DUMMYFUNCTION("""COMPUTED_VALUE"""),"https://disk.yandex.ru/client/disk/Осмотры%20объектов%20АНО%20СМГ/273.%20Сиреневый%20бульвар%20вл%204%20Здание%20образовательной%20организации%20на%201500%20мест")</f>
        <v>https://disk.yandex.ru/client/disk/Осмотры%20объектов%20АНО%20СМГ/273.%20Сиреневый%20бульвар%20вл%204%20Здание%20образовательной%20организации%20на%201500%20мест</v>
      </c>
      <c r="J406" s="50">
        <f>IFERROR(__xludf.DUMMYFUNCTION("""COMPUTED_VALUE"""),41.19527500000001)</f>
        <v>41.195275</v>
      </c>
      <c r="K406" s="58">
        <f>IFERROR(__xludf.DUMMYFUNCTION("""COMPUTED_VALUE"""),45971.0)</f>
        <v>45971</v>
      </c>
      <c r="L406" s="6">
        <v>30.0</v>
      </c>
      <c r="M406" s="52">
        <v>46001.0</v>
      </c>
      <c r="N406" s="53" t="s">
        <v>711</v>
      </c>
      <c r="O406" s="19" t="s">
        <v>892</v>
      </c>
      <c r="P406" s="6"/>
      <c r="Q406" s="6" t="str">
        <f t="shared" si="1"/>
        <v>#N/A</v>
      </c>
      <c r="R406" s="6"/>
    </row>
    <row r="407" hidden="1">
      <c r="A407" s="31" t="str">
        <f>IFERROR(__xludf.DUMMYFUNCTION("""COMPUTED_VALUE"""),"375д")</f>
        <v>375д</v>
      </c>
      <c r="B407" s="14" t="str">
        <f>IFERROR(__xludf.DUMMYFUNCTION("""COMPUTED_VALUE"""),"АИП-26")</f>
        <v>АИП-26</v>
      </c>
      <c r="C407" s="14" t="str">
        <f>IFERROR(__xludf.DUMMYFUNCTION("""COMPUTED_VALUE"""),"УДС")</f>
        <v>УДС</v>
      </c>
      <c r="D407" s="72"/>
      <c r="E407" s="14" t="str">
        <f>IFERROR(__xludf.DUMMYFUNCTION("""COMPUTED_VALUE"""),"ЮВХ-4. Участок от ул. Шоссейная до ул. Полбина. Пешеходная галерея от ул. Шоссейная до ул. Полбина")</f>
        <v>ЮВХ-4. Участок от ул. Шоссейная до ул. Полбина. Пешеходная галерея от ул. Шоссейная до ул. Полбина</v>
      </c>
      <c r="F407" s="25" t="str">
        <f>IFERROR(__xludf.DUMMYFUNCTION("""COMPUTED_VALUE"""),"#N/A")</f>
        <v>#N/A</v>
      </c>
      <c r="G407" s="6" t="str">
        <f>IFERROR(__xludf.DUMMYFUNCTION("""COMPUTED_VALUE"""),"#N/A")</f>
        <v>#N/A</v>
      </c>
      <c r="H407" s="6"/>
      <c r="I407" s="6"/>
      <c r="J407" s="50">
        <f>IFERROR(__xludf.DUMMYFUNCTION("""COMPUTED_VALUE"""),1.1611764705882355)</f>
        <v>1.161176471</v>
      </c>
      <c r="K407" s="58">
        <f>IFERROR(__xludf.DUMMYFUNCTION("""COMPUTED_VALUE"""),45973.0)</f>
        <v>45973</v>
      </c>
      <c r="L407" s="6">
        <v>30.0</v>
      </c>
      <c r="M407" s="52">
        <v>46003.0</v>
      </c>
      <c r="N407" s="53" t="s">
        <v>711</v>
      </c>
      <c r="O407" s="6" t="s">
        <v>893</v>
      </c>
      <c r="P407" s="6"/>
      <c r="Q407" s="6" t="str">
        <f t="shared" si="1"/>
        <v>#N/A</v>
      </c>
      <c r="R407" s="6"/>
    </row>
    <row r="408" hidden="1">
      <c r="A408" s="31" t="str">
        <f>IFERROR(__xludf.DUMMYFUNCTION("""COMPUTED_VALUE"""),"236д")</f>
        <v>236д</v>
      </c>
      <c r="B408" s="14" t="str">
        <f>IFERROR(__xludf.DUMMYFUNCTION("""COMPUTED_VALUE"""),"АИП-26")</f>
        <v>АИП-26</v>
      </c>
      <c r="C408" s="14" t="str">
        <f>IFERROR(__xludf.DUMMYFUNCTION("""COMPUTED_VALUE"""),"УДС")</f>
        <v>УДС</v>
      </c>
      <c r="D408" s="72"/>
      <c r="E408" s="14" t="str">
        <f>IFERROR(__xludf.DUMMYFUNCTION("""COMPUTED_VALUE"""),"Проезд между ул. Нижняя и проектируемым проездом №1808 между ул. Нижняя и проектируемым проездом №1808")</f>
        <v>Проезд между ул. Нижняя и проектируемым проездом №1808 между ул. Нижняя и проектируемым проездом №1808</v>
      </c>
      <c r="F408" s="25" t="str">
        <f>IFERROR(__xludf.DUMMYFUNCTION("""COMPUTED_VALUE"""),"#N/A")</f>
        <v>#N/A</v>
      </c>
      <c r="G408" s="6" t="str">
        <f>IFERROR(__xludf.DUMMYFUNCTION("""COMPUTED_VALUE"""),"#N/A")</f>
        <v>#N/A</v>
      </c>
      <c r="H408" s="6"/>
      <c r="I408" s="6"/>
      <c r="J408" s="50">
        <f>IFERROR(__xludf.DUMMYFUNCTION("""COMPUTED_VALUE"""),0.012000000000000002)</f>
        <v>0.012</v>
      </c>
      <c r="K408" s="58">
        <f>IFERROR(__xludf.DUMMYFUNCTION("""COMPUTED_VALUE"""),45974.0)</f>
        <v>45974</v>
      </c>
      <c r="L408" s="6">
        <v>30.0</v>
      </c>
      <c r="M408" s="52">
        <v>46004.0</v>
      </c>
      <c r="N408" s="53" t="s">
        <v>711</v>
      </c>
      <c r="O408" s="6" t="s">
        <v>893</v>
      </c>
      <c r="P408" s="6"/>
      <c r="Q408" s="6" t="str">
        <f t="shared" si="1"/>
        <v>#N/A</v>
      </c>
      <c r="R408" s="6"/>
    </row>
    <row r="409" hidden="1">
      <c r="A409" s="31" t="str">
        <f>IFERROR(__xludf.DUMMYFUNCTION("""COMPUTED_VALUE"""),"1065 (этап 2.1)")</f>
        <v>1065 (этап 2.1)</v>
      </c>
      <c r="B409" s="14" t="str">
        <f>IFERROR(__xludf.DUMMYFUNCTION("""COMPUTED_VALUE"""),"АИП-26")</f>
        <v>АИП-26</v>
      </c>
      <c r="C409" s="14" t="str">
        <f>IFERROR(__xludf.DUMMYFUNCTION("""COMPUTED_VALUE"""),"УДС")</f>
        <v>УДС</v>
      </c>
      <c r="D409" s="72"/>
      <c r="E409" s="14" t="str">
        <f>IFERROR(__xludf.DUMMYFUNCTION("""COMPUTED_VALUE"""),"Технологическая часть ТПУ на станции метро ""Рассказовка"" (""Новопеределкино""). Этап 2.1 Станция метро ""Рассказовка""")</f>
        <v>Технологическая часть ТПУ на станции метро "Рассказовка" ("Новопеределкино"). Этап 2.1 Станция метро "Рассказовка"</v>
      </c>
      <c r="F409" s="25" t="str">
        <f>IFERROR(__xludf.DUMMYFUNCTION("""COMPUTED_VALUE"""),"55.633969596534705")</f>
        <v>55.633969596534705</v>
      </c>
      <c r="G409" s="6" t="str">
        <f>IFERROR(__xludf.DUMMYFUNCTION("""COMPUTED_VALUE"""),"37.3346986726294")</f>
        <v>37.3346986726294</v>
      </c>
      <c r="H409" s="18" t="str">
        <f>IFERROR(__xludf.DUMMYFUNCTION("""COMPUTED_VALUE"""),"https://docs.google.com/spreadsheets/d/1jonEGMB3UFHiUZpltF1zURon8gYN7jGSHu-k9t5TXnA/edit?gid=1539095406#gid=1539095406")</f>
        <v>https://docs.google.com/spreadsheets/d/1jonEGMB3UFHiUZpltF1zURon8gYN7jGSHu-k9t5TXnA/edit?gid=1539095406#gid=1539095406</v>
      </c>
      <c r="I409"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409" s="50">
        <f>IFERROR(__xludf.DUMMYFUNCTION("""COMPUTED_VALUE"""),96.8)</f>
        <v>96.8</v>
      </c>
      <c r="K409" s="58">
        <f>IFERROR(__xludf.DUMMYFUNCTION("""COMPUTED_VALUE"""),45974.0)</f>
        <v>45974</v>
      </c>
      <c r="L409" s="6">
        <v>7.0</v>
      </c>
      <c r="M409" s="52">
        <v>45981.0</v>
      </c>
      <c r="N409" s="53" t="s">
        <v>711</v>
      </c>
      <c r="O409" s="6" t="s">
        <v>669</v>
      </c>
      <c r="P409" s="6"/>
      <c r="Q409" s="6" t="str">
        <f t="shared" si="1"/>
        <v>#N/A</v>
      </c>
      <c r="R409" s="6"/>
    </row>
    <row r="410" hidden="1">
      <c r="A410" s="31" t="str">
        <f>IFERROR(__xludf.DUMMYFUNCTION("""COMPUTED_VALUE"""),"1065 (этап 4)")</f>
        <v>1065 (этап 4)</v>
      </c>
      <c r="B410" s="14" t="str">
        <f>IFERROR(__xludf.DUMMYFUNCTION("""COMPUTED_VALUE"""),"АИП-26")</f>
        <v>АИП-26</v>
      </c>
      <c r="C410" s="14" t="str">
        <f>IFERROR(__xludf.DUMMYFUNCTION("""COMPUTED_VALUE"""),"УДС")</f>
        <v>УДС</v>
      </c>
      <c r="D410" s="72"/>
      <c r="E410" s="14" t="str">
        <f>IFERROR(__xludf.DUMMYFUNCTION("""COMPUTED_VALUE"""),"Технологическая часть ТПУ на станции метро ""Рассказовка"" (""Новопеределкино""). Этап 4 Станция метро ""Рассказовка""")</f>
        <v>Технологическая часть ТПУ на станции метро "Рассказовка" ("Новопеределкино"). Этап 4 Станция метро "Рассказовка"</v>
      </c>
      <c r="F410" s="25" t="str">
        <f>IFERROR(__xludf.DUMMYFUNCTION("""COMPUTED_VALUE"""),"55.633969596534705")</f>
        <v>55.633969596534705</v>
      </c>
      <c r="G410" s="6" t="str">
        <f>IFERROR(__xludf.DUMMYFUNCTION("""COMPUTED_VALUE"""),"37.3346986726294")</f>
        <v>37.3346986726294</v>
      </c>
      <c r="H410" s="18" t="str">
        <f>IFERROR(__xludf.DUMMYFUNCTION("""COMPUTED_VALUE"""),"https://docs.google.com/spreadsheets/d/1jonEGMB3UFHiUZpltF1zURon8gYN7jGSHu-k9t5TXnA/edit?gid=123308300#gid=123308300")</f>
        <v>https://docs.google.com/spreadsheets/d/1jonEGMB3UFHiUZpltF1zURon8gYN7jGSHu-k9t5TXnA/edit?gid=123308300#gid=123308300</v>
      </c>
      <c r="I410" s="6" t="str">
        <f>IFERROR(__xludf.DUMMYFUNCTION("""COMPUTED_VALUE"""),"https://disk.yandex.ru/client/disk/Осмотры%20объектов%20АНО%20СМГ/1065.%201066.%20Технологическая%20часть%20ТПУ%20на%20станции%20метро%20%22Рассказовка%22%20(%22Новопеределкино%22)")</f>
        <v>https://disk.yandex.ru/client/disk/Осмотры%20объектов%20АНО%20СМГ/1065.%201066.%20Технологическая%20часть%20ТПУ%20на%20станции%20метро%20%22Рассказовка%22%20(%22Новопеределкино%22)</v>
      </c>
      <c r="J410" s="50">
        <f>IFERROR(__xludf.DUMMYFUNCTION("""COMPUTED_VALUE"""),17.12)</f>
        <v>17.12</v>
      </c>
      <c r="K410" s="58">
        <f>IFERROR(__xludf.DUMMYFUNCTION("""COMPUTED_VALUE"""),45974.0)</f>
        <v>45974</v>
      </c>
      <c r="L410" s="6">
        <v>30.0</v>
      </c>
      <c r="M410" s="52">
        <v>46004.0</v>
      </c>
      <c r="N410" s="53" t="s">
        <v>711</v>
      </c>
      <c r="O410" s="6" t="s">
        <v>669</v>
      </c>
      <c r="P410" s="6"/>
      <c r="Q410" s="6" t="str">
        <f t="shared" si="1"/>
        <v>#N/A</v>
      </c>
      <c r="R410" s="6"/>
    </row>
    <row r="411" hidden="1">
      <c r="A411" s="31" t="str">
        <f>IFERROR(__xludf.DUMMYFUNCTION("""COMPUTED_VALUE"""),"218д")</f>
        <v>218д</v>
      </c>
      <c r="B411" s="14" t="str">
        <f>IFERROR(__xludf.DUMMYFUNCTION("""COMPUTED_VALUE"""),"АИП-26")</f>
        <v>АИП-26</v>
      </c>
      <c r="C411" s="14" t="str">
        <f>IFERROR(__xludf.DUMMYFUNCTION("""COMPUTED_VALUE"""),"УДС")</f>
        <v>УДС</v>
      </c>
      <c r="D411" s="72"/>
      <c r="E411" s="14" t="str">
        <f>IFERROR(__xludf.DUMMYFUNCTION("""COMPUTED_VALUE"""),"Реконструкция ул. Генерала Дорохова на участке от транспортной развязки с Аминьевским ш. с реконструкцией Верейской улицы ул. Генерала Дорохова")</f>
        <v>Реконструкция ул. Генерала Дорохова на участке от транспортной развязки с Аминьевским ш. с реконструкцией Верейской улицы ул. Генерала Дорохова</v>
      </c>
      <c r="F411" s="25" t="str">
        <f>IFERROR(__xludf.DUMMYFUNCTION("""COMPUTED_VALUE"""),"#N/A")</f>
        <v>#N/A</v>
      </c>
      <c r="G411" s="6" t="str">
        <f>IFERROR(__xludf.DUMMYFUNCTION("""COMPUTED_VALUE"""),"#N/A")</f>
        <v>#N/A</v>
      </c>
      <c r="H411" s="6"/>
      <c r="I411" s="6"/>
      <c r="J411" s="50">
        <f>IFERROR(__xludf.DUMMYFUNCTION("""COMPUTED_VALUE"""),19.352249999999998)</f>
        <v>19.35225</v>
      </c>
      <c r="K411" s="58">
        <f>IFERROR(__xludf.DUMMYFUNCTION("""COMPUTED_VALUE"""),45960.0)</f>
        <v>45960</v>
      </c>
      <c r="L411" s="6">
        <v>30.0</v>
      </c>
      <c r="M411" s="52">
        <v>45990.0</v>
      </c>
      <c r="N411" s="53" t="s">
        <v>692</v>
      </c>
      <c r="O411" s="6"/>
      <c r="P411" s="6"/>
      <c r="Q411" s="6" t="str">
        <f t="shared" si="1"/>
        <v>#N/A</v>
      </c>
      <c r="R411" s="6"/>
    </row>
    <row r="412" hidden="1">
      <c r="A412" s="31" t="str">
        <f>IFERROR(__xludf.DUMMYFUNCTION("""COMPUTED_VALUE"""),"нд")</f>
        <v>нд</v>
      </c>
      <c r="B412" s="14" t="str">
        <f>IFERROR(__xludf.DUMMYFUNCTION("""COMPUTED_VALUE"""),"АИП-26")</f>
        <v>АИП-26</v>
      </c>
      <c r="C412" s="14" t="str">
        <f>IFERROR(__xludf.DUMMYFUNCTION("""COMPUTED_VALUE"""),"УДС")</f>
        <v>УДС</v>
      </c>
      <c r="D412" s="72"/>
      <c r="E412" s="14" t="str">
        <f>IFERROR(__xludf.DUMMYFUNCTION("""COMPUTED_VALUE"""),"Этап 5.1. Реконструкция ул. Генерала Дорохова на участке от транспортной развязки с Аминьевским ш. с реконструкцией Верейской ул. Строительство подъездной дороги к многоуровневому паркингу ул. Дорохова, ТЭЦ-25")</f>
        <v>Этап 5.1. Реконструкция ул. Генерала Дорохова на участке от транспортной развязки с Аминьевским ш. с реконструкцией Верейской ул. Строительство подъездной дороги к многоуровневому паркингу ул. Дорохова, ТЭЦ-25</v>
      </c>
      <c r="F412" s="25" t="str">
        <f>IFERROR(__xludf.DUMMYFUNCTION("""COMPUTED_VALUE"""),"#N/A")</f>
        <v>#N/A</v>
      </c>
      <c r="G412" s="6" t="str">
        <f>IFERROR(__xludf.DUMMYFUNCTION("""COMPUTED_VALUE"""),"#N/A")</f>
        <v>#N/A</v>
      </c>
      <c r="H412" s="6"/>
      <c r="I412" s="6"/>
      <c r="J412" s="50"/>
      <c r="K412" s="58"/>
      <c r="L412" s="6">
        <v>30.0</v>
      </c>
      <c r="M412" s="52" t="s">
        <v>655</v>
      </c>
      <c r="N412" s="53" t="s">
        <v>698</v>
      </c>
      <c r="O412" s="6" t="s">
        <v>893</v>
      </c>
      <c r="P412" s="6"/>
      <c r="Q412" s="6" t="str">
        <f t="shared" si="1"/>
        <v>#N/A</v>
      </c>
      <c r="R412" s="6"/>
    </row>
    <row r="413" hidden="1">
      <c r="A413" s="31" t="str">
        <f>IFERROR(__xludf.DUMMYFUNCTION("""COMPUTED_VALUE"""),"нд")</f>
        <v>нд</v>
      </c>
      <c r="B413" s="14" t="str">
        <f>IFERROR(__xludf.DUMMYFUNCTION("""COMPUTED_VALUE"""),"АИП-26")</f>
        <v>АИП-26</v>
      </c>
      <c r="C413" s="14" t="str">
        <f>IFERROR(__xludf.DUMMYFUNCTION("""COMPUTED_VALUE"""),"УДС")</f>
        <v>УДС</v>
      </c>
      <c r="D413" s="72"/>
      <c r="E413" s="14" t="str">
        <f>IFERROR(__xludf.DUMMYFUNCTION("""COMPUTED_VALUE"""),"Реконструкция ул. Генерала Дорохова на участке от транспортной развязки с Аминьевским ш. с реконструкцией Верейской ул. ул. Генерала Дорохова на участке от транспортной развязки с Аминьевским ш. с реконструкцией Верейской ул.")</f>
        <v>Реконструкция ул. Генерала Дорохова на участке от транспортной развязки с Аминьевским ш. с реконструкцией Верейской ул. ул. Генерала Дорохова на участке от транспортной развязки с Аминьевским ш. с реконструкцией Верейской ул.</v>
      </c>
      <c r="F413" s="25" t="str">
        <f>IFERROR(__xludf.DUMMYFUNCTION("""COMPUTED_VALUE"""),"#N/A")</f>
        <v>#N/A</v>
      </c>
      <c r="G413" s="6" t="str">
        <f>IFERROR(__xludf.DUMMYFUNCTION("""COMPUTED_VALUE"""),"#N/A")</f>
        <v>#N/A</v>
      </c>
      <c r="H413" s="6"/>
      <c r="I413" s="6"/>
      <c r="J413" s="50"/>
      <c r="K413" s="58"/>
      <c r="L413" s="6">
        <v>30.0</v>
      </c>
      <c r="M413" s="52" t="s">
        <v>655</v>
      </c>
      <c r="N413" s="53" t="s">
        <v>698</v>
      </c>
      <c r="O413" s="6" t="s">
        <v>669</v>
      </c>
      <c r="P413" s="6"/>
      <c r="Q413" s="6" t="str">
        <f t="shared" si="1"/>
        <v>#N/A</v>
      </c>
      <c r="R413" s="6"/>
    </row>
    <row r="414" hidden="1">
      <c r="A414" s="31" t="str">
        <f>IFERROR(__xludf.DUMMYFUNCTION("""COMPUTED_VALUE"""),"263")</f>
        <v>263</v>
      </c>
      <c r="B414" s="14" t="str">
        <f>IFERROR(__xludf.DUMMYFUNCTION("""COMPUTED_VALUE"""),"АИП-26")</f>
        <v>АИП-26</v>
      </c>
      <c r="C414" s="14" t="str">
        <f>IFERROR(__xludf.DUMMYFUNCTION("""COMPUTED_VALUE"""),"ОКС")</f>
        <v>ОКС</v>
      </c>
      <c r="D414" s="72"/>
      <c r="E414" s="14" t="str">
        <f>IFERROR(__xludf.DUMMYFUNCTION("""COMPUTED_VALUE"""),"ЖК «Легенда», жилой дом г.о. Троицк, 42-й км Калужского шоссе, корп. 5")</f>
        <v>ЖК «Легенда», жилой дом г.о. Троицк, 42-й км Калужского шоссе, корп. 5</v>
      </c>
      <c r="F414" s="25" t="str">
        <f>IFERROR(__xludf.DUMMYFUNCTION("""COMPUTED_VALUE"""),"55.456811953701994")</f>
        <v>55.456811953701994</v>
      </c>
      <c r="G414" s="6" t="str">
        <f>IFERROR(__xludf.DUMMYFUNCTION("""COMPUTED_VALUE"""),"37.28472994840965")</f>
        <v>37.28472994840965</v>
      </c>
      <c r="H414" s="18" t="str">
        <f>IFERROR(__xludf.DUMMYFUNCTION("""COMPUTED_VALUE"""),"https://docs.google.com/spreadsheets/d/19THEBTE9q0fhN2eApZr6BgenIvLGh0AckaYxHQfHk5w/edit?gid=697664258#gid=697664258")</f>
        <v>https://docs.google.com/spreadsheets/d/19THEBTE9q0fhN2eApZr6BgenIvLGh0AckaYxHQfHk5w/edit?gid=697664258#gid=697664258</v>
      </c>
      <c r="I414" s="19" t="str">
        <f>IFERROR(__xludf.DUMMYFUNCTION("""COMPUTED_VALUE"""),"https://disk.yandex.ru/client/disk/Осмотры%20объектов%20АНО%20СМГ/263.%20ЖК%20Легенда%20Корп.%205")</f>
        <v>https://disk.yandex.ru/client/disk/Осмотры%20объектов%20АНО%20СМГ/263.%20ЖК%20Легенда%20Корп.%205</v>
      </c>
      <c r="J414" s="50">
        <f>IFERROR(__xludf.DUMMYFUNCTION("""COMPUTED_VALUE"""),45.230175)</f>
        <v>45.230175</v>
      </c>
      <c r="K414" s="58">
        <f>IFERROR(__xludf.DUMMYFUNCTION("""COMPUTED_VALUE"""),45954.0)</f>
        <v>45954</v>
      </c>
      <c r="L414" s="6">
        <v>30.0</v>
      </c>
      <c r="M414" s="52">
        <v>45984.0</v>
      </c>
      <c r="N414" s="53" t="s">
        <v>741</v>
      </c>
      <c r="O414" s="19" t="s">
        <v>894</v>
      </c>
      <c r="P414" s="6"/>
      <c r="Q414" s="6" t="str">
        <f t="shared" si="1"/>
        <v>#N/A</v>
      </c>
      <c r="R414" s="6"/>
    </row>
    <row r="415" hidden="1">
      <c r="A415" s="31" t="str">
        <f>IFERROR(__xludf.DUMMYFUNCTION("""COMPUTED_VALUE"""),"275")</f>
        <v>275</v>
      </c>
      <c r="B415" s="14" t="str">
        <f>IFERROR(__xludf.DUMMYFUNCTION("""COMPUTED_VALUE"""),"АИП-26")</f>
        <v>АИП-26</v>
      </c>
      <c r="C415" s="14" t="str">
        <f>IFERROR(__xludf.DUMMYFUNCTION("""COMPUTED_VALUE"""),"ОКС")</f>
        <v>ОКС</v>
      </c>
      <c r="D415" s="72"/>
      <c r="E415" s="14" t="str">
        <f>IFERROR(__xludf.DUMMYFUNCTION("""COMPUTED_VALUE"""),"Школа на 1100 мест Б.Переяславская ул., 1, Астраханский пер., 24")</f>
        <v>Школа на 1100 мест Б.Переяславская ул., 1, Астраханский пер., 24</v>
      </c>
      <c r="F415" s="25" t="str">
        <f>IFERROR(__xludf.DUMMYFUNCTION("""COMPUTED_VALUE"""),"55.7801411850939")</f>
        <v>55.7801411850939</v>
      </c>
      <c r="G415" s="6" t="str">
        <f>IFERROR(__xludf.DUMMYFUNCTION("""COMPUTED_VALUE"""),"37.64228767857212")</f>
        <v>37.64228767857212</v>
      </c>
      <c r="H415" s="18" t="str">
        <f>IFERROR(__xludf.DUMMYFUNCTION("""COMPUTED_VALUE"""),"https://docs.google.com/spreadsheets/d/19THEBTE9q0fhN2eApZr6BgenIvLGh0AckaYxHQfHk5w/edit?gid=2022377090#gid=2022377090")</f>
        <v>https://docs.google.com/spreadsheets/d/19THEBTE9q0fhN2eApZr6BgenIvLGh0AckaYxHQfHk5w/edit?gid=2022377090#gid=2022377090</v>
      </c>
      <c r="I415" s="19" t="str">
        <f>IFERROR(__xludf.DUMMYFUNCTION("""COMPUTED_VALUE"""),"https://disk.yandex.ru/client/disk/Осмотры%20объектов%20АНО%20СМГ/275.%20Школьное%20здание%20на%201100%20мест%20Большая%20Переяславская%20ул.%2C%20д.1%2Cстр.1%3B%20пер.%20Астраханский%2C%20д.24%2C%20стр.4%2C%20р-н%20Мещанский")</f>
        <v>https://disk.yandex.ru/client/disk/Осмотры%20объектов%20АНО%20СМГ/275.%20Школьное%20здание%20на%201100%20мест%20Большая%20Переяславская%20ул.%2C%20д.1%2Cстр.1%3B%20пер.%20Астраханский%2C%20д.24%2C%20стр.4%2C%20р-н%20Мещанский</v>
      </c>
      <c r="J415" s="50">
        <f>IFERROR(__xludf.DUMMYFUNCTION("""COMPUTED_VALUE"""),0.0)</f>
        <v>0</v>
      </c>
      <c r="K415" s="58">
        <f>IFERROR(__xludf.DUMMYFUNCTION("""COMPUTED_VALUE"""),45954.0)</f>
        <v>45954</v>
      </c>
      <c r="L415" s="6">
        <v>30.0</v>
      </c>
      <c r="M415" s="52">
        <v>45984.0</v>
      </c>
      <c r="N415" s="53" t="s">
        <v>741</v>
      </c>
      <c r="O415" s="19" t="s">
        <v>895</v>
      </c>
      <c r="P415" s="6"/>
      <c r="Q415" s="6" t="str">
        <f t="shared" si="1"/>
        <v>#N/A</v>
      </c>
      <c r="R415" s="6"/>
    </row>
    <row r="416" hidden="1">
      <c r="A416" s="31" t="str">
        <f>IFERROR(__xludf.DUMMYFUNCTION("""COMPUTED_VALUE"""),"276")</f>
        <v>276</v>
      </c>
      <c r="B416" s="14" t="str">
        <f>IFERROR(__xludf.DUMMYFUNCTION("""COMPUTED_VALUE"""),"АИП-26")</f>
        <v>АИП-26</v>
      </c>
      <c r="C416" s="14" t="str">
        <f>IFERROR(__xludf.DUMMYFUNCTION("""COMPUTED_VALUE"""),"ОКС")</f>
        <v>ОКС</v>
      </c>
      <c r="D416" s="72"/>
      <c r="E416" s="14" t="str">
        <f>IFERROR(__xludf.DUMMYFUNCTION("""COMPUTED_VALUE"""),"Школьное здание на 1000 мест на месте сноса здания по адресу: пр-д Елоховский, д.1, стр. 5, стр. 6, р-н Басманный пр-д Елоховский, д.1, стр. 5, стр. 6, р-н Басманный")</f>
        <v>Школьное здание на 1000 мест на месте сноса здания по адресу: пр-д Елоховский, д.1, стр. 5, стр. 6, р-н Басманный пр-д Елоховский, д.1, стр. 5, стр. 6, р-н Басманный</v>
      </c>
      <c r="F416" s="25" t="str">
        <f>IFERROR(__xludf.DUMMYFUNCTION("""COMPUTED_VALUE"""),"55.77302890175981")</f>
        <v>55.77302890175981</v>
      </c>
      <c r="G416" s="6" t="str">
        <f>IFERROR(__xludf.DUMMYFUNCTION("""COMPUTED_VALUE"""),"37.67271952380297")</f>
        <v>37.67271952380297</v>
      </c>
      <c r="H416" s="18" t="str">
        <f>IFERROR(__xludf.DUMMYFUNCTION("""COMPUTED_VALUE"""),"https://docs.google.com/spreadsheets/d/19THEBTE9q0fhN2eApZr6BgenIvLGh0AckaYxHQfHk5w/edit?gid=913968712#gid=913968712")</f>
        <v>https://docs.google.com/spreadsheets/d/19THEBTE9q0fhN2eApZr6BgenIvLGh0AckaYxHQfHk5w/edit?gid=913968712#gid=913968712</v>
      </c>
      <c r="I416" s="19" t="str">
        <f>IFERROR(__xludf.DUMMYFUNCTION("""COMPUTED_VALUE"""),"https://disk.yandex.ru/client/disk/Осмотры%20объектов%20АНО%20СМГ/276%20Школьное%20здание%20на%201000%20мест%20на%20месте%20сноса%20здания%20по%20адресу%3A%20пр-д%20Елоховский%2C%20д.1%2C%20стр.%205%2C%20стр.%206%2C%20р-н%20Басманный")</f>
        <v>https://disk.yandex.ru/client/disk/Осмотры%20объектов%20АНО%20СМГ/276%20Школьное%20здание%20на%201000%20мест%20на%20месте%20сноса%20здания%20по%20адресу%3A%20пр-д%20Елоховский%2C%20д.1%2C%20стр.%205%2C%20стр.%206%2C%20р-н%20Басманный</v>
      </c>
      <c r="J416" s="50">
        <f>IFERROR(__xludf.DUMMYFUNCTION("""COMPUTED_VALUE"""),0.0)</f>
        <v>0</v>
      </c>
      <c r="K416" s="58">
        <f>IFERROR(__xludf.DUMMYFUNCTION("""COMPUTED_VALUE"""),45954.0)</f>
        <v>45954</v>
      </c>
      <c r="L416" s="6">
        <v>30.0</v>
      </c>
      <c r="M416" s="52">
        <v>45984.0</v>
      </c>
      <c r="N416" s="53" t="s">
        <v>741</v>
      </c>
      <c r="O416" s="19" t="s">
        <v>896</v>
      </c>
      <c r="P416" s="6"/>
      <c r="Q416" s="6" t="str">
        <f t="shared" si="1"/>
        <v>#N/A</v>
      </c>
      <c r="R416" s="6"/>
    </row>
    <row r="417" hidden="1">
      <c r="A417" s="31" t="str">
        <f>IFERROR(__xludf.DUMMYFUNCTION("""COMPUTED_VALUE"""),"242д (этап 2)")</f>
        <v>242д (этап 2)</v>
      </c>
      <c r="B417" s="14" t="str">
        <f>IFERROR(__xludf.DUMMYFUNCTION("""COMPUTED_VALUE"""),"АИП-26")</f>
        <v>АИП-26</v>
      </c>
      <c r="C417" s="14" t="str">
        <f>IFERROR(__xludf.DUMMYFUNCTION("""COMPUTED_VALUE"""),"УДС")</f>
        <v>УДС</v>
      </c>
      <c r="D417" s="72"/>
      <c r="E417" s="14" t="str">
        <f>IFERROR(__xludf.DUMMYFUNCTION("""COMPUTED_VALUE"""),"Строительство путепровода Добролюбова-Складочная. Этап 2 ул. Добролюбова с ул. Складочная")</f>
        <v>Строительство путепровода Добролюбова-Складочная. Этап 2 ул. Добролюбова с ул. Складочная</v>
      </c>
      <c r="F417" s="25" t="str">
        <f>IFERROR(__xludf.DUMMYFUNCTION("""COMPUTED_VALUE"""),"#N/A")</f>
        <v>#N/A</v>
      </c>
      <c r="G417" s="6" t="str">
        <f>IFERROR(__xludf.DUMMYFUNCTION("""COMPUTED_VALUE"""),"#N/A")</f>
        <v>#N/A</v>
      </c>
      <c r="H417" s="6"/>
      <c r="I417" s="6"/>
      <c r="J417" s="50">
        <f>IFERROR(__xludf.DUMMYFUNCTION("""COMPUTED_VALUE"""),42.8898)</f>
        <v>42.8898</v>
      </c>
      <c r="K417" s="58">
        <f>IFERROR(__xludf.DUMMYFUNCTION("""COMPUTED_VALUE"""),45973.0)</f>
        <v>45973</v>
      </c>
      <c r="L417" s="6">
        <v>30.0</v>
      </c>
      <c r="M417" s="52">
        <v>46003.0</v>
      </c>
      <c r="N417" s="53" t="s">
        <v>711</v>
      </c>
      <c r="O417" s="6" t="s">
        <v>897</v>
      </c>
      <c r="P417" s="6"/>
      <c r="Q417" s="6" t="str">
        <f t="shared" si="1"/>
        <v>#N/A</v>
      </c>
      <c r="R417" s="6"/>
    </row>
    <row r="418" hidden="1">
      <c r="A418" s="31" t="str">
        <f>IFERROR(__xludf.DUMMYFUNCTION("""COMPUTED_VALUE"""),"202д (этап 1)")</f>
        <v>202д (этап 1)</v>
      </c>
      <c r="B418" s="14" t="str">
        <f>IFERROR(__xludf.DUMMYFUNCTION("""COMPUTED_VALUE"""),"АИП-26")</f>
        <v>АИП-26</v>
      </c>
      <c r="C418" s="14" t="str">
        <f>IFERROR(__xludf.DUMMYFUNCTION("""COMPUTED_VALUE"""),"УДС")</f>
        <v>УДС</v>
      </c>
      <c r="D418" s="72"/>
      <c r="E418" s="14" t="str">
        <f>IFERROR(__xludf.DUMMYFUNCTION("""COMPUTED_VALUE"""),"Реконструкция набережной р. Москвы от Филевского парка до территории театра ""Мастерская П.Н.Фоменко"" (включительно).Этапы 1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1 набережная р. Москвы от Филевского парка до территории театра "Мастерская П.Н.Фоменко"</v>
      </c>
      <c r="F418" s="25" t="str">
        <f>IFERROR(__xludf.DUMMYFUNCTION("""COMPUTED_VALUE"""),"#N/A")</f>
        <v>#N/A</v>
      </c>
      <c r="G418" s="6" t="str">
        <f>IFERROR(__xludf.DUMMYFUNCTION("""COMPUTED_VALUE"""),"#N/A")</f>
        <v>#N/A</v>
      </c>
      <c r="H418" s="6"/>
      <c r="I418" s="6"/>
      <c r="J418" s="50">
        <f>IFERROR(__xludf.DUMMYFUNCTION("""COMPUTED_VALUE"""),60.524000000000015)</f>
        <v>60.524</v>
      </c>
      <c r="K418" s="58">
        <f>IFERROR(__xludf.DUMMYFUNCTION("""COMPUTED_VALUE"""),45972.0)</f>
        <v>45972</v>
      </c>
      <c r="L418" s="6">
        <v>14.0</v>
      </c>
      <c r="M418" s="52">
        <v>45986.0</v>
      </c>
      <c r="N418" s="53" t="s">
        <v>711</v>
      </c>
      <c r="O418" s="6"/>
      <c r="P418" s="6"/>
      <c r="Q418" s="6" t="str">
        <f t="shared" si="1"/>
        <v>#N/A</v>
      </c>
      <c r="R418" s="6"/>
    </row>
    <row r="419" hidden="1">
      <c r="A419" s="31" t="str">
        <f>IFERROR(__xludf.DUMMYFUNCTION("""COMPUTED_VALUE"""),"152д (этап 4.1, 4.2)")</f>
        <v>152д (этап 4.1, 4.2)</v>
      </c>
      <c r="B419" s="14" t="str">
        <f>IFERROR(__xludf.DUMMYFUNCTION("""COMPUTED_VALUE"""),"АИП-26")</f>
        <v>АИП-26</v>
      </c>
      <c r="C419" s="14" t="str">
        <f>IFERROR(__xludf.DUMMYFUNCTION("""COMPUTED_VALUE"""),"УДС")</f>
        <v>УДС</v>
      </c>
      <c r="D419" s="72"/>
      <c r="E419" s="14" t="str">
        <f>IFERROR(__xludf.DUMMYFUNCTION("""COMPUTED_VALUE"""),"Реконструкция набережной р. Москвы от Филевского парка до территории театра ""Мастерская П.Н.Фоменко"" (включительно).Этапы 4.1, 4.2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4.1, 4.2 набережная р. Москвы от Филевского парка до территории театра "Мастерская П.Н.Фоменко"</v>
      </c>
      <c r="F419" s="25" t="str">
        <f>IFERROR(__xludf.DUMMYFUNCTION("""COMPUTED_VALUE"""),"#N/A")</f>
        <v>#N/A</v>
      </c>
      <c r="G419" s="6" t="str">
        <f>IFERROR(__xludf.DUMMYFUNCTION("""COMPUTED_VALUE"""),"#N/A")</f>
        <v>#N/A</v>
      </c>
      <c r="H419" s="6"/>
      <c r="I419" s="6"/>
      <c r="J419" s="50">
        <f>IFERROR(__xludf.DUMMYFUNCTION("""COMPUTED_VALUE"""),0.0)</f>
        <v>0</v>
      </c>
      <c r="K419" s="58">
        <f>IFERROR(__xludf.DUMMYFUNCTION("""COMPUTED_VALUE"""),45972.0)</f>
        <v>45972</v>
      </c>
      <c r="L419" s="6">
        <v>30.0</v>
      </c>
      <c r="M419" s="52">
        <v>46002.0</v>
      </c>
      <c r="N419" s="53" t="s">
        <v>711</v>
      </c>
      <c r="O419" s="6" t="s">
        <v>898</v>
      </c>
      <c r="P419" s="6"/>
      <c r="Q419" s="6" t="str">
        <f t="shared" si="1"/>
        <v>#N/A</v>
      </c>
      <c r="R419" s="6"/>
    </row>
    <row r="420" hidden="1">
      <c r="A420" s="31" t="str">
        <f>IFERROR(__xludf.DUMMYFUNCTION("""COMPUTED_VALUE"""),"152д (этап 4.2)")</f>
        <v>152д (этап 4.2)</v>
      </c>
      <c r="B420" s="14" t="str">
        <f>IFERROR(__xludf.DUMMYFUNCTION("""COMPUTED_VALUE"""),"АИП-26")</f>
        <v>АИП-26</v>
      </c>
      <c r="C420" s="14" t="str">
        <f>IFERROR(__xludf.DUMMYFUNCTION("""COMPUTED_VALUE"""),"УДС")</f>
        <v>УДС</v>
      </c>
      <c r="D420" s="72"/>
      <c r="E420" s="14" t="str">
        <f>IFERROR(__xludf.DUMMYFUNCTION("""COMPUTED_VALUE"""),"Реконструкция набережной р. Москвы от Филевского парка до территории театра ""Мастерская П.Н.Фоменко"" (включительно).Этапы 4.2.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(включительно).Этапы 4.2. набережная р. Москвы от Филевского парка до территории театра "Мастерская П.Н.Фоменко"</v>
      </c>
      <c r="F420" s="25" t="str">
        <f>IFERROR(__xludf.DUMMYFUNCTION("""COMPUTED_VALUE"""),"#N/A")</f>
        <v>#N/A</v>
      </c>
      <c r="G420" s="6" t="str">
        <f>IFERROR(__xludf.DUMMYFUNCTION("""COMPUTED_VALUE"""),"#N/A")</f>
        <v>#N/A</v>
      </c>
      <c r="H420" s="6"/>
      <c r="I420" s="6"/>
      <c r="J420" s="50">
        <f>IFERROR(__xludf.DUMMYFUNCTION("""COMPUTED_VALUE"""),0.0)</f>
        <v>0</v>
      </c>
      <c r="K420" s="58">
        <f>IFERROR(__xludf.DUMMYFUNCTION("""COMPUTED_VALUE"""),45972.0)</f>
        <v>45972</v>
      </c>
      <c r="L420" s="6">
        <v>30.0</v>
      </c>
      <c r="M420" s="52">
        <v>46002.0</v>
      </c>
      <c r="N420" s="53" t="s">
        <v>711</v>
      </c>
      <c r="O420" s="6" t="s">
        <v>898</v>
      </c>
      <c r="P420" s="6"/>
      <c r="Q420" s="6" t="str">
        <f t="shared" si="1"/>
        <v>#N/A</v>
      </c>
      <c r="R420" s="6"/>
    </row>
    <row r="421" hidden="1">
      <c r="A421" s="31"/>
      <c r="B421" s="14"/>
      <c r="C421" s="14" t="str">
        <f>IFERROR(__xludf.DUMMYFUNCTION("""COMPUTED_VALUE"""),"УДС")</f>
        <v>УДС</v>
      </c>
      <c r="D421" s="72"/>
      <c r="E421" s="14" t="str">
        <f>IFERROR(__xludf.DUMMYFUNCTION("""COMPUTED_VALUE"""),"Капитальный ремонт существующего подземного пешеходного перехода «Тестовский-1 ТТК» г. Москва, 2-й Красногвардейский проезд, дом 12, соор.1.")</f>
        <v>Капитальный ремонт существующего подземного пешеходного перехода «Тестовский-1 ТТК» г. Москва, 2-й Красногвардейский проезд, дом 12, соор.1.</v>
      </c>
      <c r="F421" s="25" t="str">
        <f>IFERROR(__xludf.DUMMYFUNCTION("""COMPUTED_VALUE"""),"#N/A")</f>
        <v>#N/A</v>
      </c>
      <c r="G421" s="6" t="str">
        <f>IFERROR(__xludf.DUMMYFUNCTION("""COMPUTED_VALUE"""),"#N/A")</f>
        <v>#N/A</v>
      </c>
      <c r="H421" s="6"/>
      <c r="I421" s="6"/>
      <c r="J421" s="50"/>
      <c r="K421" s="58"/>
      <c r="L421" s="6" t="s">
        <v>655</v>
      </c>
      <c r="M421" s="52" t="s">
        <v>655</v>
      </c>
      <c r="N421" s="53" t="s">
        <v>655</v>
      </c>
      <c r="O421" s="6"/>
      <c r="P421" s="6"/>
      <c r="Q421" s="6" t="str">
        <f t="shared" si="1"/>
        <v>#N/A</v>
      </c>
      <c r="R421" s="6"/>
    </row>
    <row r="422" hidden="1">
      <c r="A422" s="31" t="str">
        <f>IFERROR(__xludf.DUMMYFUNCTION("""COMPUTED_VALUE"""),"192")</f>
        <v>192</v>
      </c>
      <c r="B422" s="14" t="str">
        <f>IFERROR(__xludf.DUMMYFUNCTION("""COMPUTED_VALUE"""),"АИП-26")</f>
        <v>АИП-26</v>
      </c>
      <c r="C422" s="14" t="str">
        <f>IFERROR(__xludf.DUMMYFUNCTION("""COMPUTED_VALUE"""),"ОКС")</f>
        <v>ОКС</v>
      </c>
      <c r="D422" s="72"/>
      <c r="E422" s="14" t="str">
        <f>IFERROR(__xludf.DUMMYFUNCTION("""COMPUTED_VALUE"""),"Строительство базы ГБУ ""Жилищник р-на Бирюлево Восточное"" в районе 8-я радиальная улица")</f>
        <v>Строительство базы ГБУ "Жилищник р-на Бирюлево Восточное" в районе 8-я радиальная улица</v>
      </c>
      <c r="F422" s="25" t="str">
        <f>IFERROR(__xludf.DUMMYFUNCTION("""COMPUTED_VALUE"""),"55.61198075325992")</f>
        <v>55.61198075325992</v>
      </c>
      <c r="G422" s="6" t="str">
        <f>IFERROR(__xludf.DUMMYFUNCTION("""COMPUTED_VALUE"""),"37.66123421691695")</f>
        <v>37.66123421691695</v>
      </c>
      <c r="H422" s="18" t="str">
        <f>IFERROR(__xludf.DUMMYFUNCTION("""COMPUTED_VALUE"""),"https://docs.google.com/spreadsheets/d/19THEBTE9q0fhN2eApZr6BgenIvLGh0AckaYxHQfHk5w/edit?gid=363363152#gid=363363152")</f>
        <v>https://docs.google.com/spreadsheets/d/19THEBTE9q0fhN2eApZr6BgenIvLGh0AckaYxHQfHk5w/edit?gid=363363152#gid=363363152</v>
      </c>
      <c r="I422" s="19"/>
      <c r="J422" s="50">
        <f>IFERROR(__xludf.DUMMYFUNCTION("""COMPUTED_VALUE"""),0.0)</f>
        <v>0</v>
      </c>
      <c r="K422" s="58">
        <f>IFERROR(__xludf.DUMMYFUNCTION("""COMPUTED_VALUE"""),45951.0)</f>
        <v>45951</v>
      </c>
      <c r="L422" s="6">
        <v>30.0</v>
      </c>
      <c r="M422" s="52">
        <v>45981.0</v>
      </c>
      <c r="N422" s="53" t="s">
        <v>701</v>
      </c>
      <c r="O422" s="19" t="s">
        <v>899</v>
      </c>
      <c r="P422" s="6"/>
      <c r="Q422" s="6" t="str">
        <f t="shared" si="1"/>
        <v>#N/A</v>
      </c>
      <c r="R422" s="6"/>
    </row>
    <row r="423" hidden="1">
      <c r="A423" s="31" t="str">
        <f>IFERROR(__xludf.DUMMYFUNCTION("""COMPUTED_VALUE"""),"245д")</f>
        <v>245д</v>
      </c>
      <c r="B423" s="14" t="str">
        <f>IFERROR(__xludf.DUMMYFUNCTION("""COMPUTED_VALUE"""),"АИП-26")</f>
        <v>АИП-26</v>
      </c>
      <c r="C423" s="14" t="str">
        <f>IFERROR(__xludf.DUMMYFUNCTION("""COMPUTED_VALUE"""),"УДС")</f>
        <v>УДС</v>
      </c>
      <c r="D423" s="72"/>
      <c r="E423" s="14" t="str">
        <f>IFERROR(__xludf.DUMMYFUNCTION("""COMPUTED_VALUE"""),"Реконструкция набережной р. Москвы от Филевского парка до территории театра ""Мастерская П.Н.Фоменко"" (включительно).
 этап 2 набережная р. Москвы от Филевского парка до территории театра ""Мастерская П.Н.Фоменко""")</f>
        <v>Реконструкция набережной р. Москвы от Филевского парка до территории театра "Мастерская П.Н.Фоменко" (включительно).
 этап 2 набережная р. Москвы от Филевского парка до территории театра "Мастерская П.Н.Фоменко"</v>
      </c>
      <c r="F423" s="25" t="str">
        <f>IFERROR(__xludf.DUMMYFUNCTION("""COMPUTED_VALUE"""),"#N/A")</f>
        <v>#N/A</v>
      </c>
      <c r="G423" s="6" t="str">
        <f>IFERROR(__xludf.DUMMYFUNCTION("""COMPUTED_VALUE"""),"#N/A")</f>
        <v>#N/A</v>
      </c>
      <c r="H423" s="6"/>
      <c r="I423" s="6"/>
      <c r="J423" s="50">
        <f>IFERROR(__xludf.DUMMYFUNCTION("""COMPUTED_VALUE"""),7.093750000000001)</f>
        <v>7.09375</v>
      </c>
      <c r="K423" s="58">
        <f>IFERROR(__xludf.DUMMYFUNCTION("""COMPUTED_VALUE"""),45972.0)</f>
        <v>45972</v>
      </c>
      <c r="L423" s="6">
        <v>30.0</v>
      </c>
      <c r="M423" s="52">
        <v>46002.0</v>
      </c>
      <c r="N423" s="53" t="s">
        <v>711</v>
      </c>
      <c r="O423" s="6" t="s">
        <v>900</v>
      </c>
      <c r="P423" s="6"/>
      <c r="Q423" s="6" t="str">
        <f t="shared" si="1"/>
        <v>#N/A</v>
      </c>
      <c r="R423" s="6"/>
    </row>
    <row r="424" hidden="1">
      <c r="A424" s="31" t="str">
        <f>IFERROR(__xludf.DUMMYFUNCTION("""COMPUTED_VALUE"""),"022")</f>
        <v>022</v>
      </c>
      <c r="B424" s="14" t="str">
        <f>IFERROR(__xludf.DUMMYFUNCTION("""COMPUTED_VALUE"""),"АИП-26")</f>
        <v>АИП-26</v>
      </c>
      <c r="C424" s="14" t="str">
        <f>IFERROR(__xludf.DUMMYFUNCTION("""COMPUTED_VALUE"""),"ОКС")</f>
        <v>ОКС</v>
      </c>
      <c r="D424" s="72"/>
      <c r="E424" s="14" t="str">
        <f>IFERROR(__xludf.DUMMYFUNCTION("""COMPUTED_VALUE"""),"ДОУ на 150 мест, г.о. Щербинка, кв-л Южный г. Москва, г.о. Щербинка, кв-л Южный. ул. Овражная вл. 7-9")</f>
        <v>ДОУ на 150 мест, г.о. Щербинка, кв-л Южный г. Москва, г.о. Щербинка, кв-л Южный. ул. Овражная вл. 7-9</v>
      </c>
      <c r="F424" s="25" t="str">
        <f>IFERROR(__xludf.DUMMYFUNCTION("""COMPUTED_VALUE"""),"55.49255981187333")</f>
        <v>55.49255981187333</v>
      </c>
      <c r="G424" s="6" t="str">
        <f>IFERROR(__xludf.DUMMYFUNCTION("""COMPUTED_VALUE"""),"37.552906880950104")</f>
        <v>37.552906880950104</v>
      </c>
      <c r="H424" s="18" t="str">
        <f>IFERROR(__xludf.DUMMYFUNCTION("""COMPUTED_VALUE"""),"https://docs.google.com/spreadsheets/d/19THEBTE9q0fhN2eApZr6BgenIvLGh0AckaYxHQfHk5w/edit?gid=799259912#gid=799259912")</f>
        <v>https://docs.google.com/spreadsheets/d/19THEBTE9q0fhN2eApZr6BgenIvLGh0AckaYxHQfHk5w/edit?gid=799259912#gid=799259912</v>
      </c>
      <c r="I424" s="19" t="str">
        <f>IFERROR(__xludf.DUMMYFUNCTION("""COMPUTED_VALUE"""),"https://disk.yandex.ru/client/disk/Осмотры%20объектов%20АНО%20СМГ/022.%20ДОУ%20150%2C%20Щербинка%20Овражная")</f>
        <v>https://disk.yandex.ru/client/disk/Осмотры%20объектов%20АНО%20СМГ/022.%20ДОУ%20150%2C%20Щербинка%20Овражная</v>
      </c>
      <c r="J424" s="50">
        <f>IFERROR(__xludf.DUMMYFUNCTION("""COMPUTED_VALUE"""),56.214062500000004)</f>
        <v>56.2140625</v>
      </c>
      <c r="K424" s="58">
        <f>IFERROR(__xludf.DUMMYFUNCTION("""COMPUTED_VALUE"""),45971.0)</f>
        <v>45971</v>
      </c>
      <c r="L424" s="6">
        <v>14.0</v>
      </c>
      <c r="M424" s="52">
        <v>45985.0</v>
      </c>
      <c r="N424" s="53" t="s">
        <v>711</v>
      </c>
      <c r="O424" s="19" t="s">
        <v>901</v>
      </c>
      <c r="P424" s="6"/>
      <c r="Q424" s="6" t="str">
        <f t="shared" si="1"/>
        <v>#N/A</v>
      </c>
      <c r="R424" s="6"/>
    </row>
    <row r="425" hidden="1">
      <c r="A425" s="31" t="str">
        <f>IFERROR(__xludf.DUMMYFUNCTION("""COMPUTED_VALUE"""),"158")</f>
        <v>158</v>
      </c>
      <c r="B425" s="14" t="str">
        <f>IFERROR(__xludf.DUMMYFUNCTION("""COMPUTED_VALUE"""),"АИП-26")</f>
        <v>АИП-26</v>
      </c>
      <c r="C425" s="14" t="str">
        <f>IFERROR(__xludf.DUMMYFUNCTION("""COMPUTED_VALUE"""),"ОКС")</f>
        <v>ОКС</v>
      </c>
      <c r="D425" s="72"/>
      <c r="E425" s="14" t="str">
        <f>IFERROR(__xludf.DUMMYFUNCTION("""COMPUTED_VALUE"""),"ДОУ на 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57")</f>
        <v>ДОУ на 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57</v>
      </c>
      <c r="F425" s="25" t="str">
        <f>IFERROR(__xludf.DUMMYFUNCTION("""COMPUTED_VALUE"""),"55.565322025765866")</f>
        <v>55.565322025765866</v>
      </c>
      <c r="G425" s="6" t="str">
        <f>IFERROR(__xludf.DUMMYFUNCTION("""COMPUTED_VALUE"""),"37.454323375607736")</f>
        <v>37.454323375607736</v>
      </c>
      <c r="H425" s="18" t="str">
        <f>IFERROR(__xludf.DUMMYFUNCTION("""COMPUTED_VALUE"""),"https://docs.google.com/spreadsheets/d/19THEBTE9q0fhN2eApZr6BgenIvLGh0AckaYxHQfHk5w/edit?gid=411584618#gid=411584618")</f>
        <v>https://docs.google.com/spreadsheets/d/19THEBTE9q0fhN2eApZr6BgenIvLGh0AckaYxHQfHk5w/edit?gid=411584618#gid=411584618</v>
      </c>
      <c r="I425" s="19" t="str">
        <f>IFERROR(__xludf.DUMMYFUNCTION("""COMPUTED_VALUE"""),"https://disk.yandex.ru/client/disk/Осмотры%20объектов%20АНО%20СМГ/158.%20ДОУ%20на%20200%20мест%20на%20территории%20АДЦ%20«Коммунарка»")</f>
        <v>https://disk.yandex.ru/client/disk/Осмотры%20объектов%20АНО%20СМГ/158.%20ДОУ%20на%20200%20мест%20на%20территории%20АДЦ%20«Коммунарка»</v>
      </c>
      <c r="J425" s="50">
        <f>IFERROR(__xludf.DUMMYFUNCTION("""COMPUTED_VALUE"""),0.0)</f>
        <v>0</v>
      </c>
      <c r="K425" s="58">
        <f>IFERROR(__xludf.DUMMYFUNCTION("""COMPUTED_VALUE"""),45954.0)</f>
        <v>45954</v>
      </c>
      <c r="L425" s="6">
        <v>30.0</v>
      </c>
      <c r="M425" s="52">
        <v>45984.0</v>
      </c>
      <c r="N425" s="53" t="s">
        <v>741</v>
      </c>
      <c r="O425" s="19" t="s">
        <v>902</v>
      </c>
      <c r="P425" s="6"/>
      <c r="Q425" s="6" t="str">
        <f t="shared" si="1"/>
        <v>#N/A</v>
      </c>
      <c r="R425" s="6"/>
    </row>
    <row r="426" hidden="1">
      <c r="A426" s="31" t="str">
        <f>IFERROR(__xludf.DUMMYFUNCTION("""COMPUTED_VALUE"""),"157")</f>
        <v>157</v>
      </c>
      <c r="B426" s="14" t="str">
        <f>IFERROR(__xludf.DUMMYFUNCTION("""COMPUTED_VALUE"""),"АИП-26")</f>
        <v>АИП-26</v>
      </c>
      <c r="C426" s="14" t="str">
        <f>IFERROR(__xludf.DUMMYFUNCTION("""COMPUTED_VALUE"""),"ОКС")</f>
        <v>ОКС</v>
      </c>
      <c r="D426" s="72"/>
      <c r="E426" s="14" t="str">
        <f>IFERROR(__xludf.DUMMYFUNCTION("""COMPUTED_VALUE"""),"ДОУ на 265 мест с бассейном на территории Административно-делового центра в п.Коммунарка г. Москва, поселение Сосенское, п. Коммунарка, территория Административно-делового центра, уч 56")</f>
        <v>ДОУ на 265 мест с бассейном на территории Административно-делового центра в п.Коммунарка г. Москва, поселение Сосенское, п. Коммунарка, территория Административно-делового центра, уч 56</v>
      </c>
      <c r="F426" s="25" t="str">
        <f>IFERROR(__xludf.DUMMYFUNCTION("""COMPUTED_VALUE"""),"55.56385067121409")</f>
        <v>55.56385067121409</v>
      </c>
      <c r="G426" s="6" t="str">
        <f>IFERROR(__xludf.DUMMYFUNCTION("""COMPUTED_VALUE"""),"37.45511194505948")</f>
        <v>37.45511194505948</v>
      </c>
      <c r="H426" s="18" t="str">
        <f>IFERROR(__xludf.DUMMYFUNCTION("""COMPUTED_VALUE"""),"https://docs.google.com/spreadsheets/d/19THEBTE9q0fhN2eApZr6BgenIvLGh0AckaYxHQfHk5w/edit?gid=1064873250#gid=1064873250")</f>
        <v>https://docs.google.com/spreadsheets/d/19THEBTE9q0fhN2eApZr6BgenIvLGh0AckaYxHQfHk5w/edit?gid=1064873250#gid=1064873250</v>
      </c>
      <c r="I426" s="19" t="str">
        <f>IFERROR(__xludf.DUMMYFUNCTION("""COMPUTED_VALUE"""),"https://disk.yandex.ru/client/disk/Осмотры%20объектов%20АНО%20СМГ/157.%20ДОУ%20на%20265%20мест%20с%20бассейном%20на%20территории%20АДЦ%20«Коммунарка»")</f>
        <v>https://disk.yandex.ru/client/disk/Осмотры%20объектов%20АНО%20СМГ/157.%20ДОУ%20на%20265%20мест%20с%20бассейном%20на%20территории%20АДЦ%20«Коммунарка»</v>
      </c>
      <c r="J426" s="50">
        <f>IFERROR(__xludf.DUMMYFUNCTION("""COMPUTED_VALUE"""),0.0)</f>
        <v>0</v>
      </c>
      <c r="K426" s="58">
        <f>IFERROR(__xludf.DUMMYFUNCTION("""COMPUTED_VALUE"""),45954.0)</f>
        <v>45954</v>
      </c>
      <c r="L426" s="6">
        <v>30.0</v>
      </c>
      <c r="M426" s="52">
        <v>45984.0</v>
      </c>
      <c r="N426" s="53" t="s">
        <v>741</v>
      </c>
      <c r="O426" s="19" t="s">
        <v>903</v>
      </c>
      <c r="P426" s="6"/>
      <c r="Q426" s="6" t="str">
        <f t="shared" si="1"/>
        <v>#N/A</v>
      </c>
      <c r="R426" s="6"/>
    </row>
    <row r="427" hidden="1">
      <c r="A427" s="31" t="str">
        <f>IFERROR(__xludf.DUMMYFUNCTION("""COMPUTED_VALUE"""),"1054д")</f>
        <v>1054д</v>
      </c>
      <c r="B427" s="14" t="str">
        <f>IFERROR(__xludf.DUMMYFUNCTION("""COMPUTED_VALUE"""),"АИП-26")</f>
        <v>АИП-26</v>
      </c>
      <c r="C427" s="14" t="str">
        <f>IFERROR(__xludf.DUMMYFUNCTION("""COMPUTED_VALUE"""),"УДС")</f>
        <v>УДС</v>
      </c>
      <c r="D427" s="72"/>
      <c r="E427" s="14" t="str">
        <f>IFERROR(__xludf.DUMMYFUNCTION("""COMPUTED_VALUE"""),"015-0556 605-02 Городские инженерные коммуникации для комплексной реконструкции мкр.1 р-на Царицыно 1-ый мкр Царицыно")</f>
        <v>015-0556 605-02 Городские инженерные коммуникации для комплексной реконструкции мкр.1 р-на Царицыно 1-ый мкр Царицыно</v>
      </c>
      <c r="F427" s="25" t="str">
        <f>IFERROR(__xludf.DUMMYFUNCTION("""COMPUTED_VALUE"""),"55.63530081887513")</f>
        <v>55.63530081887513</v>
      </c>
      <c r="G427" s="6" t="str">
        <f>IFERROR(__xludf.DUMMYFUNCTION("""COMPUTED_VALUE"""),"37.66292317664127")</f>
        <v>37.66292317664127</v>
      </c>
      <c r="H427" s="6"/>
      <c r="I427" s="6" t="str">
        <f>IFERROR(__xludf.DUMMYFUNCTION("""COMPUTED_VALUE"""),"https://disk.yandex.ru/client/disk/Осмотры%20объектов%20АНО%20СМГ/1054.%20Городские%20индженерные%20коммуникации%20для%20комплексной%20реконструкции%20мкр.%201%20Царицино")</f>
        <v>https://disk.yandex.ru/client/disk/Осмотры%20объектов%20АНО%20СМГ/1054.%20Городские%20индженерные%20коммуникации%20для%20комплексной%20реконструкции%20мкр.%201%20Царицино</v>
      </c>
      <c r="J427" s="50">
        <f>IFERROR(__xludf.DUMMYFUNCTION("""COMPUTED_VALUE"""),64.575)</f>
        <v>64.575</v>
      </c>
      <c r="K427" s="58">
        <f>IFERROR(__xludf.DUMMYFUNCTION("""COMPUTED_VALUE"""),45954.0)</f>
        <v>45954</v>
      </c>
      <c r="L427" s="6">
        <v>14.0</v>
      </c>
      <c r="M427" s="52">
        <v>45968.0</v>
      </c>
      <c r="N427" s="53" t="s">
        <v>668</v>
      </c>
      <c r="O427" s="6" t="s">
        <v>904</v>
      </c>
      <c r="P427" s="6"/>
      <c r="Q427" s="6" t="str">
        <f t="shared" si="1"/>
        <v>#N/A</v>
      </c>
      <c r="R427" s="6"/>
    </row>
    <row r="428" hidden="1">
      <c r="A428" s="31" t="str">
        <f>IFERROR(__xludf.DUMMYFUNCTION("""COMPUTED_VALUE"""),"306д (сводный)")</f>
        <v>306д (сводный)</v>
      </c>
      <c r="B428" s="14" t="str">
        <f>IFERROR(__xludf.DUMMYFUNCTION("""COMPUTED_VALUE"""),"АИП-26")</f>
        <v>АИП-26</v>
      </c>
      <c r="C428" s="14" t="str">
        <f>IFERROR(__xludf.DUMMYFUNCTION("""COMPUTED_VALUE"""),"УДС")</f>
        <v>УДС</v>
      </c>
      <c r="D428" s="72"/>
      <c r="E428"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4.6, 4.7, 1.2. ")</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4.6, 4.7, 1.2. </v>
      </c>
      <c r="F428" s="25" t="str">
        <f>IFERROR(__xludf.DUMMYFUNCTION("""COMPUTED_VALUE"""),"#N/A")</f>
        <v>#N/A</v>
      </c>
      <c r="G428" s="6" t="str">
        <f>IFERROR(__xludf.DUMMYFUNCTION("""COMPUTED_VALUE"""),"#N/A")</f>
        <v>#N/A</v>
      </c>
      <c r="H428" s="6"/>
      <c r="I428" s="6"/>
      <c r="J428" s="50"/>
      <c r="K428" s="58"/>
      <c r="L428" s="6">
        <v>30.0</v>
      </c>
      <c r="M428" s="52" t="s">
        <v>655</v>
      </c>
      <c r="N428" s="53" t="s">
        <v>698</v>
      </c>
      <c r="O428" s="6"/>
      <c r="P428" s="6"/>
      <c r="Q428" s="6" t="str">
        <f t="shared" si="1"/>
        <v>#N/A</v>
      </c>
      <c r="R428" s="6"/>
    </row>
    <row r="429" hidden="1">
      <c r="A429" s="31" t="str">
        <f>IFERROR(__xludf.DUMMYFUNCTION("""COMPUTED_VALUE"""),"306д (этап 3.3)")</f>
        <v>306д (этап 3.3)</v>
      </c>
      <c r="B429" s="14"/>
      <c r="C429" s="14" t="str">
        <f>IFERROR(__xludf.DUMMYFUNCTION("""COMPUTED_VALUE"""),"УДС")</f>
        <v>УДС</v>
      </c>
      <c r="D429" s="72"/>
      <c r="E429"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пересечение МКАД с ул."&amp;" 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3.3. пересечение МКАД с ул. Капотня</v>
      </c>
      <c r="F429" s="25" t="str">
        <f>IFERROR(__xludf.DUMMYFUNCTION("""COMPUTED_VALUE"""),"#N/A")</f>
        <v>#N/A</v>
      </c>
      <c r="G429" s="6" t="str">
        <f>IFERROR(__xludf.DUMMYFUNCTION("""COMPUTED_VALUE"""),"#N/A")</f>
        <v>#N/A</v>
      </c>
      <c r="H429" s="6"/>
      <c r="I429" s="6"/>
      <c r="J429" s="50"/>
      <c r="K429" s="58"/>
      <c r="L429" s="6">
        <v>30.0</v>
      </c>
      <c r="M429" s="52" t="s">
        <v>655</v>
      </c>
      <c r="N429" s="53" t="s">
        <v>698</v>
      </c>
      <c r="O429" s="6" t="s">
        <v>905</v>
      </c>
      <c r="P429" s="6"/>
      <c r="Q429" s="6" t="str">
        <f t="shared" si="1"/>
        <v>#N/A</v>
      </c>
      <c r="R429" s="6"/>
    </row>
    <row r="430" hidden="1">
      <c r="A430" s="31" t="str">
        <f>IFERROR(__xludf.DUMMYFUNCTION("""COMPUTED_VALUE"""),"306д (этап 4.6)")</f>
        <v>306д (этап 4.6)</v>
      </c>
      <c r="B430" s="14"/>
      <c r="C430" s="14" t="str">
        <f>IFERROR(__xludf.DUMMYFUNCTION("""COMPUTED_VALUE"""),"УДС")</f>
        <v>УДС</v>
      </c>
      <c r="D430" s="73"/>
      <c r="E430"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4.6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4.6 пересечение МКАД с ул. Капотня</v>
      </c>
      <c r="F430" s="25" t="str">
        <f>IFERROR(__xludf.DUMMYFUNCTION("""COMPUTED_VALUE"""),"#N/A")</f>
        <v>#N/A</v>
      </c>
      <c r="G430" s="6" t="str">
        <f>IFERROR(__xludf.DUMMYFUNCTION("""COMPUTED_VALUE"""),"#N/A")</f>
        <v>#N/A</v>
      </c>
      <c r="H430" s="6"/>
      <c r="I430" s="6"/>
      <c r="J430" s="50"/>
      <c r="K430" s="58"/>
      <c r="L430" s="6">
        <v>30.0</v>
      </c>
      <c r="M430" s="52" t="s">
        <v>655</v>
      </c>
      <c r="N430" s="53" t="s">
        <v>698</v>
      </c>
      <c r="O430" s="6" t="s">
        <v>906</v>
      </c>
      <c r="P430" s="6"/>
      <c r="Q430" s="6" t="str">
        <f t="shared" si="1"/>
        <v>#N/A</v>
      </c>
      <c r="R430" s="6"/>
    </row>
    <row r="431" hidden="1">
      <c r="A431" s="31" t="str">
        <f>IFERROR(__xludf.DUMMYFUNCTION("""COMPUTED_VALUE"""),"306д (этап 4.7)")</f>
        <v>306д (этап 4.7)</v>
      </c>
      <c r="B431" s="14"/>
      <c r="C431" s="14" t="str">
        <f>IFERROR(__xludf.DUMMYFUNCTION("""COMPUTED_VALUE"""),"УДС")</f>
        <v>УДС</v>
      </c>
      <c r="D431" s="69"/>
      <c r="E431"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4.7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4.7 пересечение МКАД с ул. Капотня</v>
      </c>
      <c r="F431" s="25" t="str">
        <f>IFERROR(__xludf.DUMMYFUNCTION("""COMPUTED_VALUE"""),"#N/A")</f>
        <v>#N/A</v>
      </c>
      <c r="G431" s="6" t="str">
        <f>IFERROR(__xludf.DUMMYFUNCTION("""COMPUTED_VALUE"""),"#N/A")</f>
        <v>#N/A</v>
      </c>
      <c r="H431" s="6"/>
      <c r="I431" s="6"/>
      <c r="J431" s="50"/>
      <c r="K431" s="58"/>
      <c r="L431" s="6">
        <v>30.0</v>
      </c>
      <c r="M431" s="52" t="s">
        <v>655</v>
      </c>
      <c r="N431" s="53" t="s">
        <v>698</v>
      </c>
      <c r="O431" s="6" t="s">
        <v>905</v>
      </c>
      <c r="P431" s="6"/>
      <c r="Q431" s="6" t="str">
        <f t="shared" si="1"/>
        <v>#N/A</v>
      </c>
      <c r="R431" s="6"/>
    </row>
    <row r="432" hidden="1">
      <c r="A432" s="31" t="str">
        <f>IFERROR(__xludf.DUMMYFUNCTION("""COMPUTED_VALUE"""),"306д (этап 1.2)")</f>
        <v>306д (этап 1.2)</v>
      </c>
      <c r="B432" s="14"/>
      <c r="C432" s="14" t="str">
        <f>IFERROR(__xludf.DUMMYFUNCTION("""COMPUTED_VALUE"""),"УДС")</f>
        <v>УДС</v>
      </c>
      <c r="D432" s="60"/>
      <c r="E432" s="14" t="str">
        <f>IFERROR(__xludf.DUMMYFUNCTION("""COMPUTED_VALUE"""),"ЮР-5.Многоуровневые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1.2 пересечение МКАД с ул. "&amp;"Капотня")</f>
        <v>ЮР-5.Многоуровневые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 до Косинского ш. Этапы 1.2 пересечение МКАД с ул. Капотня</v>
      </c>
      <c r="F432" s="25" t="str">
        <f>IFERROR(__xludf.DUMMYFUNCTION("""COMPUTED_VALUE"""),"#N/A")</f>
        <v>#N/A</v>
      </c>
      <c r="G432" s="6" t="str">
        <f>IFERROR(__xludf.DUMMYFUNCTION("""COMPUTED_VALUE"""),"#N/A")</f>
        <v>#N/A</v>
      </c>
      <c r="H432" s="6"/>
      <c r="I432" s="6"/>
      <c r="J432" s="50"/>
      <c r="K432" s="58"/>
      <c r="L432" s="6">
        <v>30.0</v>
      </c>
      <c r="M432" s="52" t="s">
        <v>655</v>
      </c>
      <c r="N432" s="53" t="s">
        <v>698</v>
      </c>
      <c r="O432" s="6" t="s">
        <v>905</v>
      </c>
      <c r="P432" s="6"/>
      <c r="Q432" s="6" t="str">
        <f t="shared" si="1"/>
        <v>#N/A</v>
      </c>
      <c r="R432" s="6"/>
    </row>
    <row r="433" hidden="1">
      <c r="A433" s="31" t="str">
        <f>IFERROR(__xludf.DUMMYFUNCTION("""COMPUTED_VALUE"""),"1132 (этап 1)")</f>
        <v>1132 (этап 1)</v>
      </c>
      <c r="B433" s="14" t="str">
        <f>IFERROR(__xludf.DUMMYFUNCTION("""COMPUTED_VALUE"""),"АИП-26")</f>
        <v>АИП-26</v>
      </c>
      <c r="C433" s="14" t="str">
        <f>IFERROR(__xludf.DUMMYFUNCTION("""COMPUTED_VALUE"""),"УДС")</f>
        <v>УДС</v>
      </c>
      <c r="D433" s="60"/>
      <c r="E433" s="14" t="str">
        <f>IFERROR(__xludf.DUMMYFUNCTION("""COMPUTED_VALUE"""),"Технологическая часть ТПУ на станции метро ""Авиамоторная"". Этапы 1, г.Москва,
 м. ""Авиамоторная""")</f>
        <v>Технологическая часть ТПУ на станции метро "Авиамоторная". Этапы 1, г.Москва,
 м. "Авиамоторная"</v>
      </c>
      <c r="F433" s="25" t="str">
        <f>IFERROR(__xludf.DUMMYFUNCTION("""COMPUTED_VALUE"""),"55.752962604373806")</f>
        <v>55.752962604373806</v>
      </c>
      <c r="G433" s="6" t="str">
        <f>IFERROR(__xludf.DUMMYFUNCTION("""COMPUTED_VALUE"""),"37.71994250729798")</f>
        <v>37.71994250729798</v>
      </c>
      <c r="H433" s="18" t="str">
        <f>IFERROR(__xludf.DUMMYFUNCTION("""COMPUTED_VALUE"""),"https://docs.google.com/spreadsheets/d/1jonEGMB3UFHiUZpltF1zURon8gYN7jGSHu-k9t5TXnA/edit?gid=489526164#gid=489526164")</f>
        <v>https://docs.google.com/spreadsheets/d/1jonEGMB3UFHiUZpltF1zURon8gYN7jGSHu-k9t5TXnA/edit?gid=489526164#gid=489526164</v>
      </c>
      <c r="I433"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3" s="50">
        <f>IFERROR(__xludf.DUMMYFUNCTION("""COMPUTED_VALUE"""),100.0)</f>
        <v>100</v>
      </c>
      <c r="K433" s="58">
        <f>IFERROR(__xludf.DUMMYFUNCTION("""COMPUTED_VALUE"""),45972.0)</f>
        <v>45972</v>
      </c>
      <c r="L433" s="6" t="s">
        <v>654</v>
      </c>
      <c r="M433" s="52" t="s">
        <v>655</v>
      </c>
      <c r="N433" s="53" t="s">
        <v>656</v>
      </c>
      <c r="O433" s="6" t="s">
        <v>907</v>
      </c>
      <c r="P433" s="6"/>
      <c r="Q433" s="6" t="str">
        <f t="shared" si="1"/>
        <v>#N/A</v>
      </c>
      <c r="R433" s="6"/>
    </row>
    <row r="434" hidden="1">
      <c r="A434" s="31" t="str">
        <f>IFERROR(__xludf.DUMMYFUNCTION("""COMPUTED_VALUE"""),"1132 (этап 3)")</f>
        <v>1132 (этап 3)</v>
      </c>
      <c r="B434" s="14" t="str">
        <f>IFERROR(__xludf.DUMMYFUNCTION("""COMPUTED_VALUE"""),"АИП-26")</f>
        <v>АИП-26</v>
      </c>
      <c r="C434" s="14" t="str">
        <f>IFERROR(__xludf.DUMMYFUNCTION("""COMPUTED_VALUE"""),"УДС")</f>
        <v>УДС</v>
      </c>
      <c r="D434" s="60"/>
      <c r="E434" s="14" t="str">
        <f>IFERROR(__xludf.DUMMYFUNCTION("""COMPUTED_VALUE"""),"Технологическая часть ТПУ на станции метро ""Авиамоторная"". Этапы 3 (Строительство трамвайного кольца с конечной станцией, перронов посадки-высадки пассажиров НГПТ у вестибюля № 1"" г.Москва,
 м. ""Авиамоторная""")</f>
        <v>Технологическая часть ТПУ на станции метро "Авиамоторная". Этапы 3 (Строительство трамвайного кольца с конечной станцией, перронов посадки-высадки пассажиров НГПТ у вестибюля № 1" г.Москва,
 м. "Авиамоторная"</v>
      </c>
      <c r="F434" s="25" t="str">
        <f>IFERROR(__xludf.DUMMYFUNCTION("""COMPUTED_VALUE"""),"55.752962604373806")</f>
        <v>55.752962604373806</v>
      </c>
      <c r="G434" s="6" t="str">
        <f>IFERROR(__xludf.DUMMYFUNCTION("""COMPUTED_VALUE"""),"37.71994250729798")</f>
        <v>37.71994250729798</v>
      </c>
      <c r="H434" s="18" t="str">
        <f>IFERROR(__xludf.DUMMYFUNCTION("""COMPUTED_VALUE"""),"https://docs.google.com/spreadsheets/d/1jonEGMB3UFHiUZpltF1zURon8gYN7jGSHu-k9t5TXnA/edit?gid=337450969#gid=337450969")</f>
        <v>https://docs.google.com/spreadsheets/d/1jonEGMB3UFHiUZpltF1zURon8gYN7jGSHu-k9t5TXnA/edit?gid=337450969#gid=337450969</v>
      </c>
      <c r="I434"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4" s="50">
        <f>IFERROR(__xludf.DUMMYFUNCTION("""COMPUTED_VALUE"""),41.255)</f>
        <v>41.255</v>
      </c>
      <c r="K434" s="58">
        <f>IFERROR(__xludf.DUMMYFUNCTION("""COMPUTED_VALUE"""),45959.0)</f>
        <v>45959</v>
      </c>
      <c r="L434" s="6">
        <v>30.0</v>
      </c>
      <c r="M434" s="52">
        <v>45989.0</v>
      </c>
      <c r="N434" s="53" t="s">
        <v>692</v>
      </c>
      <c r="O434" s="6" t="s">
        <v>908</v>
      </c>
      <c r="P434" s="6"/>
      <c r="Q434" s="6" t="str">
        <f t="shared" si="1"/>
        <v>#N/A</v>
      </c>
      <c r="R434" s="6"/>
    </row>
    <row r="435" hidden="1">
      <c r="A435" s="31" t="str">
        <f>IFERROR(__xludf.DUMMYFUNCTION("""COMPUTED_VALUE"""),"1132 (этап 4)")</f>
        <v>1132 (этап 4)</v>
      </c>
      <c r="B435" s="14" t="str">
        <f>IFERROR(__xludf.DUMMYFUNCTION("""COMPUTED_VALUE"""),"АИП-26")</f>
        <v>АИП-26</v>
      </c>
      <c r="C435" s="14" t="str">
        <f>IFERROR(__xludf.DUMMYFUNCTION("""COMPUTED_VALUE"""),"УДС")</f>
        <v>УДС</v>
      </c>
      <c r="D435" s="60"/>
      <c r="E435" s="14" t="str">
        <f>IFERROR(__xludf.DUMMYFUNCTION("""COMPUTED_VALUE"""),"Технологическая часть ТПУ на станции метро ""Авиамоторная"". Этапы 4 (Реконструкция проезда под Дангауэровским путепроводом и выезда на шоссе Энтузиастов включая шумозащитные сероприятия"" г.Москва,
 м. ""Авиамоторная""")</f>
        <v>Технологическая часть ТПУ на станции метро "Авиамоторная". Этапы 4 (Реконструкция проезда под Дангауэровским путепроводом и выезда на шоссе Энтузиастов включая шумозащитные сероприятия" г.Москва,
 м. "Авиамоторная"</v>
      </c>
      <c r="F435" s="25" t="str">
        <f>IFERROR(__xludf.DUMMYFUNCTION("""COMPUTED_VALUE"""),"55.752962604373806")</f>
        <v>55.752962604373806</v>
      </c>
      <c r="G435" s="6" t="str">
        <f>IFERROR(__xludf.DUMMYFUNCTION("""COMPUTED_VALUE"""),"37.71994250729798")</f>
        <v>37.71994250729798</v>
      </c>
      <c r="H435" s="18" t="str">
        <f>IFERROR(__xludf.DUMMYFUNCTION("""COMPUTED_VALUE"""),"https://docs.google.com/spreadsheets/d/1jonEGMB3UFHiUZpltF1zURon8gYN7jGSHu-k9t5TXnA/edit?gid=1435875576#gid=1435875576")</f>
        <v>https://docs.google.com/spreadsheets/d/1jonEGMB3UFHiUZpltF1zURon8gYN7jGSHu-k9t5TXnA/edit?gid=1435875576#gid=1435875576</v>
      </c>
      <c r="I435"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5" s="50">
        <f>IFERROR(__xludf.DUMMYFUNCTION("""COMPUTED_VALUE"""),100.0)</f>
        <v>100</v>
      </c>
      <c r="K435" s="58">
        <f>IFERROR(__xludf.DUMMYFUNCTION("""COMPUTED_VALUE"""),45959.0)</f>
        <v>45959</v>
      </c>
      <c r="L435" s="6" t="s">
        <v>654</v>
      </c>
      <c r="M435" s="52" t="s">
        <v>655</v>
      </c>
      <c r="N435" s="53" t="s">
        <v>656</v>
      </c>
      <c r="O435" s="6" t="s">
        <v>909</v>
      </c>
      <c r="P435" s="6"/>
      <c r="Q435" s="6" t="str">
        <f t="shared" si="1"/>
        <v>#N/A</v>
      </c>
      <c r="R435" s="6"/>
    </row>
    <row r="436" hidden="1">
      <c r="A436" s="31"/>
      <c r="B436" s="14" t="str">
        <f>IFERROR(__xludf.DUMMYFUNCTION("""COMPUTED_VALUE"""),"АИП-26")</f>
        <v>АИП-26</v>
      </c>
      <c r="C436" s="14" t="str">
        <f>IFERROR(__xludf.DUMMYFUNCTION("""COMPUTED_VALUE"""),"УДС")</f>
        <v>УДС</v>
      </c>
      <c r="D436" s="60"/>
      <c r="E436" s="14" t="str">
        <f>IFERROR(__xludf.DUMMYFUNCTION("""COMPUTED_VALUE"""),"Технологическая часть ТПУ на станции метро ""Авиамоторная"". Этапы 6 (Строительство проезда 1210"" по адресу район Соколиная гора, Восточный административный округ города Москвы, район Лефортово, Юго-Восточный административный округ города Москвы) г.Москв"&amp;"а,
 м. ""Авиамоторная""")</f>
        <v>Технологическая часть ТПУ на станции метро "Авиамоторная". Этапы 6 (Строительство проезда 1210" по адресу район Соколиная гора, Восточный административный округ города Москвы, район Лефортово, Юго-Восточный административный округ города Москвы) г.Москва,
 м. "Авиамоторная"</v>
      </c>
      <c r="F436" s="25" t="str">
        <f>IFERROR(__xludf.DUMMYFUNCTION("""COMPUTED_VALUE"""),"#N/A")</f>
        <v>#N/A</v>
      </c>
      <c r="G436" s="6" t="str">
        <f>IFERROR(__xludf.DUMMYFUNCTION("""COMPUTED_VALUE"""),"#N/A")</f>
        <v>#N/A</v>
      </c>
      <c r="H436" s="6"/>
      <c r="I436" s="18" t="str">
        <f>IFERROR(__xludf.DUMMYFUNCTION("""COMPUTED_VALUE"""),"https://disk.yandex.ru/client/disk/%D0%9E%D1%81%D0%BC%D0%BE%D1%82%D1%80%D1%8B%20%D0%BE%D0%B1%D1%8A%D0%B5%D0%BA%D1%82%D0%BE%D0%B2%20%D0%90%D0%9D%D0%9E%20%D0%A1%D0%9C%D0%93/1132.%20%D0%A2%D0%B5%D1%85%D0%BD%D0%BE%D0%BB%D0%BE%D0%B3%D0%B8%D1%87%D0%B5%D1%81%D0%"&amp;"BA%D0%B0%D1%8F%20%D1%87%D0%B0%D1%81%D1%82%D1%8C%20%D0%A2%D0%9F%D0%A3%20%D0%BD%D0%B0%20%D1%81%D1%82%D0%B0%D0%BD%D1%86%D0%B8%D0%B8%20%D0%BC%D0%B5%D1%82%D1%80%D0%BE%20%22%D0%90%D0%B2%D0%B8%D0%B0%D0%BC%D0%BE%D1%82%D0%BE%D1%80%D0%BD%D0%B0%D1%8F%22%20")</f>
        <v>https://disk.yandex.ru/client/disk/%D0%9E%D1%81%D0%BC%D0%BE%D1%82%D1%80%D1%8B%20%D0%BE%D0%B1%D1%8A%D0%B5%D0%BA%D1%82%D0%BE%D0%B2%20%D0%90%D0%9D%D0%9E%20%D0%A1%D0%9C%D0%93/1132.%20%D0%A2%D0%B5%D1%85%D0%BD%D0%BE%D0%BB%D0%BE%D0%B3%D0%B8%D1%87%D0%B5%D1%81%D0%BA%D0%B0%D1%8F%20%D1%87%D0%B0%D1%81%D1%82%D1%8C%20%D0%A2%D0%9F%D0%A3%20%D0%BD%D0%B0%20%D1%81%D1%82%D0%B0%D0%BD%D1%86%D0%B8%D0%B8%20%D0%BC%D0%B5%D1%82%D1%80%D0%BE%20%22%D0%90%D0%B2%D0%B8%D0%B0%D0%BC%D0%BE%D1%82%D0%BE%D1%80%D0%BD%D0%B0%D1%8F%22%20</v>
      </c>
      <c r="J436" s="50"/>
      <c r="K436" s="58"/>
      <c r="L436" s="6" t="s">
        <v>655</v>
      </c>
      <c r="M436" s="52" t="s">
        <v>655</v>
      </c>
      <c r="N436" s="53" t="s">
        <v>655</v>
      </c>
      <c r="O436" s="6" t="s">
        <v>910</v>
      </c>
      <c r="P436" s="6"/>
      <c r="Q436" s="6" t="str">
        <f t="shared" si="1"/>
        <v>#N/A</v>
      </c>
      <c r="R436" s="6"/>
    </row>
    <row r="437" hidden="1">
      <c r="A437" s="31" t="str">
        <f>IFERROR(__xludf.DUMMYFUNCTION("""COMPUTED_VALUE"""),"1147")</f>
        <v>1147</v>
      </c>
      <c r="B437" s="14" t="str">
        <f>IFERROR(__xludf.DUMMYFUNCTION("""COMPUTED_VALUE"""),"АИП-26")</f>
        <v>АИП-26</v>
      </c>
      <c r="C437" s="14" t="str">
        <f>IFERROR(__xludf.DUMMYFUNCTION("""COMPUTED_VALUE"""),"ОКС")</f>
        <v>ОКС</v>
      </c>
      <c r="D437" s="60"/>
      <c r="E437" s="14" t="str">
        <f>IFERROR(__xludf.DUMMYFUNCTION("""COMPUTED_VALUE"""),"""Здание образовательной организации на 1450 мест (1200 школьных и 250 дошкольных), пос. Вороновское"" поселение Вороновское, поселок ЛМС, микрорайон Центральный, земельный участок
10Б")</f>
        <v>"Здание образовательной организации на 1450 мест (1200 школьных и 250 дошкольных), пос. Вороновское" поселение Вороновское, поселок ЛМС, микрорайон Центральный, земельный участок
10Б</v>
      </c>
      <c r="F437" s="25" t="str">
        <f>IFERROR(__xludf.DUMMYFUNCTION("""COMPUTED_VALUE"""),"55.31395538906738")</f>
        <v>55.31395538906738</v>
      </c>
      <c r="G437" s="6" t="str">
        <f>IFERROR(__xludf.DUMMYFUNCTION("""COMPUTED_VALUE"""),"37.174944489286595")</f>
        <v>37.174944489286595</v>
      </c>
      <c r="H437" s="18" t="str">
        <f>IFERROR(__xludf.DUMMYFUNCTION("""COMPUTED_VALUE"""),"https://docs.google.com/spreadsheets/d/19THEBTE9q0fhN2eApZr6BgenIvLGh0AckaYxHQfHk5w/edit?gid=141428453#gid=141428453")</f>
        <v>https://docs.google.com/spreadsheets/d/19THEBTE9q0fhN2eApZr6BgenIvLGh0AckaYxHQfHk5w/edit?gid=141428453#gid=141428453</v>
      </c>
      <c r="I437" s="19" t="str">
        <f>IFERROR(__xludf.DUMMYFUNCTION("""COMPUTED_VALUE"""),"https://disk.yandex.ru/client/disk/Осмотры%20объектов%20АНО%20СМГ/1147.%20Здание%20образовательной%20организации%20на%201450%20мест%20(1200%20школьных%20и%20250%20дошкольных)")</f>
        <v>https://disk.yandex.ru/client/disk/Осмотры%20объектов%20АНО%20СМГ/1147.%20Здание%20образовательной%20организации%20на%201450%20мест%20(1200%20школьных%20и%20250%20дошкольных)</v>
      </c>
      <c r="J437" s="50">
        <f>IFERROR(__xludf.DUMMYFUNCTION("""COMPUTED_VALUE"""),23.104999999999997)</f>
        <v>23.105</v>
      </c>
      <c r="K437" s="58">
        <f>IFERROR(__xludf.DUMMYFUNCTION("""COMPUTED_VALUE"""),45971.0)</f>
        <v>45971</v>
      </c>
      <c r="L437" s="6">
        <v>30.0</v>
      </c>
      <c r="M437" s="52">
        <v>46001.0</v>
      </c>
      <c r="N437" s="53" t="s">
        <v>711</v>
      </c>
      <c r="O437" s="19" t="s">
        <v>911</v>
      </c>
      <c r="P437" s="6"/>
      <c r="Q437" s="6" t="str">
        <f t="shared" si="1"/>
        <v>#N/A</v>
      </c>
      <c r="R437" s="6"/>
    </row>
    <row r="438" hidden="1">
      <c r="A438" s="31" t="str">
        <f>IFERROR(__xludf.DUMMYFUNCTION("""COMPUTED_VALUE"""),"213д")</f>
        <v>213д</v>
      </c>
      <c r="B438" s="14" t="str">
        <f>IFERROR(__xludf.DUMMYFUNCTION("""COMPUTED_VALUE"""),"АИП-26")</f>
        <v>АИП-26</v>
      </c>
      <c r="C438" s="14" t="str">
        <f>IFERROR(__xludf.DUMMYFUNCTION("""COMPUTED_VALUE"""),"УДС")</f>
        <v>УДС</v>
      </c>
      <c r="D438" s="60"/>
      <c r="E438" s="14" t="str">
        <f>IFERROR(__xludf.DUMMYFUNCTION("""COMPUTED_VALUE"""),"Реконструкция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"&amp;"""Доринвест"" по обслуживанию Третьего транспортного кольца г. Москвы, пр-д Серебрякова 14-В г. Москва, проезд Серебрякова, 14В")</f>
        <v>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 Москвы, пр-д Серебрякова 14-В г. Москва, проезд Серебрякова, 14В</v>
      </c>
      <c r="F438" s="25" t="str">
        <f>IFERROR(__xludf.DUMMYFUNCTION("""COMPUTED_VALUE"""),"55.845294")</f>
        <v>55.845294</v>
      </c>
      <c r="G438" s="6" t="str">
        <f>IFERROR(__xludf.DUMMYFUNCTION("""COMPUTED_VALUE"""),"37.655311")</f>
        <v>37.655311</v>
      </c>
      <c r="H438" s="6"/>
      <c r="I438" s="6"/>
      <c r="J438" s="50">
        <f>IFERROR(__xludf.DUMMYFUNCTION("""COMPUTED_VALUE"""),55.5309475)</f>
        <v>55.5309475</v>
      </c>
      <c r="K438" s="58">
        <f>IFERROR(__xludf.DUMMYFUNCTION("""COMPUTED_VALUE"""),45955.0)</f>
        <v>45955</v>
      </c>
      <c r="L438" s="6">
        <v>14.0</v>
      </c>
      <c r="M438" s="52">
        <v>45969.0</v>
      </c>
      <c r="N438" s="53" t="s">
        <v>668</v>
      </c>
      <c r="O438" s="6" t="s">
        <v>912</v>
      </c>
      <c r="P438" s="6"/>
      <c r="Q438" s="6" t="str">
        <f t="shared" si="1"/>
        <v>#N/A</v>
      </c>
      <c r="R438" s="6"/>
    </row>
    <row r="439" hidden="1">
      <c r="A439" s="31" t="str">
        <f>IFERROR(__xludf.DUMMYFUNCTION("""COMPUTED_VALUE"""),"234д")</f>
        <v>234д</v>
      </c>
      <c r="B439" s="14" t="str">
        <f>IFERROR(__xludf.DUMMYFUNCTION("""COMPUTED_VALUE"""),"АИП-26")</f>
        <v>АИП-26</v>
      </c>
      <c r="C439" s="14" t="str">
        <f>IFERROR(__xludf.DUMMYFUNCTION("""COMPUTED_VALUE"""),"УДС")</f>
        <v>УДС</v>
      </c>
      <c r="D439" s="60"/>
      <c r="E439" s="14" t="str">
        <f>IFERROR(__xludf.DUMMYFUNCTION("""COMPUTED_VALUE"""),"Строительство улично-дорожной сети: Котляковского проезда, 2-го Котляковского переулка и 1-го Варшавского проезда. Этап 1 Котляковский проезд, 2-го Котляковский переулок и 1-го Варшавский проезд")</f>
        <v>Строительство улично-дорожной сети: Котляковского проезда, 2-го Котляковского переулка и 1-го Варшавского проезда. Этап 1 Котляковский проезд, 2-го Котляковский переулок и 1-го Варшавский проезд</v>
      </c>
      <c r="F439" s="25" t="str">
        <f>IFERROR(__xludf.DUMMYFUNCTION("""COMPUTED_VALUE"""),"#N/A")</f>
        <v>#N/A</v>
      </c>
      <c r="G439" s="6" t="str">
        <f>IFERROR(__xludf.DUMMYFUNCTION("""COMPUTED_VALUE"""),"#N/A")</f>
        <v>#N/A</v>
      </c>
      <c r="H439" s="6"/>
      <c r="I439" s="6"/>
      <c r="J439" s="50">
        <f>IFERROR(__xludf.DUMMYFUNCTION("""COMPUTED_VALUE"""),48.07217750000001)</f>
        <v>48.0721775</v>
      </c>
      <c r="K439" s="58">
        <f>IFERROR(__xludf.DUMMYFUNCTION("""COMPUTED_VALUE"""),45973.0)</f>
        <v>45973</v>
      </c>
      <c r="L439" s="6">
        <v>30.0</v>
      </c>
      <c r="M439" s="52">
        <v>46003.0</v>
      </c>
      <c r="N439" s="53" t="s">
        <v>711</v>
      </c>
      <c r="O439" s="6" t="s">
        <v>913</v>
      </c>
      <c r="P439" s="6"/>
      <c r="Q439" s="6" t="str">
        <f t="shared" si="1"/>
        <v>#N/A</v>
      </c>
      <c r="R439" s="6"/>
    </row>
    <row r="440" hidden="1">
      <c r="A440" s="31" t="str">
        <f>IFERROR(__xludf.DUMMYFUNCTION("""COMPUTED_VALUE"""),"216д (этап 1)")</f>
        <v>216д (этап 1)</v>
      </c>
      <c r="B440" s="14" t="str">
        <f>IFERROR(__xludf.DUMMYFUNCTION("""COMPUTED_VALUE"""),"АИП-26")</f>
        <v>АИП-26</v>
      </c>
      <c r="C440" s="14" t="str">
        <f>IFERROR(__xludf.DUMMYFUNCTION("""COMPUTED_VALUE"""),"УДС")</f>
        <v>УДС</v>
      </c>
      <c r="D440" s="60"/>
      <c r="E440" s="14" t="str">
        <f>IFERROR(__xludf.DUMMYFUNCTION("""COMPUTED_VALUE"""),"Строительство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1 от Б. Академической ул. до ул. Академика Королев"&amp;"а")</f>
        <v>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1 от Б. Академической ул. до ул. Академика Королева</v>
      </c>
      <c r="F440" s="25" t="str">
        <f>IFERROR(__xludf.DUMMYFUNCTION("""COMPUTED_VALUE"""),"#N/A")</f>
        <v>#N/A</v>
      </c>
      <c r="G440" s="6" t="str">
        <f>IFERROR(__xludf.DUMMYFUNCTION("""COMPUTED_VALUE"""),"#N/A")</f>
        <v>#N/A</v>
      </c>
      <c r="H440" s="6"/>
      <c r="I440" s="6"/>
      <c r="J440" s="50">
        <f>IFERROR(__xludf.DUMMYFUNCTION("""COMPUTED_VALUE"""),53.51666999999999)</f>
        <v>53.51667</v>
      </c>
      <c r="K440" s="58">
        <f>IFERROR(__xludf.DUMMYFUNCTION("""COMPUTED_VALUE"""),45971.0)</f>
        <v>45971</v>
      </c>
      <c r="L440" s="6">
        <v>14.0</v>
      </c>
      <c r="M440" s="52">
        <v>45985.0</v>
      </c>
      <c r="N440" s="53" t="s">
        <v>711</v>
      </c>
      <c r="O440" s="6" t="s">
        <v>669</v>
      </c>
      <c r="P440" s="6"/>
      <c r="Q440" s="6" t="str">
        <f t="shared" si="1"/>
        <v>#N/A</v>
      </c>
      <c r="R440" s="6"/>
    </row>
    <row r="441" hidden="1">
      <c r="A441" s="31" t="str">
        <f>IFERROR(__xludf.DUMMYFUNCTION("""COMPUTED_VALUE"""),"247д (2 этап)")</f>
        <v>247д (2 этап)</v>
      </c>
      <c r="B441" s="14" t="str">
        <f>IFERROR(__xludf.DUMMYFUNCTION("""COMPUTED_VALUE"""),"АИП-26")</f>
        <v>АИП-26</v>
      </c>
      <c r="C441" s="14" t="str">
        <f>IFERROR(__xludf.DUMMYFUNCTION("""COMPUTED_VALUE"""),"УДС")</f>
        <v>УДС</v>
      </c>
      <c r="D441" s="60"/>
      <c r="E441" s="14" t="str">
        <f>IFERROR(__xludf.DUMMYFUNCTION("""COMPUTED_VALUE"""),"Строительство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2. от Б. Академической ул. до ул. Академика Короле"&amp;"ва")</f>
        <v>Строительство путепроводов на пересечении Октябрьского направления железной дороги и Савеловского направления Московской железной дороги на участке от Б. Академической ул. до ул. Академика Королева. Этапы 2. от Б. Академической ул. до ул. Академика Королева</v>
      </c>
      <c r="F441" s="25" t="str">
        <f>IFERROR(__xludf.DUMMYFUNCTION("""COMPUTED_VALUE"""),"#N/A")</f>
        <v>#N/A</v>
      </c>
      <c r="G441" s="6" t="str">
        <f>IFERROR(__xludf.DUMMYFUNCTION("""COMPUTED_VALUE"""),"#N/A")</f>
        <v>#N/A</v>
      </c>
      <c r="H441" s="6"/>
      <c r="I441" s="6"/>
      <c r="J441" s="50">
        <f>IFERROR(__xludf.DUMMYFUNCTION("""COMPUTED_VALUE"""),38.65375)</f>
        <v>38.65375</v>
      </c>
      <c r="K441" s="58">
        <f>IFERROR(__xludf.DUMMYFUNCTION("""COMPUTED_VALUE"""),45971.0)</f>
        <v>45971</v>
      </c>
      <c r="L441" s="6">
        <v>30.0</v>
      </c>
      <c r="M441" s="52">
        <v>46001.0</v>
      </c>
      <c r="N441" s="53" t="s">
        <v>711</v>
      </c>
      <c r="O441" s="6" t="s">
        <v>669</v>
      </c>
      <c r="P441" s="6"/>
      <c r="Q441" s="6" t="str">
        <f t="shared" si="1"/>
        <v>#N/A</v>
      </c>
      <c r="R441" s="6"/>
    </row>
    <row r="442" hidden="1">
      <c r="A442" s="31" t="str">
        <f>IFERROR(__xludf.DUMMYFUNCTION("""COMPUTED_VALUE"""),"280д")</f>
        <v>280д</v>
      </c>
      <c r="B442" s="14" t="str">
        <f>IFERROR(__xludf.DUMMYFUNCTION("""COMPUTED_VALUE"""),"АИП-26")</f>
        <v>АИП-26</v>
      </c>
      <c r="C442" s="14" t="str">
        <f>IFERROR(__xludf.DUMMYFUNCTION("""COMPUTED_VALUE"""),"УДС")</f>
        <v>УДС</v>
      </c>
      <c r="D442" s="60"/>
      <c r="E442" s="14" t="str">
        <f>IFERROR(__xludf.DUMMYFUNCTION("""COMPUTED_VALUE"""),"Поморская ул. реконструкция, включая круговую развязку,проектируемый проезд 4052 вдоль Савеловского направления МЖД от Стандартной ул. до пл. Бескудниково, проезд на продолжении ул. Римского- Корсакова от Стандартной ул. до пл. Бескудниково")</f>
        <v>Поморская ул. реконструкция, включая круговую развязку,проектируемый проезд 4052 вдоль Савеловского направления МЖД от Стандартной ул. до пл. Бескудниково, проезд на продолжении ул. Римского- Корсакова от Стандартной ул. до пл. Бескудниково</v>
      </c>
      <c r="F442" s="25" t="str">
        <f>IFERROR(__xludf.DUMMYFUNCTION("""COMPUTED_VALUE"""),"#N/A")</f>
        <v>#N/A</v>
      </c>
      <c r="G442" s="6" t="str">
        <f>IFERROR(__xludf.DUMMYFUNCTION("""COMPUTED_VALUE"""),"#N/A")</f>
        <v>#N/A</v>
      </c>
      <c r="H442" s="6"/>
      <c r="I442" s="6"/>
      <c r="J442" s="50">
        <f>IFERROR(__xludf.DUMMYFUNCTION("""COMPUTED_VALUE"""),32.282500000000006)</f>
        <v>32.2825</v>
      </c>
      <c r="K442" s="58">
        <f>IFERROR(__xludf.DUMMYFUNCTION("""COMPUTED_VALUE"""),45962.0)</f>
        <v>45962</v>
      </c>
      <c r="L442" s="6">
        <v>30.0</v>
      </c>
      <c r="M442" s="52">
        <v>45992.0</v>
      </c>
      <c r="N442" s="53" t="s">
        <v>692</v>
      </c>
      <c r="O442" s="6"/>
      <c r="P442" s="6"/>
      <c r="Q442" s="6" t="str">
        <f t="shared" si="1"/>
        <v>#N/A</v>
      </c>
      <c r="R442" s="6"/>
    </row>
    <row r="443" hidden="1">
      <c r="A443" s="31" t="str">
        <f>IFERROR(__xludf.DUMMYFUNCTION("""COMPUTED_VALUE"""),"398д")</f>
        <v>398д</v>
      </c>
      <c r="B443" s="14" t="str">
        <f>IFERROR(__xludf.DUMMYFUNCTION("""COMPUTED_VALUE"""),"АИП-26")</f>
        <v>АИП-26</v>
      </c>
      <c r="C443" s="14" t="str">
        <f>IFERROR(__xludf.DUMMYFUNCTION("""COMPUTED_VALUE"""),"УДС")</f>
        <v>УДС</v>
      </c>
      <c r="D443" s="60"/>
      <c r="E443" s="14" t="str">
        <f>IFERROR(__xludf.DUMMYFUNCTION("""COMPUTED_VALUE"""),"Устройство отстойно-разворотной площадки наземного городского пассажирского транспорта в районе ул. Нижняя Хохловка в районе ул. Нижняя Хохловка")</f>
        <v>Устройство отстойно-разворотной площадки наземного городского пассажирского транспорта в районе ул. Нижняя Хохловка в районе ул. Нижняя Хохловка</v>
      </c>
      <c r="F443" s="25" t="str">
        <f>IFERROR(__xludf.DUMMYFUNCTION("""COMPUTED_VALUE"""),"#N/A")</f>
        <v>#N/A</v>
      </c>
      <c r="G443" s="6" t="str">
        <f>IFERROR(__xludf.DUMMYFUNCTION("""COMPUTED_VALUE"""),"#N/A")</f>
        <v>#N/A</v>
      </c>
      <c r="H443" s="6"/>
      <c r="I443" s="6"/>
      <c r="J443" s="50">
        <f>IFERROR(__xludf.DUMMYFUNCTION("""COMPUTED_VALUE"""),0.0)</f>
        <v>0</v>
      </c>
      <c r="K443" s="58">
        <f>IFERROR(__xludf.DUMMYFUNCTION("""COMPUTED_VALUE"""),45973.0)</f>
        <v>45973</v>
      </c>
      <c r="L443" s="6">
        <v>30.0</v>
      </c>
      <c r="M443" s="52">
        <v>46003.0</v>
      </c>
      <c r="N443" s="53" t="s">
        <v>711</v>
      </c>
      <c r="O443" s="6" t="s">
        <v>914</v>
      </c>
      <c r="P443" s="6"/>
      <c r="Q443" s="6" t="str">
        <f t="shared" si="1"/>
        <v>#N/A</v>
      </c>
      <c r="R443" s="6"/>
    </row>
    <row r="444" hidden="1">
      <c r="A444" s="31" t="str">
        <f>IFERROR(__xludf.DUMMYFUNCTION("""COMPUTED_VALUE"""),"420д")</f>
        <v>420д</v>
      </c>
      <c r="B444" s="14" t="str">
        <f>IFERROR(__xludf.DUMMYFUNCTION("""COMPUTED_VALUE"""),"АИП-26")</f>
        <v>АИП-26</v>
      </c>
      <c r="C444" s="14" t="str">
        <f>IFERROR(__xludf.DUMMYFUNCTION("""COMPUTED_VALUE"""),"УДС")</f>
        <v>УДС</v>
      </c>
      <c r="D444" s="60"/>
      <c r="E444" s="14" t="str">
        <f>IFERROR(__xludf.DUMMYFUNCTION("""COMPUTED_VALUE"""),"Транспортная развязка МКАД с Липецкой ул. Съезд на Старонагорную ул. МКАД")</f>
        <v>Транспортная развязка МКАД с Липецкой ул. Съезд на Старонагорную ул. МКАД</v>
      </c>
      <c r="F444" s="25" t="str">
        <f>IFERROR(__xludf.DUMMYFUNCTION("""COMPUTED_VALUE"""),"#N/A")</f>
        <v>#N/A</v>
      </c>
      <c r="G444" s="6" t="str">
        <f>IFERROR(__xludf.DUMMYFUNCTION("""COMPUTED_VALUE"""),"#N/A")</f>
        <v>#N/A</v>
      </c>
      <c r="H444" s="6"/>
      <c r="I444" s="6"/>
      <c r="J444" s="50">
        <f>IFERROR(__xludf.DUMMYFUNCTION("""COMPUTED_VALUE"""),0.0)</f>
        <v>0</v>
      </c>
      <c r="K444" s="58">
        <f>IFERROR(__xludf.DUMMYFUNCTION("""COMPUTED_VALUE"""),45973.0)</f>
        <v>45973</v>
      </c>
      <c r="L444" s="6">
        <v>30.0</v>
      </c>
      <c r="M444" s="52">
        <v>46003.0</v>
      </c>
      <c r="N444" s="53" t="s">
        <v>711</v>
      </c>
      <c r="O444" s="6" t="s">
        <v>915</v>
      </c>
      <c r="P444" s="6"/>
      <c r="Q444" s="6" t="str">
        <f t="shared" si="1"/>
        <v>#N/A</v>
      </c>
      <c r="R444" s="6"/>
    </row>
    <row r="445" hidden="1">
      <c r="A445" s="31" t="str">
        <f>IFERROR(__xludf.DUMMYFUNCTION("""COMPUTED_VALUE"""),"205")</f>
        <v>205</v>
      </c>
      <c r="B445" s="14" t="str">
        <f>IFERROR(__xludf.DUMMYFUNCTION("""COMPUTED_VALUE"""),"АИП-26")</f>
        <v>АИП-26</v>
      </c>
      <c r="C445" s="14" t="str">
        <f>IFERROR(__xludf.DUMMYFUNCTION("""COMPUTED_VALUE"""),"ОКС")</f>
        <v>ОКС</v>
      </c>
      <c r="D445" s="60"/>
      <c r="E445" s="14" t="str">
        <f>IFERROR(__xludf.DUMMYFUNCTION("""COMPUTED_VALUE"""),"ДОУ на 250 на территории Рождествено район Митино, 2-я Муравская улица, 21с1")</f>
        <v>ДОУ на 250 на территории Рождествено район Митино, 2-я Муравская улица, 21с1</v>
      </c>
      <c r="F445" s="25" t="str">
        <f>IFERROR(__xludf.DUMMYFUNCTION("""COMPUTED_VALUE"""),"55.86398643500764")</f>
        <v>55.86398643500764</v>
      </c>
      <c r="G445" s="6" t="str">
        <f>IFERROR(__xludf.DUMMYFUNCTION("""COMPUTED_VALUE"""),"37.369573220900726")</f>
        <v>37.369573220900726</v>
      </c>
      <c r="H445" s="18" t="str">
        <f>IFERROR(__xludf.DUMMYFUNCTION("""COMPUTED_VALUE"""),"https://docs.google.com/spreadsheets/d/19THEBTE9q0fhN2eApZr6BgenIvLGh0AckaYxHQfHk5w/edit?gid=140939233#gid=140939233")</f>
        <v>https://docs.google.com/spreadsheets/d/19THEBTE9q0fhN2eApZr6BgenIvLGh0AckaYxHQfHk5w/edit?gid=140939233#gid=140939233</v>
      </c>
      <c r="I445" s="19" t="str">
        <f>IFERROR(__xludf.DUMMYFUNCTION("""COMPUTED_VALUE"""),"https://disk.yandex.ru/client/disk/Осмотры%20объектов%20АНО%20СМГ/205.%202-я%20Муравская%2021%20стр1%20ДОУ%20250")</f>
        <v>https://disk.yandex.ru/client/disk/Осмотры%20объектов%20АНО%20СМГ/205.%202-я%20Муравская%2021%20стр1%20ДОУ%20250</v>
      </c>
      <c r="J445" s="50">
        <f>IFERROR(__xludf.DUMMYFUNCTION("""COMPUTED_VALUE"""),6.92375)</f>
        <v>6.92375</v>
      </c>
      <c r="K445" s="58">
        <f>IFERROR(__xludf.DUMMYFUNCTION("""COMPUTED_VALUE"""),45971.0)</f>
        <v>45971</v>
      </c>
      <c r="L445" s="6">
        <v>30.0</v>
      </c>
      <c r="M445" s="52">
        <v>46001.0</v>
      </c>
      <c r="N445" s="53" t="s">
        <v>711</v>
      </c>
      <c r="O445" s="19" t="s">
        <v>916</v>
      </c>
      <c r="P445" s="6"/>
      <c r="Q445" s="6" t="str">
        <f t="shared" si="1"/>
        <v>#N/A</v>
      </c>
      <c r="R445" s="6"/>
    </row>
    <row r="446" hidden="1">
      <c r="A446" s="31" t="str">
        <f>IFERROR(__xludf.DUMMYFUNCTION("""COMPUTED_VALUE"""),"219")</f>
        <v>219</v>
      </c>
      <c r="B446" s="14" t="str">
        <f>IFERROR(__xludf.DUMMYFUNCTION("""COMPUTED_VALUE"""),"АИП-26")</f>
        <v>АИП-26</v>
      </c>
      <c r="C446" s="14" t="str">
        <f>IFERROR(__xludf.DUMMYFUNCTION("""COMPUTED_VALUE"""),"ОКС")</f>
        <v>ОКС</v>
      </c>
      <c r="D446" s="60"/>
      <c r="E446" s="14" t="str">
        <f>IFERROR(__xludf.DUMMYFUNCTION("""COMPUTED_VALUE"""),"Школьное здание на 1000 мест Алтуфьевское ш., влд. 53, р-н Алтуфьевский")</f>
        <v>Школьное здание на 1000 мест Алтуфьевское ш., влд. 53, р-н Алтуфьевский</v>
      </c>
      <c r="F446" s="25" t="str">
        <f>IFERROR(__xludf.DUMMYFUNCTION("""COMPUTED_VALUE"""),"55.87221124220595")</f>
        <v>55.87221124220595</v>
      </c>
      <c r="G446" s="6" t="str">
        <f>IFERROR(__xludf.DUMMYFUNCTION("""COMPUTED_VALUE"""),"37.58387974603241")</f>
        <v>37.58387974603241</v>
      </c>
      <c r="H446" s="18" t="str">
        <f>IFERROR(__xludf.DUMMYFUNCTION("""COMPUTED_VALUE"""),"https://docs.google.com/spreadsheets/d/19THEBTE9q0fhN2eApZr6BgenIvLGh0AckaYxHQfHk5w/edit?gid=310058684#gid=310058684")</f>
        <v>https://docs.google.com/spreadsheets/d/19THEBTE9q0fhN2eApZr6BgenIvLGh0AckaYxHQfHk5w/edit?gid=310058684#gid=310058684</v>
      </c>
      <c r="I446" s="21" t="str">
        <f>IFERROR(__xludf.DUMMYFUNCTION("""COMPUTED_VALUE"""),"https://disk.yandex.ru/client/disk/%D0%9E%D1%81%D0%BC%D0%BE%D1%82%D1%80%D1%8B%20%D0%BE%D0%B1%D1%8A%D0%B5%D0%BA%D1%82%D0%BE%D0%B2%20%D0%90%D0%9D%D0%9E%20%D0%A1%D0%9C%D0%93/219.%20%D0%A8%D0%BA%D0%BE%D0%BB%D1%8C%D0%BD%D0%BE%D0%B5%20%D0%B7%D0%B4%D0%B0%D0%BD%D"&amp;"0%B8%D0%B5%20%D0%BD%D0%B0%20950%20%D0%BC%D0%B5%D1%81%D1%82%2C%20%D0%90%D0%BB%D1%82%D1%83%D1%84%D1%8C%D0%B5%D0%B2%D1%81%D0%BA%D0%BE%D0%B5%20%D1%88.%2C%20%D0%B2%D0%BB%D0%B4.%2053%2C%20%D1%80-%D0%BD%20%D0%90%D0%BB%D1%82%D1%83%D1%84%D1%8C%D0%B5%D0%B2%D1%81%D0"&amp;"%BA%D0%B8%D0%B9%09%09%09")</f>
        <v>https://disk.yandex.ru/client/disk/%D0%9E%D1%81%D0%BC%D0%BE%D1%82%D1%80%D1%8B%20%D0%BE%D0%B1%D1%8A%D0%B5%D0%BA%D1%82%D0%BE%D0%B2%20%D0%90%D0%9D%D0%9E%20%D0%A1%D0%9C%D0%93/219.%20%D0%A8%D0%BA%D0%BE%D0%BB%D1%8C%D0%BD%D0%BE%D0%B5%20%D0%B7%D0%B4%D0%B0%D0%BD%D0%B8%D0%B5%20%D0%BD%D0%B0%20950%20%D0%BC%D0%B5%D1%81%D1%82%2C%20%D0%90%D0%BB%D1%82%D1%83%D1%84%D1%8C%D0%B5%D0%B2%D1%81%D0%BA%D0%BE%D0%B5%20%D1%88.%2C%20%D0%B2%D0%BB%D0%B4.%2053%2C%20%D1%80-%D0%BD%20%D0%90%D0%BB%D1%82%D1%83%D1%84%D1%8C%D0%B5%D0%B2%D1%81%D0%BA%D0%B8%D0%B9%09%09%09</v>
      </c>
      <c r="J446" s="50">
        <f>IFERROR(__xludf.DUMMYFUNCTION("""COMPUTED_VALUE"""),18.695)</f>
        <v>18.695</v>
      </c>
      <c r="K446" s="58">
        <f>IFERROR(__xludf.DUMMYFUNCTION("""COMPUTED_VALUE"""),45971.0)</f>
        <v>45971</v>
      </c>
      <c r="L446" s="6">
        <v>30.0</v>
      </c>
      <c r="M446" s="52">
        <v>46001.0</v>
      </c>
      <c r="N446" s="53" t="s">
        <v>711</v>
      </c>
      <c r="O446" s="19" t="s">
        <v>917</v>
      </c>
      <c r="P446" s="6"/>
      <c r="Q446" s="6" t="str">
        <f t="shared" si="1"/>
        <v>#N/A</v>
      </c>
      <c r="R446" s="6"/>
    </row>
    <row r="447" hidden="1">
      <c r="A447" s="31" t="str">
        <f>IFERROR(__xludf.DUMMYFUNCTION("""COMPUTED_VALUE"""),"285")</f>
        <v>285</v>
      </c>
      <c r="B447" s="14" t="str">
        <f>IFERROR(__xludf.DUMMYFUNCTION("""COMPUTED_VALUE"""),"АИП-26")</f>
        <v>АИП-26</v>
      </c>
      <c r="C447" s="14" t="str">
        <f>IFERROR(__xludf.DUMMYFUNCTION("""COMPUTED_VALUE"""),"ОКС")</f>
        <v>ОКС</v>
      </c>
      <c r="D447" s="60"/>
      <c r="E447" s="14" t="str">
        <f>IFERROR(__xludf.DUMMYFUNCTION("""COMPUTED_VALUE"""),"Здание образовательной организации на 1000 мест на месте сноса зданий р-н Очаково-Матвеевское, ул. Большая Очаковская, влд. 4")</f>
        <v>Здание образовательной организации на 1000 мест на месте сноса зданий р-н Очаково-Матвеевское, ул. Большая Очаковская, влд. 4</v>
      </c>
      <c r="F447" s="25" t="str">
        <f>IFERROR(__xludf.DUMMYFUNCTION("""COMPUTED_VALUE"""),"55.69026554574192")</f>
        <v>55.69026554574192</v>
      </c>
      <c r="G447" s="6" t="str">
        <f>IFERROR(__xludf.DUMMYFUNCTION("""COMPUTED_VALUE"""),"37.46503796711526")</f>
        <v>37.46503796711526</v>
      </c>
      <c r="H447" s="18" t="str">
        <f>IFERROR(__xludf.DUMMYFUNCTION("""COMPUTED_VALUE"""),"https://docs.google.com/spreadsheets/d/19THEBTE9q0fhN2eApZr6BgenIvLGh0AckaYxHQfHk5w/edit?gid=1145227752#gid=1145227752")</f>
        <v>https://docs.google.com/spreadsheets/d/19THEBTE9q0fhN2eApZr6BgenIvLGh0AckaYxHQfHk5w/edit?gid=1145227752#gid=1145227752</v>
      </c>
      <c r="I447" s="19" t="str">
        <f>IFERROR(__xludf.DUMMYFUNCTION("""COMPUTED_VALUE"""),"https://disk.yandex.ru/client/disk/Осмотры%20объектов%20АНО%20СМГ/285.%20Здание%20образовательной%20организации%20на%201000%20мест%20на%0Aместе%20сноса%20зданий%2C%20р-н%20ОчаковоМатвеевское%2C%20ул.%20Большая%20Очаковская%2C%20влд.%204")</f>
        <v>https://disk.yandex.ru/client/disk/Осмотры%20объектов%20АНО%20СМГ/285.%20Здание%20образовательной%20организации%20на%201000%20мест%20на%0Aместе%20сноса%20зданий%2C%20р-н%20ОчаковоМатвеевское%2C%20ул.%20Большая%20Очаковская%2C%20влд.%204</v>
      </c>
      <c r="J447" s="50">
        <f>IFERROR(__xludf.DUMMYFUNCTION("""COMPUTED_VALUE"""),8.9125)</f>
        <v>8.9125</v>
      </c>
      <c r="K447" s="58">
        <f>IFERROR(__xludf.DUMMYFUNCTION("""COMPUTED_VALUE"""),45971.0)</f>
        <v>45971</v>
      </c>
      <c r="L447" s="6">
        <v>30.0</v>
      </c>
      <c r="M447" s="52">
        <v>46001.0</v>
      </c>
      <c r="N447" s="53" t="s">
        <v>711</v>
      </c>
      <c r="O447" s="19" t="s">
        <v>918</v>
      </c>
      <c r="P447" s="6"/>
      <c r="Q447" s="6" t="str">
        <f t="shared" si="1"/>
        <v>#N/A</v>
      </c>
      <c r="R447" s="6"/>
    </row>
    <row r="448" hidden="1">
      <c r="A448" s="31" t="str">
        <f>IFERROR(__xludf.DUMMYFUNCTION("""COMPUTED_VALUE"""),"272")</f>
        <v>272</v>
      </c>
      <c r="B448" s="14" t="str">
        <f>IFERROR(__xludf.DUMMYFUNCTION("""COMPUTED_VALUE"""),"АИП-26")</f>
        <v>АИП-26</v>
      </c>
      <c r="C448" s="14" t="str">
        <f>IFERROR(__xludf.DUMMYFUNCTION("""COMPUTED_VALUE"""),"ОКС")</f>
        <v>ОКС</v>
      </c>
      <c r="D448" s="60"/>
      <c r="E448" s="14" t="str">
        <f>IFERROR(__xludf.DUMMYFUNCTION("""COMPUTED_VALUE"""),"Школа на 550 мест, внутригородское муниципальное образование Раменки внутригородское муниципальное образование Раменки, улица Минская, земельный участок 1/15")</f>
        <v>Школа на 550 мест, внутригородское муниципальное образование Раменки внутригородское муниципальное образование Раменки, улица Минская, земельный участок 1/15</v>
      </c>
      <c r="F448" s="25" t="str">
        <f>IFERROR(__xludf.DUMMYFUNCTION("""COMPUTED_VALUE"""),"55.71334315849195")</f>
        <v>55.71334315849195</v>
      </c>
      <c r="G448" s="6" t="str">
        <f>IFERROR(__xludf.DUMMYFUNCTION("""COMPUTED_VALUE"""),"37.497706297650986")</f>
        <v>37.497706297650986</v>
      </c>
      <c r="H448" s="18" t="str">
        <f>IFERROR(__xludf.DUMMYFUNCTION("""COMPUTED_VALUE"""),"https://docs.google.com/spreadsheets/d/19THEBTE9q0fhN2eApZr6BgenIvLGh0AckaYxHQfHk5w/edit?gid=1109188996#gid=1109188996")</f>
        <v>https://docs.google.com/spreadsheets/d/19THEBTE9q0fhN2eApZr6BgenIvLGh0AckaYxHQfHk5w/edit?gid=1109188996#gid=1109188996</v>
      </c>
      <c r="I448" s="19" t="str">
        <f>IFERROR(__xludf.DUMMYFUNCTION("""COMPUTED_VALUE"""),"https://disk.yandex.ru/client/disk/Осмотры%20объектов%20АНО%20СМГ/272.Школа%20на%20550%20мест%2C%20пересечение%20ул.%20Минской%20в%20пойме%20р.%20Раменки")</f>
        <v>https://disk.yandex.ru/client/disk/Осмотры%20объектов%20АНО%20СМГ/272.Школа%20на%20550%20мест%2C%20пересечение%20ул.%20Минской%20в%20пойме%20р.%20Раменки</v>
      </c>
      <c r="J448" s="50">
        <f>IFERROR(__xludf.DUMMYFUNCTION("""COMPUTED_VALUE"""),19.555)</f>
        <v>19.555</v>
      </c>
      <c r="K448" s="58">
        <f>IFERROR(__xludf.DUMMYFUNCTION("""COMPUTED_VALUE"""),45954.0)</f>
        <v>45954</v>
      </c>
      <c r="L448" s="6">
        <v>30.0</v>
      </c>
      <c r="M448" s="52">
        <v>45984.0</v>
      </c>
      <c r="N448" s="53" t="s">
        <v>741</v>
      </c>
      <c r="O448" s="19" t="s">
        <v>919</v>
      </c>
      <c r="P448" s="6"/>
      <c r="Q448" s="6" t="str">
        <f t="shared" si="1"/>
        <v>#N/A</v>
      </c>
      <c r="R448" s="6"/>
    </row>
    <row r="449" hidden="1">
      <c r="A449" s="31" t="str">
        <f>IFERROR(__xludf.DUMMYFUNCTION("""COMPUTED_VALUE"""),"281д (этап 1)")</f>
        <v>281д (этап 1)</v>
      </c>
      <c r="B449" s="14" t="str">
        <f>IFERROR(__xludf.DUMMYFUNCTION("""COMPUTED_VALUE"""),"АИП-26")</f>
        <v>АИП-26</v>
      </c>
      <c r="C449" s="14" t="str">
        <f>IFERROR(__xludf.DUMMYFUNCTION("""COMPUTED_VALUE"""),"УДС")</f>
        <v>УДС</v>
      </c>
      <c r="D449" s="60"/>
      <c r="E449"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v>
      </c>
      <c r="F449" s="25" t="str">
        <f>IFERROR(__xludf.DUMMYFUNCTION("""COMPUTED_VALUE"""),"55.72190916572191")</f>
        <v>55.72190916572191</v>
      </c>
      <c r="G449" s="6" t="str">
        <f>IFERROR(__xludf.DUMMYFUNCTION("""COMPUTED_VALUE"""),"37.484483898147396")</f>
        <v>37.484483898147396</v>
      </c>
      <c r="H449" s="6"/>
      <c r="I449" s="6"/>
      <c r="J449" s="50">
        <f>IFERROR(__xludf.DUMMYFUNCTION("""COMPUTED_VALUE"""),6.84)</f>
        <v>6.84</v>
      </c>
      <c r="K449" s="58">
        <f>IFERROR(__xludf.DUMMYFUNCTION("""COMPUTED_VALUE"""),45961.0)</f>
        <v>45961</v>
      </c>
      <c r="L449" s="6">
        <v>30.0</v>
      </c>
      <c r="M449" s="52">
        <v>45991.0</v>
      </c>
      <c r="N449" s="53" t="s">
        <v>692</v>
      </c>
      <c r="O449" s="6" t="s">
        <v>920</v>
      </c>
      <c r="P449" s="6"/>
      <c r="Q449" s="6" t="str">
        <f t="shared" si="1"/>
        <v>#N/A</v>
      </c>
      <c r="R449" s="6"/>
    </row>
    <row r="450" hidden="1">
      <c r="A450" s="31" t="str">
        <f>IFERROR(__xludf.DUMMYFUNCTION("""COMPUTED_VALUE"""),"281д (этап 2)")</f>
        <v>281д (этап 2)</v>
      </c>
      <c r="B450" s="14" t="str">
        <f>IFERROR(__xludf.DUMMYFUNCTION("""COMPUTED_VALUE"""),"АИП-26")</f>
        <v>АИП-26</v>
      </c>
      <c r="C450" s="14" t="str">
        <f>IFERROR(__xludf.DUMMYFUNCTION("""COMPUTED_VALUE"""),"УДС")</f>
        <v>УДС</v>
      </c>
      <c r="D450" s="60"/>
      <c r="E450"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2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2 г. Москва, район Фили- Давыдково, ул. Староволынская</v>
      </c>
      <c r="F450" s="25" t="str">
        <f>IFERROR(__xludf.DUMMYFUNCTION("""COMPUTED_VALUE"""),"55.72190916572191")</f>
        <v>55.72190916572191</v>
      </c>
      <c r="G450" s="6" t="str">
        <f>IFERROR(__xludf.DUMMYFUNCTION("""COMPUTED_VALUE"""),"37.484483898147396")</f>
        <v>37.484483898147396</v>
      </c>
      <c r="H450" s="6"/>
      <c r="I450" s="6"/>
      <c r="J450" s="50">
        <f>IFERROR(__xludf.DUMMYFUNCTION("""COMPUTED_VALUE"""),1.5200000000000002)</f>
        <v>1.52</v>
      </c>
      <c r="K450" s="58">
        <f>IFERROR(__xludf.DUMMYFUNCTION("""COMPUTED_VALUE"""),45961.0)</f>
        <v>45961</v>
      </c>
      <c r="L450" s="6">
        <v>30.0</v>
      </c>
      <c r="M450" s="52">
        <v>45991.0</v>
      </c>
      <c r="N450" s="53" t="s">
        <v>692</v>
      </c>
      <c r="O450" s="6" t="s">
        <v>920</v>
      </c>
      <c r="P450" s="6"/>
      <c r="Q450" s="6" t="str">
        <f t="shared" si="1"/>
        <v>#N/A</v>
      </c>
      <c r="R450" s="6"/>
    </row>
    <row r="451" hidden="1">
      <c r="A451" s="31" t="str">
        <f>IFERROR(__xludf.DUMMYFUNCTION("""COMPUTED_VALUE"""),"281д (этап 3)")</f>
        <v>281д (этап 3)</v>
      </c>
      <c r="B451" s="14" t="str">
        <f>IFERROR(__xludf.DUMMYFUNCTION("""COMPUTED_VALUE"""),"АИП-26")</f>
        <v>АИП-26</v>
      </c>
      <c r="C451" s="14" t="str">
        <f>IFERROR(__xludf.DUMMYFUNCTION("""COMPUTED_VALUE"""),"УДС")</f>
        <v>УДС</v>
      </c>
      <c r="D451" s="60"/>
      <c r="E451" s="14" t="str">
        <f>IFERROR(__xludf.DUMMYFUNCTION("""COMPUTED_VALUE"""),"Дороги,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f>
        <v>Дороги, инженерные коммуникации, инженерные сооружения (с выносом инженерных коммуникаций) в р- не Фили-Давыдково, ул. Староволынская этап 1 г. Москва, район Фили- Давыдково, ул. Староволынская</v>
      </c>
      <c r="F451" s="25" t="str">
        <f>IFERROR(__xludf.DUMMYFUNCTION("""COMPUTED_VALUE"""),"55.72190916572191")</f>
        <v>55.72190916572191</v>
      </c>
      <c r="G451" s="6" t="str">
        <f>IFERROR(__xludf.DUMMYFUNCTION("""COMPUTED_VALUE"""),"37.484483898147396")</f>
        <v>37.484483898147396</v>
      </c>
      <c r="H451" s="6"/>
      <c r="I451" s="6"/>
      <c r="J451" s="50">
        <f>IFERROR(__xludf.DUMMYFUNCTION("""COMPUTED_VALUE"""),1.2000000000000002)</f>
        <v>1.2</v>
      </c>
      <c r="K451" s="58">
        <f>IFERROR(__xludf.DUMMYFUNCTION("""COMPUTED_VALUE"""),45961.0)</f>
        <v>45961</v>
      </c>
      <c r="L451" s="6">
        <v>30.0</v>
      </c>
      <c r="M451" s="52">
        <v>45991.0</v>
      </c>
      <c r="N451" s="53" t="s">
        <v>692</v>
      </c>
      <c r="O451" s="6" t="s">
        <v>920</v>
      </c>
      <c r="P451" s="6"/>
      <c r="Q451" s="6" t="str">
        <f t="shared" si="1"/>
        <v>#N/A</v>
      </c>
      <c r="R451" s="6"/>
    </row>
    <row r="452" hidden="1">
      <c r="A452" s="31" t="str">
        <f>IFERROR(__xludf.DUMMYFUNCTION("""COMPUTED_VALUE"""),"283д (сводный)")</f>
        <v>283д (сводный)</v>
      </c>
      <c r="B452" s="14" t="str">
        <f>IFERROR(__xludf.DUMMYFUNCTION("""COMPUTED_VALUE"""),"АИП-26")</f>
        <v>АИП-26</v>
      </c>
      <c r="C452" s="14" t="str">
        <f>IFERROR(__xludf.DUMMYFUNCTION("""COMPUTED_VALUE"""),"УДС")</f>
        <v>УДС</v>
      </c>
      <c r="D452" s="60"/>
      <c r="E452"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3.3.2.,3.3.3.,3.3.4.,3.3.5, 3.2 ")</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3.3.2.,3.3.3.,3.3.4.,3.3.5, 3.2 </v>
      </c>
      <c r="F452" s="25" t="str">
        <f>IFERROR(__xludf.DUMMYFUNCTION("""COMPUTED_VALUE"""),"#N/A")</f>
        <v>#N/A</v>
      </c>
      <c r="G452" s="6" t="str">
        <f>IFERROR(__xludf.DUMMYFUNCTION("""COMPUTED_VALUE"""),"#N/A")</f>
        <v>#N/A</v>
      </c>
      <c r="H452" s="6"/>
      <c r="I452" s="6"/>
      <c r="J452" s="50"/>
      <c r="K452" s="58"/>
      <c r="L452" s="6">
        <v>30.0</v>
      </c>
      <c r="M452" s="52" t="s">
        <v>655</v>
      </c>
      <c r="N452" s="53" t="s">
        <v>698</v>
      </c>
      <c r="O452" s="6"/>
      <c r="P452" s="6"/>
      <c r="Q452" s="6" t="str">
        <f t="shared" si="1"/>
        <v>#N/A</v>
      </c>
      <c r="R452" s="6"/>
    </row>
    <row r="453" hidden="1">
      <c r="A453" s="31" t="str">
        <f>IFERROR(__xludf.DUMMYFUNCTION("""COMPUTED_VALUE"""),"283д (этап 3.3.2)")</f>
        <v>283д (этап 3.3.2)</v>
      </c>
      <c r="B453" s="14"/>
      <c r="C453" s="14" t="str">
        <f>IFERROR(__xludf.DUMMYFUNCTION("""COMPUTED_VALUE"""),"УДС")</f>
        <v>УДС</v>
      </c>
      <c r="D453" s="60"/>
      <c r="E453"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3.3.2 пересечение Северного дублера Кутузовского проспекта, Шелепихинской набережной и Третьего транспортного кольца</v>
      </c>
      <c r="F453" s="25" t="str">
        <f>IFERROR(__xludf.DUMMYFUNCTION("""COMPUTED_VALUE"""),"#N/A")</f>
        <v>#N/A</v>
      </c>
      <c r="G453" s="6" t="str">
        <f>IFERROR(__xludf.DUMMYFUNCTION("""COMPUTED_VALUE"""),"#N/A")</f>
        <v>#N/A</v>
      </c>
      <c r="H453" s="6"/>
      <c r="I453" s="6"/>
      <c r="J453" s="50"/>
      <c r="K453" s="58"/>
      <c r="L453" s="6">
        <v>30.0</v>
      </c>
      <c r="M453" s="52" t="s">
        <v>655</v>
      </c>
      <c r="N453" s="53" t="s">
        <v>698</v>
      </c>
      <c r="O453" s="6" t="s">
        <v>921</v>
      </c>
      <c r="P453" s="6"/>
      <c r="Q453" s="6" t="str">
        <f t="shared" si="1"/>
        <v>#N/A</v>
      </c>
      <c r="R453" s="6"/>
    </row>
    <row r="454" hidden="1">
      <c r="A454" s="31" t="str">
        <f>IFERROR(__xludf.DUMMYFUNCTION("""COMPUTED_VALUE"""),"283д (этап 3.3.3)")</f>
        <v>283д (этап 3.3.3)</v>
      </c>
      <c r="B454" s="14"/>
      <c r="C454" s="14" t="str">
        <f>IFERROR(__xludf.DUMMYFUNCTION("""COMPUTED_VALUE"""),"УДС")</f>
        <v>УДС</v>
      </c>
      <c r="D454" s="60"/>
      <c r="E454"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3.3.3. пересечение Северного дублера Кутузовского проспекта, Шелепихинской набережн"&amp;"ой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3.3.3. пересечение Северного дублера Кутузовского проспекта, Шелепихинской набережной и Третьего транспортного кольца</v>
      </c>
      <c r="F454" s="25" t="str">
        <f>IFERROR(__xludf.DUMMYFUNCTION("""COMPUTED_VALUE"""),"#N/A")</f>
        <v>#N/A</v>
      </c>
      <c r="G454" s="6" t="str">
        <f>IFERROR(__xludf.DUMMYFUNCTION("""COMPUTED_VALUE"""),"#N/A")</f>
        <v>#N/A</v>
      </c>
      <c r="H454" s="6"/>
      <c r="I454" s="6"/>
      <c r="J454" s="50"/>
      <c r="K454" s="58"/>
      <c r="L454" s="6">
        <v>30.0</v>
      </c>
      <c r="M454" s="52" t="s">
        <v>655</v>
      </c>
      <c r="N454" s="53" t="s">
        <v>698</v>
      </c>
      <c r="O454" s="6" t="s">
        <v>921</v>
      </c>
      <c r="P454" s="6"/>
      <c r="Q454" s="6" t="str">
        <f t="shared" si="1"/>
        <v>#N/A</v>
      </c>
      <c r="R454" s="6"/>
    </row>
    <row r="455" hidden="1">
      <c r="A455" s="31" t="str">
        <f>IFERROR(__xludf.DUMMYFUNCTION("""COMPUTED_VALUE"""),"283д (этап 3.3.4)")</f>
        <v>283д (этап 3.3.4)</v>
      </c>
      <c r="B455" s="14"/>
      <c r="C455" s="14" t="str">
        <f>IFERROR(__xludf.DUMMYFUNCTION("""COMPUTED_VALUE"""),"УДС")</f>
        <v>УДС</v>
      </c>
      <c r="D455" s="60"/>
      <c r="E455"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3.3.4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3.3.4 пересечение Северного дублера Кутузовского проспекта, Шелепихинской набережной и Третьего транспортного кольца</v>
      </c>
      <c r="F455" s="25" t="str">
        <f>IFERROR(__xludf.DUMMYFUNCTION("""COMPUTED_VALUE"""),"#N/A")</f>
        <v>#N/A</v>
      </c>
      <c r="G455" s="6" t="str">
        <f>IFERROR(__xludf.DUMMYFUNCTION("""COMPUTED_VALUE"""),"#N/A")</f>
        <v>#N/A</v>
      </c>
      <c r="H455" s="6"/>
      <c r="I455" s="6"/>
      <c r="J455" s="50"/>
      <c r="K455" s="58"/>
      <c r="L455" s="6">
        <v>30.0</v>
      </c>
      <c r="M455" s="52" t="s">
        <v>655</v>
      </c>
      <c r="N455" s="53" t="s">
        <v>698</v>
      </c>
      <c r="O455" s="6" t="s">
        <v>921</v>
      </c>
      <c r="P455" s="6"/>
      <c r="Q455" s="6" t="str">
        <f t="shared" si="1"/>
        <v>#N/A</v>
      </c>
      <c r="R455" s="6"/>
    </row>
    <row r="456" hidden="1">
      <c r="A456" s="31" t="str">
        <f>IFERROR(__xludf.DUMMYFUNCTION("""COMPUTED_VALUE"""),"283д (этап 3.3.5)")</f>
        <v>283д (этап 3.3.5)</v>
      </c>
      <c r="B456" s="14"/>
      <c r="C456" s="14" t="str">
        <f>IFERROR(__xludf.DUMMYFUNCTION("""COMPUTED_VALUE"""),"УДС")</f>
        <v>УДС</v>
      </c>
      <c r="D456" s="60"/>
      <c r="E456"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3.3.5 пересечение Северного дублера Кутузовского проспекта, Шелепихинской набережно"&amp;"й 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3.3.5 пересечение Северного дублера Кутузовского проспекта, Шелепихинской набережной и Третьего транспортного кольца</v>
      </c>
      <c r="F456" s="25" t="str">
        <f>IFERROR(__xludf.DUMMYFUNCTION("""COMPUTED_VALUE"""),"#N/A")</f>
        <v>#N/A</v>
      </c>
      <c r="G456" s="6" t="str">
        <f>IFERROR(__xludf.DUMMYFUNCTION("""COMPUTED_VALUE"""),"#N/A")</f>
        <v>#N/A</v>
      </c>
      <c r="H456" s="6"/>
      <c r="I456" s="6"/>
      <c r="J456" s="50"/>
      <c r="K456" s="58"/>
      <c r="L456" s="6">
        <v>30.0</v>
      </c>
      <c r="M456" s="52" t="s">
        <v>655</v>
      </c>
      <c r="N456" s="53" t="s">
        <v>698</v>
      </c>
      <c r="O456" s="6" t="s">
        <v>921</v>
      </c>
      <c r="P456" s="6"/>
      <c r="Q456" s="6" t="str">
        <f t="shared" si="1"/>
        <v>#N/A</v>
      </c>
      <c r="R456" s="6"/>
    </row>
    <row r="457" hidden="1">
      <c r="A457" s="31" t="str">
        <f>IFERROR(__xludf.DUMMYFUNCTION("""COMPUTED_VALUE"""),"283д (этап 3.1)")</f>
        <v>283д (этап 3.1)</v>
      </c>
      <c r="B457" s="14"/>
      <c r="C457" s="14" t="str">
        <f>IFERROR(__xludf.DUMMYFUNCTION("""COMPUTED_VALUE"""),"УДС")</f>
        <v>УДС</v>
      </c>
      <c r="D457" s="60"/>
      <c r="E457"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3.1 пересечение Северного дублера Кутузовского проспекта, Шелепихинской набережной "&amp;"и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3.1 пересечение Северного дублера Кутузовского проспекта, Шелепихинской набережной и Третьего транспортного кольца</v>
      </c>
      <c r="F457" s="25" t="str">
        <f>IFERROR(__xludf.DUMMYFUNCTION("""COMPUTED_VALUE"""),"#N/A")</f>
        <v>#N/A</v>
      </c>
      <c r="G457" s="6" t="str">
        <f>IFERROR(__xludf.DUMMYFUNCTION("""COMPUTED_VALUE"""),"#N/A")</f>
        <v>#N/A</v>
      </c>
      <c r="H457" s="6"/>
      <c r="I457" s="6"/>
      <c r="J457" s="50"/>
      <c r="K457" s="58"/>
      <c r="L457" s="6">
        <v>30.0</v>
      </c>
      <c r="M457" s="52" t="s">
        <v>655</v>
      </c>
      <c r="N457" s="53" t="s">
        <v>698</v>
      </c>
      <c r="O457" s="6" t="s">
        <v>921</v>
      </c>
      <c r="P457" s="6"/>
      <c r="Q457" s="6" t="str">
        <f t="shared" si="1"/>
        <v>#N/A</v>
      </c>
      <c r="R457" s="6"/>
    </row>
    <row r="458" hidden="1">
      <c r="A458" s="31" t="str">
        <f>IFERROR(__xludf.DUMMYFUNCTION("""COMPUTED_VALUE"""),"283д (этап 3.2)")</f>
        <v>283д (этап 3.2)</v>
      </c>
      <c r="B458" s="14"/>
      <c r="C458" s="14" t="str">
        <f>IFERROR(__xludf.DUMMYFUNCTION("""COMPUTED_VALUE"""),"УДС")</f>
        <v>УДС</v>
      </c>
      <c r="D458" s="60"/>
      <c r="E458" s="14" t="str">
        <f>IFERROR(__xludf.DUMMYFUNCTION("""COMPUTED_VALUE"""),"Строительство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3.2 пересечение Северного дублера Кутузовского проспекта, Шелепихинской набережной "&amp;"и Третьего транспортного кольца")</f>
        <v>Строительство многоуровневой транспортной развязки на пересечении Северного дублера Кутузовского проспекта, Шелепихинской набережной и Третьего транспортного кольца. Этапы 3.2 пересечение Северного дублера Кутузовского проспекта, Шелепихинской набережной и Третьего транспортного кольца</v>
      </c>
      <c r="F458" s="25" t="str">
        <f>IFERROR(__xludf.DUMMYFUNCTION("""COMPUTED_VALUE"""),"#N/A")</f>
        <v>#N/A</v>
      </c>
      <c r="G458" s="6" t="str">
        <f>IFERROR(__xludf.DUMMYFUNCTION("""COMPUTED_VALUE"""),"#N/A")</f>
        <v>#N/A</v>
      </c>
      <c r="H458" s="6"/>
      <c r="I458" s="6"/>
      <c r="J458" s="50"/>
      <c r="K458" s="58"/>
      <c r="L458" s="6">
        <v>30.0</v>
      </c>
      <c r="M458" s="52" t="s">
        <v>655</v>
      </c>
      <c r="N458" s="53" t="s">
        <v>698</v>
      </c>
      <c r="O458" s="6" t="s">
        <v>921</v>
      </c>
      <c r="P458" s="6"/>
      <c r="Q458" s="6" t="str">
        <f t="shared" si="1"/>
        <v>#N/A</v>
      </c>
      <c r="R458" s="6"/>
    </row>
    <row r="459" hidden="1">
      <c r="A459" s="31" t="str">
        <f>IFERROR(__xludf.DUMMYFUNCTION("""COMPUTED_VALUE"""),"270д")</f>
        <v>270д</v>
      </c>
      <c r="B459" s="14" t="str">
        <f>IFERROR(__xludf.DUMMYFUNCTION("""COMPUTED_VALUE"""),"АИП-26")</f>
        <v>АИП-26</v>
      </c>
      <c r="C459" s="14" t="str">
        <f>IFERROR(__xludf.DUMMYFUNCTION("""COMPUTED_VALUE"""),"УДС")</f>
        <v>УДС</v>
      </c>
      <c r="D459" s="60"/>
      <c r="E459" s="14" t="str">
        <f>IFERROR(__xludf.DUMMYFUNCTION("""COMPUTED_VALUE"""),"Реконструкция ул. Большая Юшуньская ул. Большая Юшуньская")</f>
        <v>Реконструкция ул. Большая Юшуньская ул. Большая Юшуньская</v>
      </c>
      <c r="F459" s="25" t="str">
        <f>IFERROR(__xludf.DUMMYFUNCTION("""COMPUTED_VALUE"""),"#N/A")</f>
        <v>#N/A</v>
      </c>
      <c r="G459" s="6" t="str">
        <f>IFERROR(__xludf.DUMMYFUNCTION("""COMPUTED_VALUE"""),"#N/A")</f>
        <v>#N/A</v>
      </c>
      <c r="H459" s="6"/>
      <c r="I459" s="6"/>
      <c r="J459" s="50">
        <f>IFERROR(__xludf.DUMMYFUNCTION("""COMPUTED_VALUE"""),2.025)</f>
        <v>2.025</v>
      </c>
      <c r="K459" s="58">
        <f>IFERROR(__xludf.DUMMYFUNCTION("""COMPUTED_VALUE"""),45973.0)</f>
        <v>45973</v>
      </c>
      <c r="L459" s="6">
        <v>30.0</v>
      </c>
      <c r="M459" s="52">
        <v>46003.0</v>
      </c>
      <c r="N459" s="53" t="s">
        <v>711</v>
      </c>
      <c r="O459" s="6" t="s">
        <v>893</v>
      </c>
      <c r="P459" s="6"/>
      <c r="Q459" s="6" t="str">
        <f t="shared" si="1"/>
        <v>#N/A</v>
      </c>
      <c r="R459" s="6"/>
    </row>
    <row r="460" hidden="1">
      <c r="A460" s="31" t="str">
        <f>IFERROR(__xludf.DUMMYFUNCTION("""COMPUTED_VALUE"""),"281")</f>
        <v>281</v>
      </c>
      <c r="B460" s="14" t="str">
        <f>IFERROR(__xludf.DUMMYFUNCTION("""COMPUTED_VALUE"""),"АИП-26")</f>
        <v>АИП-26</v>
      </c>
      <c r="C460" s="14" t="str">
        <f>IFERROR(__xludf.DUMMYFUNCTION("""COMPUTED_VALUE"""),"ОКС")</f>
        <v>ОКС</v>
      </c>
      <c r="D460" s="71"/>
      <c r="E460" s="14" t="str">
        <f>IFERROR(__xludf.DUMMYFUNCTION("""COMPUTED_VALUE"""),"Дошкольное здание на 350 мест Дошкольное здание на 350 мест, район Даниловский, Лихачёва проспект, з/у 10/1")</f>
        <v>Дошкольное здание на 350 мест Дошкольное здание на 350 мест, район Даниловский, Лихачёва проспект, з/у 10/1</v>
      </c>
      <c r="F460" s="25" t="str">
        <f>IFERROR(__xludf.DUMMYFUNCTION("""COMPUTED_VALUE"""),"55.69177498071195")</f>
        <v>55.69177498071195</v>
      </c>
      <c r="G460" s="6" t="str">
        <f>IFERROR(__xludf.DUMMYFUNCTION("""COMPUTED_VALUE"""),"37.65743118783511")</f>
        <v>37.65743118783511</v>
      </c>
      <c r="H460" s="18" t="str">
        <f>IFERROR(__xludf.DUMMYFUNCTION("""COMPUTED_VALUE"""),"https://docs.google.com/spreadsheets/d/19THEBTE9q0fhN2eApZr6BgenIvLGh0AckaYxHQfHk5w/edit?gid=613124997#gid=613124997")</f>
        <v>https://docs.google.com/spreadsheets/d/19THEBTE9q0fhN2eApZr6BgenIvLGh0AckaYxHQfHk5w/edit?gid=613124997#gid=613124997</v>
      </c>
      <c r="I460" s="19"/>
      <c r="J460" s="50">
        <f>IFERROR(__xludf.DUMMYFUNCTION("""COMPUTED_VALUE"""),7.55)</f>
        <v>7.55</v>
      </c>
      <c r="K460" s="58">
        <f>IFERROR(__xludf.DUMMYFUNCTION("""COMPUTED_VALUE"""),45971.0)</f>
        <v>45971</v>
      </c>
      <c r="L460" s="6">
        <v>30.0</v>
      </c>
      <c r="M460" s="52">
        <v>46001.0</v>
      </c>
      <c r="N460" s="53" t="s">
        <v>711</v>
      </c>
      <c r="O460" s="19" t="s">
        <v>922</v>
      </c>
      <c r="P460" s="6"/>
      <c r="Q460" s="6" t="str">
        <f t="shared" si="1"/>
        <v>#N/A</v>
      </c>
      <c r="R460" s="6"/>
    </row>
    <row r="461" hidden="1">
      <c r="A461" s="31" t="str">
        <f>IFERROR(__xludf.DUMMYFUNCTION("""COMPUTED_VALUE"""),"171д")</f>
        <v>171д</v>
      </c>
      <c r="B461" s="14" t="str">
        <f>IFERROR(__xludf.DUMMYFUNCTION("""COMPUTED_VALUE"""),"АИП-26")</f>
        <v>АИП-26</v>
      </c>
      <c r="C461" s="14" t="str">
        <f>IFERROR(__xludf.DUMMYFUNCTION("""COMPUTED_VALUE"""),"УДС")</f>
        <v>УДС</v>
      </c>
      <c r="D461" s="69"/>
      <c r="E461" s="14" t="str">
        <f>IFERROR(__xludf.DUMMYFUNCTION("""COMPUTED_VALUE"""),"Реконструкция МКАД от ш.Энтузиастов до ул.Молдагуловой. Этап 1 МКАД от ш.Энтузиастов до ул.Молдагуловой")</f>
        <v>Реконструкция МКАД от ш.Энтузиастов до ул.Молдагуловой. Этап 1 МКАД от ш.Энтузиастов до ул.Молдагуловой</v>
      </c>
      <c r="F461" s="25" t="str">
        <f>IFERROR(__xludf.DUMMYFUNCTION("""COMPUTED_VALUE"""),"#N/A")</f>
        <v>#N/A</v>
      </c>
      <c r="G461" s="6" t="str">
        <f>IFERROR(__xludf.DUMMYFUNCTION("""COMPUTED_VALUE"""),"#N/A")</f>
        <v>#N/A</v>
      </c>
      <c r="H461" s="6"/>
      <c r="I461" s="6"/>
      <c r="J461" s="50">
        <f>IFERROR(__xludf.DUMMYFUNCTION("""COMPUTED_VALUE"""),2.25678)</f>
        <v>2.25678</v>
      </c>
      <c r="K461" s="58">
        <f>IFERROR(__xludf.DUMMYFUNCTION("""COMPUTED_VALUE"""),45974.0)</f>
        <v>45974</v>
      </c>
      <c r="L461" s="6">
        <v>30.0</v>
      </c>
      <c r="M461" s="52">
        <v>46004.0</v>
      </c>
      <c r="N461" s="53" t="s">
        <v>711</v>
      </c>
      <c r="O461" s="6" t="s">
        <v>768</v>
      </c>
      <c r="P461" s="6"/>
      <c r="Q461" s="6" t="str">
        <f t="shared" si="1"/>
        <v>#N/A</v>
      </c>
      <c r="R461" s="6"/>
    </row>
    <row r="462" hidden="1">
      <c r="A462" s="31" t="str">
        <f>IFERROR(__xludf.DUMMYFUNCTION("""COMPUTED_VALUE"""),"248д")</f>
        <v>248д</v>
      </c>
      <c r="B462" s="14" t="str">
        <f>IFERROR(__xludf.DUMMYFUNCTION("""COMPUTED_VALUE"""),"АИП-26")</f>
        <v>АИП-26</v>
      </c>
      <c r="C462" s="14" t="str">
        <f>IFERROR(__xludf.DUMMYFUNCTION("""COMPUTED_VALUE"""),"УДС")</f>
        <v>УДС</v>
      </c>
      <c r="D462" s="60"/>
      <c r="E462" s="14" t="str">
        <f>IFERROR(__xludf.DUMMYFUNCTION("""COMPUTED_VALUE"""),"Реконструкция ул.Кульнева ул.Кульнева")</f>
        <v>Реконструкция ул.Кульнева ул.Кульнева</v>
      </c>
      <c r="F462" s="25" t="str">
        <f>IFERROR(__xludf.DUMMYFUNCTION("""COMPUTED_VALUE"""),"#N/A")</f>
        <v>#N/A</v>
      </c>
      <c r="G462" s="6" t="str">
        <f>IFERROR(__xludf.DUMMYFUNCTION("""COMPUTED_VALUE"""),"#N/A")</f>
        <v>#N/A</v>
      </c>
      <c r="H462" s="6"/>
      <c r="I462" s="6"/>
      <c r="J462" s="50">
        <f>IFERROR(__xludf.DUMMYFUNCTION("""COMPUTED_VALUE"""),18.601499999999998)</f>
        <v>18.6015</v>
      </c>
      <c r="K462" s="58">
        <f>IFERROR(__xludf.DUMMYFUNCTION("""COMPUTED_VALUE"""),45962.0)</f>
        <v>45962</v>
      </c>
      <c r="L462" s="6">
        <v>30.0</v>
      </c>
      <c r="M462" s="52">
        <v>45992.0</v>
      </c>
      <c r="N462" s="53" t="s">
        <v>692</v>
      </c>
      <c r="O462" s="6" t="s">
        <v>923</v>
      </c>
      <c r="P462" s="6"/>
      <c r="Q462" s="6" t="str">
        <f t="shared" si="1"/>
        <v>#N/A</v>
      </c>
      <c r="R462" s="6"/>
    </row>
    <row r="463" hidden="1">
      <c r="A463" s="31" t="str">
        <f>IFERROR(__xludf.DUMMYFUNCTION("""COMPUTED_VALUE"""),"1057д")</f>
        <v>1057д</v>
      </c>
      <c r="B463" s="14" t="str">
        <f>IFERROR(__xludf.DUMMYFUNCTION("""COMPUTED_VALUE"""),"АИП-26")</f>
        <v>АИП-26</v>
      </c>
      <c r="C463" s="14" t="str">
        <f>IFERROR(__xludf.DUMMYFUNCTION("""COMPUTED_VALUE"""),"УДС")</f>
        <v>УДС</v>
      </c>
      <c r="D463" s="60"/>
      <c r="E463" s="14" t="str">
        <f>IFERROR(__xludf.DUMMYFUNCTION("""COMPUTED_VALUE"""),"Очистные сооружения № 3 для 1 очереди застройки р-на Щербинка Щербинка, мкр.2, 3, 4")</f>
        <v>Очистные сооружения № 3 для 1 очереди застройки р-на Щербинка Щербинка, мкр.2, 3, 4</v>
      </c>
      <c r="F463" s="25" t="str">
        <f>IFERROR(__xludf.DUMMYFUNCTION("""COMPUTED_VALUE"""),"55.50105536013862")</f>
        <v>55.50105536013862</v>
      </c>
      <c r="G463" s="6" t="str">
        <f>IFERROR(__xludf.DUMMYFUNCTION("""COMPUTED_VALUE"""),"37.58911401985064")</f>
        <v>37.58911401985064</v>
      </c>
      <c r="H463" s="6"/>
      <c r="I463" s="6" t="str">
        <f>IFERROR(__xludf.DUMMYFUNCTION("""COMPUTED_VALUE"""),"https://disk.yandex.ru/client/disk/Осмотры%20объектов%20АНО%20СМГ/1057.%20Очистные%20сооружения%20№3.%20р-н%20Щербинка")</f>
        <v>https://disk.yandex.ru/client/disk/Осмотры%20объектов%20АНО%20СМГ/1057.%20Очистные%20сооружения%20№3.%20р-н%20Щербинка</v>
      </c>
      <c r="J463" s="50">
        <f>IFERROR(__xludf.DUMMYFUNCTION("""COMPUTED_VALUE"""),20.88)</f>
        <v>20.88</v>
      </c>
      <c r="K463" s="58">
        <f>IFERROR(__xludf.DUMMYFUNCTION("""COMPUTED_VALUE"""),45958.0)</f>
        <v>45958</v>
      </c>
      <c r="L463" s="6">
        <v>30.0</v>
      </c>
      <c r="M463" s="52">
        <v>45988.0</v>
      </c>
      <c r="N463" s="53" t="s">
        <v>741</v>
      </c>
      <c r="O463" s="6" t="s">
        <v>924</v>
      </c>
      <c r="P463" s="6"/>
      <c r="Q463" s="6" t="str">
        <f t="shared" si="1"/>
        <v>#N/A</v>
      </c>
      <c r="R463" s="6"/>
    </row>
    <row r="464" hidden="1">
      <c r="A464" s="31" t="str">
        <f>IFERROR(__xludf.DUMMYFUNCTION("""COMPUTED_VALUE"""),"238д")</f>
        <v>238д</v>
      </c>
      <c r="B464" s="14" t="str">
        <f>IFERROR(__xludf.DUMMYFUNCTION("""COMPUTED_VALUE"""),"АИП-26")</f>
        <v>АИП-26</v>
      </c>
      <c r="C464" s="14" t="str">
        <f>IFERROR(__xludf.DUMMYFUNCTION("""COMPUTED_VALUE"""),"УДС")</f>
        <v>УДС</v>
      </c>
      <c r="D464" s="60"/>
      <c r="E464" s="14" t="str">
        <f>IFERROR(__xludf.DUMMYFUNCTION("""COMPUTED_VALUE"""),"Реконструкция Староватутинского пр-да Староватутинский пр-д")</f>
        <v>Реконструкция Староватутинского пр-да Староватутинский пр-д</v>
      </c>
      <c r="F464" s="25" t="str">
        <f>IFERROR(__xludf.DUMMYFUNCTION("""COMPUTED_VALUE"""),"#N/A")</f>
        <v>#N/A</v>
      </c>
      <c r="G464" s="6" t="str">
        <f>IFERROR(__xludf.DUMMYFUNCTION("""COMPUTED_VALUE"""),"#N/A")</f>
        <v>#N/A</v>
      </c>
      <c r="H464" s="6"/>
      <c r="I464" s="6"/>
      <c r="J464" s="50">
        <f>IFERROR(__xludf.DUMMYFUNCTION("""COMPUTED_VALUE"""),0.0)</f>
        <v>0</v>
      </c>
      <c r="K464" s="58">
        <f>IFERROR(__xludf.DUMMYFUNCTION("""COMPUTED_VALUE"""),45968.0)</f>
        <v>45968</v>
      </c>
      <c r="L464" s="6">
        <v>30.0</v>
      </c>
      <c r="M464" s="52">
        <v>45998.0</v>
      </c>
      <c r="N464" s="53" t="s">
        <v>711</v>
      </c>
      <c r="O464" s="6" t="s">
        <v>925</v>
      </c>
      <c r="P464" s="6"/>
      <c r="Q464" s="6" t="str">
        <f t="shared" si="1"/>
        <v>#N/A</v>
      </c>
      <c r="R464" s="6"/>
    </row>
    <row r="465" hidden="1">
      <c r="A465" s="31" t="str">
        <f>IFERROR(__xludf.DUMMYFUNCTION("""COMPUTED_VALUE"""),"287д")</f>
        <v>287д</v>
      </c>
      <c r="B465" s="14" t="str">
        <f>IFERROR(__xludf.DUMMYFUNCTION("""COMPUTED_VALUE"""),"АИП-26")</f>
        <v>АИП-26</v>
      </c>
      <c r="C465" s="14" t="str">
        <f>IFERROR(__xludf.DUMMYFUNCTION("""COMPUTED_VALUE"""),"УДС")</f>
        <v>УДС</v>
      </c>
      <c r="D465" s="60"/>
      <c r="E465" s="14" t="str">
        <f>IFERROR(__xludf.DUMMYFUNCTION("""COMPUTED_VALUE"""),"Развитие улично-дорожной сети Молжаниновского района. Этап 1.1 Молжаниновский район")</f>
        <v>Развитие улично-дорожной сети Молжаниновского района. Этап 1.1 Молжаниновский район</v>
      </c>
      <c r="F465" s="25" t="str">
        <f>IFERROR(__xludf.DUMMYFUNCTION("""COMPUTED_VALUE"""),"#N/A")</f>
        <v>#N/A</v>
      </c>
      <c r="G465" s="6" t="str">
        <f>IFERROR(__xludf.DUMMYFUNCTION("""COMPUTED_VALUE"""),"#N/A")</f>
        <v>#N/A</v>
      </c>
      <c r="H465" s="6"/>
      <c r="I465" s="6"/>
      <c r="J465" s="50">
        <f>IFERROR(__xludf.DUMMYFUNCTION("""COMPUTED_VALUE"""),7.013000000000001)</f>
        <v>7.013</v>
      </c>
      <c r="K465" s="58">
        <f>IFERROR(__xludf.DUMMYFUNCTION("""COMPUTED_VALUE"""),45971.0)</f>
        <v>45971</v>
      </c>
      <c r="L465" s="6">
        <v>30.0</v>
      </c>
      <c r="M465" s="52">
        <v>46001.0</v>
      </c>
      <c r="N465" s="53" t="s">
        <v>711</v>
      </c>
      <c r="O465" s="6" t="s">
        <v>893</v>
      </c>
      <c r="P465" s="6"/>
      <c r="Q465" s="6" t="str">
        <f t="shared" si="1"/>
        <v>#N/A</v>
      </c>
      <c r="R465" s="6"/>
    </row>
    <row r="466" hidden="1">
      <c r="A466" s="31" t="str">
        <f>IFERROR(__xludf.DUMMYFUNCTION("""COMPUTED_VALUE"""),"259д")</f>
        <v>259д</v>
      </c>
      <c r="B466" s="14" t="str">
        <f>IFERROR(__xludf.DUMMYFUNCTION("""COMPUTED_VALUE"""),"АИП-26")</f>
        <v>АИП-26</v>
      </c>
      <c r="C466" s="14" t="str">
        <f>IFERROR(__xludf.DUMMYFUNCTION("""COMPUTED_VALUE"""),"УДС")</f>
        <v>УДС</v>
      </c>
      <c r="D466" s="60"/>
      <c r="E466" s="14" t="str">
        <f>IFERROR(__xludf.DUMMYFUNCTION("""COMPUTED_VALUE"""),"Строительство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f>
        <v>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v>
      </c>
      <c r="F466" s="25" t="str">
        <f>IFERROR(__xludf.DUMMYFUNCTION("""COMPUTED_VALUE"""),"#N/A")</f>
        <v>#N/A</v>
      </c>
      <c r="G466" s="6" t="str">
        <f>IFERROR(__xludf.DUMMYFUNCTION("""COMPUTED_VALUE"""),"#N/A")</f>
        <v>#N/A</v>
      </c>
      <c r="H466" s="6"/>
      <c r="I466" s="6"/>
      <c r="J466" s="50">
        <f>IFERROR(__xludf.DUMMYFUNCTION("""COMPUTED_VALUE"""),11.101466094600251)</f>
        <v>11.10146609</v>
      </c>
      <c r="K466" s="58">
        <f>IFERROR(__xludf.DUMMYFUNCTION("""COMPUTED_VALUE"""),45971.0)</f>
        <v>45971</v>
      </c>
      <c r="L466" s="6">
        <v>30.0</v>
      </c>
      <c r="M466" s="52">
        <v>46001.0</v>
      </c>
      <c r="N466" s="53" t="s">
        <v>711</v>
      </c>
      <c r="O466" s="6" t="s">
        <v>926</v>
      </c>
      <c r="P466" s="6"/>
      <c r="Q466" s="6" t="str">
        <f t="shared" si="1"/>
        <v>#N/A</v>
      </c>
      <c r="R466" s="6"/>
    </row>
    <row r="467" hidden="1">
      <c r="A467" s="31" t="str">
        <f>IFERROR(__xludf.DUMMYFUNCTION("""COMPUTED_VALUE"""),"264")</f>
        <v>264</v>
      </c>
      <c r="B467" s="14" t="str">
        <f>IFERROR(__xludf.DUMMYFUNCTION("""COMPUTED_VALUE"""),"АИП-26")</f>
        <v>АИП-26</v>
      </c>
      <c r="C467" s="14" t="str">
        <f>IFERROR(__xludf.DUMMYFUNCTION("""COMPUTED_VALUE"""),"ОКС")</f>
        <v>ОКС</v>
      </c>
      <c r="D467" s="60"/>
      <c r="E467" s="14" t="str">
        <f>IFERROR(__xludf.DUMMYFUNCTION("""COMPUTED_VALUE"""),"ЖК «Легенда», жилой дом г.о. Троицк, 42-й км Калужского шоссе, корп. 6")</f>
        <v>ЖК «Легенда», жилой дом г.о. Троицк, 42-й км Калужского шоссе, корп. 6</v>
      </c>
      <c r="F467" s="25" t="str">
        <f>IFERROR(__xludf.DUMMYFUNCTION("""COMPUTED_VALUE"""),"55.455519426714716")</f>
        <v>55.455519426714716</v>
      </c>
      <c r="G467" s="6" t="str">
        <f>IFERROR(__xludf.DUMMYFUNCTION("""COMPUTED_VALUE"""),"37.2839123514691")</f>
        <v>37.2839123514691</v>
      </c>
      <c r="H467" s="18" t="str">
        <f>IFERROR(__xludf.DUMMYFUNCTION("""COMPUTED_VALUE"""),"https://docs.google.com/spreadsheets/d/19THEBTE9q0fhN2eApZr6BgenIvLGh0AckaYxHQfHk5w/edit?gid=2114429362#gid=2114429362")</f>
        <v>https://docs.google.com/spreadsheets/d/19THEBTE9q0fhN2eApZr6BgenIvLGh0AckaYxHQfHk5w/edit?gid=2114429362#gid=2114429362</v>
      </c>
      <c r="I467" s="19" t="str">
        <f>IFERROR(__xludf.DUMMYFUNCTION("""COMPUTED_VALUE"""),"https://disk.yandex.ru/client/disk/Осмотры%20объектов%20АНО%20СМГ/264.%20ЖК%20Легенда%20Корп.%206")</f>
        <v>https://disk.yandex.ru/client/disk/Осмотры%20объектов%20АНО%20СМГ/264.%20ЖК%20Легенда%20Корп.%206</v>
      </c>
      <c r="J467" s="50">
        <f>IFERROR(__xludf.DUMMYFUNCTION("""COMPUTED_VALUE"""),20.497999999999998)</f>
        <v>20.498</v>
      </c>
      <c r="K467" s="58">
        <f>IFERROR(__xludf.DUMMYFUNCTION("""COMPUTED_VALUE"""),45954.0)</f>
        <v>45954</v>
      </c>
      <c r="L467" s="6">
        <v>30.0</v>
      </c>
      <c r="M467" s="52">
        <v>45984.0</v>
      </c>
      <c r="N467" s="53" t="s">
        <v>741</v>
      </c>
      <c r="O467" s="19" t="s">
        <v>927</v>
      </c>
      <c r="P467" s="6"/>
      <c r="Q467" s="6" t="str">
        <f t="shared" si="1"/>
        <v>#N/A</v>
      </c>
      <c r="R467" s="6"/>
    </row>
    <row r="468" hidden="1">
      <c r="A468" s="70" t="str">
        <f>IFERROR(__xludf.DUMMYFUNCTION("""COMPUTED_VALUE"""),"215")</f>
        <v>215</v>
      </c>
      <c r="B468" s="14" t="str">
        <f>IFERROR(__xludf.DUMMYFUNCTION("""COMPUTED_VALUE"""),"АИП-26")</f>
        <v>АИП-26</v>
      </c>
      <c r="C468" s="14" t="str">
        <f>IFERROR(__xludf.DUMMYFUNCTION("""COMPUTED_VALUE"""),"ОКС")</f>
        <v>ОКС</v>
      </c>
      <c r="D468" s="60"/>
      <c r="E468" s="14" t="str">
        <f>IFERROR(__xludf.DUMMYFUNCTION("""COMPUTED_VALUE"""),"Проектирование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з/у г. Москва, р-н Молжаниновский, 3-я Подрезковская ул."&amp;", напротив влд. 26")</f>
        <v>Проектирование и строительство здания для размещения организаций труда и социальной защиты населения города Москвы и Многофункционального центра предоставления государственных услуг города Москвы на з/у г. Москва, р-н Молжаниновский, 3-я Подрезковская ул., напротив влд. 26</v>
      </c>
      <c r="F468" s="25" t="str">
        <f>IFERROR(__xludf.DUMMYFUNCTION("""COMPUTED_VALUE"""),"55.94165447021686")</f>
        <v>55.94165447021686</v>
      </c>
      <c r="G468" s="6" t="str">
        <f>IFERROR(__xludf.DUMMYFUNCTION("""COMPUTED_VALUE"""),"37.351886453688586")</f>
        <v>37.351886453688586</v>
      </c>
      <c r="H468" s="18" t="str">
        <f>IFERROR(__xludf.DUMMYFUNCTION("""COMPUTED_VALUE"""),"https://docs.google.com/spreadsheets/d/19THEBTE9q0fhN2eApZr6BgenIvLGh0AckaYxHQfHk5w/edit?gid=662134191#gid=662134191")</f>
        <v>https://docs.google.com/spreadsheets/d/19THEBTE9q0fhN2eApZr6BgenIvLGh0AckaYxHQfHk5w/edit?gid=662134191#gid=662134191</v>
      </c>
      <c r="I468" s="19" t="str">
        <f>IFERROR(__xludf.DUMMYFUNCTION("""COMPUTED_VALUE"""),"https://disk.yandex.ru/client/disk/Осмотры%20объектов%20АНО%20СМГ/215.%203-я%20Подрезковская%20напротив%20д%2026")</f>
        <v>https://disk.yandex.ru/client/disk/Осмотры%20объектов%20АНО%20СМГ/215.%203-я%20Подрезковская%20напротив%20д%2026</v>
      </c>
      <c r="J468" s="50">
        <f>IFERROR(__xludf.DUMMYFUNCTION("""COMPUTED_VALUE"""),0.0)</f>
        <v>0</v>
      </c>
      <c r="K468" s="58">
        <f>IFERROR(__xludf.DUMMYFUNCTION("""COMPUTED_VALUE"""),45919.0)</f>
        <v>45919</v>
      </c>
      <c r="L468" s="6">
        <v>30.0</v>
      </c>
      <c r="M468" s="52">
        <v>45949.0</v>
      </c>
      <c r="N468" s="53" t="s">
        <v>668</v>
      </c>
      <c r="O468" s="19" t="s">
        <v>928</v>
      </c>
      <c r="P468" s="6"/>
      <c r="Q468" s="6" t="str">
        <f t="shared" si="1"/>
        <v>#N/A</v>
      </c>
      <c r="R468" s="6"/>
    </row>
    <row r="469" hidden="1">
      <c r="A469" s="31" t="str">
        <f>IFERROR(__xludf.DUMMYFUNCTION("""COMPUTED_VALUE"""),"276д")</f>
        <v>276д</v>
      </c>
      <c r="B469" s="14" t="str">
        <f>IFERROR(__xludf.DUMMYFUNCTION("""COMPUTED_VALUE"""),"АИП-26")</f>
        <v>АИП-26</v>
      </c>
      <c r="C469" s="14" t="str">
        <f>IFERROR(__xludf.DUMMYFUNCTION("""COMPUTED_VALUE"""),"УДС")</f>
        <v>УДС</v>
      </c>
      <c r="D469" s="60"/>
      <c r="E469" s="14" t="str">
        <f>IFERROR(__xludf.DUMMYFUNCTION("""COMPUTED_VALUE"""),"ЮВХ-7. Участок вдоль ул.Каспийской от ул.Кантемировской до Павелецкого направления Московской железной дороги. Этапы 2 вдоль ул.Каспийской от ул.Кантемировской до Павелецкого направления Московской железной дороги")</f>
        <v>ЮВХ-7. Участок вдоль ул.Каспийской от ул.Кантемировской до Павелецкого направления Московской железной дороги. Этапы 2 вдоль ул.Каспийской от ул.Кантемировской до Павелецкого направления Московской железной дороги</v>
      </c>
      <c r="F469" s="25" t="str">
        <f>IFERROR(__xludf.DUMMYFUNCTION("""COMPUTED_VALUE"""),"#N/A")</f>
        <v>#N/A</v>
      </c>
      <c r="G469" s="6" t="str">
        <f>IFERROR(__xludf.DUMMYFUNCTION("""COMPUTED_VALUE"""),"#N/A")</f>
        <v>#N/A</v>
      </c>
      <c r="H469" s="6"/>
      <c r="I469" s="6"/>
      <c r="J469" s="50">
        <f>IFERROR(__xludf.DUMMYFUNCTION("""COMPUTED_VALUE"""),45.743266509433944)</f>
        <v>45.74326651</v>
      </c>
      <c r="K469" s="58">
        <f>IFERROR(__xludf.DUMMYFUNCTION("""COMPUTED_VALUE"""),45971.0)</f>
        <v>45971</v>
      </c>
      <c r="L469" s="6">
        <v>30.0</v>
      </c>
      <c r="M469" s="52">
        <v>46001.0</v>
      </c>
      <c r="N469" s="53" t="s">
        <v>711</v>
      </c>
      <c r="O469" s="6" t="s">
        <v>929</v>
      </c>
      <c r="P469" s="6"/>
      <c r="Q469" s="6" t="str">
        <f t="shared" si="1"/>
        <v>#N/A</v>
      </c>
      <c r="R469" s="6"/>
    </row>
    <row r="470" hidden="1">
      <c r="A470" s="31" t="str">
        <f>IFERROR(__xludf.DUMMYFUNCTION("""COMPUTED_VALUE"""),"264д")</f>
        <v>264д</v>
      </c>
      <c r="B470" s="14" t="str">
        <f>IFERROR(__xludf.DUMMYFUNCTION("""COMPUTED_VALUE"""),"АИП-26")</f>
        <v>АИП-26</v>
      </c>
      <c r="C470" s="14" t="str">
        <f>IFERROR(__xludf.DUMMYFUNCTION("""COMPUTED_VALUE"""),"УДС")</f>
        <v>УДС</v>
      </c>
      <c r="D470" s="60"/>
      <c r="E470" s="14" t="str">
        <f>IFERROR(__xludf.DUMMYFUNCTION("""COMPUTED_VALUE"""),"Реконструкция Краснобогатырской ул. Этап 2. Краснобогатырская ул.")</f>
        <v>Реконструкция Краснобогатырской ул. Этап 2. Краснобогатырская ул.</v>
      </c>
      <c r="F470" s="25" t="str">
        <f>IFERROR(__xludf.DUMMYFUNCTION("""COMPUTED_VALUE"""),"#N/A")</f>
        <v>#N/A</v>
      </c>
      <c r="G470" s="6" t="str">
        <f>IFERROR(__xludf.DUMMYFUNCTION("""COMPUTED_VALUE"""),"#N/A")</f>
        <v>#N/A</v>
      </c>
      <c r="H470" s="6"/>
      <c r="I470" s="6"/>
      <c r="J470" s="50">
        <f>IFERROR(__xludf.DUMMYFUNCTION("""COMPUTED_VALUE"""),0.30487804878048785)</f>
        <v>0.3048780488</v>
      </c>
      <c r="K470" s="58">
        <f>IFERROR(__xludf.DUMMYFUNCTION("""COMPUTED_VALUE"""),45961.0)</f>
        <v>45961</v>
      </c>
      <c r="L470" s="6">
        <v>30.0</v>
      </c>
      <c r="M470" s="52">
        <v>45991.0</v>
      </c>
      <c r="N470" s="53" t="s">
        <v>692</v>
      </c>
      <c r="O470" s="6" t="s">
        <v>930</v>
      </c>
      <c r="P470" s="6"/>
      <c r="Q470" s="6" t="str">
        <f t="shared" si="1"/>
        <v>#N/A</v>
      </c>
      <c r="R470" s="6"/>
    </row>
    <row r="471" hidden="1">
      <c r="A471" s="31" t="str">
        <f>IFERROR(__xludf.DUMMYFUNCTION("""COMPUTED_VALUE"""),"457д (этап 2)")</f>
        <v>457д (этап 2)</v>
      </c>
      <c r="B471" s="14" t="str">
        <f>IFERROR(__xludf.DUMMYFUNCTION("""COMPUTED_VALUE"""),"АИП-26")</f>
        <v>АИП-26</v>
      </c>
      <c r="C471" s="14" t="str">
        <f>IFERROR(__xludf.DUMMYFUNCTION("""COMPUTED_VALUE"""),"УДС")</f>
        <v>УДС</v>
      </c>
      <c r="D471" s="60"/>
      <c r="E471" s="14" t="str">
        <f>IFERROR(__xludf.DUMMYFUNCTION("""COMPUTED_VALUE"""),"Улично-дорожная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2 этап ул. Лобачевского, Киевское направление МЖД, Мичуринский проспект")</f>
        <v>Улично-дорожная сеть для обслуживания жилой застройки, ограниченной ул. Лобачевского, Киевским направлением МЖД, Мичуринским проспектом с мостом через р. Раменку 2 этап ул. Лобачевского, Киевское направление МЖД, Мичуринский проспект</v>
      </c>
      <c r="F471" s="25" t="str">
        <f>IFERROR(__xludf.DUMMYFUNCTION("""COMPUTED_VALUE"""),"#N/A")</f>
        <v>#N/A</v>
      </c>
      <c r="G471" s="6" t="str">
        <f>IFERROR(__xludf.DUMMYFUNCTION("""COMPUTED_VALUE"""),"#N/A")</f>
        <v>#N/A</v>
      </c>
      <c r="H471" s="6"/>
      <c r="I471" s="6"/>
      <c r="J471" s="50">
        <f>IFERROR(__xludf.DUMMYFUNCTION("""COMPUTED_VALUE"""),0.0)</f>
        <v>0</v>
      </c>
      <c r="K471" s="58">
        <f>IFERROR(__xludf.DUMMYFUNCTION("""COMPUTED_VALUE"""),45953.0)</f>
        <v>45953</v>
      </c>
      <c r="L471" s="6">
        <v>30.0</v>
      </c>
      <c r="M471" s="52">
        <v>45983.0</v>
      </c>
      <c r="N471" s="53" t="s">
        <v>741</v>
      </c>
      <c r="O471" s="6" t="s">
        <v>931</v>
      </c>
      <c r="P471" s="6"/>
      <c r="Q471" s="6" t="str">
        <f t="shared" si="1"/>
        <v>#N/A</v>
      </c>
      <c r="R471" s="6"/>
    </row>
    <row r="472" hidden="1">
      <c r="A472" s="31" t="str">
        <f>IFERROR(__xludf.DUMMYFUNCTION("""COMPUTED_VALUE"""),"275д")</f>
        <v>275д</v>
      </c>
      <c r="B472" s="14" t="str">
        <f>IFERROR(__xludf.DUMMYFUNCTION("""COMPUTED_VALUE"""),"АИП-26")</f>
        <v>АИП-26</v>
      </c>
      <c r="C472" s="14" t="str">
        <f>IFERROR(__xludf.DUMMYFUNCTION("""COMPUTED_VALUE"""),"УДС")</f>
        <v>УДС</v>
      </c>
      <c r="D472" s="60"/>
      <c r="E472" s="14" t="str">
        <f>IFERROR(__xludf.DUMMYFUNCTION("""COMPUTED_VALUE"""),"Транспортная развязка и мостовые сооружения на территории Мневниковской поймы с примыканием к Северо-Западной хорде. Мост Парус Новозаводский территория Мневниковской поймы")</f>
        <v>Транспортная развязка и мостовые сооружения на территории Мневниковской поймы с примыканием к Северо-Западной хорде. Мост Парус Новозаводский территория Мневниковской поймы</v>
      </c>
      <c r="F472" s="25" t="str">
        <f>IFERROR(__xludf.DUMMYFUNCTION("""COMPUTED_VALUE"""),"#N/A")</f>
        <v>#N/A</v>
      </c>
      <c r="G472" s="6" t="str">
        <f>IFERROR(__xludf.DUMMYFUNCTION("""COMPUTED_VALUE"""),"#N/A")</f>
        <v>#N/A</v>
      </c>
      <c r="H472" s="6"/>
      <c r="I472" s="6"/>
      <c r="J472" s="50">
        <f>IFERROR(__xludf.DUMMYFUNCTION("""COMPUTED_VALUE"""),25.427666666666674)</f>
        <v>25.42766667</v>
      </c>
      <c r="K472" s="58">
        <f>IFERROR(__xludf.DUMMYFUNCTION("""COMPUTED_VALUE"""),45971.0)</f>
        <v>45971</v>
      </c>
      <c r="L472" s="6">
        <v>30.0</v>
      </c>
      <c r="M472" s="52">
        <v>46001.0</v>
      </c>
      <c r="N472" s="53" t="s">
        <v>711</v>
      </c>
      <c r="O472" s="6" t="s">
        <v>669</v>
      </c>
      <c r="P472" s="6"/>
      <c r="Q472" s="6" t="str">
        <f t="shared" si="1"/>
        <v>#N/A</v>
      </c>
      <c r="R472" s="6"/>
    </row>
    <row r="473" hidden="1">
      <c r="A473" s="31" t="str">
        <f>IFERROR(__xludf.DUMMYFUNCTION("""COMPUTED_VALUE"""),"408д")</f>
        <v>408д</v>
      </c>
      <c r="B473" s="14" t="str">
        <f>IFERROR(__xludf.DUMMYFUNCTION("""COMPUTED_VALUE"""),"АИП-26")</f>
        <v>АИП-26</v>
      </c>
      <c r="C473" s="14" t="str">
        <f>IFERROR(__xludf.DUMMYFUNCTION("""COMPUTED_VALUE"""),"УДС")</f>
        <v>УДС</v>
      </c>
      <c r="D473" s="60"/>
      <c r="E473" s="14" t="str">
        <f>IFERROR(__xludf.DUMMYFUNCTION("""COMPUTED_VALUE"""),"Строительство искусственного сооружения в русле р. Москвы с реконструкцией Крутицкой наб. Этапы 3 Крутицкая наб.")</f>
        <v>Строительство искусственного сооружения в русле р. Москвы с реконструкцией Крутицкой наб. Этапы 3 Крутицкая наб.</v>
      </c>
      <c r="F473" s="25" t="str">
        <f>IFERROR(__xludf.DUMMYFUNCTION("""COMPUTED_VALUE"""),"#N/A")</f>
        <v>#N/A</v>
      </c>
      <c r="G473" s="6" t="str">
        <f>IFERROR(__xludf.DUMMYFUNCTION("""COMPUTED_VALUE"""),"#N/A")</f>
        <v>#N/A</v>
      </c>
      <c r="H473" s="6"/>
      <c r="I473" s="6"/>
      <c r="J473" s="50">
        <f>IFERROR(__xludf.DUMMYFUNCTION("""COMPUTED_VALUE"""),0.0)</f>
        <v>0</v>
      </c>
      <c r="K473" s="58">
        <f>IFERROR(__xludf.DUMMYFUNCTION("""COMPUTED_VALUE"""),45972.0)</f>
        <v>45972</v>
      </c>
      <c r="L473" s="6">
        <v>30.0</v>
      </c>
      <c r="M473" s="52">
        <v>46002.0</v>
      </c>
      <c r="N473" s="53" t="s">
        <v>711</v>
      </c>
      <c r="O473" s="6" t="s">
        <v>932</v>
      </c>
      <c r="P473" s="6"/>
      <c r="Q473" s="6" t="str">
        <f t="shared" si="1"/>
        <v>#N/A</v>
      </c>
      <c r="R473" s="6"/>
    </row>
    <row r="474" hidden="1">
      <c r="A474" s="31" t="str">
        <f>IFERROR(__xludf.DUMMYFUNCTION("""COMPUTED_VALUE"""),"1344")</f>
        <v>1344</v>
      </c>
      <c r="B474" s="14" t="str">
        <f>IFERROR(__xludf.DUMMYFUNCTION("""COMPUTED_VALUE"""),"АИП-26")</f>
        <v>АИП-26</v>
      </c>
      <c r="C474" s="14" t="str">
        <f>IFERROR(__xludf.DUMMYFUNCTION("""COMPUTED_VALUE"""),"ОКС")</f>
        <v>ОКС</v>
      </c>
      <c r="D474" s="60"/>
      <c r="E474" s="14" t="str">
        <f>IFERROR(__xludf.DUMMYFUNCTION("""COMPUTED_VALUE"""),"мкр.18Б р-на Богородское мкр.18Б р-на Богородское")</f>
        <v>мкр.18Б р-на Богородское мкр.18Б р-на Богородское</v>
      </c>
      <c r="F474" s="25" t="str">
        <f>IFERROR(__xludf.DUMMYFUNCTION("""COMPUTED_VALUE"""),"#N/A")</f>
        <v>#N/A</v>
      </c>
      <c r="G474" s="6" t="str">
        <f>IFERROR(__xludf.DUMMYFUNCTION("""COMPUTED_VALUE"""),"#N/A")</f>
        <v>#N/A</v>
      </c>
      <c r="H474" s="18" t="str">
        <f>IFERROR(__xludf.DUMMYFUNCTION("""COMPUTED_VALUE"""),"https://docs.google.com/spreadsheets/d/19THEBTE9q0fhN2eApZr6BgenIvLGh0AckaYxHQfHk5w/edit?gid=343288429#gid=343288429")</f>
        <v>https://docs.google.com/spreadsheets/d/19THEBTE9q0fhN2eApZr6BgenIvLGh0AckaYxHQfHk5w/edit?gid=343288429#gid=343288429</v>
      </c>
      <c r="I474" s="19"/>
      <c r="J474" s="50"/>
      <c r="K474" s="58">
        <f>IFERROR(__xludf.DUMMYFUNCTION("""COMPUTED_VALUE"""),45962.0)</f>
        <v>45962</v>
      </c>
      <c r="L474" s="6">
        <v>30.0</v>
      </c>
      <c r="M474" s="52">
        <v>45992.0</v>
      </c>
      <c r="N474" s="53" t="s">
        <v>692</v>
      </c>
      <c r="O474" s="19" t="s">
        <v>933</v>
      </c>
      <c r="P474" s="6"/>
      <c r="Q474" s="6" t="str">
        <f t="shared" si="1"/>
        <v>#N/A</v>
      </c>
      <c r="R474" s="6"/>
    </row>
    <row r="475" hidden="1">
      <c r="A475" s="31" t="str">
        <f>IFERROR(__xludf.DUMMYFUNCTION("""COMPUTED_VALUE"""),"372д")</f>
        <v>372д</v>
      </c>
      <c r="B475" s="14" t="str">
        <f>IFERROR(__xludf.DUMMYFUNCTION("""COMPUTED_VALUE"""),"АИП-26")</f>
        <v>АИП-26</v>
      </c>
      <c r="C475" s="14" t="str">
        <f>IFERROR(__xludf.DUMMYFUNCTION("""COMPUTED_VALUE"""),"УДС")</f>
        <v>УДС</v>
      </c>
      <c r="D475" s="60"/>
      <c r="E475" s="14" t="str">
        <f>IFERROR(__xludf.DUMMYFUNCTION("""COMPUTED_VALUE"""),"ЮВХ-7. Участок вдоль ул. Каспийской от ул. Кантемировской до Павелецкого направления Московской железной дороги. Этапы 1 вдоль ул.Каспийской от ул. Кантемировской до ул. Севанская, Ул. Каспийская от ул. Севанская до МСД")</f>
        <v>ЮВХ-7. Участок вдоль ул. Каспийской от ул. Кантемировской до Павелецкого направления Московской железной дороги. Этапы 1 вдоль ул.Каспийской от ул. Кантемировской до ул. Севанская, Ул. Каспийская от ул. Севанская до МСД</v>
      </c>
      <c r="F475" s="25" t="str">
        <f>IFERROR(__xludf.DUMMYFUNCTION("""COMPUTED_VALUE"""),"#N/A")</f>
        <v>#N/A</v>
      </c>
      <c r="G475" s="6" t="str">
        <f>IFERROR(__xludf.DUMMYFUNCTION("""COMPUTED_VALUE"""),"#N/A")</f>
        <v>#N/A</v>
      </c>
      <c r="H475" s="6"/>
      <c r="I475" s="6"/>
      <c r="J475" s="50">
        <f>IFERROR(__xludf.DUMMYFUNCTION("""COMPUTED_VALUE"""),0.0)</f>
        <v>0</v>
      </c>
      <c r="K475" s="58">
        <f>IFERROR(__xludf.DUMMYFUNCTION("""COMPUTED_VALUE"""),45971.0)</f>
        <v>45971</v>
      </c>
      <c r="L475" s="6">
        <v>30.0</v>
      </c>
      <c r="M475" s="52">
        <v>46001.0</v>
      </c>
      <c r="N475" s="53" t="s">
        <v>711</v>
      </c>
      <c r="O475" s="6" t="s">
        <v>934</v>
      </c>
      <c r="P475" s="6"/>
      <c r="Q475" s="6" t="str">
        <f t="shared" si="1"/>
        <v>#N/A</v>
      </c>
      <c r="R475" s="6"/>
    </row>
    <row r="476" hidden="1">
      <c r="A476" s="31" t="str">
        <f>IFERROR(__xludf.DUMMYFUNCTION("""COMPUTED_VALUE"""),"373д")</f>
        <v>373д</v>
      </c>
      <c r="B476" s="14" t="str">
        <f>IFERROR(__xludf.DUMMYFUNCTION("""COMPUTED_VALUE"""),"АИП-26")</f>
        <v>АИП-26</v>
      </c>
      <c r="C476" s="14" t="str">
        <f>IFERROR(__xludf.DUMMYFUNCTION("""COMPUTED_VALUE"""),"УДС")</f>
        <v>УДС</v>
      </c>
      <c r="D476" s="60"/>
      <c r="E476" s="14" t="str">
        <f>IFERROR(__xludf.DUMMYFUNCTION("""COMPUTED_VALUE"""),"Реконструкция Дмитровского ш. от Малого кольца Московской железной
 дороги до Коровинского ш.
 ОС Дмитровское ш.")</f>
        <v>Реконструкция Дмитровского ш. от Малого кольца Московской железной
 дороги до Коровинского ш.
 ОС Дмитровское ш.</v>
      </c>
      <c r="F476" s="25" t="str">
        <f>IFERROR(__xludf.DUMMYFUNCTION("""COMPUTED_VALUE"""),"#N/A")</f>
        <v>#N/A</v>
      </c>
      <c r="G476" s="6" t="str">
        <f>IFERROR(__xludf.DUMMYFUNCTION("""COMPUTED_VALUE"""),"#N/A")</f>
        <v>#N/A</v>
      </c>
      <c r="H476" s="6"/>
      <c r="I476" s="74"/>
      <c r="J476" s="50">
        <f>IFERROR(__xludf.DUMMYFUNCTION("""COMPUTED_VALUE"""),43.959999999999994)</f>
        <v>43.96</v>
      </c>
      <c r="K476" s="58">
        <f>IFERROR(__xludf.DUMMYFUNCTION("""COMPUTED_VALUE"""),45962.0)</f>
        <v>45962</v>
      </c>
      <c r="L476" s="6">
        <v>30.0</v>
      </c>
      <c r="M476" s="52">
        <v>45992.0</v>
      </c>
      <c r="N476" s="53" t="s">
        <v>692</v>
      </c>
      <c r="O476" s="6" t="s">
        <v>935</v>
      </c>
      <c r="P476" s="6"/>
      <c r="Q476" s="6" t="str">
        <f t="shared" si="1"/>
        <v>#N/A</v>
      </c>
      <c r="R476" s="6"/>
    </row>
    <row r="477" hidden="1">
      <c r="A477" s="31" t="str">
        <f>IFERROR(__xludf.DUMMYFUNCTION("""COMPUTED_VALUE"""),"262д")</f>
        <v>262д</v>
      </c>
      <c r="B477" s="14" t="str">
        <f>IFERROR(__xludf.DUMMYFUNCTION("""COMPUTED_VALUE"""),"АИП-26")</f>
        <v>АИП-26</v>
      </c>
      <c r="C477" s="14" t="str">
        <f>IFERROR(__xludf.DUMMYFUNCTION("""COMPUTED_VALUE"""),"УДС")</f>
        <v>УДС</v>
      </c>
      <c r="D477" s="60"/>
      <c r="E477" s="14" t="str">
        <f>IFERROR(__xludf.DUMMYFUNCTION("""COMPUTED_VALUE"""),"Многоуровневые транспортные развязки на пересечении Северо-Восточной хорды с 5-м проездом Подбельского и Открытым шоссе. Этап 2. пересечение Северо-Восточной хорды с 5-м проездом Подбельского и Открытым шоссе")</f>
        <v>Многоуровневые транспортные развязки на пересечении Северо-Восточной хорды с 5-м проездом Подбельского и Открытым шоссе. Этап 2. пересечение Северо-Восточной хорды с 5-м проездом Подбельского и Открытым шоссе</v>
      </c>
      <c r="F477" s="25" t="str">
        <f>IFERROR(__xludf.DUMMYFUNCTION("""COMPUTED_VALUE"""),"#N/A")</f>
        <v>#N/A</v>
      </c>
      <c r="G477" s="6" t="str">
        <f>IFERROR(__xludf.DUMMYFUNCTION("""COMPUTED_VALUE"""),"#N/A")</f>
        <v>#N/A</v>
      </c>
      <c r="H477" s="6"/>
      <c r="I477" s="6"/>
      <c r="J477" s="50">
        <f>IFERROR(__xludf.DUMMYFUNCTION("""COMPUTED_VALUE"""),19.896029411764708)</f>
        <v>19.89602941</v>
      </c>
      <c r="K477" s="58">
        <f>IFERROR(__xludf.DUMMYFUNCTION("""COMPUTED_VALUE"""),45972.0)</f>
        <v>45972</v>
      </c>
      <c r="L477" s="6">
        <v>30.0</v>
      </c>
      <c r="M477" s="52">
        <v>46002.0</v>
      </c>
      <c r="N477" s="53" t="s">
        <v>711</v>
      </c>
      <c r="O477" s="6" t="s">
        <v>669</v>
      </c>
      <c r="P477" s="6"/>
      <c r="Q477" s="6" t="str">
        <f t="shared" si="1"/>
        <v>#N/A</v>
      </c>
      <c r="R477" s="6"/>
    </row>
    <row r="478" hidden="1">
      <c r="A478" s="31" t="str">
        <f>IFERROR(__xludf.DUMMYFUNCTION("""COMPUTED_VALUE"""),"381д")</f>
        <v>381д</v>
      </c>
      <c r="B478" s="14" t="str">
        <f>IFERROR(__xludf.DUMMYFUNCTION("""COMPUTED_VALUE"""),"АИП-26")</f>
        <v>АИП-26</v>
      </c>
      <c r="C478" s="14" t="str">
        <f>IFERROR(__xludf.DUMMYFUNCTION("""COMPUTED_VALUE"""),"УДС")</f>
        <v>УДС</v>
      </c>
      <c r="D478" s="60"/>
      <c r="E478" s="14" t="str">
        <f>IFERROR(__xludf.DUMMYFUNCTION("""COMPUTED_VALUE"""),"Улично-дорожная сеть к образовательным учреждениям ЖК ""Царицыно"" ЖК ""Царицино""")</f>
        <v>Улично-дорожная сеть к образовательным учреждениям ЖК "Царицыно" ЖК "Царицино"</v>
      </c>
      <c r="F478" s="25" t="str">
        <f>IFERROR(__xludf.DUMMYFUNCTION("""COMPUTED_VALUE"""),"#N/A")</f>
        <v>#N/A</v>
      </c>
      <c r="G478" s="6" t="str">
        <f>IFERROR(__xludf.DUMMYFUNCTION("""COMPUTED_VALUE"""),"#N/A")</f>
        <v>#N/A</v>
      </c>
      <c r="H478" s="6"/>
      <c r="I478" s="6"/>
      <c r="J478" s="50">
        <f>IFERROR(__xludf.DUMMYFUNCTION("""COMPUTED_VALUE"""),0.0)</f>
        <v>0</v>
      </c>
      <c r="K478" s="58">
        <f>IFERROR(__xludf.DUMMYFUNCTION("""COMPUTED_VALUE"""),45974.0)</f>
        <v>45974</v>
      </c>
      <c r="L478" s="6">
        <v>30.0</v>
      </c>
      <c r="M478" s="52">
        <v>46004.0</v>
      </c>
      <c r="N478" s="53" t="s">
        <v>711</v>
      </c>
      <c r="O478" s="6" t="s">
        <v>936</v>
      </c>
      <c r="P478" s="6"/>
      <c r="Q478" s="6" t="str">
        <f t="shared" si="1"/>
        <v>#N/A</v>
      </c>
      <c r="R478" s="6"/>
    </row>
    <row r="479" hidden="1">
      <c r="A479" s="31" t="str">
        <f>IFERROR(__xludf.DUMMYFUNCTION("""COMPUTED_VALUE"""),"382д")</f>
        <v>382д</v>
      </c>
      <c r="B479" s="14" t="str">
        <f>IFERROR(__xludf.DUMMYFUNCTION("""COMPUTED_VALUE"""),"АИП-26")</f>
        <v>АИП-26</v>
      </c>
      <c r="C479" s="14" t="str">
        <f>IFERROR(__xludf.DUMMYFUNCTION("""COMPUTED_VALUE"""),"УДС")</f>
        <v>УДС</v>
      </c>
      <c r="D479" s="60"/>
      <c r="E479" s="14" t="str">
        <f>IFERROR(__xludf.DUMMYFUNCTION("""COMPUTED_VALUE"""),"Строительство проектируемого проезда 2017 от ул. Б. Филевской до пр.пр.153 с переустройством инженерных коммуникаций для транспортного обслуживания жилой застройки на Береговом проезде. Этап 3 от ул. Б. Филевской до пр.пр.153")</f>
        <v>Строительство проектируемого проезда 2017 от ул. Б. Филевской до пр.пр.153 с переустройством инженерных коммуникаций для транспортного обслуживания жилой застройки на Береговом проезде. Этап 3 от ул. Б. Филевской до пр.пр.153</v>
      </c>
      <c r="F479" s="25" t="str">
        <f>IFERROR(__xludf.DUMMYFUNCTION("""COMPUTED_VALUE"""),"#N/A")</f>
        <v>#N/A</v>
      </c>
      <c r="G479" s="6" t="str">
        <f>IFERROR(__xludf.DUMMYFUNCTION("""COMPUTED_VALUE"""),"#N/A")</f>
        <v>#N/A</v>
      </c>
      <c r="H479" s="6"/>
      <c r="I479" s="6"/>
      <c r="J479" s="50">
        <f>IFERROR(__xludf.DUMMYFUNCTION("""COMPUTED_VALUE"""),0.0)</f>
        <v>0</v>
      </c>
      <c r="K479" s="58">
        <f>IFERROR(__xludf.DUMMYFUNCTION("""COMPUTED_VALUE"""),45961.0)</f>
        <v>45961</v>
      </c>
      <c r="L479" s="6">
        <v>30.0</v>
      </c>
      <c r="M479" s="52">
        <v>45991.0</v>
      </c>
      <c r="N479" s="53" t="s">
        <v>692</v>
      </c>
      <c r="O479" s="6" t="s">
        <v>937</v>
      </c>
      <c r="P479" s="6"/>
      <c r="Q479" s="6" t="str">
        <f t="shared" si="1"/>
        <v>#N/A</v>
      </c>
      <c r="R479" s="6"/>
    </row>
    <row r="480" hidden="1">
      <c r="A480" s="31" t="str">
        <f>IFERROR(__xludf.DUMMYFUNCTION("""COMPUTED_VALUE"""),"278д (сводный)")</f>
        <v>278д (сводный)</v>
      </c>
      <c r="B480" s="14" t="str">
        <f>IFERROR(__xludf.DUMMYFUNCTION("""COMPUTED_VALUE"""),"АИП-26")</f>
        <v>АИП-26</v>
      </c>
      <c r="C480" s="14" t="str">
        <f>IFERROR(__xludf.DUMMYFUNCTION("""COMPUTED_VALUE"""),"УДС")</f>
        <v>УДС</v>
      </c>
      <c r="D480" s="60"/>
      <c r="E480"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1.1, 1.2  ")</f>
        <v>Строительство многоуровневых транспортных развязок на участке магистрали "Солнцево-Бутово-Варшавское шоссе" от ул. Поляны до Симферопольского ш. Этапы 1.1, 1.2  </v>
      </c>
      <c r="F480" s="25" t="str">
        <f>IFERROR(__xludf.DUMMYFUNCTION("""COMPUTED_VALUE"""),"#N/A")</f>
        <v>#N/A</v>
      </c>
      <c r="G480" s="6" t="str">
        <f>IFERROR(__xludf.DUMMYFUNCTION("""COMPUTED_VALUE"""),"#N/A")</f>
        <v>#N/A</v>
      </c>
      <c r="H480" s="6"/>
      <c r="I480" s="6"/>
      <c r="J480" s="50"/>
      <c r="K480" s="58"/>
      <c r="L480" s="6">
        <v>30.0</v>
      </c>
      <c r="M480" s="52" t="s">
        <v>655</v>
      </c>
      <c r="N480" s="53" t="s">
        <v>698</v>
      </c>
      <c r="O480" s="6"/>
      <c r="P480" s="6"/>
      <c r="Q480" s="6" t="str">
        <f t="shared" si="1"/>
        <v>#N/A</v>
      </c>
      <c r="R480" s="6"/>
    </row>
    <row r="481" hidden="1">
      <c r="A481" s="31" t="str">
        <f>IFERROR(__xludf.DUMMYFUNCTION("""COMPUTED_VALUE"""),"278д (этап 1.1)")</f>
        <v>278д (этап 1.1)</v>
      </c>
      <c r="B481" s="14"/>
      <c r="C481" s="14" t="str">
        <f>IFERROR(__xludf.DUMMYFUNCTION("""COMPUTED_VALUE"""),"УДС")</f>
        <v>УДС</v>
      </c>
      <c r="D481" s="60"/>
      <c r="E481"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1.1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1.1 от ул. Поляны до Симферопольского ш.</v>
      </c>
      <c r="F481" s="25" t="str">
        <f>IFERROR(__xludf.DUMMYFUNCTION("""COMPUTED_VALUE"""),"#N/A")</f>
        <v>#N/A</v>
      </c>
      <c r="G481" s="6" t="str">
        <f>IFERROR(__xludf.DUMMYFUNCTION("""COMPUTED_VALUE"""),"#N/A")</f>
        <v>#N/A</v>
      </c>
      <c r="H481" s="6"/>
      <c r="I481" s="6"/>
      <c r="J481" s="50"/>
      <c r="K481" s="58"/>
      <c r="L481" s="6">
        <v>30.0</v>
      </c>
      <c r="M481" s="52" t="s">
        <v>655</v>
      </c>
      <c r="N481" s="53" t="s">
        <v>698</v>
      </c>
      <c r="O481" s="6" t="s">
        <v>938</v>
      </c>
      <c r="P481" s="6"/>
      <c r="Q481" s="6" t="str">
        <f t="shared" si="1"/>
        <v>#N/A</v>
      </c>
      <c r="R481" s="6"/>
    </row>
    <row r="482" hidden="1">
      <c r="A482" s="31" t="str">
        <f>IFERROR(__xludf.DUMMYFUNCTION("""COMPUTED_VALUE"""),"278д (этап 1.2)")</f>
        <v>278д (этап 1.2)</v>
      </c>
      <c r="B482" s="14"/>
      <c r="C482" s="14" t="str">
        <f>IFERROR(__xludf.DUMMYFUNCTION("""COMPUTED_VALUE"""),"УДС")</f>
        <v>УДС</v>
      </c>
      <c r="D482" s="60"/>
      <c r="E482"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1.2.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1.2. от ул. Поляны до Симферопольского ш.</v>
      </c>
      <c r="F482" s="25" t="str">
        <f>IFERROR(__xludf.DUMMYFUNCTION("""COMPUTED_VALUE"""),"#N/A")</f>
        <v>#N/A</v>
      </c>
      <c r="G482" s="6" t="str">
        <f>IFERROR(__xludf.DUMMYFUNCTION("""COMPUTED_VALUE"""),"#N/A")</f>
        <v>#N/A</v>
      </c>
      <c r="H482" s="6"/>
      <c r="I482" s="6"/>
      <c r="J482" s="50"/>
      <c r="K482" s="58"/>
      <c r="L482" s="6">
        <v>30.0</v>
      </c>
      <c r="M482" s="52" t="s">
        <v>655</v>
      </c>
      <c r="N482" s="53" t="s">
        <v>698</v>
      </c>
      <c r="O482" s="6" t="s">
        <v>938</v>
      </c>
      <c r="P482" s="6"/>
      <c r="Q482" s="6" t="str">
        <f t="shared" si="1"/>
        <v>#N/A</v>
      </c>
      <c r="R482" s="6"/>
    </row>
    <row r="483" hidden="1">
      <c r="A483" s="31" t="str">
        <f>IFERROR(__xludf.DUMMYFUNCTION("""COMPUTED_VALUE"""),"256д (этап 2)")</f>
        <v>256д (этап 2)</v>
      </c>
      <c r="B483" s="14" t="str">
        <f>IFERROR(__xludf.DUMMYFUNCTION("""COMPUTED_VALUE"""),"АИП-26")</f>
        <v>АИП-26</v>
      </c>
      <c r="C483" s="14" t="str">
        <f>IFERROR(__xludf.DUMMYFUNCTION("""COMPUTED_VALUE"""),"УДС")</f>
        <v>УДС</v>
      </c>
      <c r="D483" s="60"/>
      <c r="E483" s="14" t="str">
        <f>IFERROR(__xludf.DUMMYFUNCTION("""COMPUTED_VALUE"""),"Строительство многоуровневых транспортных развязок на участке магистрали ""Солнцево-Бутово-Варшавское шоссе"" от ул. Поляны до Симферопольского ш. Этапы 2 от ул. Поляны до Симферопольского ш.")</f>
        <v>Строительство многоуровневых транспортных развязок на участке магистрали "Солнцево-Бутово-Варшавское шоссе" от ул. Поляны до Симферопольского ш. Этапы 2 от ул. Поляны до Симферопольского ш.</v>
      </c>
      <c r="F483" s="25" t="str">
        <f>IFERROR(__xludf.DUMMYFUNCTION("""COMPUTED_VALUE"""),"#N/A")</f>
        <v>#N/A</v>
      </c>
      <c r="G483" s="6" t="str">
        <f>IFERROR(__xludf.DUMMYFUNCTION("""COMPUTED_VALUE"""),"#N/A")</f>
        <v>#N/A</v>
      </c>
      <c r="H483" s="6"/>
      <c r="I483" s="6"/>
      <c r="J483" s="50">
        <f>IFERROR(__xludf.DUMMYFUNCTION("""COMPUTED_VALUE"""),11.759039999999999)</f>
        <v>11.75904</v>
      </c>
      <c r="K483" s="58">
        <f>IFERROR(__xludf.DUMMYFUNCTION("""COMPUTED_VALUE"""),45974.0)</f>
        <v>45974</v>
      </c>
      <c r="L483" s="6">
        <v>30.0</v>
      </c>
      <c r="M483" s="52">
        <v>46004.0</v>
      </c>
      <c r="N483" s="53" t="s">
        <v>711</v>
      </c>
      <c r="O483" s="6" t="s">
        <v>939</v>
      </c>
      <c r="P483" s="6"/>
      <c r="Q483" s="6" t="str">
        <f t="shared" si="1"/>
        <v>#N/A</v>
      </c>
      <c r="R483" s="6"/>
    </row>
    <row r="484" hidden="1">
      <c r="A484" s="31" t="str">
        <f>IFERROR(__xludf.DUMMYFUNCTION("""COMPUTED_VALUE"""),"288д (этап 2.1)")</f>
        <v>288д (этап 2.1)</v>
      </c>
      <c r="B484" s="14" t="str">
        <f>IFERROR(__xludf.DUMMYFUNCTION("""COMPUTED_VALUE"""),"АИП-26")</f>
        <v>АИП-26</v>
      </c>
      <c r="C484" s="14" t="str">
        <f>IFERROR(__xludf.DUMMYFUNCTION("""COMPUTED_VALUE"""),"УДС")</f>
        <v>УДС</v>
      </c>
      <c r="D484" s="60"/>
      <c r="E484" s="14" t="str">
        <f>IFERROR(__xludf.DUMMYFUNCTION("""COMPUTED_VALUE"""),"Симоновская набережная от существующего участка до Третьего транспортного кольца. Этапы 2.1. Симоновская набережная от существующего участка до Третьего транспортного кольца")</f>
        <v>Симоновская набережная от существующего участка до Третьего транспортного кольца. Этапы 2.1. Симоновская набережная от существующего участка до Третьего транспортного кольца</v>
      </c>
      <c r="F484" s="25" t="str">
        <f>IFERROR(__xludf.DUMMYFUNCTION("""COMPUTED_VALUE"""),"#N/A")</f>
        <v>#N/A</v>
      </c>
      <c r="G484" s="6" t="str">
        <f>IFERROR(__xludf.DUMMYFUNCTION("""COMPUTED_VALUE"""),"#N/A")</f>
        <v>#N/A</v>
      </c>
      <c r="H484" s="6"/>
      <c r="I484" s="6"/>
      <c r="J484" s="50">
        <f>IFERROR(__xludf.DUMMYFUNCTION("""COMPUTED_VALUE"""),0.545)</f>
        <v>0.545</v>
      </c>
      <c r="K484" s="58">
        <f>IFERROR(__xludf.DUMMYFUNCTION("""COMPUTED_VALUE"""),45972.0)</f>
        <v>45972</v>
      </c>
      <c r="L484" s="6">
        <v>30.0</v>
      </c>
      <c r="M484" s="52">
        <v>46002.0</v>
      </c>
      <c r="N484" s="53" t="s">
        <v>711</v>
      </c>
      <c r="O484" s="6" t="s">
        <v>893</v>
      </c>
      <c r="P484" s="6"/>
      <c r="Q484" s="6" t="str">
        <f t="shared" si="1"/>
        <v>#N/A</v>
      </c>
      <c r="R484" s="6"/>
    </row>
    <row r="485" hidden="1">
      <c r="A485" s="31" t="str">
        <f>IFERROR(__xludf.DUMMYFUNCTION("""COMPUTED_VALUE"""),"023")</f>
        <v>023</v>
      </c>
      <c r="B485" s="14" t="str">
        <f>IFERROR(__xludf.DUMMYFUNCTION("""COMPUTED_VALUE"""),"АИП-26")</f>
        <v>АИП-26</v>
      </c>
      <c r="C485" s="14" t="str">
        <f>IFERROR(__xludf.DUMMYFUNCTION("""COMPUTED_VALUE"""),"ОКС")</f>
        <v>ОКС</v>
      </c>
      <c r="D485" s="60"/>
      <c r="E485" s="14" t="str">
        <f>IFERROR(__xludf.DUMMYFUNCTION("""COMPUTED_VALUE"""),"Взрослая поликлиника на 750 посещений в смену вблизи Октябрьского пр-кта д. 5, г.о.Троицк вблизи Октябрьского пр-кта д. 5, г.о.Троицк")</f>
        <v>Взрослая поликлиника на 750 посещений в смену вблизи Октябрьского пр-кта д. 5, г.о.Троицк вблизи Октябрьского пр-кта д. 5, г.о.Троицк</v>
      </c>
      <c r="F485" s="25" t="str">
        <f>IFERROR(__xludf.DUMMYFUNCTION("""COMPUTED_VALUE"""),"55.47459819347975")</f>
        <v>55.47459819347975</v>
      </c>
      <c r="G485" s="6" t="str">
        <f>IFERROR(__xludf.DUMMYFUNCTION("""COMPUTED_VALUE"""),"37.290847238037024")</f>
        <v>37.290847238037024</v>
      </c>
      <c r="H485" s="18" t="str">
        <f>IFERROR(__xludf.DUMMYFUNCTION("""COMPUTED_VALUE"""),"https://docs.google.com/spreadsheets/d/19THEBTE9q0fhN2eApZr6BgenIvLGh0AckaYxHQfHk5w/edit?gid=1771081492#gid=1771081492")</f>
        <v>https://docs.google.com/spreadsheets/d/19THEBTE9q0fhN2eApZr6BgenIvLGh0AckaYxHQfHk5w/edit?gid=1771081492#gid=1771081492</v>
      </c>
      <c r="I485" s="19" t="str">
        <f>IFERROR(__xludf.DUMMYFUNCTION("""COMPUTED_VALUE"""),"https://disk.yandex.ru/client/disk/Осмотры%20объектов%20АНО%20СМГ/023.%20Поликлиника%20на%20750.%20г.%20Троицк%20пр%20октябрьский%205")</f>
        <v>https://disk.yandex.ru/client/disk/Осмотры%20объектов%20АНО%20СМГ/023.%20Поликлиника%20на%20750.%20г.%20Троицк%20пр%20октябрьский%205</v>
      </c>
      <c r="J485" s="50">
        <f>IFERROR(__xludf.DUMMYFUNCTION("""COMPUTED_VALUE"""),46.1009)</f>
        <v>46.1009</v>
      </c>
      <c r="K485" s="58">
        <f>IFERROR(__xludf.DUMMYFUNCTION("""COMPUTED_VALUE"""),45954.0)</f>
        <v>45954</v>
      </c>
      <c r="L485" s="6">
        <v>30.0</v>
      </c>
      <c r="M485" s="52">
        <v>45984.0</v>
      </c>
      <c r="N485" s="53" t="s">
        <v>741</v>
      </c>
      <c r="O485" s="19" t="s">
        <v>940</v>
      </c>
      <c r="P485" s="6"/>
      <c r="Q485" s="6" t="str">
        <f t="shared" si="1"/>
        <v>#N/A</v>
      </c>
      <c r="R485" s="6"/>
    </row>
    <row r="486" hidden="1">
      <c r="A486" s="31" t="str">
        <f>IFERROR(__xludf.DUMMYFUNCTION("""COMPUTED_VALUE"""),"1270")</f>
        <v>1270</v>
      </c>
      <c r="B486" s="14" t="str">
        <f>IFERROR(__xludf.DUMMYFUNCTION("""COMPUTED_VALUE"""),"АИП-26")</f>
        <v>АИП-26</v>
      </c>
      <c r="C486" s="14" t="str">
        <f>IFERROR(__xludf.DUMMYFUNCTION("""COMPUTED_VALUE"""),"ОКС")</f>
        <v>ОКС</v>
      </c>
      <c r="D486" s="60"/>
      <c r="E486" s="14" t="str">
        <f>IFERROR(__xludf.DUMMYFUNCTION("""COMPUTED_VALUE"""),"ЖК «Легенда», г.о. Троицк, 42-й км Калужского шоссе, гаражный комплекс 12 г.о. Троицк, 42-й км Калужского шоссе")</f>
        <v>ЖК «Легенда», г.о. Троицк, 42-й км Калужского шоссе, гаражный комплекс 12 г.о. Троицк, 42-й км Калужского шоссе</v>
      </c>
      <c r="F486" s="25" t="str">
        <f>IFERROR(__xludf.DUMMYFUNCTION("""COMPUTED_VALUE"""),"55.452184266536904")</f>
        <v>55.452184266536904</v>
      </c>
      <c r="G486" s="6" t="str">
        <f>IFERROR(__xludf.DUMMYFUNCTION("""COMPUTED_VALUE"""),"37.28299187696795")</f>
        <v>37.28299187696795</v>
      </c>
      <c r="H486" s="18" t="str">
        <f>IFERROR(__xludf.DUMMYFUNCTION("""COMPUTED_VALUE"""),"https://docs.google.com/spreadsheets/d/19THEBTE9q0fhN2eApZr6BgenIvLGh0AckaYxHQfHk5w/edit?gid=274135139#gid=274135139")</f>
        <v>https://docs.google.com/spreadsheets/d/19THEBTE9q0fhN2eApZr6BgenIvLGh0AckaYxHQfHk5w/edit?gid=274135139#gid=274135139</v>
      </c>
      <c r="I486" s="19"/>
      <c r="J486" s="50">
        <f>IFERROR(__xludf.DUMMYFUNCTION("""COMPUTED_VALUE"""),0.0)</f>
        <v>0</v>
      </c>
      <c r="K486" s="58">
        <f>IFERROR(__xludf.DUMMYFUNCTION("""COMPUTED_VALUE"""),45954.0)</f>
        <v>45954</v>
      </c>
      <c r="L486" s="6">
        <v>30.0</v>
      </c>
      <c r="M486" s="52">
        <v>45984.0</v>
      </c>
      <c r="N486" s="53" t="s">
        <v>741</v>
      </c>
      <c r="O486" s="19" t="s">
        <v>941</v>
      </c>
      <c r="P486" s="6"/>
      <c r="Q486" s="6" t="str">
        <f t="shared" si="1"/>
        <v>#N/A</v>
      </c>
      <c r="R486" s="6"/>
    </row>
    <row r="487" hidden="1">
      <c r="A487" s="31" t="str">
        <f>IFERROR(__xludf.DUMMYFUNCTION("""COMPUTED_VALUE"""),"1270")</f>
        <v>1270</v>
      </c>
      <c r="B487" s="14" t="str">
        <f>IFERROR(__xludf.DUMMYFUNCTION("""COMPUTED_VALUE"""),"АИП-26")</f>
        <v>АИП-26</v>
      </c>
      <c r="C487" s="14" t="str">
        <f>IFERROR(__xludf.DUMMYFUNCTION("""COMPUTED_VALUE"""),"ОКС")</f>
        <v>ОКС</v>
      </c>
      <c r="D487" s="60"/>
      <c r="E487" s="14" t="str">
        <f>IFERROR(__xludf.DUMMYFUNCTION("""COMPUTED_VALUE"""),"ЖК «Легенда», г.о. Троицк, 42-й км Калужского шоссе, гаражный комплекс 13 г.о. Троицк, 42-й км Калужского шоссе")</f>
        <v>ЖК «Легенда», г.о. Троицк, 42-й км Калужского шоссе, гаражный комплекс 13 г.о. Троицк, 42-й км Калужского шоссе</v>
      </c>
      <c r="F487" s="25" t="str">
        <f>IFERROR(__xludf.DUMMYFUNCTION("""COMPUTED_VALUE"""),"55.452184266536904")</f>
        <v>55.452184266536904</v>
      </c>
      <c r="G487" s="6" t="str">
        <f>IFERROR(__xludf.DUMMYFUNCTION("""COMPUTED_VALUE"""),"37.28299187696795")</f>
        <v>37.28299187696795</v>
      </c>
      <c r="H487" s="18" t="str">
        <f>IFERROR(__xludf.DUMMYFUNCTION("""COMPUTED_VALUE"""),"https://docs.google.com/spreadsheets/d/19THEBTE9q0fhN2eApZr6BgenIvLGh0AckaYxHQfHk5w/edit?gid=274135139#gid=274135139")</f>
        <v>https://docs.google.com/spreadsheets/d/19THEBTE9q0fhN2eApZr6BgenIvLGh0AckaYxHQfHk5w/edit?gid=274135139#gid=274135139</v>
      </c>
      <c r="I487" s="19"/>
      <c r="J487" s="50">
        <f>IFERROR(__xludf.DUMMYFUNCTION("""COMPUTED_VALUE"""),0.0)</f>
        <v>0</v>
      </c>
      <c r="K487" s="58">
        <f>IFERROR(__xludf.DUMMYFUNCTION("""COMPUTED_VALUE"""),45954.0)</f>
        <v>45954</v>
      </c>
      <c r="L487" s="6">
        <v>30.0</v>
      </c>
      <c r="M487" s="52">
        <v>45984.0</v>
      </c>
      <c r="N487" s="53" t="s">
        <v>741</v>
      </c>
      <c r="O487" s="19" t="s">
        <v>941</v>
      </c>
      <c r="P487" s="6"/>
      <c r="Q487" s="6" t="str">
        <f t="shared" si="1"/>
        <v>#N/A</v>
      </c>
      <c r="R487" s="6"/>
    </row>
    <row r="488" hidden="1">
      <c r="A488" s="31" t="str">
        <f>IFERROR(__xludf.DUMMYFUNCTION("""COMPUTED_VALUE"""),"1270")</f>
        <v>1270</v>
      </c>
      <c r="B488" s="14" t="str">
        <f>IFERROR(__xludf.DUMMYFUNCTION("""COMPUTED_VALUE"""),"АИП-26")</f>
        <v>АИП-26</v>
      </c>
      <c r="C488" s="14" t="str">
        <f>IFERROR(__xludf.DUMMYFUNCTION("""COMPUTED_VALUE"""),"ОКС")</f>
        <v>ОКС</v>
      </c>
      <c r="D488" s="60"/>
      <c r="E488" s="14" t="str">
        <f>IFERROR(__xludf.DUMMYFUNCTION("""COMPUTED_VALUE"""),"ЖК «Легенда», г.о. Троицк, 42-й км Калужского шоссе, гаражный комплекс 14 г.о. Троицк, 42-й км Калужского шоссе")</f>
        <v>ЖК «Легенда», г.о. Троицк, 42-й км Калужского шоссе, гаражный комплекс 14 г.о. Троицк, 42-й км Калужского шоссе</v>
      </c>
      <c r="F488" s="25" t="str">
        <f>IFERROR(__xludf.DUMMYFUNCTION("""COMPUTED_VALUE"""),"55.452184266536904")</f>
        <v>55.452184266536904</v>
      </c>
      <c r="G488" s="6" t="str">
        <f>IFERROR(__xludf.DUMMYFUNCTION("""COMPUTED_VALUE"""),"37.28299187696795")</f>
        <v>37.28299187696795</v>
      </c>
      <c r="H488" s="18" t="str">
        <f>IFERROR(__xludf.DUMMYFUNCTION("""COMPUTED_VALUE"""),"https://docs.google.com/spreadsheets/d/19THEBTE9q0fhN2eApZr6BgenIvLGh0AckaYxHQfHk5w/edit?gid=274135139#gid=274135139")</f>
        <v>https://docs.google.com/spreadsheets/d/19THEBTE9q0fhN2eApZr6BgenIvLGh0AckaYxHQfHk5w/edit?gid=274135139#gid=274135139</v>
      </c>
      <c r="I488" s="19"/>
      <c r="J488" s="50">
        <f>IFERROR(__xludf.DUMMYFUNCTION("""COMPUTED_VALUE"""),0.0)</f>
        <v>0</v>
      </c>
      <c r="K488" s="58">
        <f>IFERROR(__xludf.DUMMYFUNCTION("""COMPUTED_VALUE"""),45954.0)</f>
        <v>45954</v>
      </c>
      <c r="L488" s="6">
        <v>30.0</v>
      </c>
      <c r="M488" s="52">
        <v>45984.0</v>
      </c>
      <c r="N488" s="53" t="s">
        <v>741</v>
      </c>
      <c r="O488" s="19" t="s">
        <v>942</v>
      </c>
      <c r="P488" s="6"/>
      <c r="Q488" s="6" t="str">
        <f t="shared" si="1"/>
        <v>#N/A</v>
      </c>
      <c r="R488" s="6"/>
    </row>
    <row r="489" hidden="1">
      <c r="A489" s="31" t="str">
        <f>IFERROR(__xludf.DUMMYFUNCTION("""COMPUTED_VALUE"""),"260д")</f>
        <v>260д</v>
      </c>
      <c r="B489" s="14" t="str">
        <f>IFERROR(__xludf.DUMMYFUNCTION("""COMPUTED_VALUE"""),"АИП-26")</f>
        <v>АИП-26</v>
      </c>
      <c r="C489" s="14" t="str">
        <f>IFERROR(__xludf.DUMMYFUNCTION("""COMPUTED_VALUE"""),"УДС")</f>
        <v>УДС</v>
      </c>
      <c r="D489" s="60"/>
      <c r="E489" s="14" t="str">
        <f>IFERROR(__xludf.DUMMYFUNCTION("""COMPUTED_VALUE"""),"Строительство проектируемого проезда № 6297 и реконструкция Ельнинской улицы .Этап 1 Ельнинскай улицы")</f>
        <v>Строительство проектируемого проезда № 6297 и реконструкция Ельнинской улицы .Этап 1 Ельнинскай улицы</v>
      </c>
      <c r="F489" s="25" t="str">
        <f>IFERROR(__xludf.DUMMYFUNCTION("""COMPUTED_VALUE"""),"#N/A")</f>
        <v>#N/A</v>
      </c>
      <c r="G489" s="6" t="str">
        <f>IFERROR(__xludf.DUMMYFUNCTION("""COMPUTED_VALUE"""),"#N/A")</f>
        <v>#N/A</v>
      </c>
      <c r="H489" s="6"/>
      <c r="I489" s="6"/>
      <c r="J489" s="50">
        <f>IFERROR(__xludf.DUMMYFUNCTION("""COMPUTED_VALUE"""),43.08805000000001)</f>
        <v>43.08805</v>
      </c>
      <c r="K489" s="58">
        <f>IFERROR(__xludf.DUMMYFUNCTION("""COMPUTED_VALUE"""),45962.0)</f>
        <v>45962</v>
      </c>
      <c r="L489" s="6">
        <v>30.0</v>
      </c>
      <c r="M489" s="52">
        <v>45992.0</v>
      </c>
      <c r="N489" s="53" t="s">
        <v>692</v>
      </c>
      <c r="O489" s="6" t="s">
        <v>669</v>
      </c>
      <c r="P489" s="6"/>
      <c r="Q489" s="6" t="str">
        <f t="shared" si="1"/>
        <v>#N/A</v>
      </c>
      <c r="R489" s="6"/>
    </row>
    <row r="490" hidden="1">
      <c r="A490" s="31" t="str">
        <f>IFERROR(__xludf.DUMMYFUNCTION("""COMPUTED_VALUE"""),"1056д")</f>
        <v>1056д</v>
      </c>
      <c r="B490" s="14" t="str">
        <f>IFERROR(__xludf.DUMMYFUNCTION("""COMPUTED_VALUE"""),"АИП-26")</f>
        <v>АИП-26</v>
      </c>
      <c r="C490" s="14" t="str">
        <f>IFERROR(__xludf.DUMMYFUNCTION("""COMPUTED_VALUE"""),"УДС")</f>
        <v>УДС</v>
      </c>
      <c r="D490" s="60"/>
      <c r="E490" s="14" t="str">
        <f>IFERROR(__xludf.DUMMYFUNCTION("""COMPUTED_VALUE"""),"Очистные сооружения № 1 для 1 очереди застройки р-на Щербинка Щербинка, Варшавское шосе (пересечение с пр.пр.733 и ул. Шоссейная).")</f>
        <v>Очистные сооружения № 1 для 1 очереди застройки р-на Щербинка Щербинка, Варшавское шосе (пересечение с пр.пр.733 и ул. Шоссейная).</v>
      </c>
      <c r="F490" s="25" t="str">
        <f>IFERROR(__xludf.DUMMYFUNCTION("""COMPUTED_VALUE"""),"55.49905952460647")</f>
        <v>55.49905952460647</v>
      </c>
      <c r="G490" s="6" t="str">
        <f>IFERROR(__xludf.DUMMYFUNCTION("""COMPUTED_VALUE"""),"37.574446538283134")</f>
        <v>37.574446538283134</v>
      </c>
      <c r="H490" s="6"/>
      <c r="I490" s="6" t="str">
        <f>IFERROR(__xludf.DUMMYFUNCTION("""COMPUTED_VALUE"""),"https://disk.yandex.ru/client/disk/Осмотры%20объектов%20АНО%20СМГ/1056.%20Очистные%20сооружения%20№1%2C%201%20очередь.%20Щербинка")</f>
        <v>https://disk.yandex.ru/client/disk/Осмотры%20объектов%20АНО%20СМГ/1056.%20Очистные%20сооружения%20№1%2C%201%20очередь.%20Щербинка</v>
      </c>
      <c r="J490" s="50">
        <f>IFERROR(__xludf.DUMMYFUNCTION("""COMPUTED_VALUE"""),3.596)</f>
        <v>3.596</v>
      </c>
      <c r="K490" s="58">
        <f>IFERROR(__xludf.DUMMYFUNCTION("""COMPUTED_VALUE"""),45954.0)</f>
        <v>45954</v>
      </c>
      <c r="L490" s="6">
        <v>30.0</v>
      </c>
      <c r="M490" s="52">
        <v>45984.0</v>
      </c>
      <c r="N490" s="53" t="s">
        <v>741</v>
      </c>
      <c r="O490" s="6" t="s">
        <v>943</v>
      </c>
      <c r="P490" s="6"/>
      <c r="Q490" s="6" t="str">
        <f t="shared" si="1"/>
        <v>#N/A</v>
      </c>
      <c r="R490" s="6"/>
    </row>
    <row r="491" hidden="1">
      <c r="A491" s="31" t="str">
        <f>IFERROR(__xludf.DUMMYFUNCTION("""COMPUTED_VALUE"""),"1055д")</f>
        <v>1055д</v>
      </c>
      <c r="B491" s="14" t="str">
        <f>IFERROR(__xludf.DUMMYFUNCTION("""COMPUTED_VALUE"""),"АИП-26")</f>
        <v>АИП-26</v>
      </c>
      <c r="C491" s="14" t="str">
        <f>IFERROR(__xludf.DUMMYFUNCTION("""COMPUTED_VALUE"""),"УДС")</f>
        <v>УДС</v>
      </c>
      <c r="D491" s="60"/>
      <c r="E491" s="14" t="str">
        <f>IFERROR(__xludf.DUMMYFUNCTION("""COMPUTED_VALUE"""),"Инженерная подготовка территории жилой застройки по адресу: Проектируемый пр-д 4062, влд. 8 с перебазированием ремонтно-производственной базы флота ГУП ""Мосводосток"" (проектирование и строительство) по адресу:
 2-й Южнопортовый пр-д 2-й Южнопортовый про"&amp;"езд")</f>
        <v>Инженерная подготовка территории жилой застройки по адресу: Проектируемый пр-д 4062, влд. 8 с перебазированием ремонтно-производственной базы флота ГУП "Мосводосток" (проектирование и строительство) по адресу:
 2-й Южнопортовый пр-д 2-й Южнопортовый проезд</v>
      </c>
      <c r="F491" s="25" t="str">
        <f>IFERROR(__xludf.DUMMYFUNCTION("""COMPUTED_VALUE"""),"55.70150928861814")</f>
        <v>55.70150928861814</v>
      </c>
      <c r="G491" s="6" t="str">
        <f>IFERROR(__xludf.DUMMYFUNCTION("""COMPUTED_VALUE"""),"37.673321817350796")</f>
        <v>37.673321817350796</v>
      </c>
      <c r="H491" s="6"/>
      <c r="I491" s="6" t="str">
        <f>IFERROR(__xludf.DUMMYFUNCTION("""COMPUTED_VALUE"""),"https://disk.yandex.ru/client/disk/Осмотры%20объектов%20АНО%20СМГ/1055.%20Инженерная%20подготовка%20территорий%20жилой%20застройки%20по%20адрсу%3A%20Проектируемый%20пр-д%204062%2C%20влд.%208%20с%20перебазированием%20ремонтно-произвооодственной%20базы%20фл"&amp;"ота%20ГУП%20%22Мосводосток%22%20(проектирование%20и%20строительство)")</f>
        <v>https://disk.yandex.ru/client/disk/Осмотры%20объектов%20АНО%20СМГ/1055.%20Инженерная%20подготовка%20территорий%20жилой%20застройки%20по%20адрсу%3A%20Проектируемый%20пр-д%204062%2C%20влд.%208%20с%20перебазированием%20ремонтно-произвооодственной%20базы%20флота%20ГУП%20%22Мосводосток%22%20(проектирование%20и%20строительство)</v>
      </c>
      <c r="J491" s="50">
        <f>IFERROR(__xludf.DUMMYFUNCTION("""COMPUTED_VALUE"""),4.375)</f>
        <v>4.375</v>
      </c>
      <c r="K491" s="58">
        <f>IFERROR(__xludf.DUMMYFUNCTION("""COMPUTED_VALUE"""),45954.0)</f>
        <v>45954</v>
      </c>
      <c r="L491" s="6">
        <v>30.0</v>
      </c>
      <c r="M491" s="52">
        <v>45984.0</v>
      </c>
      <c r="N491" s="53" t="s">
        <v>741</v>
      </c>
      <c r="O491" s="6" t="s">
        <v>944</v>
      </c>
      <c r="P491" s="6"/>
      <c r="Q491" s="6" t="str">
        <f t="shared" si="1"/>
        <v>#N/A</v>
      </c>
      <c r="R491" s="6"/>
    </row>
    <row r="492" hidden="1">
      <c r="A492" s="31" t="str">
        <f>IFERROR(__xludf.DUMMYFUNCTION("""COMPUTED_VALUE"""),"378д")</f>
        <v>378д</v>
      </c>
      <c r="B492" s="14" t="str">
        <f>IFERROR(__xludf.DUMMYFUNCTION("""COMPUTED_VALUE"""),"АИП-26")</f>
        <v>АИП-26</v>
      </c>
      <c r="C492" s="14" t="str">
        <f>IFERROR(__xludf.DUMMYFUNCTION("""COMPUTED_VALUE"""),"УДС")</f>
        <v>УДС</v>
      </c>
      <c r="D492" s="60"/>
      <c r="E492" s="14" t="str">
        <f>IFERROR(__xludf.DUMMYFUNCTION("""COMPUTED_VALUE"""),"Строительство путепровода через Октябрьское направление Московской железной дороги и мостовых сооружений через р. Сходня Октябрьское направление Московской железной дороги")</f>
        <v>Строительство путепровода через Октябрьское направление Московской железной дороги и мостовых сооружений через р. Сходня Октябрьское направление Московской железной дороги</v>
      </c>
      <c r="F492" s="25" t="str">
        <f>IFERROR(__xludf.DUMMYFUNCTION("""COMPUTED_VALUE"""),"#N/A")</f>
        <v>#N/A</v>
      </c>
      <c r="G492" s="6" t="str">
        <f>IFERROR(__xludf.DUMMYFUNCTION("""COMPUTED_VALUE"""),"#N/A")</f>
        <v>#N/A</v>
      </c>
      <c r="H492" s="6"/>
      <c r="I492" s="6"/>
      <c r="J492" s="50">
        <f>IFERROR(__xludf.DUMMYFUNCTION("""COMPUTED_VALUE"""),0.0)</f>
        <v>0</v>
      </c>
      <c r="K492" s="58">
        <f>IFERROR(__xludf.DUMMYFUNCTION("""COMPUTED_VALUE"""),45971.0)</f>
        <v>45971</v>
      </c>
      <c r="L492" s="6">
        <v>30.0</v>
      </c>
      <c r="M492" s="52">
        <v>46001.0</v>
      </c>
      <c r="N492" s="53" t="s">
        <v>711</v>
      </c>
      <c r="O492" s="6" t="s">
        <v>945</v>
      </c>
      <c r="P492" s="6"/>
      <c r="Q492" s="6" t="str">
        <f t="shared" si="1"/>
        <v>#N/A</v>
      </c>
      <c r="R492" s="6"/>
    </row>
    <row r="493" hidden="1">
      <c r="A493" s="31" t="str">
        <f>IFERROR(__xludf.DUMMYFUNCTION("""COMPUTED_VALUE"""),"290Д")</f>
        <v>290Д</v>
      </c>
      <c r="B493" s="14" t="str">
        <f>IFERROR(__xludf.DUMMYFUNCTION("""COMPUTED_VALUE"""),"АИП-26")</f>
        <v>АИП-26</v>
      </c>
      <c r="C493" s="14" t="str">
        <f>IFERROR(__xludf.DUMMYFUNCTION("""COMPUTED_VALUE"""),"УДС")</f>
        <v>УДС</v>
      </c>
      <c r="D493" s="60"/>
      <c r="E493" s="14" t="str">
        <f>IFERROR(__xludf.DUMMYFUNCTION("""COMPUTED_VALUE"""),"Строительство улично-дорожной сети для обслуживания станции метро ""Столбово"" (3 этап). Реконструкция улицы от ул. Александры Монаховой до ул. Сосенский Стан от ул. Александры Монаховой до ул. Сосенский Стан")</f>
        <v>Строительство улично-дорожной сети для обслуживания станции метро "Столбово" (3 этап). Реконструкция улицы от ул. Александры Монаховой до ул. Сосенский Стан от ул. Александры Монаховой до ул. Сосенский Стан</v>
      </c>
      <c r="F493" s="25" t="str">
        <f>IFERROR(__xludf.DUMMYFUNCTION("""COMPUTED_VALUE"""),"#N/A")</f>
        <v>#N/A</v>
      </c>
      <c r="G493" s="6" t="str">
        <f>IFERROR(__xludf.DUMMYFUNCTION("""COMPUTED_VALUE"""),"#N/A")</f>
        <v>#N/A</v>
      </c>
      <c r="H493" s="6"/>
      <c r="I493" s="6"/>
      <c r="J493" s="50">
        <f>IFERROR(__xludf.DUMMYFUNCTION("""COMPUTED_VALUE"""),0.0)</f>
        <v>0</v>
      </c>
      <c r="K493" s="58">
        <f>IFERROR(__xludf.DUMMYFUNCTION("""COMPUTED_VALUE"""),45962.0)</f>
        <v>45962</v>
      </c>
      <c r="L493" s="6">
        <v>30.0</v>
      </c>
      <c r="M493" s="52">
        <v>45992.0</v>
      </c>
      <c r="N493" s="53" t="s">
        <v>692</v>
      </c>
      <c r="O493" s="6" t="s">
        <v>946</v>
      </c>
      <c r="P493" s="6"/>
      <c r="Q493" s="6" t="str">
        <f t="shared" si="1"/>
        <v>#N/A</v>
      </c>
      <c r="R493" s="6"/>
    </row>
    <row r="494" hidden="1">
      <c r="A494" s="31" t="str">
        <f>IFERROR(__xludf.DUMMYFUNCTION("""COMPUTED_VALUE"""),"383д")</f>
        <v>383д</v>
      </c>
      <c r="B494" s="14" t="str">
        <f>IFERROR(__xludf.DUMMYFUNCTION("""COMPUTED_VALUE"""),"АИП-26")</f>
        <v>АИП-26</v>
      </c>
      <c r="C494" s="14" t="str">
        <f>IFERROR(__xludf.DUMMYFUNCTION("""COMPUTED_VALUE"""),"УДС")</f>
        <v>УДС</v>
      </c>
      <c r="D494" s="60"/>
      <c r="E494" s="14" t="str">
        <f>IFERROR(__xludf.DUMMYFUNCTION("""COMPUTED_VALUE"""),"Пешеходный переход через МЦД в районе Локомотивного проезда в районе Локомотивного проезда")</f>
        <v>Пешеходный переход через МЦД в районе Локомотивного проезда в районе Локомотивного проезда</v>
      </c>
      <c r="F494" s="25" t="str">
        <f>IFERROR(__xludf.DUMMYFUNCTION("""COMPUTED_VALUE"""),"#N/A")</f>
        <v>#N/A</v>
      </c>
      <c r="G494" s="6" t="str">
        <f>IFERROR(__xludf.DUMMYFUNCTION("""COMPUTED_VALUE"""),"#N/A")</f>
        <v>#N/A</v>
      </c>
      <c r="H494" s="6"/>
      <c r="I494" s="6"/>
      <c r="J494" s="50">
        <f>IFERROR(__xludf.DUMMYFUNCTION("""COMPUTED_VALUE"""),0.0)</f>
        <v>0</v>
      </c>
      <c r="K494" s="58">
        <f>IFERROR(__xludf.DUMMYFUNCTION("""COMPUTED_VALUE"""),45962.0)</f>
        <v>45962</v>
      </c>
      <c r="L494" s="6">
        <v>30.0</v>
      </c>
      <c r="M494" s="52">
        <v>45992.0</v>
      </c>
      <c r="N494" s="53" t="s">
        <v>692</v>
      </c>
      <c r="O494" s="6" t="s">
        <v>893</v>
      </c>
      <c r="P494" s="6"/>
      <c r="Q494" s="6" t="str">
        <f t="shared" si="1"/>
        <v>#N/A</v>
      </c>
      <c r="R494" s="6"/>
    </row>
    <row r="495" hidden="1">
      <c r="A495" s="31" t="str">
        <f>IFERROR(__xludf.DUMMYFUNCTION("""COMPUTED_VALUE"""),"409д")</f>
        <v>409д</v>
      </c>
      <c r="B495" s="14" t="str">
        <f>IFERROR(__xludf.DUMMYFUNCTION("""COMPUTED_VALUE"""),"АИП-26")</f>
        <v>АИП-26</v>
      </c>
      <c r="C495" s="14" t="str">
        <f>IFERROR(__xludf.DUMMYFUNCTION("""COMPUTED_VALUE"""),"УДС")</f>
        <v>УДС</v>
      </c>
      <c r="D495" s="60"/>
      <c r="E495" s="14" t="str">
        <f>IFERROR(__xludf.DUMMYFUNCTION("""COMPUTED_VALUE"""),"Внеуличные пешеходные переходы через ж/д пути Большого кольца МЖД вблизи оп.""Поселок Киевский"" вблизи оп.""Поселок Киевский""")</f>
        <v>Внеуличные пешеходные переходы через ж/д пути Большого кольца МЖД вблизи оп."Поселок Киевский" вблизи оп."Поселок Киевский"</v>
      </c>
      <c r="F495" s="25" t="str">
        <f>IFERROR(__xludf.DUMMYFUNCTION("""COMPUTED_VALUE"""),"#N/A")</f>
        <v>#N/A</v>
      </c>
      <c r="G495" s="6" t="str">
        <f>IFERROR(__xludf.DUMMYFUNCTION("""COMPUTED_VALUE"""),"#N/A")</f>
        <v>#N/A</v>
      </c>
      <c r="H495" s="6"/>
      <c r="I495" s="6"/>
      <c r="J495" s="50">
        <f>IFERROR(__xludf.DUMMYFUNCTION("""COMPUTED_VALUE"""),0.0)</f>
        <v>0</v>
      </c>
      <c r="K495" s="58">
        <f>IFERROR(__xludf.DUMMYFUNCTION("""COMPUTED_VALUE"""),45960.0)</f>
        <v>45960</v>
      </c>
      <c r="L495" s="6">
        <v>30.0</v>
      </c>
      <c r="M495" s="52">
        <v>45990.0</v>
      </c>
      <c r="N495" s="53" t="s">
        <v>692</v>
      </c>
      <c r="O495" s="6" t="s">
        <v>893</v>
      </c>
      <c r="P495" s="6"/>
      <c r="Q495" s="6" t="str">
        <f t="shared" si="1"/>
        <v>#N/A</v>
      </c>
      <c r="R495" s="6"/>
    </row>
    <row r="496" hidden="1">
      <c r="A496" s="31" t="str">
        <f>IFERROR(__xludf.DUMMYFUNCTION("""COMPUTED_VALUE"""),"410д")</f>
        <v>410д</v>
      </c>
      <c r="B496" s="14" t="str">
        <f>IFERROR(__xludf.DUMMYFUNCTION("""COMPUTED_VALUE"""),"АИП-26")</f>
        <v>АИП-26</v>
      </c>
      <c r="C496" s="14" t="str">
        <f>IFERROR(__xludf.DUMMYFUNCTION("""COMPUTED_VALUE"""),"УДС")</f>
        <v>УДС</v>
      </c>
      <c r="D496" s="60"/>
      <c r="E496" s="14" t="str">
        <f>IFERROR(__xludf.DUMMYFUNCTION("""COMPUTED_VALUE"""),"Реконструкция Карамышевской набережной. Этап 1. Карамышевская набережной")</f>
        <v>Реконструкция Карамышевской набережной. Этап 1. Карамышевская набережной</v>
      </c>
      <c r="F496" s="25" t="str">
        <f>IFERROR(__xludf.DUMMYFUNCTION("""COMPUTED_VALUE"""),"#N/A")</f>
        <v>#N/A</v>
      </c>
      <c r="G496" s="6" t="str">
        <f>IFERROR(__xludf.DUMMYFUNCTION("""COMPUTED_VALUE"""),"#N/A")</f>
        <v>#N/A</v>
      </c>
      <c r="H496" s="6"/>
      <c r="I496" s="6"/>
      <c r="J496" s="50">
        <f>IFERROR(__xludf.DUMMYFUNCTION("""COMPUTED_VALUE"""),2.770117647058824)</f>
        <v>2.770117647</v>
      </c>
      <c r="K496" s="58">
        <f>IFERROR(__xludf.DUMMYFUNCTION("""COMPUTED_VALUE"""),45966.0)</f>
        <v>45966</v>
      </c>
      <c r="L496" s="6">
        <v>30.0</v>
      </c>
      <c r="M496" s="52">
        <v>45996.0</v>
      </c>
      <c r="N496" s="53" t="s">
        <v>711</v>
      </c>
      <c r="O496" s="6" t="s">
        <v>669</v>
      </c>
      <c r="P496" s="6"/>
      <c r="Q496" s="6" t="str">
        <f t="shared" si="1"/>
        <v>#N/A</v>
      </c>
      <c r="R496" s="6"/>
    </row>
    <row r="497" hidden="1">
      <c r="A497" s="31" t="str">
        <f>IFERROR(__xludf.DUMMYFUNCTION("""COMPUTED_VALUE"""),"411д")</f>
        <v>411д</v>
      </c>
      <c r="B497" s="14" t="str">
        <f>IFERROR(__xludf.DUMMYFUNCTION("""COMPUTED_VALUE"""),"АИП-26")</f>
        <v>АИП-26</v>
      </c>
      <c r="C497" s="14" t="str">
        <f>IFERROR(__xludf.DUMMYFUNCTION("""COMPUTED_VALUE"""),"УДС")</f>
        <v>УДС</v>
      </c>
      <c r="D497" s="60"/>
      <c r="E497" s="14" t="str">
        <f>IFERROR(__xludf.DUMMYFUNCTION("""COMPUTED_VALUE"""),"Реконструкция проезда, примыкающего к Волочаевской ул. вблизи Волочаевской ул.")</f>
        <v>Реконструкция проезда, примыкающего к Волочаевской ул. вблизи Волочаевской ул.</v>
      </c>
      <c r="F497" s="25" t="str">
        <f>IFERROR(__xludf.DUMMYFUNCTION("""COMPUTED_VALUE"""),"#N/A")</f>
        <v>#N/A</v>
      </c>
      <c r="G497" s="6" t="str">
        <f>IFERROR(__xludf.DUMMYFUNCTION("""COMPUTED_VALUE"""),"#N/A")</f>
        <v>#N/A</v>
      </c>
      <c r="H497" s="6"/>
      <c r="I497" s="6"/>
      <c r="J497" s="50">
        <f>IFERROR(__xludf.DUMMYFUNCTION("""COMPUTED_VALUE"""),0.0)</f>
        <v>0</v>
      </c>
      <c r="K497" s="58">
        <f>IFERROR(__xludf.DUMMYFUNCTION("""COMPUTED_VALUE"""),45974.0)</f>
        <v>45974</v>
      </c>
      <c r="L497" s="6">
        <v>30.0</v>
      </c>
      <c r="M497" s="52">
        <v>46004.0</v>
      </c>
      <c r="N497" s="53" t="s">
        <v>711</v>
      </c>
      <c r="O497" s="6" t="s">
        <v>947</v>
      </c>
      <c r="P497" s="6"/>
      <c r="Q497" s="6" t="str">
        <f t="shared" si="1"/>
        <v>#N/A</v>
      </c>
      <c r="R497" s="6"/>
    </row>
    <row r="498" hidden="1">
      <c r="A498" s="31" t="str">
        <f>IFERROR(__xludf.DUMMYFUNCTION("""COMPUTED_VALUE"""),"412д")</f>
        <v>412д</v>
      </c>
      <c r="B498" s="14" t="str">
        <f>IFERROR(__xludf.DUMMYFUNCTION("""COMPUTED_VALUE"""),"АИП-26")</f>
        <v>АИП-26</v>
      </c>
      <c r="C498" s="14" t="str">
        <f>IFERROR(__xludf.DUMMYFUNCTION("""COMPUTED_VALUE"""),"УДС")</f>
        <v>УДС</v>
      </c>
      <c r="D498" s="60"/>
      <c r="E498" s="14" t="str">
        <f>IFERROR(__xludf.DUMMYFUNCTION("""COMPUTED_VALUE"""),"Реконструкция и строительство проезда Черепановых от Михалковской ул. до Старокоптевского пер. от Михалковской ул. до Старокоптевского пер.")</f>
        <v>Реконструкция и строительство проезда Черепановых от Михалковской ул. до Старокоптевского пер. от Михалковской ул. до Старокоптевского пер.</v>
      </c>
      <c r="F498" s="25" t="str">
        <f>IFERROR(__xludf.DUMMYFUNCTION("""COMPUTED_VALUE"""),"#N/A")</f>
        <v>#N/A</v>
      </c>
      <c r="G498" s="6" t="str">
        <f>IFERROR(__xludf.DUMMYFUNCTION("""COMPUTED_VALUE"""),"#N/A")</f>
        <v>#N/A</v>
      </c>
      <c r="H498" s="6"/>
      <c r="I498" s="6"/>
      <c r="J498" s="50">
        <f>IFERROR(__xludf.DUMMYFUNCTION("""COMPUTED_VALUE"""),0.0)</f>
        <v>0</v>
      </c>
      <c r="K498" s="58">
        <f>IFERROR(__xludf.DUMMYFUNCTION("""COMPUTED_VALUE"""),45925.0)</f>
        <v>45925</v>
      </c>
      <c r="L498" s="6">
        <v>30.0</v>
      </c>
      <c r="M498" s="52">
        <v>45955.0</v>
      </c>
      <c r="N498" s="53" t="s">
        <v>668</v>
      </c>
      <c r="O498" s="6" t="s">
        <v>948</v>
      </c>
      <c r="P498" s="6"/>
      <c r="Q498" s="6" t="str">
        <f t="shared" si="1"/>
        <v>#N/A</v>
      </c>
      <c r="R498" s="6"/>
    </row>
    <row r="499" hidden="1">
      <c r="A499" s="31" t="str">
        <f>IFERROR(__xludf.DUMMYFUNCTION("""COMPUTED_VALUE"""),"413д")</f>
        <v>413д</v>
      </c>
      <c r="B499" s="14" t="str">
        <f>IFERROR(__xludf.DUMMYFUNCTION("""COMPUTED_VALUE"""),"АИП-26")</f>
        <v>АИП-26</v>
      </c>
      <c r="C499" s="14" t="str">
        <f>IFERROR(__xludf.DUMMYFUNCTION("""COMPUTED_VALUE"""),"УДС")</f>
        <v>УДС</v>
      </c>
      <c r="D499" s="60"/>
      <c r="E499" s="14" t="str">
        <f>IFERROR(__xludf.DUMMYFUNCTION("""COMPUTED_VALUE"""),"Реконструкция улицы от автобусного парка в пос. Краснопахорское с выездом на Калужское шоссе пос. Краснопахорское")</f>
        <v>Реконструкция улицы от автобусного парка в пос. Краснопахорское с выездом на Калужское шоссе пос. Краснопахорское</v>
      </c>
      <c r="F499" s="25" t="str">
        <f>IFERROR(__xludf.DUMMYFUNCTION("""COMPUTED_VALUE"""),"#N/A")</f>
        <v>#N/A</v>
      </c>
      <c r="G499" s="6" t="str">
        <f>IFERROR(__xludf.DUMMYFUNCTION("""COMPUTED_VALUE"""),"#N/A")</f>
        <v>#N/A</v>
      </c>
      <c r="H499" s="6"/>
      <c r="I499" s="6"/>
      <c r="J499" s="50">
        <f>IFERROR(__xludf.DUMMYFUNCTION("""COMPUTED_VALUE"""),0.0)</f>
        <v>0</v>
      </c>
      <c r="K499" s="58">
        <f>IFERROR(__xludf.DUMMYFUNCTION("""COMPUTED_VALUE"""),45933.0)</f>
        <v>45933</v>
      </c>
      <c r="L499" s="6">
        <v>30.0</v>
      </c>
      <c r="M499" s="52">
        <v>45963.0</v>
      </c>
      <c r="N499" s="53" t="s">
        <v>668</v>
      </c>
      <c r="O499" s="6" t="s">
        <v>937</v>
      </c>
      <c r="P499" s="6"/>
      <c r="Q499" s="6" t="str">
        <f t="shared" si="1"/>
        <v>#N/A</v>
      </c>
      <c r="R499" s="6"/>
    </row>
    <row r="500" hidden="1">
      <c r="A500" s="31" t="str">
        <f>IFERROR(__xludf.DUMMYFUNCTION("""COMPUTED_VALUE"""),"414д")</f>
        <v>414д</v>
      </c>
      <c r="B500" s="14" t="str">
        <f>IFERROR(__xludf.DUMMYFUNCTION("""COMPUTED_VALUE"""),"АИП-26")</f>
        <v>АИП-26</v>
      </c>
      <c r="C500" s="14" t="str">
        <f>IFERROR(__xludf.DUMMYFUNCTION("""COMPUTED_VALUE"""),"УДС")</f>
        <v>УДС</v>
      </c>
      <c r="D500" s="60"/>
      <c r="E500" s="14" t="str">
        <f>IFERROR(__xludf.DUMMYFUNCTION("""COMPUTED_VALUE"""),"Реконструкция улицы районного значения ""Боровское ш. – ул. Татьянин Парк - МКАД"" Боровское ш. – ул. Татьянин Парк - МКАД")</f>
        <v>Реконструкция улицы районного значения "Боровское ш. – ул. Татьянин Парк - МКАД" Боровское ш. – ул. Татьянин Парк - МКАД</v>
      </c>
      <c r="F500" s="25" t="str">
        <f>IFERROR(__xludf.DUMMYFUNCTION("""COMPUTED_VALUE"""),"#N/A")</f>
        <v>#N/A</v>
      </c>
      <c r="G500" s="6" t="str">
        <f>IFERROR(__xludf.DUMMYFUNCTION("""COMPUTED_VALUE"""),"#N/A")</f>
        <v>#N/A</v>
      </c>
      <c r="H500" s="6"/>
      <c r="I500" s="6"/>
      <c r="J500" s="50">
        <f>IFERROR(__xludf.DUMMYFUNCTION("""COMPUTED_VALUE"""),0.0)</f>
        <v>0</v>
      </c>
      <c r="K500" s="58">
        <f>IFERROR(__xludf.DUMMYFUNCTION("""COMPUTED_VALUE"""),45957.0)</f>
        <v>45957</v>
      </c>
      <c r="L500" s="6">
        <v>30.0</v>
      </c>
      <c r="M500" s="52">
        <v>45987.0</v>
      </c>
      <c r="N500" s="53" t="s">
        <v>741</v>
      </c>
      <c r="O500" s="6" t="s">
        <v>937</v>
      </c>
      <c r="P500" s="6"/>
      <c r="Q500" s="6" t="str">
        <f t="shared" si="1"/>
        <v>#N/A</v>
      </c>
      <c r="R500" s="6"/>
    </row>
    <row r="501" hidden="1">
      <c r="A501" s="31" t="str">
        <f>IFERROR(__xludf.DUMMYFUNCTION("""COMPUTED_VALUE"""),"221д")</f>
        <v>221д</v>
      </c>
      <c r="B501" s="14" t="str">
        <f>IFERROR(__xludf.DUMMYFUNCTION("""COMPUTED_VALUE"""),"АИП-26")</f>
        <v>АИП-26</v>
      </c>
      <c r="C501" s="14" t="str">
        <f>IFERROR(__xludf.DUMMYFUNCTION("""COMPUTED_VALUE"""),"УДС")</f>
        <v>УДС</v>
      </c>
      <c r="D501" s="60"/>
      <c r="E501" s="14" t="str">
        <f>IFERROR(__xludf.DUMMYFUNCTION("""COMPUTED_VALUE"""),"Строительство улицы районного значения от автомобильной дороги Варшавское шоссе – д. Андреевское – д. Яковлево до автодороги М-2 «Крым» от автомобильной дороги Варшавское шоссе – д. Андреевское – д. Яковлево до автодороги М-2 «Крым»")</f>
        <v>Строительство улицы районного значения от автомобильной дороги Варшавское шоссе – д. Андреевское – д. Яковлево до автодороги М-2 «Крым» от автомобильной дороги Варшавское шоссе – д. Андреевское – д. Яковлево до автодороги М-2 «Крым»</v>
      </c>
      <c r="F501" s="25" t="str">
        <f>IFERROR(__xludf.DUMMYFUNCTION("""COMPUTED_VALUE"""),"#N/A")</f>
        <v>#N/A</v>
      </c>
      <c r="G501" s="6" t="str">
        <f>IFERROR(__xludf.DUMMYFUNCTION("""COMPUTED_VALUE"""),"#N/A")</f>
        <v>#N/A</v>
      </c>
      <c r="H501" s="6"/>
      <c r="I501" s="6"/>
      <c r="J501" s="50">
        <f>IFERROR(__xludf.DUMMYFUNCTION("""COMPUTED_VALUE"""),0.0)</f>
        <v>0</v>
      </c>
      <c r="K501" s="58">
        <f>IFERROR(__xludf.DUMMYFUNCTION("""COMPUTED_VALUE"""),45974.0)</f>
        <v>45974</v>
      </c>
      <c r="L501" s="6">
        <v>30.0</v>
      </c>
      <c r="M501" s="52">
        <v>46004.0</v>
      </c>
      <c r="N501" s="53" t="s">
        <v>711</v>
      </c>
      <c r="O501" s="6" t="s">
        <v>937</v>
      </c>
      <c r="P501" s="6"/>
      <c r="Q501" s="6" t="str">
        <f t="shared" si="1"/>
        <v>#N/A</v>
      </c>
      <c r="R501" s="6"/>
    </row>
    <row r="502" hidden="1">
      <c r="A502" s="31" t="str">
        <f>IFERROR(__xludf.DUMMYFUNCTION("""COMPUTED_VALUE"""),"284д")</f>
        <v>284д</v>
      </c>
      <c r="B502" s="14" t="str">
        <f>IFERROR(__xludf.DUMMYFUNCTION("""COMPUTED_VALUE"""),"АИП-26")</f>
        <v>АИП-26</v>
      </c>
      <c r="C502" s="14" t="str">
        <f>IFERROR(__xludf.DUMMYFUNCTION("""COMPUTED_VALUE"""),"УДС")</f>
        <v>УДС</v>
      </c>
      <c r="D502" s="60"/>
      <c r="E502" s="14" t="str">
        <f>IFERROR(__xludf.DUMMYFUNCTION("""COMPUTED_VALUE"""),"Мероприятия по интеграции и развитию системы АСУДД, системы передачи данных для целей ГБУ «Гормост» и ГУП «Моссвет» на Калужском шоссе Калужское шоссе")</f>
        <v>Мероприятия по интеграции и развитию системы АСУДД, системы передачи данных для целей ГБУ «Гормост» и ГУП «Моссвет» на Калужском шоссе Калужское шоссе</v>
      </c>
      <c r="F502" s="25" t="str">
        <f>IFERROR(__xludf.DUMMYFUNCTION("""COMPUTED_VALUE"""),"#N/A")</f>
        <v>#N/A</v>
      </c>
      <c r="G502" s="6" t="str">
        <f>IFERROR(__xludf.DUMMYFUNCTION("""COMPUTED_VALUE"""),"#N/A")</f>
        <v>#N/A</v>
      </c>
      <c r="H502" s="6"/>
      <c r="I502" s="6"/>
      <c r="J502" s="50">
        <f>IFERROR(__xludf.DUMMYFUNCTION("""COMPUTED_VALUE"""),0.0)</f>
        <v>0</v>
      </c>
      <c r="K502" s="58"/>
      <c r="L502" s="6">
        <v>30.0</v>
      </c>
      <c r="M502" s="52" t="s">
        <v>655</v>
      </c>
      <c r="N502" s="53" t="s">
        <v>698</v>
      </c>
      <c r="O502" s="6" t="s">
        <v>949</v>
      </c>
      <c r="P502" s="6"/>
      <c r="Q502" s="6" t="str">
        <f t="shared" si="1"/>
        <v>#N/A</v>
      </c>
      <c r="R502" s="6"/>
    </row>
    <row r="503" hidden="1">
      <c r="A503" s="31" t="str">
        <f>IFERROR(__xludf.DUMMYFUNCTION("""COMPUTED_VALUE"""),"1058д")</f>
        <v>1058д</v>
      </c>
      <c r="B503" s="14" t="str">
        <f>IFERROR(__xludf.DUMMYFUNCTION("""COMPUTED_VALUE"""),"АИП-26")</f>
        <v>АИП-26</v>
      </c>
      <c r="C503" s="14" t="str">
        <f>IFERROR(__xludf.DUMMYFUNCTION("""COMPUTED_VALUE"""),"УДС")</f>
        <v>УДС</v>
      </c>
      <c r="D503" s="60"/>
      <c r="E503" s="14" t="str">
        <f>IFERROR(__xludf.DUMMYFUNCTION("""COMPUTED_VALUE"""),"Строительство аварийно-регулирующего резервуара (АРР) при канализационно-насосной станции (КНС) «Внуковская» д. Лапшинка, пос. Московский Внуково, в районе д. Лапшинка")</f>
        <v>Строительство аварийно-регулирующего резервуара (АРР) при канализационно-насосной станции (КНС) «Внуковская» д. Лапшинка, пос. Московский Внуково, в районе д. Лапшинка</v>
      </c>
      <c r="F503" s="25" t="str">
        <f>IFERROR(__xludf.DUMMYFUNCTION("""COMPUTED_VALUE"""),"55.60850083966733")</f>
        <v>55.60850083966733</v>
      </c>
      <c r="G503" s="6" t="str">
        <f>IFERROR(__xludf.DUMMYFUNCTION("""COMPUTED_VALUE"""),"37.31480802648753")</f>
        <v>37.31480802648753</v>
      </c>
      <c r="H503" s="6"/>
      <c r="I503" s="6" t="str">
        <f>IFERROR(__xludf.DUMMYFUNCTION("""COMPUTED_VALUE"""),"https://disk.yandex.ru/client/disk/Осмотры%20объектов%20АНО%20СМГ/1058.%20Строительство%20аварийно-регулирующего%20резервуара%20(АРР)%20при%20КНС%20«Внуковская»%20д.%20Лапшинка")</f>
        <v>https://disk.yandex.ru/client/disk/Осмотры%20объектов%20АНО%20СМГ/1058.%20Строительство%20аварийно-регулирующего%20резервуара%20(АРР)%20при%20КНС%20«Внуковская»%20д.%20Лапшинка</v>
      </c>
      <c r="J503" s="50">
        <f>IFERROR(__xludf.DUMMYFUNCTION("""COMPUTED_VALUE"""),60.41538)</f>
        <v>60.41538</v>
      </c>
      <c r="K503" s="58">
        <f>IFERROR(__xludf.DUMMYFUNCTION("""COMPUTED_VALUE"""),45954.0)</f>
        <v>45954</v>
      </c>
      <c r="L503" s="6">
        <v>14.0</v>
      </c>
      <c r="M503" s="52">
        <v>45968.0</v>
      </c>
      <c r="N503" s="53" t="s">
        <v>668</v>
      </c>
      <c r="O503" s="6" t="s">
        <v>950</v>
      </c>
      <c r="P503" s="6"/>
      <c r="Q503" s="6" t="str">
        <f t="shared" si="1"/>
        <v>#N/A</v>
      </c>
      <c r="R503" s="6"/>
    </row>
    <row r="504" hidden="1">
      <c r="A504" s="31" t="str">
        <f>IFERROR(__xludf.DUMMYFUNCTION("""COMPUTED_VALUE"""),"1173")</f>
        <v>1173</v>
      </c>
      <c r="B504" s="14" t="str">
        <f>IFERROR(__xludf.DUMMYFUNCTION("""COMPUTED_VALUE"""),"АИП-26")</f>
        <v>АИП-26</v>
      </c>
      <c r="C504" s="14" t="str">
        <f>IFERROR(__xludf.DUMMYFUNCTION("""COMPUTED_VALUE"""),"УДС")</f>
        <v>УДС</v>
      </c>
      <c r="D504" s="60"/>
      <c r="E504" s="14" t="str">
        <f>IFERROR(__xludf.DUMMYFUNCTION("""COMPUTED_VALUE"""),"Реконструкция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f>
        <v>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v>
      </c>
      <c r="F504" s="25" t="str">
        <f>IFERROR(__xludf.DUMMYFUNCTION("""COMPUTED_VALUE"""),"55.71284811819205")</f>
        <v>55.71284811819205</v>
      </c>
      <c r="G504" s="6" t="str">
        <f>IFERROR(__xludf.DUMMYFUNCTION("""COMPUTED_VALUE"""),"37.44709151064985")</f>
        <v>37.44709151064985</v>
      </c>
      <c r="H504" s="18" t="str">
        <f>IFERROR(__xludf.DUMMYFUNCTION("""COMPUTED_VALUE"""),"https://docs.google.com/spreadsheets/d/19THEBTE9q0fhN2eApZr6BgenIvLGh0AckaYxHQfHk5w/edit?gid=2098961178#gid=2098961178")</f>
        <v>https://docs.google.com/spreadsheets/d/19THEBTE9q0fhN2eApZr6BgenIvLGh0AckaYxHQfHk5w/edit?gid=2098961178#gid=2098961178</v>
      </c>
      <c r="I504" s="6"/>
      <c r="J504" s="50"/>
      <c r="K504" s="58"/>
      <c r="L504" s="6">
        <v>30.0</v>
      </c>
      <c r="M504" s="52" t="s">
        <v>655</v>
      </c>
      <c r="N504" s="53" t="s">
        <v>698</v>
      </c>
      <c r="O504" s="6" t="s">
        <v>951</v>
      </c>
      <c r="P504" s="6"/>
      <c r="Q504" s="6" t="str">
        <f t="shared" si="1"/>
        <v>#N/A</v>
      </c>
      <c r="R504" s="6"/>
    </row>
    <row r="505" hidden="1">
      <c r="A505" s="31" t="str">
        <f>IFERROR(__xludf.DUMMYFUNCTION("""COMPUTED_VALUE"""),"1151д (этап 2)")</f>
        <v>1151д (этап 2)</v>
      </c>
      <c r="B505" s="14" t="str">
        <f>IFERROR(__xludf.DUMMYFUNCTION("""COMPUTED_VALUE"""),"АИП-26")</f>
        <v>АИП-26</v>
      </c>
      <c r="C505" s="14" t="str">
        <f>IFERROR(__xludf.DUMMYFUNCTION("""COMPUTED_VALUE"""),"УДС")</f>
        <v>УДС</v>
      </c>
      <c r="D505" s="60"/>
      <c r="E505" s="14" t="str">
        <f>IFERROR(__xludf.DUMMYFUNCTION("""COMPUTED_VALUE"""),"Напорный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Этап 2. Строительство напорного трубопровода от Ново- Солнцевской КНС до п"&amp;"р-кта Вернадского г. Москва, район Солнцево, Тропарево- Никулино, пр-т, Вернадского")</f>
        <v>Напорный трубопровод от Ново-Солнцевской канализационно-насосной станции (КНС) до Обручевского канала (1 пусковой комплекс) р-ны Солнцево, Тропарево-Никулино, Проспект Вернадского. Этап 2. Строительство напорного трубопровода от Ново- Солнцевской КНС до пр-кта Вернадского г. Москва, район Солнцево, Тропарево- Никулино, пр-т, Вернадского</v>
      </c>
      <c r="F505" s="25" t="str">
        <f>IFERROR(__xludf.DUMMYFUNCTION("""COMPUTED_VALUE"""),"55.6620116986423")</f>
        <v>55.6620116986423</v>
      </c>
      <c r="G505" s="6" t="str">
        <f>IFERROR(__xludf.DUMMYFUNCTION("""COMPUTED_VALUE"""),"37.44633431521266")</f>
        <v>37.44633431521266</v>
      </c>
      <c r="H505" s="6"/>
      <c r="I505" s="18" t="str">
        <f>IFERROR(__xludf.DUMMYFUNCTION("""COMPUTED_VALUE"""),"https://disk.yandex.ru/client/disk/%D0%9E%D1%81%D0%BC%D0%BE%D1%82%D1%80%D1%8B%20%D0%BE%D0%B1%D1%8A%D0%B5%D0%BA%D1%82%D0%BE%D0%B2%20%D0%90%D0%9D%D0%9E%20%D0%A1%D0%9C%D0%93/1151%20(%D1%8D%D1%82%D0%B0%D0%BF%202).%20%D0%B3.%20%D0%9C%D0%BE%D1%81%D0%BA%D0%B2%D0"&amp;"%B0%2C%20%D1%80%D0%B0%D0%B9%D0%BE%D0%BD%20%D0%A1%D0%BE%D0%BB%D0%BD%D1%86%D0%B5%D0%B2%D0%BE%2C%20%D0%A2%D1%80%D0%BE%D0%BF%D0%B0%D1%80%D0%B5%D0%B2%D0%BE-%20%D0%9D%D0%B8%D0%BA%D1%83%D0%BB%D0%B8%D0%BD%D0%BE%2C%20%D0%BF%D1%80-%D1%82%2C%20%D0%92%D0%B5%D1%80%D0%"&amp;"BD%D0%B0%D0%B4%D1%81%D0%BA%D0%BE%D0%B3%D0%BE")</f>
        <v>https://disk.yandex.ru/client/disk/%D0%9E%D1%81%D0%BC%D0%BE%D1%82%D1%80%D1%8B%20%D0%BE%D0%B1%D1%8A%D0%B5%D0%BA%D1%82%D0%BE%D0%B2%20%D0%90%D0%9D%D0%9E%20%D0%A1%D0%9C%D0%93/1151%20(%D1%8D%D1%82%D0%B0%D0%BF%202).%20%D0%B3.%20%D0%9C%D0%BE%D1%81%D0%BA%D0%B2%D0%B0%2C%20%D1%80%D0%B0%D0%B9%D0%BE%D0%BD%20%D0%A1%D0%BE%D0%BB%D0%BD%D1%86%D0%B5%D0%B2%D0%BE%2C%20%D0%A2%D1%80%D0%BE%D0%BF%D0%B0%D1%80%D0%B5%D0%B2%D0%BE-%20%D0%9D%D0%B8%D0%BA%D1%83%D0%BB%D0%B8%D0%BD%D0%BE%2C%20%D0%BF%D1%80-%D1%82%2C%20%D0%92%D0%B5%D1%80%D0%BD%D0%B0%D0%B4%D1%81%D0%BA%D0%BE%D0%B3%D0%BE</v>
      </c>
      <c r="J505" s="50">
        <f>IFERROR(__xludf.DUMMYFUNCTION("""COMPUTED_VALUE"""),86.33999999999999)</f>
        <v>86.34</v>
      </c>
      <c r="K505" s="58">
        <f>IFERROR(__xludf.DUMMYFUNCTION("""COMPUTED_VALUE"""),45958.0)</f>
        <v>45958</v>
      </c>
      <c r="L505" s="6">
        <v>14.0</v>
      </c>
      <c r="M505" s="52">
        <v>45972.0</v>
      </c>
      <c r="N505" s="53" t="s">
        <v>668</v>
      </c>
      <c r="O505" s="6" t="s">
        <v>952</v>
      </c>
      <c r="P505" s="6"/>
      <c r="Q505" s="6" t="str">
        <f t="shared" si="1"/>
        <v>#N/A</v>
      </c>
      <c r="R505" s="6"/>
    </row>
    <row r="506" hidden="1">
      <c r="A506" s="31" t="str">
        <f>IFERROR(__xludf.DUMMYFUNCTION("""COMPUTED_VALUE"""),"415д")</f>
        <v>415д</v>
      </c>
      <c r="B506" s="14" t="str">
        <f>IFERROR(__xludf.DUMMYFUNCTION("""COMPUTED_VALUE"""),"АИП-26")</f>
        <v>АИП-26</v>
      </c>
      <c r="C506" s="14" t="str">
        <f>IFERROR(__xludf.DUMMYFUNCTION("""COMPUTED_VALUE"""),"УДС")</f>
        <v>УДС</v>
      </c>
      <c r="D506" s="60"/>
      <c r="E506" s="14" t="str">
        <f>IFERROR(__xludf.DUMMYFUNCTION("""COMPUTED_VALUE"""),"Строительство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Мероприятия по интеграции АСУДД в ИТС г. Москвы"" МСД")</f>
        <v>Строительство улично-дорожной сети с искусственными сооружениями и переустройством инженерных коммуникаций на участке от ул. Каспийской до 1-го Котляковского пер. Мероприятия по интеграции АСУДД в ИТС г. Москвы" МСД</v>
      </c>
      <c r="F506" s="25" t="str">
        <f>IFERROR(__xludf.DUMMYFUNCTION("""COMPUTED_VALUE"""),"#N/A")</f>
        <v>#N/A</v>
      </c>
      <c r="G506" s="6" t="str">
        <f>IFERROR(__xludf.DUMMYFUNCTION("""COMPUTED_VALUE"""),"#N/A")</f>
        <v>#N/A</v>
      </c>
      <c r="H506" s="6"/>
      <c r="I506" s="6"/>
      <c r="J506" s="50">
        <f>IFERROR(__xludf.DUMMYFUNCTION("""COMPUTED_VALUE"""),31.36)</f>
        <v>31.36</v>
      </c>
      <c r="K506" s="58">
        <f>IFERROR(__xludf.DUMMYFUNCTION("""COMPUTED_VALUE"""),45974.0)</f>
        <v>45974</v>
      </c>
      <c r="L506" s="6">
        <v>30.0</v>
      </c>
      <c r="M506" s="52">
        <v>46004.0</v>
      </c>
      <c r="N506" s="53" t="s">
        <v>711</v>
      </c>
      <c r="O506" s="6" t="s">
        <v>893</v>
      </c>
      <c r="P506" s="6"/>
      <c r="Q506" s="6" t="str">
        <f t="shared" si="1"/>
        <v>#N/A</v>
      </c>
      <c r="R506" s="6"/>
    </row>
    <row r="507" hidden="1">
      <c r="A507" s="31" t="str">
        <f>IFERROR(__xludf.DUMMYFUNCTION("""COMPUTED_VALUE"""),"416д")</f>
        <v>416д</v>
      </c>
      <c r="B507" s="14" t="str">
        <f>IFERROR(__xludf.DUMMYFUNCTION("""COMPUTED_VALUE"""),"АИП-26")</f>
        <v>АИП-26</v>
      </c>
      <c r="C507" s="14" t="str">
        <f>IFERROR(__xludf.DUMMYFUNCTION("""COMPUTED_VALUE"""),"УДС")</f>
        <v>УДС</v>
      </c>
      <c r="D507" s="60"/>
      <c r="E507" s="14" t="str">
        <f>IFERROR(__xludf.DUMMYFUNCTION("""COMPUTED_VALUE"""),"Строительство и благоустройство набережной-реки на территории Мневниковской поймы территория Мневниковской поймы")</f>
        <v>Строительство и благоустройство набережной-реки на территории Мневниковской поймы территория Мневниковской поймы</v>
      </c>
      <c r="F507" s="25" t="str">
        <f>IFERROR(__xludf.DUMMYFUNCTION("""COMPUTED_VALUE"""),"#N/A")</f>
        <v>#N/A</v>
      </c>
      <c r="G507" s="6" t="str">
        <f>IFERROR(__xludf.DUMMYFUNCTION("""COMPUTED_VALUE"""),"#N/A")</f>
        <v>#N/A</v>
      </c>
      <c r="H507" s="6"/>
      <c r="I507" s="6"/>
      <c r="J507" s="50">
        <f>IFERROR(__xludf.DUMMYFUNCTION("""COMPUTED_VALUE"""),0.0)</f>
        <v>0</v>
      </c>
      <c r="K507" s="58">
        <f>IFERROR(__xludf.DUMMYFUNCTION("""COMPUTED_VALUE"""),45966.0)</f>
        <v>45966</v>
      </c>
      <c r="L507" s="6">
        <v>30.0</v>
      </c>
      <c r="M507" s="52">
        <v>45996.0</v>
      </c>
      <c r="N507" s="53" t="s">
        <v>711</v>
      </c>
      <c r="O507" s="6" t="s">
        <v>914</v>
      </c>
      <c r="P507" s="6"/>
      <c r="Q507" s="6" t="str">
        <f t="shared" si="1"/>
        <v>#N/A</v>
      </c>
      <c r="R507" s="6"/>
    </row>
    <row r="508" hidden="1">
      <c r="A508" s="31" t="str">
        <f>IFERROR(__xludf.DUMMYFUNCTION("""COMPUTED_VALUE"""),"417д")</f>
        <v>417д</v>
      </c>
      <c r="B508" s="14" t="str">
        <f>IFERROR(__xludf.DUMMYFUNCTION("""COMPUTED_VALUE"""),"АИП-26")</f>
        <v>АИП-26</v>
      </c>
      <c r="C508" s="14" t="str">
        <f>IFERROR(__xludf.DUMMYFUNCTION("""COMPUTED_VALUE"""),"УДС")</f>
        <v>УДС</v>
      </c>
      <c r="D508" s="60"/>
      <c r="E508" s="14" t="str">
        <f>IFERROR(__xludf.DUMMYFUNCTION("""COMPUTED_VALUE"""),"Подъездная дорога к Административному зданию по адресу: ул.Летчика Бабушкина, д.42, р-н Лосиноостровский 0")</f>
        <v>Подъездная дорога к Административному зданию по адресу: ул.Летчика Бабушкина, д.42, р-н Лосиноостровский 0</v>
      </c>
      <c r="F508" s="25" t="str">
        <f>IFERROR(__xludf.DUMMYFUNCTION("""COMPUTED_VALUE"""),"#N/A")</f>
        <v>#N/A</v>
      </c>
      <c r="G508" s="6" t="str">
        <f>IFERROR(__xludf.DUMMYFUNCTION("""COMPUTED_VALUE"""),"#N/A")</f>
        <v>#N/A</v>
      </c>
      <c r="H508" s="6"/>
      <c r="I508" s="6"/>
      <c r="J508" s="50">
        <f>IFERROR(__xludf.DUMMYFUNCTION("""COMPUTED_VALUE"""),0.0)</f>
        <v>0</v>
      </c>
      <c r="K508" s="58">
        <f>IFERROR(__xludf.DUMMYFUNCTION("""COMPUTED_VALUE"""),45961.0)</f>
        <v>45961</v>
      </c>
      <c r="L508" s="6">
        <v>30.0</v>
      </c>
      <c r="M508" s="52">
        <v>45991.0</v>
      </c>
      <c r="N508" s="53" t="s">
        <v>692</v>
      </c>
      <c r="O508" s="6"/>
      <c r="P508" s="6"/>
      <c r="Q508" s="6" t="str">
        <f t="shared" si="1"/>
        <v>#N/A</v>
      </c>
      <c r="R508" s="6"/>
    </row>
    <row r="509" hidden="1">
      <c r="A509" s="31" t="str">
        <f>IFERROR(__xludf.DUMMYFUNCTION("""COMPUTED_VALUE"""),"429 (сводный)")</f>
        <v>429 (сводный)</v>
      </c>
      <c r="B509" s="14" t="str">
        <f>IFERROR(__xludf.DUMMYFUNCTION("""COMPUTED_VALUE"""),"АИП-26")</f>
        <v>АИП-26</v>
      </c>
      <c r="C509" s="14" t="str">
        <f>IFERROR(__xludf.DUMMYFUNCTION("""COMPUTED_VALUE"""),"УДС")</f>
        <v>УДС</v>
      </c>
      <c r="D509" s="60"/>
      <c r="E509" s="14" t="str">
        <f>IFERROR(__xludf.DUMMYFUNCTION("""COMPUTED_VALUE"""),"УДС к ТПУ Сити, Этапы 1,2 ТПУ СИТИ")</f>
        <v>УДС к ТПУ Сити, Этапы 1,2 ТПУ СИТИ</v>
      </c>
      <c r="F509" s="25" t="str">
        <f>IFERROR(__xludf.DUMMYFUNCTION("""COMPUTED_VALUE"""),"#N/A")</f>
        <v>#N/A</v>
      </c>
      <c r="G509" s="6" t="str">
        <f>IFERROR(__xludf.DUMMYFUNCTION("""COMPUTED_VALUE"""),"#N/A")</f>
        <v>#N/A</v>
      </c>
      <c r="H509" s="6"/>
      <c r="I509" s="6"/>
      <c r="J509" s="50">
        <f>IFERROR(__xludf.DUMMYFUNCTION("""COMPUTED_VALUE"""),11.512)</f>
        <v>11.512</v>
      </c>
      <c r="K509" s="58"/>
      <c r="L509" s="6">
        <v>30.0</v>
      </c>
      <c r="M509" s="52" t="s">
        <v>655</v>
      </c>
      <c r="N509" s="53" t="s">
        <v>698</v>
      </c>
      <c r="O509" s="6"/>
      <c r="P509" s="6"/>
      <c r="Q509" s="6" t="str">
        <f t="shared" si="1"/>
        <v>#N/A</v>
      </c>
      <c r="R509" s="6"/>
    </row>
    <row r="510" hidden="1">
      <c r="A510" s="31" t="str">
        <f>IFERROR(__xludf.DUMMYFUNCTION("""COMPUTED_VALUE"""),"НД")</f>
        <v>НД</v>
      </c>
      <c r="B510" s="14" t="str">
        <f>IFERROR(__xludf.DUMMYFUNCTION("""COMPUTED_VALUE"""),"АИП-26")</f>
        <v>АИП-26</v>
      </c>
      <c r="C510" s="14" t="str">
        <f>IFERROR(__xludf.DUMMYFUNCTION("""COMPUTED_VALUE"""),"УДС")</f>
        <v>УДС</v>
      </c>
      <c r="D510" s="60"/>
      <c r="E510" s="14" t="str">
        <f>IFERROR(__xludf.DUMMYFUNCTION("""COMPUTED_VALUE"""),"УДС к ТПУ Сити, Этапы 2 ТПУ СИТИ")</f>
        <v>УДС к ТПУ Сити, Этапы 2 ТПУ СИТИ</v>
      </c>
      <c r="F510" s="25" t="str">
        <f>IFERROR(__xludf.DUMMYFUNCTION("""COMPUTED_VALUE"""),"#N/A")</f>
        <v>#N/A</v>
      </c>
      <c r="G510" s="6" t="str">
        <f>IFERROR(__xludf.DUMMYFUNCTION("""COMPUTED_VALUE"""),"#N/A")</f>
        <v>#N/A</v>
      </c>
      <c r="H510" s="6"/>
      <c r="I510" s="6"/>
      <c r="J510" s="50"/>
      <c r="K510" s="58"/>
      <c r="L510" s="6">
        <v>30.0</v>
      </c>
      <c r="M510" s="52" t="s">
        <v>655</v>
      </c>
      <c r="N510" s="53" t="s">
        <v>698</v>
      </c>
      <c r="O510" s="6"/>
      <c r="P510" s="6"/>
      <c r="Q510" s="6" t="str">
        <f t="shared" si="1"/>
        <v>#N/A</v>
      </c>
      <c r="R510" s="6"/>
    </row>
    <row r="511" hidden="1">
      <c r="A511" s="31" t="str">
        <f>IFERROR(__xludf.DUMMYFUNCTION("""COMPUTED_VALUE"""),"305")</f>
        <v>305</v>
      </c>
      <c r="B511" s="14" t="str">
        <f>IFERROR(__xludf.DUMMYFUNCTION("""COMPUTED_VALUE"""),"АИП-26")</f>
        <v>АИП-26</v>
      </c>
      <c r="C511" s="14" t="str">
        <f>IFERROR(__xludf.DUMMYFUNCTION("""COMPUTED_VALUE"""),"ОКС")</f>
        <v>ОКС</v>
      </c>
      <c r="D511" s="60"/>
      <c r="E511" s="14" t="str">
        <f>IFERROR(__xludf.DUMMYFUNCTION("""COMPUTED_VALUE"""),"Подстанция скорой помощи на 6 машино-мест с центральным складом, р-н Царицыно, р-н Царицыно, Пролетарский проспект, земельный участок 24/2/1")</f>
        <v>Подстанция скорой помощи на 6 машино-мест с центральным складом, р-н Царицыно, р-н Царицыно, Пролетарский проспект, земельный участок 24/2/1</v>
      </c>
      <c r="F511" s="25" t="str">
        <f>IFERROR(__xludf.DUMMYFUNCTION("""COMPUTED_VALUE"""),"55.63182920437575")</f>
        <v>55.63182920437575</v>
      </c>
      <c r="G511" s="6" t="str">
        <f>IFERROR(__xludf.DUMMYFUNCTION("""COMPUTED_VALUE"""),"37.65818639552172")</f>
        <v>37.65818639552172</v>
      </c>
      <c r="H511" s="18" t="str">
        <f>IFERROR(__xludf.DUMMYFUNCTION("""COMPUTED_VALUE"""),"https://docs.google.com/spreadsheets/d/19THEBTE9q0fhN2eApZr6BgenIvLGh0AckaYxHQfHk5w/edit?gid=1251606175#gid=1251606175")</f>
        <v>https://docs.google.com/spreadsheets/d/19THEBTE9q0fhN2eApZr6BgenIvLGh0AckaYxHQfHk5w/edit?gid=1251606175#gid=1251606175</v>
      </c>
      <c r="I511" s="19" t="str">
        <f>IFERROR(__xludf.DUMMYFUNCTION("""COMPUTED_VALUE"""),"https://disk.yandex.ru/client/disk/Осмотры%20объектов%20АНО%20СМГ/305.%20Подстанция%20скорой%20помощи%20на%206%20машиномест.%20Пролетарский%20пр-т%2C%2024-2-1")</f>
        <v>https://disk.yandex.ru/client/disk/Осмотры%20объектов%20АНО%20СМГ/305.%20Подстанция%20скорой%20помощи%20на%206%20машиномест.%20Пролетарский%20пр-т%2C%2024-2-1</v>
      </c>
      <c r="J511" s="50">
        <f>IFERROR(__xludf.DUMMYFUNCTION("""COMPUTED_VALUE"""),11.377825)</f>
        <v>11.377825</v>
      </c>
      <c r="K511" s="58">
        <f>IFERROR(__xludf.DUMMYFUNCTION("""COMPUTED_VALUE"""),45954.0)</f>
        <v>45954</v>
      </c>
      <c r="L511" s="6">
        <v>30.0</v>
      </c>
      <c r="M511" s="52">
        <v>45984.0</v>
      </c>
      <c r="N511" s="53" t="s">
        <v>741</v>
      </c>
      <c r="O511" s="19" t="s">
        <v>953</v>
      </c>
      <c r="P511" s="6"/>
      <c r="Q511" s="6" t="str">
        <f t="shared" si="1"/>
        <v>#N/A</v>
      </c>
      <c r="R511" s="6"/>
    </row>
    <row r="512" hidden="1">
      <c r="A512" s="31" t="str">
        <f>IFERROR(__xludf.DUMMYFUNCTION("""COMPUTED_VALUE"""),"298")</f>
        <v>298</v>
      </c>
      <c r="B512" s="14" t="str">
        <f>IFERROR(__xludf.DUMMYFUNCTION("""COMPUTED_VALUE"""),"АИП-26")</f>
        <v>АИП-26</v>
      </c>
      <c r="C512" s="14" t="str">
        <f>IFERROR(__xludf.DUMMYFUNCTION("""COMPUTED_VALUE"""),"ОКС")</f>
        <v>ОКС</v>
      </c>
      <c r="D512" s="60"/>
      <c r="E512" s="14" t="str">
        <f>IFERROR(__xludf.DUMMYFUNCTION("""COMPUTED_VALUE"""),"Подстанция скорой медицинской помощи р-н Выхино-Жулебино, ул. Хлобыстова, влд. 10-12")</f>
        <v>Подстанция скорой медицинской помощи р-н Выхино-Жулебино, ул. Хлобыстова, влд. 10-12</v>
      </c>
      <c r="F512" s="25" t="str">
        <f>IFERROR(__xludf.DUMMYFUNCTION("""COMPUTED_VALUE"""),"55.719444654785185")</f>
        <v>55.719444654785185</v>
      </c>
      <c r="G512" s="6" t="str">
        <f>IFERROR(__xludf.DUMMYFUNCTION("""COMPUTED_VALUE"""),"37.80319964942804")</f>
        <v>37.80319964942804</v>
      </c>
      <c r="H512" s="18" t="str">
        <f>IFERROR(__xludf.DUMMYFUNCTION("""COMPUTED_VALUE"""),"https://docs.google.com/spreadsheets/d/19THEBTE9q0fhN2eApZr6BgenIvLGh0AckaYxHQfHk5w/edit?gid=330165580#gid=330165580")</f>
        <v>https://docs.google.com/spreadsheets/d/19THEBTE9q0fhN2eApZr6BgenIvLGh0AckaYxHQfHk5w/edit?gid=330165580#gid=330165580</v>
      </c>
      <c r="I512" s="19" t="str">
        <f>IFERROR(__xludf.DUMMYFUNCTION("""COMPUTED_VALUE"""),"https://disk.yandex.ru/client/disk/Осмотры%20объектов%20АНО%20СМГ/298.%20Подстанция%20скорой%20медицинской%20помощи%20по%20адресу%3A%20%20ЮВАО%2C%20район%20Выхино-Жулебино%2C%20ул.%20Хлобыстова%2C%20влд.%2010-12")</f>
        <v>https://disk.yandex.ru/client/disk/Осмотры%20объектов%20АНО%20СМГ/298.%20Подстанция%20скорой%20медицинской%20помощи%20по%20адресу%3A%20%20ЮВАО%2C%20район%20Выхино-Жулебино%2C%20ул.%20Хлобыстова%2C%20влд.%2010-12</v>
      </c>
      <c r="J512" s="50">
        <f>IFERROR(__xludf.DUMMYFUNCTION("""COMPUTED_VALUE"""),0.0)</f>
        <v>0</v>
      </c>
      <c r="K512" s="58">
        <f>IFERROR(__xludf.DUMMYFUNCTION("""COMPUTED_VALUE"""),45950.0)</f>
        <v>45950</v>
      </c>
      <c r="L512" s="6">
        <v>30.0</v>
      </c>
      <c r="M512" s="52">
        <v>45980.0</v>
      </c>
      <c r="N512" s="53" t="s">
        <v>701</v>
      </c>
      <c r="O512" s="19" t="s">
        <v>954</v>
      </c>
      <c r="P512" s="6"/>
      <c r="Q512" s="6" t="str">
        <f t="shared" si="1"/>
        <v>#N/A</v>
      </c>
      <c r="R512" s="6"/>
    </row>
    <row r="513" hidden="1">
      <c r="A513" s="31" t="str">
        <f>IFERROR(__xludf.DUMMYFUNCTION("""COMPUTED_VALUE"""),"1234")</f>
        <v>1234</v>
      </c>
      <c r="B513" s="14" t="str">
        <f>IFERROR(__xludf.DUMMYFUNCTION("""COMPUTED_VALUE"""),"АИП-26")</f>
        <v>АИП-26</v>
      </c>
      <c r="C513" s="14" t="str">
        <f>IFERROR(__xludf.DUMMYFUNCTION("""COMPUTED_VALUE"""),"ОКС")</f>
        <v>ОКС</v>
      </c>
      <c r="D513" s="60"/>
      <c r="E513" s="14" t="str">
        <f>IFERROR(__xludf.DUMMYFUNCTION("""COMPUTED_VALUE"""),"«Инфекционный лечебно-диагностический комплекс на территории ГБУЗ ""ИКБ №1 ДЗМ"" (5 этап строительства - склад)» г. Москва, Волоколамское шоссе, д. 63")</f>
        <v>«Инфекционный лечебно-диагностический комплекс на территории ГБУЗ "ИКБ №1 ДЗМ" (5 этап строительства - склад)» г. Москва, Волоколамское шоссе, д. 63</v>
      </c>
      <c r="F513" s="25" t="str">
        <f>IFERROR(__xludf.DUMMYFUNCTION("""COMPUTED_VALUE"""),"55.81586442092502")</f>
        <v>55.81586442092502</v>
      </c>
      <c r="G513" s="6" t="str">
        <f>IFERROR(__xludf.DUMMYFUNCTION("""COMPUTED_VALUE"""),"37.45357806214695")</f>
        <v>37.45357806214695</v>
      </c>
      <c r="H513" s="18" t="str">
        <f>IFERROR(__xludf.DUMMYFUNCTION("""COMPUTED_VALUE"""),"https://docs.google.com/spreadsheets/d/19THEBTE9q0fhN2eApZr6BgenIvLGh0AckaYxHQfHk5w/edit?gid=950438285#gid=950438285")</f>
        <v>https://docs.google.com/spreadsheets/d/19THEBTE9q0fhN2eApZr6BgenIvLGh0AckaYxHQfHk5w/edit?gid=950438285#gid=950438285</v>
      </c>
      <c r="I513" s="19" t="str">
        <f>IFERROR(__xludf.DUMMYFUNCTION("""COMPUTED_VALUE"""),"https://disk.yandex.ru/client/disk/Осмотры%20объектов%20АНО%20СМГ/1234.%20Волоколамское%20шоссе%20вл.%2063%20этап%205%20склад")</f>
        <v>https://disk.yandex.ru/client/disk/Осмотры%20объектов%20АНО%20СМГ/1234.%20Волоколамское%20шоссе%20вл.%2063%20этап%205%20склад</v>
      </c>
      <c r="J513" s="50">
        <f>IFERROR(__xludf.DUMMYFUNCTION("""COMPUTED_VALUE"""),0.0)</f>
        <v>0</v>
      </c>
      <c r="K513" s="58">
        <f>IFERROR(__xludf.DUMMYFUNCTION("""COMPUTED_VALUE"""),45954.0)</f>
        <v>45954</v>
      </c>
      <c r="L513" s="6">
        <v>30.0</v>
      </c>
      <c r="M513" s="52">
        <v>45984.0</v>
      </c>
      <c r="N513" s="53" t="s">
        <v>741</v>
      </c>
      <c r="O513" s="19" t="s">
        <v>955</v>
      </c>
      <c r="P513" s="6"/>
      <c r="Q513" s="6" t="str">
        <f t="shared" si="1"/>
        <v>#N/A</v>
      </c>
      <c r="R513" s="6"/>
    </row>
    <row r="514" hidden="1">
      <c r="A514" s="31" t="str">
        <f>IFERROR(__xludf.DUMMYFUNCTION("""COMPUTED_VALUE"""),"297")</f>
        <v>297</v>
      </c>
      <c r="B514" s="14" t="str">
        <f>IFERROR(__xludf.DUMMYFUNCTION("""COMPUTED_VALUE"""),"АИП-26")</f>
        <v>АИП-26</v>
      </c>
      <c r="C514" s="14" t="str">
        <f>IFERROR(__xludf.DUMMYFUNCTION("""COMPUTED_VALUE"""),"ОКС")</f>
        <v>ОКС</v>
      </c>
      <c r="D514" s="60"/>
      <c r="E514" s="14" t="str">
        <f>IFERROR(__xludf.DUMMYFUNCTION("""COMPUTED_VALUE"""),"Лечебно-диагностический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(4 этап строительства (паркинг) ш. Энтузиастов, вл. 86")</f>
        <v>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(4 этап строительства (паркинг) ш. Энтузиастов, вл. 86</v>
      </c>
      <c r="F514" s="25" t="str">
        <f>IFERROR(__xludf.DUMMYFUNCTION("""COMPUTED_VALUE"""),"55.76521285831778")</f>
        <v>55.76521285831778</v>
      </c>
      <c r="G514" s="6" t="str">
        <f>IFERROR(__xludf.DUMMYFUNCTION("""COMPUTED_VALUE"""),"37.7956623862295")</f>
        <v>37.7956623862295</v>
      </c>
      <c r="H514" s="18" t="str">
        <f>IFERROR(__xludf.DUMMYFUNCTION("""COMPUTED_VALUE"""),"https://docs.google.com/spreadsheets/d/19THEBTE9q0fhN2eApZr6BgenIvLGh0AckaYxHQfHk5w/edit?gid=1703085430#gid=1703085430")</f>
        <v>https://docs.google.com/spreadsheets/d/19THEBTE9q0fhN2eApZr6BgenIvLGh0AckaYxHQfHk5w/edit?gid=1703085430#gid=1703085430</v>
      </c>
      <c r="I514" s="19" t="str">
        <f>IFERROR(__xludf.DUMMYFUNCTION("""COMPUTED_VALUE"""),"https://disk.yandex.ru/client/disk/Осмотры%20объектов%20АНО%20СМГ/297.%20Шоссе%20Энтузиастов%20вл%2086%20Лечебно%20диагностический%20комплекс%20ГБУЗ%20(4%20этап%20строительсва%20Паркинг)")</f>
        <v>https://disk.yandex.ru/client/disk/Осмотры%20объектов%20АНО%20СМГ/297.%20Шоссе%20Энтузиастов%20вл%2086%20Лечебно%20диагностический%20комплекс%20ГБУЗ%20(4%20этап%20строительсва%20Паркинг)</v>
      </c>
      <c r="J514" s="50">
        <f>IFERROR(__xludf.DUMMYFUNCTION("""COMPUTED_VALUE"""),0.0)</f>
        <v>0</v>
      </c>
      <c r="K514" s="58">
        <f>IFERROR(__xludf.DUMMYFUNCTION("""COMPUTED_VALUE"""),45954.0)</f>
        <v>45954</v>
      </c>
      <c r="L514" s="6">
        <v>30.0</v>
      </c>
      <c r="M514" s="52">
        <v>45984.0</v>
      </c>
      <c r="N514" s="53" t="s">
        <v>741</v>
      </c>
      <c r="O514" s="19" t="s">
        <v>956</v>
      </c>
      <c r="P514" s="6"/>
      <c r="Q514" s="6" t="str">
        <f t="shared" si="1"/>
        <v>#N/A</v>
      </c>
      <c r="R514" s="6"/>
    </row>
    <row r="515" hidden="1">
      <c r="A515" s="31" t="str">
        <f>IFERROR(__xludf.DUMMYFUNCTION("""COMPUTED_VALUE"""),"267")</f>
        <v>267</v>
      </c>
      <c r="B515" s="14" t="str">
        <f>IFERROR(__xludf.DUMMYFUNCTION("""COMPUTED_VALUE"""),"АИП-26")</f>
        <v>АИП-26</v>
      </c>
      <c r="C515" s="14" t="str">
        <f>IFERROR(__xludf.DUMMYFUNCTION("""COMPUTED_VALUE"""),"ОКС")</f>
        <v>ОКС</v>
      </c>
      <c r="D515" s="15"/>
      <c r="E515" s="14" t="str">
        <f>IFERROR(__xludf.DUMMYFUNCTION("""COMPUTED_VALUE"""),"Реконструкция здания ГБУДО г. Москвы ""ДМШ им. Д.Б.Кабалевского"" по адресу: ул. Палиха, д. 14/33, стр. 1 г. Москва, ул. Палиха, д. 14/33, стр. 1")</f>
        <v>Реконструкция здания ГБУДО г. Москвы "ДМШ им. Д.Б.Кабалевского" по адресу: ул. Палиха, д. 14/33, стр. 1 г. Москва, ул. Палиха, д. 14/33, стр. 1</v>
      </c>
      <c r="F515" s="25" t="str">
        <f>IFERROR(__xludf.DUMMYFUNCTION("""COMPUTED_VALUE"""),"55.784644434168655")</f>
        <v>55.784644434168655</v>
      </c>
      <c r="G515" s="6" t="str">
        <f>IFERROR(__xludf.DUMMYFUNCTION("""COMPUTED_VALUE"""),"37.600731392867395")</f>
        <v>37.600731392867395</v>
      </c>
      <c r="H515" s="18" t="str">
        <f>IFERROR(__xludf.DUMMYFUNCTION("""COMPUTED_VALUE"""),"https://docs.google.com/spreadsheets/d/19THEBTE9q0fhN2eApZr6BgenIvLGh0AckaYxHQfHk5w/edit?gid=734388632#gid=734388632")</f>
        <v>https://docs.google.com/spreadsheets/d/19THEBTE9q0fhN2eApZr6BgenIvLGh0AckaYxHQfHk5w/edit?gid=734388632#gid=734388632</v>
      </c>
      <c r="I515" s="19" t="str">
        <f>IFERROR(__xludf.DUMMYFUNCTION("""COMPUTED_VALUE"""),"https://disk.yandex.ru/client/disk/Осмотры%20объектов%20АНО%20СМГ/267%20Палиха%20д%2014%20%5C33%20стр1")</f>
        <v>https://disk.yandex.ru/client/disk/Осмотры%20объектов%20АНО%20СМГ/267%20Палиха%20д%2014%20%5C33%20стр1</v>
      </c>
      <c r="J515" s="50">
        <f>IFERROR(__xludf.DUMMYFUNCTION("""COMPUTED_VALUE"""),0.0)</f>
        <v>0</v>
      </c>
      <c r="K515" s="58">
        <f>IFERROR(__xludf.DUMMYFUNCTION("""COMPUTED_VALUE"""),45959.0)</f>
        <v>45959</v>
      </c>
      <c r="L515" s="6">
        <v>30.0</v>
      </c>
      <c r="M515" s="52">
        <v>45989.0</v>
      </c>
      <c r="N515" s="53" t="s">
        <v>692</v>
      </c>
      <c r="O515" s="19" t="s">
        <v>957</v>
      </c>
      <c r="P515" s="6"/>
      <c r="Q515" s="6" t="str">
        <f t="shared" si="1"/>
        <v>#N/A</v>
      </c>
      <c r="R515" s="6"/>
    </row>
    <row r="516" hidden="1">
      <c r="A516" s="31" t="str">
        <f>IFERROR(__xludf.DUMMYFUNCTION("""COMPUTED_VALUE"""),"212")</f>
        <v>212</v>
      </c>
      <c r="B516" s="14" t="str">
        <f>IFERROR(__xludf.DUMMYFUNCTION("""COMPUTED_VALUE"""),"АИП-26")</f>
        <v>АИП-26</v>
      </c>
      <c r="C516" s="14" t="str">
        <f>IFERROR(__xludf.DUMMYFUNCTION("""COMPUTED_VALUE"""),"ОКС")</f>
        <v>ОКС</v>
      </c>
      <c r="D516" s="69"/>
      <c r="E516" s="14" t="str">
        <f>IFERROR(__xludf.DUMMYFUNCTION("""COMPUTED_VALUE"""),"Строительство Домодедовского кладбища, новые территории (3 этап), (Домодедовский р-н, Московская обл.) Домодедовский р-н, Московская обл., д. Истомиха")</f>
        <v>Строительство Домодедовского кладбища, новые территории (3 этап), (Домодедовский р-н, Московская обл.) Домодедовский р-н, Московская обл., д. Истомиха</v>
      </c>
      <c r="F516" s="25" t="str">
        <f>IFERROR(__xludf.DUMMYFUNCTION("""COMPUTED_VALUE"""),"55.45234655768289")</f>
        <v>55.45234655768289</v>
      </c>
      <c r="G516" s="6" t="str">
        <f>IFERROR(__xludf.DUMMYFUNCTION("""COMPUTED_VALUE"""),"37.88694735442989")</f>
        <v>37.88694735442989</v>
      </c>
      <c r="H516" s="18" t="str">
        <f>IFERROR(__xludf.DUMMYFUNCTION("""COMPUTED_VALUE"""),"https://docs.google.com/spreadsheets/d/19THEBTE9q0fhN2eApZr6BgenIvLGh0AckaYxHQfHk5w/edit?gid=1201519029#gid=1201519029")</f>
        <v>https://docs.google.com/spreadsheets/d/19THEBTE9q0fhN2eApZr6BgenIvLGh0AckaYxHQfHk5w/edit?gid=1201519029#gid=1201519029</v>
      </c>
      <c r="I516" s="19"/>
      <c r="J516" s="50">
        <f>IFERROR(__xludf.DUMMYFUNCTION("""COMPUTED_VALUE"""),0.0625)</f>
        <v>0.0625</v>
      </c>
      <c r="K516" s="58">
        <f>IFERROR(__xludf.DUMMYFUNCTION("""COMPUTED_VALUE"""),45954.0)</f>
        <v>45954</v>
      </c>
      <c r="L516" s="6">
        <v>30.0</v>
      </c>
      <c r="M516" s="52">
        <v>45984.0</v>
      </c>
      <c r="N516" s="53" t="s">
        <v>741</v>
      </c>
      <c r="O516" s="19" t="s">
        <v>958</v>
      </c>
      <c r="P516" s="6"/>
      <c r="Q516" s="6" t="str">
        <f t="shared" si="1"/>
        <v>#N/A</v>
      </c>
      <c r="R516" s="6"/>
    </row>
    <row r="517" hidden="1">
      <c r="A517" s="70" t="str">
        <f>IFERROR(__xludf.DUMMYFUNCTION("""COMPUTED_VALUE"""),"308")</f>
        <v>308</v>
      </c>
      <c r="B517" s="14" t="str">
        <f>IFERROR(__xludf.DUMMYFUNCTION("""COMPUTED_VALUE"""),"АИП-26")</f>
        <v>АИП-26</v>
      </c>
      <c r="C517" s="14" t="str">
        <f>IFERROR(__xludf.DUMMYFUNCTION("""COMPUTED_VALUE"""),"ОКС")</f>
        <v>ОКС</v>
      </c>
      <c r="D517" s="60"/>
      <c r="E517" s="14" t="str">
        <f>IFERROR(__xludf.DUMMYFUNCTION("""COMPUTED_VALUE"""),"Реконструкция с реставрацией ограждения Ваганьковского кладбища (Армянский участок) г. Москва, ул. Сергея Макеева, влд. 15")</f>
        <v>Реконструкция с реставрацией ограждения Ваганьковского кладбища (Армянский участок) г. Москва, ул. Сергея Макеева, влд. 15</v>
      </c>
      <c r="F517" s="25" t="str">
        <f>IFERROR(__xludf.DUMMYFUNCTION("""COMPUTED_VALUE"""),"55.76631570657444")</f>
        <v>55.76631570657444</v>
      </c>
      <c r="G517" s="6" t="str">
        <f>IFERROR(__xludf.DUMMYFUNCTION("""COMPUTED_VALUE"""),"37.55447603970192")</f>
        <v>37.55447603970192</v>
      </c>
      <c r="H517" s="18" t="str">
        <f>IFERROR(__xludf.DUMMYFUNCTION("""COMPUTED_VALUE"""),"https://docs.google.com/spreadsheets/d/19THEBTE9q0fhN2eApZr6BgenIvLGh0AckaYxHQfHk5w/edit?gid=251201264#gid=251201264")</f>
        <v>https://docs.google.com/spreadsheets/d/19THEBTE9q0fhN2eApZr6BgenIvLGh0AckaYxHQfHk5w/edit?gid=251201264#gid=251201264</v>
      </c>
      <c r="I517" s="19"/>
      <c r="J517" s="50">
        <f>IFERROR(__xludf.DUMMYFUNCTION("""COMPUTED_VALUE"""),0.0)</f>
        <v>0</v>
      </c>
      <c r="K517" s="58">
        <f>IFERROR(__xludf.DUMMYFUNCTION("""COMPUTED_VALUE"""),45919.0)</f>
        <v>45919</v>
      </c>
      <c r="L517" s="6">
        <v>30.0</v>
      </c>
      <c r="M517" s="52">
        <v>45949.0</v>
      </c>
      <c r="N517" s="53" t="s">
        <v>668</v>
      </c>
      <c r="O517" s="19" t="s">
        <v>959</v>
      </c>
      <c r="P517" s="6"/>
      <c r="Q517" s="6" t="str">
        <f t="shared" si="1"/>
        <v>#N/A</v>
      </c>
      <c r="R517" s="6"/>
    </row>
    <row r="518" hidden="1">
      <c r="A518" s="31" t="str">
        <f>IFERROR(__xludf.DUMMYFUNCTION("""COMPUTED_VALUE"""),"194")</f>
        <v>194</v>
      </c>
      <c r="B518" s="14" t="str">
        <f>IFERROR(__xludf.DUMMYFUNCTION("""COMPUTED_VALUE"""),"АИП-26")</f>
        <v>АИП-26</v>
      </c>
      <c r="C518" s="14" t="str">
        <f>IFERROR(__xludf.DUMMYFUNCTION("""COMPUTED_VALUE"""),"ОКС")</f>
        <v>ОКС</v>
      </c>
      <c r="D518" s="60"/>
      <c r="E518" s="14" t="str">
        <f>IFERROR(__xludf.DUMMYFUNCTION("""COMPUTED_VALUE"""),"Объект общественного назначения с гаражом р-н проспект Вернадского, кв. 32-33, 34-35")</f>
        <v>Объект общественного назначения с гаражом р-н проспект Вернадского, кв. 32-33, 34-35</v>
      </c>
      <c r="F518" s="25" t="str">
        <f>IFERROR(__xludf.DUMMYFUNCTION("""COMPUTED_VALUE"""),"55.671881738540606")</f>
        <v>55.671881738540606</v>
      </c>
      <c r="G518" s="6" t="str">
        <f>IFERROR(__xludf.DUMMYFUNCTION("""COMPUTED_VALUE"""),"37.49437076594457")</f>
        <v>37.49437076594457</v>
      </c>
      <c r="H518" s="18" t="str">
        <f>IFERROR(__xludf.DUMMYFUNCTION("""COMPUTED_VALUE"""),"https://docs.google.com/spreadsheets/d/19THEBTE9q0fhN2eApZr6BgenIvLGh0AckaYxHQfHk5w/edit?gid=1327731705#gid=1327731705")</f>
        <v>https://docs.google.com/spreadsheets/d/19THEBTE9q0fhN2eApZr6BgenIvLGh0AckaYxHQfHk5w/edit?gid=1327731705#gid=1327731705</v>
      </c>
      <c r="I518" s="19" t="str">
        <f>IFERROR(__xludf.DUMMYFUNCTION("""COMPUTED_VALUE"""),"https://disk.yandex.ru/client/disk/Осмотры%20объектов%20АНО%20СМГ/308.%20Реконструкция%20с%20реставрацией%20ограждения%20Ваганьковского%20кладбища%20(Армянский%20участок)%09%09%09")</f>
        <v>https://disk.yandex.ru/client/disk/Осмотры%20объектов%20АНО%20СМГ/308.%20Реконструкция%20с%20реставрацией%20ограждения%20Ваганьковского%20кладбища%20(Армянский%20участок)%09%09%09</v>
      </c>
      <c r="J518" s="50">
        <f>IFERROR(__xludf.DUMMYFUNCTION("""COMPUTED_VALUE"""),0.0)</f>
        <v>0</v>
      </c>
      <c r="K518" s="58">
        <f>IFERROR(__xludf.DUMMYFUNCTION("""COMPUTED_VALUE"""),45954.0)</f>
        <v>45954</v>
      </c>
      <c r="L518" s="6">
        <v>30.0</v>
      </c>
      <c r="M518" s="52">
        <v>45984.0</v>
      </c>
      <c r="N518" s="53" t="s">
        <v>741</v>
      </c>
      <c r="O518" s="19" t="s">
        <v>960</v>
      </c>
      <c r="P518" s="6"/>
      <c r="Q518" s="6" t="str">
        <f t="shared" si="1"/>
        <v>#N/A</v>
      </c>
      <c r="R518" s="6"/>
    </row>
    <row r="519" hidden="1">
      <c r="A519" s="31" t="str">
        <f>IFERROR(__xludf.DUMMYFUNCTION("""COMPUTED_VALUE"""),"235")</f>
        <v>235</v>
      </c>
      <c r="B519" s="14" t="str">
        <f>IFERROR(__xludf.DUMMYFUNCTION("""COMPUTED_VALUE"""),"АИП-26")</f>
        <v>АИП-26</v>
      </c>
      <c r="C519" s="14" t="str">
        <f>IFERROR(__xludf.DUMMYFUNCTION("""COMPUTED_VALUE"""),"ОКС")</f>
        <v>ОКС</v>
      </c>
      <c r="D519" s="60"/>
      <c r="E519" s="14" t="str">
        <f>IFERROR(__xludf.DUMMYFUNCTION("""COMPUTED_VALUE"""),"Пожарное депо в районе промзоны Руднево Промзона Руднево, ул. Красковская, з.у. 7Б")</f>
        <v>Пожарное депо в районе промзоны Руднево Промзона Руднево, ул. Красковская, з.у. 7Б</v>
      </c>
      <c r="F519" s="25" t="str">
        <f>IFERROR(__xludf.DUMMYFUNCTION("""COMPUTED_VALUE"""),"55.717875543136785")</f>
        <v>55.717875543136785</v>
      </c>
      <c r="G519" s="6" t="str">
        <f>IFERROR(__xludf.DUMMYFUNCTION("""COMPUTED_VALUE"""),"37.91962241796813")</f>
        <v>37.91962241796813</v>
      </c>
      <c r="H519" s="18" t="str">
        <f>IFERROR(__xludf.DUMMYFUNCTION("""COMPUTED_VALUE"""),"https://docs.google.com/spreadsheets/d/19THEBTE9q0fhN2eApZr6BgenIvLGh0AckaYxHQfHk5w/edit?gid=969577696#gid=969577696")</f>
        <v>https://docs.google.com/spreadsheets/d/19THEBTE9q0fhN2eApZr6BgenIvLGh0AckaYxHQfHk5w/edit?gid=969577696#gid=969577696</v>
      </c>
      <c r="I519" s="19" t="str">
        <f>IFERROR(__xludf.DUMMYFUNCTION("""COMPUTED_VALUE"""),"https://disk.yandex.ru/client/disk/Осмотры%20объектов%20АНО%20СМГ/194.%20Объект%20общественного%20назначения%20с%20гаражом%2C%20р-н%20Проспект%20Вернадского%2C%20кв-л.%2032-33%2C%2034-35")</f>
        <v>https://disk.yandex.ru/client/disk/Осмотры%20объектов%20АНО%20СМГ/194.%20Объект%20общественного%20назначения%20с%20гаражом%2C%20р-н%20Проспект%20Вернадского%2C%20кв-л.%2032-33%2C%2034-35</v>
      </c>
      <c r="J519" s="50">
        <f>IFERROR(__xludf.DUMMYFUNCTION("""COMPUTED_VALUE"""),0.0)</f>
        <v>0</v>
      </c>
      <c r="K519" s="58">
        <f>IFERROR(__xludf.DUMMYFUNCTION("""COMPUTED_VALUE"""),45954.0)</f>
        <v>45954</v>
      </c>
      <c r="L519" s="6">
        <v>30.0</v>
      </c>
      <c r="M519" s="52">
        <v>45984.0</v>
      </c>
      <c r="N519" s="53" t="s">
        <v>741</v>
      </c>
      <c r="O519" s="19" t="s">
        <v>961</v>
      </c>
      <c r="P519" s="6"/>
      <c r="Q519" s="6" t="str">
        <f t="shared" si="1"/>
        <v>#N/A</v>
      </c>
      <c r="R519" s="6"/>
    </row>
    <row r="520" hidden="1">
      <c r="A520" s="31" t="str">
        <f>IFERROR(__xludf.DUMMYFUNCTION("""COMPUTED_VALUE"""),"241")</f>
        <v>241</v>
      </c>
      <c r="B520" s="14" t="str">
        <f>IFERROR(__xludf.DUMMYFUNCTION("""COMPUTED_VALUE"""),"АИП-26")</f>
        <v>АИП-26</v>
      </c>
      <c r="C520" s="14" t="str">
        <f>IFERROR(__xludf.DUMMYFUNCTION("""COMPUTED_VALUE"""),"ОКС")</f>
        <v>ОКС</v>
      </c>
      <c r="D520" s="60"/>
      <c r="E520" s="14" t="str">
        <f>IFERROR(__xludf.DUMMYFUNCTION("""COMPUTED_VALUE"""),"Пожарное депо на 4 машино-места район Богородское, 6-й проезд Подбельского, вл. 8-10")</f>
        <v>Пожарное депо на 4 машино-места район Богородское, 6-й проезд Подбельского, вл. 8-10</v>
      </c>
      <c r="F520" s="25" t="str">
        <f>IFERROR(__xludf.DUMMYFUNCTION("""COMPUTED_VALUE"""),"55.81811962463805")</f>
        <v>55.81811962463805</v>
      </c>
      <c r="G520" s="6" t="str">
        <f>IFERROR(__xludf.DUMMYFUNCTION("""COMPUTED_VALUE"""),"37.732697657393885")</f>
        <v>37.732697657393885</v>
      </c>
      <c r="H520" s="18" t="str">
        <f>IFERROR(__xludf.DUMMYFUNCTION("""COMPUTED_VALUE"""),"https://docs.google.com/spreadsheets/d/19THEBTE9q0fhN2eApZr6BgenIvLGh0AckaYxHQfHk5w/edit?gid=1562121210#gid=1562121210")</f>
        <v>https://docs.google.com/spreadsheets/d/19THEBTE9q0fhN2eApZr6BgenIvLGh0AckaYxHQfHk5w/edit?gid=1562121210#gid=1562121210</v>
      </c>
      <c r="I520" s="19" t="str">
        <f>IFERROR(__xludf.DUMMYFUNCTION("""COMPUTED_VALUE"""),"https://disk.yandex.ru/client/disk/Осмотры%20объектов%20АНО%20СМГ/234.%20пр-т%20Вернадского%2012Б%202-й%20этап%20дороги%20и%20инженерн.коммуникации/235.%20Пожарное%20депо%20в%20районе%20промзоны%20руднево%20з-у%207Б")</f>
        <v>https://disk.yandex.ru/client/disk/Осмотры%20объектов%20АНО%20СМГ/234.%20пр-т%20Вернадского%2012Б%202-й%20этап%20дороги%20и%20инженерн.коммуникации/235.%20Пожарное%20депо%20в%20районе%20промзоны%20руднево%20з-у%207Б</v>
      </c>
      <c r="J520" s="50">
        <f>IFERROR(__xludf.DUMMYFUNCTION("""COMPUTED_VALUE"""),15.225)</f>
        <v>15.225</v>
      </c>
      <c r="K520" s="58">
        <f>IFERROR(__xludf.DUMMYFUNCTION("""COMPUTED_VALUE"""),45954.0)</f>
        <v>45954</v>
      </c>
      <c r="L520" s="6">
        <v>30.0</v>
      </c>
      <c r="M520" s="52">
        <v>45984.0</v>
      </c>
      <c r="N520" s="53" t="s">
        <v>741</v>
      </c>
      <c r="O520" s="19" t="s">
        <v>962</v>
      </c>
      <c r="P520" s="6"/>
      <c r="Q520" s="6" t="str">
        <f t="shared" si="1"/>
        <v>#N/A</v>
      </c>
      <c r="R520" s="6"/>
    </row>
    <row r="521" hidden="1">
      <c r="A521" s="31" t="str">
        <f>IFERROR(__xludf.DUMMYFUNCTION("""COMPUTED_VALUE"""),"957")</f>
        <v>957</v>
      </c>
      <c r="B521" s="14" t="str">
        <f>IFERROR(__xludf.DUMMYFUNCTION("""COMPUTED_VALUE"""),"АИП-27")</f>
        <v>АИП-27</v>
      </c>
      <c r="C521" s="14" t="str">
        <f>IFERROR(__xludf.DUMMYFUNCTION("""COMPUTED_VALUE"""),"ОКС")</f>
        <v>ОКС</v>
      </c>
      <c r="D521" s="60"/>
      <c r="E521" s="14" t="str">
        <f>IFERROR(__xludf.DUMMYFUNCTION("""COMPUTED_VALUE"""),"ММК - Биотехнологическая лаборатория г. Москва, Западный округ, территория инновационного центра ""Сколково""")</f>
        <v>ММК - Биотехнологическая лаборатория г. Москва, Западный округ, территория инновационного центра "Сколково"</v>
      </c>
      <c r="F521" s="25" t="str">
        <f>IFERROR(__xludf.DUMMYFUNCTION("""COMPUTED_VALUE"""),"55.68055215795606")</f>
        <v>55.68055215795606</v>
      </c>
      <c r="G521" s="6" t="str">
        <f>IFERROR(__xludf.DUMMYFUNCTION("""COMPUTED_VALUE"""),"37.34710970632785")</f>
        <v>37.34710970632785</v>
      </c>
      <c r="H521" s="18" t="str">
        <f>IFERROR(__xludf.DUMMYFUNCTION("""COMPUTED_VALUE"""),"https://docs.google.com/spreadsheets/d/19THEBTE9q0fhN2eApZr6BgenIvLGh0AckaYxHQfHk5w/edit?gid=48405114#gid=48405114")</f>
        <v>https://docs.google.com/spreadsheets/d/19THEBTE9q0fhN2eApZr6BgenIvLGh0AckaYxHQfHk5w/edit?gid=48405114#gid=48405114</v>
      </c>
      <c r="I521" s="19"/>
      <c r="J521" s="50">
        <f>IFERROR(__xludf.DUMMYFUNCTION("""COMPUTED_VALUE"""),25.3755)</f>
        <v>25.3755</v>
      </c>
      <c r="K521" s="58">
        <f>IFERROR(__xludf.DUMMYFUNCTION("""COMPUTED_VALUE"""),45972.0)</f>
        <v>45972</v>
      </c>
      <c r="L521" s="6">
        <v>30.0</v>
      </c>
      <c r="M521" s="52">
        <v>46002.0</v>
      </c>
      <c r="N521" s="53" t="s">
        <v>711</v>
      </c>
      <c r="O521" s="19" t="s">
        <v>963</v>
      </c>
      <c r="P521" s="6"/>
      <c r="Q521" s="6" t="str">
        <f t="shared" si="1"/>
        <v>#N/A</v>
      </c>
      <c r="R521" s="6"/>
    </row>
    <row r="522" hidden="1">
      <c r="A522" s="31" t="str">
        <f>IFERROR(__xludf.DUMMYFUNCTION("""COMPUTED_VALUE"""),"380д")</f>
        <v>380д</v>
      </c>
      <c r="B522" s="14" t="str">
        <f>IFERROR(__xludf.DUMMYFUNCTION("""COMPUTED_VALUE"""),"АИП-26")</f>
        <v>АИП-26</v>
      </c>
      <c r="C522" s="14" t="str">
        <f>IFERROR(__xludf.DUMMYFUNCTION("""COMPUTED_VALUE"""),"УДС")</f>
        <v>УДС</v>
      </c>
      <c r="D522" s="60"/>
      <c r="E522" s="14" t="str">
        <f>IFERROR(__xludf.DUMMYFUNCTION("""COMPUTED_VALUE"""),"Реконструкция проектируемого проезда № 22 в пос. Шишкин лес пос. Шишкин лес")</f>
        <v>Реконструкция проектируемого проезда № 22 в пос. Шишкин лес пос. Шишкин лес</v>
      </c>
      <c r="F522" s="25" t="str">
        <f>IFERROR(__xludf.DUMMYFUNCTION("""COMPUTED_VALUE"""),"#N/A")</f>
        <v>#N/A</v>
      </c>
      <c r="G522" s="6" t="str">
        <f>IFERROR(__xludf.DUMMYFUNCTION("""COMPUTED_VALUE"""),"#N/A")</f>
        <v>#N/A</v>
      </c>
      <c r="H522" s="6"/>
      <c r="I522" s="6"/>
      <c r="J522" s="50">
        <f>IFERROR(__xludf.DUMMYFUNCTION("""COMPUTED_VALUE"""),0.0)</f>
        <v>0</v>
      </c>
      <c r="K522" s="58">
        <f>IFERROR(__xludf.DUMMYFUNCTION("""COMPUTED_VALUE"""),45960.0)</f>
        <v>45960</v>
      </c>
      <c r="L522" s="6">
        <v>30.0</v>
      </c>
      <c r="M522" s="52">
        <v>45990.0</v>
      </c>
      <c r="N522" s="53" t="s">
        <v>692</v>
      </c>
      <c r="O522" s="6" t="s">
        <v>936</v>
      </c>
      <c r="P522" s="6"/>
      <c r="Q522" s="6" t="str">
        <f t="shared" si="1"/>
        <v>#N/A</v>
      </c>
      <c r="R522" s="6"/>
    </row>
    <row r="523" hidden="1">
      <c r="A523" s="31" t="str">
        <f>IFERROR(__xludf.DUMMYFUNCTION("""COMPUTED_VALUE"""),"279д")</f>
        <v>279д</v>
      </c>
      <c r="B523" s="14" t="str">
        <f>IFERROR(__xludf.DUMMYFUNCTION("""COMPUTED_VALUE"""),"АИП-26")</f>
        <v>АИП-26</v>
      </c>
      <c r="C523" s="14" t="str">
        <f>IFERROR(__xludf.DUMMYFUNCTION("""COMPUTED_VALUE"""),"УДС")</f>
        <v>УДС</v>
      </c>
      <c r="D523" s="60"/>
      <c r="E523" s="14" t="str">
        <f>IFERROR(__xludf.DUMMYFUNCTION("""COMPUTED_VALUE"""),"Строительство проектируемого пр-да № 4162 и Гжатской ул. с обустройством вело-пешеходной зоны пр-д № 4162 и Гжатская ул.")</f>
        <v>Строительство проектируемого пр-да № 4162 и Гжатской ул. с обустройством вело-пешеходной зоны пр-д № 4162 и Гжатская ул.</v>
      </c>
      <c r="F523" s="25" t="str">
        <f>IFERROR(__xludf.DUMMYFUNCTION("""COMPUTED_VALUE"""),"#N/A")</f>
        <v>#N/A</v>
      </c>
      <c r="G523" s="6" t="str">
        <f>IFERROR(__xludf.DUMMYFUNCTION("""COMPUTED_VALUE"""),"#N/A")</f>
        <v>#N/A</v>
      </c>
      <c r="H523" s="6"/>
      <c r="I523" s="6"/>
      <c r="J523" s="50">
        <f>IFERROR(__xludf.DUMMYFUNCTION("""COMPUTED_VALUE"""),0.0)</f>
        <v>0</v>
      </c>
      <c r="K523" s="58">
        <f>IFERROR(__xludf.DUMMYFUNCTION("""COMPUTED_VALUE"""),45974.0)</f>
        <v>45974</v>
      </c>
      <c r="L523" s="6">
        <v>30.0</v>
      </c>
      <c r="M523" s="52">
        <v>46004.0</v>
      </c>
      <c r="N523" s="53" t="s">
        <v>711</v>
      </c>
      <c r="O523" s="6" t="s">
        <v>964</v>
      </c>
      <c r="P523" s="6"/>
      <c r="Q523" s="6" t="str">
        <f t="shared" si="1"/>
        <v>#N/A</v>
      </c>
      <c r="R523" s="6"/>
    </row>
    <row r="524" hidden="1">
      <c r="A524" s="31" t="str">
        <f>IFERROR(__xludf.DUMMYFUNCTION("""COMPUTED_VALUE"""),"1308")</f>
        <v>1308</v>
      </c>
      <c r="B524" s="14" t="str">
        <f>IFERROR(__xludf.DUMMYFUNCTION("""COMPUTED_VALUE"""),"АИП-27")</f>
        <v>АИП-27</v>
      </c>
      <c r="C524" s="14" t="str">
        <f>IFERROR(__xludf.DUMMYFUNCTION("""COMPUTED_VALUE"""),"УДС")</f>
        <v>УДС</v>
      </c>
      <c r="D524" s="60"/>
      <c r="E524" s="14" t="str">
        <f>IFERROR(__xludf.DUMMYFUNCTION("""COMPUTED_VALUE"""),"Технологическая часть ТПУ на станции метро ""Люблино"". Этапы 1 (УДС 600 кв.м, парковка 65 кв.м) Станция метро ""Люблино""")</f>
        <v>Технологическая часть ТПУ на станции метро "Люблино". Этапы 1 (УДС 600 кв.м, парковка 65 кв.м) Станция метро "Люблино"</v>
      </c>
      <c r="F524" s="25" t="str">
        <f>IFERROR(__xludf.DUMMYFUNCTION("""COMPUTED_VALUE"""),"#N/A")</f>
        <v>#N/A</v>
      </c>
      <c r="G524" s="6" t="str">
        <f>IFERROR(__xludf.DUMMYFUNCTION("""COMPUTED_VALUE"""),"#N/A")</f>
        <v>#N/A</v>
      </c>
      <c r="H524" s="6"/>
      <c r="I524" s="6"/>
      <c r="J524" s="50">
        <f>IFERROR(__xludf.DUMMYFUNCTION("""COMPUTED_VALUE"""),0.0)</f>
        <v>0</v>
      </c>
      <c r="K524" s="58">
        <f>IFERROR(__xludf.DUMMYFUNCTION("""COMPUTED_VALUE"""),45954.0)</f>
        <v>45954</v>
      </c>
      <c r="L524" s="6">
        <v>30.0</v>
      </c>
      <c r="M524" s="52">
        <v>45984.0</v>
      </c>
      <c r="N524" s="53" t="s">
        <v>741</v>
      </c>
      <c r="O524" s="6" t="s">
        <v>965</v>
      </c>
      <c r="P524" s="6"/>
      <c r="Q524" s="6" t="str">
        <f t="shared" si="1"/>
        <v>#N/A</v>
      </c>
      <c r="R524" s="6"/>
    </row>
    <row r="525" hidden="1">
      <c r="A525" s="31" t="str">
        <f>IFERROR(__xludf.DUMMYFUNCTION("""COMPUTED_VALUE"""),"387д")</f>
        <v>387д</v>
      </c>
      <c r="B525" s="14" t="str">
        <f>IFERROR(__xludf.DUMMYFUNCTION("""COMPUTED_VALUE"""),"АИП-26")</f>
        <v>АИП-26</v>
      </c>
      <c r="C525" s="14" t="str">
        <f>IFERROR(__xludf.DUMMYFUNCTION("""COMPUTED_VALUE"""),"УДС")</f>
        <v>УДС</v>
      </c>
      <c r="D525" s="60"/>
      <c r="E525" s="14" t="str">
        <f>IFERROR(__xludf.DUMMYFUNCTION("""COMPUTED_VALUE"""),"Строительство многоуровсневой транспортной развязки на дороге ""Солнцево-Бутово-Видное""и прилегающая улично-дорожная сеть
 Этап 4.1. Участок пр.пр № 635 до ул.Новопеределкинская Участок пр.пр № 635 до ул.Новопеределкинская")</f>
        <v>Строительство многоуровсневой транспортной развязки на дороге "Солнцево-Бутово-Видное"и прилегающая улично-дорожная сеть
 Этап 4.1. Участок пр.пр № 635 до ул.Новопеределкинская Участок пр.пр № 635 до ул.Новопеределкинская</v>
      </c>
      <c r="F525" s="25" t="str">
        <f>IFERROR(__xludf.DUMMYFUNCTION("""COMPUTED_VALUE"""),"#N/A")</f>
        <v>#N/A</v>
      </c>
      <c r="G525" s="6" t="str">
        <f>IFERROR(__xludf.DUMMYFUNCTION("""COMPUTED_VALUE"""),"#N/A")</f>
        <v>#N/A</v>
      </c>
      <c r="H525" s="6"/>
      <c r="I525" s="6"/>
      <c r="J525" s="50">
        <f>IFERROR(__xludf.DUMMYFUNCTION("""COMPUTED_VALUE"""),99.73526000000001)</f>
        <v>99.73526</v>
      </c>
      <c r="K525" s="58">
        <f>IFERROR(__xludf.DUMMYFUNCTION("""COMPUTED_VALUE"""),45972.0)</f>
        <v>45972</v>
      </c>
      <c r="L525" s="6">
        <v>7.0</v>
      </c>
      <c r="M525" s="52">
        <v>45979.0</v>
      </c>
      <c r="N525" s="53" t="s">
        <v>692</v>
      </c>
      <c r="O525" s="6"/>
      <c r="P525" s="6"/>
      <c r="Q525" s="6" t="str">
        <f t="shared" si="1"/>
        <v>#N/A</v>
      </c>
      <c r="R525" s="6"/>
    </row>
    <row r="526" hidden="1">
      <c r="A526" s="31" t="str">
        <f>IFERROR(__xludf.DUMMYFUNCTION("""COMPUTED_VALUE"""),"1064")</f>
        <v>1064</v>
      </c>
      <c r="B526" s="14" t="str">
        <f>IFERROR(__xludf.DUMMYFUNCTION("""COMPUTED_VALUE"""),"АИП-26")</f>
        <v>АИП-26</v>
      </c>
      <c r="C526" s="14" t="str">
        <f>IFERROR(__xludf.DUMMYFUNCTION("""COMPUTED_VALUE"""),"УДС")</f>
        <v>УДС</v>
      </c>
      <c r="D526" s="60"/>
      <c r="E526" s="14" t="str">
        <f>IFERROR(__xludf.DUMMYFUNCTION("""COMPUTED_VALUE"""),"Рублево-Архангельская линия ст. «Шелепиха» – ст. «Бульвар Генерала Карбышева»
 («Звенигородская», «Народное Ополчение», «Бульвар Генерала Карбышева») Звенигородская» в районе Береговой проезд, 2, с8, «Народное Ополчение», пр-т Маршала Жукова, 16, к7 «Буль"&amp;"вар Генерала Карбышева» ул. Маршала Тухачевского, 35, к1")</f>
        <v>Рублево-Архангельская линия ст. «Шелепиха» – ст. «Бульвар Генерала Карбышева»
 («Звенигородская», «Народное Ополчение», «Бульвар Генерала Карбышева») Звенигородская» в районе Береговой проезд, 2, с8, «Народное Ополчение», пр-т Маршала Жукова, 16, к7 «Бульвар Генерала Карбышева» ул. Маршала Тухачевского, 35, к1</v>
      </c>
      <c r="F526" s="25" t="str">
        <f>IFERROR(__xludf.DUMMYFUNCTION("""COMPUTED_VALUE"""),"#N/A")</f>
        <v>#N/A</v>
      </c>
      <c r="G526" s="6" t="str">
        <f>IFERROR(__xludf.DUMMYFUNCTION("""COMPUTED_VALUE"""),"#N/A")</f>
        <v>#N/A</v>
      </c>
      <c r="H526" s="18" t="str">
        <f>IFERROR(__xludf.DUMMYFUNCTION("""COMPUTED_VALUE"""),"https://docs.google.com/spreadsheets/d/1jonEGMB3UFHiUZpltF1zURon8gYN7jGSHu-k9t5TXnA/edit?gid=1469752331#gid=1469752331")</f>
        <v>https://docs.google.com/spreadsheets/d/1jonEGMB3UFHiUZpltF1zURon8gYN7jGSHu-k9t5TXnA/edit?gid=1469752331#gid=1469752331</v>
      </c>
      <c r="I526" s="6" t="str">
        <f>IFERROR(__xludf.DUMMYFUNCTION("""COMPUTED_VALUE"""),"https://disk.yandex.ru/client/disk/Осмотры%20объектов%20АНО%20СМГ/1064%20ст%20метро%20Рублево-Архангельская")</f>
        <v>https://disk.yandex.ru/client/disk/Осмотры%20объектов%20АНО%20СМГ/1064%20ст%20метро%20Рублево-Архангельская</v>
      </c>
      <c r="J526" s="50">
        <f>IFERROR(__xludf.DUMMYFUNCTION("""COMPUTED_VALUE"""),8.568000000000001)</f>
        <v>8.568</v>
      </c>
      <c r="K526" s="58">
        <f>IFERROR(__xludf.DUMMYFUNCTION("""COMPUTED_VALUE"""),45748.0)</f>
        <v>45748</v>
      </c>
      <c r="L526" s="6">
        <v>30.0</v>
      </c>
      <c r="M526" s="52">
        <v>45778.0</v>
      </c>
      <c r="N526" s="53" t="s">
        <v>668</v>
      </c>
      <c r="O526" s="6"/>
      <c r="P526" s="6"/>
      <c r="Q526" s="6" t="str">
        <f t="shared" si="1"/>
        <v>#N/A</v>
      </c>
      <c r="R526" s="6"/>
    </row>
    <row r="527" hidden="1">
      <c r="A527" s="31" t="str">
        <f>IFERROR(__xludf.DUMMYFUNCTION("""COMPUTED_VALUE"""),"1064")</f>
        <v>1064</v>
      </c>
      <c r="B527" s="14" t="str">
        <f>IFERROR(__xludf.DUMMYFUNCTION("""COMPUTED_VALUE"""),"АИП-26")</f>
        <v>АИП-26</v>
      </c>
      <c r="C527" s="14" t="str">
        <f>IFERROR(__xludf.DUMMYFUNCTION("""COMPUTED_VALUE"""),"УДС")</f>
        <v>УДС</v>
      </c>
      <c r="D527" s="60"/>
      <c r="E527" s="14" t="str">
        <f>IFERROR(__xludf.DUMMYFUNCTION("""COMPUTED_VALUE"""),"Рублево-Архангельская линия ст. «Шелепиха» – ст. «Бульвар Генерала Карбышева»
(«Народное Ополчение») Звенигородская» в районе Береговой проезд, 2, с8, «Народное Ополчение»")</f>
        <v>Рублево-Архангельская линия ст. «Шелепиха» – ст. «Бульвар Генерала Карбышева»
(«Народное Ополчение») Звенигородская» в районе Береговой проезд, 2, с8, «Народное Ополчение»</v>
      </c>
      <c r="F527" s="25" t="str">
        <f>IFERROR(__xludf.DUMMYFUNCTION("""COMPUTED_VALUE"""),"#N/A")</f>
        <v>#N/A</v>
      </c>
      <c r="G527" s="6" t="str">
        <f>IFERROR(__xludf.DUMMYFUNCTION("""COMPUTED_VALUE"""),"#N/A")</f>
        <v>#N/A</v>
      </c>
      <c r="H527" s="18" t="str">
        <f>IFERROR(__xludf.DUMMYFUNCTION("""COMPUTED_VALUE"""),"https://docs.google.com/spreadsheets/d/1jonEGMB3UFHiUZpltF1zURon8gYN7jGSHu-k9t5TXnA/edit?gid=1469752331#gid=1469752331")</f>
        <v>https://docs.google.com/spreadsheets/d/1jonEGMB3UFHiUZpltF1zURon8gYN7jGSHu-k9t5TXnA/edit?gid=1469752331#gid=1469752331</v>
      </c>
      <c r="I527" s="6" t="str">
        <f>IFERROR(__xludf.DUMMYFUNCTION("""COMPUTED_VALUE"""),"https://disk.yandex.ru/client/disk/Осмотры%20объектов%20АНО%20СМГ/1064%20ст%20метро%20Рублево-Архангельская")</f>
        <v>https://disk.yandex.ru/client/disk/Осмотры%20объектов%20АНО%20СМГ/1064%20ст%20метро%20Рублево-Архангельская</v>
      </c>
      <c r="J527" s="50">
        <f>IFERROR(__xludf.DUMMYFUNCTION("""COMPUTED_VALUE"""),8.568000000000001)</f>
        <v>8.568</v>
      </c>
      <c r="K527" s="58">
        <f>IFERROR(__xludf.DUMMYFUNCTION("""COMPUTED_VALUE"""),45748.0)</f>
        <v>45748</v>
      </c>
      <c r="L527" s="6">
        <v>30.0</v>
      </c>
      <c r="M527" s="52">
        <v>45778.0</v>
      </c>
      <c r="N527" s="53" t="s">
        <v>668</v>
      </c>
      <c r="O527" s="6" t="s">
        <v>669</v>
      </c>
      <c r="P527" s="6"/>
      <c r="Q527" s="6" t="str">
        <f t="shared" si="1"/>
        <v>#N/A</v>
      </c>
      <c r="R527" s="6"/>
    </row>
    <row r="528" hidden="1">
      <c r="A528" s="31" t="str">
        <f>IFERROR(__xludf.DUMMYFUNCTION("""COMPUTED_VALUE"""),"227")</f>
        <v>227</v>
      </c>
      <c r="B528" s="14" t="str">
        <f>IFERROR(__xludf.DUMMYFUNCTION("""COMPUTED_VALUE"""),"АИП-26")</f>
        <v>АИП-26</v>
      </c>
      <c r="C528" s="14" t="str">
        <f>IFERROR(__xludf.DUMMYFUNCTION("""COMPUTED_VALUE"""),"УДС")</f>
        <v>УДС</v>
      </c>
      <c r="D528" s="60"/>
      <c r="E528" s="14" t="str">
        <f>IFERROR(__xludf.DUMMYFUNCTION("""COMPUTED_VALUE"""),"Технологическая часть ТПУ на станции метро ""Верхние Лихоборы"". Этап 1.1 г. Москва, м. ""Верхние Лихоборы""")</f>
        <v>Технологическая часть ТПУ на станции метро "Верхние Лихоборы". Этап 1.1 г. Москва, м. "Верхние Лихоборы"</v>
      </c>
      <c r="F528" s="25" t="str">
        <f>IFERROR(__xludf.DUMMYFUNCTION("""COMPUTED_VALUE"""),"55.85465208501044")</f>
        <v>55.85465208501044</v>
      </c>
      <c r="G528" s="6" t="str">
        <f>IFERROR(__xludf.DUMMYFUNCTION("""COMPUTED_VALUE"""),"37.56066086375353")</f>
        <v>37.56066086375353</v>
      </c>
      <c r="H528" s="18" t="str">
        <f>IFERROR(__xludf.DUMMYFUNCTION("""COMPUTED_VALUE"""),"https://docs.google.com/spreadsheets/d/1jonEGMB3UFHiUZpltF1zURon8gYN7jGSHu-k9t5TXnA/edit?gid=1179595420#gid=1179595420")</f>
        <v>https://docs.google.com/spreadsheets/d/1jonEGMB3UFHiUZpltF1zURon8gYN7jGSHu-k9t5TXnA/edit?gid=1179595420#gid=1179595420</v>
      </c>
      <c r="I528"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28" s="50">
        <f>IFERROR(__xludf.DUMMYFUNCTION("""COMPUTED_VALUE"""),67.92281249999999)</f>
        <v>67.9228125</v>
      </c>
      <c r="K528" s="58">
        <f>IFERROR(__xludf.DUMMYFUNCTION("""COMPUTED_VALUE"""),45918.0)</f>
        <v>45918</v>
      </c>
      <c r="L528" s="6">
        <v>14.0</v>
      </c>
      <c r="M528" s="52">
        <v>45932.0</v>
      </c>
      <c r="N528" s="53" t="s">
        <v>668</v>
      </c>
      <c r="O528" s="6" t="s">
        <v>966</v>
      </c>
      <c r="P528" s="6"/>
      <c r="Q528" s="6" t="str">
        <f t="shared" si="1"/>
        <v>#N/A</v>
      </c>
      <c r="R528" s="6"/>
    </row>
    <row r="529" hidden="1">
      <c r="A529" s="31" t="str">
        <f>IFERROR(__xludf.DUMMYFUNCTION("""COMPUTED_VALUE"""),"227")</f>
        <v>227</v>
      </c>
      <c r="B529" s="14" t="str">
        <f>IFERROR(__xludf.DUMMYFUNCTION("""COMPUTED_VALUE"""),"АИП-26")</f>
        <v>АИП-26</v>
      </c>
      <c r="C529" s="14" t="str">
        <f>IFERROR(__xludf.DUMMYFUNCTION("""COMPUTED_VALUE"""),"УДС")</f>
        <v>УДС</v>
      </c>
      <c r="D529" s="60"/>
      <c r="E529" s="14" t="str">
        <f>IFERROR(__xludf.DUMMYFUNCTION("""COMPUTED_VALUE"""),"Технологическая часть ТПУ на станции метро ""Верхние Лихоборы"". Этап 1.2 г. Москва, м. ""Верхние Лихоборы""")</f>
        <v>Технологическая часть ТПУ на станции метро "Верхние Лихоборы". Этап 1.2 г. Москва, м. "Верхние Лихоборы"</v>
      </c>
      <c r="F529" s="25" t="str">
        <f>IFERROR(__xludf.DUMMYFUNCTION("""COMPUTED_VALUE"""),"55.85465208501044")</f>
        <v>55.85465208501044</v>
      </c>
      <c r="G529" s="6" t="str">
        <f>IFERROR(__xludf.DUMMYFUNCTION("""COMPUTED_VALUE"""),"37.56066086375353")</f>
        <v>37.56066086375353</v>
      </c>
      <c r="H529" s="18" t="str">
        <f>IFERROR(__xludf.DUMMYFUNCTION("""COMPUTED_VALUE"""),"https://docs.google.com/spreadsheets/d/1jonEGMB3UFHiUZpltF1zURon8gYN7jGSHu-k9t5TXnA/edit?gid=1179595420#gid=1179595420")</f>
        <v>https://docs.google.com/spreadsheets/d/1jonEGMB3UFHiUZpltF1zURon8gYN7jGSHu-k9t5TXnA/edit?gid=1179595420#gid=1179595420</v>
      </c>
      <c r="I529"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29" s="50">
        <f>IFERROR(__xludf.DUMMYFUNCTION("""COMPUTED_VALUE"""),67.92281249999999)</f>
        <v>67.9228125</v>
      </c>
      <c r="K529" s="58">
        <f>IFERROR(__xludf.DUMMYFUNCTION("""COMPUTED_VALUE"""),45918.0)</f>
        <v>45918</v>
      </c>
      <c r="L529" s="6">
        <v>14.0</v>
      </c>
      <c r="M529" s="52">
        <v>45932.0</v>
      </c>
      <c r="N529" s="53" t="s">
        <v>668</v>
      </c>
      <c r="O529" s="6" t="s">
        <v>967</v>
      </c>
      <c r="P529" s="6"/>
      <c r="Q529" s="6" t="str">
        <f t="shared" si="1"/>
        <v>#N/A</v>
      </c>
      <c r="R529" s="6"/>
    </row>
    <row r="530" hidden="1">
      <c r="A530" s="31" t="str">
        <f>IFERROR(__xludf.DUMMYFUNCTION("""COMPUTED_VALUE"""),"227")</f>
        <v>227</v>
      </c>
      <c r="B530" s="14" t="str">
        <f>IFERROR(__xludf.DUMMYFUNCTION("""COMPUTED_VALUE"""),"АИП-26")</f>
        <v>АИП-26</v>
      </c>
      <c r="C530" s="14" t="str">
        <f>IFERROR(__xludf.DUMMYFUNCTION("""COMPUTED_VALUE"""),"УДС")</f>
        <v>УДС</v>
      </c>
      <c r="D530" s="60"/>
      <c r="E530" s="14" t="str">
        <f>IFERROR(__xludf.DUMMYFUNCTION("""COMPUTED_VALUE"""),"Технологическая часть ТПУ на станции метро ""Верхние Лихоборы"". Этап 2 г. Москва, м. ""Верхние Лихоборы""")</f>
        <v>Технологическая часть ТПУ на станции метро "Верхние Лихоборы". Этап 2 г. Москва, м. "Верхние Лихоборы"</v>
      </c>
      <c r="F530" s="25" t="str">
        <f>IFERROR(__xludf.DUMMYFUNCTION("""COMPUTED_VALUE"""),"55.85465208501044")</f>
        <v>55.85465208501044</v>
      </c>
      <c r="G530" s="6" t="str">
        <f>IFERROR(__xludf.DUMMYFUNCTION("""COMPUTED_VALUE"""),"37.56066086375353")</f>
        <v>37.56066086375353</v>
      </c>
      <c r="H530" s="18" t="str">
        <f>IFERROR(__xludf.DUMMYFUNCTION("""COMPUTED_VALUE"""),"https://docs.google.com/spreadsheets/d/1jonEGMB3UFHiUZpltF1zURon8gYN7jGSHu-k9t5TXnA/edit?gid=1179595420#gid=1179595420")</f>
        <v>https://docs.google.com/spreadsheets/d/1jonEGMB3UFHiUZpltF1zURon8gYN7jGSHu-k9t5TXnA/edit?gid=1179595420#gid=1179595420</v>
      </c>
      <c r="I530"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530" s="50">
        <f>IFERROR(__xludf.DUMMYFUNCTION("""COMPUTED_VALUE"""),67.92281249999999)</f>
        <v>67.9228125</v>
      </c>
      <c r="K530" s="58">
        <f>IFERROR(__xludf.DUMMYFUNCTION("""COMPUTED_VALUE"""),45918.0)</f>
        <v>45918</v>
      </c>
      <c r="L530" s="6">
        <v>14.0</v>
      </c>
      <c r="M530" s="52">
        <v>45932.0</v>
      </c>
      <c r="N530" s="53" t="s">
        <v>668</v>
      </c>
      <c r="O530" s="6" t="s">
        <v>968</v>
      </c>
      <c r="P530" s="6"/>
      <c r="Q530" s="6" t="str">
        <f t="shared" si="1"/>
        <v>#N/A</v>
      </c>
      <c r="R530" s="6"/>
    </row>
    <row r="531" hidden="1">
      <c r="A531" s="31" t="str">
        <f>IFERROR(__xludf.DUMMYFUNCTION("""COMPUTED_VALUE"""),"НД")</f>
        <v>НД</v>
      </c>
      <c r="B531" s="14" t="str">
        <f>IFERROR(__xludf.DUMMYFUNCTION("""COMPUTED_VALUE"""),"АИП-26")</f>
        <v>АИП-26</v>
      </c>
      <c r="C531" s="14" t="str">
        <f>IFERROR(__xludf.DUMMYFUNCTION("""COMPUTED_VALUE"""),"УДС")</f>
        <v>УДС</v>
      </c>
      <c r="D531" s="60"/>
      <c r="E531" s="14" t="str">
        <f>IFERROR(__xludf.DUMMYFUNCTION("""COMPUTED_VALUE"""),"Технологическая часть ТПУ на станции метро ""Молодежная"" г. Москва, ст. ММ Молодежная")</f>
        <v>Технологическая часть ТПУ на станции метро "Молодежная" г. Москва, ст. ММ Молодежная</v>
      </c>
      <c r="F531" s="25" t="str">
        <f>IFERROR(__xludf.DUMMYFUNCTION("""COMPUTED_VALUE"""),"#N/A")</f>
        <v>#N/A</v>
      </c>
      <c r="G531" s="6" t="str">
        <f>IFERROR(__xludf.DUMMYFUNCTION("""COMPUTED_VALUE"""),"#N/A")</f>
        <v>#N/A</v>
      </c>
      <c r="H531" s="6"/>
      <c r="I531" s="6"/>
      <c r="J531" s="50"/>
      <c r="K531" s="58"/>
      <c r="L531" s="6">
        <v>30.0</v>
      </c>
      <c r="M531" s="52" t="s">
        <v>655</v>
      </c>
      <c r="N531" s="53" t="s">
        <v>698</v>
      </c>
      <c r="O531" s="6"/>
      <c r="P531" s="6"/>
      <c r="Q531" s="6" t="str">
        <f t="shared" si="1"/>
        <v>#N/A</v>
      </c>
      <c r="R531" s="6"/>
    </row>
    <row r="532" hidden="1">
      <c r="A532" s="31" t="str">
        <f>IFERROR(__xludf.DUMMYFUNCTION("""COMPUTED_VALUE"""),"НД")</f>
        <v>НД</v>
      </c>
      <c r="B532" s="14" t="str">
        <f>IFERROR(__xludf.DUMMYFUNCTION("""COMPUTED_VALUE"""),"АИП-26")</f>
        <v>АИП-26</v>
      </c>
      <c r="C532" s="14" t="str">
        <f>IFERROR(__xludf.DUMMYFUNCTION("""COMPUTED_VALUE"""),"УДС")</f>
        <v>УДС</v>
      </c>
      <c r="D532" s="60"/>
      <c r="E532" s="14" t="str">
        <f>IFERROR(__xludf.DUMMYFUNCTION("""COMPUTED_VALUE"""),"Технологическая часть ТПУ на станции метро ""Нагатинская"". Станция метро ""Нагатинская""")</f>
        <v>Технологическая часть ТПУ на станции метро "Нагатинская". Станция метро "Нагатинская"</v>
      </c>
      <c r="F532" s="25" t="str">
        <f>IFERROR(__xludf.DUMMYFUNCTION("""COMPUTED_VALUE"""),"#N/A")</f>
        <v>#N/A</v>
      </c>
      <c r="G532" s="6" t="str">
        <f>IFERROR(__xludf.DUMMYFUNCTION("""COMPUTED_VALUE"""),"#N/A")</f>
        <v>#N/A</v>
      </c>
      <c r="H532" s="6"/>
      <c r="I532" s="6"/>
      <c r="J532" s="50"/>
      <c r="K532" s="58"/>
      <c r="L532" s="6">
        <v>30.0</v>
      </c>
      <c r="M532" s="52" t="s">
        <v>655</v>
      </c>
      <c r="N532" s="53" t="s">
        <v>698</v>
      </c>
      <c r="O532" s="6" t="s">
        <v>969</v>
      </c>
      <c r="P532" s="6"/>
      <c r="Q532" s="6" t="str">
        <f t="shared" si="1"/>
        <v>#N/A</v>
      </c>
      <c r="R532" s="6"/>
    </row>
    <row r="533" hidden="1">
      <c r="A533" s="31" t="str">
        <f>IFERROR(__xludf.DUMMYFUNCTION("""COMPUTED_VALUE"""),"1150д")</f>
        <v>1150д</v>
      </c>
      <c r="B533" s="14" t="str">
        <f>IFERROR(__xludf.DUMMYFUNCTION("""COMPUTED_VALUE"""),"АИП-26")</f>
        <v>АИП-26</v>
      </c>
      <c r="C533" s="14" t="str">
        <f>IFERROR(__xludf.DUMMYFUNCTION("""COMPUTED_VALUE"""),"УДС")</f>
        <v>УДС</v>
      </c>
      <c r="D533" s="60"/>
      <c r="E533" s="14" t="str">
        <f>IFERROR(__xludf.DUMMYFUNCTION("""COMPUTED_VALUE"""),"Реконструкция Войковских кустовых очистных сооружений поверхностных и близких к ним по составу производственных сточных вод, Ленинградское ш., влд.23Б г. Москва, Ленинградское ш., влд.23Б")</f>
        <v>Реконструкция Войковских кустовых очистных сооружений поверхностных и близких к ним по составу производственных сточных вод, Ленинградское ш., влд.23Б г. Москва, Ленинградское ш., влд.23Б</v>
      </c>
      <c r="F533" s="25" t="str">
        <f>IFERROR(__xludf.DUMMYFUNCTION("""COMPUTED_VALUE"""),"55.3235038033209")</f>
        <v>55.3235038033209</v>
      </c>
      <c r="G533" s="6" t="str">
        <f>IFERROR(__xludf.DUMMYFUNCTION("""COMPUTED_VALUE"""),"35.963989539426755")</f>
        <v>35.963989539426755</v>
      </c>
      <c r="H533" s="6"/>
      <c r="I533" s="6"/>
      <c r="J533" s="50">
        <f>IFERROR(__xludf.DUMMYFUNCTION("""COMPUTED_VALUE"""),0.0)</f>
        <v>0</v>
      </c>
      <c r="K533" s="58">
        <f>IFERROR(__xludf.DUMMYFUNCTION("""COMPUTED_VALUE"""),45954.0)</f>
        <v>45954</v>
      </c>
      <c r="L533" s="6">
        <v>30.0</v>
      </c>
      <c r="M533" s="52">
        <v>45984.0</v>
      </c>
      <c r="N533" s="53" t="s">
        <v>741</v>
      </c>
      <c r="O533" s="6"/>
      <c r="P533" s="6"/>
      <c r="Q533" s="6" t="str">
        <f t="shared" si="1"/>
        <v>#N/A</v>
      </c>
      <c r="R533" s="6"/>
    </row>
    <row r="534" hidden="1">
      <c r="A534" s="31" t="str">
        <f>IFERROR(__xludf.DUMMYFUNCTION("""COMPUTED_VALUE"""),"190д")</f>
        <v>190д</v>
      </c>
      <c r="B534" s="14" t="str">
        <f>IFERROR(__xludf.DUMMYFUNCTION("""COMPUTED_VALUE"""),"АИП-26")</f>
        <v>АИП-26</v>
      </c>
      <c r="C534" s="14" t="str">
        <f>IFERROR(__xludf.DUMMYFUNCTION("""COMPUTED_VALUE"""),"УДС")</f>
        <v>УДС</v>
      </c>
      <c r="D534" s="60"/>
      <c r="E534" s="14" t="str">
        <f>IFERROR(__xludf.DUMMYFUNCTION("""COMPUTED_VALUE"""),"«Дороги, инженерные коммуникации и сооружения для жилой застройки в районе деревни Ватутинки, поселение Десеновское, с реконструкцией ВЗУ «Ватутинки-1/4» Этап 1.7. Отстойно-разворотная площадка с конечной станцией ""Ватутинки""» поселение Десеновское, вбл"&amp;"изи д. Ватутинки")</f>
        <v>«Дороги, инженерные коммуникации и сооружения для жилой застройки в районе деревни Ватутинки, поселение Десеновское, с реконструкцией ВЗУ «Ватутинки-1/4» Этап 1.7. Отстойно-разворотная площадка с конечной станцией "Ватутинки"» поселение Десеновское, вблизи д. Ватутинки</v>
      </c>
      <c r="F534" s="25" t="str">
        <f>IFERROR(__xludf.DUMMYFUNCTION("""COMPUTED_VALUE"""),"55.505582852766445")</f>
        <v>55.505582852766445</v>
      </c>
      <c r="G534" s="6" t="str">
        <f>IFERROR(__xludf.DUMMYFUNCTION("""COMPUTED_VALUE"""),"37.33197753701625")</f>
        <v>37.33197753701625</v>
      </c>
      <c r="H534" s="6"/>
      <c r="I534" s="6"/>
      <c r="J534" s="50">
        <f>IFERROR(__xludf.DUMMYFUNCTION("""COMPUTED_VALUE"""),73.25189999999999)</f>
        <v>73.2519</v>
      </c>
      <c r="K534" s="58">
        <f>IFERROR(__xludf.DUMMYFUNCTION("""COMPUTED_VALUE"""),45961.0)</f>
        <v>45961</v>
      </c>
      <c r="L534" s="6">
        <v>14.0</v>
      </c>
      <c r="M534" s="52">
        <v>45975.0</v>
      </c>
      <c r="N534" s="53" t="s">
        <v>701</v>
      </c>
      <c r="O534" s="6" t="s">
        <v>970</v>
      </c>
      <c r="P534" s="6"/>
      <c r="Q534" s="6" t="str">
        <f t="shared" si="1"/>
        <v>#N/A</v>
      </c>
      <c r="R534" s="6"/>
    </row>
    <row r="535" hidden="1">
      <c r="A535" s="31" t="str">
        <f>IFERROR(__xludf.DUMMYFUNCTION("""COMPUTED_VALUE"""),"1059.1")</f>
        <v>1059.1</v>
      </c>
      <c r="B535" s="14" t="str">
        <f>IFERROR(__xludf.DUMMYFUNCTION("""COMPUTED_VALUE"""),"АИП-26")</f>
        <v>АИП-26</v>
      </c>
      <c r="C535" s="14" t="str">
        <f>IFERROR(__xludf.DUMMYFUNCTION("""COMPUTED_VALUE"""),"ОКС")</f>
        <v>ОКС</v>
      </c>
      <c r="D535" s="60"/>
      <c r="E535" s="14" t="str">
        <f>IFERROR(__xludf.DUMMYFUNCTION("""COMPUTED_VALUE"""),"Многофункциональный кульруно-досуговый центр, д. Рассказовка, пос. Внуковское Новомосковский административный округ, район Внуково")</f>
        <v>Многофункциональный кульруно-досуговый центр, д. Рассказовка, пос. Внуковское Новомосковский административный округ, район Внуково</v>
      </c>
      <c r="F535" s="25" t="str">
        <f>IFERROR(__xludf.DUMMYFUNCTION("""COMPUTED_VALUE"""),"55.6184493373304")</f>
        <v>55.6184493373304</v>
      </c>
      <c r="G535" s="6" t="str">
        <f>IFERROR(__xludf.DUMMYFUNCTION("""COMPUTED_VALUE"""),"37.30889079901117")</f>
        <v>37.30889079901117</v>
      </c>
      <c r="H535" s="18" t="str">
        <f>IFERROR(__xludf.DUMMYFUNCTION("""COMPUTED_VALUE"""),"https://docs.google.com/spreadsheets/d/19THEBTE9q0fhN2eApZr6BgenIvLGh0AckaYxHQfHk5w/edit?gid=481187794#gid=481187794")</f>
        <v>https://docs.google.com/spreadsheets/d/19THEBTE9q0fhN2eApZr6BgenIvLGh0AckaYxHQfHk5w/edit?gid=481187794#gid=481187794</v>
      </c>
      <c r="I535" s="19"/>
      <c r="J535" s="50">
        <f>IFERROR(__xludf.DUMMYFUNCTION("""COMPUTED_VALUE"""),0.0)</f>
        <v>0</v>
      </c>
      <c r="K535" s="58">
        <f>IFERROR(__xludf.DUMMYFUNCTION("""COMPUTED_VALUE"""),45953.0)</f>
        <v>45953</v>
      </c>
      <c r="L535" s="6">
        <v>30.0</v>
      </c>
      <c r="M535" s="52">
        <v>45983.0</v>
      </c>
      <c r="N535" s="53" t="s">
        <v>741</v>
      </c>
      <c r="O535" s="19" t="s">
        <v>971</v>
      </c>
      <c r="P535" s="6"/>
      <c r="Q535" s="6" t="str">
        <f t="shared" si="1"/>
        <v>#N/A</v>
      </c>
      <c r="R535" s="6"/>
    </row>
    <row r="536" hidden="1">
      <c r="A536" s="31" t="str">
        <f>IFERROR(__xludf.DUMMYFUNCTION("""COMPUTED_VALUE"""),"1148")</f>
        <v>1148</v>
      </c>
      <c r="B536" s="14" t="str">
        <f>IFERROR(__xludf.DUMMYFUNCTION("""COMPUTED_VALUE"""),"АИП-26")</f>
        <v>АИП-26</v>
      </c>
      <c r="C536" s="14" t="str">
        <f>IFERROR(__xludf.DUMMYFUNCTION("""COMPUTED_VALUE"""),"ОКС")</f>
        <v>ОКС</v>
      </c>
      <c r="D536" s="60"/>
      <c r="E536" s="14" t="str">
        <f>IFERROR(__xludf.DUMMYFUNCTION("""COMPUTED_VALUE"""),"Многофункциональное здание на территории района Филимонковский Новомосковский административный округ, район Филимонковский")</f>
        <v>Многофункциональное здание на территории района Филимонковский Новомосковский административный округ, район Филимонковский</v>
      </c>
      <c r="F536" s="25" t="str">
        <f>IFERROR(__xludf.DUMMYFUNCTION("""COMPUTED_VALUE"""),"55.573457083470984")</f>
        <v>55.573457083470984</v>
      </c>
      <c r="G536" s="6" t="str">
        <f>IFERROR(__xludf.DUMMYFUNCTION("""COMPUTED_VALUE"""),"37.29337581951661")</f>
        <v>37.29337581951661</v>
      </c>
      <c r="H536" s="6" t="str">
        <f>IFERROR(__xludf.DUMMYFUNCTION("""COMPUTED_VALUE"""),"#ERROR!")</f>
        <v>#ERROR!</v>
      </c>
      <c r="I536" s="19" t="str">
        <f>IFERROR(__xludf.DUMMYFUNCTION("""COMPUTED_VALUE"""),"https://disk.yandex.ru/client/disk/Осмотры%20объектов%20АНО%20СМГ/1148.%20Многофункциональное%20здание%20на%20территории%20р-на%20Филимонковский")</f>
        <v>https://disk.yandex.ru/client/disk/Осмотры%20объектов%20АНО%20СМГ/1148.%20Многофункциональное%20здание%20на%20территории%20р-на%20Филимонковский</v>
      </c>
      <c r="J536" s="50">
        <f>IFERROR(__xludf.DUMMYFUNCTION("""COMPUTED_VALUE"""),0.0)</f>
        <v>0</v>
      </c>
      <c r="K536" s="58">
        <f>IFERROR(__xludf.DUMMYFUNCTION("""COMPUTED_VALUE"""),45954.0)</f>
        <v>45954</v>
      </c>
      <c r="L536" s="6">
        <v>30.0</v>
      </c>
      <c r="M536" s="52">
        <v>45984.0</v>
      </c>
      <c r="N536" s="53" t="s">
        <v>741</v>
      </c>
      <c r="O536" s="19" t="s">
        <v>972</v>
      </c>
      <c r="P536" s="6"/>
      <c r="Q536" s="6" t="str">
        <f t="shared" si="1"/>
        <v>#N/A</v>
      </c>
      <c r="R536" s="6"/>
    </row>
    <row r="537" hidden="1">
      <c r="A537" s="31" t="str">
        <f>IFERROR(__xludf.DUMMYFUNCTION("""COMPUTED_VALUE"""),"1149")</f>
        <v>1149</v>
      </c>
      <c r="B537" s="14" t="str">
        <f>IFERROR(__xludf.DUMMYFUNCTION("""COMPUTED_VALUE"""),"АИП-26")</f>
        <v>АИП-26</v>
      </c>
      <c r="C537" s="14" t="str">
        <f>IFERROR(__xludf.DUMMYFUNCTION("""COMPUTED_VALUE"""),"ОКС")</f>
        <v>ОКС</v>
      </c>
      <c r="D537" s="60"/>
      <c r="E537" s="14" t="str">
        <f>IFERROR(__xludf.DUMMYFUNCTION("""COMPUTED_VALUE"""),"Административное здание на территории района Бекасово Троицкий административный округ, район Бекасово")</f>
        <v>Административное здание на территории района Бекасово Троицкий административный округ, район Бекасово</v>
      </c>
      <c r="F537" s="25" t="str">
        <f>IFERROR(__xludf.DUMMYFUNCTION("""COMPUTED_VALUE"""),"55.46710283918992")</f>
        <v>55.46710283918992</v>
      </c>
      <c r="G537" s="6" t="str">
        <f>IFERROR(__xludf.DUMMYFUNCTION("""COMPUTED_VALUE"""),"36.93117958329118")</f>
        <v>36.93117958329118</v>
      </c>
      <c r="H537" s="18" t="str">
        <f>IFERROR(__xludf.DUMMYFUNCTION("""COMPUTED_VALUE"""),"https://docs.google.com/spreadsheets/d/19THEBTE9q0fhN2eApZr6BgenIvLGh0AckaYxHQfHk5w/edit?gid=670602752#gid=670602752")</f>
        <v>https://docs.google.com/spreadsheets/d/19THEBTE9q0fhN2eApZr6BgenIvLGh0AckaYxHQfHk5w/edit?gid=670602752#gid=670602752</v>
      </c>
      <c r="I537" s="19" t="str">
        <f>IFERROR(__xludf.DUMMYFUNCTION("""COMPUTED_VALUE"""),"https://disk.yandex.ru/client/disk/Осмотры%20объектов%20АНО%20СМГ/1149.%20Административное%20здание%20на%20территории%20района%20Бекасово")</f>
        <v>https://disk.yandex.ru/client/disk/Осмотры%20объектов%20АНО%20СМГ/1149.%20Административное%20здание%20на%20территории%20района%20Бекасово</v>
      </c>
      <c r="J537" s="50">
        <f>IFERROR(__xludf.DUMMYFUNCTION("""COMPUTED_VALUE"""),0.0)</f>
        <v>0</v>
      </c>
      <c r="K537" s="58">
        <f>IFERROR(__xludf.DUMMYFUNCTION("""COMPUTED_VALUE"""),45954.0)</f>
        <v>45954</v>
      </c>
      <c r="L537" s="6">
        <v>30.0</v>
      </c>
      <c r="M537" s="52">
        <v>45984.0</v>
      </c>
      <c r="N537" s="53" t="s">
        <v>741</v>
      </c>
      <c r="O537" s="19" t="s">
        <v>972</v>
      </c>
      <c r="P537" s="6"/>
      <c r="Q537" s="6" t="str">
        <f t="shared" si="1"/>
        <v>#N/A</v>
      </c>
      <c r="R537" s="6"/>
    </row>
    <row r="538" hidden="1">
      <c r="A538" s="70" t="str">
        <f>IFERROR(__xludf.DUMMYFUNCTION("""COMPUTED_VALUE"""),"1291")</f>
        <v>1291</v>
      </c>
      <c r="B538" s="14" t="str">
        <f>IFERROR(__xludf.DUMMYFUNCTION("""COMPUTED_VALUE"""),"АИП-26")</f>
        <v>АИП-26</v>
      </c>
      <c r="C538" s="14" t="str">
        <f>IFERROR(__xludf.DUMMYFUNCTION("""COMPUTED_VALUE"""),"ОКС")</f>
        <v>ОКС</v>
      </c>
      <c r="D538" s="60"/>
      <c r="E538" s="14" t="str">
        <f>IFERROR(__xludf.DUMMYFUNCTION("""COMPUTED_VALUE"""),"Административное здание на территории района Вороново Троицкий административный округ, район Вороново")</f>
        <v>Административное здание на территории района Вороново Троицкий административный округ, район Вороново</v>
      </c>
      <c r="F538" s="25" t="str">
        <f>IFERROR(__xludf.DUMMYFUNCTION("""COMPUTED_VALUE"""),"55.28454332117833")</f>
        <v>55.28454332117833</v>
      </c>
      <c r="G538" s="6" t="str">
        <f>IFERROR(__xludf.DUMMYFUNCTION("""COMPUTED_VALUE"""),"37.187481783079654")</f>
        <v>37.187481783079654</v>
      </c>
      <c r="H538" s="18" t="str">
        <f>IFERROR(__xludf.DUMMYFUNCTION("""COMPUTED_VALUE"""),"https://docs.google.com/spreadsheets/d/19THEBTE9q0fhN2eApZr6BgenIvLGh0AckaYxHQfHk5w/edit?gid=1882277180#gid=1882277180")</f>
        <v>https://docs.google.com/spreadsheets/d/19THEBTE9q0fhN2eApZr6BgenIvLGh0AckaYxHQfHk5w/edit?gid=1882277180#gid=1882277180</v>
      </c>
      <c r="I538" s="19" t="str">
        <f>IFERROR(__xludf.DUMMYFUNCTION("""COMPUTED_VALUE"""),"https://disk.yandex.ru/client/disk/Осмотры%20объектов%20АНО%20СМГ/1059.%20Многофункциональный%20кульруно-досуговый%20центр%2C%20д.%20Рассказовка%2C%20пос.%20Внуковское")</f>
        <v>https://disk.yandex.ru/client/disk/Осмотры%20объектов%20АНО%20СМГ/1059.%20Многофункциональный%20кульруно-досуговый%20центр%2C%20д.%20Рассказовка%2C%20пос.%20Внуковское</v>
      </c>
      <c r="J538" s="50">
        <f>IFERROR(__xludf.DUMMYFUNCTION("""COMPUTED_VALUE"""),0.0)</f>
        <v>0</v>
      </c>
      <c r="K538" s="58">
        <f>IFERROR(__xludf.DUMMYFUNCTION("""COMPUTED_VALUE"""),45919.0)</f>
        <v>45919</v>
      </c>
      <c r="L538" s="6">
        <v>30.0</v>
      </c>
      <c r="M538" s="52">
        <v>45949.0</v>
      </c>
      <c r="N538" s="53" t="s">
        <v>668</v>
      </c>
      <c r="O538" s="19" t="s">
        <v>972</v>
      </c>
      <c r="P538" s="6"/>
      <c r="Q538" s="6" t="str">
        <f t="shared" si="1"/>
        <v>#N/A</v>
      </c>
      <c r="R538" s="6"/>
    </row>
    <row r="539" hidden="1">
      <c r="A539" s="31" t="str">
        <f>IFERROR(__xludf.DUMMYFUNCTION("""COMPUTED_VALUE"""),"1059.2")</f>
        <v>1059.2</v>
      </c>
      <c r="B539" s="14" t="str">
        <f>IFERROR(__xludf.DUMMYFUNCTION("""COMPUTED_VALUE"""),"АИП-26")</f>
        <v>АИП-26</v>
      </c>
      <c r="C539" s="14" t="str">
        <f>IFERROR(__xludf.DUMMYFUNCTION("""COMPUTED_VALUE"""),"ОКС")</f>
        <v>ОКС</v>
      </c>
      <c r="D539" s="60"/>
      <c r="E539" s="14" t="str">
        <f>IFERROR(__xludf.DUMMYFUNCTION("""COMPUTED_VALUE"""),"Многофункциональное здание на территории района Внуково НАО, р-н Внуково")</f>
        <v>Многофункциональное здание на территории района Внуково НАО, р-н Внуково</v>
      </c>
      <c r="F539" s="25" t="str">
        <f>IFERROR(__xludf.DUMMYFUNCTION("""COMPUTED_VALUE"""),"55.637449283521")</f>
        <v>55.637449283521</v>
      </c>
      <c r="G539" s="6" t="str">
        <f>IFERROR(__xludf.DUMMYFUNCTION("""COMPUTED_VALUE"""),"37.30879281747347")</f>
        <v>37.30879281747347</v>
      </c>
      <c r="H539" s="18" t="str">
        <f>IFERROR(__xludf.DUMMYFUNCTION("""COMPUTED_VALUE"""),"https://docs.google.com/spreadsheets/d/19THEBTE9q0fhN2eApZr6BgenIvLGh0AckaYxHQfHk5w/edit?gid=678589478#gid=678589478")</f>
        <v>https://docs.google.com/spreadsheets/d/19THEBTE9q0fhN2eApZr6BgenIvLGh0AckaYxHQfHk5w/edit?gid=678589478#gid=678589478</v>
      </c>
      <c r="I539" s="19" t="str">
        <f>IFERROR(__xludf.DUMMYFUNCTION("""COMPUTED_VALUE"""),"https://disk.yandex.ru/client/disk/Осмотры%20объектов%20АНО%20СМГ/1059.%20Многофункциональный%20кульруно-досуговый%20центр%2C%20д.%20Рассказовка%2C%20пос.%20Внуковское")</f>
        <v>https://disk.yandex.ru/client/disk/Осмотры%20объектов%20АНО%20СМГ/1059.%20Многофункциональный%20кульруно-досуговый%20центр%2C%20д.%20Рассказовка%2C%20пос.%20Внуковское</v>
      </c>
      <c r="J539" s="50">
        <f>IFERROR(__xludf.DUMMYFUNCTION("""COMPUTED_VALUE"""),0.0)</f>
        <v>0</v>
      </c>
      <c r="K539" s="58">
        <f>IFERROR(__xludf.DUMMYFUNCTION("""COMPUTED_VALUE"""),45953.0)</f>
        <v>45953</v>
      </c>
      <c r="L539" s="6">
        <v>30.0</v>
      </c>
      <c r="M539" s="52">
        <v>45983.0</v>
      </c>
      <c r="N539" s="53" t="s">
        <v>741</v>
      </c>
      <c r="O539" s="19" t="s">
        <v>973</v>
      </c>
      <c r="P539" s="6"/>
      <c r="Q539" s="6" t="str">
        <f t="shared" si="1"/>
        <v>#N/A</v>
      </c>
      <c r="R539" s="6"/>
    </row>
    <row r="540" hidden="1">
      <c r="A540" s="31" t="str">
        <f>IFERROR(__xludf.DUMMYFUNCTION("""COMPUTED_VALUE"""),"1146")</f>
        <v>1146</v>
      </c>
      <c r="B540" s="14" t="str">
        <f>IFERROR(__xludf.DUMMYFUNCTION("""COMPUTED_VALUE"""),"АИП-26")</f>
        <v>АИП-26</v>
      </c>
      <c r="C540" s="14" t="str">
        <f>IFERROR(__xludf.DUMMYFUNCTION("""COMPUTED_VALUE"""),"УДС")</f>
        <v>УДС</v>
      </c>
      <c r="D540" s="60"/>
      <c r="E540" s="14" t="str">
        <f>IFERROR(__xludf.DUMMYFUNCTION("""COMPUTED_VALUE"""),"Технологическая часть ТПУ на станции метро ""Тимирязевская"" г. Москва, м. ""Тимирязевская""")</f>
        <v>Технологическая часть ТПУ на станции метро "Тимирязевская" г. Москва, м. "Тимирязевская"</v>
      </c>
      <c r="F540" s="25" t="str">
        <f>IFERROR(__xludf.DUMMYFUNCTION("""COMPUTED_VALUE"""),"55.81906646382499")</f>
        <v>55.81906646382499</v>
      </c>
      <c r="G540" s="6" t="str">
        <f>IFERROR(__xludf.DUMMYFUNCTION("""COMPUTED_VALUE"""),"37.57426948940947")</f>
        <v>37.57426948940947</v>
      </c>
      <c r="H540" s="18" t="str">
        <f>IFERROR(__xludf.DUMMYFUNCTION("""COMPUTED_VALUE"""),"https://docs.google.com/spreadsheets/d/19THEBTE9q0fhN2eApZr6BgenIvLGh0AckaYxHQfHk5w/edit?gid=481187794#gid=481187794")</f>
        <v>https://docs.google.com/spreadsheets/d/19THEBTE9q0fhN2eApZr6BgenIvLGh0AckaYxHQfHk5w/edit?gid=481187794#gid=481187794</v>
      </c>
      <c r="I540" s="6"/>
      <c r="J540" s="50">
        <f>IFERROR(__xludf.DUMMYFUNCTION("""COMPUTED_VALUE"""),58.504)</f>
        <v>58.504</v>
      </c>
      <c r="K540" s="58"/>
      <c r="L540" s="6">
        <v>14.0</v>
      </c>
      <c r="M540" s="52" t="s">
        <v>655</v>
      </c>
      <c r="N540" s="53" t="s">
        <v>698</v>
      </c>
      <c r="O540" s="6" t="s">
        <v>974</v>
      </c>
      <c r="P540" s="6"/>
      <c r="Q540" s="6" t="str">
        <f t="shared" si="1"/>
        <v>#N/A</v>
      </c>
      <c r="R540" s="6"/>
    </row>
    <row r="541" hidden="1">
      <c r="A541" s="31" t="str">
        <f>IFERROR(__xludf.DUMMYFUNCTION("""COMPUTED_VALUE"""),"330д")</f>
        <v>330д</v>
      </c>
      <c r="B541" s="14" t="str">
        <f>IFERROR(__xludf.DUMMYFUNCTION("""COMPUTED_VALUE"""),"АИП-26")</f>
        <v>АИП-26</v>
      </c>
      <c r="C541" s="14" t="str">
        <f>IFERROR(__xludf.DUMMYFUNCTION("""COMPUTED_VALUE"""),"УДС")</f>
        <v>УДС</v>
      </c>
      <c r="D541" s="60"/>
      <c r="E541" s="14" t="str">
        <f>IFERROR(__xludf.DUMMYFUNCTION("""COMPUTED_VALUE"""),"Пешеходный переход через Северный дублер Кутузовского проспекта и железнодорожные пути Смоленского направления Московской железной дороги в районе д.22 по ул. Василисы Кожиной в районе д.22 по ул. Василисы Кожиной")</f>
        <v>Пешеходный переход через Северный дублер Кутузовского проспекта и железнодорожные пути Смоленского направления Московской железной дороги в районе д.22 по ул. Василисы Кожиной в районе д.22 по ул. Василисы Кожиной</v>
      </c>
      <c r="F541" s="25" t="str">
        <f>IFERROR(__xludf.DUMMYFUNCTION("""COMPUTED_VALUE"""),"#N/A")</f>
        <v>#N/A</v>
      </c>
      <c r="G541" s="6" t="str">
        <f>IFERROR(__xludf.DUMMYFUNCTION("""COMPUTED_VALUE"""),"#N/A")</f>
        <v>#N/A</v>
      </c>
      <c r="H541" s="6"/>
      <c r="I541" s="6"/>
      <c r="J541" s="50">
        <f>IFERROR(__xludf.DUMMYFUNCTION("""COMPUTED_VALUE"""),4.700000000000001)</f>
        <v>4.7</v>
      </c>
      <c r="K541" s="58">
        <f>IFERROR(__xludf.DUMMYFUNCTION("""COMPUTED_VALUE"""),45962.0)</f>
        <v>45962</v>
      </c>
      <c r="L541" s="6">
        <v>30.0</v>
      </c>
      <c r="M541" s="52">
        <v>45992.0</v>
      </c>
      <c r="N541" s="53" t="s">
        <v>692</v>
      </c>
      <c r="O541" s="6" t="s">
        <v>975</v>
      </c>
      <c r="P541" s="6"/>
      <c r="Q541" s="6" t="str">
        <f t="shared" si="1"/>
        <v>#N/A</v>
      </c>
      <c r="R541" s="6"/>
    </row>
    <row r="542" hidden="1">
      <c r="A542" s="31" t="str">
        <f>IFERROR(__xludf.DUMMYFUNCTION("""COMPUTED_VALUE"""),"332д")</f>
        <v>332д</v>
      </c>
      <c r="B542" s="14" t="str">
        <f>IFERROR(__xludf.DUMMYFUNCTION("""COMPUTED_VALUE"""),"АИП-26")</f>
        <v>АИП-26</v>
      </c>
      <c r="C542" s="14" t="str">
        <f>IFERROR(__xludf.DUMMYFUNCTION("""COMPUTED_VALUE"""),"УДС")</f>
        <v>УДС</v>
      </c>
      <c r="D542" s="60"/>
      <c r="E542" s="14" t="str">
        <f>IFERROR(__xludf.DUMMYFUNCTION("""COMPUTED_VALUE"""),"Пешеходный переход через МЦД-1 и ул. Бутырский Вал в районе д.48 вблизи ул. Бутырский Вал д.48")</f>
        <v>Пешеходный переход через МЦД-1 и ул. Бутырский Вал в районе д.48 вблизи ул. Бутырский Вал д.48</v>
      </c>
      <c r="F542" s="25" t="str">
        <f>IFERROR(__xludf.DUMMYFUNCTION("""COMPUTED_VALUE"""),"#N/A")</f>
        <v>#N/A</v>
      </c>
      <c r="G542" s="6" t="str">
        <f>IFERROR(__xludf.DUMMYFUNCTION("""COMPUTED_VALUE"""),"#N/A")</f>
        <v>#N/A</v>
      </c>
      <c r="H542" s="6"/>
      <c r="I542" s="6"/>
      <c r="J542" s="50">
        <f>IFERROR(__xludf.DUMMYFUNCTION("""COMPUTED_VALUE"""),46.416)</f>
        <v>46.416</v>
      </c>
      <c r="K542" s="58">
        <f>IFERROR(__xludf.DUMMYFUNCTION("""COMPUTED_VALUE"""),45974.0)</f>
        <v>45974</v>
      </c>
      <c r="L542" s="6">
        <v>30.0</v>
      </c>
      <c r="M542" s="52">
        <v>46004.0</v>
      </c>
      <c r="N542" s="53" t="s">
        <v>711</v>
      </c>
      <c r="O542" s="6" t="s">
        <v>976</v>
      </c>
      <c r="P542" s="6"/>
      <c r="Q542" s="6" t="str">
        <f t="shared" si="1"/>
        <v>#N/A</v>
      </c>
      <c r="R542" s="6"/>
    </row>
    <row r="543" hidden="1">
      <c r="A543" s="31" t="str">
        <f>IFERROR(__xludf.DUMMYFUNCTION("""COMPUTED_VALUE"""),"НД")</f>
        <v>НД</v>
      </c>
      <c r="B543" s="14" t="str">
        <f>IFERROR(__xludf.DUMMYFUNCTION("""COMPUTED_VALUE"""),"АИП-26")</f>
        <v>АИП-26</v>
      </c>
      <c r="C543" s="14" t="str">
        <f>IFERROR(__xludf.DUMMYFUNCTION("""COMPUTED_VALUE"""),"УДС")</f>
        <v>УДС</v>
      </c>
      <c r="D543" s="60"/>
      <c r="E543" s="14" t="str">
        <f>IFERROR(__xludf.DUMMYFUNCTION("""COMPUTED_VALUE"""),"Развитие улично-дорожной сети для транспортного обслуживания территории развития открытого акционерного московского общества ""Завод имени И.А. Лихачева"". Улично-дорожная сеть по территории перспективной застройки район Даниловский")</f>
        <v>Развитие улично-дорожной сети для транспортного обслуживания территории развития открытого акционерного московского общества "Завод имени И.А. Лихачева". Улично-дорожная сеть по территории перспективной застройки район Даниловский</v>
      </c>
      <c r="F543" s="25" t="str">
        <f>IFERROR(__xludf.DUMMYFUNCTION("""COMPUTED_VALUE"""),"#N/A")</f>
        <v>#N/A</v>
      </c>
      <c r="G543" s="6" t="str">
        <f>IFERROR(__xludf.DUMMYFUNCTION("""COMPUTED_VALUE"""),"#N/A")</f>
        <v>#N/A</v>
      </c>
      <c r="H543" s="6"/>
      <c r="I543" s="6"/>
      <c r="J543" s="50"/>
      <c r="K543" s="58"/>
      <c r="L543" s="6">
        <v>30.0</v>
      </c>
      <c r="M543" s="52" t="s">
        <v>655</v>
      </c>
      <c r="N543" s="53" t="s">
        <v>698</v>
      </c>
      <c r="O543" s="6" t="s">
        <v>669</v>
      </c>
      <c r="P543" s="6"/>
      <c r="Q543" s="6" t="str">
        <f t="shared" si="1"/>
        <v>#N/A</v>
      </c>
      <c r="R543" s="6"/>
    </row>
    <row r="544" hidden="1">
      <c r="A544" s="31" t="str">
        <f>IFERROR(__xludf.DUMMYFUNCTION("""COMPUTED_VALUE"""),"142д")</f>
        <v>142д</v>
      </c>
      <c r="B544" s="14" t="str">
        <f>IFERROR(__xludf.DUMMYFUNCTION("""COMPUTED_VALUE"""),"АИП-26")</f>
        <v>АИП-26</v>
      </c>
      <c r="C544" s="14" t="str">
        <f>IFERROR(__xludf.DUMMYFUNCTION("""COMPUTED_VALUE"""),"УДС")</f>
        <v>УДС</v>
      </c>
      <c r="D544" s="60"/>
      <c r="E544"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4 ЗИ"&amp;"Л")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4 ЗИЛ</v>
      </c>
      <c r="F544" s="25" t="str">
        <f>IFERROR(__xludf.DUMMYFUNCTION("""COMPUTED_VALUE"""),"#N/A")</f>
        <v>#N/A</v>
      </c>
      <c r="G544" s="6" t="str">
        <f>IFERROR(__xludf.DUMMYFUNCTION("""COMPUTED_VALUE"""),"#N/A")</f>
        <v>#N/A</v>
      </c>
      <c r="H544" s="6"/>
      <c r="I544" s="6"/>
      <c r="J544" s="50">
        <f>IFERROR(__xludf.DUMMYFUNCTION("""COMPUTED_VALUE"""),5.88235294117647E-4)</f>
        <v>0.0005882352941</v>
      </c>
      <c r="K544" s="58">
        <f>IFERROR(__xludf.DUMMYFUNCTION("""COMPUTED_VALUE"""),45962.0)</f>
        <v>45962</v>
      </c>
      <c r="L544" s="6">
        <v>30.0</v>
      </c>
      <c r="M544" s="52">
        <v>45992.0</v>
      </c>
      <c r="N544" s="53" t="s">
        <v>692</v>
      </c>
      <c r="O544" s="6" t="s">
        <v>893</v>
      </c>
      <c r="P544" s="6"/>
      <c r="Q544" s="6" t="str">
        <f t="shared" si="1"/>
        <v>#N/A</v>
      </c>
      <c r="R544" s="6"/>
    </row>
    <row r="545" hidden="1">
      <c r="A545" s="31" t="str">
        <f>IFERROR(__xludf.DUMMYFUNCTION("""COMPUTED_VALUE"""),"НД")</f>
        <v>НД</v>
      </c>
      <c r="B545" s="14" t="str">
        <f>IFERROR(__xludf.DUMMYFUNCTION("""COMPUTED_VALUE"""),"АИП-26")</f>
        <v>АИП-26</v>
      </c>
      <c r="C545" s="14" t="str">
        <f>IFERROR(__xludf.DUMMYFUNCTION("""COMPUTED_VALUE"""),"УДС")</f>
        <v>УДС</v>
      </c>
      <c r="D545" s="60"/>
      <c r="E545" s="14" t="str">
        <f>IFERROR(__xludf.DUMMYFUNCTION("""COMPUTED_VALUE"""),"2 вестибюль ст. «Лесопарковая» Бутовская линия МКАД 34 км, влд. 4 (ЮАО)")</f>
        <v>2 вестибюль ст. «Лесопарковая» Бутовская линия МКАД 34 км, влд. 4 (ЮАО)</v>
      </c>
      <c r="F545" s="25" t="str">
        <f>IFERROR(__xludf.DUMMYFUNCTION("""COMPUTED_VALUE"""),"#N/A")</f>
        <v>#N/A</v>
      </c>
      <c r="G545" s="6" t="str">
        <f>IFERROR(__xludf.DUMMYFUNCTION("""COMPUTED_VALUE"""),"#N/A")</f>
        <v>#N/A</v>
      </c>
      <c r="H545" s="6"/>
      <c r="I545" s="6"/>
      <c r="J545" s="50"/>
      <c r="K545" s="58"/>
      <c r="L545" s="6">
        <v>30.0</v>
      </c>
      <c r="M545" s="52" t="s">
        <v>655</v>
      </c>
      <c r="N545" s="53" t="s">
        <v>698</v>
      </c>
      <c r="O545" s="6"/>
      <c r="P545" s="6"/>
      <c r="Q545" s="6" t="str">
        <f t="shared" si="1"/>
        <v>#N/A</v>
      </c>
      <c r="R545" s="6"/>
    </row>
    <row r="546" hidden="1">
      <c r="A546" s="31" t="str">
        <f>IFERROR(__xludf.DUMMYFUNCTION("""COMPUTED_VALUE"""),"296")</f>
        <v>296</v>
      </c>
      <c r="B546" s="14" t="str">
        <f>IFERROR(__xludf.DUMMYFUNCTION("""COMPUTED_VALUE"""),"АИП-26")</f>
        <v>АИП-26</v>
      </c>
      <c r="C546" s="14" t="str">
        <f>IFERROR(__xludf.DUMMYFUNCTION("""COMPUTED_VALUE"""),"ОКС")</f>
        <v>ОКС</v>
      </c>
      <c r="D546" s="60"/>
      <c r="E546" s="14" t="str">
        <f>IFERROR(__xludf.DUMMYFUNCTION("""COMPUTED_VALUE"""),"Детско-взрослая поликлиника на 750 посещений в смену с детским и взрослым травмпунктами, женской консультацией и стоматологией, р-н Некрасовка р-н Некрасовка, Маршала Еременко, влад. 26")</f>
        <v>Детско-взрослая поликлиника на 750 посещений в смену с детским и взрослым травмпунктами, женской консультацией и стоматологией, р-н Некрасовка р-н Некрасовка, Маршала Еременко, влад. 26</v>
      </c>
      <c r="F546" s="25" t="str">
        <f>IFERROR(__xludf.DUMMYFUNCTION("""COMPUTED_VALUE"""),"55.71036980149383")</f>
        <v>55.71036980149383</v>
      </c>
      <c r="G546" s="6" t="str">
        <f>IFERROR(__xludf.DUMMYFUNCTION("""COMPUTED_VALUE"""),"37.94832475134159")</f>
        <v>37.94832475134159</v>
      </c>
      <c r="H546" s="18" t="str">
        <f>IFERROR(__xludf.DUMMYFUNCTION("""COMPUTED_VALUE"""),"https://docs.google.com/spreadsheets/d/19THEBTE9q0fhN2eApZr6BgenIvLGh0AckaYxHQfHk5w/edit?gid=908346785#gid=908346785")</f>
        <v>https://docs.google.com/spreadsheets/d/19THEBTE9q0fhN2eApZr6BgenIvLGh0AckaYxHQfHk5w/edit?gid=908346785#gid=908346785</v>
      </c>
      <c r="I546" s="19" t="str">
        <f>IFERROR(__xludf.DUMMYFUNCTION("""COMPUTED_VALUE"""),"https://disk.yandex.ru/client/disk/Осмотры%20объектов%20АНО%20СМГ/296.%20Детско-взрослая%20поликлиника%20на%20750%20посещений%20в%20смену%20с%20детским%20и%20взрослым%20травмпунктами%2C%20женской%20консультацией%20и%20стоматологией%2C%20р-н%20%20Некрасовк"&amp;"а%2C%20Маршала%20Еременко%2C%20влд.%2026")</f>
        <v>https://disk.yandex.ru/client/disk/Осмотры%20объектов%20АНО%20СМГ/296.%20Детско-взрослая%20поликлиника%20на%20750%20посещений%20в%20смену%20с%20детским%20и%20взрослым%20травмпунктами%2C%20женской%20консультацией%20и%20стоматологией%2C%20р-н%20%20Некрасовка%2C%20Маршала%20Еременко%2C%20влд.%2026</v>
      </c>
      <c r="J546" s="50">
        <f>IFERROR(__xludf.DUMMYFUNCTION("""COMPUTED_VALUE"""),64.3121025)</f>
        <v>64.3121025</v>
      </c>
      <c r="K546" s="58">
        <f>IFERROR(__xludf.DUMMYFUNCTION("""COMPUTED_VALUE"""),45972.0)</f>
        <v>45972</v>
      </c>
      <c r="L546" s="6">
        <v>14.0</v>
      </c>
      <c r="M546" s="52">
        <v>45986.0</v>
      </c>
      <c r="N546" s="53" t="s">
        <v>711</v>
      </c>
      <c r="O546" s="19" t="s">
        <v>977</v>
      </c>
      <c r="P546" s="6"/>
      <c r="Q546" s="6" t="str">
        <f t="shared" si="1"/>
        <v>#N/A</v>
      </c>
      <c r="R546" s="6"/>
    </row>
    <row r="547" hidden="1">
      <c r="A547" s="31" t="str">
        <f>IFERROR(__xludf.DUMMYFUNCTION("""COMPUTED_VALUE"""),"300")</f>
        <v>300</v>
      </c>
      <c r="B547" s="14" t="str">
        <f>IFERROR(__xludf.DUMMYFUNCTION("""COMPUTED_VALUE"""),"АИП-27")</f>
        <v>АИП-27</v>
      </c>
      <c r="C547" s="14" t="str">
        <f>IFERROR(__xludf.DUMMYFUNCTION("""COMPUTED_VALUE"""),"ОКС")</f>
        <v>ОКС</v>
      </c>
      <c r="D547" s="60"/>
      <c r="E547" s="14" t="str">
        <f>IFERROR(__xludf.DUMMYFUNCTION("""COMPUTED_VALUE"""),"Административное здание Ферганский проезд, вл. 6")</f>
        <v>Административное здание Ферганский проезд, вл. 6</v>
      </c>
      <c r="F547" s="25" t="str">
        <f>IFERROR(__xludf.DUMMYFUNCTION("""COMPUTED_VALUE"""),"#N/A")</f>
        <v>#N/A</v>
      </c>
      <c r="G547" s="6" t="str">
        <f>IFERROR(__xludf.DUMMYFUNCTION("""COMPUTED_VALUE"""),"#N/A")</f>
        <v>#N/A</v>
      </c>
      <c r="H547" s="18" t="str">
        <f>IFERROR(__xludf.DUMMYFUNCTION("""COMPUTED_VALUE"""),"https://docs.google.com/spreadsheets/d/19THEBTE9q0fhN2eApZr6BgenIvLGh0AckaYxHQfHk5w/edit?gid=952023246#gid=952023246")</f>
        <v>https://docs.google.com/spreadsheets/d/19THEBTE9q0fhN2eApZr6BgenIvLGh0AckaYxHQfHk5w/edit?gid=952023246#gid=952023246</v>
      </c>
      <c r="I547" s="21" t="str">
        <f>IFERROR(__xludf.DUMMYFUNCTION("""COMPUTED_VALUE"""),"https://disk.yandex.ru/client/disk/%D0%9E%D1%81%D0%BC%D0%BE%D1%82%D1%80%D1%8B%20%D0%BE%D0%B1%D1%8A%D0%B5%D0%BA%D1%82%D0%BE%D0%B2%20%D0%90%D0%9D%D0%9E%20%D0%A1%D0%9C%D0%93/300.%20%D0%A4%D0%B5%D1%80%D0%B3%D0%B0%D0%BD%D1%81%D0%BA%D0%B8%D0%B9%20%D0%BF%D1%80%D"&amp;"0%BE%D0%B5%D0%B7%D0%B4%20%D0%B4.6%20(%D0%B4.6%20%D1%81%D1%82%D1%80.%202)")</f>
        <v>https://disk.yandex.ru/client/disk/%D0%9E%D1%81%D0%BC%D0%BE%D1%82%D1%80%D1%8B%20%D0%BE%D0%B1%D1%8A%D0%B5%D0%BA%D1%82%D0%BE%D0%B2%20%D0%90%D0%9D%D0%9E%20%D0%A1%D0%9C%D0%93/300.%20%D0%A4%D0%B5%D1%80%D0%B3%D0%B0%D0%BD%D1%81%D0%BA%D0%B8%D0%B9%20%D0%BF%D1%80%D0%BE%D0%B5%D0%B7%D0%B4%20%D0%B4.6%20(%D0%B4.6%20%D1%81%D1%82%D1%80.%202)</v>
      </c>
      <c r="J547" s="50">
        <f>IFERROR(__xludf.DUMMYFUNCTION("""COMPUTED_VALUE"""),0.0)</f>
        <v>0</v>
      </c>
      <c r="K547" s="58">
        <f>IFERROR(__xludf.DUMMYFUNCTION("""COMPUTED_VALUE"""),45812.0)</f>
        <v>45812</v>
      </c>
      <c r="L547" s="6">
        <v>30.0</v>
      </c>
      <c r="M547" s="52">
        <v>45842.0</v>
      </c>
      <c r="N547" s="53" t="s">
        <v>668</v>
      </c>
      <c r="O547" s="19" t="s">
        <v>978</v>
      </c>
      <c r="P547" s="6"/>
      <c r="Q547" s="6" t="str">
        <f t="shared" si="1"/>
        <v>#N/A</v>
      </c>
      <c r="R547" s="6"/>
    </row>
    <row r="548" hidden="1">
      <c r="A548" s="31" t="str">
        <f>IFERROR(__xludf.DUMMYFUNCTION("""COMPUTED_VALUE"""),"142д(эт2)")</f>
        <v>142д(эт2)</v>
      </c>
      <c r="B548" s="14" t="str">
        <f>IFERROR(__xludf.DUMMYFUNCTION("""COMPUTED_VALUE"""),"АИП-27")</f>
        <v>АИП-27</v>
      </c>
      <c r="C548" s="14" t="str">
        <f>IFERROR(__xludf.DUMMYFUNCTION("""COMPUTED_VALUE"""),"УДС")</f>
        <v>УДС</v>
      </c>
      <c r="D548" s="60"/>
      <c r="E548"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2 "&amp;"ЗИЛ")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Этап 2 ЗИЛ</v>
      </c>
      <c r="F548" s="25" t="str">
        <f>IFERROR(__xludf.DUMMYFUNCTION("""COMPUTED_VALUE"""),"#N/A")</f>
        <v>#N/A</v>
      </c>
      <c r="G548" s="6" t="str">
        <f>IFERROR(__xludf.DUMMYFUNCTION("""COMPUTED_VALUE"""),"#N/A")</f>
        <v>#N/A</v>
      </c>
      <c r="H548" s="6"/>
      <c r="I548" s="6"/>
      <c r="J548" s="50">
        <f>IFERROR(__xludf.DUMMYFUNCTION("""COMPUTED_VALUE"""),0.0)</f>
        <v>0</v>
      </c>
      <c r="K548" s="58">
        <f>IFERROR(__xludf.DUMMYFUNCTION("""COMPUTED_VALUE"""),45962.0)</f>
        <v>45962</v>
      </c>
      <c r="L548" s="6">
        <v>30.0</v>
      </c>
      <c r="M548" s="52">
        <v>45992.0</v>
      </c>
      <c r="N548" s="53" t="s">
        <v>692</v>
      </c>
      <c r="O548" s="6" t="s">
        <v>893</v>
      </c>
      <c r="P548" s="6"/>
      <c r="Q548" s="6" t="str">
        <f t="shared" si="1"/>
        <v>#N/A</v>
      </c>
      <c r="R548" s="6"/>
    </row>
    <row r="549" hidden="1">
      <c r="A549" s="31" t="str">
        <f>IFERROR(__xludf.DUMMYFUNCTION("""COMPUTED_VALUE"""),"431д")</f>
        <v>431д</v>
      </c>
      <c r="B549" s="14" t="str">
        <f>IFERROR(__xludf.DUMMYFUNCTION("""COMPUTED_VALUE"""),"АИП-27")</f>
        <v>АИП-27</v>
      </c>
      <c r="C549" s="14" t="str">
        <f>IFERROR(__xludf.DUMMYFUNCTION("""COMPUTED_VALUE"""),"УДС")</f>
        <v>УДС</v>
      </c>
      <c r="D549" s="60"/>
      <c r="E549" s="14" t="str">
        <f>IFERROR(__xludf.DUMMYFUNCTION("""COMPUTED_VALUE"""),"Строительство искусственного сооружения через железнодорожные пути Курского направления Московской железной дороги для соединения 2-ой Мелитопольской ул. с Веневской ул. вблизи 2-ой Мелитопольской ул. и Веневской ул.")</f>
        <v>Строительство искусственного сооружения через железнодорожные пути Курского направления Московской железной дороги для соединения 2-ой Мелитопольской ул. с Веневской ул. вблизи 2-ой Мелитопольской ул. и Веневской ул.</v>
      </c>
      <c r="F549" s="25" t="str">
        <f>IFERROR(__xludf.DUMMYFUNCTION("""COMPUTED_VALUE"""),"#N/A")</f>
        <v>#N/A</v>
      </c>
      <c r="G549" s="6" t="str">
        <f>IFERROR(__xludf.DUMMYFUNCTION("""COMPUTED_VALUE"""),"#N/A")</f>
        <v>#N/A</v>
      </c>
      <c r="H549" s="6"/>
      <c r="I549" s="6"/>
      <c r="J549" s="50">
        <f>IFERROR(__xludf.DUMMYFUNCTION("""COMPUTED_VALUE"""),0.49559999999999993)</f>
        <v>0.4956</v>
      </c>
      <c r="K549" s="58">
        <f>IFERROR(__xludf.DUMMYFUNCTION("""COMPUTED_VALUE"""),45971.0)</f>
        <v>45971</v>
      </c>
      <c r="L549" s="6">
        <v>30.0</v>
      </c>
      <c r="M549" s="52">
        <v>46001.0</v>
      </c>
      <c r="N549" s="53" t="s">
        <v>711</v>
      </c>
      <c r="O549" s="6" t="s">
        <v>979</v>
      </c>
      <c r="P549" s="6"/>
      <c r="Q549" s="6" t="str">
        <f t="shared" si="1"/>
        <v>#N/A</v>
      </c>
      <c r="R549" s="6"/>
    </row>
    <row r="550" hidden="1">
      <c r="A550" s="31" t="str">
        <f>IFERROR(__xludf.DUMMYFUNCTION("""COMPUTED_VALUE"""),"423д")</f>
        <v>423д</v>
      </c>
      <c r="B550" s="14" t="str">
        <f>IFERROR(__xludf.DUMMYFUNCTION("""COMPUTED_VALUE"""),"АИП-27")</f>
        <v>АИП-27</v>
      </c>
      <c r="C550" s="14" t="str">
        <f>IFERROR(__xludf.DUMMYFUNCTION("""COMPUTED_VALUE"""),"УДС")</f>
        <v>УДС</v>
      </c>
      <c r="D550" s="60"/>
      <c r="E550" s="14" t="str">
        <f>IFERROR(__xludf.DUMMYFUNCTION("""COMPUTED_VALUE"""),"Строительство многоуровневых транспортных развязок в п. Рассудово, п.Киевский с реконструкцией Киевского ш. на участке 51-65 км. Этапы 1.3. п. Рассудово, п.Киевский")</f>
        <v>Строительство многоуровневых транспортных развязок в п. Рассудово, п.Киевский с реконструкцией Киевского ш. на участке 51-65 км. Этапы 1.3. п. Рассудово, п.Киевский</v>
      </c>
      <c r="F550" s="25" t="str">
        <f>IFERROR(__xludf.DUMMYFUNCTION("""COMPUTED_VALUE"""),"#N/A")</f>
        <v>#N/A</v>
      </c>
      <c r="G550" s="6" t="str">
        <f>IFERROR(__xludf.DUMMYFUNCTION("""COMPUTED_VALUE"""),"#N/A")</f>
        <v>#N/A</v>
      </c>
      <c r="H550" s="6"/>
      <c r="I550" s="6"/>
      <c r="J550" s="50">
        <f>IFERROR(__xludf.DUMMYFUNCTION("""COMPUTED_VALUE"""),0.0)</f>
        <v>0</v>
      </c>
      <c r="K550" s="58"/>
      <c r="L550" s="6">
        <v>30.0</v>
      </c>
      <c r="M550" s="52" t="s">
        <v>655</v>
      </c>
      <c r="N550" s="53" t="s">
        <v>698</v>
      </c>
      <c r="O550" s="6" t="s">
        <v>980</v>
      </c>
      <c r="P550" s="6"/>
      <c r="Q550" s="6" t="str">
        <f t="shared" si="1"/>
        <v>#N/A</v>
      </c>
      <c r="R550" s="6"/>
    </row>
    <row r="551" hidden="1">
      <c r="A551" s="31" t="str">
        <f>IFERROR(__xludf.DUMMYFUNCTION("""COMPUTED_VALUE"""),"142д(эт5)")</f>
        <v>142д(эт5)</v>
      </c>
      <c r="B551" s="14" t="str">
        <f>IFERROR(__xludf.DUMMYFUNCTION("""COMPUTED_VALUE"""),"АИП-27")</f>
        <v>АИП-27</v>
      </c>
      <c r="C551" s="14" t="str">
        <f>IFERROR(__xludf.DUMMYFUNCTION("""COMPUTED_VALUE"""),"УДС")</f>
        <v>УДС</v>
      </c>
      <c r="D551" s="60"/>
      <c r="E551" s="14" t="str">
        <f>IFERROR(__xludf.DUMMYFUNCTION("""COMPUTED_VALUE"""),"Улично-дорожная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 Этап 5"&amp;". ОС ЗИЛ")</f>
        <v>Улично-дорожная сеть для транспортного обслуживания ОВД, пожарного депо и отстойно-разворотной площадки городского пассажирского транспорта со зданием конечной станции на территории публичного акционерного общества   "Завод имени И.А. Лихачева" . Этап 5. ОС ЗИЛ</v>
      </c>
      <c r="F551" s="25" t="str">
        <f>IFERROR(__xludf.DUMMYFUNCTION("""COMPUTED_VALUE"""),"#N/A")</f>
        <v>#N/A</v>
      </c>
      <c r="G551" s="6" t="str">
        <f>IFERROR(__xludf.DUMMYFUNCTION("""COMPUTED_VALUE"""),"#N/A")</f>
        <v>#N/A</v>
      </c>
      <c r="H551" s="6"/>
      <c r="I551" s="6"/>
      <c r="J551" s="50">
        <f>IFERROR(__xludf.DUMMYFUNCTION("""COMPUTED_VALUE"""),0.014823529411764704)</f>
        <v>0.01482352941</v>
      </c>
      <c r="K551" s="58">
        <f>IFERROR(__xludf.DUMMYFUNCTION("""COMPUTED_VALUE"""),45962.0)</f>
        <v>45962</v>
      </c>
      <c r="L551" s="6">
        <v>30.0</v>
      </c>
      <c r="M551" s="52">
        <v>45992.0</v>
      </c>
      <c r="N551" s="53" t="s">
        <v>692</v>
      </c>
      <c r="O551" s="6" t="s">
        <v>981</v>
      </c>
      <c r="P551" s="6"/>
      <c r="Q551" s="6" t="str">
        <f t="shared" si="1"/>
        <v>#N/A</v>
      </c>
      <c r="R551" s="6"/>
    </row>
    <row r="552" hidden="1">
      <c r="A552" s="31" t="str">
        <f>IFERROR(__xludf.DUMMYFUNCTION("""COMPUTED_VALUE"""),"432д")</f>
        <v>432д</v>
      </c>
      <c r="B552" s="14" t="str">
        <f>IFERROR(__xludf.DUMMYFUNCTION("""COMPUTED_VALUE"""),"АИП-27")</f>
        <v>АИП-27</v>
      </c>
      <c r="C552" s="14" t="str">
        <f>IFERROR(__xludf.DUMMYFUNCTION("""COMPUTED_VALUE"""),"УДС")</f>
        <v>УДС</v>
      </c>
      <c r="D552" s="60"/>
      <c r="E552" s="14" t="str">
        <f>IFERROR(__xludf.DUMMYFUNCTION("""COMPUTED_VALUE"""),"Участок улично-дорожной сети от Каширского шоссе до Елецкой улицы от Каширского шоссе до Елецкой улицы")</f>
        <v>Участок улично-дорожной сети от Каширского шоссе до Елецкой улицы от Каширского шоссе до Елецкой улицы</v>
      </c>
      <c r="F552" s="25" t="str">
        <f>IFERROR(__xludf.DUMMYFUNCTION("""COMPUTED_VALUE"""),"#N/A")</f>
        <v>#N/A</v>
      </c>
      <c r="G552" s="6" t="str">
        <f>IFERROR(__xludf.DUMMYFUNCTION("""COMPUTED_VALUE"""),"#N/A")</f>
        <v>#N/A</v>
      </c>
      <c r="H552" s="6"/>
      <c r="I552" s="6"/>
      <c r="J552" s="50">
        <f>IFERROR(__xludf.DUMMYFUNCTION("""COMPUTED_VALUE"""),0.0)</f>
        <v>0</v>
      </c>
      <c r="K552" s="58">
        <f>IFERROR(__xludf.DUMMYFUNCTION("""COMPUTED_VALUE"""),45962.0)</f>
        <v>45962</v>
      </c>
      <c r="L552" s="6">
        <v>30.0</v>
      </c>
      <c r="M552" s="52">
        <v>45992.0</v>
      </c>
      <c r="N552" s="53" t="s">
        <v>692</v>
      </c>
      <c r="O552" s="6" t="s">
        <v>893</v>
      </c>
      <c r="P552" s="6"/>
      <c r="Q552" s="6" t="str">
        <f t="shared" si="1"/>
        <v>#N/A</v>
      </c>
      <c r="R552" s="6"/>
    </row>
    <row r="553" hidden="1">
      <c r="A553" s="31" t="str">
        <f>IFERROR(__xludf.DUMMYFUNCTION("""COMPUTED_VALUE"""),"433д")</f>
        <v>433д</v>
      </c>
      <c r="B553" s="14" t="str">
        <f>IFERROR(__xludf.DUMMYFUNCTION("""COMPUTED_VALUE"""),"АИП-27")</f>
        <v>АИП-27</v>
      </c>
      <c r="C553" s="14" t="str">
        <f>IFERROR(__xludf.DUMMYFUNCTION("""COMPUTED_VALUE"""),"УДС")</f>
        <v>УДС</v>
      </c>
      <c r="D553" s="60"/>
      <c r="E553" s="14" t="str">
        <f>IFERROR(__xludf.DUMMYFUNCTION("""COMPUTED_VALUE"""),"Реконструкция Ботанической ул. на участке от СВХ до ул. Академика Королева Ботаническая ул.")</f>
        <v>Реконструкция Ботанической ул. на участке от СВХ до ул. Академика Королева Ботаническая ул.</v>
      </c>
      <c r="F553" s="25" t="str">
        <f>IFERROR(__xludf.DUMMYFUNCTION("""COMPUTED_VALUE"""),"#N/A")</f>
        <v>#N/A</v>
      </c>
      <c r="G553" s="6" t="str">
        <f>IFERROR(__xludf.DUMMYFUNCTION("""COMPUTED_VALUE"""),"#N/A")</f>
        <v>#N/A</v>
      </c>
      <c r="H553" s="6"/>
      <c r="I553" s="6"/>
      <c r="J553" s="50">
        <f>IFERROR(__xludf.DUMMYFUNCTION("""COMPUTED_VALUE"""),0.0)</f>
        <v>0</v>
      </c>
      <c r="K553" s="58">
        <f>IFERROR(__xludf.DUMMYFUNCTION("""COMPUTED_VALUE"""),45962.0)</f>
        <v>45962</v>
      </c>
      <c r="L553" s="6">
        <v>30.0</v>
      </c>
      <c r="M553" s="52">
        <v>45992.0</v>
      </c>
      <c r="N553" s="53" t="s">
        <v>692</v>
      </c>
      <c r="O553" s="6" t="s">
        <v>982</v>
      </c>
      <c r="P553" s="6"/>
      <c r="Q553" s="6" t="str">
        <f t="shared" si="1"/>
        <v>#N/A</v>
      </c>
      <c r="R553" s="6"/>
    </row>
    <row r="554" hidden="1">
      <c r="A554" s="31" t="str">
        <f>IFERROR(__xludf.DUMMYFUNCTION("""COMPUTED_VALUE"""),"459д")</f>
        <v>459д</v>
      </c>
      <c r="B554" s="14" t="str">
        <f>IFERROR(__xludf.DUMMYFUNCTION("""COMPUTED_VALUE"""),"АИП-27")</f>
        <v>АИП-27</v>
      </c>
      <c r="C554" s="14" t="str">
        <f>IFERROR(__xludf.DUMMYFUNCTION("""COMPUTED_VALUE"""),"УДС")</f>
        <v>УДС</v>
      </c>
      <c r="D554" s="60"/>
      <c r="E554" s="14" t="str">
        <f>IFERROR(__xludf.DUMMYFUNCTION("""COMPUTED_VALUE"""),"Строительство проектируемого проезда № 3982 от Варшавского шоссе до Нагатинской набережной. Этап 2. Проектируемый проезд № 3982
от Проектируемого проезда № 8138
до Нагатинской набережной от Варшавского шоссе до проектируемого проезда № 3982")</f>
        <v>Строительство проектируемого проезда № 3982 от Варшавского шоссе до Нагатинской набережной. Этап 2. Проектируемый проезд № 3982
от Проектируемого проезда № 8138
до Нагатинской набережной от Варшавского шоссе до проектируемого проезда № 3982</v>
      </c>
      <c r="F554" s="25" t="str">
        <f>IFERROR(__xludf.DUMMYFUNCTION("""COMPUTED_VALUE"""),"#N/A")</f>
        <v>#N/A</v>
      </c>
      <c r="G554" s="6" t="str">
        <f>IFERROR(__xludf.DUMMYFUNCTION("""COMPUTED_VALUE"""),"#N/A")</f>
        <v>#N/A</v>
      </c>
      <c r="H554" s="6"/>
      <c r="I554" s="6"/>
      <c r="J554" s="50">
        <f>IFERROR(__xludf.DUMMYFUNCTION("""COMPUTED_VALUE"""),0.0)</f>
        <v>0</v>
      </c>
      <c r="K554" s="58">
        <f>IFERROR(__xludf.DUMMYFUNCTION("""COMPUTED_VALUE"""),45961.0)</f>
        <v>45961</v>
      </c>
      <c r="L554" s="6">
        <v>30.0</v>
      </c>
      <c r="M554" s="52">
        <v>45991.0</v>
      </c>
      <c r="N554" s="53" t="s">
        <v>692</v>
      </c>
      <c r="O554" s="6" t="s">
        <v>983</v>
      </c>
      <c r="P554" s="6"/>
      <c r="Q554" s="6" t="str">
        <f t="shared" si="1"/>
        <v>#N/A</v>
      </c>
      <c r="R554" s="6"/>
    </row>
    <row r="555" hidden="1">
      <c r="A555" s="31" t="str">
        <f>IFERROR(__xludf.DUMMYFUNCTION("""COMPUTED_VALUE"""),"435д")</f>
        <v>435д</v>
      </c>
      <c r="B555" s="14" t="str">
        <f>IFERROR(__xludf.DUMMYFUNCTION("""COMPUTED_VALUE"""),"АИП-27")</f>
        <v>АИП-27</v>
      </c>
      <c r="C555" s="14" t="str">
        <f>IFERROR(__xludf.DUMMYFUNCTION("""COMPUTED_VALUE"""),"УДС")</f>
        <v>УДС</v>
      </c>
      <c r="D555" s="60"/>
      <c r="E555" s="14" t="str">
        <f>IFERROR(__xludf.DUMMYFUNCTION("""COMPUTED_VALUE"""),"Реконструкция Краснобогатырской улицы, Этап 4 (ОС) Краснобогатырская ул.")</f>
        <v>Реконструкция Краснобогатырской улицы, Этап 4 (ОС) Краснобогатырская ул.</v>
      </c>
      <c r="F555" s="25" t="str">
        <f>IFERROR(__xludf.DUMMYFUNCTION("""COMPUTED_VALUE"""),"#N/A")</f>
        <v>#N/A</v>
      </c>
      <c r="G555" s="6" t="str">
        <f>IFERROR(__xludf.DUMMYFUNCTION("""COMPUTED_VALUE"""),"#N/A")</f>
        <v>#N/A</v>
      </c>
      <c r="H555" s="6"/>
      <c r="I555" s="6"/>
      <c r="J555" s="50">
        <f>IFERROR(__xludf.DUMMYFUNCTION("""COMPUTED_VALUE"""),0.0)</f>
        <v>0</v>
      </c>
      <c r="K555" s="58">
        <f>IFERROR(__xludf.DUMMYFUNCTION("""COMPUTED_VALUE"""),45962.0)</f>
        <v>45962</v>
      </c>
      <c r="L555" s="6">
        <v>30.0</v>
      </c>
      <c r="M555" s="52">
        <v>45992.0</v>
      </c>
      <c r="N555" s="53" t="s">
        <v>692</v>
      </c>
      <c r="O555" s="6" t="s">
        <v>984</v>
      </c>
      <c r="P555" s="6"/>
      <c r="Q555" s="6" t="str">
        <f t="shared" si="1"/>
        <v>#N/A</v>
      </c>
      <c r="R555" s="6"/>
    </row>
    <row r="556" hidden="1">
      <c r="A556" s="31" t="str">
        <f>IFERROR(__xludf.DUMMYFUNCTION("""COMPUTED_VALUE"""),"283")</f>
        <v>283</v>
      </c>
      <c r="B556" s="14" t="str">
        <f>IFERROR(__xludf.DUMMYFUNCTION("""COMPUTED_VALUE"""),"АИП-27")</f>
        <v>АИП-27</v>
      </c>
      <c r="C556" s="14" t="str">
        <f>IFERROR(__xludf.DUMMYFUNCTION("""COMPUTED_VALUE"""),"ОКС")</f>
        <v>ОКС</v>
      </c>
      <c r="D556" s="60"/>
      <c r="E556" s="14" t="str">
        <f>IFERROR(__xludf.DUMMYFUNCTION("""COMPUTED_VALUE"""),"Здание образовательной организации максимальной вместимости (не менее 675 мест) на месте сноса существующего школьного здания ул. Климашкина, д. 13б, стр. 1")</f>
        <v>Здание образовательной организации максимальной вместимости (не менее 675 мест) на месте сноса существующего школьного здания ул. Климашкина, д. 13б, стр. 1</v>
      </c>
      <c r="F556" s="25" t="str">
        <f>IFERROR(__xludf.DUMMYFUNCTION("""COMPUTED_VALUE"""),"#N/A")</f>
        <v>#N/A</v>
      </c>
      <c r="G556" s="6" t="str">
        <f>IFERROR(__xludf.DUMMYFUNCTION("""COMPUTED_VALUE"""),"#N/A")</f>
        <v>#N/A</v>
      </c>
      <c r="H556" s="18" t="str">
        <f>IFERROR(__xludf.DUMMYFUNCTION("""COMPUTED_VALUE"""),"https://docs.google.com/spreadsheets/d/19THEBTE9q0fhN2eApZr6BgenIvLGh0AckaYxHQfHk5w/edit?gid=2080968173#gid=2080968173")</f>
        <v>https://docs.google.com/spreadsheets/d/19THEBTE9q0fhN2eApZr6BgenIvLGh0AckaYxHQfHk5w/edit?gid=2080968173#gid=2080968173</v>
      </c>
      <c r="I556" s="19" t="str">
        <f>IFERROR(__xludf.DUMMYFUNCTION("""COMPUTED_VALUE"""),"https://disk.yandex.ru/client/disk/Осмотры%20объектов%20АНО%20СМГ/283.%20ул.%20Климашкина%2C%20д.13Б%2C%20стр.%201")</f>
        <v>https://disk.yandex.ru/client/disk/Осмотры%20объектов%20АНО%20СМГ/283.%20ул.%20Климашкина%2C%20д.13Б%2C%20стр.%201</v>
      </c>
      <c r="J556" s="50">
        <f>IFERROR(__xludf.DUMMYFUNCTION("""COMPUTED_VALUE"""),0.0)</f>
        <v>0</v>
      </c>
      <c r="K556" s="58">
        <f>IFERROR(__xludf.DUMMYFUNCTION("""COMPUTED_VALUE"""),45717.0)</f>
        <v>45717</v>
      </c>
      <c r="L556" s="6">
        <v>30.0</v>
      </c>
      <c r="M556" s="52">
        <v>45747.0</v>
      </c>
      <c r="N556" s="53" t="s">
        <v>668</v>
      </c>
      <c r="O556" s="19" t="s">
        <v>985</v>
      </c>
      <c r="P556" s="6"/>
      <c r="Q556" s="6" t="str">
        <f t="shared" si="1"/>
        <v>#N/A</v>
      </c>
      <c r="R556" s="6"/>
    </row>
    <row r="557" hidden="1">
      <c r="A557" s="31" t="str">
        <f>IFERROR(__xludf.DUMMYFUNCTION("""COMPUTED_VALUE"""),"274д")</f>
        <v>274д</v>
      </c>
      <c r="B557" s="14" t="str">
        <f>IFERROR(__xludf.DUMMYFUNCTION("""COMPUTED_VALUE"""),"АИП-27")</f>
        <v>АИП-27</v>
      </c>
      <c r="C557" s="14" t="str">
        <f>IFERROR(__xludf.DUMMYFUNCTION("""COMPUTED_VALUE"""),"УДС")</f>
        <v>УДС</v>
      </c>
      <c r="D557" s="60"/>
      <c r="E557" s="14" t="str">
        <f>IFERROR(__xludf.DUMMYFUNCTION("""COMPUTED_VALUE"""),"Соединение проектируемого проезда № 219 с Перовским шоссе и Басовской улицей проектируемый проезд № 219")</f>
        <v>Соединение проектируемого проезда № 219 с Перовским шоссе и Басовской улицей проектируемый проезд № 219</v>
      </c>
      <c r="F557" s="25" t="str">
        <f>IFERROR(__xludf.DUMMYFUNCTION("""COMPUTED_VALUE"""),"#N/A")</f>
        <v>#N/A</v>
      </c>
      <c r="G557" s="6" t="str">
        <f>IFERROR(__xludf.DUMMYFUNCTION("""COMPUTED_VALUE"""),"#N/A")</f>
        <v>#N/A</v>
      </c>
      <c r="H557" s="6"/>
      <c r="I557" s="6"/>
      <c r="J557" s="50">
        <f>IFERROR(__xludf.DUMMYFUNCTION("""COMPUTED_VALUE"""),0.0)</f>
        <v>0</v>
      </c>
      <c r="K557" s="58">
        <f>IFERROR(__xludf.DUMMYFUNCTION("""COMPUTED_VALUE"""),45962.0)</f>
        <v>45962</v>
      </c>
      <c r="L557" s="6">
        <v>30.0</v>
      </c>
      <c r="M557" s="52">
        <v>45992.0</v>
      </c>
      <c r="N557" s="53" t="s">
        <v>692</v>
      </c>
      <c r="O557" s="6" t="s">
        <v>986</v>
      </c>
      <c r="P557" s="6"/>
      <c r="Q557" s="6" t="str">
        <f t="shared" si="1"/>
        <v>#N/A</v>
      </c>
      <c r="R557" s="6"/>
    </row>
    <row r="558" hidden="1">
      <c r="A558" s="31" t="str">
        <f>IFERROR(__xludf.DUMMYFUNCTION("""COMPUTED_VALUE"""),"434д")</f>
        <v>434д</v>
      </c>
      <c r="B558" s="14" t="str">
        <f>IFERROR(__xludf.DUMMYFUNCTION("""COMPUTED_VALUE"""),"АИП-27")</f>
        <v>АИП-27</v>
      </c>
      <c r="C558" s="14" t="str">
        <f>IFERROR(__xludf.DUMMYFUNCTION("""COMPUTED_VALUE"""),"УДС")</f>
        <v>УДС</v>
      </c>
      <c r="D558" s="60"/>
      <c r="E558" s="14" t="str">
        <f>IFERROR(__xludf.DUMMYFUNCTION("""COMPUTED_VALUE"""),"Пешеходный переход через МЦД в районе ул. Зарянова в районе ул. Зарянова")</f>
        <v>Пешеходный переход через МЦД в районе ул. Зарянова в районе ул. Зарянова</v>
      </c>
      <c r="F558" s="25" t="str">
        <f>IFERROR(__xludf.DUMMYFUNCTION("""COMPUTED_VALUE"""),"#N/A")</f>
        <v>#N/A</v>
      </c>
      <c r="G558" s="6" t="str">
        <f>IFERROR(__xludf.DUMMYFUNCTION("""COMPUTED_VALUE"""),"#N/A")</f>
        <v>#N/A</v>
      </c>
      <c r="H558" s="6"/>
      <c r="I558" s="6"/>
      <c r="J558" s="50">
        <f>IFERROR(__xludf.DUMMYFUNCTION("""COMPUTED_VALUE"""),0.0)</f>
        <v>0</v>
      </c>
      <c r="K558" s="58">
        <f>IFERROR(__xludf.DUMMYFUNCTION("""COMPUTED_VALUE"""),45933.0)</f>
        <v>45933</v>
      </c>
      <c r="L558" s="6">
        <v>30.0</v>
      </c>
      <c r="M558" s="52">
        <v>45963.0</v>
      </c>
      <c r="N558" s="53" t="s">
        <v>668</v>
      </c>
      <c r="O558" s="6" t="s">
        <v>987</v>
      </c>
      <c r="P558" s="6"/>
      <c r="Q558" s="6" t="str">
        <f t="shared" si="1"/>
        <v>#N/A</v>
      </c>
      <c r="R558" s="6"/>
    </row>
    <row r="559" hidden="1">
      <c r="A559" s="31" t="str">
        <f>IFERROR(__xludf.DUMMYFUNCTION("""COMPUTED_VALUE"""),"461д")</f>
        <v>461д</v>
      </c>
      <c r="B559" s="14" t="str">
        <f>IFERROR(__xludf.DUMMYFUNCTION("""COMPUTED_VALUE"""),"АИП-27")</f>
        <v>АИП-27</v>
      </c>
      <c r="C559" s="14" t="str">
        <f>IFERROR(__xludf.DUMMYFUNCTION("""COMPUTED_VALUE"""),"УДС")</f>
        <v>УДС</v>
      </c>
      <c r="D559" s="60"/>
      <c r="E559" s="14" t="str">
        <f>IFERROR(__xludf.DUMMYFUNCTION("""COMPUTED_VALUE"""),"ЮВХ-7. Участок вдоль  ул.Каспийской от ул.Кантемировской до Павелецкого направления Московской железной дороги. ОС от ул.Кантемировской до Павелецкого направления Московской железной дороги")</f>
        <v>ЮВХ-7. Участок вдоль  ул.Каспийской от ул.Кантемировской до Павелецкого направления Московской железной дороги. ОС от ул.Кантемировской до Павелецкого направления Московской железной дороги</v>
      </c>
      <c r="F559" s="25" t="str">
        <f>IFERROR(__xludf.DUMMYFUNCTION("""COMPUTED_VALUE"""),"#N/A")</f>
        <v>#N/A</v>
      </c>
      <c r="G559" s="6" t="str">
        <f>IFERROR(__xludf.DUMMYFUNCTION("""COMPUTED_VALUE"""),"#N/A")</f>
        <v>#N/A</v>
      </c>
      <c r="H559" s="6"/>
      <c r="I559" s="6"/>
      <c r="J559" s="50">
        <f>IFERROR(__xludf.DUMMYFUNCTION("""COMPUTED_VALUE"""),0.0)</f>
        <v>0</v>
      </c>
      <c r="K559" s="58">
        <f>IFERROR(__xludf.DUMMYFUNCTION("""COMPUTED_VALUE"""),45961.0)</f>
        <v>45961</v>
      </c>
      <c r="L559" s="6">
        <v>30.0</v>
      </c>
      <c r="M559" s="52">
        <v>45991.0</v>
      </c>
      <c r="N559" s="53" t="s">
        <v>692</v>
      </c>
      <c r="O559" s="6" t="s">
        <v>987</v>
      </c>
      <c r="P559" s="6"/>
      <c r="Q559" s="6" t="str">
        <f t="shared" si="1"/>
        <v>#N/A</v>
      </c>
      <c r="R559" s="6"/>
    </row>
    <row r="560" hidden="1">
      <c r="A560" s="31" t="str">
        <f>IFERROR(__xludf.DUMMYFUNCTION("""COMPUTED_VALUE"""),"1293")</f>
        <v>1293</v>
      </c>
      <c r="B560" s="14" t="str">
        <f>IFERROR(__xludf.DUMMYFUNCTION("""COMPUTED_VALUE"""),"АИП-27")</f>
        <v>АИП-27</v>
      </c>
      <c r="C560" s="14" t="str">
        <f>IFERROR(__xludf.DUMMYFUNCTION("""COMPUTED_VALUE"""),"ОКС")</f>
        <v>ОКС</v>
      </c>
      <c r="D560" s="60"/>
      <c r="E560" s="14" t="str">
        <f>IFERROR(__xludf.DUMMYFUNCTION("""COMPUTED_VALUE"""),"Школа на 1200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59")</f>
        <v>Школа на 1200 мест на территории Административно-делового центра в п.Коммунарка г. Москва, поселение Сосенское, п. Коммунарка, территория Административно-делового центра, участок 59</v>
      </c>
      <c r="F560" s="25" t="str">
        <f>IFERROR(__xludf.DUMMYFUNCTION("""COMPUTED_VALUE"""),"#N/A")</f>
        <v>#N/A</v>
      </c>
      <c r="G560" s="6" t="str">
        <f>IFERROR(__xludf.DUMMYFUNCTION("""COMPUTED_VALUE"""),"#N/A")</f>
        <v>#N/A</v>
      </c>
      <c r="H560" s="18" t="str">
        <f>IFERROR(__xludf.DUMMYFUNCTION("""COMPUTED_VALUE"""),"https://docs.google.com/spreadsheets/d/19THEBTE9q0fhN2eApZr6BgenIvLGh0AckaYxHQfHk5w/edit?gid=307470456#gid=307470456")</f>
        <v>https://docs.google.com/spreadsheets/d/19THEBTE9q0fhN2eApZr6BgenIvLGh0AckaYxHQfHk5w/edit?gid=307470456#gid=307470456</v>
      </c>
      <c r="I560" s="19"/>
      <c r="J560" s="50">
        <f>IFERROR(__xludf.DUMMYFUNCTION("""COMPUTED_VALUE"""),0.0)</f>
        <v>0</v>
      </c>
      <c r="K560" s="58">
        <f>IFERROR(__xludf.DUMMYFUNCTION("""COMPUTED_VALUE"""),45895.0)</f>
        <v>45895</v>
      </c>
      <c r="L560" s="6">
        <v>30.0</v>
      </c>
      <c r="M560" s="52">
        <v>45925.0</v>
      </c>
      <c r="N560" s="53" t="s">
        <v>668</v>
      </c>
      <c r="O560" s="19" t="s">
        <v>988</v>
      </c>
      <c r="P560" s="6"/>
      <c r="Q560" s="6" t="str">
        <f t="shared" si="1"/>
        <v>#N/A</v>
      </c>
      <c r="R560" s="6"/>
    </row>
    <row r="561" hidden="1">
      <c r="A561" s="31" t="str">
        <f>IFERROR(__xludf.DUMMYFUNCTION("""COMPUTED_VALUE"""),"1268")</f>
        <v>1268</v>
      </c>
      <c r="B561" s="14" t="str">
        <f>IFERROR(__xludf.DUMMYFUNCTION("""COMPUTED_VALUE"""),"АИП-27")</f>
        <v>АИП-27</v>
      </c>
      <c r="C561" s="14" t="str">
        <f>IFERROR(__xludf.DUMMYFUNCTION("""COMPUTED_VALUE"""),"ОКС")</f>
        <v>ОКС</v>
      </c>
      <c r="D561" s="60"/>
      <c r="E561" s="14" t="str">
        <f>IFERROR(__xludf.DUMMYFUNCTION("""COMPUTED_VALUE"""),"Блок начальных классов на 300 мест, пос. Роговское пос. Роговское, поселок Рогово, улица Школьная, земельный участок 20А")</f>
        <v>Блок начальных классов на 300 мест, пос. Роговское пос. Роговское, поселок Рогово, улица Школьная, земельный участок 20А</v>
      </c>
      <c r="F561" s="25" t="str">
        <f>IFERROR(__xludf.DUMMYFUNCTION("""COMPUTED_VALUE"""),"#N/A")</f>
        <v>#N/A</v>
      </c>
      <c r="G561" s="6" t="str">
        <f>IFERROR(__xludf.DUMMYFUNCTION("""COMPUTED_VALUE"""),"#N/A")</f>
        <v>#N/A</v>
      </c>
      <c r="H561" s="18" t="str">
        <f>IFERROR(__xludf.DUMMYFUNCTION("""COMPUTED_VALUE"""),"https://docs.google.com/spreadsheets/d/19THEBTE9q0fhN2eApZr6BgenIvLGh0AckaYxHQfHk5w/edit?gid=76672550#gid=76672550")</f>
        <v>https://docs.google.com/spreadsheets/d/19THEBTE9q0fhN2eApZr6BgenIvLGh0AckaYxHQfHk5w/edit?gid=76672550#gid=76672550</v>
      </c>
      <c r="I561" s="21" t="str">
        <f>IFERROR(__xludf.DUMMYFUNCTION("""COMPUTED_VALUE"""),"https://disk.yandex.ru/d/iRTb6x-s7u0Bcw")</f>
        <v>https://disk.yandex.ru/d/iRTb6x-s7u0Bcw</v>
      </c>
      <c r="J561" s="50">
        <f>IFERROR(__xludf.DUMMYFUNCTION("""COMPUTED_VALUE"""),0.0)</f>
        <v>0</v>
      </c>
      <c r="K561" s="58">
        <f>IFERROR(__xludf.DUMMYFUNCTION("""COMPUTED_VALUE"""),45860.0)</f>
        <v>45860</v>
      </c>
      <c r="L561" s="6">
        <v>30.0</v>
      </c>
      <c r="M561" s="52">
        <v>45890.0</v>
      </c>
      <c r="N561" s="53" t="s">
        <v>668</v>
      </c>
      <c r="O561" s="19" t="s">
        <v>989</v>
      </c>
      <c r="P561" s="6"/>
      <c r="Q561" s="6" t="str">
        <f t="shared" si="1"/>
        <v>#N/A</v>
      </c>
      <c r="R561" s="6"/>
    </row>
    <row r="562" hidden="1">
      <c r="A562" s="31" t="str">
        <f>IFERROR(__xludf.DUMMYFUNCTION("""COMPUTED_VALUE"""),"1067 (1.1.1)")</f>
        <v>1067 (1.1.1)</v>
      </c>
      <c r="B562" s="14" t="str">
        <f>IFERROR(__xludf.DUMMYFUNCTION("""COMPUTED_VALUE"""),"АИП-27")</f>
        <v>АИП-27</v>
      </c>
      <c r="C562" s="14" t="str">
        <f>IFERROR(__xludf.DUMMYFUNCTION("""COMPUTED_VALUE"""),"УДС")</f>
        <v>УДС</v>
      </c>
      <c r="D562" s="60"/>
      <c r="E562" s="14" t="str">
        <f>IFERROR(__xludf.DUMMYFUNCTION("""COMPUTED_VALUE"""),"Технологическая часть ТПУ на станции метро  ""Косино"" (""Лермонтовский проспект""). Этапы 1, 1.1.1, г.Москва,
м. ""Лермонтовский проспект""")</f>
        <v>Технологическая часть ТПУ на станции метро  "Косино" ("Лермонтовский проспект"). Этапы 1, 1.1.1, г.Москва,
м. "Лермонтовский проспект"</v>
      </c>
      <c r="F562" s="25" t="str">
        <f>IFERROR(__xludf.DUMMYFUNCTION("""COMPUTED_VALUE"""),"#N/A")</f>
        <v>#N/A</v>
      </c>
      <c r="G562" s="6" t="str">
        <f>IFERROR(__xludf.DUMMYFUNCTION("""COMPUTED_VALUE"""),"#N/A")</f>
        <v>#N/A</v>
      </c>
      <c r="H562" s="18" t="str">
        <f>IFERROR(__xludf.DUMMYFUNCTION("""COMPUTED_VALUE"""),"https://docs.google.com/spreadsheets/d/1jonEGMB3UFHiUZpltF1zURon8gYN7jGSHu-k9t5TXnA/edit?gid=1027797639#gid=1027797639")</f>
        <v>https://docs.google.com/spreadsheets/d/1jonEGMB3UFHiUZpltF1zURon8gYN7jGSHu-k9t5TXnA/edit?gid=1027797639#gid=1027797639</v>
      </c>
      <c r="I562" s="6" t="str">
        <f>IFERROR(__xludf.DUMMYFUNCTION("""COMPUTED_VALUE"""),"https://disk.yandex.ru/client/disk/Осмотры%20объектов%20АНО%20СМГ/1067.%20Технологическая%20часть%20ТПУ%20на%20станции%20метро%20%22Лермонтовский%20проспект%22%20(Косино)")</f>
        <v>https://disk.yandex.ru/client/disk/Осмотры%20объектов%20АНО%20СМГ/1067.%20Технологическая%20часть%20ТПУ%20на%20станции%20метро%20%22Лермонтовский%20проспект%22%20(Косино)</v>
      </c>
      <c r="J562" s="50">
        <f>IFERROR(__xludf.DUMMYFUNCTION("""COMPUTED_VALUE"""),39.038385000000005)</f>
        <v>39.038385</v>
      </c>
      <c r="K562" s="58">
        <f>IFERROR(__xludf.DUMMYFUNCTION("""COMPUTED_VALUE"""),45931.0)</f>
        <v>45931</v>
      </c>
      <c r="L562" s="6">
        <v>30.0</v>
      </c>
      <c r="M562" s="52">
        <v>45961.0</v>
      </c>
      <c r="N562" s="53" t="s">
        <v>668</v>
      </c>
      <c r="O562" s="6" t="s">
        <v>990</v>
      </c>
      <c r="P562" s="6"/>
      <c r="Q562" s="6" t="str">
        <f t="shared" si="1"/>
        <v>#N/A</v>
      </c>
      <c r="R562" s="6"/>
    </row>
    <row r="563" hidden="1">
      <c r="A563" s="31" t="str">
        <f>IFERROR(__xludf.DUMMYFUNCTION("""COMPUTED_VALUE"""),"1067 (1.1.4)")</f>
        <v>1067 (1.1.4)</v>
      </c>
      <c r="B563" s="14" t="str">
        <f>IFERROR(__xludf.DUMMYFUNCTION("""COMPUTED_VALUE"""),"АИП-27")</f>
        <v>АИП-27</v>
      </c>
      <c r="C563" s="14" t="str">
        <f>IFERROR(__xludf.DUMMYFUNCTION("""COMPUTED_VALUE"""),"УДС")</f>
        <v>УДС</v>
      </c>
      <c r="D563" s="60"/>
      <c r="E563" s="14" t="str">
        <f>IFERROR(__xludf.DUMMYFUNCTION("""COMPUTED_VALUE"""),"Технологическая часть ТПУ на станции метро  ""Косино"" (""Лермонтовский проспект""). Этапы  1.1.4 г.Москва,
м. ""Лермонтовский проспект""")</f>
        <v>Технологическая часть ТПУ на станции метро  "Косино" ("Лермонтовский проспект"). Этапы  1.1.4 г.Москва,
м. "Лермонтовский проспект"</v>
      </c>
      <c r="F563" s="25" t="str">
        <f>IFERROR(__xludf.DUMMYFUNCTION("""COMPUTED_VALUE"""),"#N/A")</f>
        <v>#N/A</v>
      </c>
      <c r="G563" s="6" t="str">
        <f>IFERROR(__xludf.DUMMYFUNCTION("""COMPUTED_VALUE"""),"#N/A")</f>
        <v>#N/A</v>
      </c>
      <c r="H563" s="18" t="str">
        <f>IFERROR(__xludf.DUMMYFUNCTION("""COMPUTED_VALUE"""),"https://docs.google.com/spreadsheets/d/1jonEGMB3UFHiUZpltF1zURon8gYN7jGSHu-k9t5TXnA/edit?gid=1284874728#gid=1284874728")</f>
        <v>https://docs.google.com/spreadsheets/d/1jonEGMB3UFHiUZpltF1zURon8gYN7jGSHu-k9t5TXnA/edit?gid=1284874728#gid=1284874728</v>
      </c>
      <c r="I563" s="6" t="str">
        <f>IFERROR(__xludf.DUMMYFUNCTION("""COMPUTED_VALUE"""),"https://disk.yandex.ru/client/disk/Осмотры%20объектов%20АНО%20СМГ/1067.%20Технологическая%20часть%20ТПУ%20на%20станции%20метро%20%22Лермонтовский%20проспект%22%20(Косино)")</f>
        <v>https://disk.yandex.ru/client/disk/Осмотры%20объектов%20АНО%20СМГ/1067.%20Технологическая%20часть%20ТПУ%20на%20станции%20метро%20%22Лермонтовский%20проспект%22%20(Косино)</v>
      </c>
      <c r="J563" s="50">
        <f>IFERROR(__xludf.DUMMYFUNCTION("""COMPUTED_VALUE"""),0.0)</f>
        <v>0</v>
      </c>
      <c r="K563" s="58">
        <f>IFERROR(__xludf.DUMMYFUNCTION("""COMPUTED_VALUE"""),45931.0)</f>
        <v>45931</v>
      </c>
      <c r="L563" s="6">
        <v>30.0</v>
      </c>
      <c r="M563" s="52">
        <v>45961.0</v>
      </c>
      <c r="N563" s="53" t="s">
        <v>668</v>
      </c>
      <c r="O563" s="6" t="s">
        <v>991</v>
      </c>
      <c r="P563" s="6"/>
      <c r="Q563" s="6" t="str">
        <f t="shared" si="1"/>
        <v>#N/A</v>
      </c>
      <c r="R563" s="6"/>
    </row>
    <row r="564" hidden="1">
      <c r="A564" s="31" t="str">
        <f>IFERROR(__xludf.DUMMYFUNCTION("""COMPUTED_VALUE"""),"НД")</f>
        <v>НД</v>
      </c>
      <c r="B564" s="14" t="str">
        <f>IFERROR(__xludf.DUMMYFUNCTION("""COMPUTED_VALUE"""),"АИП-27")</f>
        <v>АИП-27</v>
      </c>
      <c r="C564" s="14" t="str">
        <f>IFERROR(__xludf.DUMMYFUNCTION("""COMPUTED_VALUE"""),"УДС")</f>
        <v>УДС</v>
      </c>
      <c r="D564" s="60"/>
      <c r="E564" s="14" t="str">
        <f>IFERROR(__xludf.DUMMYFUNCTION("""COMPUTED_VALUE"""),"Технологическая часть ТПУ на станции метро  ""Косино"" (""Лермонтовский проспект""). Этапы  1.2.4, 1.2.5 г. Москва,
м. ""Лермонтовский проспект""")</f>
        <v>Технологическая часть ТПУ на станции метро  "Косино" ("Лермонтовский проспект"). Этапы  1.2.4, 1.2.5 г. Москва,
м. "Лермонтовский проспект"</v>
      </c>
      <c r="F564" s="25" t="str">
        <f>IFERROR(__xludf.DUMMYFUNCTION("""COMPUTED_VALUE"""),"#N/A")</f>
        <v>#N/A</v>
      </c>
      <c r="G564" s="6" t="str">
        <f>IFERROR(__xludf.DUMMYFUNCTION("""COMPUTED_VALUE"""),"#N/A")</f>
        <v>#N/A</v>
      </c>
      <c r="H564" s="6"/>
      <c r="I564" s="6"/>
      <c r="J564" s="50"/>
      <c r="K564" s="58"/>
      <c r="L564" s="6">
        <v>30.0</v>
      </c>
      <c r="M564" s="52" t="s">
        <v>655</v>
      </c>
      <c r="N564" s="53" t="s">
        <v>698</v>
      </c>
      <c r="O564" s="6" t="s">
        <v>992</v>
      </c>
      <c r="P564" s="6"/>
      <c r="Q564" s="6" t="str">
        <f t="shared" si="1"/>
        <v>#N/A</v>
      </c>
      <c r="R564" s="6"/>
    </row>
    <row r="565" hidden="1">
      <c r="A565" s="31" t="str">
        <f>IFERROR(__xludf.DUMMYFUNCTION("""COMPUTED_VALUE"""),"1179 (этап 1)")</f>
        <v>1179 (этап 1)</v>
      </c>
      <c r="B565" s="14" t="str">
        <f>IFERROR(__xludf.DUMMYFUNCTION("""COMPUTED_VALUE"""),"АИП-27")</f>
        <v>АИП-27</v>
      </c>
      <c r="C565" s="14" t="str">
        <f>IFERROR(__xludf.DUMMYFUNCTION("""COMPUTED_VALUE"""),"УДС")</f>
        <v>УДС</v>
      </c>
      <c r="D565" s="60"/>
      <c r="E565" s="14" t="str">
        <f>IFERROR(__xludf.DUMMYFUNCTION("""COMPUTED_VALUE"""),"Технологическая часть ТПУ на станции метро ""Электрозаводская"". Этапы 1  г. Москва,
м. ""Электрозаводская""")</f>
        <v>Технологическая часть ТПУ на станции метро "Электрозаводская". Этапы 1  г. Москва,
м. "Электрозаводская"</v>
      </c>
      <c r="F565" s="25" t="str">
        <f>IFERROR(__xludf.DUMMYFUNCTION("""COMPUTED_VALUE"""),"#N/A")</f>
        <v>#N/A</v>
      </c>
      <c r="G565" s="6" t="str">
        <f>IFERROR(__xludf.DUMMYFUNCTION("""COMPUTED_VALUE"""),"#N/A")</f>
        <v>#N/A</v>
      </c>
      <c r="H565" s="18" t="str">
        <f>IFERROR(__xludf.DUMMYFUNCTION("""COMPUTED_VALUE"""),"https://docs.google.com/spreadsheets/d/1jonEGMB3UFHiUZpltF1zURon8gYN7jGSHu-k9t5TXnA/edit?gid=9028693#gid=9028693")</f>
        <v>https://docs.google.com/spreadsheets/d/1jonEGMB3UFHiUZpltF1zURon8gYN7jGSHu-k9t5TXnA/edit?gid=9028693#gid=9028693</v>
      </c>
      <c r="I565" s="6" t="str">
        <f>IFERROR(__xludf.DUMMYFUNCTION("""COMPUTED_VALUE"""),"https://disk.yandex.ru/client/disk/Осмотры%20объектов%20АНО%20СМГ/%22АИП%202027%22%20Технологическая%20часть%20ТПУ%20на%20станции%20метро%20%22Электрозаводская%22.%20Этап%201")</f>
        <v>https://disk.yandex.ru/client/disk/Осмотры%20объектов%20АНО%20СМГ/%22АИП%202027%22%20Технологическая%20часть%20ТПУ%20на%20станции%20метро%20%22Электрозаводская%22.%20Этап%201</v>
      </c>
      <c r="J565" s="50">
        <f>IFERROR(__xludf.DUMMYFUNCTION("""COMPUTED_VALUE"""),95.064)</f>
        <v>95.064</v>
      </c>
      <c r="K565" s="58">
        <f>IFERROR(__xludf.DUMMYFUNCTION("""COMPUTED_VALUE"""),45807.0)</f>
        <v>45807</v>
      </c>
      <c r="L565" s="6">
        <v>7.0</v>
      </c>
      <c r="M565" s="52">
        <v>45814.0</v>
      </c>
      <c r="N565" s="53" t="s">
        <v>668</v>
      </c>
      <c r="O565" s="6" t="s">
        <v>993</v>
      </c>
      <c r="P565" s="6"/>
      <c r="Q565" s="6" t="str">
        <f t="shared" si="1"/>
        <v>#N/A</v>
      </c>
      <c r="R565" s="6"/>
    </row>
    <row r="566" hidden="1">
      <c r="A566" s="31" t="str">
        <f>IFERROR(__xludf.DUMMYFUNCTION("""COMPUTED_VALUE"""),"1179 (этап 2)")</f>
        <v>1179 (этап 2)</v>
      </c>
      <c r="B566" s="14" t="str">
        <f>IFERROR(__xludf.DUMMYFUNCTION("""COMPUTED_VALUE"""),"АИП-27")</f>
        <v>АИП-27</v>
      </c>
      <c r="C566" s="14" t="str">
        <f>IFERROR(__xludf.DUMMYFUNCTION("""COMPUTED_VALUE"""),"УДС")</f>
        <v>УДС</v>
      </c>
      <c r="D566" s="60"/>
      <c r="E566" s="14" t="str">
        <f>IFERROR(__xludf.DUMMYFUNCTION("""COMPUTED_VALUE"""),"Технологическая часть ТПУ на станции метро ""Электрозаводская"". Этапы  2 г. Москва,
м. ""Электрозаводская""")</f>
        <v>Технологическая часть ТПУ на станции метро "Электрозаводская". Этапы  2 г. Москва,
м. "Электрозаводская"</v>
      </c>
      <c r="F566" s="25" t="str">
        <f>IFERROR(__xludf.DUMMYFUNCTION("""COMPUTED_VALUE"""),"#N/A")</f>
        <v>#N/A</v>
      </c>
      <c r="G566" s="6" t="str">
        <f>IFERROR(__xludf.DUMMYFUNCTION("""COMPUTED_VALUE"""),"#N/A")</f>
        <v>#N/A</v>
      </c>
      <c r="H566" s="18" t="str">
        <f>IFERROR(__xludf.DUMMYFUNCTION("""COMPUTED_VALUE"""),"https://docs.google.com/spreadsheets/d/1jonEGMB3UFHiUZpltF1zURon8gYN7jGSHu-k9t5TXnA/edit?gid=1024106965#gid=1024106965")</f>
        <v>https://docs.google.com/spreadsheets/d/1jonEGMB3UFHiUZpltF1zURon8gYN7jGSHu-k9t5TXnA/edit?gid=1024106965#gid=1024106965</v>
      </c>
      <c r="I566" s="6" t="str">
        <f>IFERROR(__xludf.DUMMYFUNCTION("""COMPUTED_VALUE"""),"https://disk.yandex.ru/client/disk/Осмотры%20объектов%20АНО%20СМГ/%22АИП%202027%22%20Технологическая%20часть%20ТПУ%20на%20станции%20метро%20%22Электрозаводская%22.%20Этап%202")</f>
        <v>https://disk.yandex.ru/client/disk/Осмотры%20объектов%20АНО%20СМГ/%22АИП%202027%22%20Технологическая%20часть%20ТПУ%20на%20станции%20метро%20%22Электрозаводская%22.%20Этап%202</v>
      </c>
      <c r="J566" s="50">
        <f>IFERROR(__xludf.DUMMYFUNCTION("""COMPUTED_VALUE"""),2.502)</f>
        <v>2.502</v>
      </c>
      <c r="K566" s="58">
        <f>IFERROR(__xludf.DUMMYFUNCTION("""COMPUTED_VALUE"""),45807.0)</f>
        <v>45807</v>
      </c>
      <c r="L566" s="6">
        <v>30.0</v>
      </c>
      <c r="M566" s="52">
        <v>45837.0</v>
      </c>
      <c r="N566" s="53" t="s">
        <v>668</v>
      </c>
      <c r="O566" s="6" t="s">
        <v>994</v>
      </c>
      <c r="P566" s="6"/>
      <c r="Q566" s="6" t="str">
        <f t="shared" si="1"/>
        <v>#N/A</v>
      </c>
      <c r="R566" s="6"/>
    </row>
    <row r="567" hidden="1">
      <c r="A567" s="31" t="str">
        <f>IFERROR(__xludf.DUMMYFUNCTION("""COMPUTED_VALUE"""),"173д")</f>
        <v>173д</v>
      </c>
      <c r="B567" s="14" t="str">
        <f>IFERROR(__xludf.DUMMYFUNCTION("""COMPUTED_VALUE"""),"АИП-27")</f>
        <v>АИП-27</v>
      </c>
      <c r="C567" s="14" t="str">
        <f>IFERROR(__xludf.DUMMYFUNCTION("""COMPUTED_VALUE"""),"УДС")</f>
        <v>УДС</v>
      </c>
      <c r="D567" s="60"/>
      <c r="E567" s="14" t="str">
        <f>IFERROR(__xludf.DUMMYFUNCTION("""COMPUTED_VALUE"""),"Строительство многоуровневых транспортных развязок на пересечении автомобильной дороги ""Солнцево - Бутово-Видное"" с Боровским шоссе и Киевским шоссе. Транспортная развязка c Новоорловской ул. Этап 2 пересечение автомобильной дороги ""Солнцево - Бутово-В"&amp;"идное"" с Боровским шоссе и Киевским шоссе")</f>
        <v>Строительство многоуровневых транспортных развязок на пересечении автомобильной дороги "Солнцево - Бутово-Видное" с Боровским шоссе и Киевским шоссе. Транспортная развязка c Новоорловской ул. Этап 2 пересечение автомобильной дороги "Солнцево - Бутово-Видное" с Боровским шоссе и Киевским шоссе</v>
      </c>
      <c r="F567" s="25" t="str">
        <f>IFERROR(__xludf.DUMMYFUNCTION("""COMPUTED_VALUE"""),"#N/A")</f>
        <v>#N/A</v>
      </c>
      <c r="G567" s="6" t="str">
        <f>IFERROR(__xludf.DUMMYFUNCTION("""COMPUTED_VALUE"""),"#N/A")</f>
        <v>#N/A</v>
      </c>
      <c r="H567" s="6"/>
      <c r="I567" s="6"/>
      <c r="J567" s="50">
        <f>IFERROR(__xludf.DUMMYFUNCTION("""COMPUTED_VALUE"""),0.0)</f>
        <v>0</v>
      </c>
      <c r="K567" s="58">
        <f>IFERROR(__xludf.DUMMYFUNCTION("""COMPUTED_VALUE"""),45974.0)</f>
        <v>45974</v>
      </c>
      <c r="L567" s="6">
        <v>30.0</v>
      </c>
      <c r="M567" s="52">
        <v>46004.0</v>
      </c>
      <c r="N567" s="53" t="s">
        <v>711</v>
      </c>
      <c r="O567" s="6" t="s">
        <v>995</v>
      </c>
      <c r="P567" s="6"/>
      <c r="Q567" s="6" t="str">
        <f t="shared" si="1"/>
        <v>#N/A</v>
      </c>
      <c r="R567" s="6"/>
    </row>
    <row r="568" hidden="1">
      <c r="A568" s="31" t="str">
        <f>IFERROR(__xludf.DUMMYFUNCTION("""COMPUTED_VALUE"""),"436д")</f>
        <v>436д</v>
      </c>
      <c r="B568" s="14" t="str">
        <f>IFERROR(__xludf.DUMMYFUNCTION("""COMPUTED_VALUE"""),"АИП-27")</f>
        <v>АИП-27</v>
      </c>
      <c r="C568" s="14" t="str">
        <f>IFERROR(__xludf.DUMMYFUNCTION("""COMPUTED_VALUE"""),"УДС")</f>
        <v>УДС</v>
      </c>
      <c r="D568" s="60"/>
      <c r="E568" s="14" t="str">
        <f>IFERROR(__xludf.DUMMYFUNCTION("""COMPUTED_VALUE"""),"Строительство и реконструкция улично-дорожной сети ограниченной Савеловским направлением Московской железной дороги, Алексеевской соединительной веткой Московской железной дороги, Звездным б-ром и пр-дом Добролюбова со строительством искусственного сооруж"&amp;"ения через Октябрьское направления железной дороги Звездный бульвар, пр Добролюбова")</f>
        <v>Строительство и реконструкция улично-дорожной сети ограниченной Савеловским направлением Московской железной дороги, Алексеевской соединительной веткой Московской железной дороги, Звездным б-ром и пр-дом Добролюбова со строительством искусственного сооружения через Октябрьское направления железной дороги Звездный бульвар, пр Добролюбова</v>
      </c>
      <c r="F568" s="25" t="str">
        <f>IFERROR(__xludf.DUMMYFUNCTION("""COMPUTED_VALUE"""),"#N/A")</f>
        <v>#N/A</v>
      </c>
      <c r="G568" s="6" t="str">
        <f>IFERROR(__xludf.DUMMYFUNCTION("""COMPUTED_VALUE"""),"#N/A")</f>
        <v>#N/A</v>
      </c>
      <c r="H568" s="6"/>
      <c r="I568" s="6"/>
      <c r="J568" s="50">
        <f>IFERROR(__xludf.DUMMYFUNCTION("""COMPUTED_VALUE"""),0.0)</f>
        <v>0</v>
      </c>
      <c r="K568" s="58"/>
      <c r="L568" s="6">
        <v>30.0</v>
      </c>
      <c r="M568" s="52" t="s">
        <v>655</v>
      </c>
      <c r="N568" s="53" t="s">
        <v>698</v>
      </c>
      <c r="O568" s="6" t="s">
        <v>893</v>
      </c>
      <c r="P568" s="6"/>
      <c r="Q568" s="6" t="str">
        <f t="shared" si="1"/>
        <v>#N/A</v>
      </c>
      <c r="R568" s="6"/>
    </row>
    <row r="569" hidden="1">
      <c r="A569" s="31" t="str">
        <f>IFERROR(__xludf.DUMMYFUNCTION("""COMPUTED_VALUE"""),"1292")</f>
        <v>1292</v>
      </c>
      <c r="B569" s="14" t="str">
        <f>IFERROR(__xludf.DUMMYFUNCTION("""COMPUTED_VALUE"""),"АИП-27")</f>
        <v>АИП-27</v>
      </c>
      <c r="C569" s="14" t="str">
        <f>IFERROR(__xludf.DUMMYFUNCTION("""COMPUTED_VALUE"""),"ОКС")</f>
        <v>ОКС</v>
      </c>
      <c r="D569" s="60"/>
      <c r="E569" s="14" t="str">
        <f>IFERROR(__xludf.DUMMYFUNCTION("""COMPUTED_VALUE"""),"ДОУ на 350 мест, пос. Новофедоровское, д. Яковлевское пос. Новофедоровское, д. Яковлевское")</f>
        <v>ДОУ на 350 мест, пос. Новофедоровское, д. Яковлевское пос. Новофедоровское, д. Яковлевское</v>
      </c>
      <c r="F569" s="25" t="str">
        <f>IFERROR(__xludf.DUMMYFUNCTION("""COMPUTED_VALUE"""),"#N/A")</f>
        <v>#N/A</v>
      </c>
      <c r="G569" s="6" t="str">
        <f>IFERROR(__xludf.DUMMYFUNCTION("""COMPUTED_VALUE"""),"#N/A")</f>
        <v>#N/A</v>
      </c>
      <c r="H569" s="18" t="str">
        <f>IFERROR(__xludf.DUMMYFUNCTION("""COMPUTED_VALUE"""),"https://docs.google.com/spreadsheets/d/19THEBTE9q0fhN2eApZr6BgenIvLGh0AckaYxHQfHk5w/edit?gid=1788417276#gid=1788417276")</f>
        <v>https://docs.google.com/spreadsheets/d/19THEBTE9q0fhN2eApZr6BgenIvLGh0AckaYxHQfHk5w/edit?gid=1788417276#gid=1788417276</v>
      </c>
      <c r="I569" s="19"/>
      <c r="J569" s="50">
        <f>IFERROR(__xludf.DUMMYFUNCTION("""COMPUTED_VALUE"""),0.0)</f>
        <v>0</v>
      </c>
      <c r="K569" s="58">
        <f>IFERROR(__xludf.DUMMYFUNCTION("""COMPUTED_VALUE"""),45895.0)</f>
        <v>45895</v>
      </c>
      <c r="L569" s="6">
        <v>30.0</v>
      </c>
      <c r="M569" s="52">
        <v>45925.0</v>
      </c>
      <c r="N569" s="53" t="s">
        <v>668</v>
      </c>
      <c r="O569" s="19" t="s">
        <v>996</v>
      </c>
      <c r="P569" s="6"/>
      <c r="Q569" s="6" t="str">
        <f t="shared" si="1"/>
        <v>#N/A</v>
      </c>
      <c r="R569" s="6"/>
    </row>
    <row r="570" hidden="1">
      <c r="A570" s="31" t="str">
        <f>IFERROR(__xludf.DUMMYFUNCTION("""COMPUTED_VALUE"""),"284")</f>
        <v>284</v>
      </c>
      <c r="B570" s="14" t="str">
        <f>IFERROR(__xludf.DUMMYFUNCTION("""COMPUTED_VALUE"""),"АИП-27")</f>
        <v>АИП-27</v>
      </c>
      <c r="C570" s="14" t="str">
        <f>IFERROR(__xludf.DUMMYFUNCTION("""COMPUTED_VALUE"""),"ОКС")</f>
        <v>ОКС</v>
      </c>
      <c r="D570" s="60"/>
      <c r="E570" s="14" t="str">
        <f>IFERROR(__xludf.DUMMYFUNCTION("""COMPUTED_VALUE"""),"Школьное здание на 2200 мест на месте сноса зданий. Этап 1 ул. Главная, д. 9А и д. 13")</f>
        <v>Школьное здание на 2200 мест на месте сноса зданий. Этап 1 ул. Главная, д. 9А и д. 13</v>
      </c>
      <c r="F570" s="25" t="str">
        <f>IFERROR(__xludf.DUMMYFUNCTION("""COMPUTED_VALUE"""),"#N/A")</f>
        <v>#N/A</v>
      </c>
      <c r="G570" s="6" t="str">
        <f>IFERROR(__xludf.DUMMYFUNCTION("""COMPUTED_VALUE"""),"#N/A")</f>
        <v>#N/A</v>
      </c>
      <c r="H570" s="18" t="str">
        <f>IFERROR(__xludf.DUMMYFUNCTION("""COMPUTED_VALUE"""),"https://docs.google.com/spreadsheets/d/19THEBTE9q0fhN2eApZr6BgenIvLGh0AckaYxHQfHk5w/edit?gid=241258397#gid=241258397")</f>
        <v>https://docs.google.com/spreadsheets/d/19THEBTE9q0fhN2eApZr6BgenIvLGh0AckaYxHQfHk5w/edit?gid=241258397#gid=241258397</v>
      </c>
      <c r="I570" s="19" t="str">
        <f>IFERROR(__xludf.DUMMYFUNCTION("""COMPUTED_VALUE"""),"https://disk.yandex.ru/client/disk/Осмотры%20объектов%20АНО%20СМГ/284.%20р-н%20Восточный%2C%20ул.%20Главная%2C%20д.%2013%2C%20д.13%20стр.%202%2C3.%20д.%2015%20А%2C%20ул.%209%20мая%2C%20д.%2013")</f>
        <v>https://disk.yandex.ru/client/disk/Осмотры%20объектов%20АНО%20СМГ/284.%20р-н%20Восточный%2C%20ул.%20Главная%2C%20д.%2013%2C%20д.13%20стр.%202%2C3.%20д.%2015%20А%2C%20ул.%209%20мая%2C%20д.%2013</v>
      </c>
      <c r="J570" s="50">
        <f>IFERROR(__xludf.DUMMYFUNCTION("""COMPUTED_VALUE"""),0.0)</f>
        <v>0</v>
      </c>
      <c r="K570" s="58">
        <f>IFERROR(__xludf.DUMMYFUNCTION("""COMPUTED_VALUE"""),45681.0)</f>
        <v>45681</v>
      </c>
      <c r="L570" s="6">
        <v>30.0</v>
      </c>
      <c r="M570" s="52">
        <v>45711.0</v>
      </c>
      <c r="N570" s="53" t="s">
        <v>668</v>
      </c>
      <c r="O570" s="19" t="s">
        <v>997</v>
      </c>
      <c r="P570" s="6"/>
      <c r="Q570" s="6" t="str">
        <f t="shared" si="1"/>
        <v>#N/A</v>
      </c>
      <c r="R570" s="6"/>
    </row>
    <row r="571" hidden="1">
      <c r="A571" s="31" t="str">
        <f>IFERROR(__xludf.DUMMYFUNCTION("""COMPUTED_VALUE"""),"НД")</f>
        <v>НД</v>
      </c>
      <c r="B571" s="14" t="str">
        <f>IFERROR(__xludf.DUMMYFUNCTION("""COMPUTED_VALUE"""),"АИП-27")</f>
        <v>АИП-27</v>
      </c>
      <c r="C571" s="14" t="str">
        <f>IFERROR(__xludf.DUMMYFUNCTION("""COMPUTED_VALUE"""),"ОКС")</f>
        <v>ОКС</v>
      </c>
      <c r="D571" s="60"/>
      <c r="E571" s="14" t="str">
        <f>IFERROR(__xludf.DUMMYFUNCTION("""COMPUTED_VALUE"""),"Школьное здание на 2200 мест на месте сноса зданий. Этап 2 ул. Главная, д. 9А и д. 13")</f>
        <v>Школьное здание на 2200 мест на месте сноса зданий. Этап 2 ул. Главная, д. 9А и д. 13</v>
      </c>
      <c r="F571" s="25" t="str">
        <f>IFERROR(__xludf.DUMMYFUNCTION("""COMPUTED_VALUE"""),"#N/A")</f>
        <v>#N/A</v>
      </c>
      <c r="G571" s="6" t="str">
        <f>IFERROR(__xludf.DUMMYFUNCTION("""COMPUTED_VALUE"""),"#N/A")</f>
        <v>#N/A</v>
      </c>
      <c r="H571" s="6"/>
      <c r="I571" s="19"/>
      <c r="J571" s="50"/>
      <c r="K571" s="58"/>
      <c r="L571" s="6">
        <v>30.0</v>
      </c>
      <c r="M571" s="52" t="s">
        <v>655</v>
      </c>
      <c r="N571" s="53" t="s">
        <v>698</v>
      </c>
      <c r="O571" s="19" t="s">
        <v>997</v>
      </c>
      <c r="P571" s="6"/>
      <c r="Q571" s="6" t="str">
        <f t="shared" si="1"/>
        <v>#N/A</v>
      </c>
      <c r="R571" s="6"/>
    </row>
    <row r="572" hidden="1">
      <c r="A572" s="31" t="str">
        <f>IFERROR(__xludf.DUMMYFUNCTION("""COMPUTED_VALUE"""),"282")</f>
        <v>282</v>
      </c>
      <c r="B572" s="14" t="str">
        <f>IFERROR(__xludf.DUMMYFUNCTION("""COMPUTED_VALUE"""),"АИП-27")</f>
        <v>АИП-27</v>
      </c>
      <c r="C572" s="14" t="str">
        <f>IFERROR(__xludf.DUMMYFUNCTION("""COMPUTED_VALUE"""),"ОКС")</f>
        <v>ОКС</v>
      </c>
      <c r="D572" s="60"/>
      <c r="E572" s="14" t="str">
        <f>IFERROR(__xludf.DUMMYFUNCTION("""COMPUTED_VALUE"""),"Школьное здание на 2000 мест, пр-кт Андропова, р-н Даниловский пр-кт Андропова, р-н Даниловский")</f>
        <v>Школьное здание на 2000 мест, пр-кт Андропова, р-н Даниловский пр-кт Андропова, р-н Даниловский</v>
      </c>
      <c r="F572" s="25" t="str">
        <f>IFERROR(__xludf.DUMMYFUNCTION("""COMPUTED_VALUE"""),"#N/A")</f>
        <v>#N/A</v>
      </c>
      <c r="G572" s="6" t="str">
        <f>IFERROR(__xludf.DUMMYFUNCTION("""COMPUTED_VALUE"""),"#N/A")</f>
        <v>#N/A</v>
      </c>
      <c r="H572" s="18" t="str">
        <f>IFERROR(__xludf.DUMMYFUNCTION("""COMPUTED_VALUE"""),"https://docs.google.com/spreadsheets/d/19THEBTE9q0fhN2eApZr6BgenIvLGh0AckaYxHQfHk5w/edit?gid=373322802#gid=373322802")</f>
        <v>https://docs.google.com/spreadsheets/d/19THEBTE9q0fhN2eApZr6BgenIvLGh0AckaYxHQfHk5w/edit?gid=373322802#gid=373322802</v>
      </c>
      <c r="I572" s="19" t="str">
        <f>IFERROR(__xludf.DUMMYFUNCTION("""COMPUTED_VALUE"""),"https://disk.yandex.ru/client/disk/Осмотры%20объектов%20АНО%20СМГ/282.%20Школьное%20здание%20на%202000%20мест%2C%20пр-кт%20Андропова%2C%20р-н%20Даниловский")</f>
        <v>https://disk.yandex.ru/client/disk/Осмотры%20объектов%20АНО%20СМГ/282.%20Школьное%20здание%20на%202000%20мест%2C%20пр-кт%20Андропова%2C%20р-н%20Даниловский</v>
      </c>
      <c r="J572" s="50">
        <f>IFERROR(__xludf.DUMMYFUNCTION("""COMPUTED_VALUE"""),0.0)</f>
        <v>0</v>
      </c>
      <c r="K572" s="58">
        <f>IFERROR(__xludf.DUMMYFUNCTION("""COMPUTED_VALUE"""),45845.0)</f>
        <v>45845</v>
      </c>
      <c r="L572" s="6">
        <v>30.0</v>
      </c>
      <c r="M572" s="52">
        <v>45875.0</v>
      </c>
      <c r="N572" s="53" t="s">
        <v>668</v>
      </c>
      <c r="O572" s="19" t="s">
        <v>998</v>
      </c>
      <c r="P572" s="6"/>
      <c r="Q572" s="6" t="str">
        <f t="shared" si="1"/>
        <v>#N/A</v>
      </c>
      <c r="R572" s="6"/>
    </row>
    <row r="573" hidden="1">
      <c r="A573" s="31" t="str">
        <f>IFERROR(__xludf.DUMMYFUNCTION("""COMPUTED_VALUE"""),"311")</f>
        <v>311</v>
      </c>
      <c r="B573" s="14" t="str">
        <f>IFERROR(__xludf.DUMMYFUNCTION("""COMPUTED_VALUE"""),"АИП-27")</f>
        <v>АИП-27</v>
      </c>
      <c r="C573" s="14" t="str">
        <f>IFERROR(__xludf.DUMMYFUNCTION("""COMPUTED_VALUE"""),"ОКС")</f>
        <v>ОКС</v>
      </c>
      <c r="D573" s="60"/>
      <c r="E573" s="14" t="str">
        <f>IFERROR(__xludf.DUMMYFUNCTION("""COMPUTED_VALUE"""),"Детско-взрослая поликлиника на 560 посещений в смену проектируемый проезд 3538 напротив Мичуринского проспекта, д.29, к.4, район Раменки, ЗАО")</f>
        <v>Детско-взрослая поликлиника на 560 посещений в смену проектируемый проезд 3538 напротив Мичуринского проспекта, д.29, к.4, район Раменки, ЗАО</v>
      </c>
      <c r="F573" s="25" t="str">
        <f>IFERROR(__xludf.DUMMYFUNCTION("""COMPUTED_VALUE"""),"#N/A")</f>
        <v>#N/A</v>
      </c>
      <c r="G573" s="6" t="str">
        <f>IFERROR(__xludf.DUMMYFUNCTION("""COMPUTED_VALUE"""),"#N/A")</f>
        <v>#N/A</v>
      </c>
      <c r="H573" s="18" t="str">
        <f>IFERROR(__xludf.DUMMYFUNCTION("""COMPUTED_VALUE"""),"https://docs.google.com/spreadsheets/d/19THEBTE9q0fhN2eApZr6BgenIvLGh0AckaYxHQfHk5w/edit?gid=612628733#gid=612628733")</f>
        <v>https://docs.google.com/spreadsheets/d/19THEBTE9q0fhN2eApZr6BgenIvLGh0AckaYxHQfHk5w/edit?gid=612628733#gid=612628733</v>
      </c>
      <c r="I573" s="19" t="str">
        <f>IFERROR(__xludf.DUMMYFUNCTION("""COMPUTED_VALUE"""),"https://disk.yandex.ru/client/disk/Осмотры%20объектов%20АНО%20СМГ/311.%20Детско-взрослая%20поликлиника%20на%20560%20посещений%20в%20смену%20по%20адресу%3A%20г.%20Москва%2Cнапротив%20Мичуринского%20пр-кта%2C%0Aд.29%2C%20к.4%2C")</f>
        <v>https://disk.yandex.ru/client/disk/Осмотры%20объектов%20АНО%20СМГ/311.%20Детско-взрослая%20поликлиника%20на%20560%20посещений%20в%20смену%20по%20адресу%3A%20г.%20Москва%2Cнапротив%20Мичуринского%20пр-кта%2C%0Aд.29%2C%20к.4%2C</v>
      </c>
      <c r="J573" s="50">
        <f>IFERROR(__xludf.DUMMYFUNCTION("""COMPUTED_VALUE"""),0.0)</f>
        <v>0</v>
      </c>
      <c r="K573" s="58">
        <f>IFERROR(__xludf.DUMMYFUNCTION("""COMPUTED_VALUE"""),45807.0)</f>
        <v>45807</v>
      </c>
      <c r="L573" s="6">
        <v>30.0</v>
      </c>
      <c r="M573" s="52">
        <v>45837.0</v>
      </c>
      <c r="N573" s="53" t="s">
        <v>668</v>
      </c>
      <c r="O573" s="19" t="s">
        <v>999</v>
      </c>
      <c r="P573" s="6"/>
      <c r="Q573" s="6" t="str">
        <f t="shared" si="1"/>
        <v>#N/A</v>
      </c>
      <c r="R573" s="6"/>
    </row>
    <row r="574" hidden="1">
      <c r="A574" s="31" t="str">
        <f>IFERROR(__xludf.DUMMYFUNCTION("""COMPUTED_VALUE"""),"437д")</f>
        <v>437д</v>
      </c>
      <c r="B574" s="14" t="str">
        <f>IFERROR(__xludf.DUMMYFUNCTION("""COMPUTED_VALUE"""),"АИП-27")</f>
        <v>АИП-27</v>
      </c>
      <c r="C574" s="14" t="str">
        <f>IFERROR(__xludf.DUMMYFUNCTION("""COMPUTED_VALUE"""),"УДС")</f>
        <v>УДС</v>
      </c>
      <c r="D574" s="60"/>
      <c r="E574" s="14" t="str">
        <f>IFERROR(__xludf.DUMMYFUNCTION("""COMPUTED_VALUE"""),"Пешеходный переход через Киевское направление МЖД, ул. Рябиновая и проектируемый пр-д № 1980 ул. Рябиновая и проектируемый пр-д № 1980")</f>
        <v>Пешеходный переход через Киевское направление МЖД, ул. Рябиновая и проектируемый пр-д № 1980 ул. Рябиновая и проектируемый пр-д № 1980</v>
      </c>
      <c r="F574" s="25" t="str">
        <f>IFERROR(__xludf.DUMMYFUNCTION("""COMPUTED_VALUE"""),"#N/A")</f>
        <v>#N/A</v>
      </c>
      <c r="G574" s="6" t="str">
        <f>IFERROR(__xludf.DUMMYFUNCTION("""COMPUTED_VALUE"""),"#N/A")</f>
        <v>#N/A</v>
      </c>
      <c r="H574" s="6"/>
      <c r="I574" s="6"/>
      <c r="J574" s="50">
        <f>IFERROR(__xludf.DUMMYFUNCTION("""COMPUTED_VALUE"""),0.0)</f>
        <v>0</v>
      </c>
      <c r="K574" s="58"/>
      <c r="L574" s="6">
        <v>30.0</v>
      </c>
      <c r="M574" s="52" t="s">
        <v>655</v>
      </c>
      <c r="N574" s="53" t="s">
        <v>698</v>
      </c>
      <c r="O574" s="6" t="s">
        <v>893</v>
      </c>
      <c r="P574" s="6"/>
      <c r="Q574" s="6" t="str">
        <f t="shared" si="1"/>
        <v>#N/A</v>
      </c>
      <c r="R574" s="6"/>
    </row>
    <row r="575" hidden="1">
      <c r="A575" s="31" t="str">
        <f>IFERROR(__xludf.DUMMYFUNCTION("""COMPUTED_VALUE"""),"453д")</f>
        <v>453д</v>
      </c>
      <c r="B575" s="14" t="str">
        <f>IFERROR(__xludf.DUMMYFUNCTION("""COMPUTED_VALUE"""),"АИП-27")</f>
        <v>АИП-27</v>
      </c>
      <c r="C575" s="14" t="str">
        <f>IFERROR(__xludf.DUMMYFUNCTION("""COMPUTED_VALUE"""),"УДС")</f>
        <v>УДС</v>
      </c>
      <c r="D575" s="60"/>
      <c r="E575" s="14" t="str">
        <f>IFERROR(__xludf.DUMMYFUNCTION("""COMPUTED_VALUE"""),"Многоуровневые транспортные развязки на пересечении Северо- Восточной хорды с 5-м проездом Подбельского и Открытым шоссе. Пешеходная галерея пересечение Северо- Восточной хорды с 5-м проездом Подбельского и Открытым шоссе")</f>
        <v>Многоуровневые транспортные развязки на пересечении Северо- Восточной хорды с 5-м проездом Подбельского и Открытым шоссе. Пешеходная галерея пересечение Северо- Восточной хорды с 5-м проездом Подбельского и Открытым шоссе</v>
      </c>
      <c r="F575" s="25" t="str">
        <f>IFERROR(__xludf.DUMMYFUNCTION("""COMPUTED_VALUE"""),"#N/A")</f>
        <v>#N/A</v>
      </c>
      <c r="G575" s="6" t="str">
        <f>IFERROR(__xludf.DUMMYFUNCTION("""COMPUTED_VALUE"""),"#N/A")</f>
        <v>#N/A</v>
      </c>
      <c r="H575" s="6"/>
      <c r="I575" s="6"/>
      <c r="J575" s="50">
        <f>IFERROR(__xludf.DUMMYFUNCTION("""COMPUTED_VALUE"""),0.0)</f>
        <v>0</v>
      </c>
      <c r="K575" s="58">
        <f>IFERROR(__xludf.DUMMYFUNCTION("""COMPUTED_VALUE"""),45962.0)</f>
        <v>45962</v>
      </c>
      <c r="L575" s="6">
        <v>30.0</v>
      </c>
      <c r="M575" s="52">
        <v>45992.0</v>
      </c>
      <c r="N575" s="53" t="s">
        <v>692</v>
      </c>
      <c r="O575" s="6" t="s">
        <v>980</v>
      </c>
      <c r="P575" s="6"/>
      <c r="Q575" s="6" t="str">
        <f t="shared" si="1"/>
        <v>#N/A</v>
      </c>
      <c r="R575" s="6"/>
    </row>
    <row r="576" hidden="1">
      <c r="A576" s="31" t="str">
        <f>IFERROR(__xludf.DUMMYFUNCTION("""COMPUTED_VALUE"""),"НД")</f>
        <v>НД</v>
      </c>
      <c r="B576" s="14" t="str">
        <f>IFERROR(__xludf.DUMMYFUNCTION("""COMPUTED_VALUE"""),"АИП-27")</f>
        <v>АИП-27</v>
      </c>
      <c r="C576" s="14" t="str">
        <f>IFERROR(__xludf.DUMMYFUNCTION("""COMPUTED_VALUE"""),"УДС")</f>
        <v>УДС</v>
      </c>
      <c r="D576" s="60"/>
      <c r="E576" s="14" t="str">
        <f>IFERROR(__xludf.DUMMYFUNCTION("""COMPUTED_VALUE"""),"Прокладка инженерных коммуникаций для мкр. 9-10К р- на Войковский микрорайон 9-10К района Войковский")</f>
        <v>Прокладка инженерных коммуникаций для мкр. 9-10К р- на Войковский микрорайон 9-10К района Войковский</v>
      </c>
      <c r="F576" s="25" t="str">
        <f>IFERROR(__xludf.DUMMYFUNCTION("""COMPUTED_VALUE"""),"#N/A")</f>
        <v>#N/A</v>
      </c>
      <c r="G576" s="6" t="str">
        <f>IFERROR(__xludf.DUMMYFUNCTION("""COMPUTED_VALUE"""),"#N/A")</f>
        <v>#N/A</v>
      </c>
      <c r="H576" s="6"/>
      <c r="I576" s="6"/>
      <c r="J576" s="50"/>
      <c r="K576" s="58"/>
      <c r="L576" s="6">
        <v>30.0</v>
      </c>
      <c r="M576" s="52" t="s">
        <v>655</v>
      </c>
      <c r="N576" s="53" t="s">
        <v>698</v>
      </c>
      <c r="O576" s="6" t="s">
        <v>1000</v>
      </c>
      <c r="P576" s="6"/>
      <c r="Q576" s="6" t="str">
        <f t="shared" si="1"/>
        <v>#N/A</v>
      </c>
      <c r="R576" s="6"/>
    </row>
    <row r="577" hidden="1">
      <c r="A577" s="31" t="str">
        <f>IFERROR(__xludf.DUMMYFUNCTION("""COMPUTED_VALUE"""),"1174д")</f>
        <v>1174д</v>
      </c>
      <c r="B577" s="14" t="str">
        <f>IFERROR(__xludf.DUMMYFUNCTION("""COMPUTED_VALUE"""),"АИП-27")</f>
        <v>АИП-27</v>
      </c>
      <c r="C577" s="14" t="str">
        <f>IFERROR(__xludf.DUMMYFUNCTION("""COMPUTED_VALUE"""),"УДС")</f>
        <v>УДС</v>
      </c>
      <c r="D577" s="60"/>
      <c r="E577"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5.1.2: реконструкция ВЗУ
«Ботаков"&amp;"о» г. Троицк, в районе ВЗС ""Ботаково""")</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5.1.2: реконструкция ВЗУ
«Ботаково» г. Троицк, в районе ВЗС "Ботаково"</v>
      </c>
      <c r="F577" s="25" t="str">
        <f>IFERROR(__xludf.DUMMYFUNCTION("""COMPUTED_VALUE"""),"#N/A")</f>
        <v>#N/A</v>
      </c>
      <c r="G577" s="6" t="str">
        <f>IFERROR(__xludf.DUMMYFUNCTION("""COMPUTED_VALUE"""),"#N/A")</f>
        <v>#N/A</v>
      </c>
      <c r="H577" s="6"/>
      <c r="I577" s="6"/>
      <c r="J577" s="50">
        <f>IFERROR(__xludf.DUMMYFUNCTION("""COMPUTED_VALUE"""),0.05)</f>
        <v>0.05</v>
      </c>
      <c r="K577" s="58">
        <f>IFERROR(__xludf.DUMMYFUNCTION("""COMPUTED_VALUE"""),45806.0)</f>
        <v>45806</v>
      </c>
      <c r="L577" s="6">
        <v>30.0</v>
      </c>
      <c r="M577" s="52">
        <v>45836.0</v>
      </c>
      <c r="N577" s="53" t="s">
        <v>668</v>
      </c>
      <c r="O577" s="6" t="s">
        <v>1001</v>
      </c>
      <c r="P577" s="6"/>
      <c r="Q577" s="6" t="str">
        <f t="shared" si="1"/>
        <v>#N/A</v>
      </c>
      <c r="R577" s="6"/>
    </row>
    <row r="578" hidden="1">
      <c r="A578" s="31" t="str">
        <f>IFERROR(__xludf.DUMMYFUNCTION("""COMPUTED_VALUE"""),"1174д")</f>
        <v>1174д</v>
      </c>
      <c r="B578" s="14" t="str">
        <f>IFERROR(__xludf.DUMMYFUNCTION("""COMPUTED_VALUE"""),"АИП-27")</f>
        <v>АИП-27</v>
      </c>
      <c r="C578" s="14" t="str">
        <f>IFERROR(__xludf.DUMMYFUNCTION("""COMPUTED_VALUE"""),"УДС")</f>
        <v>УДС</v>
      </c>
      <c r="D578" s="60"/>
      <c r="E578"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5.1.4 Водопровод-уход на ВЗУ «Ботаково» г. Троицк, ул. Полковника Милиции Курочкина, земельный участ"&amp;"ок 7.")</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5.1.4 Водопровод-уход на ВЗУ «Ботаково» г. Троицк, ул. Полковника Милиции Курочкина, земельный участок 7.</v>
      </c>
      <c r="F578" s="25" t="str">
        <f>IFERROR(__xludf.DUMMYFUNCTION("""COMPUTED_VALUE"""),"#N/A")</f>
        <v>#N/A</v>
      </c>
      <c r="G578" s="6" t="str">
        <f>IFERROR(__xludf.DUMMYFUNCTION("""COMPUTED_VALUE"""),"#N/A")</f>
        <v>#N/A</v>
      </c>
      <c r="H578" s="6"/>
      <c r="I578" s="6"/>
      <c r="J578" s="50">
        <f>IFERROR(__xludf.DUMMYFUNCTION("""COMPUTED_VALUE"""),0.05)</f>
        <v>0.05</v>
      </c>
      <c r="K578" s="58">
        <f>IFERROR(__xludf.DUMMYFUNCTION("""COMPUTED_VALUE"""),45806.0)</f>
        <v>45806</v>
      </c>
      <c r="L578" s="6">
        <v>30.0</v>
      </c>
      <c r="M578" s="52">
        <v>45836.0</v>
      </c>
      <c r="N578" s="53" t="s">
        <v>668</v>
      </c>
      <c r="O578" s="6" t="s">
        <v>1002</v>
      </c>
      <c r="P578" s="6"/>
      <c r="Q578" s="6" t="str">
        <f t="shared" si="1"/>
        <v>#N/A</v>
      </c>
      <c r="R578" s="6"/>
    </row>
    <row r="579" hidden="1">
      <c r="A579" s="31" t="str">
        <f>IFERROR(__xludf.DUMMYFUNCTION("""COMPUTED_VALUE"""),"1174д")</f>
        <v>1174д</v>
      </c>
      <c r="B579" s="14" t="str">
        <f>IFERROR(__xludf.DUMMYFUNCTION("""COMPUTED_VALUE"""),"АИП-27")</f>
        <v>АИП-27</v>
      </c>
      <c r="C579" s="14" t="str">
        <f>IFERROR(__xludf.DUMMYFUNCTION("""COMPUTED_VALUE"""),"УДС")</f>
        <v>УДС</v>
      </c>
      <c r="D579" s="60"/>
      <c r="E579"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5.1.1: реконструкция ВЗУ
«Микрора"&amp;"йон В г. Троицк, ул. Полковника Милиции Курочкина, земельный участок 7.")</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5.1: водовод -  уход на ВЗУ «Ботаково» и ВЗУ «Микрорайон В») этап 5.1.1: реконструкция ВЗУ
«Микрорайон В г. Троицк, ул. Полковника Милиции Курочкина, земельный участок 7.</v>
      </c>
      <c r="F579" s="25" t="str">
        <f>IFERROR(__xludf.DUMMYFUNCTION("""COMPUTED_VALUE"""),"#N/A")</f>
        <v>#N/A</v>
      </c>
      <c r="G579" s="6" t="str">
        <f>IFERROR(__xludf.DUMMYFUNCTION("""COMPUTED_VALUE"""),"#N/A")</f>
        <v>#N/A</v>
      </c>
      <c r="H579" s="6"/>
      <c r="I579" s="6"/>
      <c r="J579" s="50">
        <f>IFERROR(__xludf.DUMMYFUNCTION("""COMPUTED_VALUE"""),0.05)</f>
        <v>0.05</v>
      </c>
      <c r="K579" s="58">
        <f>IFERROR(__xludf.DUMMYFUNCTION("""COMPUTED_VALUE"""),45806.0)</f>
        <v>45806</v>
      </c>
      <c r="L579" s="6">
        <v>30.0</v>
      </c>
      <c r="M579" s="52">
        <v>45836.0</v>
      </c>
      <c r="N579" s="53" t="s">
        <v>668</v>
      </c>
      <c r="O579" s="6" t="s">
        <v>1003</v>
      </c>
      <c r="P579" s="6"/>
      <c r="Q579" s="6" t="str">
        <f t="shared" si="1"/>
        <v>#N/A</v>
      </c>
      <c r="R579" s="6"/>
    </row>
    <row r="580" hidden="1">
      <c r="A580" s="31" t="str">
        <f>IFERROR(__xludf.DUMMYFUNCTION("""COMPUTED_VALUE"""),"НД")</f>
        <v>НД</v>
      </c>
      <c r="B580" s="14" t="str">
        <f>IFERROR(__xludf.DUMMYFUNCTION("""COMPUTED_VALUE"""),"АИП-27")</f>
        <v>АИП-27</v>
      </c>
      <c r="C580" s="14" t="str">
        <f>IFERROR(__xludf.DUMMYFUNCTION("""COMPUTED_VALUE"""),"УДС")</f>
        <v>УДС</v>
      </c>
      <c r="D580" s="60"/>
      <c r="E580" s="14" t="str">
        <f>IFERROR(__xludf.DUMMYFUNCTION("""COMPUTED_VALUE"""),"Прокладка водопровода Д1000 мм от деревни Сосенки до города Троицк со строительством регулирующих водопроводных узлов «Станиславль» и «Красная Пахра» (этап 5.2: водопровод - уход на ВЗУ «ИЯИ» и ВЗУ «ФИАН») этап 5.2.1: реконструкция ВЗУ «ИЯИ» г. Троицк")</f>
        <v>Прокладка водопровода Д1000 мм от деревни Сосенки до города Троицк со строительством регулирующих водопроводных узлов «Станиславль» и «Красная Пахра» (этап 5.2: водопровод - уход на ВЗУ «ИЯИ» и ВЗУ «ФИАН») этап 5.2.1: реконструкция ВЗУ «ИЯИ» г. Троицк</v>
      </c>
      <c r="F580" s="25" t="str">
        <f>IFERROR(__xludf.DUMMYFUNCTION("""COMPUTED_VALUE"""),"#N/A")</f>
        <v>#N/A</v>
      </c>
      <c r="G580" s="6" t="str">
        <f>IFERROR(__xludf.DUMMYFUNCTION("""COMPUTED_VALUE"""),"#N/A")</f>
        <v>#N/A</v>
      </c>
      <c r="H580" s="6"/>
      <c r="I580" s="6"/>
      <c r="J580" s="50"/>
      <c r="K580" s="58"/>
      <c r="L580" s="6">
        <v>30.0</v>
      </c>
      <c r="M580" s="52" t="s">
        <v>655</v>
      </c>
      <c r="N580" s="53" t="s">
        <v>698</v>
      </c>
      <c r="O580" s="6" t="s">
        <v>1003</v>
      </c>
      <c r="P580" s="6"/>
      <c r="Q580" s="6" t="str">
        <f t="shared" si="1"/>
        <v>#N/A</v>
      </c>
      <c r="R580" s="6"/>
    </row>
    <row r="581" hidden="1">
      <c r="A581" s="31" t="str">
        <f>IFERROR(__xludf.DUMMYFUNCTION("""COMPUTED_VALUE"""),"НД")</f>
        <v>НД</v>
      </c>
      <c r="B581" s="14" t="str">
        <f>IFERROR(__xludf.DUMMYFUNCTION("""COMPUTED_VALUE"""),"АИП-27")</f>
        <v>АИП-27</v>
      </c>
      <c r="C581" s="14" t="str">
        <f>IFERROR(__xludf.DUMMYFUNCTION("""COMPUTED_VALUE"""),"УДС")</f>
        <v>УДС</v>
      </c>
      <c r="D581" s="60"/>
      <c r="E581" s="14" t="str">
        <f>IFERROR(__xludf.DUMMYFUNCTION("""COMPUTED_VALUE"""),"этап 2.1: реконструкция ВЗУ «ИЗМИРАН» г. Троицк, на пересечении улиц Центральная и Пушковых")</f>
        <v>этап 2.1: реконструкция ВЗУ «ИЗМИРАН» г. Троицк, на пересечении улиц Центральная и Пушковых</v>
      </c>
      <c r="F581" s="25" t="str">
        <f>IFERROR(__xludf.DUMMYFUNCTION("""COMPUTED_VALUE"""),"#N/A")</f>
        <v>#N/A</v>
      </c>
      <c r="G581" s="6" t="str">
        <f>IFERROR(__xludf.DUMMYFUNCTION("""COMPUTED_VALUE"""),"#N/A")</f>
        <v>#N/A</v>
      </c>
      <c r="H581" s="6"/>
      <c r="I581" s="6"/>
      <c r="J581" s="50"/>
      <c r="K581" s="58"/>
      <c r="L581" s="6">
        <v>30.0</v>
      </c>
      <c r="M581" s="52" t="s">
        <v>655</v>
      </c>
      <c r="N581" s="53" t="s">
        <v>698</v>
      </c>
      <c r="O581" s="6" t="s">
        <v>1004</v>
      </c>
      <c r="P581" s="6"/>
      <c r="Q581" s="6" t="str">
        <f t="shared" si="1"/>
        <v>#N/A</v>
      </c>
      <c r="R581" s="6"/>
    </row>
    <row r="582" hidden="1">
      <c r="A582" s="31" t="str">
        <f>IFERROR(__xludf.DUMMYFUNCTION("""COMPUTED_VALUE"""),"1054д (дубль с 2026, возможно некорректоное наименование в графике ВВЕ)")</f>
        <v>1054д (дубль с 2026, возможно некорректоное наименование в графике ВВЕ)</v>
      </c>
      <c r="B582" s="14" t="str">
        <f>IFERROR(__xludf.DUMMYFUNCTION("""COMPUTED_VALUE"""),"АИП-27")</f>
        <v>АИП-27</v>
      </c>
      <c r="C582" s="14" t="str">
        <f>IFERROR(__xludf.DUMMYFUNCTION("""COMPUTED_VALUE"""),"УДС")</f>
        <v>УДС</v>
      </c>
      <c r="D582" s="15"/>
      <c r="E582" s="14" t="str">
        <f>IFERROR(__xludf.DUMMYFUNCTION("""COMPUTED_VALUE"""),"605-02  Городские инженерные коммуникации для комплексной реконструкции мкр. 1 р-на Царицыно г. Москва, ул. Кантемировская 31к2")</f>
        <v>605-02  Городские инженерные коммуникации для комплексной реконструкции мкр. 1 р-на Царицыно г. Москва, ул. Кантемировская 31к2</v>
      </c>
      <c r="F582" s="25" t="str">
        <f>IFERROR(__xludf.DUMMYFUNCTION("""COMPUTED_VALUE"""),"#N/A")</f>
        <v>#N/A</v>
      </c>
      <c r="G582" s="6" t="str">
        <f>IFERROR(__xludf.DUMMYFUNCTION("""COMPUTED_VALUE"""),"#N/A")</f>
        <v>#N/A</v>
      </c>
      <c r="H582" s="6"/>
      <c r="I582" s="6" t="str">
        <f>IFERROR(__xludf.DUMMYFUNCTION("""COMPUTED_VALUE"""),"https://disk.yandex.ru/client/disk/Осмотры%20объектов%20АНО%20СМГ/1054.%20Городские%20индженерные%20коммуникации%20для%20комплексной%20реконструкции%20мкр.%201%20Царицино")</f>
        <v>https://disk.yandex.ru/client/disk/Осмотры%20объектов%20АНО%20СМГ/1054.%20Городские%20индженерные%20коммуникации%20для%20комплексной%20реконструкции%20мкр.%201%20Царицино</v>
      </c>
      <c r="J582" s="50"/>
      <c r="K582" s="58"/>
      <c r="L582" s="6">
        <v>30.0</v>
      </c>
      <c r="M582" s="52" t="s">
        <v>655</v>
      </c>
      <c r="N582" s="53" t="s">
        <v>698</v>
      </c>
      <c r="O582" s="6"/>
      <c r="P582" s="6"/>
      <c r="Q582" s="6" t="str">
        <f t="shared" si="1"/>
        <v>#N/A</v>
      </c>
      <c r="R582" s="6"/>
    </row>
    <row r="583" hidden="1">
      <c r="A583" s="31" t="str">
        <f>IFERROR(__xludf.DUMMYFUNCTION("""COMPUTED_VALUE"""),"НД")</f>
        <v>НД</v>
      </c>
      <c r="B583" s="14" t="str">
        <f>IFERROR(__xludf.DUMMYFUNCTION("""COMPUTED_VALUE"""),"АИП-27")</f>
        <v>АИП-27</v>
      </c>
      <c r="C583" s="14" t="str">
        <f>IFERROR(__xludf.DUMMYFUNCTION("""COMPUTED_VALUE"""),"УДС")</f>
        <v>УДС</v>
      </c>
      <c r="D583" s="15"/>
      <c r="E583" s="14" t="str">
        <f>IFERROR(__xludf.DUMMYFUNCTION("""COMPUTED_VALUE"""),"Технологическая часть ТПУ на станции метро ""Текстильщики"". Этапы 4, 5, 6, 7 г. Москва, м. ""Текстильщики""")</f>
        <v>Технологическая часть ТПУ на станции метро "Текстильщики". Этапы 4, 5, 6, 7 г. Москва, м. "Текстильщики"</v>
      </c>
      <c r="F583" s="25" t="str">
        <f>IFERROR(__xludf.DUMMYFUNCTION("""COMPUTED_VALUE"""),"#N/A")</f>
        <v>#N/A</v>
      </c>
      <c r="G583" s="6" t="str">
        <f>IFERROR(__xludf.DUMMYFUNCTION("""COMPUTED_VALUE"""),"#N/A")</f>
        <v>#N/A</v>
      </c>
      <c r="H583" s="6"/>
      <c r="I583" s="6"/>
      <c r="J583" s="50"/>
      <c r="K583" s="58"/>
      <c r="L583" s="6">
        <v>30.0</v>
      </c>
      <c r="M583" s="52" t="s">
        <v>655</v>
      </c>
      <c r="N583" s="53" t="s">
        <v>698</v>
      </c>
      <c r="O583" s="6" t="s">
        <v>1005</v>
      </c>
      <c r="P583" s="6"/>
      <c r="Q583" s="6" t="str">
        <f t="shared" si="1"/>
        <v>#N/A</v>
      </c>
      <c r="R583" s="6"/>
    </row>
    <row r="584" hidden="1">
      <c r="A584" s="31" t="str">
        <f>IFERROR(__xludf.DUMMYFUNCTION("""COMPUTED_VALUE"""),"НД")</f>
        <v>НД</v>
      </c>
      <c r="B584" s="14" t="str">
        <f>IFERROR(__xludf.DUMMYFUNCTION("""COMPUTED_VALUE"""),"АИП-27")</f>
        <v>АИП-27</v>
      </c>
      <c r="C584" s="14" t="str">
        <f>IFERROR(__xludf.DUMMYFUNCTION("""COMPUTED_VALUE"""),"УДС")</f>
        <v>УДС</v>
      </c>
      <c r="D584" s="15"/>
      <c r="E584" s="14" t="str">
        <f>IFERROR(__xludf.DUMMYFUNCTION("""COMPUTED_VALUE"""),"Реконструкция инженерной инфраструктуры на территории Административно-делового центра в п. Коммунарка. Теплосеть (2 этап) п.Коммунарка")</f>
        <v>Реконструкция инженерной инфраструктуры на территории Административно-делового центра в п. Коммунарка. Теплосеть (2 этап) п.Коммунарка</v>
      </c>
      <c r="F584" s="25" t="str">
        <f>IFERROR(__xludf.DUMMYFUNCTION("""COMPUTED_VALUE"""),"#N/A")</f>
        <v>#N/A</v>
      </c>
      <c r="G584" s="6" t="str">
        <f>IFERROR(__xludf.DUMMYFUNCTION("""COMPUTED_VALUE"""),"#N/A")</f>
        <v>#N/A</v>
      </c>
      <c r="H584" s="6"/>
      <c r="I584" s="6"/>
      <c r="J584" s="50"/>
      <c r="K584" s="58"/>
      <c r="L584" s="6">
        <v>30.0</v>
      </c>
      <c r="M584" s="52" t="s">
        <v>655</v>
      </c>
      <c r="N584" s="53" t="s">
        <v>698</v>
      </c>
      <c r="O584" s="6" t="s">
        <v>1006</v>
      </c>
      <c r="P584" s="6"/>
      <c r="Q584" s="6" t="str">
        <f t="shared" si="1"/>
        <v>#N/A</v>
      </c>
      <c r="R584" s="6"/>
    </row>
    <row r="585" hidden="1">
      <c r="A585" s="31" t="str">
        <f>IFERROR(__xludf.DUMMYFUNCTION("""COMPUTED_VALUE"""),"НД")</f>
        <v>НД</v>
      </c>
      <c r="B585" s="14" t="str">
        <f>IFERROR(__xludf.DUMMYFUNCTION("""COMPUTED_VALUE"""),"АИП-27")</f>
        <v>АИП-27</v>
      </c>
      <c r="C585" s="14" t="str">
        <f>IFERROR(__xludf.DUMMYFUNCTION("""COMPUTED_VALUE"""),"УДС")</f>
        <v>УДС</v>
      </c>
      <c r="D585" s="69"/>
      <c r="E585" s="14" t="str">
        <f>IFERROR(__xludf.DUMMYFUNCTION("""COMPUTED_VALUE"""),"Реконструкция инженерной инфраструктуры на территории Административно-делового центра в п. Коммунарка. Городская канализация п.Коммунарка")</f>
        <v>Реконструкция инженерной инфраструктуры на территории Административно-делового центра в п. Коммунарка. Городская канализация п.Коммунарка</v>
      </c>
      <c r="F585" s="25" t="str">
        <f>IFERROR(__xludf.DUMMYFUNCTION("""COMPUTED_VALUE"""),"#N/A")</f>
        <v>#N/A</v>
      </c>
      <c r="G585" s="6" t="str">
        <f>IFERROR(__xludf.DUMMYFUNCTION("""COMPUTED_VALUE"""),"#N/A")</f>
        <v>#N/A</v>
      </c>
      <c r="H585" s="6"/>
      <c r="I585" s="6"/>
      <c r="J585" s="50"/>
      <c r="K585" s="58"/>
      <c r="L585" s="6">
        <v>30.0</v>
      </c>
      <c r="M585" s="52" t="s">
        <v>655</v>
      </c>
      <c r="N585" s="53" t="s">
        <v>698</v>
      </c>
      <c r="O585" s="6" t="s">
        <v>1006</v>
      </c>
      <c r="P585" s="6"/>
      <c r="Q585" s="6" t="str">
        <f t="shared" si="1"/>
        <v>#N/A</v>
      </c>
      <c r="R585" s="6"/>
    </row>
    <row r="586" hidden="1">
      <c r="A586" s="31" t="str">
        <f>IFERROR(__xludf.DUMMYFUNCTION("""COMPUTED_VALUE"""),"НД")</f>
        <v>НД</v>
      </c>
      <c r="B586" s="14" t="str">
        <f>IFERROR(__xludf.DUMMYFUNCTION("""COMPUTED_VALUE"""),"АИП-27")</f>
        <v>АИП-27</v>
      </c>
      <c r="C586" s="14" t="str">
        <f>IFERROR(__xludf.DUMMYFUNCTION("""COMPUTED_VALUE"""),"УДС")</f>
        <v>УДС</v>
      </c>
      <c r="D586" s="60"/>
      <c r="E586" s="14" t="str">
        <f>IFERROR(__xludf.DUMMYFUNCTION("""COMPUTED_VALUE"""),"Реконструкция инженерной инфраструктуры на территории Административно-делового центра в п. Коммунарка. Городской водопровод п.Коммунарка")</f>
        <v>Реконструкция инженерной инфраструктуры на территории Административно-делового центра в п. Коммунарка. Городской водопровод п.Коммунарка</v>
      </c>
      <c r="F586" s="25" t="str">
        <f>IFERROR(__xludf.DUMMYFUNCTION("""COMPUTED_VALUE"""),"#N/A")</f>
        <v>#N/A</v>
      </c>
      <c r="G586" s="6" t="str">
        <f>IFERROR(__xludf.DUMMYFUNCTION("""COMPUTED_VALUE"""),"#N/A")</f>
        <v>#N/A</v>
      </c>
      <c r="H586" s="6"/>
      <c r="I586" s="6"/>
      <c r="J586" s="50"/>
      <c r="K586" s="58"/>
      <c r="L586" s="6">
        <v>30.0</v>
      </c>
      <c r="M586" s="52" t="s">
        <v>655</v>
      </c>
      <c r="N586" s="53" t="s">
        <v>698</v>
      </c>
      <c r="O586" s="6" t="s">
        <v>1007</v>
      </c>
      <c r="P586" s="6"/>
      <c r="Q586" s="6" t="str">
        <f t="shared" si="1"/>
        <v>#N/A</v>
      </c>
      <c r="R586" s="6"/>
    </row>
    <row r="587" hidden="1">
      <c r="A587" s="31" t="str">
        <f>IFERROR(__xludf.DUMMYFUNCTION("""COMPUTED_VALUE"""),"НД")</f>
        <v>НД</v>
      </c>
      <c r="B587" s="14" t="str">
        <f>IFERROR(__xludf.DUMMYFUNCTION("""COMPUTED_VALUE"""),"АИП-27")</f>
        <v>АИП-27</v>
      </c>
      <c r="C587" s="14" t="str">
        <f>IFERROR(__xludf.DUMMYFUNCTION("""COMPUTED_VALUE"""),"УДС")</f>
        <v>УДС</v>
      </c>
      <c r="D587" s="60"/>
      <c r="E587" s="14" t="str">
        <f>IFERROR(__xludf.DUMMYFUNCTION("""COMPUTED_VALUE"""),"Проектирование и строительство двух водозаборных узлов и закольцованной сети водоснабжения на территории пищевого и строительного кластеров п.Коммунарка")</f>
        <v>Проектирование и строительство двух водозаборных узлов и закольцованной сети водоснабжения на территории пищевого и строительного кластеров п.Коммунарка</v>
      </c>
      <c r="F587" s="25" t="str">
        <f>IFERROR(__xludf.DUMMYFUNCTION("""COMPUTED_VALUE"""),"#N/A")</f>
        <v>#N/A</v>
      </c>
      <c r="G587" s="6" t="str">
        <f>IFERROR(__xludf.DUMMYFUNCTION("""COMPUTED_VALUE"""),"#N/A")</f>
        <v>#N/A</v>
      </c>
      <c r="H587" s="6"/>
      <c r="I587" s="6"/>
      <c r="J587" s="50"/>
      <c r="K587" s="58"/>
      <c r="L587" s="6">
        <v>30.0</v>
      </c>
      <c r="M587" s="52" t="s">
        <v>655</v>
      </c>
      <c r="N587" s="53" t="s">
        <v>698</v>
      </c>
      <c r="O587" s="6" t="s">
        <v>1008</v>
      </c>
      <c r="P587" s="6"/>
      <c r="Q587" s="6" t="str">
        <f t="shared" si="1"/>
        <v>#N/A</v>
      </c>
      <c r="R587" s="6"/>
    </row>
    <row r="588" hidden="1">
      <c r="A588" s="31" t="str">
        <f>IFERROR(__xludf.DUMMYFUNCTION("""COMPUTED_VALUE"""),"НД")</f>
        <v>НД</v>
      </c>
      <c r="B588" s="14" t="str">
        <f>IFERROR(__xludf.DUMMYFUNCTION("""COMPUTED_VALUE"""),"АИП-27")</f>
        <v>АИП-27</v>
      </c>
      <c r="C588" s="14" t="str">
        <f>IFERROR(__xludf.DUMMYFUNCTION("""COMPUTED_VALUE"""),"УДС")</f>
        <v>УДС</v>
      </c>
      <c r="D588" s="60"/>
      <c r="E588" s="14" t="str">
        <f>IFERROR(__xludf.DUMMYFUNCTION("""COMPUTED_VALUE"""),"Проектирование и строительство канализационной насосной станции и очистного сооружения с линией канализования п.Коммунарка")</f>
        <v>Проектирование и строительство канализационной насосной станции и очистного сооружения с линией канализования п.Коммунарка</v>
      </c>
      <c r="F588" s="25" t="str">
        <f>IFERROR(__xludf.DUMMYFUNCTION("""COMPUTED_VALUE"""),"#N/A")</f>
        <v>#N/A</v>
      </c>
      <c r="G588" s="6" t="str">
        <f>IFERROR(__xludf.DUMMYFUNCTION("""COMPUTED_VALUE"""),"#N/A")</f>
        <v>#N/A</v>
      </c>
      <c r="H588" s="6"/>
      <c r="I588" s="6"/>
      <c r="J588" s="50"/>
      <c r="K588" s="58"/>
      <c r="L588" s="6">
        <v>30.0</v>
      </c>
      <c r="M588" s="52" t="s">
        <v>655</v>
      </c>
      <c r="N588" s="53" t="s">
        <v>698</v>
      </c>
      <c r="O588" s="6" t="s">
        <v>1009</v>
      </c>
      <c r="P588" s="6"/>
      <c r="Q588" s="6" t="str">
        <f t="shared" si="1"/>
        <v>#N/A</v>
      </c>
      <c r="R588" s="6"/>
    </row>
    <row r="589" hidden="1">
      <c r="A589" s="31" t="str">
        <f>IFERROR(__xludf.DUMMYFUNCTION("""COMPUTED_VALUE"""),"НД")</f>
        <v>НД</v>
      </c>
      <c r="B589" s="14" t="str">
        <f>IFERROR(__xludf.DUMMYFUNCTION("""COMPUTED_VALUE"""),"АИП-27")</f>
        <v>АИП-27</v>
      </c>
      <c r="C589" s="14" t="str">
        <f>IFERROR(__xludf.DUMMYFUNCTION("""COMPUTED_VALUE"""),"УДС")</f>
        <v>УДС</v>
      </c>
      <c r="D589" s="60"/>
      <c r="E589" s="14" t="str">
        <f>IFERROR(__xludf.DUMMYFUNCTION("""COMPUTED_VALUE"""),"Проектирование и строительство локальных очистных сооружений с подводящим коллектором поселение поселения Щаповское, в районе села Ознобишено.")</f>
        <v>Проектирование и строительство локальных очистных сооружений с подводящим коллектором поселение поселения Щаповское, в районе села Ознобишено.</v>
      </c>
      <c r="F589" s="25" t="str">
        <f>IFERROR(__xludf.DUMMYFUNCTION("""COMPUTED_VALUE"""),"#N/A")</f>
        <v>#N/A</v>
      </c>
      <c r="G589" s="6" t="str">
        <f>IFERROR(__xludf.DUMMYFUNCTION("""COMPUTED_VALUE"""),"#N/A")</f>
        <v>#N/A</v>
      </c>
      <c r="H589" s="6"/>
      <c r="I589" s="6"/>
      <c r="J589" s="50"/>
      <c r="K589" s="58"/>
      <c r="L589" s="6">
        <v>30.0</v>
      </c>
      <c r="M589" s="52" t="s">
        <v>655</v>
      </c>
      <c r="N589" s="53" t="s">
        <v>698</v>
      </c>
      <c r="O589" s="6" t="s">
        <v>1010</v>
      </c>
      <c r="P589" s="6"/>
      <c r="Q589" s="6" t="str">
        <f t="shared" si="1"/>
        <v>#N/A</v>
      </c>
      <c r="R589" s="6"/>
    </row>
    <row r="590" hidden="1">
      <c r="A590" s="31" t="str">
        <f>IFERROR(__xludf.DUMMYFUNCTION("""COMPUTED_VALUE"""),"НД")</f>
        <v>НД</v>
      </c>
      <c r="B590" s="14" t="str">
        <f>IFERROR(__xludf.DUMMYFUNCTION("""COMPUTED_VALUE"""),"АИП-27")</f>
        <v>АИП-27</v>
      </c>
      <c r="C590" s="14" t="str">
        <f>IFERROR(__xludf.DUMMYFUNCTION("""COMPUTED_VALUE"""),"УДС")</f>
        <v>УДС</v>
      </c>
      <c r="D590" s="60"/>
      <c r="E590" s="14" t="str">
        <f>IFERROR(__xludf.DUMMYFUNCTION("""COMPUTED_VALUE"""),"Строительство хозяйственно-бытовой канализации в пос. Шишкин лес п.Коммунарка")</f>
        <v>Строительство хозяйственно-бытовой канализации в пос. Шишкин лес п.Коммунарка</v>
      </c>
      <c r="F590" s="25" t="str">
        <f>IFERROR(__xludf.DUMMYFUNCTION("""COMPUTED_VALUE"""),"#N/A")</f>
        <v>#N/A</v>
      </c>
      <c r="G590" s="6" t="str">
        <f>IFERROR(__xludf.DUMMYFUNCTION("""COMPUTED_VALUE"""),"#N/A")</f>
        <v>#N/A</v>
      </c>
      <c r="H590" s="6"/>
      <c r="I590" s="6"/>
      <c r="J590" s="50"/>
      <c r="K590" s="58"/>
      <c r="L590" s="6">
        <v>30.0</v>
      </c>
      <c r="M590" s="52" t="s">
        <v>655</v>
      </c>
      <c r="N590" s="53" t="s">
        <v>698</v>
      </c>
      <c r="O590" s="6" t="s">
        <v>1011</v>
      </c>
      <c r="P590" s="6"/>
      <c r="Q590" s="6" t="str">
        <f t="shared" si="1"/>
        <v>#N/A</v>
      </c>
      <c r="R590" s="6"/>
    </row>
    <row r="591" hidden="1">
      <c r="A591" s="31" t="str">
        <f>IFERROR(__xludf.DUMMYFUNCTION("""COMPUTED_VALUE"""),"211")</f>
        <v>211</v>
      </c>
      <c r="B591" s="14" t="str">
        <f>IFERROR(__xludf.DUMMYFUNCTION("""COMPUTED_VALUE"""),"АИП-27")</f>
        <v>АИП-27</v>
      </c>
      <c r="C591" s="14" t="str">
        <f>IFERROR(__xludf.DUMMYFUNCTION("""COMPUTED_VALUE"""),"ОКС")</f>
        <v>ОКС</v>
      </c>
      <c r="D591" s="60"/>
      <c r="E591" s="14" t="str">
        <f>IFERROR(__xludf.DUMMYFUNCTION("""COMPUTED_VALUE"""),"Жилой дом с инженерными коммуникациями, благоустройством, р-н Покрово-Стрешнево, ул. Лётная, участок 4 Лётная ул., участок 4")</f>
        <v>Жилой дом с инженерными коммуникациями, благоустройством, р-н Покрово-Стрешнево, ул. Лётная, участок 4 Лётная ул., участок 4</v>
      </c>
      <c r="F591" s="25" t="str">
        <f>IFERROR(__xludf.DUMMYFUNCTION("""COMPUTED_VALUE"""),"55.824357")</f>
        <v>55.824357</v>
      </c>
      <c r="G591" s="6" t="str">
        <f>IFERROR(__xludf.DUMMYFUNCTION("""COMPUTED_VALUE"""),"37.423881")</f>
        <v>37.423881</v>
      </c>
      <c r="H591" s="18" t="str">
        <f>IFERROR(__xludf.DUMMYFUNCTION("""COMPUTED_VALUE"""),"https://docs.google.com/spreadsheets/d/19THEBTE9q0fhN2eApZr6BgenIvLGh0AckaYxHQfHk5w/edit?gid=1676523530#gid=1676523530")</f>
        <v>https://docs.google.com/spreadsheets/d/19THEBTE9q0fhN2eApZr6BgenIvLGh0AckaYxHQfHk5w/edit?gid=1676523530#gid=1676523530</v>
      </c>
      <c r="I591" s="19" t="str">
        <f>IFERROR(__xludf.DUMMYFUNCTION("""COMPUTED_VALUE"""),"https://disk.yandex.ru/client/disk/Осмотры%20объектов%20АНО%20СМГ/211.%20ул.%20Летная%2C%20уч.%204")</f>
        <v>https://disk.yandex.ru/client/disk/Осмотры%20объектов%20АНО%20СМГ/211.%20ул.%20Летная%2C%20уч.%204</v>
      </c>
      <c r="J591" s="50">
        <f>IFERROR(__xludf.DUMMYFUNCTION("""COMPUTED_VALUE"""),0.0)</f>
        <v>0</v>
      </c>
      <c r="K591" s="58">
        <f>IFERROR(__xludf.DUMMYFUNCTION("""COMPUTED_VALUE"""),45971.0)</f>
        <v>45971</v>
      </c>
      <c r="L591" s="6">
        <v>30.0</v>
      </c>
      <c r="M591" s="52">
        <v>46001.0</v>
      </c>
      <c r="N591" s="53" t="s">
        <v>711</v>
      </c>
      <c r="O591" s="19" t="s">
        <v>1012</v>
      </c>
      <c r="P591" s="6"/>
      <c r="Q591" s="6" t="str">
        <f t="shared" si="1"/>
        <v>#N/A</v>
      </c>
      <c r="R591" s="6"/>
    </row>
    <row r="592" hidden="1">
      <c r="A592" s="31" t="str">
        <f>IFERROR(__xludf.DUMMYFUNCTION("""COMPUTED_VALUE"""),"240")</f>
        <v>240</v>
      </c>
      <c r="B592" s="14" t="str">
        <f>IFERROR(__xludf.DUMMYFUNCTION("""COMPUTED_VALUE"""),"АИП-27")</f>
        <v>АИП-27</v>
      </c>
      <c r="C592" s="14" t="str">
        <f>IFERROR(__xludf.DUMMYFUNCTION("""COMPUTED_VALUE"""),"ОКС")</f>
        <v>ОКС</v>
      </c>
      <c r="D592" s="60"/>
      <c r="E592" s="14" t="str">
        <f>IFERROR(__xludf.DUMMYFUNCTION("""COMPUTED_VALUE"""),"Многофункциональный спортивный комплекс ул. Москворечье, д. 4, к. 1")</f>
        <v>Многофункциональный спортивный комплекс ул. Москворечье, д. 4, к. 1</v>
      </c>
      <c r="F592" s="25" t="str">
        <f>IFERROR(__xludf.DUMMYFUNCTION("""COMPUTED_VALUE"""),"55.644816")</f>
        <v>55.644816</v>
      </c>
      <c r="G592" s="6" t="str">
        <f>IFERROR(__xludf.DUMMYFUNCTION("""COMPUTED_VALUE"""),"37.650969")</f>
        <v>37.650969</v>
      </c>
      <c r="H592" s="18" t="str">
        <f>IFERROR(__xludf.DUMMYFUNCTION("""COMPUTED_VALUE"""),"https://docs.google.com/spreadsheets/d/19THEBTE9q0fhN2eApZr6BgenIvLGh0AckaYxHQfHk5w/edit?gid=1484428884#gid=1484428884")</f>
        <v>https://docs.google.com/spreadsheets/d/19THEBTE9q0fhN2eApZr6BgenIvLGh0AckaYxHQfHk5w/edit?gid=1484428884#gid=1484428884</v>
      </c>
      <c r="I592" s="19"/>
      <c r="J592" s="50">
        <f>IFERROR(__xludf.DUMMYFUNCTION("""COMPUTED_VALUE"""),2.6785)</f>
        <v>2.6785</v>
      </c>
      <c r="K592" s="58">
        <f>IFERROR(__xludf.DUMMYFUNCTION("""COMPUTED_VALUE"""),45967.0)</f>
        <v>45967</v>
      </c>
      <c r="L592" s="6">
        <v>30.0</v>
      </c>
      <c r="M592" s="52">
        <v>45997.0</v>
      </c>
      <c r="N592" s="53" t="s">
        <v>711</v>
      </c>
      <c r="O592" s="19" t="s">
        <v>1013</v>
      </c>
      <c r="P592" s="6"/>
      <c r="Q592" s="6" t="str">
        <f t="shared" si="1"/>
        <v>#N/A</v>
      </c>
      <c r="R592" s="6"/>
    </row>
    <row r="593" hidden="1">
      <c r="A593" s="31" t="str">
        <f>IFERROR(__xludf.DUMMYFUNCTION("""COMPUTED_VALUE"""),"438д")</f>
        <v>438д</v>
      </c>
      <c r="B593" s="14" t="str">
        <f>IFERROR(__xludf.DUMMYFUNCTION("""COMPUTED_VALUE"""),"АИП-27")</f>
        <v>АИП-27</v>
      </c>
      <c r="C593" s="14" t="str">
        <f>IFERROR(__xludf.DUMMYFUNCTION("""COMPUTED_VALUE"""),"УДС")</f>
        <v>УДС</v>
      </c>
      <c r="D593" s="60"/>
      <c r="E593" s="14" t="str">
        <f>IFERROR(__xludf.DUMMYFUNCTION("""COMPUTED_VALUE"""),"Надземный пешеходный переход через МКАД в районе станции метрополитена ""Тютчевская"" в районе станции метрополитена ""Тютчевская""")</f>
        <v>Надземный пешеходный переход через МКАД в районе станции метрополитена "Тютчевская" в районе станции метрополитена "Тютчевская"</v>
      </c>
      <c r="F593" s="25" t="str">
        <f>IFERROR(__xludf.DUMMYFUNCTION("""COMPUTED_VALUE"""),"#N/A")</f>
        <v>#N/A</v>
      </c>
      <c r="G593" s="6" t="str">
        <f>IFERROR(__xludf.DUMMYFUNCTION("""COMPUTED_VALUE"""),"#N/A")</f>
        <v>#N/A</v>
      </c>
      <c r="H593" s="6"/>
      <c r="I593" s="6"/>
      <c r="J593" s="50">
        <f>IFERROR(__xludf.DUMMYFUNCTION("""COMPUTED_VALUE"""),0.0)</f>
        <v>0</v>
      </c>
      <c r="K593" s="58">
        <f>IFERROR(__xludf.DUMMYFUNCTION("""COMPUTED_VALUE"""),45961.0)</f>
        <v>45961</v>
      </c>
      <c r="L593" s="6">
        <v>30.0</v>
      </c>
      <c r="M593" s="52">
        <v>45991.0</v>
      </c>
      <c r="N593" s="53" t="s">
        <v>692</v>
      </c>
      <c r="O593" s="6" t="s">
        <v>893</v>
      </c>
      <c r="P593" s="6"/>
      <c r="Q593" s="6" t="str">
        <f t="shared" si="1"/>
        <v>#N/A</v>
      </c>
      <c r="R593" s="6"/>
    </row>
    <row r="594" hidden="1">
      <c r="A594" s="31" t="str">
        <f>IFERROR(__xludf.DUMMYFUNCTION("""COMPUTED_VALUE"""),"НД")</f>
        <v>НД</v>
      </c>
      <c r="B594" s="14" t="str">
        <f>IFERROR(__xludf.DUMMYFUNCTION("""COMPUTED_VALUE"""),"АИП-27")</f>
        <v>АИП-27</v>
      </c>
      <c r="C594" s="14" t="str">
        <f>IFERROR(__xludf.DUMMYFUNCTION("""COMPUTED_VALUE"""),"УДС")</f>
        <v>УДС</v>
      </c>
      <c r="D594" s="60"/>
      <c r="E594" s="14" t="str">
        <f>IFERROR(__xludf.DUMMYFUNCTION("""COMPUTED_VALUE"""),"Строительство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f>
        <v>Строительство эстакады по основному ходу ш.Энтузиастов на пересечении со Свободным пр-ктом и Большим Купавенским пр. пересечение со Свободным пр-ктом и Большим Купавенским пр.</v>
      </c>
      <c r="F594" s="25" t="str">
        <f>IFERROR(__xludf.DUMMYFUNCTION("""COMPUTED_VALUE"""),"#N/A")</f>
        <v>#N/A</v>
      </c>
      <c r="G594" s="6" t="str">
        <f>IFERROR(__xludf.DUMMYFUNCTION("""COMPUTED_VALUE"""),"#N/A")</f>
        <v>#N/A</v>
      </c>
      <c r="H594" s="6"/>
      <c r="I594" s="6"/>
      <c r="J594" s="50"/>
      <c r="K594" s="58"/>
      <c r="L594" s="6">
        <v>30.0</v>
      </c>
      <c r="M594" s="52" t="s">
        <v>655</v>
      </c>
      <c r="N594" s="53" t="s">
        <v>698</v>
      </c>
      <c r="O594" s="6" t="s">
        <v>926</v>
      </c>
      <c r="P594" s="6"/>
      <c r="Q594" s="6" t="str">
        <f t="shared" si="1"/>
        <v>#N/A</v>
      </c>
      <c r="R594" s="6"/>
    </row>
    <row r="595" hidden="1">
      <c r="A595" s="31" t="str">
        <f>IFERROR(__xludf.DUMMYFUNCTION("""COMPUTED_VALUE"""),"287д(эт1.2)")</f>
        <v>287д(эт1.2)</v>
      </c>
      <c r="B595" s="14" t="str">
        <f>IFERROR(__xludf.DUMMYFUNCTION("""COMPUTED_VALUE"""),"АИП-27")</f>
        <v>АИП-27</v>
      </c>
      <c r="C595" s="14" t="str">
        <f>IFERROR(__xludf.DUMMYFUNCTION("""COMPUTED_VALUE"""),"УДС")</f>
        <v>УДС</v>
      </c>
      <c r="D595" s="60"/>
      <c r="E595" s="14" t="str">
        <f>IFERROR(__xludf.DUMMYFUNCTION("""COMPUTED_VALUE"""),"Развитие улично-дорожной сети Молжаниновского района. Этап 1.2. Молжаниновский район")</f>
        <v>Развитие улично-дорожной сети Молжаниновского района. Этап 1.2. Молжаниновский район</v>
      </c>
      <c r="F595" s="25" t="str">
        <f>IFERROR(__xludf.DUMMYFUNCTION("""COMPUTED_VALUE"""),"#N/A")</f>
        <v>#N/A</v>
      </c>
      <c r="G595" s="6" t="str">
        <f>IFERROR(__xludf.DUMMYFUNCTION("""COMPUTED_VALUE"""),"#N/A")</f>
        <v>#N/A</v>
      </c>
      <c r="H595" s="6"/>
      <c r="I595" s="6"/>
      <c r="J595" s="50">
        <f>IFERROR(__xludf.DUMMYFUNCTION("""COMPUTED_VALUE"""),0.0)</f>
        <v>0</v>
      </c>
      <c r="K595" s="58">
        <f>IFERROR(__xludf.DUMMYFUNCTION("""COMPUTED_VALUE"""),45971.0)</f>
        <v>45971</v>
      </c>
      <c r="L595" s="6">
        <v>30.0</v>
      </c>
      <c r="M595" s="52">
        <v>46001.0</v>
      </c>
      <c r="N595" s="53" t="s">
        <v>711</v>
      </c>
      <c r="O595" s="6" t="s">
        <v>893</v>
      </c>
      <c r="P595" s="6"/>
      <c r="Q595" s="6" t="str">
        <f t="shared" si="1"/>
        <v>#N/A</v>
      </c>
      <c r="R595" s="6"/>
    </row>
    <row r="596" hidden="1">
      <c r="A596" s="31" t="str">
        <f>IFERROR(__xludf.DUMMYFUNCTION("""COMPUTED_VALUE"""),"439д")</f>
        <v>439д</v>
      </c>
      <c r="B596" s="14" t="str">
        <f>IFERROR(__xludf.DUMMYFUNCTION("""COMPUTED_VALUE"""),"АИП-27")</f>
        <v>АИП-27</v>
      </c>
      <c r="C596" s="14" t="str">
        <f>IFERROR(__xludf.DUMMYFUNCTION("""COMPUTED_VALUE"""),"УДС")</f>
        <v>УДС</v>
      </c>
      <c r="D596" s="60"/>
      <c r="E596" s="14" t="str">
        <f>IFERROR(__xludf.DUMMYFUNCTION("""COMPUTED_VALUE"""),"Улица местного значения (проектируемый пр-д 8042). Этап 1 проектируемый пр-д 8042")</f>
        <v>Улица местного значения (проектируемый пр-д 8042). Этап 1 проектируемый пр-д 8042</v>
      </c>
      <c r="F596" s="25" t="str">
        <f>IFERROR(__xludf.DUMMYFUNCTION("""COMPUTED_VALUE"""),"#N/A")</f>
        <v>#N/A</v>
      </c>
      <c r="G596" s="6" t="str">
        <f>IFERROR(__xludf.DUMMYFUNCTION("""COMPUTED_VALUE"""),"#N/A")</f>
        <v>#N/A</v>
      </c>
      <c r="H596" s="6"/>
      <c r="I596" s="6"/>
      <c r="J596" s="50">
        <f>IFERROR(__xludf.DUMMYFUNCTION("""COMPUTED_VALUE"""),0.0)</f>
        <v>0</v>
      </c>
      <c r="K596" s="58"/>
      <c r="L596" s="6">
        <v>30.0</v>
      </c>
      <c r="M596" s="52" t="s">
        <v>655</v>
      </c>
      <c r="N596" s="53" t="s">
        <v>698</v>
      </c>
      <c r="O596" s="6" t="s">
        <v>893</v>
      </c>
      <c r="P596" s="6"/>
      <c r="Q596" s="6" t="str">
        <f t="shared" si="1"/>
        <v>#N/A</v>
      </c>
      <c r="R596" s="6"/>
    </row>
    <row r="597" hidden="1">
      <c r="A597" s="31" t="str">
        <f>IFERROR(__xludf.DUMMYFUNCTION("""COMPUTED_VALUE"""),"426д")</f>
        <v>426д</v>
      </c>
      <c r="B597" s="14" t="str">
        <f>IFERROR(__xludf.DUMMYFUNCTION("""COMPUTED_VALUE"""),"АИП-27")</f>
        <v>АИП-27</v>
      </c>
      <c r="C597" s="14" t="str">
        <f>IFERROR(__xludf.DUMMYFUNCTION("""COMPUTED_VALUE"""),"УДС")</f>
        <v>УДС</v>
      </c>
      <c r="D597" s="60"/>
      <c r="E597" s="14" t="str">
        <f>IFERROR(__xludf.DUMMYFUNCTION("""COMPUTED_VALUE"""),"Транспортная развязка и мостовые сооружения на территории Мневниковской поймы с примыканием к Северо-Западной хорде. Пешеходный мост Фили территория Мневниковской поймы")</f>
        <v>Транспортная развязка и мостовые сооружения на территории Мневниковской поймы с примыканием к Северо-Западной хорде. Пешеходный мост Фили территория Мневниковской поймы</v>
      </c>
      <c r="F597" s="25" t="str">
        <f>IFERROR(__xludf.DUMMYFUNCTION("""COMPUTED_VALUE"""),"#N/A")</f>
        <v>#N/A</v>
      </c>
      <c r="G597" s="6" t="str">
        <f>IFERROR(__xludf.DUMMYFUNCTION("""COMPUTED_VALUE"""),"#N/A")</f>
        <v>#N/A</v>
      </c>
      <c r="H597" s="6"/>
      <c r="I597" s="6"/>
      <c r="J597" s="50">
        <f>IFERROR(__xludf.DUMMYFUNCTION("""COMPUTED_VALUE"""),1.024)</f>
        <v>1.024</v>
      </c>
      <c r="K597" s="58"/>
      <c r="L597" s="6">
        <v>30.0</v>
      </c>
      <c r="M597" s="52" t="s">
        <v>655</v>
      </c>
      <c r="N597" s="53" t="s">
        <v>698</v>
      </c>
      <c r="O597" s="6" t="s">
        <v>893</v>
      </c>
      <c r="P597" s="6"/>
      <c r="Q597" s="6" t="str">
        <f t="shared" si="1"/>
        <v>#N/A</v>
      </c>
      <c r="R597" s="6"/>
    </row>
    <row r="598" hidden="1">
      <c r="A598" s="31" t="str">
        <f>IFERROR(__xludf.DUMMYFUNCTION("""COMPUTED_VALUE"""),"317")</f>
        <v>317</v>
      </c>
      <c r="B598" s="14" t="str">
        <f>IFERROR(__xludf.DUMMYFUNCTION("""COMPUTED_VALUE"""),"АИП-27")</f>
        <v>АИП-27</v>
      </c>
      <c r="C598" s="14" t="str">
        <f>IFERROR(__xludf.DUMMYFUNCTION("""COMPUTED_VALUE"""),"ОКС")</f>
        <v>ОКС</v>
      </c>
      <c r="D598" s="60"/>
      <c r="E598" s="14" t="str">
        <f>IFERROR(__xludf.DUMMYFUNCTION("""COMPUTED_VALUE"""),"Административное здание р-н Зюзино, ул. Азовская, влд. 26")</f>
        <v>Административное здание р-н Зюзино, ул. Азовская, влд. 26</v>
      </c>
      <c r="F598" s="25" t="str">
        <f>IFERROR(__xludf.DUMMYFUNCTION("""COMPUTED_VALUE"""),"#N/A")</f>
        <v>#N/A</v>
      </c>
      <c r="G598" s="6" t="str">
        <f>IFERROR(__xludf.DUMMYFUNCTION("""COMPUTED_VALUE"""),"#N/A")</f>
        <v>#N/A</v>
      </c>
      <c r="H598" s="18" t="str">
        <f>IFERROR(__xludf.DUMMYFUNCTION("""COMPUTED_VALUE"""),"https://docs.google.com/spreadsheets/d/19THEBTE9q0fhN2eApZr6BgenIvLGh0AckaYxHQfHk5w/edit?gid=1720182899#gid=1720182899")</f>
        <v>https://docs.google.com/spreadsheets/d/19THEBTE9q0fhN2eApZr6BgenIvLGh0AckaYxHQfHk5w/edit?gid=1720182899#gid=1720182899</v>
      </c>
      <c r="I598" s="19" t="str">
        <f>IFERROR(__xludf.DUMMYFUNCTION("""COMPUTED_VALUE"""),"https://disk.yandex.ru/client/disk/Осмотры%20объектов%20АНО%20СМГ/317.%20ул.%20Азовская%20влд.26%20Административное%20здание")</f>
        <v>https://disk.yandex.ru/client/disk/Осмотры%20объектов%20АНО%20СМГ/317.%20ул.%20Азовская%20влд.26%20Административное%20здание</v>
      </c>
      <c r="J598" s="50">
        <f>IFERROR(__xludf.DUMMYFUNCTION("""COMPUTED_VALUE"""),0.0)</f>
        <v>0</v>
      </c>
      <c r="K598" s="58"/>
      <c r="L598" s="6">
        <v>30.0</v>
      </c>
      <c r="M598" s="52" t="s">
        <v>655</v>
      </c>
      <c r="N598" s="53" t="s">
        <v>698</v>
      </c>
      <c r="O598" s="19" t="s">
        <v>1014</v>
      </c>
      <c r="P598" s="6"/>
      <c r="Q598" s="6" t="str">
        <f t="shared" si="1"/>
        <v>#N/A</v>
      </c>
      <c r="R598" s="6"/>
    </row>
    <row r="599" hidden="1">
      <c r="A599" s="31" t="str">
        <f>IFERROR(__xludf.DUMMYFUNCTION("""COMPUTED_VALUE"""),"310")</f>
        <v>310</v>
      </c>
      <c r="B599" s="14" t="str">
        <f>IFERROR(__xludf.DUMMYFUNCTION("""COMPUTED_VALUE"""),"АИП-27")</f>
        <v>АИП-27</v>
      </c>
      <c r="C599" s="14" t="str">
        <f>IFERROR(__xludf.DUMMYFUNCTION("""COMPUTED_VALUE"""),"ОКС")</f>
        <v>ОКС</v>
      </c>
      <c r="D599" s="60"/>
      <c r="E599" s="14" t="str">
        <f>IFERROR(__xludf.DUMMYFUNCTION("""COMPUTED_VALUE"""),"Административное здание Чертановская ул., вл.25А, район Центральное Чертаново")</f>
        <v>Административное здание Чертановская ул., вл.25А, район Центральное Чертаново</v>
      </c>
      <c r="F599" s="25" t="str">
        <f>IFERROR(__xludf.DUMMYFUNCTION("""COMPUTED_VALUE"""),"#N/A")</f>
        <v>#N/A</v>
      </c>
      <c r="G599" s="6" t="str">
        <f>IFERROR(__xludf.DUMMYFUNCTION("""COMPUTED_VALUE"""),"#N/A")</f>
        <v>#N/A</v>
      </c>
      <c r="H599" s="18" t="str">
        <f>IFERROR(__xludf.DUMMYFUNCTION("""COMPUTED_VALUE"""),"https://docs.google.com/spreadsheets/d/19THEBTE9q0fhN2eApZr6BgenIvLGh0AckaYxHQfHk5w/edit?gid=323323731#gid=323323731")</f>
        <v>https://docs.google.com/spreadsheets/d/19THEBTE9q0fhN2eApZr6BgenIvLGh0AckaYxHQfHk5w/edit?gid=323323731#gid=323323731</v>
      </c>
      <c r="I599" s="19" t="str">
        <f>IFERROR(__xludf.DUMMYFUNCTION("""COMPUTED_VALUE"""),"https://disk.yandex.ru/client/disk/Осмотры%20объектов%20АНО%20СМГ/310.%20Административное%20здание%20%2C%20ул.%20Чертановская%2025А%2C%20р-н%20Центральное%20Чертаново")</f>
        <v>https://disk.yandex.ru/client/disk/Осмотры%20объектов%20АНО%20СМГ/310.%20Административное%20здание%20%2C%20ул.%20Чертановская%2025А%2C%20р-н%20Центральное%20Чертаново</v>
      </c>
      <c r="J599" s="50">
        <f>IFERROR(__xludf.DUMMYFUNCTION("""COMPUTED_VALUE"""),0.0)</f>
        <v>0</v>
      </c>
      <c r="K599" s="58">
        <f>IFERROR(__xludf.DUMMYFUNCTION("""COMPUTED_VALUE"""),45681.0)</f>
        <v>45681</v>
      </c>
      <c r="L599" s="6">
        <v>30.0</v>
      </c>
      <c r="M599" s="52">
        <v>45711.0</v>
      </c>
      <c r="N599" s="53" t="s">
        <v>668</v>
      </c>
      <c r="O599" s="19" t="s">
        <v>1015</v>
      </c>
      <c r="P599" s="6"/>
      <c r="Q599" s="6" t="str">
        <f t="shared" si="1"/>
        <v>#N/A</v>
      </c>
      <c r="R599" s="6"/>
    </row>
    <row r="600" hidden="1">
      <c r="A600" s="31" t="str">
        <f>IFERROR(__xludf.DUMMYFUNCTION("""COMPUTED_VALUE"""),"208д")</f>
        <v>208д</v>
      </c>
      <c r="B600" s="14" t="str">
        <f>IFERROR(__xludf.DUMMYFUNCTION("""COMPUTED_VALUE"""),"АИП-27")</f>
        <v>АИП-27</v>
      </c>
      <c r="C600" s="14" t="str">
        <f>IFERROR(__xludf.DUMMYFUNCTION("""COMPUTED_VALUE"""),"УДС")</f>
        <v>УДС</v>
      </c>
      <c r="D600" s="60"/>
      <c r="E600" s="14" t="str">
        <f>IFERROR(__xludf.DUMMYFUNCTION("""COMPUTED_VALUE"""),"Транспортная развязка и мостовые сооружения на территории Мневниковской поймы с примыканием к Северо-Западной хорде. Пешеходный мост на ул.Островная территория Мневниковской поймы")</f>
        <v>Транспортная развязка и мостовые сооружения на территории Мневниковской поймы с примыканием к Северо-Западной хорде. Пешеходный мост на ул.Островная территория Мневниковской поймы</v>
      </c>
      <c r="F600" s="25" t="str">
        <f>IFERROR(__xludf.DUMMYFUNCTION("""COMPUTED_VALUE"""),"#N/A")</f>
        <v>#N/A</v>
      </c>
      <c r="G600" s="6" t="str">
        <f>IFERROR(__xludf.DUMMYFUNCTION("""COMPUTED_VALUE"""),"#N/A")</f>
        <v>#N/A</v>
      </c>
      <c r="H600" s="6"/>
      <c r="I600" s="6"/>
      <c r="J600" s="50">
        <f>IFERROR(__xludf.DUMMYFUNCTION("""COMPUTED_VALUE"""),1.584)</f>
        <v>1.584</v>
      </c>
      <c r="K600" s="58">
        <f>IFERROR(__xludf.DUMMYFUNCTION("""COMPUTED_VALUE"""),45972.0)</f>
        <v>45972</v>
      </c>
      <c r="L600" s="6">
        <v>30.0</v>
      </c>
      <c r="M600" s="52">
        <v>46002.0</v>
      </c>
      <c r="N600" s="53" t="s">
        <v>711</v>
      </c>
      <c r="O600" s="6" t="s">
        <v>1016</v>
      </c>
      <c r="P600" s="6"/>
      <c r="Q600" s="6" t="str">
        <f t="shared" si="1"/>
        <v>#N/A</v>
      </c>
      <c r="R600" s="6"/>
    </row>
    <row r="601" hidden="1">
      <c r="A601" s="31" t="str">
        <f>IFERROR(__xludf.DUMMYFUNCTION("""COMPUTED_VALUE"""),"421д")</f>
        <v>421д</v>
      </c>
      <c r="B601" s="14" t="str">
        <f>IFERROR(__xludf.DUMMYFUNCTION("""COMPUTED_VALUE"""),"АИП-27")</f>
        <v>АИП-27</v>
      </c>
      <c r="C601" s="14" t="str">
        <f>IFERROR(__xludf.DUMMYFUNCTION("""COMPUTED_VALUE"""),"УДС")</f>
        <v>УДС</v>
      </c>
      <c r="D601" s="60"/>
      <c r="E601" s="14" t="str">
        <f>IFERROR(__xludf.DUMMYFUNCTION("""COMPUTED_VALUE"""),"Реконструкция Рублевского шоссе и строительство моста через р. Москву Рублевское шоссе Рублевское шоссе")</f>
        <v>Реконструкция Рублевского шоссе и строительство моста через р. Москву Рублевское шоссе Рублевское шоссе</v>
      </c>
      <c r="F601" s="25" t="str">
        <f>IFERROR(__xludf.DUMMYFUNCTION("""COMPUTED_VALUE"""),"#N/A")</f>
        <v>#N/A</v>
      </c>
      <c r="G601" s="6" t="str">
        <f>IFERROR(__xludf.DUMMYFUNCTION("""COMPUTED_VALUE"""),"#N/A")</f>
        <v>#N/A</v>
      </c>
      <c r="H601" s="6"/>
      <c r="I601" s="6"/>
      <c r="J601" s="50">
        <f>IFERROR(__xludf.DUMMYFUNCTION("""COMPUTED_VALUE"""),0.0)</f>
        <v>0</v>
      </c>
      <c r="K601" s="58">
        <f>IFERROR(__xludf.DUMMYFUNCTION("""COMPUTED_VALUE"""),45960.0)</f>
        <v>45960</v>
      </c>
      <c r="L601" s="6">
        <v>30.0</v>
      </c>
      <c r="M601" s="52">
        <v>45990.0</v>
      </c>
      <c r="N601" s="53" t="s">
        <v>692</v>
      </c>
      <c r="O601" s="6" t="s">
        <v>893</v>
      </c>
      <c r="P601" s="6"/>
      <c r="Q601" s="6" t="str">
        <f t="shared" si="1"/>
        <v>#N/A</v>
      </c>
      <c r="R601" s="6"/>
    </row>
    <row r="602" hidden="1">
      <c r="A602" s="31" t="str">
        <f>IFERROR(__xludf.DUMMYFUNCTION("""COMPUTED_VALUE"""),"460д")</f>
        <v>460д</v>
      </c>
      <c r="B602" s="14" t="str">
        <f>IFERROR(__xludf.DUMMYFUNCTION("""COMPUTED_VALUE"""),"АИП-27")</f>
        <v>АИП-27</v>
      </c>
      <c r="C602" s="14" t="str">
        <f>IFERROR(__xludf.DUMMYFUNCTION("""COMPUTED_VALUE"""),"УДС")</f>
        <v>УДС</v>
      </c>
      <c r="D602" s="15"/>
      <c r="E602" s="14" t="str">
        <f>IFERROR(__xludf.DUMMYFUNCTION("""COMPUTED_VALUE"""),"ЮР-5.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шоссе до Коссинского шоссе. ЛЭП пересечение МКАД с "&amp;"ул. Верхние Поля и на пересечение МКАД с ул. Капотня")</f>
        <v>ЮР-5. Многоуровневые транспортные развязки на пересечении МКАД с ул. Верхние Поля и на пересечении МКАД с ул. Капотня с  необходимой для их функционирования реконструкцией МКАД на участке от Бесединского шоссе до Коссинского шоссе. ЛЭП пересечение МКАД с ул. Верхние Поля и на пересечение МКАД с ул. Капотня</v>
      </c>
      <c r="F602" s="25" t="str">
        <f>IFERROR(__xludf.DUMMYFUNCTION("""COMPUTED_VALUE"""),"#N/A")</f>
        <v>#N/A</v>
      </c>
      <c r="G602" s="6" t="str">
        <f>IFERROR(__xludf.DUMMYFUNCTION("""COMPUTED_VALUE"""),"#N/A")</f>
        <v>#N/A</v>
      </c>
      <c r="H602" s="6"/>
      <c r="I602" s="6"/>
      <c r="J602" s="50">
        <f>IFERROR(__xludf.DUMMYFUNCTION("""COMPUTED_VALUE"""),0.0)</f>
        <v>0</v>
      </c>
      <c r="K602" s="58">
        <f>IFERROR(__xludf.DUMMYFUNCTION("""COMPUTED_VALUE"""),45973.0)</f>
        <v>45973</v>
      </c>
      <c r="L602" s="6">
        <v>30.0</v>
      </c>
      <c r="M602" s="52">
        <v>46003.0</v>
      </c>
      <c r="N602" s="53" t="s">
        <v>711</v>
      </c>
      <c r="O602" s="6" t="s">
        <v>1017</v>
      </c>
      <c r="P602" s="6"/>
      <c r="Q602" s="6" t="str">
        <f t="shared" si="1"/>
        <v>#N/A</v>
      </c>
      <c r="R602" s="6"/>
    </row>
    <row r="603" hidden="1">
      <c r="A603" s="31" t="str">
        <f>IFERROR(__xludf.DUMMYFUNCTION("""COMPUTED_VALUE"""),"НД")</f>
        <v>НД</v>
      </c>
      <c r="B603" s="14" t="str">
        <f>IFERROR(__xludf.DUMMYFUNCTION("""COMPUTED_VALUE"""),"АИП-27")</f>
        <v>АИП-27</v>
      </c>
      <c r="C603" s="14" t="str">
        <f>IFERROR(__xludf.DUMMYFUNCTION("""COMPUTED_VALUE"""),"УДС")</f>
        <v>УДС</v>
      </c>
      <c r="D603" s="15"/>
      <c r="E603" s="14" t="str">
        <f>IFERROR(__xludf.DUMMYFUNCTION("""COMPUTED_VALUE"""),"Проектирование и строительство двух распределительных трансформаторных подстанций с подводящей сетью от ПС ""Фетищево"" п.Коммунарка")</f>
        <v>Проектирование и строительство двух распределительных трансформаторных подстанций с подводящей сетью от ПС "Фетищево" п.Коммунарка</v>
      </c>
      <c r="F603" s="25" t="str">
        <f>IFERROR(__xludf.DUMMYFUNCTION("""COMPUTED_VALUE"""),"#N/A")</f>
        <v>#N/A</v>
      </c>
      <c r="G603" s="6" t="str">
        <f>IFERROR(__xludf.DUMMYFUNCTION("""COMPUTED_VALUE"""),"#N/A")</f>
        <v>#N/A</v>
      </c>
      <c r="H603" s="6"/>
      <c r="I603" s="6"/>
      <c r="J603" s="50"/>
      <c r="K603" s="58"/>
      <c r="L603" s="6">
        <v>30.0</v>
      </c>
      <c r="M603" s="52" t="s">
        <v>655</v>
      </c>
      <c r="N603" s="53" t="s">
        <v>698</v>
      </c>
      <c r="O603" s="6" t="s">
        <v>1018</v>
      </c>
      <c r="P603" s="6"/>
      <c r="Q603" s="6" t="str">
        <f t="shared" si="1"/>
        <v>#N/A</v>
      </c>
      <c r="R603" s="6"/>
    </row>
    <row r="604" hidden="1">
      <c r="A604" s="31" t="str">
        <f>IFERROR(__xludf.DUMMYFUNCTION("""COMPUTED_VALUE"""),"НД")</f>
        <v>НД</v>
      </c>
      <c r="B604" s="14" t="str">
        <f>IFERROR(__xludf.DUMMYFUNCTION("""COMPUTED_VALUE"""),"АИП-27")</f>
        <v>АИП-27</v>
      </c>
      <c r="C604" s="14" t="str">
        <f>IFERROR(__xludf.DUMMYFUNCTION("""COMPUTED_VALUE"""),"УДС")</f>
        <v>УДС</v>
      </c>
      <c r="D604" s="15"/>
      <c r="E604" s="14" t="str">
        <f>IFERROR(__xludf.DUMMYFUNCTION("""COMPUTED_VALUE"""),"02-6900  Очистные сооружения для застройки кв-ла 32А в р-не Новые Черемушки, Нахимовский пр-кт
(в пойме р. Котловки) ул.Болотниковская д.36")</f>
        <v>02-6900  Очистные сооружения для застройки кв-ла 32А в р-не Новые Черемушки, Нахимовский пр-кт
(в пойме р. Котловки) ул.Болотниковская д.36</v>
      </c>
      <c r="F604" s="25" t="str">
        <f>IFERROR(__xludf.DUMMYFUNCTION("""COMPUTED_VALUE"""),"#N/A")</f>
        <v>#N/A</v>
      </c>
      <c r="G604" s="6" t="str">
        <f>IFERROR(__xludf.DUMMYFUNCTION("""COMPUTED_VALUE"""),"#N/A")</f>
        <v>#N/A</v>
      </c>
      <c r="H604" s="6"/>
      <c r="I604" s="6"/>
      <c r="J604" s="50"/>
      <c r="K604" s="58"/>
      <c r="L604" s="6">
        <v>30.0</v>
      </c>
      <c r="M604" s="52" t="s">
        <v>655</v>
      </c>
      <c r="N604" s="53" t="s">
        <v>698</v>
      </c>
      <c r="O604" s="6" t="s">
        <v>1019</v>
      </c>
      <c r="P604" s="6"/>
      <c r="Q604" s="6" t="str">
        <f t="shared" si="1"/>
        <v>#N/A</v>
      </c>
      <c r="R604" s="6"/>
    </row>
    <row r="605" hidden="1">
      <c r="A605" s="31" t="str">
        <f>IFERROR(__xludf.DUMMYFUNCTION("""COMPUTED_VALUE"""),"209д")</f>
        <v>209д</v>
      </c>
      <c r="B605" s="14" t="str">
        <f>IFERROR(__xludf.DUMMYFUNCTION("""COMPUTED_VALUE"""),"АИП-27")</f>
        <v>АИП-27</v>
      </c>
      <c r="C605" s="14" t="str">
        <f>IFERROR(__xludf.DUMMYFUNCTION("""COMPUTED_VALUE"""),"УДС")</f>
        <v>УДС</v>
      </c>
      <c r="D605" s="15"/>
      <c r="E605" s="14" t="str">
        <f>IFERROR(__xludf.DUMMYFUNCTION("""COMPUTED_VALUE"""),"Реконструкция Талдомской улицы Талдомская улица")</f>
        <v>Реконструкция Талдомской улицы Талдомская улица</v>
      </c>
      <c r="F605" s="25" t="str">
        <f>IFERROR(__xludf.DUMMYFUNCTION("""COMPUTED_VALUE"""),"#N/A")</f>
        <v>#N/A</v>
      </c>
      <c r="G605" s="6" t="str">
        <f>IFERROR(__xludf.DUMMYFUNCTION("""COMPUTED_VALUE"""),"#N/A")</f>
        <v>#N/A</v>
      </c>
      <c r="H605" s="6"/>
      <c r="I605" s="6"/>
      <c r="J605" s="50">
        <f>IFERROR(__xludf.DUMMYFUNCTION("""COMPUTED_VALUE"""),0.0)</f>
        <v>0</v>
      </c>
      <c r="K605" s="58">
        <f>IFERROR(__xludf.DUMMYFUNCTION("""COMPUTED_VALUE"""),45962.0)</f>
        <v>45962</v>
      </c>
      <c r="L605" s="6">
        <v>30.0</v>
      </c>
      <c r="M605" s="52">
        <v>45992.0</v>
      </c>
      <c r="N605" s="53" t="s">
        <v>692</v>
      </c>
      <c r="O605" s="6" t="s">
        <v>893</v>
      </c>
      <c r="P605" s="6"/>
      <c r="Q605" s="6" t="str">
        <f t="shared" si="1"/>
        <v>#N/A</v>
      </c>
      <c r="R605" s="6"/>
    </row>
    <row r="606" hidden="1">
      <c r="A606" s="31" t="str">
        <f>IFERROR(__xludf.DUMMYFUNCTION("""COMPUTED_VALUE"""),"НД")</f>
        <v>НД</v>
      </c>
      <c r="B606" s="14" t="str">
        <f>IFERROR(__xludf.DUMMYFUNCTION("""COMPUTED_VALUE"""),"АИП-27")</f>
        <v>АИП-27</v>
      </c>
      <c r="C606" s="14" t="str">
        <f>IFERROR(__xludf.DUMMYFUNCTION("""COMPUTED_VALUE"""),"УДС")</f>
        <v>УДС</v>
      </c>
      <c r="D606" s="15"/>
      <c r="E606" s="14" t="str">
        <f>IFERROR(__xludf.DUMMYFUNCTION("""COMPUTED_VALUE"""),"Технологическая часть ТПУ на станции метро ""Люблино"". Этапы 2 (Подземные пешеходные переходы 2 шт. ) Станция метро ""Люблино""")</f>
        <v>Технологическая часть ТПУ на станции метро "Люблино". Этапы 2 (Подземные пешеходные переходы 2 шт. ) Станция метро "Люблино"</v>
      </c>
      <c r="F606" s="25" t="str">
        <f>IFERROR(__xludf.DUMMYFUNCTION("""COMPUTED_VALUE"""),"#N/A")</f>
        <v>#N/A</v>
      </c>
      <c r="G606" s="6" t="str">
        <f>IFERROR(__xludf.DUMMYFUNCTION("""COMPUTED_VALUE"""),"#N/A")</f>
        <v>#N/A</v>
      </c>
      <c r="H606" s="6"/>
      <c r="I606" s="6"/>
      <c r="J606" s="50"/>
      <c r="K606" s="58"/>
      <c r="L606" s="6">
        <v>30.0</v>
      </c>
      <c r="M606" s="52" t="s">
        <v>655</v>
      </c>
      <c r="N606" s="53" t="s">
        <v>698</v>
      </c>
      <c r="O606" s="6"/>
      <c r="P606" s="6"/>
      <c r="Q606" s="6" t="str">
        <f t="shared" si="1"/>
        <v>#N/A</v>
      </c>
      <c r="R606" s="6"/>
    </row>
    <row r="607" hidden="1">
      <c r="A607" s="31" t="str">
        <f>IFERROR(__xludf.DUMMYFUNCTION("""COMPUTED_VALUE"""),"НД")</f>
        <v>НД</v>
      </c>
      <c r="B607" s="14" t="str">
        <f>IFERROR(__xludf.DUMMYFUNCTION("""COMPUTED_VALUE"""),"АИП-27")</f>
        <v>АИП-27</v>
      </c>
      <c r="C607" s="14" t="str">
        <f>IFERROR(__xludf.DUMMYFUNCTION("""COMPUTED_VALUE"""),"УДС")</f>
        <v>УДС</v>
      </c>
      <c r="D607" s="15"/>
      <c r="E607" s="14" t="str">
        <f>IFERROR(__xludf.DUMMYFUNCTION("""COMPUTED_VALUE"""),"Технологическая часть ТПУ на станции метро ""Люблино"". Этап 3 (Подземный пешеходный переход (продление) 1 шт.) Станция метро ""Люблино""")</f>
        <v>Технологическая часть ТПУ на станции метро "Люблино". Этап 3 (Подземный пешеходный переход (продление) 1 шт.) Станция метро "Люблино"</v>
      </c>
      <c r="F607" s="25" t="str">
        <f>IFERROR(__xludf.DUMMYFUNCTION("""COMPUTED_VALUE"""),"#N/A")</f>
        <v>#N/A</v>
      </c>
      <c r="G607" s="6" t="str">
        <f>IFERROR(__xludf.DUMMYFUNCTION("""COMPUTED_VALUE"""),"#N/A")</f>
        <v>#N/A</v>
      </c>
      <c r="H607" s="6"/>
      <c r="I607" s="6"/>
      <c r="J607" s="50"/>
      <c r="K607" s="58"/>
      <c r="L607" s="6">
        <v>30.0</v>
      </c>
      <c r="M607" s="52" t="s">
        <v>655</v>
      </c>
      <c r="N607" s="53" t="s">
        <v>698</v>
      </c>
      <c r="O607" s="6"/>
      <c r="P607" s="6"/>
      <c r="Q607" s="6" t="str">
        <f t="shared" si="1"/>
        <v>#N/A</v>
      </c>
      <c r="R607" s="6"/>
    </row>
    <row r="608" hidden="1">
      <c r="A608" s="31" t="str">
        <f>IFERROR(__xludf.DUMMYFUNCTION("""COMPUTED_VALUE"""),"462д")</f>
        <v>462д</v>
      </c>
      <c r="B608" s="14" t="str">
        <f>IFERROR(__xludf.DUMMYFUNCTION("""COMPUTED_VALUE"""),"АИП-27")</f>
        <v>АИП-27</v>
      </c>
      <c r="C608" s="14" t="str">
        <f>IFERROR(__xludf.DUMMYFUNCTION("""COMPUTED_VALUE"""),"УДС")</f>
        <v>УДС</v>
      </c>
      <c r="D608" s="15"/>
      <c r="E608" s="14" t="str">
        <f>IFERROR(__xludf.DUMMYFUNCTION("""COMPUTED_VALUE"""),"Реконструкция ул. Антонова-Овсеенко и прилегающей улично–дорожной сети для обеспечения  транспортной доступности
«Сити-2» 2 этап. ул. Антонова-Овсеенко")</f>
        <v>Реконструкция ул. Антонова-Овсеенко и прилегающей улично–дорожной сети для обеспечения  транспортной доступности
«Сити-2» 2 этап. ул. Антонова-Овсеенко</v>
      </c>
      <c r="F608" s="25" t="str">
        <f>IFERROR(__xludf.DUMMYFUNCTION("""COMPUTED_VALUE"""),"#N/A")</f>
        <v>#N/A</v>
      </c>
      <c r="G608" s="6" t="str">
        <f>IFERROR(__xludf.DUMMYFUNCTION("""COMPUTED_VALUE"""),"#N/A")</f>
        <v>#N/A</v>
      </c>
      <c r="H608" s="6"/>
      <c r="I608" s="6"/>
      <c r="J608" s="50">
        <f>IFERROR(__xludf.DUMMYFUNCTION("""COMPUTED_VALUE"""),0.0)</f>
        <v>0</v>
      </c>
      <c r="K608" s="58"/>
      <c r="L608" s="6">
        <v>30.0</v>
      </c>
      <c r="M608" s="52" t="s">
        <v>655</v>
      </c>
      <c r="N608" s="53" t="s">
        <v>698</v>
      </c>
      <c r="O608" s="6" t="s">
        <v>1020</v>
      </c>
      <c r="P608" s="6"/>
      <c r="Q608" s="6" t="str">
        <f t="shared" si="1"/>
        <v>#N/A</v>
      </c>
      <c r="R608" s="6"/>
    </row>
    <row r="609" hidden="1">
      <c r="A609" s="31" t="str">
        <f>IFERROR(__xludf.DUMMYFUNCTION("""COMPUTED_VALUE"""),"440д")</f>
        <v>440д</v>
      </c>
      <c r="B609" s="14" t="str">
        <f>IFERROR(__xludf.DUMMYFUNCTION("""COMPUTED_VALUE"""),"АИП-27")</f>
        <v>АИП-27</v>
      </c>
      <c r="C609" s="14" t="str">
        <f>IFERROR(__xludf.DUMMYFUNCTION("""COMPUTED_VALUE"""),"УДС")</f>
        <v>УДС</v>
      </c>
      <c r="D609" s="15"/>
      <c r="E609" s="14" t="str">
        <f>IFERROR(__xludf.DUMMYFUNCTION("""COMPUTED_VALUE"""),"Реконструкция Киевского шоссе на участке от 53 до 65 км (кап.ремонт и реконструкция) Киевское шоссе")</f>
        <v>Реконструкция Киевского шоссе на участке от 53 до 65 км (кап.ремонт и реконструкция) Киевское шоссе</v>
      </c>
      <c r="F609" s="25" t="str">
        <f>IFERROR(__xludf.DUMMYFUNCTION("""COMPUTED_VALUE"""),"#N/A")</f>
        <v>#N/A</v>
      </c>
      <c r="G609" s="6" t="str">
        <f>IFERROR(__xludf.DUMMYFUNCTION("""COMPUTED_VALUE"""),"#N/A")</f>
        <v>#N/A</v>
      </c>
      <c r="H609" s="6"/>
      <c r="I609" s="6"/>
      <c r="J609" s="50">
        <f>IFERROR(__xludf.DUMMYFUNCTION("""COMPUTED_VALUE"""),0.0)</f>
        <v>0</v>
      </c>
      <c r="K609" s="58"/>
      <c r="L609" s="6">
        <v>30.0</v>
      </c>
      <c r="M609" s="52" t="s">
        <v>655</v>
      </c>
      <c r="N609" s="53" t="s">
        <v>698</v>
      </c>
      <c r="O609" s="6" t="s">
        <v>980</v>
      </c>
      <c r="P609" s="6"/>
      <c r="Q609" s="6" t="str">
        <f t="shared" si="1"/>
        <v>#N/A</v>
      </c>
      <c r="R609" s="6"/>
    </row>
    <row r="610" hidden="1">
      <c r="A610" s="31" t="str">
        <f>IFERROR(__xludf.DUMMYFUNCTION("""COMPUTED_VALUE"""),"441д")</f>
        <v>441д</v>
      </c>
      <c r="B610" s="14" t="str">
        <f>IFERROR(__xludf.DUMMYFUNCTION("""COMPUTED_VALUE"""),"АИП-27")</f>
        <v>АИП-27</v>
      </c>
      <c r="C610" s="14" t="str">
        <f>IFERROR(__xludf.DUMMYFUNCTION("""COMPUTED_VALUE"""),"УДС")</f>
        <v>УДС</v>
      </c>
      <c r="D610" s="15"/>
      <c r="E610" s="14" t="str">
        <f>IFERROR(__xludf.DUMMYFUNCTION("""COMPUTED_VALUE"""),"Строительство и реконструкция магистральной улицы общегородского значения ""Мамыри – Пенино - Шарапово"". 2 очередь ""Николо-Хованская ул. – ул. Адмирала Корнилова"" Мамыри – Пенино - Шарапово")</f>
        <v>Строительство и реконструкция магистральной улицы общегородского значения "Мамыри – Пенино - Шарапово". 2 очередь "Николо-Хованская ул. – ул. Адмирала Корнилова" Мамыри – Пенино - Шарапово</v>
      </c>
      <c r="F610" s="25" t="str">
        <f>IFERROR(__xludf.DUMMYFUNCTION("""COMPUTED_VALUE"""),"#N/A")</f>
        <v>#N/A</v>
      </c>
      <c r="G610" s="6" t="str">
        <f>IFERROR(__xludf.DUMMYFUNCTION("""COMPUTED_VALUE"""),"#N/A")</f>
        <v>#N/A</v>
      </c>
      <c r="H610" s="6"/>
      <c r="I610" s="6"/>
      <c r="J610" s="50">
        <f>IFERROR(__xludf.DUMMYFUNCTION("""COMPUTED_VALUE"""),0.0)</f>
        <v>0</v>
      </c>
      <c r="K610" s="58">
        <f>IFERROR(__xludf.DUMMYFUNCTION("""COMPUTED_VALUE"""),45962.0)</f>
        <v>45962</v>
      </c>
      <c r="L610" s="6">
        <v>30.0</v>
      </c>
      <c r="M610" s="52">
        <v>45992.0</v>
      </c>
      <c r="N610" s="53" t="s">
        <v>692</v>
      </c>
      <c r="O610" s="6" t="s">
        <v>1021</v>
      </c>
      <c r="P610" s="6"/>
      <c r="Q610" s="6" t="str">
        <f t="shared" si="1"/>
        <v>#N/A</v>
      </c>
      <c r="R610" s="6"/>
    </row>
    <row r="611" hidden="1">
      <c r="A611" s="31" t="str">
        <f>IFERROR(__xludf.DUMMYFUNCTION("""COMPUTED_VALUE"""),"442д")</f>
        <v>442д</v>
      </c>
      <c r="B611" s="14" t="str">
        <f>IFERROR(__xludf.DUMMYFUNCTION("""COMPUTED_VALUE"""),"АИП-27")</f>
        <v>АИП-27</v>
      </c>
      <c r="C611" s="14" t="str">
        <f>IFERROR(__xludf.DUMMYFUNCTION("""COMPUTED_VALUE"""),"УДС")</f>
        <v>УДС</v>
      </c>
      <c r="D611" s="15"/>
      <c r="E611" s="14" t="str">
        <f>IFERROR(__xludf.DUMMYFUNCTION("""COMPUTED_VALUE"""),"Строительство автомобильной дороги «Марьино – д. Саларьево» (3 этап) Марьино – д. Саларьево")</f>
        <v>Строительство автомобильной дороги «Марьино – д. Саларьево» (3 этап) Марьино – д. Саларьево</v>
      </c>
      <c r="F611" s="25" t="str">
        <f>IFERROR(__xludf.DUMMYFUNCTION("""COMPUTED_VALUE"""),"#N/A")</f>
        <v>#N/A</v>
      </c>
      <c r="G611" s="6" t="str">
        <f>IFERROR(__xludf.DUMMYFUNCTION("""COMPUTED_VALUE"""),"#N/A")</f>
        <v>#N/A</v>
      </c>
      <c r="H611" s="6"/>
      <c r="I611" s="6"/>
      <c r="J611" s="50">
        <f>IFERROR(__xludf.DUMMYFUNCTION("""COMPUTED_VALUE"""),0.0)</f>
        <v>0</v>
      </c>
      <c r="K611" s="58"/>
      <c r="L611" s="6">
        <v>30.0</v>
      </c>
      <c r="M611" s="52" t="s">
        <v>655</v>
      </c>
      <c r="N611" s="53" t="s">
        <v>698</v>
      </c>
      <c r="O611" s="6" t="s">
        <v>893</v>
      </c>
      <c r="P611" s="6"/>
      <c r="Q611" s="6" t="str">
        <f t="shared" si="1"/>
        <v>#N/A</v>
      </c>
      <c r="R611" s="6"/>
    </row>
    <row r="612" hidden="1">
      <c r="A612" s="31" t="str">
        <f>IFERROR(__xludf.DUMMYFUNCTION("""COMPUTED_VALUE"""),"443д")</f>
        <v>443д</v>
      </c>
      <c r="B612" s="14" t="str">
        <f>IFERROR(__xludf.DUMMYFUNCTION("""COMPUTED_VALUE"""),"АИП-27")</f>
        <v>АИП-27</v>
      </c>
      <c r="C612" s="14" t="str">
        <f>IFERROR(__xludf.DUMMYFUNCTION("""COMPUTED_VALUE"""),"УДС")</f>
        <v>УДС</v>
      </c>
      <c r="D612" s="15"/>
      <c r="E612" s="14" t="str">
        <f>IFERROR(__xludf.DUMMYFUNCTION("""COMPUTED_VALUE"""),"Строительство улицы районного значения к ж/д ст. Санино (с ОРП и конечной станцией) вблизи ж/д ст. Санино")</f>
        <v>Строительство улицы районного значения к ж/д ст. Санино (с ОРП и конечной станцией) вблизи ж/д ст. Санино</v>
      </c>
      <c r="F612" s="25" t="str">
        <f>IFERROR(__xludf.DUMMYFUNCTION("""COMPUTED_VALUE"""),"#N/A")</f>
        <v>#N/A</v>
      </c>
      <c r="G612" s="6" t="str">
        <f>IFERROR(__xludf.DUMMYFUNCTION("""COMPUTED_VALUE"""),"#N/A")</f>
        <v>#N/A</v>
      </c>
      <c r="H612" s="6"/>
      <c r="I612" s="6"/>
      <c r="J612" s="50">
        <f>IFERROR(__xludf.DUMMYFUNCTION("""COMPUTED_VALUE"""),0.0)</f>
        <v>0</v>
      </c>
      <c r="K612" s="58">
        <f>IFERROR(__xludf.DUMMYFUNCTION("""COMPUTED_VALUE"""),45962.0)</f>
        <v>45962</v>
      </c>
      <c r="L612" s="6">
        <v>30.0</v>
      </c>
      <c r="M612" s="52">
        <v>45992.0</v>
      </c>
      <c r="N612" s="53" t="s">
        <v>692</v>
      </c>
      <c r="O612" s="6" t="s">
        <v>1022</v>
      </c>
      <c r="P612" s="6"/>
      <c r="Q612" s="6" t="str">
        <f t="shared" si="1"/>
        <v>#N/A</v>
      </c>
      <c r="R612" s="6"/>
    </row>
    <row r="613" hidden="1">
      <c r="A613" s="31" t="str">
        <f>IFERROR(__xludf.DUMMYFUNCTION("""COMPUTED_VALUE"""),"444д")</f>
        <v>444д</v>
      </c>
      <c r="B613" s="14" t="str">
        <f>IFERROR(__xludf.DUMMYFUNCTION("""COMPUTED_VALUE"""),"АИП-27")</f>
        <v>АИП-27</v>
      </c>
      <c r="C613" s="14" t="str">
        <f>IFERROR(__xludf.DUMMYFUNCTION("""COMPUTED_VALUE"""),"УДС")</f>
        <v>УДС</v>
      </c>
      <c r="D613" s="15"/>
      <c r="E613" s="14" t="str">
        <f>IFERROR(__xludf.DUMMYFUNCTION("""COMPUTED_VALUE"""),"Реконструкция улицы районного значения от Боровского ш. до ж/д ст. Толстопальцево (с ОРП и конечной станцией) от Боровского ш. до ж/д ст. Толстопальцево")</f>
        <v>Реконструкция улицы районного значения от Боровского ш. до ж/д ст. Толстопальцево (с ОРП и конечной станцией) от Боровского ш. до ж/д ст. Толстопальцево</v>
      </c>
      <c r="F613" s="25" t="str">
        <f>IFERROR(__xludf.DUMMYFUNCTION("""COMPUTED_VALUE"""),"#N/A")</f>
        <v>#N/A</v>
      </c>
      <c r="G613" s="6" t="str">
        <f>IFERROR(__xludf.DUMMYFUNCTION("""COMPUTED_VALUE"""),"#N/A")</f>
        <v>#N/A</v>
      </c>
      <c r="H613" s="6"/>
      <c r="I613" s="6"/>
      <c r="J613" s="50">
        <f>IFERROR(__xludf.DUMMYFUNCTION("""COMPUTED_VALUE"""),0.0)</f>
        <v>0</v>
      </c>
      <c r="K613" s="58">
        <f>IFERROR(__xludf.DUMMYFUNCTION("""COMPUTED_VALUE"""),45975.0)</f>
        <v>45975</v>
      </c>
      <c r="L613" s="6">
        <v>30.0</v>
      </c>
      <c r="M613" s="52">
        <v>46005.0</v>
      </c>
      <c r="N613" s="53" t="s">
        <v>711</v>
      </c>
      <c r="O613" s="6" t="s">
        <v>1023</v>
      </c>
      <c r="P613" s="6"/>
      <c r="Q613" s="6" t="str">
        <f t="shared" si="1"/>
        <v>#N/A</v>
      </c>
      <c r="R613" s="6"/>
    </row>
    <row r="614" hidden="1">
      <c r="A614" s="31" t="str">
        <f>IFERROR(__xludf.DUMMYFUNCTION("""COMPUTED_VALUE"""),"445д(этап2.1)")</f>
        <v>445д(этап2.1)</v>
      </c>
      <c r="B614" s="14" t="str">
        <f>IFERROR(__xludf.DUMMYFUNCTION("""COMPUTED_VALUE"""),"АИП-27")</f>
        <v>АИП-27</v>
      </c>
      <c r="C614" s="14" t="str">
        <f>IFERROR(__xludf.DUMMYFUNCTION("""COMPUTED_VALUE"""),"УДС")</f>
        <v>УДС</v>
      </c>
      <c r="D614" s="15"/>
      <c r="E614"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2.1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2.1 территория Административно-делового центра  в п. Коммунарка</v>
      </c>
      <c r="F614" s="25" t="str">
        <f>IFERROR(__xludf.DUMMYFUNCTION("""COMPUTED_VALUE"""),"#N/A")</f>
        <v>#N/A</v>
      </c>
      <c r="G614" s="6" t="str">
        <f>IFERROR(__xludf.DUMMYFUNCTION("""COMPUTED_VALUE"""),"#N/A")</f>
        <v>#N/A</v>
      </c>
      <c r="H614" s="6"/>
      <c r="I614" s="6"/>
      <c r="J614" s="50">
        <f>IFERROR(__xludf.DUMMYFUNCTION("""COMPUTED_VALUE"""),0.0)</f>
        <v>0</v>
      </c>
      <c r="K614" s="58"/>
      <c r="L614" s="6">
        <v>30.0</v>
      </c>
      <c r="M614" s="52" t="s">
        <v>655</v>
      </c>
      <c r="N614" s="53" t="s">
        <v>698</v>
      </c>
      <c r="O614" s="6" t="s">
        <v>1024</v>
      </c>
      <c r="P614" s="6"/>
      <c r="Q614" s="6" t="str">
        <f t="shared" si="1"/>
        <v>#N/A</v>
      </c>
      <c r="R614" s="6"/>
    </row>
    <row r="615" hidden="1">
      <c r="A615" s="31" t="str">
        <f>IFERROR(__xludf.DUMMYFUNCTION("""COMPUTED_VALUE"""),"445д(этап2.2)")</f>
        <v>445д(этап2.2)</v>
      </c>
      <c r="B615" s="14" t="str">
        <f>IFERROR(__xludf.DUMMYFUNCTION("""COMPUTED_VALUE"""),"АИП-27")</f>
        <v>АИП-27</v>
      </c>
      <c r="C615" s="14" t="str">
        <f>IFERROR(__xludf.DUMMYFUNCTION("""COMPUTED_VALUE"""),"УДС")</f>
        <v>УДС</v>
      </c>
      <c r="D615" s="15"/>
      <c r="E615"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2.2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2.2 территория Административно-делового центра  в п. Коммунарка</v>
      </c>
      <c r="F615" s="25" t="str">
        <f>IFERROR(__xludf.DUMMYFUNCTION("""COMPUTED_VALUE"""),"#N/A")</f>
        <v>#N/A</v>
      </c>
      <c r="G615" s="6" t="str">
        <f>IFERROR(__xludf.DUMMYFUNCTION("""COMPUTED_VALUE"""),"#N/A")</f>
        <v>#N/A</v>
      </c>
      <c r="H615" s="6"/>
      <c r="I615" s="6"/>
      <c r="J615" s="50">
        <f>IFERROR(__xludf.DUMMYFUNCTION("""COMPUTED_VALUE"""),0.0)</f>
        <v>0</v>
      </c>
      <c r="K615" s="58"/>
      <c r="L615" s="6">
        <v>30.0</v>
      </c>
      <c r="M615" s="52" t="s">
        <v>655</v>
      </c>
      <c r="N615" s="53" t="s">
        <v>698</v>
      </c>
      <c r="O615" s="6" t="s">
        <v>1024</v>
      </c>
      <c r="P615" s="6"/>
      <c r="Q615" s="6" t="str">
        <f t="shared" si="1"/>
        <v>#N/A</v>
      </c>
      <c r="R615" s="6"/>
    </row>
    <row r="616" hidden="1">
      <c r="A616" s="31" t="str">
        <f>IFERROR(__xludf.DUMMYFUNCTION("""COMPUTED_VALUE"""),"445д(этап2.5)")</f>
        <v>445д(этап2.5)</v>
      </c>
      <c r="B616" s="14" t="str">
        <f>IFERROR(__xludf.DUMMYFUNCTION("""COMPUTED_VALUE"""),"АИП-27")</f>
        <v>АИП-27</v>
      </c>
      <c r="C616" s="14" t="str">
        <f>IFERROR(__xludf.DUMMYFUNCTION("""COMPUTED_VALUE"""),"УДС")</f>
        <v>УДС</v>
      </c>
      <c r="D616" s="15"/>
      <c r="E616"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2.5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2.5 территория Административно-делового центра  в п. Коммунарка</v>
      </c>
      <c r="F616" s="25" t="str">
        <f>IFERROR(__xludf.DUMMYFUNCTION("""COMPUTED_VALUE"""),"#N/A")</f>
        <v>#N/A</v>
      </c>
      <c r="G616" s="6" t="str">
        <f>IFERROR(__xludf.DUMMYFUNCTION("""COMPUTED_VALUE"""),"#N/A")</f>
        <v>#N/A</v>
      </c>
      <c r="H616" s="6"/>
      <c r="I616" s="6"/>
      <c r="J616" s="50">
        <f>IFERROR(__xludf.DUMMYFUNCTION("""COMPUTED_VALUE"""),0.0)</f>
        <v>0</v>
      </c>
      <c r="K616" s="58"/>
      <c r="L616" s="6">
        <v>30.0</v>
      </c>
      <c r="M616" s="52" t="s">
        <v>655</v>
      </c>
      <c r="N616" s="53" t="s">
        <v>698</v>
      </c>
      <c r="O616" s="6" t="s">
        <v>1024</v>
      </c>
      <c r="P616" s="6"/>
      <c r="Q616" s="6" t="str">
        <f t="shared" si="1"/>
        <v>#N/A</v>
      </c>
      <c r="R616" s="6"/>
    </row>
    <row r="617" hidden="1">
      <c r="A617" s="31" t="str">
        <f>IFERROR(__xludf.DUMMYFUNCTION("""COMPUTED_VALUE"""),"НД")</f>
        <v>НД</v>
      </c>
      <c r="B617" s="14" t="str">
        <f>IFERROR(__xludf.DUMMYFUNCTION("""COMPUTED_VALUE"""),"АИП-27")</f>
        <v>АИП-27</v>
      </c>
      <c r="C617" s="14" t="str">
        <f>IFERROR(__xludf.DUMMYFUNCTION("""COMPUTED_VALUE"""),"УДС")</f>
        <v>УДС</v>
      </c>
      <c r="D617" s="15"/>
      <c r="E617" s="14" t="str">
        <f>IFERROR(__xludf.DUMMYFUNCTION("""COMPUTED_VALUE"""),"3020-05 Очистные сооружения дождевой канализации для застройки мкр. 18Б р-на Богородское г. Москва, 18Б р-на Богородское")</f>
        <v>3020-05 Очистные сооружения дождевой канализации для застройки мкр. 18Б р-на Богородское г. Москва, 18Б р-на Богородское</v>
      </c>
      <c r="F617" s="25" t="str">
        <f>IFERROR(__xludf.DUMMYFUNCTION("""COMPUTED_VALUE"""),"#N/A")</f>
        <v>#N/A</v>
      </c>
      <c r="G617" s="6" t="str">
        <f>IFERROR(__xludf.DUMMYFUNCTION("""COMPUTED_VALUE"""),"#N/A")</f>
        <v>#N/A</v>
      </c>
      <c r="H617" s="6"/>
      <c r="I617" s="6"/>
      <c r="J617" s="50"/>
      <c r="K617" s="58"/>
      <c r="L617" s="6">
        <v>30.0</v>
      </c>
      <c r="M617" s="52" t="s">
        <v>655</v>
      </c>
      <c r="N617" s="53" t="s">
        <v>698</v>
      </c>
      <c r="O617" s="6" t="s">
        <v>1025</v>
      </c>
      <c r="P617" s="6"/>
      <c r="Q617" s="6" t="str">
        <f t="shared" si="1"/>
        <v>#N/A</v>
      </c>
      <c r="R617" s="6"/>
    </row>
    <row r="618" hidden="1">
      <c r="A618" s="31" t="str">
        <f>IFERROR(__xludf.DUMMYFUNCTION("""COMPUTED_VALUE"""),"1198")</f>
        <v>1198</v>
      </c>
      <c r="B618" s="14" t="str">
        <f>IFERROR(__xludf.DUMMYFUNCTION("""COMPUTED_VALUE"""),"АИП-27")</f>
        <v>АИП-27</v>
      </c>
      <c r="C618" s="14" t="str">
        <f>IFERROR(__xludf.DUMMYFUNCTION("""COMPUTED_VALUE"""),"ОКС")</f>
        <v>ОКС</v>
      </c>
      <c r="D618" s="15"/>
      <c r="E618" s="14" t="str">
        <f>IFERROR(__xludf.DUMMYFUNCTION("""COMPUTED_VALUE"""),"Детская городская поликлиника № 69 ДЗМ на 560 посещений в смену по адресу: Южный административный округ г. Москвы, р-н Нагорный, ул. Нагорная, 16/1 г. Москвы, р-н Нагорный, ул. Нагорная, 16/1")</f>
        <v>Детская городская поликлиника № 69 ДЗМ на 560 посещений в смену по адресу: Южный административный округ г. Москвы, р-н Нагорный, ул. Нагорная, 16/1 г. Москвы, р-н Нагорный, ул. Нагорная, 16/1</v>
      </c>
      <c r="F618" s="25" t="str">
        <f>IFERROR(__xludf.DUMMYFUNCTION("""COMPUTED_VALUE"""),"#N/A")</f>
        <v>#N/A</v>
      </c>
      <c r="G618" s="6" t="str">
        <f>IFERROR(__xludf.DUMMYFUNCTION("""COMPUTED_VALUE"""),"#N/A")</f>
        <v>#N/A</v>
      </c>
      <c r="H618" s="18" t="str">
        <f>IFERROR(__xludf.DUMMYFUNCTION("""COMPUTED_VALUE"""),"https://docs.google.com/spreadsheets/d/19THEBTE9q0fhN2eApZr6BgenIvLGh0AckaYxHQfHk5w/edit?gid=1762521778#gid=1762521778")</f>
        <v>https://docs.google.com/spreadsheets/d/19THEBTE9q0fhN2eApZr6BgenIvLGh0AckaYxHQfHk5w/edit?gid=1762521778#gid=1762521778</v>
      </c>
      <c r="I618" s="6" t="str">
        <f>IFERROR(__xludf.DUMMYFUNCTION("""COMPUTED_VALUE"""),"https://disk.yandex.ru/client/disk/Осмотры%20объектов%20АНО%20СМГ/1198.%20Поликлиника%20ул.%20Нагорная%2016-1")</f>
        <v>https://disk.yandex.ru/client/disk/Осмотры%20объектов%20АНО%20СМГ/1198.%20Поликлиника%20ул.%20Нагорная%2016-1</v>
      </c>
      <c r="J618" s="50">
        <f>IFERROR(__xludf.DUMMYFUNCTION("""COMPUTED_VALUE"""),0.0)</f>
        <v>0</v>
      </c>
      <c r="K618" s="58"/>
      <c r="L618" s="6">
        <v>30.0</v>
      </c>
      <c r="M618" s="52" t="s">
        <v>655</v>
      </c>
      <c r="N618" s="53" t="s">
        <v>698</v>
      </c>
      <c r="O618" s="6" t="s">
        <v>1026</v>
      </c>
      <c r="P618" s="6"/>
      <c r="Q618" s="6" t="str">
        <f t="shared" si="1"/>
        <v>#N/A</v>
      </c>
      <c r="R618" s="6"/>
    </row>
    <row r="619" hidden="1">
      <c r="A619" s="31" t="str">
        <f>IFERROR(__xludf.DUMMYFUNCTION("""COMPUTED_VALUE"""),"НД")</f>
        <v>НД</v>
      </c>
      <c r="B619" s="14" t="str">
        <f>IFERROR(__xludf.DUMMYFUNCTION("""COMPUTED_VALUE"""),"АИП-27")</f>
        <v>АИП-27</v>
      </c>
      <c r="C619" s="14" t="str">
        <f>IFERROR(__xludf.DUMMYFUNCTION("""COMPUTED_VALUE"""),"ОКС")</f>
        <v>ОКС</v>
      </c>
      <c r="D619" s="15"/>
      <c r="E619" s="14" t="str">
        <f>IFERROR(__xludf.DUMMYFUNCTION("""COMPUTED_VALUE"""),"Реконструкция инженерных сетей ""Базового центра служебного собаководства"" М.О., г. Балашиха, Западная коммунальная зона, шоссе Энтузиастов, влд. 3")</f>
        <v>Реконструкция инженерных сетей "Базового центра служебного собаководства" М.О., г. Балашиха, Западная коммунальная зона, шоссе Энтузиастов, влд. 3</v>
      </c>
      <c r="F619" s="25" t="str">
        <f>IFERROR(__xludf.DUMMYFUNCTION("""COMPUTED_VALUE"""),"#N/A")</f>
        <v>#N/A</v>
      </c>
      <c r="G619" s="6" t="str">
        <f>IFERROR(__xludf.DUMMYFUNCTION("""COMPUTED_VALUE"""),"#N/A")</f>
        <v>#N/A</v>
      </c>
      <c r="H619" s="6"/>
      <c r="I619" s="19"/>
      <c r="J619" s="50"/>
      <c r="K619" s="58"/>
      <c r="L619" s="6">
        <v>30.0</v>
      </c>
      <c r="M619" s="52" t="s">
        <v>655</v>
      </c>
      <c r="N619" s="53" t="s">
        <v>698</v>
      </c>
      <c r="O619" s="19" t="s">
        <v>1027</v>
      </c>
      <c r="P619" s="6"/>
      <c r="Q619" s="6" t="str">
        <f t="shared" si="1"/>
        <v>#N/A</v>
      </c>
      <c r="R619" s="6"/>
    </row>
    <row r="620" hidden="1">
      <c r="A620" s="31" t="str">
        <f>IFERROR(__xludf.DUMMYFUNCTION("""COMPUTED_VALUE"""),"812")</f>
        <v>812</v>
      </c>
      <c r="B620" s="14" t="str">
        <f>IFERROR(__xludf.DUMMYFUNCTION("""COMPUTED_VALUE"""),"АИП-27")</f>
        <v>АИП-27</v>
      </c>
      <c r="C620" s="14" t="str">
        <f>IFERROR(__xludf.DUMMYFUNCTION("""COMPUTED_VALUE"""),"ОКС")</f>
        <v>ОКС</v>
      </c>
      <c r="D620" s="15"/>
      <c r="E620" s="14" t="str">
        <f>IFERROR(__xludf.DUMMYFUNCTION("""COMPUTED_VALUE"""),"Административное здание ул. Деловая, вл.15, район Царицыно")</f>
        <v>Административное здание ул. Деловая, вл.15, район Царицыно</v>
      </c>
      <c r="F620" s="25" t="str">
        <f>IFERROR(__xludf.DUMMYFUNCTION("""COMPUTED_VALUE"""),"#N/A")</f>
        <v>#N/A</v>
      </c>
      <c r="G620" s="6" t="str">
        <f>IFERROR(__xludf.DUMMYFUNCTION("""COMPUTED_VALUE"""),"#N/A")</f>
        <v>#N/A</v>
      </c>
      <c r="H620" s="18" t="str">
        <f>IFERROR(__xludf.DUMMYFUNCTION("""COMPUTED_VALUE"""),"https://docs.google.com/spreadsheets/d/19THEBTE9q0fhN2eApZr6BgenIvLGh0AckaYxHQfHk5w/edit?gid=1599271911#gid=1599271911")</f>
        <v>https://docs.google.com/spreadsheets/d/19THEBTE9q0fhN2eApZr6BgenIvLGh0AckaYxHQfHk5w/edit?gid=1599271911#gid=1599271911</v>
      </c>
      <c r="I620" s="19" t="str">
        <f>IFERROR(__xludf.DUMMYFUNCTION("""COMPUTED_VALUE"""),"https://disk.yandex.ru/client/disk/Осмотры%20объектов%20АНО%20СМГ/812Деловая%2015%20(стр%202%2C3.4.6)")</f>
        <v>https://disk.yandex.ru/client/disk/Осмотры%20объектов%20АНО%20СМГ/812Деловая%2015%20(стр%202%2C3.4.6)</v>
      </c>
      <c r="J620" s="50">
        <f>IFERROR(__xludf.DUMMYFUNCTION("""COMPUTED_VALUE"""),0.0)</f>
        <v>0</v>
      </c>
      <c r="K620" s="58">
        <f>IFERROR(__xludf.DUMMYFUNCTION("""COMPUTED_VALUE"""),45812.0)</f>
        <v>45812</v>
      </c>
      <c r="L620" s="6">
        <v>30.0</v>
      </c>
      <c r="M620" s="52">
        <v>45842.0</v>
      </c>
      <c r="N620" s="53" t="s">
        <v>668</v>
      </c>
      <c r="O620" s="19" t="s">
        <v>1028</v>
      </c>
      <c r="P620" s="6"/>
      <c r="Q620" s="6" t="str">
        <f t="shared" si="1"/>
        <v>#N/A</v>
      </c>
      <c r="R620" s="6"/>
    </row>
    <row r="621" hidden="1">
      <c r="A621" s="31" t="str">
        <f>IFERROR(__xludf.DUMMYFUNCTION("""COMPUTED_VALUE"""),"302")</f>
        <v>302</v>
      </c>
      <c r="B621" s="14" t="str">
        <f>IFERROR(__xludf.DUMMYFUNCTION("""COMPUTED_VALUE"""),"АИП-27")</f>
        <v>АИП-27</v>
      </c>
      <c r="C621" s="14" t="str">
        <f>IFERROR(__xludf.DUMMYFUNCTION("""COMPUTED_VALUE"""),"ОКС")</f>
        <v>ОКС</v>
      </c>
      <c r="D621" s="15"/>
      <c r="E621" s="14" t="str">
        <f>IFERROR(__xludf.DUMMYFUNCTION("""COMPUTED_VALUE"""),"Административное здание Физкультурный пр-д, д.2, стр.1, район Филевский парк")</f>
        <v>Административное здание Физкультурный пр-д, д.2, стр.1, район Филевский парк</v>
      </c>
      <c r="F621" s="25" t="str">
        <f>IFERROR(__xludf.DUMMYFUNCTION("""COMPUTED_VALUE"""),"#N/A")</f>
        <v>#N/A</v>
      </c>
      <c r="G621" s="6" t="str">
        <f>IFERROR(__xludf.DUMMYFUNCTION("""COMPUTED_VALUE"""),"#N/A")</f>
        <v>#N/A</v>
      </c>
      <c r="H621" s="18" t="str">
        <f>IFERROR(__xludf.DUMMYFUNCTION("""COMPUTED_VALUE"""),"https://docs.google.com/spreadsheets/d/19THEBTE9q0fhN2eApZr6BgenIvLGh0AckaYxHQfHk5w/edit?gid=117335017#gid=117335017")</f>
        <v>https://docs.google.com/spreadsheets/d/19THEBTE9q0fhN2eApZr6BgenIvLGh0AckaYxHQfHk5w/edit?gid=117335017#gid=117335017</v>
      </c>
      <c r="I621" s="19" t="str">
        <f>IFERROR(__xludf.DUMMYFUNCTION("""COMPUTED_VALUE"""),"https://disk.yandex.ru/client/disk/Осмотры%20объектов%20АНО%20СМГ/302.%20Административное%20здание%20Физкультурный%20проезд%202с2")</f>
        <v>https://disk.yandex.ru/client/disk/Осмотры%20объектов%20АНО%20СМГ/302.%20Административное%20здание%20Физкультурный%20проезд%202с2</v>
      </c>
      <c r="J621" s="50">
        <f>IFERROR(__xludf.DUMMYFUNCTION("""COMPUTED_VALUE"""),0.0)</f>
        <v>0</v>
      </c>
      <c r="K621" s="58">
        <f>IFERROR(__xludf.DUMMYFUNCTION("""COMPUTED_VALUE"""),45681.0)</f>
        <v>45681</v>
      </c>
      <c r="L621" s="6">
        <v>30.0</v>
      </c>
      <c r="M621" s="52">
        <v>45711.0</v>
      </c>
      <c r="N621" s="53" t="s">
        <v>668</v>
      </c>
      <c r="O621" s="19" t="s">
        <v>1028</v>
      </c>
      <c r="P621" s="6"/>
      <c r="Q621" s="6" t="str">
        <f t="shared" si="1"/>
        <v>#N/A</v>
      </c>
      <c r="R621" s="6"/>
    </row>
    <row r="622" hidden="1">
      <c r="A622" s="31" t="str">
        <f>IFERROR(__xludf.DUMMYFUNCTION("""COMPUTED_VALUE"""),"197")</f>
        <v>197</v>
      </c>
      <c r="B622" s="14" t="str">
        <f>IFERROR(__xludf.DUMMYFUNCTION("""COMPUTED_VALUE"""),"АИП-27")</f>
        <v>АИП-27</v>
      </c>
      <c r="C622" s="14" t="str">
        <f>IFERROR(__xludf.DUMMYFUNCTION("""COMPUTED_VALUE"""),"ОКС")</f>
        <v>ОКС</v>
      </c>
      <c r="D622" s="15"/>
      <c r="E622" s="14" t="str">
        <f>IFERROR(__xludf.DUMMYFUNCTION("""COMPUTED_VALUE"""),"Административное здание ул. Дорожная, вл.13 А, район Чертаново-Южное")</f>
        <v>Административное здание ул. Дорожная, вл.13 А, район Чертаново-Южное</v>
      </c>
      <c r="F622" s="25" t="str">
        <f>IFERROR(__xludf.DUMMYFUNCTION("""COMPUTED_VALUE"""),"#N/A")</f>
        <v>#N/A</v>
      </c>
      <c r="G622" s="6" t="str">
        <f>IFERROR(__xludf.DUMMYFUNCTION("""COMPUTED_VALUE"""),"#N/A")</f>
        <v>#N/A</v>
      </c>
      <c r="H622" s="18" t="str">
        <f>IFERROR(__xludf.DUMMYFUNCTION("""COMPUTED_VALUE"""),"https://docs.google.com/spreadsheets/d/19THEBTE9q0fhN2eApZr6BgenIvLGh0AckaYxHQfHk5w/edit?gid=1184026835#gid=1184026835")</f>
        <v>https://docs.google.com/spreadsheets/d/19THEBTE9q0fhN2eApZr6BgenIvLGh0AckaYxHQfHk5w/edit?gid=1184026835#gid=1184026835</v>
      </c>
      <c r="I622" s="19" t="str">
        <f>IFERROR(__xludf.DUMMYFUNCTION("""COMPUTED_VALUE"""),"https://disk.yandex.ru/client/disk/Осмотры%20объектов%20АНО%20СМГ/197.%20«Административное%20здание%20по%20адресу%3A%20ул.%20Дорожная%2C%20влд.%2013А%2C%20р-н%20Чертаново-Южное»")</f>
        <v>https://disk.yandex.ru/client/disk/Осмотры%20объектов%20АНО%20СМГ/197.%20«Административное%20здание%20по%20адресу%3A%20ул.%20Дорожная%2C%20влд.%2013А%2C%20р-н%20Чертаново-Южное»</v>
      </c>
      <c r="J622" s="50">
        <f>IFERROR(__xludf.DUMMYFUNCTION("""COMPUTED_VALUE"""),0.0)</f>
        <v>0</v>
      </c>
      <c r="K622" s="58">
        <f>IFERROR(__xludf.DUMMYFUNCTION("""COMPUTED_VALUE"""),45895.0)</f>
        <v>45895</v>
      </c>
      <c r="L622" s="6">
        <v>30.0</v>
      </c>
      <c r="M622" s="52">
        <v>45925.0</v>
      </c>
      <c r="N622" s="53" t="s">
        <v>668</v>
      </c>
      <c r="O622" s="19" t="s">
        <v>1029</v>
      </c>
      <c r="P622" s="6"/>
      <c r="Q622" s="6" t="str">
        <f t="shared" si="1"/>
        <v>#N/A</v>
      </c>
      <c r="R622" s="6"/>
    </row>
    <row r="623" hidden="1">
      <c r="A623" s="31" t="str">
        <f>IFERROR(__xludf.DUMMYFUNCTION("""COMPUTED_VALUE"""),"422д")</f>
        <v>422д</v>
      </c>
      <c r="B623" s="14" t="str">
        <f>IFERROR(__xludf.DUMMYFUNCTION("""COMPUTED_VALUE"""),"АИП-27")</f>
        <v>АИП-27</v>
      </c>
      <c r="C623" s="14" t="str">
        <f>IFERROR(__xludf.DUMMYFUNCTION("""COMPUTED_VALUE"""),"УДС")</f>
        <v>УДС</v>
      </c>
      <c r="D623" s="15"/>
      <c r="E623" s="14" t="str">
        <f>IFERROR(__xludf.DUMMYFUNCTION("""COMPUTED_VALUE"""),"Автодорожный путепровод взамен существующего переезда через Рижское направление МЖД на пересечении со Сходненской ул. с  Волоколамским пр-дом пересечение со Сходненской ул. с  Волоколамским пр-дом")</f>
        <v>Автодорожный путепровод взамен существующего переезда через Рижское направление МЖД на пересечении со Сходненской ул. с  Волоколамским пр-дом пересечение со Сходненской ул. с  Волоколамским пр-дом</v>
      </c>
      <c r="F623" s="25" t="str">
        <f>IFERROR(__xludf.DUMMYFUNCTION("""COMPUTED_VALUE"""),"#N/A")</f>
        <v>#N/A</v>
      </c>
      <c r="G623" s="6" t="str">
        <f>IFERROR(__xludf.DUMMYFUNCTION("""COMPUTED_VALUE"""),"#N/A")</f>
        <v>#N/A</v>
      </c>
      <c r="H623" s="6"/>
      <c r="I623" s="19"/>
      <c r="J623" s="50">
        <f>IFERROR(__xludf.DUMMYFUNCTION("""COMPUTED_VALUE"""),0.0)</f>
        <v>0</v>
      </c>
      <c r="K623" s="58">
        <f>IFERROR(__xludf.DUMMYFUNCTION("""COMPUTED_VALUE"""),45960.0)</f>
        <v>45960</v>
      </c>
      <c r="L623" s="6">
        <v>30.0</v>
      </c>
      <c r="M623" s="52">
        <v>45990.0</v>
      </c>
      <c r="N623" s="53" t="s">
        <v>692</v>
      </c>
      <c r="O623" s="19" t="s">
        <v>1030</v>
      </c>
      <c r="P623" s="6"/>
      <c r="Q623" s="6" t="str">
        <f t="shared" si="1"/>
        <v>#N/A</v>
      </c>
      <c r="R623" s="6"/>
    </row>
    <row r="624" hidden="1">
      <c r="A624" s="31" t="str">
        <f>IFERROR(__xludf.DUMMYFUNCTION("""COMPUTED_VALUE"""),"НД")</f>
        <v>НД</v>
      </c>
      <c r="B624" s="14" t="str">
        <f>IFERROR(__xludf.DUMMYFUNCTION("""COMPUTED_VALUE"""),"АИП-27")</f>
        <v>АИП-27</v>
      </c>
      <c r="C624" s="14" t="str">
        <f>IFERROR(__xludf.DUMMYFUNCTION("""COMPUTED_VALUE"""),"УДС")</f>
        <v>УДС</v>
      </c>
      <c r="D624" s="15"/>
      <c r="E624" s="14" t="str">
        <f>IFERROR(__xludf.DUMMYFUNCTION("""COMPUTED_VALUE"""),"Реконструкция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f>
        <v>Реконструкция Сетуньских групповых очистных сооружений поверхностных и близких к ним по составу производственных сточных вод, ул. Верейская, д.10, к. 4 г. Москва, ул. Верееская, д.10, корп. 4</v>
      </c>
      <c r="F624" s="25" t="str">
        <f>IFERROR(__xludf.DUMMYFUNCTION("""COMPUTED_VALUE"""),"#N/A")</f>
        <v>#N/A</v>
      </c>
      <c r="G624" s="6" t="str">
        <f>IFERROR(__xludf.DUMMYFUNCTION("""COMPUTED_VALUE"""),"#N/A")</f>
        <v>#N/A</v>
      </c>
      <c r="H624" s="6"/>
      <c r="I624" s="6"/>
      <c r="J624" s="50"/>
      <c r="K624" s="58"/>
      <c r="L624" s="6">
        <v>30.0</v>
      </c>
      <c r="M624" s="52" t="s">
        <v>655</v>
      </c>
      <c r="N624" s="53" t="s">
        <v>698</v>
      </c>
      <c r="O624" s="6" t="s">
        <v>951</v>
      </c>
      <c r="P624" s="6"/>
      <c r="Q624" s="6" t="str">
        <f t="shared" si="1"/>
        <v>#N/A</v>
      </c>
      <c r="R624" s="6"/>
    </row>
    <row r="625" hidden="1">
      <c r="A625" s="31" t="str">
        <f>IFERROR(__xludf.DUMMYFUNCTION("""COMPUTED_VALUE"""),"446д")</f>
        <v>446д</v>
      </c>
      <c r="B625" s="14" t="str">
        <f>IFERROR(__xludf.DUMMYFUNCTION("""COMPUTED_VALUE"""),"АИП-27")</f>
        <v>АИП-27</v>
      </c>
      <c r="C625" s="14" t="str">
        <f>IFERROR(__xludf.DUMMYFUNCTION("""COMPUTED_VALUE"""),"УДС")</f>
        <v>УДС</v>
      </c>
      <c r="D625" s="15"/>
      <c r="E625" s="14" t="str">
        <f>IFERROR(__xludf.DUMMYFUNCTION("""COMPUTED_VALUE"""),"Строительство проезда от Библиотечного пр-да до платформы ""Ховрино"" от Библиотечного пр-да до платформы ""Ховрино""")</f>
        <v>Строительство проезда от Библиотечного пр-да до платформы "Ховрино" от Библиотечного пр-да до платформы "Ховрино"</v>
      </c>
      <c r="F625" s="25" t="str">
        <f>IFERROR(__xludf.DUMMYFUNCTION("""COMPUTED_VALUE"""),"#N/A")</f>
        <v>#N/A</v>
      </c>
      <c r="G625" s="6" t="str">
        <f>IFERROR(__xludf.DUMMYFUNCTION("""COMPUTED_VALUE"""),"#N/A")</f>
        <v>#N/A</v>
      </c>
      <c r="H625" s="6"/>
      <c r="I625" s="6"/>
      <c r="J625" s="50"/>
      <c r="K625" s="58"/>
      <c r="L625" s="6">
        <v>30.0</v>
      </c>
      <c r="M625" s="52" t="s">
        <v>655</v>
      </c>
      <c r="N625" s="53" t="s">
        <v>698</v>
      </c>
      <c r="O625" s="6" t="s">
        <v>1023</v>
      </c>
      <c r="P625" s="6"/>
      <c r="Q625" s="6" t="str">
        <f t="shared" si="1"/>
        <v>#N/A</v>
      </c>
      <c r="R625" s="6"/>
    </row>
    <row r="626" hidden="1">
      <c r="A626" s="31" t="str">
        <f>IFERROR(__xludf.DUMMYFUNCTION("""COMPUTED_VALUE"""),"447д")</f>
        <v>447д</v>
      </c>
      <c r="B626" s="14" t="str">
        <f>IFERROR(__xludf.DUMMYFUNCTION("""COMPUTED_VALUE"""),"АИП-27")</f>
        <v>АИП-27</v>
      </c>
      <c r="C626" s="14" t="str">
        <f>IFERROR(__xludf.DUMMYFUNCTION("""COMPUTED_VALUE"""),"УДС")</f>
        <v>УДС</v>
      </c>
      <c r="D626" s="15"/>
      <c r="E626" s="14" t="str">
        <f>IFERROR(__xludf.DUMMYFUNCTION("""COMPUTED_VALUE"""),"Строительство участка улично-дорожной сети от ул. Амурская до кольцевой развязки, расположенной на привокзальной территории Восточного вокзала от ул. Амурская до кольцевой развязки, расположенной на привокзальной территории Восточного вокзала")</f>
        <v>Строительство участка улично-дорожной сети от ул. Амурская до кольцевой развязки, расположенной на привокзальной территории Восточного вокзала от ул. Амурская до кольцевой развязки, расположенной на привокзальной территории Восточного вокзала</v>
      </c>
      <c r="F626" s="25" t="str">
        <f>IFERROR(__xludf.DUMMYFUNCTION("""COMPUTED_VALUE"""),"#N/A")</f>
        <v>#N/A</v>
      </c>
      <c r="G626" s="6" t="str">
        <f>IFERROR(__xludf.DUMMYFUNCTION("""COMPUTED_VALUE"""),"#N/A")</f>
        <v>#N/A</v>
      </c>
      <c r="H626" s="6"/>
      <c r="I626" s="6"/>
      <c r="J626" s="50">
        <f>IFERROR(__xludf.DUMMYFUNCTION("""COMPUTED_VALUE"""),0.0)</f>
        <v>0</v>
      </c>
      <c r="K626" s="58">
        <f>IFERROR(__xludf.DUMMYFUNCTION("""COMPUTED_VALUE"""),45975.0)</f>
        <v>45975</v>
      </c>
      <c r="L626" s="6">
        <v>30.0</v>
      </c>
      <c r="M626" s="52">
        <v>46005.0</v>
      </c>
      <c r="N626" s="53" t="s">
        <v>711</v>
      </c>
      <c r="O626" s="6" t="s">
        <v>1023</v>
      </c>
      <c r="P626" s="6"/>
      <c r="Q626" s="6" t="str">
        <f t="shared" si="1"/>
        <v>#N/A</v>
      </c>
      <c r="R626" s="6"/>
    </row>
    <row r="627" hidden="1">
      <c r="A627" s="31" t="str">
        <f>IFERROR(__xludf.DUMMYFUNCTION("""COMPUTED_VALUE"""),"448д")</f>
        <v>448д</v>
      </c>
      <c r="B627" s="14" t="str">
        <f>IFERROR(__xludf.DUMMYFUNCTION("""COMPUTED_VALUE"""),"АИП-27")</f>
        <v>АИП-27</v>
      </c>
      <c r="C627" s="14" t="str">
        <f>IFERROR(__xludf.DUMMYFUNCTION("""COMPUTED_VALUE"""),"УДС")</f>
        <v>УДС</v>
      </c>
      <c r="D627" s="15"/>
      <c r="E627" s="14" t="str">
        <f>IFERROR(__xludf.DUMMYFUNCTION("""COMPUTED_VALUE"""),"Строительство отстойно-разворотной площадки на ул. Игоря Нетто Игоря Нетто")</f>
        <v>Строительство отстойно-разворотной площадки на ул. Игоря Нетто Игоря Нетто</v>
      </c>
      <c r="F627" s="25" t="str">
        <f>IFERROR(__xludf.DUMMYFUNCTION("""COMPUTED_VALUE"""),"#N/A")</f>
        <v>#N/A</v>
      </c>
      <c r="G627" s="6" t="str">
        <f>IFERROR(__xludf.DUMMYFUNCTION("""COMPUTED_VALUE"""),"#N/A")</f>
        <v>#N/A</v>
      </c>
      <c r="H627" s="6"/>
      <c r="I627" s="6"/>
      <c r="J627" s="50">
        <f>IFERROR(__xludf.DUMMYFUNCTION("""COMPUTED_VALUE"""),0.0)</f>
        <v>0</v>
      </c>
      <c r="K627" s="58">
        <f>IFERROR(__xludf.DUMMYFUNCTION("""COMPUTED_VALUE"""),45960.0)</f>
        <v>45960</v>
      </c>
      <c r="L627" s="6">
        <v>30.0</v>
      </c>
      <c r="M627" s="52">
        <v>45990.0</v>
      </c>
      <c r="N627" s="53" t="s">
        <v>692</v>
      </c>
      <c r="O627" s="6" t="s">
        <v>1023</v>
      </c>
      <c r="P627" s="6"/>
      <c r="Q627" s="6" t="str">
        <f t="shared" si="1"/>
        <v>#N/A</v>
      </c>
      <c r="R627" s="6"/>
    </row>
    <row r="628" hidden="1">
      <c r="A628" s="31" t="str">
        <f>IFERROR(__xludf.DUMMYFUNCTION("""COMPUTED_VALUE"""),"451д(пл2)")</f>
        <v>451д(пл2)</v>
      </c>
      <c r="B628" s="14" t="str">
        <f>IFERROR(__xludf.DUMMYFUNCTION("""COMPUTED_VALUE"""),"АИП-27")</f>
        <v>АИП-27</v>
      </c>
      <c r="C628" s="14" t="str">
        <f>IFERROR(__xludf.DUMMYFUNCTION("""COMPUTED_VALUE"""),"УДС")</f>
        <v>УДС</v>
      </c>
      <c r="D628" s="15"/>
      <c r="E628" s="14" t="str">
        <f>IFERROR(__xludf.DUMMYFUNCTION("""COMPUTED_VALUE"""),"Реконструкция улично-дорожной сети на территории Административно-делового центра  в п. Коммунарка, площадка 2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2 территория Административно-делового центра  в п. Коммунарка</v>
      </c>
      <c r="F628" s="25" t="str">
        <f>IFERROR(__xludf.DUMMYFUNCTION("""COMPUTED_VALUE"""),"#N/A")</f>
        <v>#N/A</v>
      </c>
      <c r="G628" s="6" t="str">
        <f>IFERROR(__xludf.DUMMYFUNCTION("""COMPUTED_VALUE"""),"#N/A")</f>
        <v>#N/A</v>
      </c>
      <c r="H628" s="6"/>
      <c r="I628" s="6"/>
      <c r="J628" s="50">
        <f>IFERROR(__xludf.DUMMYFUNCTION("""COMPUTED_VALUE"""),0.0)</f>
        <v>0</v>
      </c>
      <c r="K628" s="58"/>
      <c r="L628" s="6">
        <v>30.0</v>
      </c>
      <c r="M628" s="52" t="s">
        <v>655</v>
      </c>
      <c r="N628" s="53" t="s">
        <v>698</v>
      </c>
      <c r="O628" s="6" t="s">
        <v>1023</v>
      </c>
      <c r="P628" s="6"/>
      <c r="Q628" s="6" t="str">
        <f t="shared" si="1"/>
        <v>#N/A</v>
      </c>
      <c r="R628" s="6"/>
    </row>
    <row r="629" hidden="1">
      <c r="A629" s="31" t="str">
        <f>IFERROR(__xludf.DUMMYFUNCTION("""COMPUTED_VALUE"""),"451д(пл3)")</f>
        <v>451д(пл3)</v>
      </c>
      <c r="B629" s="14" t="str">
        <f>IFERROR(__xludf.DUMMYFUNCTION("""COMPUTED_VALUE"""),"АИП-27")</f>
        <v>АИП-27</v>
      </c>
      <c r="C629" s="14" t="str">
        <f>IFERROR(__xludf.DUMMYFUNCTION("""COMPUTED_VALUE"""),"УДС")</f>
        <v>УДС</v>
      </c>
      <c r="D629" s="15"/>
      <c r="E629" s="14" t="str">
        <f>IFERROR(__xludf.DUMMYFUNCTION("""COMPUTED_VALUE"""),"Реконструкция улично-дорожной сети на территории Административно-делового центра  в п. Коммунарка, площадка 3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3 территория Административно-делового центра  в п. Коммунарка</v>
      </c>
      <c r="F629" s="25" t="str">
        <f>IFERROR(__xludf.DUMMYFUNCTION("""COMPUTED_VALUE"""),"#N/A")</f>
        <v>#N/A</v>
      </c>
      <c r="G629" s="6" t="str">
        <f>IFERROR(__xludf.DUMMYFUNCTION("""COMPUTED_VALUE"""),"#N/A")</f>
        <v>#N/A</v>
      </c>
      <c r="H629" s="6"/>
      <c r="I629" s="6"/>
      <c r="J629" s="50">
        <f>IFERROR(__xludf.DUMMYFUNCTION("""COMPUTED_VALUE"""),0.0)</f>
        <v>0</v>
      </c>
      <c r="K629" s="58"/>
      <c r="L629" s="6">
        <v>30.0</v>
      </c>
      <c r="M629" s="52" t="s">
        <v>655</v>
      </c>
      <c r="N629" s="53" t="s">
        <v>698</v>
      </c>
      <c r="O629" s="6" t="s">
        <v>1023</v>
      </c>
      <c r="P629" s="6"/>
      <c r="Q629" s="6" t="str">
        <f t="shared" si="1"/>
        <v>#N/A</v>
      </c>
      <c r="R629" s="6"/>
    </row>
    <row r="630" hidden="1">
      <c r="A630" s="31" t="str">
        <f>IFERROR(__xludf.DUMMYFUNCTION("""COMPUTED_VALUE"""),"451д(пл4)")</f>
        <v>451д(пл4)</v>
      </c>
      <c r="B630" s="14" t="str">
        <f>IFERROR(__xludf.DUMMYFUNCTION("""COMPUTED_VALUE"""),"АИП-27")</f>
        <v>АИП-27</v>
      </c>
      <c r="C630" s="14" t="str">
        <f>IFERROR(__xludf.DUMMYFUNCTION("""COMPUTED_VALUE"""),"УДС")</f>
        <v>УДС</v>
      </c>
      <c r="D630" s="15"/>
      <c r="E630" s="14" t="str">
        <f>IFERROR(__xludf.DUMMYFUNCTION("""COMPUTED_VALUE"""),"Реконструкция улично-дорожной сети на территории Административно-делового центра  в п. Коммунарка, площадка 4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4 территория Административно-делового центра  в п. Коммунарка</v>
      </c>
      <c r="F630" s="25" t="str">
        <f>IFERROR(__xludf.DUMMYFUNCTION("""COMPUTED_VALUE"""),"#N/A")</f>
        <v>#N/A</v>
      </c>
      <c r="G630" s="6" t="str">
        <f>IFERROR(__xludf.DUMMYFUNCTION("""COMPUTED_VALUE"""),"#N/A")</f>
        <v>#N/A</v>
      </c>
      <c r="H630" s="6"/>
      <c r="I630" s="6"/>
      <c r="J630" s="50">
        <f>IFERROR(__xludf.DUMMYFUNCTION("""COMPUTED_VALUE"""),0.0)</f>
        <v>0</v>
      </c>
      <c r="K630" s="58"/>
      <c r="L630" s="6">
        <v>30.0</v>
      </c>
      <c r="M630" s="52" t="s">
        <v>655</v>
      </c>
      <c r="N630" s="53" t="s">
        <v>698</v>
      </c>
      <c r="O630" s="6" t="s">
        <v>1023</v>
      </c>
      <c r="P630" s="6"/>
      <c r="Q630" s="6" t="str">
        <f t="shared" si="1"/>
        <v>#N/A</v>
      </c>
      <c r="R630" s="6"/>
    </row>
    <row r="631" hidden="1">
      <c r="A631" s="31" t="str">
        <f>IFERROR(__xludf.DUMMYFUNCTION("""COMPUTED_VALUE"""),"451д(пл5)")</f>
        <v>451д(пл5)</v>
      </c>
      <c r="B631" s="14" t="str">
        <f>IFERROR(__xludf.DUMMYFUNCTION("""COMPUTED_VALUE"""),"АИП-27")</f>
        <v>АИП-27</v>
      </c>
      <c r="C631" s="14" t="str">
        <f>IFERROR(__xludf.DUMMYFUNCTION("""COMPUTED_VALUE"""),"УДС")</f>
        <v>УДС</v>
      </c>
      <c r="D631" s="15"/>
      <c r="E631" s="14" t="str">
        <f>IFERROR(__xludf.DUMMYFUNCTION("""COMPUTED_VALUE"""),"Реконструкция улично-дорожной сети на территории Административно-делового центра  в п. Коммунарка, площадка 5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5 территория Административно-делового центра  в п. Коммунарка</v>
      </c>
      <c r="F631" s="25" t="str">
        <f>IFERROR(__xludf.DUMMYFUNCTION("""COMPUTED_VALUE"""),"#N/A")</f>
        <v>#N/A</v>
      </c>
      <c r="G631" s="6" t="str">
        <f>IFERROR(__xludf.DUMMYFUNCTION("""COMPUTED_VALUE"""),"#N/A")</f>
        <v>#N/A</v>
      </c>
      <c r="H631" s="6"/>
      <c r="I631" s="6"/>
      <c r="J631" s="50">
        <f>IFERROR(__xludf.DUMMYFUNCTION("""COMPUTED_VALUE"""),0.0)</f>
        <v>0</v>
      </c>
      <c r="K631" s="58"/>
      <c r="L631" s="6">
        <v>30.0</v>
      </c>
      <c r="M631" s="52" t="s">
        <v>655</v>
      </c>
      <c r="N631" s="53" t="s">
        <v>698</v>
      </c>
      <c r="O631" s="6" t="s">
        <v>1023</v>
      </c>
      <c r="P631" s="6"/>
      <c r="Q631" s="6" t="str">
        <f t="shared" si="1"/>
        <v>#N/A</v>
      </c>
      <c r="R631" s="6"/>
    </row>
    <row r="632" hidden="1">
      <c r="A632" s="31" t="str">
        <f>IFERROR(__xludf.DUMMYFUNCTION("""COMPUTED_VALUE"""),"445д(этап2.3)")</f>
        <v>445д(этап2.3)</v>
      </c>
      <c r="B632" s="14" t="str">
        <f>IFERROR(__xludf.DUMMYFUNCTION("""COMPUTED_VALUE"""),"АИП-27")</f>
        <v>АИП-27</v>
      </c>
      <c r="C632" s="14" t="str">
        <f>IFERROR(__xludf.DUMMYFUNCTION("""COMPUTED_VALUE"""),"УДС")</f>
        <v>УДС</v>
      </c>
      <c r="D632" s="15"/>
      <c r="E632"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2.3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2.3 территория Административно-делового центра  в п. Коммунарка</v>
      </c>
      <c r="F632" s="25" t="str">
        <f>IFERROR(__xludf.DUMMYFUNCTION("""COMPUTED_VALUE"""),"#N/A")</f>
        <v>#N/A</v>
      </c>
      <c r="G632" s="6" t="str">
        <f>IFERROR(__xludf.DUMMYFUNCTION("""COMPUTED_VALUE"""),"#N/A")</f>
        <v>#N/A</v>
      </c>
      <c r="H632" s="6"/>
      <c r="I632" s="6"/>
      <c r="J632" s="50">
        <f>IFERROR(__xludf.DUMMYFUNCTION("""COMPUTED_VALUE"""),0.0)</f>
        <v>0</v>
      </c>
      <c r="K632" s="58"/>
      <c r="L632" s="6">
        <v>30.0</v>
      </c>
      <c r="M632" s="52" t="s">
        <v>655</v>
      </c>
      <c r="N632" s="53" t="s">
        <v>698</v>
      </c>
      <c r="O632" s="6" t="s">
        <v>1031</v>
      </c>
      <c r="P632" s="6"/>
      <c r="Q632" s="6" t="str">
        <f t="shared" si="1"/>
        <v>#N/A</v>
      </c>
      <c r="R632" s="6"/>
    </row>
    <row r="633" hidden="1">
      <c r="A633" s="31" t="str">
        <f>IFERROR(__xludf.DUMMYFUNCTION("""COMPUTED_VALUE"""),"445д(этап2.4)")</f>
        <v>445д(этап2.4)</v>
      </c>
      <c r="B633" s="14" t="str">
        <f>IFERROR(__xludf.DUMMYFUNCTION("""COMPUTED_VALUE"""),"АИП-27")</f>
        <v>АИП-27</v>
      </c>
      <c r="C633" s="14" t="str">
        <f>IFERROR(__xludf.DUMMYFUNCTION("""COMPUTED_VALUE"""),"УДС")</f>
        <v>УДС</v>
      </c>
      <c r="D633" s="15"/>
      <c r="E633" s="14" t="str">
        <f>IFERROR(__xludf.DUMMYFUNCTION("""COMPUTED_VALUE"""),"Проектирование и строительство улично-дорожной сети  на территории Административно-делового центра  в п. Коммунарка (2 этап). Этап 2.4 территория Административно-делового центра  в п. Коммунарка")</f>
        <v>Проектирование и строительство улично-дорожной сети  на территории Административно-делового центра  в п. Коммунарка (2 этап). Этап 2.4 территория Административно-делового центра  в п. Коммунарка</v>
      </c>
      <c r="F633" s="25" t="str">
        <f>IFERROR(__xludf.DUMMYFUNCTION("""COMPUTED_VALUE"""),"#N/A")</f>
        <v>#N/A</v>
      </c>
      <c r="G633" s="6" t="str">
        <f>IFERROR(__xludf.DUMMYFUNCTION("""COMPUTED_VALUE"""),"#N/A")</f>
        <v>#N/A</v>
      </c>
      <c r="H633" s="6"/>
      <c r="I633" s="6"/>
      <c r="J633" s="50">
        <f>IFERROR(__xludf.DUMMYFUNCTION("""COMPUTED_VALUE"""),0.0)</f>
        <v>0</v>
      </c>
      <c r="K633" s="58"/>
      <c r="L633" s="6">
        <v>30.0</v>
      </c>
      <c r="M633" s="52" t="s">
        <v>655</v>
      </c>
      <c r="N633" s="53" t="s">
        <v>698</v>
      </c>
      <c r="O633" s="6" t="s">
        <v>1031</v>
      </c>
      <c r="P633" s="6"/>
      <c r="Q633" s="6" t="str">
        <f t="shared" si="1"/>
        <v>#N/A</v>
      </c>
      <c r="R633" s="6"/>
    </row>
    <row r="634" hidden="1">
      <c r="A634" s="31" t="str">
        <f>IFERROR(__xludf.DUMMYFUNCTION("""COMPUTED_VALUE"""),"451д")</f>
        <v>451д</v>
      </c>
      <c r="B634" s="14" t="str">
        <f>IFERROR(__xludf.DUMMYFUNCTION("""COMPUTED_VALUE"""),"АИП-27")</f>
        <v>АИП-27</v>
      </c>
      <c r="C634" s="14" t="str">
        <f>IFERROR(__xludf.DUMMYFUNCTION("""COMPUTED_VALUE"""),"УДС")</f>
        <v>УДС</v>
      </c>
      <c r="D634" s="15"/>
      <c r="E634" s="14" t="str">
        <f>IFERROR(__xludf.DUMMYFUNCTION("""COMPUTED_VALUE"""),"Реконструкция улично-дорожной сети на территории Административно-делового центра  в пос. Коммунарка территория Административно-делового центра  в п. Коммунарка")</f>
        <v>Реконструкция улично-дорожной сети на территории Административно-делового центра  в пос. Коммунарка территория Административно-делового центра  в п. Коммунарка</v>
      </c>
      <c r="F634" s="25" t="str">
        <f>IFERROR(__xludf.DUMMYFUNCTION("""COMPUTED_VALUE"""),"#N/A")</f>
        <v>#N/A</v>
      </c>
      <c r="G634" s="6" t="str">
        <f>IFERROR(__xludf.DUMMYFUNCTION("""COMPUTED_VALUE"""),"#N/A")</f>
        <v>#N/A</v>
      </c>
      <c r="H634" s="6"/>
      <c r="I634" s="6"/>
      <c r="J634" s="50">
        <f>IFERROR(__xludf.DUMMYFUNCTION("""COMPUTED_VALUE"""),0.0)</f>
        <v>0</v>
      </c>
      <c r="K634" s="58"/>
      <c r="L634" s="6">
        <v>30.0</v>
      </c>
      <c r="M634" s="52" t="s">
        <v>655</v>
      </c>
      <c r="N634" s="53" t="s">
        <v>698</v>
      </c>
      <c r="O634" s="6" t="s">
        <v>1032</v>
      </c>
      <c r="P634" s="6"/>
      <c r="Q634" s="6" t="str">
        <f t="shared" si="1"/>
        <v>#N/A</v>
      </c>
      <c r="R634" s="6"/>
    </row>
    <row r="635" hidden="1">
      <c r="A635" s="31" t="str">
        <f>IFERROR(__xludf.DUMMYFUNCTION("""COMPUTED_VALUE"""),"451д(пл1)")</f>
        <v>451д(пл1)</v>
      </c>
      <c r="B635" s="14" t="str">
        <f>IFERROR(__xludf.DUMMYFUNCTION("""COMPUTED_VALUE"""),"АИП-27")</f>
        <v>АИП-27</v>
      </c>
      <c r="C635" s="14" t="str">
        <f>IFERROR(__xludf.DUMMYFUNCTION("""COMPUTED_VALUE"""),"УДС")</f>
        <v>УДС</v>
      </c>
      <c r="D635" s="15"/>
      <c r="E635" s="14" t="str">
        <f>IFERROR(__xludf.DUMMYFUNCTION("""COMPUTED_VALUE"""),"Реконструкция улично-дорожной сети на территории Административно-делового центра  в п. Коммунарка, площадка 1 территория Административно-делового центра  в п. Коммунарка")</f>
        <v>Реконструкция улично-дорожной сети на территории Административно-делового центра  в п. Коммунарка, площадка 1 территория Административно-делового центра  в п. Коммунарка</v>
      </c>
      <c r="F635" s="25" t="str">
        <f>IFERROR(__xludf.DUMMYFUNCTION("""COMPUTED_VALUE"""),"#N/A")</f>
        <v>#N/A</v>
      </c>
      <c r="G635" s="6" t="str">
        <f>IFERROR(__xludf.DUMMYFUNCTION("""COMPUTED_VALUE"""),"#N/A")</f>
        <v>#N/A</v>
      </c>
      <c r="H635" s="6"/>
      <c r="I635" s="6"/>
      <c r="J635" s="50">
        <f>IFERROR(__xludf.DUMMYFUNCTION("""COMPUTED_VALUE"""),0.0)</f>
        <v>0</v>
      </c>
      <c r="K635" s="58"/>
      <c r="L635" s="6">
        <v>30.0</v>
      </c>
      <c r="M635" s="52" t="s">
        <v>655</v>
      </c>
      <c r="N635" s="53" t="s">
        <v>698</v>
      </c>
      <c r="O635" s="6" t="s">
        <v>1023</v>
      </c>
      <c r="P635" s="6"/>
      <c r="Q635" s="6" t="str">
        <f t="shared" si="1"/>
        <v>#N/A</v>
      </c>
      <c r="R635" s="6"/>
    </row>
    <row r="636" hidden="1">
      <c r="A636" s="31" t="str">
        <f>IFERROR(__xludf.DUMMYFUNCTION("""COMPUTED_VALUE"""),"449д")</f>
        <v>449д</v>
      </c>
      <c r="B636" s="14" t="str">
        <f>IFERROR(__xludf.DUMMYFUNCTION("""COMPUTED_VALUE"""),"АИП-27")</f>
        <v>АИП-27</v>
      </c>
      <c r="C636" s="14" t="str">
        <f>IFERROR(__xludf.DUMMYFUNCTION("""COMPUTED_VALUE"""),"УДС")</f>
        <v>УДС</v>
      </c>
      <c r="D636" s="15"/>
      <c r="E636" s="14" t="str">
        <f>IFERROR(__xludf.DUMMYFUNCTION("""COMPUTED_VALUE"""),"Строительство улично-дорожной сети для обслуживания станции метро ""Столбово"" (1 этап). Реконструкция ул.Фитаревская ул.Фитаревская")</f>
        <v>Строительство улично-дорожной сети для обслуживания станции метро "Столбово" (1 этап). Реконструкция ул.Фитаревская ул.Фитаревская</v>
      </c>
      <c r="F636" s="25" t="str">
        <f>IFERROR(__xludf.DUMMYFUNCTION("""COMPUTED_VALUE"""),"#N/A")</f>
        <v>#N/A</v>
      </c>
      <c r="G636" s="6" t="str">
        <f>IFERROR(__xludf.DUMMYFUNCTION("""COMPUTED_VALUE"""),"#N/A")</f>
        <v>#N/A</v>
      </c>
      <c r="H636" s="6"/>
      <c r="I636" s="6"/>
      <c r="J636" s="50">
        <f>IFERROR(__xludf.DUMMYFUNCTION("""COMPUTED_VALUE"""),0.0)</f>
        <v>0</v>
      </c>
      <c r="K636" s="58">
        <f>IFERROR(__xludf.DUMMYFUNCTION("""COMPUTED_VALUE"""),45962.0)</f>
        <v>45962</v>
      </c>
      <c r="L636" s="6">
        <v>30.0</v>
      </c>
      <c r="M636" s="52">
        <v>45992.0</v>
      </c>
      <c r="N636" s="53" t="s">
        <v>692</v>
      </c>
      <c r="O636" s="6" t="s">
        <v>1011</v>
      </c>
      <c r="P636" s="6"/>
      <c r="Q636" s="6" t="str">
        <f t="shared" si="1"/>
        <v>#N/A</v>
      </c>
      <c r="R636" s="6"/>
    </row>
    <row r="637" hidden="1">
      <c r="A637" s="31" t="str">
        <f>IFERROR(__xludf.DUMMYFUNCTION("""COMPUTED_VALUE"""),"287д(эт2)")</f>
        <v>287д(эт2)</v>
      </c>
      <c r="B637" s="14" t="str">
        <f>IFERROR(__xludf.DUMMYFUNCTION("""COMPUTED_VALUE"""),"АИП-27")</f>
        <v>АИП-27</v>
      </c>
      <c r="C637" s="14" t="str">
        <f>IFERROR(__xludf.DUMMYFUNCTION("""COMPUTED_VALUE"""),"УДС")</f>
        <v>УДС</v>
      </c>
      <c r="D637" s="15"/>
      <c r="E637" s="14" t="str">
        <f>IFERROR(__xludf.DUMMYFUNCTION("""COMPUTED_VALUE"""),"Развитие улично-дорожной сети Молжаниновского района. Этап 2.ОС Молжаниновский район")</f>
        <v>Развитие улично-дорожной сети Молжаниновского района. Этап 2.ОС Молжаниновский район</v>
      </c>
      <c r="F637" s="25" t="str">
        <f>IFERROR(__xludf.DUMMYFUNCTION("""COMPUTED_VALUE"""),"#N/A")</f>
        <v>#N/A</v>
      </c>
      <c r="G637" s="6" t="str">
        <f>IFERROR(__xludf.DUMMYFUNCTION("""COMPUTED_VALUE"""),"#N/A")</f>
        <v>#N/A</v>
      </c>
      <c r="H637" s="6"/>
      <c r="I637" s="6"/>
      <c r="J637" s="50">
        <f>IFERROR(__xludf.DUMMYFUNCTION("""COMPUTED_VALUE"""),0.0)</f>
        <v>0</v>
      </c>
      <c r="K637" s="58">
        <f>IFERROR(__xludf.DUMMYFUNCTION("""COMPUTED_VALUE"""),45971.0)</f>
        <v>45971</v>
      </c>
      <c r="L637" s="6">
        <v>30.0</v>
      </c>
      <c r="M637" s="52">
        <v>46001.0</v>
      </c>
      <c r="N637" s="53" t="s">
        <v>711</v>
      </c>
      <c r="O637" s="6" t="s">
        <v>936</v>
      </c>
      <c r="P637" s="6"/>
      <c r="Q637" s="6" t="str">
        <f t="shared" si="1"/>
        <v>#N/A</v>
      </c>
      <c r="R637" s="6"/>
    </row>
    <row r="638" hidden="1">
      <c r="A638" s="31" t="str">
        <f>IFERROR(__xludf.DUMMYFUNCTION("""COMPUTED_VALUE"""),"НД")</f>
        <v>НД</v>
      </c>
      <c r="B638" s="14" t="str">
        <f>IFERROR(__xludf.DUMMYFUNCTION("""COMPUTED_VALUE"""),"АИП-27")</f>
        <v>АИП-27</v>
      </c>
      <c r="C638" s="14" t="str">
        <f>IFERROR(__xludf.DUMMYFUNCTION("""COMPUTED_VALUE"""),"ОКС")</f>
        <v>ОКС</v>
      </c>
      <c r="D638" s="15"/>
      <c r="E638" s="14" t="str">
        <f>IFERROR(__xludf.DUMMYFUNCTION("""COMPUTED_VALUE"""),"Подстанция скорой медицинской помощи на 10 машино-мест, р-н Вороново, Троицкий административный округ г. Москвы ТАО, р-н Вороново, пос. ЛМС")</f>
        <v>Подстанция скорой медицинской помощи на 10 машино-мест, р-н Вороново, Троицкий административный округ г. Москвы ТАО, р-н Вороново, пос. ЛМС</v>
      </c>
      <c r="F638" s="25" t="str">
        <f>IFERROR(__xludf.DUMMYFUNCTION("""COMPUTED_VALUE"""),"#N/A")</f>
        <v>#N/A</v>
      </c>
      <c r="G638" s="6" t="str">
        <f>IFERROR(__xludf.DUMMYFUNCTION("""COMPUTED_VALUE"""),"#N/A")</f>
        <v>#N/A</v>
      </c>
      <c r="H638" s="6"/>
      <c r="I638" s="6"/>
      <c r="J638" s="50"/>
      <c r="K638" s="58"/>
      <c r="L638" s="6">
        <v>30.0</v>
      </c>
      <c r="M638" s="52" t="s">
        <v>655</v>
      </c>
      <c r="N638" s="53" t="s">
        <v>698</v>
      </c>
      <c r="O638" s="6" t="s">
        <v>1033</v>
      </c>
      <c r="P638" s="6"/>
      <c r="Q638" s="6" t="str">
        <f t="shared" si="1"/>
        <v>#N/A</v>
      </c>
      <c r="R638" s="6"/>
    </row>
    <row r="639" hidden="1">
      <c r="A639" s="31" t="str">
        <f>IFERROR(__xludf.DUMMYFUNCTION("""COMPUTED_VALUE"""),"НД")</f>
        <v>НД</v>
      </c>
      <c r="B639" s="14" t="str">
        <f>IFERROR(__xludf.DUMMYFUNCTION("""COMPUTED_VALUE"""),"АИП-27")</f>
        <v>АИП-27</v>
      </c>
      <c r="C639" s="14" t="str">
        <f>IFERROR(__xludf.DUMMYFUNCTION("""COMPUTED_VALUE"""),"ОКС")</f>
        <v>ОКС</v>
      </c>
      <c r="D639" s="15"/>
      <c r="E639" s="14" t="str">
        <f>IFERROR(__xludf.DUMMYFUNCTION("""COMPUTED_VALUE"""),"Дворец бракосочетания в поселке Коммунарка НАО р-н Коммунарка")</f>
        <v>Дворец бракосочетания в поселке Коммунарка НАО р-н Коммунарка</v>
      </c>
      <c r="F639" s="25" t="str">
        <f>IFERROR(__xludf.DUMMYFUNCTION("""COMPUTED_VALUE"""),"#N/A")</f>
        <v>#N/A</v>
      </c>
      <c r="G639" s="6" t="str">
        <f>IFERROR(__xludf.DUMMYFUNCTION("""COMPUTED_VALUE"""),"#N/A")</f>
        <v>#N/A</v>
      </c>
      <c r="H639" s="6"/>
      <c r="I639" s="19"/>
      <c r="J639" s="50"/>
      <c r="K639" s="58"/>
      <c r="L639" s="6">
        <v>30.0</v>
      </c>
      <c r="M639" s="52" t="s">
        <v>655</v>
      </c>
      <c r="N639" s="53" t="s">
        <v>698</v>
      </c>
      <c r="O639" s="19" t="s">
        <v>1034</v>
      </c>
      <c r="P639" s="6"/>
      <c r="Q639" s="6" t="str">
        <f t="shared" si="1"/>
        <v>#N/A</v>
      </c>
      <c r="R639" s="6"/>
    </row>
    <row r="640" hidden="1">
      <c r="A640" s="31" t="str">
        <f>IFERROR(__xludf.DUMMYFUNCTION("""COMPUTED_VALUE"""),"1152")</f>
        <v>1152</v>
      </c>
      <c r="B640" s="14" t="str">
        <f>IFERROR(__xludf.DUMMYFUNCTION("""COMPUTED_VALUE"""),"АИП-27")</f>
        <v>АИП-27</v>
      </c>
      <c r="C640" s="14" t="str">
        <f>IFERROR(__xludf.DUMMYFUNCTION("""COMPUTED_VALUE"""),"ОКС")</f>
        <v>ОКС</v>
      </c>
      <c r="D640" s="15"/>
      <c r="E640" s="14" t="str">
        <f>IFERROR(__xludf.DUMMYFUNCTION("""COMPUTED_VALUE"""),"Жилые дома с инженерными коммуникациями, благоустройством и подземным паркингом р-н Фили-Давыдково, Кременчугская ул., влд.5")</f>
        <v>Жилые дома с инженерными коммуникациями, благоустройством и подземным паркингом р-н Фили-Давыдково, Кременчугская ул., влд.5</v>
      </c>
      <c r="F640" s="25" t="str">
        <f>IFERROR(__xludf.DUMMYFUNCTION("""COMPUTED_VALUE"""),"55.723095")</f>
        <v>55.723095</v>
      </c>
      <c r="G640" s="6" t="str">
        <f>IFERROR(__xludf.DUMMYFUNCTION("""COMPUTED_VALUE"""),"37.462083")</f>
        <v>37.462083</v>
      </c>
      <c r="H640" s="18" t="str">
        <f>IFERROR(__xludf.DUMMYFUNCTION("""COMPUTED_VALUE"""),"https://docs.google.com/spreadsheets/d/19THEBTE9q0fhN2eApZr6BgenIvLGh0AckaYxHQfHk5w/edit?gid=39413399#gid=39413399")</f>
        <v>https://docs.google.com/spreadsheets/d/19THEBTE9q0fhN2eApZr6BgenIvLGh0AckaYxHQfHk5w/edit?gid=39413399#gid=39413399</v>
      </c>
      <c r="I640" s="19" t="str">
        <f>IFERROR(__xludf.DUMMYFUNCTION("""COMPUTED_VALUE"""),"https://disk.yandex.ru/client/disk/Осмотры%20объектов%20АНО%20СМГ/1152.%20жилой%20дом%20Кременчугская%205к1")</f>
        <v>https://disk.yandex.ru/client/disk/Осмотры%20объектов%20АНО%20СМГ/1152.%20жилой%20дом%20Кременчугская%205к1</v>
      </c>
      <c r="J640" s="50">
        <f>IFERROR(__xludf.DUMMYFUNCTION("""COMPUTED_VALUE"""),0.0)</f>
        <v>0</v>
      </c>
      <c r="K640" s="58">
        <f>IFERROR(__xludf.DUMMYFUNCTION("""COMPUTED_VALUE"""),45951.0)</f>
        <v>45951</v>
      </c>
      <c r="L640" s="6">
        <v>30.0</v>
      </c>
      <c r="M640" s="52">
        <v>45981.0</v>
      </c>
      <c r="N640" s="53" t="s">
        <v>701</v>
      </c>
      <c r="O640" s="19" t="s">
        <v>1035</v>
      </c>
      <c r="P640" s="6"/>
      <c r="Q640" s="6" t="str">
        <f t="shared" si="1"/>
        <v>#N/A</v>
      </c>
      <c r="R640" s="6"/>
    </row>
    <row r="641" hidden="1">
      <c r="A641" s="31" t="str">
        <f>IFERROR(__xludf.DUMMYFUNCTION("""COMPUTED_VALUE"""),"1177")</f>
        <v>1177</v>
      </c>
      <c r="B641" s="14" t="str">
        <f>IFERROR(__xludf.DUMMYFUNCTION("""COMPUTED_VALUE"""),"АИП-27")</f>
        <v>АИП-27</v>
      </c>
      <c r="C641" s="14" t="str">
        <f>IFERROR(__xludf.DUMMYFUNCTION("""COMPUTED_VALUE"""),"ОКС")</f>
        <v>ОКС</v>
      </c>
      <c r="D641" s="15"/>
      <c r="E641" s="14" t="str">
        <f>IFERROR(__xludf.DUMMYFUNCTION("""COMPUTED_VALUE"""),"Жилой дом с инженерными коммуникациями, благоустройством и подземным паркингом р-н Фили-Давыдково, Давыдковская ул., влд.10А (со сносом жилых домов по адресам: Давыдковская ул., д.10, к.4)")</f>
        <v>Жилой дом с инженерными коммуникациями, благоустройством и подземным паркингом р-н Фили-Давыдково, Давыдковская ул., влд.10А (со сносом жилых домов по адресам: Давыдковская ул., д.10, к.4)</v>
      </c>
      <c r="F641" s="25" t="str">
        <f>IFERROR(__xludf.DUMMYFUNCTION("""COMPUTED_VALUE"""),"#N/A")</f>
        <v>#N/A</v>
      </c>
      <c r="G641" s="6" t="str">
        <f>IFERROR(__xludf.DUMMYFUNCTION("""COMPUTED_VALUE"""),"#N/A")</f>
        <v>#N/A</v>
      </c>
      <c r="H641" s="18" t="str">
        <f>IFERROR(__xludf.DUMMYFUNCTION("""COMPUTED_VALUE"""),"https://docs.google.com/spreadsheets/d/19THEBTE9q0fhN2eApZr6BgenIvLGh0AckaYxHQfHk5w/edit?gid=428469808#gid=428469808")</f>
        <v>https://docs.google.com/spreadsheets/d/19THEBTE9q0fhN2eApZr6BgenIvLGh0AckaYxHQfHk5w/edit?gid=428469808#gid=428469808</v>
      </c>
      <c r="I641" s="19" t="str">
        <f>IFERROR(__xludf.DUMMYFUNCTION("""COMPUTED_VALUE"""),"https://disk.yandex.ru/client/disk/Осмотры%20объектов%20АНО%20СМГ/1177.%20Давыдковская%2010к4%20Жилье")</f>
        <v>https://disk.yandex.ru/client/disk/Осмотры%20объектов%20АНО%20СМГ/1177.%20Давыдковская%2010к4%20Жилье</v>
      </c>
      <c r="J641" s="50">
        <f>IFERROR(__xludf.DUMMYFUNCTION("""COMPUTED_VALUE"""),7.86504)</f>
        <v>7.86504</v>
      </c>
      <c r="K641" s="58">
        <f>IFERROR(__xludf.DUMMYFUNCTION("""COMPUTED_VALUE"""),45905.0)</f>
        <v>45905</v>
      </c>
      <c r="L641" s="6">
        <v>30.0</v>
      </c>
      <c r="M641" s="52">
        <v>45935.0</v>
      </c>
      <c r="N641" s="53" t="s">
        <v>668</v>
      </c>
      <c r="O641" s="19" t="s">
        <v>1036</v>
      </c>
      <c r="P641" s="6"/>
      <c r="Q641" s="6" t="str">
        <f t="shared" si="1"/>
        <v>#N/A</v>
      </c>
      <c r="R641" s="6"/>
    </row>
    <row r="642" hidden="1">
      <c r="A642" s="31"/>
      <c r="B642" s="14"/>
      <c r="C642" s="14" t="str">
        <f>IFERROR(__xludf.DUMMYFUNCTION("""COMPUTED_VALUE"""),"ОКС")</f>
        <v>ОКС</v>
      </c>
      <c r="D642" s="15"/>
      <c r="E642" s="14" t="str">
        <f>IFERROR(__xludf.DUMMYFUNCTION("""COMPUTED_VALUE"""),"Выполнение  подрядных работ по строительству объекта капитального строительства: ""Инженерная и транспортная инфраструктура Московского международного делового центра ""Москва-Сити"" (1 этап). Этап 1.3. ""Коллектор с коммуникациями под проездом между учас"&amp;"тками 12, 13 и 16 с технологической частью и перекладкой коллектора КВК; устройство камеры соединения с коллектором КВК на ПК51 (1 этап), 5-й пусковой комплекс"". Этап 1. ""Переустройство участка коллектора на ПК 24-51"". Этап 2. ""Переустройство участка "&amp;"коллектора на ПК 24-13"" 1 ММДЦ ""Москва-Сити"".")</f>
        <v>Выполнение  подрядных работ по строительству объекта капитального строительства: "Инженерная и транспортная инфраструктура Московского международного делового центра "Москва-Сити" (1 этап). Этап 1.3. "Коллектор с коммуникациями под проездом между участками 12, 13 и 16 с технологической частью и перекладкой коллектора КВК; устройство камеры соединения с коллектором КВК на ПК51 (1 этап), 5-й пусковой комплекс". Этап 1. "Переустройство участка коллектора на ПК 24-51". Этап 2. "Переустройство участка коллектора на ПК 24-13" 1 ММДЦ "Москва-Сити".</v>
      </c>
      <c r="F642" s="25" t="str">
        <f>IFERROR(__xludf.DUMMYFUNCTION("""COMPUTED_VALUE"""),"#N/A")</f>
        <v>#N/A</v>
      </c>
      <c r="G642" s="6" t="str">
        <f>IFERROR(__xludf.DUMMYFUNCTION("""COMPUTED_VALUE"""),"#N/A")</f>
        <v>#N/A</v>
      </c>
      <c r="H642" s="6"/>
      <c r="I642" s="19"/>
      <c r="J642" s="50"/>
      <c r="K642" s="58"/>
      <c r="L642" s="6" t="s">
        <v>655</v>
      </c>
      <c r="M642" s="52" t="s">
        <v>655</v>
      </c>
      <c r="N642" s="53" t="s">
        <v>655</v>
      </c>
      <c r="O642" s="19" t="s">
        <v>669</v>
      </c>
      <c r="P642" s="6"/>
      <c r="Q642" s="6" t="str">
        <f t="shared" si="1"/>
        <v>#N/A</v>
      </c>
      <c r="R642" s="6"/>
    </row>
    <row r="643" hidden="1">
      <c r="A643" s="31" t="str">
        <f>IFERROR(__xludf.DUMMYFUNCTION("""COMPUTED_VALUE"""),"1267")</f>
        <v>1267</v>
      </c>
      <c r="B643" s="14" t="str">
        <f>IFERROR(__xludf.DUMMYFUNCTION("""COMPUTED_VALUE"""),"АИП-27")</f>
        <v>АИП-27</v>
      </c>
      <c r="C643" s="14" t="str">
        <f>IFERROR(__xludf.DUMMYFUNCTION("""COMPUTED_VALUE"""),"ОКС")</f>
        <v>ОКС</v>
      </c>
      <c r="D643" s="15"/>
      <c r="E643" s="14" t="str">
        <f>IFERROR(__xludf.DUMMYFUNCTION("""COMPUTED_VALUE"""),"
Поликлиника р-н Лефортово, 2-я Синичкина ул., влд. 4 (Комплексное развитие территорий)")</f>
        <v>
Поликлиника р-н Лефортово, 2-я Синичкина ул., влд. 4 (Комплексное развитие территорий)</v>
      </c>
      <c r="F643" s="25" t="str">
        <f>IFERROR(__xludf.DUMMYFUNCTION("""COMPUTED_VALUE"""),"#N/A")</f>
        <v>#N/A</v>
      </c>
      <c r="G643" s="6" t="str">
        <f>IFERROR(__xludf.DUMMYFUNCTION("""COMPUTED_VALUE"""),"#N/A")</f>
        <v>#N/A</v>
      </c>
      <c r="H643" s="18" t="str">
        <f>IFERROR(__xludf.DUMMYFUNCTION("""COMPUTED_VALUE"""),"https://docs.google.com/spreadsheets/d/19THEBTE9q0fhN2eApZr6BgenIvLGh0AckaYxHQfHk5w/edit?gid=1343159930#gid=1343159930")</f>
        <v>https://docs.google.com/spreadsheets/d/19THEBTE9q0fhN2eApZr6BgenIvLGh0AckaYxHQfHk5w/edit?gid=1343159930#gid=1343159930</v>
      </c>
      <c r="I643" s="19"/>
      <c r="J643" s="50">
        <f>IFERROR(__xludf.DUMMYFUNCTION("""COMPUTED_VALUE"""),0.0)</f>
        <v>0</v>
      </c>
      <c r="K643" s="58">
        <f>IFERROR(__xludf.DUMMYFUNCTION("""COMPUTED_VALUE"""),45944.0)</f>
        <v>45944</v>
      </c>
      <c r="L643" s="6">
        <v>30.0</v>
      </c>
      <c r="M643" s="52">
        <v>45974.0</v>
      </c>
      <c r="N643" s="53" t="s">
        <v>668</v>
      </c>
      <c r="O643" s="19" t="s">
        <v>1037</v>
      </c>
      <c r="P643" s="6"/>
      <c r="Q643" s="6" t="str">
        <f t="shared" si="1"/>
        <v>#N/A</v>
      </c>
      <c r="R643" s="6"/>
    </row>
    <row r="644" hidden="1">
      <c r="A644" s="31" t="str">
        <f>IFERROR(__xludf.DUMMYFUNCTION("""COMPUTED_VALUE"""),"318")</f>
        <v>318</v>
      </c>
      <c r="B644" s="14" t="str">
        <f>IFERROR(__xludf.DUMMYFUNCTION("""COMPUTED_VALUE"""),"АИП-27")</f>
        <v>АИП-27</v>
      </c>
      <c r="C644" s="14" t="str">
        <f>IFERROR(__xludf.DUMMYFUNCTION("""COMPUTED_VALUE"""),"ОКС")</f>
        <v>ОКС</v>
      </c>
      <c r="D644" s="15"/>
      <c r="E644" s="14" t="str">
        <f>IFERROR(__xludf.DUMMYFUNCTION("""COMPUTED_VALUE"""),"Подстанция скорой медицинской помощи р-н Пресненский, ул. Большая Декабрьская, влд. 11 (Комплексное развитие территорий)")</f>
        <v>Подстанция скорой медицинской помощи р-н Пресненский, ул. Большая Декабрьская, влд. 11 (Комплексное развитие территорий)</v>
      </c>
      <c r="F644" s="25" t="str">
        <f>IFERROR(__xludf.DUMMYFUNCTION("""COMPUTED_VALUE"""),"#N/A")</f>
        <v>#N/A</v>
      </c>
      <c r="G644" s="6" t="str">
        <f>IFERROR(__xludf.DUMMYFUNCTION("""COMPUTED_VALUE"""),"#N/A")</f>
        <v>#N/A</v>
      </c>
      <c r="H644" s="18" t="str">
        <f>IFERROR(__xludf.DUMMYFUNCTION("""COMPUTED_VALUE"""),"https://docs.google.com/spreadsheets/d/19THEBTE9q0fhN2eApZr6BgenIvLGh0AckaYxHQfHk5w/edit?gid=630818188#gid=630818188")</f>
        <v>https://docs.google.com/spreadsheets/d/19THEBTE9q0fhN2eApZr6BgenIvLGh0AckaYxHQfHk5w/edit?gid=630818188#gid=630818188</v>
      </c>
      <c r="I644" s="19" t="str">
        <f>IFERROR(__xludf.DUMMYFUNCTION("""COMPUTED_VALUE"""),"https://disk.yandex.ru/client/disk/Осмотры%20объектов%20АНО%20СМГ/318.%20ул.%20Большая%20Декабрьская%2C%20влд.%2011")</f>
        <v>https://disk.yandex.ru/client/disk/Осмотры%20объектов%20АНО%20СМГ/318.%20ул.%20Большая%20Декабрьская%2C%20влд.%2011</v>
      </c>
      <c r="J644" s="50">
        <f>IFERROR(__xludf.DUMMYFUNCTION("""COMPUTED_VALUE"""),25.599999999999998)</f>
        <v>25.6</v>
      </c>
      <c r="K644" s="58">
        <f>IFERROR(__xludf.DUMMYFUNCTION("""COMPUTED_VALUE"""),45905.0)</f>
        <v>45905</v>
      </c>
      <c r="L644" s="6">
        <v>30.0</v>
      </c>
      <c r="M644" s="52">
        <v>45935.0</v>
      </c>
      <c r="N644" s="53" t="s">
        <v>668</v>
      </c>
      <c r="O644" s="19" t="s">
        <v>1038</v>
      </c>
      <c r="P644" s="6"/>
      <c r="Q644" s="6" t="str">
        <f t="shared" si="1"/>
        <v>#N/A</v>
      </c>
      <c r="R644" s="6"/>
    </row>
    <row r="645" hidden="1">
      <c r="A645" s="31" t="str">
        <f>IFERROR(__xludf.DUMMYFUNCTION("""COMPUTED_VALUE"""),"319")</f>
        <v>319</v>
      </c>
      <c r="B645" s="14" t="str">
        <f>IFERROR(__xludf.DUMMYFUNCTION("""COMPUTED_VALUE"""),"АИП-27")</f>
        <v>АИП-27</v>
      </c>
      <c r="C645" s="14" t="str">
        <f>IFERROR(__xludf.DUMMYFUNCTION("""COMPUTED_VALUE"""),"ОКС")</f>
        <v>ОКС</v>
      </c>
      <c r="D645" s="15"/>
      <c r="E645" s="14" t="str">
        <f>IFERROR(__xludf.DUMMYFUNCTION("""COMPUTED_VALUE"""),"Подстанция скорой медицинской помощи р-н Тропарево-Никулино, Востряковское ш. (Комплексное развитие территорий)")</f>
        <v>Подстанция скорой медицинской помощи р-н Тропарево-Никулино, Востряковское ш. (Комплексное развитие территорий)</v>
      </c>
      <c r="F645" s="25" t="str">
        <f>IFERROR(__xludf.DUMMYFUNCTION("""COMPUTED_VALUE"""),"#N/A")</f>
        <v>#N/A</v>
      </c>
      <c r="G645" s="6" t="str">
        <f>IFERROR(__xludf.DUMMYFUNCTION("""COMPUTED_VALUE"""),"#N/A")</f>
        <v>#N/A</v>
      </c>
      <c r="H645" s="18" t="str">
        <f>IFERROR(__xludf.DUMMYFUNCTION("""COMPUTED_VALUE"""),"https://docs.google.com/spreadsheets/d/19THEBTE9q0fhN2eApZr6BgenIvLGh0AckaYxHQfHk5w/edit?gid=1872010035#gid=1872010035")</f>
        <v>https://docs.google.com/spreadsheets/d/19THEBTE9q0fhN2eApZr6BgenIvLGh0AckaYxHQfHk5w/edit?gid=1872010035#gid=1872010035</v>
      </c>
      <c r="I645" s="19" t="str">
        <f>IFERROR(__xludf.DUMMYFUNCTION("""COMPUTED_VALUE"""),"https://disk.yandex.ru/client/disk/Осмотры%20объектов%20АНО%20СМГ/319.%20Подстанция%20скорой%20медицинской%20помощи%20Востряковское%20ш.%20Тропарево-Никулино")</f>
        <v>https://disk.yandex.ru/client/disk/Осмотры%20объектов%20АНО%20СМГ/319.%20Подстанция%20скорой%20медицинской%20помощи%20Востряковское%20ш.%20Тропарево-Никулино</v>
      </c>
      <c r="J645" s="50">
        <f>IFERROR(__xludf.DUMMYFUNCTION("""COMPUTED_VALUE"""),0.0)</f>
        <v>0</v>
      </c>
      <c r="K645" s="58">
        <f>IFERROR(__xludf.DUMMYFUNCTION("""COMPUTED_VALUE"""),45745.0)</f>
        <v>45745</v>
      </c>
      <c r="L645" s="6">
        <v>30.0</v>
      </c>
      <c r="M645" s="52">
        <v>45775.0</v>
      </c>
      <c r="N645" s="53" t="s">
        <v>668</v>
      </c>
      <c r="O645" s="19" t="s">
        <v>1039</v>
      </c>
      <c r="P645" s="6"/>
      <c r="Q645" s="6" t="str">
        <f t="shared" si="1"/>
        <v>#N/A</v>
      </c>
      <c r="R645" s="6"/>
    </row>
    <row r="646" hidden="1">
      <c r="A646" s="31" t="str">
        <f>IFERROR(__xludf.DUMMYFUNCTION("""COMPUTED_VALUE"""),"1301")</f>
        <v>1301</v>
      </c>
      <c r="B646" s="14" t="str">
        <f>IFERROR(__xludf.DUMMYFUNCTION("""COMPUTED_VALUE"""),"АИП-27")</f>
        <v>АИП-27</v>
      </c>
      <c r="C646" s="14" t="str">
        <f>IFERROR(__xludf.DUMMYFUNCTION("""COMPUTED_VALUE"""),"ОКС")</f>
        <v>ОКС</v>
      </c>
      <c r="D646" s="15"/>
      <c r="E646" s="14" t="str">
        <f>IFERROR(__xludf.DUMMYFUNCTION("""COMPUTED_VALUE"""),"Многопрофильный комплекс ГБУЗ ""ДГКБ св. Владимира ДЗМ"" (Этап 2: Центр детской нейрореабилитации и ортопедии с подземной парковкой на месте сноса корпуса № 9 ГБУЗ ""ДГКБ св.Владимира ДЗМ"" по адресу: ул. Рубцовско-Дворцовая, д. 1/3) г. Москва, ул. Рубцов"&amp;"ско-Дворцовая, д. 1/3 корп.9.")</f>
        <v>Многопрофильный комплекс ГБУЗ "ДГКБ св. Владимира ДЗМ" (Этап 2: Центр детской нейрореабилитации и ортопедии с подземной парковкой на месте сноса корпуса № 9 ГБУЗ "ДГКБ св.Владимира ДЗМ" по адресу: ул. Рубцовско-Дворцовая, д. 1/3) г. Москва, ул. Рубцовско-Дворцовая, д. 1/3 корп.9.</v>
      </c>
      <c r="F646" s="25" t="str">
        <f>IFERROR(__xludf.DUMMYFUNCTION("""COMPUTED_VALUE"""),"#N/A")</f>
        <v>#N/A</v>
      </c>
      <c r="G646" s="6" t="str">
        <f>IFERROR(__xludf.DUMMYFUNCTION("""COMPUTED_VALUE"""),"#N/A")</f>
        <v>#N/A</v>
      </c>
      <c r="H646" s="18" t="str">
        <f>IFERROR(__xludf.DUMMYFUNCTION("""COMPUTED_VALUE"""),"https://docs.google.com/spreadsheets/d/19THEBTE9q0fhN2eApZr6BgenIvLGh0AckaYxHQfHk5w/edit?gid=227683737#gid=227683737")</f>
        <v>https://docs.google.com/spreadsheets/d/19THEBTE9q0fhN2eApZr6BgenIvLGh0AckaYxHQfHk5w/edit?gid=227683737#gid=227683737</v>
      </c>
      <c r="I646" s="19"/>
      <c r="J646" s="50">
        <f>IFERROR(__xludf.DUMMYFUNCTION("""COMPUTED_VALUE"""),0.0)</f>
        <v>0</v>
      </c>
      <c r="K646" s="58">
        <f>IFERROR(__xludf.DUMMYFUNCTION("""COMPUTED_VALUE"""),45912.0)</f>
        <v>45912</v>
      </c>
      <c r="L646" s="6">
        <v>30.0</v>
      </c>
      <c r="M646" s="52">
        <v>45942.0</v>
      </c>
      <c r="N646" s="53" t="s">
        <v>668</v>
      </c>
      <c r="O646" s="19" t="s">
        <v>1040</v>
      </c>
      <c r="P646" s="6"/>
      <c r="Q646" s="6" t="str">
        <f t="shared" si="1"/>
        <v>#N/A</v>
      </c>
      <c r="R646" s="6"/>
    </row>
    <row r="647" hidden="1">
      <c r="A647" s="31" t="str">
        <f>IFERROR(__xludf.DUMMYFUNCTION("""COMPUTED_VALUE"""),"320")</f>
        <v>320</v>
      </c>
      <c r="B647" s="14" t="str">
        <f>IFERROR(__xludf.DUMMYFUNCTION("""COMPUTED_VALUE"""),"АИП-27")</f>
        <v>АИП-27</v>
      </c>
      <c r="C647" s="14" t="str">
        <f>IFERROR(__xludf.DUMMYFUNCTION("""COMPUTED_VALUE"""),"ОКС")</f>
        <v>ОКС</v>
      </c>
      <c r="D647" s="15"/>
      <c r="E647" s="14" t="str">
        <f>IFERROR(__xludf.DUMMYFUNCTION("""COMPUTED_VALUE"""),"Физкультурно-оздоровительный комплекс с бассейном 9 мая ул., влд. 28")</f>
        <v>Физкультурно-оздоровительный комплекс с бассейном 9 мая ул., влд. 28</v>
      </c>
      <c r="F647" s="25" t="str">
        <f>IFERROR(__xludf.DUMMYFUNCTION("""COMPUTED_VALUE"""),"#N/A")</f>
        <v>#N/A</v>
      </c>
      <c r="G647" s="6" t="str">
        <f>IFERROR(__xludf.DUMMYFUNCTION("""COMPUTED_VALUE"""),"#N/A")</f>
        <v>#N/A</v>
      </c>
      <c r="H647" s="18" t="str">
        <f>IFERROR(__xludf.DUMMYFUNCTION("""COMPUTED_VALUE"""),"https://docs.google.com/spreadsheets/d/19THEBTE9q0fhN2eApZr6BgenIvLGh0AckaYxHQfHk5w/edit?gid=42376877#gid=42376877")</f>
        <v>https://docs.google.com/spreadsheets/d/19THEBTE9q0fhN2eApZr6BgenIvLGh0AckaYxHQfHk5w/edit?gid=42376877#gid=42376877</v>
      </c>
      <c r="I647" s="19" t="str">
        <f>IFERROR(__xludf.DUMMYFUNCTION("""COMPUTED_VALUE"""),"https://disk.yandex.ru/client/disk/Осмотры%20объектов%20АНО%20СМГ/320.%20р-н%20Восточный%2C%20ул%209%20мая%2C%20влд.%2028")</f>
        <v>https://disk.yandex.ru/client/disk/Осмотры%20объектов%20АНО%20СМГ/320.%20р-н%20Восточный%2C%20ул%209%20мая%2C%20влд.%2028</v>
      </c>
      <c r="J647" s="50">
        <f>IFERROR(__xludf.DUMMYFUNCTION("""COMPUTED_VALUE"""),0.0)</f>
        <v>0</v>
      </c>
      <c r="K647" s="58">
        <f>IFERROR(__xludf.DUMMYFUNCTION("""COMPUTED_VALUE"""),45681.0)</f>
        <v>45681</v>
      </c>
      <c r="L647" s="6">
        <v>30.0</v>
      </c>
      <c r="M647" s="52">
        <v>45711.0</v>
      </c>
      <c r="N647" s="53" t="s">
        <v>668</v>
      </c>
      <c r="O647" s="19" t="s">
        <v>1041</v>
      </c>
      <c r="P647" s="6"/>
      <c r="Q647" s="6" t="str">
        <f t="shared" si="1"/>
        <v>#N/A</v>
      </c>
      <c r="R647" s="6"/>
    </row>
    <row r="648" hidden="1">
      <c r="A648" s="31" t="str">
        <f>IFERROR(__xludf.DUMMYFUNCTION("""COMPUTED_VALUE"""),"НД")</f>
        <v>НД</v>
      </c>
      <c r="B648" s="14" t="str">
        <f>IFERROR(__xludf.DUMMYFUNCTION("""COMPUTED_VALUE"""),"АИП-27")</f>
        <v>АИП-27</v>
      </c>
      <c r="C648" s="14" t="str">
        <f>IFERROR(__xludf.DUMMYFUNCTION("""COMPUTED_VALUE"""),"ОКС")</f>
        <v>ОКС</v>
      </c>
      <c r="D648" s="15"/>
      <c r="E648" s="14" t="str">
        <f>IFERROR(__xludf.DUMMYFUNCTION("""COMPUTED_VALUE"""),"Реконструкция Хованского крематория с заменой кремационных печей ул. Адмирала Корнилова, д. 42, стр. 1 (Обследование и проектно-изыскательские работы)")</f>
        <v>Реконструкция Хованского крематория с заменой кремационных печей ул. Адмирала Корнилова, д. 42, стр. 1 (Обследование и проектно-изыскательские работы)</v>
      </c>
      <c r="F648" s="25" t="str">
        <f>IFERROR(__xludf.DUMMYFUNCTION("""COMPUTED_VALUE"""),"#N/A")</f>
        <v>#N/A</v>
      </c>
      <c r="G648" s="6" t="str">
        <f>IFERROR(__xludf.DUMMYFUNCTION("""COMPUTED_VALUE"""),"#N/A")</f>
        <v>#N/A</v>
      </c>
      <c r="H648" s="6"/>
      <c r="I648" s="19"/>
      <c r="J648" s="50"/>
      <c r="K648" s="58"/>
      <c r="L648" s="6">
        <v>30.0</v>
      </c>
      <c r="M648" s="52" t="s">
        <v>655</v>
      </c>
      <c r="N648" s="53" t="s">
        <v>698</v>
      </c>
      <c r="O648" s="19" t="s">
        <v>1042</v>
      </c>
      <c r="P648" s="6"/>
      <c r="Q648" s="6" t="str">
        <f t="shared" si="1"/>
        <v>#N/A</v>
      </c>
      <c r="R648" s="6"/>
    </row>
    <row r="649" hidden="1">
      <c r="A649" s="31" t="str">
        <f>IFERROR(__xludf.DUMMYFUNCTION("""COMPUTED_VALUE"""),"НД")</f>
        <v>НД</v>
      </c>
      <c r="B649" s="14" t="str">
        <f>IFERROR(__xludf.DUMMYFUNCTION("""COMPUTED_VALUE"""),"АИП-27")</f>
        <v>АИП-27</v>
      </c>
      <c r="C649" s="14" t="str">
        <f>IFERROR(__xludf.DUMMYFUNCTION("""COMPUTED_VALUE"""),"ОКС")</f>
        <v>ОКС</v>
      </c>
      <c r="D649" s="15"/>
      <c r="E649" s="14" t="str">
        <f>IFERROR(__xludf.DUMMYFUNCTION("""COMPUTED_VALUE"""),"Колледж р-н Лианозово, ул. Череповецкая, д. 8А, д. 10А, ул. Угличская, д. 8")</f>
        <v>Колледж р-н Лианозово, ул. Череповецкая, д. 8А, д. 10А, ул. Угличская, д. 8</v>
      </c>
      <c r="F649" s="25" t="str">
        <f>IFERROR(__xludf.DUMMYFUNCTION("""COMPUTED_VALUE"""),"#N/A")</f>
        <v>#N/A</v>
      </c>
      <c r="G649" s="6" t="str">
        <f>IFERROR(__xludf.DUMMYFUNCTION("""COMPUTED_VALUE"""),"#N/A")</f>
        <v>#N/A</v>
      </c>
      <c r="H649" s="6"/>
      <c r="I649" s="19"/>
      <c r="J649" s="50"/>
      <c r="K649" s="58"/>
      <c r="L649" s="6">
        <v>30.0</v>
      </c>
      <c r="M649" s="52" t="s">
        <v>655</v>
      </c>
      <c r="N649" s="53" t="s">
        <v>698</v>
      </c>
      <c r="O649" s="19" t="s">
        <v>1043</v>
      </c>
      <c r="P649" s="6"/>
      <c r="Q649" s="6" t="str">
        <f t="shared" si="1"/>
        <v>#N/A</v>
      </c>
      <c r="R649" s="6"/>
    </row>
    <row r="650" hidden="1">
      <c r="A650" s="31" t="str">
        <f>IFERROR(__xludf.DUMMYFUNCTION("""COMPUTED_VALUE"""),"НД")</f>
        <v>НД</v>
      </c>
      <c r="B650" s="14" t="str">
        <f>IFERROR(__xludf.DUMMYFUNCTION("""COMPUTED_VALUE"""),"АИП-27")</f>
        <v>АИП-27</v>
      </c>
      <c r="C650" s="14" t="str">
        <f>IFERROR(__xludf.DUMMYFUNCTION("""COMPUTED_VALUE"""),"ОКС")</f>
        <v>ОКС</v>
      </c>
      <c r="D650" s="15"/>
      <c r="E650" s="14" t="str">
        <f>IFERROR(__xludf.DUMMYFUNCTION("""COMPUTED_VALUE"""),"Колледж ул. Зеленоградская, д. 11, Головинский р-н, САО")</f>
        <v>Колледж ул. Зеленоградская, д. 11, Головинский р-н, САО</v>
      </c>
      <c r="F650" s="25" t="str">
        <f>IFERROR(__xludf.DUMMYFUNCTION("""COMPUTED_VALUE"""),"#N/A")</f>
        <v>#N/A</v>
      </c>
      <c r="G650" s="6" t="str">
        <f>IFERROR(__xludf.DUMMYFUNCTION("""COMPUTED_VALUE"""),"#N/A")</f>
        <v>#N/A</v>
      </c>
      <c r="H650" s="6"/>
      <c r="I650" s="19"/>
      <c r="J650" s="50"/>
      <c r="K650" s="58"/>
      <c r="L650" s="6">
        <v>30.0</v>
      </c>
      <c r="M650" s="52" t="s">
        <v>655</v>
      </c>
      <c r="N650" s="53" t="s">
        <v>698</v>
      </c>
      <c r="O650" s="19" t="s">
        <v>1044</v>
      </c>
      <c r="P650" s="6"/>
      <c r="Q650" s="6" t="str">
        <f t="shared" si="1"/>
        <v>#N/A</v>
      </c>
      <c r="R650" s="6"/>
    </row>
    <row r="651" hidden="1">
      <c r="A651" s="31" t="str">
        <f>IFERROR(__xludf.DUMMYFUNCTION("""COMPUTED_VALUE"""),"НД")</f>
        <v>НД</v>
      </c>
      <c r="B651" s="14" t="str">
        <f>IFERROR(__xludf.DUMMYFUNCTION("""COMPUTED_VALUE"""),"АИП-27")</f>
        <v>АИП-27</v>
      </c>
      <c r="C651" s="14" t="str">
        <f>IFERROR(__xludf.DUMMYFUNCTION("""COMPUTED_VALUE"""),"ОКС")</f>
        <v>ОКС</v>
      </c>
      <c r="D651" s="15"/>
      <c r="E651" s="14" t="str">
        <f>IFERROR(__xludf.DUMMYFUNCTION("""COMPUTED_VALUE"""),"Колледж на месте сноса существующих строений ул. Люблинская, д. 56/2, с. 1, с. 3-5")</f>
        <v>Колледж на месте сноса существующих строений ул. Люблинская, д. 56/2, с. 1, с. 3-5</v>
      </c>
      <c r="F651" s="25" t="str">
        <f>IFERROR(__xludf.DUMMYFUNCTION("""COMPUTED_VALUE"""),"#N/A")</f>
        <v>#N/A</v>
      </c>
      <c r="G651" s="6" t="str">
        <f>IFERROR(__xludf.DUMMYFUNCTION("""COMPUTED_VALUE"""),"#N/A")</f>
        <v>#N/A</v>
      </c>
      <c r="H651" s="6"/>
      <c r="I651" s="19"/>
      <c r="J651" s="50"/>
      <c r="K651" s="58"/>
      <c r="L651" s="6">
        <v>30.0</v>
      </c>
      <c r="M651" s="52" t="s">
        <v>655</v>
      </c>
      <c r="N651" s="53" t="s">
        <v>698</v>
      </c>
      <c r="O651" s="19" t="s">
        <v>1045</v>
      </c>
      <c r="P651" s="6"/>
      <c r="Q651" s="6" t="str">
        <f t="shared" si="1"/>
        <v>#N/A</v>
      </c>
      <c r="R651" s="6"/>
    </row>
    <row r="652" hidden="1">
      <c r="A652" s="31" t="str">
        <f>IFERROR(__xludf.DUMMYFUNCTION("""COMPUTED_VALUE"""),"450д")</f>
        <v>450д</v>
      </c>
      <c r="B652" s="14" t="str">
        <f>IFERROR(__xludf.DUMMYFUNCTION("""COMPUTED_VALUE"""),"АИП-27")</f>
        <v>АИП-27</v>
      </c>
      <c r="C652" s="14" t="str">
        <f>IFERROR(__xludf.DUMMYFUNCTION("""COMPUTED_VALUE"""),"УДС")</f>
        <v>УДС</v>
      </c>
      <c r="D652" s="15"/>
      <c r="E652" s="14" t="str">
        <f>IFERROR(__xludf.DUMMYFUNCTION("""COMPUTED_VALUE"""),"Реконструкция подъездной дороги, д. Лапшинка д. Лапшинка")</f>
        <v>Реконструкция подъездной дороги, д. Лапшинка д. Лапшинка</v>
      </c>
      <c r="F652" s="25" t="str">
        <f>IFERROR(__xludf.DUMMYFUNCTION("""COMPUTED_VALUE"""),"#N/A")</f>
        <v>#N/A</v>
      </c>
      <c r="G652" s="6" t="str">
        <f>IFERROR(__xludf.DUMMYFUNCTION("""COMPUTED_VALUE"""),"#N/A")</f>
        <v>#N/A</v>
      </c>
      <c r="H652" s="6"/>
      <c r="I652" s="19"/>
      <c r="J652" s="50">
        <f>IFERROR(__xludf.DUMMYFUNCTION("""COMPUTED_VALUE"""),0.0)</f>
        <v>0</v>
      </c>
      <c r="K652" s="58"/>
      <c r="L652" s="6">
        <v>30.0</v>
      </c>
      <c r="M652" s="52" t="s">
        <v>655</v>
      </c>
      <c r="N652" s="53" t="s">
        <v>698</v>
      </c>
      <c r="O652" s="19" t="s">
        <v>1046</v>
      </c>
      <c r="P652" s="6"/>
      <c r="Q652" s="6" t="str">
        <f t="shared" si="1"/>
        <v>#N/A</v>
      </c>
      <c r="R652" s="6"/>
    </row>
    <row r="653" hidden="1">
      <c r="A653" s="31" t="str">
        <f>IFERROR(__xludf.DUMMYFUNCTION("""COMPUTED_VALUE"""),"нд")</f>
        <v>нд</v>
      </c>
      <c r="B653" s="14" t="str">
        <f>IFERROR(__xludf.DUMMYFUNCTION("""COMPUTED_VALUE"""),"Вне списка")</f>
        <v>Вне списка</v>
      </c>
      <c r="C653" s="14" t="str">
        <f>IFERROR(__xludf.DUMMYFUNCTION("""COMPUTED_VALUE"""),"УДС")</f>
        <v>УДС</v>
      </c>
      <c r="D653" s="15"/>
      <c r="E653" s="14" t="str">
        <f>IFERROR(__xludf.DUMMYFUNCTION("""COMPUTED_VALUE"""),"Старт ТПМК от станции «Липовая роща» до станции «Строгино» Рублёво-Архангельской линии, граница СЗАО г. Москвы и  Московской области ")</f>
        <v>Старт ТПМК от станции «Липовая роща» до станции «Строгино» Рублёво-Архангельской линии, граница СЗАО г. Москвы и  Московской области </v>
      </c>
      <c r="F653" s="25" t="str">
        <f>IFERROR(__xludf.DUMMYFUNCTION("""COMPUTED_VALUE"""),"#N/A")</f>
        <v>#N/A</v>
      </c>
      <c r="G653" s="6" t="str">
        <f>IFERROR(__xludf.DUMMYFUNCTION("""COMPUTED_VALUE"""),"#N/A")</f>
        <v>#N/A</v>
      </c>
      <c r="H653" s="6"/>
      <c r="I653" s="6"/>
      <c r="J653" s="50"/>
      <c r="K653" s="58"/>
      <c r="L653" s="6">
        <v>30.0</v>
      </c>
      <c r="M653" s="52" t="s">
        <v>655</v>
      </c>
      <c r="N653" s="53" t="s">
        <v>698</v>
      </c>
      <c r="O653" s="6" t="s">
        <v>669</v>
      </c>
      <c r="P653" s="6"/>
      <c r="Q653" s="6" t="str">
        <f t="shared" si="1"/>
        <v>#N/A</v>
      </c>
      <c r="R653" s="6"/>
    </row>
    <row r="654" hidden="1">
      <c r="A654" s="31" t="str">
        <f>IFERROR(__xludf.DUMMYFUNCTION("""COMPUTED_VALUE"""),"НД")</f>
        <v>НД</v>
      </c>
      <c r="B654" s="14" t="str">
        <f>IFERROR(__xludf.DUMMYFUNCTION("""COMPUTED_VALUE"""),"АИП-27")</f>
        <v>АИП-27</v>
      </c>
      <c r="C654" s="14" t="str">
        <f>IFERROR(__xludf.DUMMYFUNCTION("""COMPUTED_VALUE"""),"УДС")</f>
        <v>УДС</v>
      </c>
      <c r="D654" s="15"/>
      <c r="E654" s="14" t="str">
        <f>IFERROR(__xludf.DUMMYFUNCTION("""COMPUTED_VALUE"""),"Рублево-Архангельская линия ст. «Бульвар Генерала Карбышева» – ст. «Липовая Роща»
(«Серебряный Бор», «Строгино», «Липовая Роща») «Серебряный Бор», улица Паршина, 37 «Строгино», Строгинский бульвар, 21 «Липовая Роща» улица Липовой Рощи, 2, к2")</f>
        <v>Рублево-Архангельская линия ст. «Бульвар Генерала Карбышева» – ст. «Липовая Роща»
(«Серебряный Бор», «Строгино», «Липовая Роща») «Серебряный Бор», улица Паршина, 37 «Строгино», Строгинский бульвар, 21 «Липовая Роща» улица Липовой Рощи, 2, к2</v>
      </c>
      <c r="F654" s="25" t="str">
        <f>IFERROR(__xludf.DUMMYFUNCTION("""COMPUTED_VALUE"""),"#N/A")</f>
        <v>#N/A</v>
      </c>
      <c r="G654" s="6" t="str">
        <f>IFERROR(__xludf.DUMMYFUNCTION("""COMPUTED_VALUE"""),"#N/A")</f>
        <v>#N/A</v>
      </c>
      <c r="H654" s="6"/>
      <c r="I654" s="6"/>
      <c r="J654" s="50"/>
      <c r="K654" s="58"/>
      <c r="L654" s="6">
        <v>30.0</v>
      </c>
      <c r="M654" s="52" t="s">
        <v>655</v>
      </c>
      <c r="N654" s="53" t="s">
        <v>698</v>
      </c>
      <c r="O654" s="6" t="s">
        <v>669</v>
      </c>
      <c r="P654" s="6"/>
      <c r="Q654" s="6" t="str">
        <f t="shared" si="1"/>
        <v>#N/A</v>
      </c>
      <c r="R654" s="6"/>
    </row>
    <row r="655" hidden="1">
      <c r="A655" s="31" t="str">
        <f>IFERROR(__xludf.DUMMYFUNCTION("""COMPUTED_VALUE"""),"335")</f>
        <v>335</v>
      </c>
      <c r="B655" s="14" t="str">
        <f>IFERROR(__xludf.DUMMYFUNCTION("""COMPUTED_VALUE"""),"АИП-27")</f>
        <v>АИП-27</v>
      </c>
      <c r="C655" s="14" t="str">
        <f>IFERROR(__xludf.DUMMYFUNCTION("""COMPUTED_VALUE"""),"УДС")</f>
        <v>УДС</v>
      </c>
      <c r="D655" s="15"/>
      <c r="E655" s="14" t="str">
        <f>IFERROR(__xludf.DUMMYFUNCTION("""COMPUTED_VALUE"""),"Начало проходки ЛПТ на участке 
от ст. ""Рублево-Архангельское"" до ст. ""Ильинская"" район Кунцево, 
Начало проходки ЛПТ на участке от ст. ""Рублево-Архангельское"" до ст. ""Ильинская""")</f>
        <v>Начало проходки ЛПТ на участке 
от ст. "Рублево-Архангельское" до ст. "Ильинская" район Кунцево, 
Начало проходки ЛПТ на участке от ст. "Рублево-Архангельское" до ст. "Ильинская"</v>
      </c>
      <c r="F655" s="25" t="str">
        <f>IFERROR(__xludf.DUMMYFUNCTION("""COMPUTED_VALUE"""),"#N/A")</f>
        <v>#N/A</v>
      </c>
      <c r="G655" s="6" t="str">
        <f>IFERROR(__xludf.DUMMYFUNCTION("""COMPUTED_VALUE"""),"#N/A")</f>
        <v>#N/A</v>
      </c>
      <c r="H655" s="18" t="str">
        <f>IFERROR(__xludf.DUMMYFUNCTION("""COMPUTED_VALUE"""),"https://docs.google.com/spreadsheets/d/1jonEGMB3UFHiUZpltF1zURon8gYN7jGSHu-k9t5TXnA/edit?gid=654238193#gid=654238193")</f>
        <v>https://docs.google.com/spreadsheets/d/1jonEGMB3UFHiUZpltF1zURon8gYN7jGSHu-k9t5TXnA/edit?gid=654238193#gid=654238193</v>
      </c>
      <c r="I655" s="6" t="str">
        <f>IFERROR(__xludf.DUMMYFUNCTION("""COMPUTED_VALUE"""),"https://disk.yandex.ru/client/disk/Осмотры%20объектов%20АНО%20СМГ/335%20Начало%20проходки%20ЛПТ%20на%20участке%20от%20ст.%20%22Рублево-Архангельское%22%20до%20ст.%20%22Ильинская%22")</f>
        <v>https://disk.yandex.ru/client/disk/Осмотры%20объектов%20АНО%20СМГ/335%20Начало%20проходки%20ЛПТ%20на%20участке%20от%20ст.%20%22Рублево-Архангельское%22%20до%20ст.%20%22Ильинская%22</v>
      </c>
      <c r="J655" s="50">
        <f>IFERROR(__xludf.DUMMYFUNCTION("""COMPUTED_VALUE"""),5.628)</f>
        <v>5.628</v>
      </c>
      <c r="K655" s="58">
        <f>IFERROR(__xludf.DUMMYFUNCTION("""COMPUTED_VALUE"""),45854.0)</f>
        <v>45854</v>
      </c>
      <c r="L655" s="6">
        <v>30.0</v>
      </c>
      <c r="M655" s="52">
        <v>45884.0</v>
      </c>
      <c r="N655" s="53" t="s">
        <v>668</v>
      </c>
      <c r="O655" s="6" t="s">
        <v>669</v>
      </c>
      <c r="P655" s="6"/>
      <c r="Q655" s="6" t="str">
        <f t="shared" si="1"/>
        <v>#N/A</v>
      </c>
      <c r="R655" s="6"/>
    </row>
    <row r="656" hidden="1">
      <c r="A656" s="31" t="str">
        <f>IFERROR(__xludf.DUMMYFUNCTION("""COMPUTED_VALUE"""),"НД")</f>
        <v>НД</v>
      </c>
      <c r="B656" s="14" t="str">
        <f>IFERROR(__xludf.DUMMYFUNCTION("""COMPUTED_VALUE"""),"АИП-27")</f>
        <v>АИП-27</v>
      </c>
      <c r="C656" s="14" t="str">
        <f>IFERROR(__xludf.DUMMYFUNCTION("""COMPUTED_VALUE"""),"УДС")</f>
        <v>УДС</v>
      </c>
      <c r="D656" s="15"/>
      <c r="E656" s="14" t="str">
        <f>IFERROR(__xludf.DUMMYFUNCTION("""COMPUTED_VALUE"""),"Рублево-Архангельская линия ст. «Липовая Роща» – ст. «Ильинская»
(«Рублево-Архангельское», «Ильинская») «Рублево-Архангельское»,  в районе квартал А22 «Ильинская» в районе Новорижское шоссе, 22-й километр, вл, 1с1")</f>
        <v>Рублево-Архангельская линия ст. «Липовая Роща» – ст. «Ильинская»
(«Рублево-Архангельское», «Ильинская») «Рублево-Архангельское»,  в районе квартал А22 «Ильинская» в районе Новорижское шоссе, 22-й километр, вл, 1с1</v>
      </c>
      <c r="F656" s="25" t="str">
        <f>IFERROR(__xludf.DUMMYFUNCTION("""COMPUTED_VALUE"""),"#N/A")</f>
        <v>#N/A</v>
      </c>
      <c r="G656" s="6" t="str">
        <f>IFERROR(__xludf.DUMMYFUNCTION("""COMPUTED_VALUE"""),"#N/A")</f>
        <v>#N/A</v>
      </c>
      <c r="H656" s="6"/>
      <c r="I656" s="6"/>
      <c r="J656" s="50"/>
      <c r="K656" s="58"/>
      <c r="L656" s="6">
        <v>30.0</v>
      </c>
      <c r="M656" s="52" t="s">
        <v>655</v>
      </c>
      <c r="N656" s="53" t="s">
        <v>698</v>
      </c>
      <c r="O656" s="6" t="s">
        <v>669</v>
      </c>
      <c r="P656" s="6"/>
      <c r="Q656" s="6" t="str">
        <f t="shared" si="1"/>
        <v>#N/A</v>
      </c>
      <c r="R656" s="6"/>
    </row>
    <row r="657" hidden="1">
      <c r="A657" s="31" t="str">
        <f>IFERROR(__xludf.DUMMYFUNCTION("""COMPUTED_VALUE"""),"НД")</f>
        <v>НД</v>
      </c>
      <c r="B657" s="14" t="str">
        <f>IFERROR(__xludf.DUMMYFUNCTION("""COMPUTED_VALUE"""),"АИП-27")</f>
        <v>АИП-27</v>
      </c>
      <c r="C657" s="14" t="str">
        <f>IFERROR(__xludf.DUMMYFUNCTION("""COMPUTED_VALUE"""),"УДС")</f>
        <v>УДС</v>
      </c>
      <c r="D657" s="15"/>
      <c r="E657" s="14" t="str">
        <f>IFERROR(__xludf.DUMMYFUNCTION("""COMPUTED_VALUE"""),"Электродепо «Ильинское» Московская область, Новорижское шоссе, вблизи поселка «Новый», Сосновая улица")</f>
        <v>Электродепо «Ильинское» Московская область, Новорижское шоссе, вблизи поселка «Новый», Сосновая улица</v>
      </c>
      <c r="F657" s="25" t="str">
        <f>IFERROR(__xludf.DUMMYFUNCTION("""COMPUTED_VALUE"""),"#N/A")</f>
        <v>#N/A</v>
      </c>
      <c r="G657" s="6" t="str">
        <f>IFERROR(__xludf.DUMMYFUNCTION("""COMPUTED_VALUE"""),"#N/A")</f>
        <v>#N/A</v>
      </c>
      <c r="H657" s="6"/>
      <c r="I657" s="6"/>
      <c r="J657" s="50"/>
      <c r="K657" s="58"/>
      <c r="L657" s="6">
        <v>30.0</v>
      </c>
      <c r="M657" s="52" t="s">
        <v>655</v>
      </c>
      <c r="N657" s="53" t="s">
        <v>698</v>
      </c>
      <c r="O657" s="6" t="s">
        <v>669</v>
      </c>
      <c r="P657" s="6"/>
      <c r="Q657" s="6" t="str">
        <f t="shared" si="1"/>
        <v>#N/A</v>
      </c>
      <c r="R657" s="6"/>
    </row>
    <row r="658" hidden="1">
      <c r="A658" s="31" t="str">
        <f>IFERROR(__xludf.DUMMYFUNCTION("""COMPUTED_VALUE"""),"1325")</f>
        <v>1325</v>
      </c>
      <c r="B658" s="14" t="str">
        <f>IFERROR(__xludf.DUMMYFUNCTION("""COMPUTED_VALUE"""),"АИП-27")</f>
        <v>АИП-27</v>
      </c>
      <c r="C658" s="14" t="str">
        <f>IFERROR(__xludf.DUMMYFUNCTION("""COMPUTED_VALUE"""),"УДС")</f>
        <v>УДС</v>
      </c>
      <c r="D658" s="15"/>
      <c r="E658" s="14" t="str">
        <f>IFERROR(__xludf.DUMMYFUNCTION("""COMPUTED_VALUE"""),"Технологическая часть ТПУ на станции метро ""Ботанический сад"" 1-я улица Леонова, 18")</f>
        <v>Технологическая часть ТПУ на станции метро "Ботанический сад" 1-я улица Леонова, 18</v>
      </c>
      <c r="F658" s="25" t="str">
        <f>IFERROR(__xludf.DUMMYFUNCTION("""COMPUTED_VALUE"""),"#N/A")</f>
        <v>#N/A</v>
      </c>
      <c r="G658" s="6" t="str">
        <f>IFERROR(__xludf.DUMMYFUNCTION("""COMPUTED_VALUE"""),"#N/A")</f>
        <v>#N/A</v>
      </c>
      <c r="H658" s="18" t="str">
        <f>IFERROR(__xludf.DUMMYFUNCTION("""COMPUTED_VALUE"""),"https://docs.google.com/spreadsheets/d/1EI7qusa674eJhuaw-nWWtWMEHVSYMQv7HLsInEZTWpE/edit?gid=501610529#gid=501610529")</f>
        <v>https://docs.google.com/spreadsheets/d/1EI7qusa674eJhuaw-nWWtWMEHVSYMQv7HLsInEZTWpE/edit?gid=501610529#gid=501610529</v>
      </c>
      <c r="I658" s="6"/>
      <c r="J658" s="50">
        <f>IFERROR(__xludf.DUMMYFUNCTION("""COMPUTED_VALUE"""),0.0)</f>
        <v>0</v>
      </c>
      <c r="K658" s="58">
        <f>IFERROR(__xludf.DUMMYFUNCTION("""COMPUTED_VALUE"""),45944.0)</f>
        <v>45944</v>
      </c>
      <c r="L658" s="6">
        <v>30.0</v>
      </c>
      <c r="M658" s="52">
        <v>45974.0</v>
      </c>
      <c r="N658" s="53" t="s">
        <v>668</v>
      </c>
      <c r="O658" s="6" t="s">
        <v>1047</v>
      </c>
      <c r="P658" s="6"/>
      <c r="Q658" s="6" t="str">
        <f t="shared" si="1"/>
        <v>#N/A</v>
      </c>
      <c r="R658" s="6"/>
    </row>
    <row r="659" hidden="1">
      <c r="A659" s="31" t="str">
        <f>IFERROR(__xludf.DUMMYFUNCTION("""COMPUTED_VALUE"""),"НД")</f>
        <v>НД</v>
      </c>
      <c r="B659" s="14" t="str">
        <f>IFERROR(__xludf.DUMMYFUNCTION("""COMPUTED_VALUE"""),"АИП-27")</f>
        <v>АИП-27</v>
      </c>
      <c r="C659" s="14" t="str">
        <f>IFERROR(__xludf.DUMMYFUNCTION("""COMPUTED_VALUE"""),"УДС")</f>
        <v>УДС</v>
      </c>
      <c r="D659" s="15"/>
      <c r="E659" s="14" t="str">
        <f>IFERROR(__xludf.DUMMYFUNCTION("""COMPUTED_VALUE"""),"Технологическая часть ТПУ на станции метро ""Петровско-Разумовская"" Станция метро ""Петровско- Разумовская""")</f>
        <v>Технологическая часть ТПУ на станции метро "Петровско-Разумовская" Станция метро "Петровско- Разумовская"</v>
      </c>
      <c r="F659" s="25" t="str">
        <f>IFERROR(__xludf.DUMMYFUNCTION("""COMPUTED_VALUE"""),"#N/A")</f>
        <v>#N/A</v>
      </c>
      <c r="G659" s="6" t="str">
        <f>IFERROR(__xludf.DUMMYFUNCTION("""COMPUTED_VALUE"""),"#N/A")</f>
        <v>#N/A</v>
      </c>
      <c r="H659" s="6"/>
      <c r="I659" s="6"/>
      <c r="J659" s="50"/>
      <c r="K659" s="58"/>
      <c r="L659" s="6">
        <v>30.0</v>
      </c>
      <c r="M659" s="52" t="s">
        <v>655</v>
      </c>
      <c r="N659" s="53" t="s">
        <v>698</v>
      </c>
      <c r="O659" s="6" t="s">
        <v>1048</v>
      </c>
      <c r="P659" s="6"/>
      <c r="Q659" s="6" t="str">
        <f t="shared" si="1"/>
        <v>#N/A</v>
      </c>
      <c r="R659" s="6"/>
    </row>
    <row r="660" hidden="1">
      <c r="A660" s="31" t="str">
        <f>IFERROR(__xludf.DUMMYFUNCTION("""COMPUTED_VALUE"""),"227")</f>
        <v>227</v>
      </c>
      <c r="B660" s="14" t="str">
        <f>IFERROR(__xludf.DUMMYFUNCTION("""COMPUTED_VALUE"""),"АИП-27")</f>
        <v>АИП-27</v>
      </c>
      <c r="C660" s="14" t="str">
        <f>IFERROR(__xludf.DUMMYFUNCTION("""COMPUTED_VALUE"""),"УДС")</f>
        <v>УДС</v>
      </c>
      <c r="D660" s="15"/>
      <c r="E660" s="14" t="str">
        <f>IFERROR(__xludf.DUMMYFUNCTION("""COMPUTED_VALUE"""),"Технологическая часть ТПУ на станции метро  ""Верхние Лихоборы"". Этап 3 г. Москва, м. ""Верхние Лихоборы""")</f>
        <v>Технологическая часть ТПУ на станции метро  "Верхние Лихоборы". Этап 3 г. Москва, м. "Верхние Лихоборы"</v>
      </c>
      <c r="F660" s="25" t="str">
        <f>IFERROR(__xludf.DUMMYFUNCTION("""COMPUTED_VALUE"""),"55.85465208501044")</f>
        <v>55.85465208501044</v>
      </c>
      <c r="G660" s="6" t="str">
        <f>IFERROR(__xludf.DUMMYFUNCTION("""COMPUTED_VALUE"""),"37.56066086375353")</f>
        <v>37.56066086375353</v>
      </c>
      <c r="H660" s="18" t="str">
        <f>IFERROR(__xludf.DUMMYFUNCTION("""COMPUTED_VALUE"""),"https://docs.google.com/spreadsheets/d/1jonEGMB3UFHiUZpltF1zURon8gYN7jGSHu-k9t5TXnA/edit?gid=1179595420#gid=1179595420")</f>
        <v>https://docs.google.com/spreadsheets/d/1jonEGMB3UFHiUZpltF1zURon8gYN7jGSHu-k9t5TXnA/edit?gid=1179595420#gid=1179595420</v>
      </c>
      <c r="I660" s="6" t="str">
        <f>IFERROR(__xludf.DUMMYFUNCTION("""COMPUTED_VALUE"""),"https://disk.yandex.ru/client/disk/Осмотры%20объектов%20АНО%20СМГ/1145.%20ТПУ%20на%20станции%20метро%20%22Лихоборы%22%20(этапы%201%2C2)")</f>
        <v>https://disk.yandex.ru/client/disk/Осмотры%20объектов%20АНО%20СМГ/1145.%20ТПУ%20на%20станции%20метро%20%22Лихоборы%22%20(этапы%201%2C2)</v>
      </c>
      <c r="J660" s="50">
        <f>IFERROR(__xludf.DUMMYFUNCTION("""COMPUTED_VALUE"""),67.92281249999999)</f>
        <v>67.9228125</v>
      </c>
      <c r="K660" s="58">
        <f>IFERROR(__xludf.DUMMYFUNCTION("""COMPUTED_VALUE"""),45918.0)</f>
        <v>45918</v>
      </c>
      <c r="L660" s="6">
        <v>14.0</v>
      </c>
      <c r="M660" s="52">
        <v>45932.0</v>
      </c>
      <c r="N660" s="53" t="s">
        <v>668</v>
      </c>
      <c r="O660" s="6" t="s">
        <v>1049</v>
      </c>
      <c r="P660" s="6"/>
      <c r="Q660" s="6" t="str">
        <f t="shared" si="1"/>
        <v>#N/A</v>
      </c>
      <c r="R660" s="6"/>
    </row>
    <row r="661" hidden="1">
      <c r="A661" s="31" t="str">
        <f>IFERROR(__xludf.DUMMYFUNCTION("""COMPUTED_VALUE"""),"1123")</f>
        <v>1123</v>
      </c>
      <c r="B661" s="14" t="str">
        <f>IFERROR(__xludf.DUMMYFUNCTION("""COMPUTED_VALUE"""),"АИП-25")</f>
        <v>АИП-25</v>
      </c>
      <c r="C661" s="14" t="str">
        <f>IFERROR(__xludf.DUMMYFUNCTION("""COMPUTED_VALUE"""),"УДС")</f>
        <v>УДС</v>
      </c>
      <c r="D661" s="15"/>
      <c r="E661" s="14" t="str">
        <f>IFERROR(__xludf.DUMMYFUNCTION("""COMPUTED_VALUE"""),"Технологическая часть ТПУ на станции метро ""ул. Дмитриевского"" (""Салтыковская ул."") (2 этап) Салтыковская улица")</f>
        <v>Технологическая часть ТПУ на станции метро "ул. Дмитриевского" ("Салтыковская ул.") (2 этап) Салтыковская улица</v>
      </c>
      <c r="F661" s="25" t="str">
        <f>IFERROR(__xludf.DUMMYFUNCTION("""COMPUTED_VALUE"""),"#N/A")</f>
        <v>#N/A</v>
      </c>
      <c r="G661" s="6" t="str">
        <f>IFERROR(__xludf.DUMMYFUNCTION("""COMPUTED_VALUE"""),"#N/A")</f>
        <v>#N/A</v>
      </c>
      <c r="H661" s="18" t="str">
        <f>IFERROR(__xludf.DUMMYFUNCTION("""COMPUTED_VALUE"""),"https://docs.google.com/spreadsheets/d/1jonEGMB3UFHiUZpltF1zURon8gYN7jGSHu-k9t5TXnA/edit?gid=867799308#gid=867799308")</f>
        <v>https://docs.google.com/spreadsheets/d/1jonEGMB3UFHiUZpltF1zURon8gYN7jGSHu-k9t5TXnA/edit?gid=867799308#gid=867799308</v>
      </c>
      <c r="I661" s="6" t="str">
        <f>IFERROR(__xludf.DUMMYFUNCTION("""COMPUTED_VALUE"""),"https://disk.yandex.ru/client/disk/Осмотры%20объектов%20АНО%20СМГ/1123.%20Технологическая%20часть%20ТПУ%20на%20станции%20метро%20%22Улица%20Дмитриевского%22")</f>
        <v>https://disk.yandex.ru/client/disk/Осмотры%20объектов%20АНО%20СМГ/1123.%20Технологическая%20часть%20ТПУ%20на%20станции%20метро%20%22Улица%20Дмитриевского%22</v>
      </c>
      <c r="J661" s="50">
        <f>IFERROR(__xludf.DUMMYFUNCTION("""COMPUTED_VALUE"""),93.85)</f>
        <v>93.85</v>
      </c>
      <c r="K661" s="58">
        <f>IFERROR(__xludf.DUMMYFUNCTION("""COMPUTED_VALUE"""),45971.0)</f>
        <v>45971</v>
      </c>
      <c r="L661" s="6">
        <v>14.0</v>
      </c>
      <c r="M661" s="52">
        <v>45985.0</v>
      </c>
      <c r="N661" s="53" t="s">
        <v>711</v>
      </c>
      <c r="O661" s="6" t="s">
        <v>1050</v>
      </c>
      <c r="P661" s="6"/>
      <c r="Q661" s="6" t="str">
        <f t="shared" si="1"/>
        <v>#N/A</v>
      </c>
      <c r="R661" s="6"/>
    </row>
    <row r="662" hidden="1">
      <c r="A662" s="31" t="str">
        <f>IFERROR(__xludf.DUMMYFUNCTION("""COMPUTED_VALUE"""),"НД")</f>
        <v>НД</v>
      </c>
      <c r="B662" s="14" t="str">
        <f>IFERROR(__xludf.DUMMYFUNCTION("""COMPUTED_VALUE"""),"АИП-27")</f>
        <v>АИП-27</v>
      </c>
      <c r="C662" s="14" t="str">
        <f>IFERROR(__xludf.DUMMYFUNCTION("""COMPUTED_VALUE"""),"УДС")</f>
        <v>УДС</v>
      </c>
      <c r="D662" s="15"/>
      <c r="E662" s="14" t="str">
        <f>IFERROR(__xludf.DUMMYFUNCTION("""COMPUTED_VALUE"""),"Трамвайная линия на участке 3-я Владимирская ул.,р-н Ивановское г. Москва, 3-я Владимирская улица - район ""Ивановское""")</f>
        <v>Трамвайная линия на участке 3-я Владимирская ул.,р-н Ивановское г. Москва, 3-я Владимирская улица - район "Ивановское"</v>
      </c>
      <c r="F662" s="25" t="str">
        <f>IFERROR(__xludf.DUMMYFUNCTION("""COMPUTED_VALUE"""),"#N/A")</f>
        <v>#N/A</v>
      </c>
      <c r="G662" s="6" t="str">
        <f>IFERROR(__xludf.DUMMYFUNCTION("""COMPUTED_VALUE"""),"#N/A")</f>
        <v>#N/A</v>
      </c>
      <c r="H662" s="6"/>
      <c r="I662" s="6"/>
      <c r="J662" s="50"/>
      <c r="K662" s="58"/>
      <c r="L662" s="6">
        <v>30.0</v>
      </c>
      <c r="M662" s="52" t="s">
        <v>655</v>
      </c>
      <c r="N662" s="53" t="s">
        <v>698</v>
      </c>
      <c r="O662" s="6" t="s">
        <v>1051</v>
      </c>
      <c r="P662" s="6"/>
      <c r="Q662" s="6" t="str">
        <f t="shared" si="1"/>
        <v>#N/A</v>
      </c>
      <c r="R662" s="6"/>
    </row>
    <row r="663" hidden="1">
      <c r="A663" s="31" t="str">
        <f>IFERROR(__xludf.DUMMYFUNCTION("""COMPUTED_VALUE"""),"НД")</f>
        <v>НД</v>
      </c>
      <c r="B663" s="14" t="str">
        <f>IFERROR(__xludf.DUMMYFUNCTION("""COMPUTED_VALUE"""),"АИП-27")</f>
        <v>АИП-27</v>
      </c>
      <c r="C663" s="14" t="str">
        <f>IFERROR(__xludf.DUMMYFUNCTION("""COMPUTED_VALUE"""),"УДС")</f>
        <v>УДС</v>
      </c>
      <c r="D663" s="6"/>
      <c r="E663" s="14" t="str">
        <f>IFERROR(__xludf.DUMMYFUNCTION("""COMPUTED_VALUE"""),"798-04 Дорога и инженерные коммуникации
по Волжскому б-ру для застройки р-на Кузьминки (ул. Окская - Волжский б-р)  (водосточные сети) ул. Окская - Волжский б-р")</f>
        <v>798-04 Дорога и инженерные коммуникации
по Волжскому б-ру для застройки р-на Кузьминки (ул. Окская - Волжский б-р)  (водосточные сети) ул. Окская - Волжский б-р</v>
      </c>
      <c r="F663" s="25" t="str">
        <f>IFERROR(__xludf.DUMMYFUNCTION("""COMPUTED_VALUE"""),"#N/A")</f>
        <v>#N/A</v>
      </c>
      <c r="G663" s="6" t="str">
        <f>IFERROR(__xludf.DUMMYFUNCTION("""COMPUTED_VALUE"""),"#N/A")</f>
        <v>#N/A</v>
      </c>
      <c r="H663" s="6"/>
      <c r="I663" s="6"/>
      <c r="J663" s="50"/>
      <c r="K663" s="58"/>
      <c r="L663" s="6">
        <v>30.0</v>
      </c>
      <c r="M663" s="52" t="s">
        <v>655</v>
      </c>
      <c r="N663" s="53" t="s">
        <v>698</v>
      </c>
      <c r="O663" s="6" t="s">
        <v>1052</v>
      </c>
      <c r="P663" s="6"/>
      <c r="Q663" s="6" t="str">
        <f t="shared" si="1"/>
        <v>#N/A</v>
      </c>
      <c r="R663" s="6"/>
    </row>
    <row r="664" hidden="1">
      <c r="A664" s="31" t="str">
        <f>IFERROR(__xludf.DUMMYFUNCTION("""COMPUTED_VALUE"""),"НД")</f>
        <v>НД</v>
      </c>
      <c r="B664" s="14" t="str">
        <f>IFERROR(__xludf.DUMMYFUNCTION("""COMPUTED_VALUE"""),"АИП-27")</f>
        <v>АИП-27</v>
      </c>
      <c r="C664" s="14" t="str">
        <f>IFERROR(__xludf.DUMMYFUNCTION("""COMPUTED_VALUE"""),"УДС")</f>
        <v>УДС</v>
      </c>
      <c r="D664" s="6"/>
      <c r="E664" s="14" t="str">
        <f>IFERROR(__xludf.DUMMYFUNCTION("""COMPUTED_VALUE"""),"Дорога и инженерные коммуникации по Саратовской ул., пр.пр. 1506 и 770а от улицы №1 до Волжского бульвара для застройки района ""Кузьминки"" (ул. Окская-Волжский б-р)- завершение строительство – подэтап (проектирование) КУЗЬМИНКИ,ОКСКАЯ УЛ. - ВОЛЖСКИЙ Б-Р")</f>
        <v>Дорога и инженерные коммуникации по Саратовской ул., пр.пр. 1506 и 770а от улицы №1 до Волжского бульвара для застройки района "Кузьминки" (ул. Окская-Волжский б-р)- завершение строительство – подэтап (проектирование) КУЗЬМИНКИ,ОКСКАЯ УЛ. - ВОЛЖСКИЙ Б-Р</v>
      </c>
      <c r="F664" s="25" t="str">
        <f>IFERROR(__xludf.DUMMYFUNCTION("""COMPUTED_VALUE"""),"#N/A")</f>
        <v>#N/A</v>
      </c>
      <c r="G664" s="6" t="str">
        <f>IFERROR(__xludf.DUMMYFUNCTION("""COMPUTED_VALUE"""),"#N/A")</f>
        <v>#N/A</v>
      </c>
      <c r="H664" s="6"/>
      <c r="I664" s="6"/>
      <c r="J664" s="50"/>
      <c r="K664" s="58"/>
      <c r="L664" s="6">
        <v>30.0</v>
      </c>
      <c r="M664" s="52" t="s">
        <v>655</v>
      </c>
      <c r="N664" s="53" t="s">
        <v>698</v>
      </c>
      <c r="O664" s="6" t="s">
        <v>1016</v>
      </c>
      <c r="P664" s="6"/>
      <c r="Q664" s="6" t="str">
        <f t="shared" si="1"/>
        <v>#N/A</v>
      </c>
      <c r="R664" s="6"/>
    </row>
    <row r="665" hidden="1">
      <c r="A665" s="31" t="str">
        <f>IFERROR(__xludf.DUMMYFUNCTION("""COMPUTED_VALUE"""),"НД")</f>
        <v>НД</v>
      </c>
      <c r="B665" s="14" t="str">
        <f>IFERROR(__xludf.DUMMYFUNCTION("""COMPUTED_VALUE"""),"АИП-27")</f>
        <v>АИП-27</v>
      </c>
      <c r="C665" s="14" t="str">
        <f>IFERROR(__xludf.DUMMYFUNCTION("""COMPUTED_VALUE"""),"УДС")</f>
        <v>УДС</v>
      </c>
      <c r="D665" s="6"/>
      <c r="E665" s="14" t="str">
        <f>IFERROR(__xludf.DUMMYFUNCTION("""COMPUTED_VALUE"""),"Дождевая канализация для жилого дома по адресу: ул. Авиационная, влд.77-79, к.6 УЛ. АВИАЦИОННАЯ ВЛ. 77-79, К.6 (К.5)")</f>
        <v>Дождевая канализация для жилого дома по адресу: ул. Авиационная, влд.77-79, к.6 УЛ. АВИАЦИОННАЯ ВЛ. 77-79, К.6 (К.5)</v>
      </c>
      <c r="F665" s="25" t="str">
        <f>IFERROR(__xludf.DUMMYFUNCTION("""COMPUTED_VALUE"""),"#N/A")</f>
        <v>#N/A</v>
      </c>
      <c r="G665" s="6" t="str">
        <f>IFERROR(__xludf.DUMMYFUNCTION("""COMPUTED_VALUE"""),"#N/A")</f>
        <v>#N/A</v>
      </c>
      <c r="H665" s="6"/>
      <c r="I665" s="6"/>
      <c r="J665" s="50"/>
      <c r="K665" s="58"/>
      <c r="L665" s="6">
        <v>30.0</v>
      </c>
      <c r="M665" s="52" t="s">
        <v>655</v>
      </c>
      <c r="N665" s="53" t="s">
        <v>698</v>
      </c>
      <c r="O665" s="6" t="s">
        <v>1053</v>
      </c>
      <c r="P665" s="6"/>
      <c r="Q665" s="6" t="str">
        <f t="shared" si="1"/>
        <v>#N/A</v>
      </c>
      <c r="R665" s="6"/>
    </row>
    <row r="666" hidden="1">
      <c r="A666" s="31" t="str">
        <f>IFERROR(__xludf.DUMMYFUNCTION("""COMPUTED_VALUE"""),"1311")</f>
        <v>1311</v>
      </c>
      <c r="B666" s="14" t="str">
        <f>IFERROR(__xludf.DUMMYFUNCTION("""COMPUTED_VALUE"""),"АИП-27")</f>
        <v>АИП-27</v>
      </c>
      <c r="C666" s="14" t="str">
        <f>IFERROR(__xludf.DUMMYFUNCTION("""COMPUTED_VALUE"""),"ОКС")</f>
        <v>ОКС</v>
      </c>
      <c r="D666" s="6"/>
      <c r="E666" s="14" t="str">
        <f>IFERROR(__xludf.DUMMYFUNCTION("""COMPUTED_VALUE"""),"Дренажная насосная станция дождевой канализации для застройки мкр. 12 р-на Щукино Щукино мкр.12 СЗАО")</f>
        <v>Дренажная насосная станция дождевой канализации для застройки мкр. 12 р-на Щукино Щукино мкр.12 СЗАО</v>
      </c>
      <c r="F666" s="25" t="str">
        <f>IFERROR(__xludf.DUMMYFUNCTION("""COMPUTED_VALUE"""),"#N/A")</f>
        <v>#N/A</v>
      </c>
      <c r="G666" s="6" t="str">
        <f>IFERROR(__xludf.DUMMYFUNCTION("""COMPUTED_VALUE"""),"#N/A")</f>
        <v>#N/A</v>
      </c>
      <c r="H666" s="18" t="str">
        <f>IFERROR(__xludf.DUMMYFUNCTION("""COMPUTED_VALUE"""),"https://docs.google.com/spreadsheets/d/1EI7qusa674eJhuaw-nWWtWMEHVSYMQv7HLsInEZTWpE/edit?gid=181219872#gid=181219872")</f>
        <v>https://docs.google.com/spreadsheets/d/1EI7qusa674eJhuaw-nWWtWMEHVSYMQv7HLsInEZTWpE/edit?gid=181219872#gid=181219872</v>
      </c>
      <c r="I666" s="6"/>
      <c r="J666" s="50">
        <f>IFERROR(__xludf.DUMMYFUNCTION("""COMPUTED_VALUE"""),0.0)</f>
        <v>0</v>
      </c>
      <c r="K666" s="58">
        <f>IFERROR(__xludf.DUMMYFUNCTION("""COMPUTED_VALUE"""),45919.0)</f>
        <v>45919</v>
      </c>
      <c r="L666" s="6">
        <v>30.0</v>
      </c>
      <c r="M666" s="52">
        <v>45949.0</v>
      </c>
      <c r="N666" s="53" t="s">
        <v>668</v>
      </c>
      <c r="O666" s="6" t="s">
        <v>1054</v>
      </c>
      <c r="P666" s="6"/>
      <c r="Q666" s="6" t="str">
        <f t="shared" si="1"/>
        <v>#N/A</v>
      </c>
      <c r="R666" s="6"/>
    </row>
    <row r="667" hidden="1">
      <c r="A667" s="31" t="str">
        <f>IFERROR(__xludf.DUMMYFUNCTION("""COMPUTED_VALUE"""),"НД")</f>
        <v>НД</v>
      </c>
      <c r="B667" s="14" t="str">
        <f>IFERROR(__xludf.DUMMYFUNCTION("""COMPUTED_VALUE"""),"АИП-27")</f>
        <v>АИП-27</v>
      </c>
      <c r="C667" s="14" t="str">
        <f>IFERROR(__xludf.DUMMYFUNCTION("""COMPUTED_VALUE"""),"УДС")</f>
        <v>УДС</v>
      </c>
      <c r="D667" s="6"/>
      <c r="E667" s="14" t="str">
        <f>IFERROR(__xludf.DUMMYFUNCTION("""COMPUTED_VALUE"""),"Трамвайная линия от ул.Академика Королева до МЦД Останкино ул.Академика Королева")</f>
        <v>Трамвайная линия от ул.Академика Королева до МЦД Останкино ул.Академика Королева</v>
      </c>
      <c r="F667" s="25" t="str">
        <f>IFERROR(__xludf.DUMMYFUNCTION("""COMPUTED_VALUE"""),"#N/A")</f>
        <v>#N/A</v>
      </c>
      <c r="G667" s="6" t="str">
        <f>IFERROR(__xludf.DUMMYFUNCTION("""COMPUTED_VALUE"""),"#N/A")</f>
        <v>#N/A</v>
      </c>
      <c r="H667" s="6"/>
      <c r="I667" s="19"/>
      <c r="J667" s="50"/>
      <c r="K667" s="58"/>
      <c r="L667" s="6">
        <v>30.0</v>
      </c>
      <c r="M667" s="52" t="s">
        <v>655</v>
      </c>
      <c r="N667" s="53" t="s">
        <v>698</v>
      </c>
      <c r="O667" s="19" t="s">
        <v>1055</v>
      </c>
      <c r="P667" s="6"/>
      <c r="Q667" s="6" t="str">
        <f t="shared" si="1"/>
        <v>#N/A</v>
      </c>
      <c r="R667" s="6"/>
    </row>
    <row r="668" hidden="1">
      <c r="A668" s="31" t="str">
        <f>IFERROR(__xludf.DUMMYFUNCTION("""COMPUTED_VALUE"""),"НД")</f>
        <v>НД</v>
      </c>
      <c r="B668" s="14" t="str">
        <f>IFERROR(__xludf.DUMMYFUNCTION("""COMPUTED_VALUE"""),"АИП-27")</f>
        <v>АИП-27</v>
      </c>
      <c r="C668" s="14" t="str">
        <f>IFERROR(__xludf.DUMMYFUNCTION("""COMPUTED_VALUE"""),"УДС")</f>
        <v>УДС</v>
      </c>
      <c r="D668" s="6"/>
      <c r="E668" s="14" t="str">
        <f>IFERROR(__xludf.DUMMYFUNCTION("""COMPUTED_VALUE"""),"3020-05 Очистные сооружения дождевой канализации для застройки мкр. 18Б р-на Богородское г. Москва, 18Б р-на Богородское")</f>
        <v>3020-05 Очистные сооружения дождевой канализации для застройки мкр. 18Б р-на Богородское г. Москва, 18Б р-на Богородское</v>
      </c>
      <c r="F668" s="25" t="str">
        <f>IFERROR(__xludf.DUMMYFUNCTION("""COMPUTED_VALUE"""),"#N/A")</f>
        <v>#N/A</v>
      </c>
      <c r="G668" s="6" t="str">
        <f>IFERROR(__xludf.DUMMYFUNCTION("""COMPUTED_VALUE"""),"#N/A")</f>
        <v>#N/A</v>
      </c>
      <c r="H668" s="6"/>
      <c r="I668" s="6"/>
      <c r="J668" s="50"/>
      <c r="K668" s="58"/>
      <c r="L668" s="6">
        <v>30.0</v>
      </c>
      <c r="M668" s="52" t="s">
        <v>655</v>
      </c>
      <c r="N668" s="53" t="s">
        <v>698</v>
      </c>
      <c r="O668" s="6" t="s">
        <v>1056</v>
      </c>
      <c r="P668" s="6"/>
      <c r="Q668" s="6" t="str">
        <f t="shared" si="1"/>
        <v>#N/A</v>
      </c>
      <c r="R668" s="6"/>
    </row>
    <row r="669" hidden="1">
      <c r="A669" s="31" t="str">
        <f>IFERROR(__xludf.DUMMYFUNCTION("""COMPUTED_VALUE"""),"НД")</f>
        <v>НД</v>
      </c>
      <c r="B669" s="14" t="str">
        <f>IFERROR(__xludf.DUMMYFUNCTION("""COMPUTED_VALUE"""),"АИП-27")</f>
        <v>АИП-27</v>
      </c>
      <c r="C669" s="14" t="str">
        <f>IFERROR(__xludf.DUMMYFUNCTION("""COMPUTED_VALUE"""),"УДС")</f>
        <v>УДС</v>
      </c>
      <c r="D669" s="6"/>
      <c r="E669" s="14" t="str">
        <f>IFERROR(__xludf.DUMMYFUNCTION("""COMPUTED_VALUE"""),"Строительство сети водостока Д=1500 мм под железной дорогой Савеловского направления Московской железной дороги и бетонным заводом Общество с ограниченной ответственностью ""Бетас"" для обеспечения водоотведения от жилой застройки, по адресу: р-н Северный"&amp;", Дмитровское ш., влд. 167 г. Москва, р-н Северный, Дмитровское ш., влд. 167")</f>
        <v>Строительство сети водостока Д=1500 мм под железной дорогой Савеловского направления Московской железной дороги и бетонным заводом Общество с ограниченной ответственностью "Бетас" для обеспечения водоотведения от жилой застройки, по адресу: р-н Северный, Дмитровское ш., влд. 167 г. Москва, р-н Северный, Дмитровское ш., влд. 167</v>
      </c>
      <c r="F669" s="25" t="str">
        <f>IFERROR(__xludf.DUMMYFUNCTION("""COMPUTED_VALUE"""),"#N/A")</f>
        <v>#N/A</v>
      </c>
      <c r="G669" s="6" t="str">
        <f>IFERROR(__xludf.DUMMYFUNCTION("""COMPUTED_VALUE"""),"#N/A")</f>
        <v>#N/A</v>
      </c>
      <c r="H669" s="6"/>
      <c r="I669" s="6"/>
      <c r="J669" s="50"/>
      <c r="K669" s="58"/>
      <c r="L669" s="6">
        <v>30.0</v>
      </c>
      <c r="M669" s="52" t="s">
        <v>655</v>
      </c>
      <c r="N669" s="53" t="s">
        <v>698</v>
      </c>
      <c r="O669" s="6" t="s">
        <v>1057</v>
      </c>
      <c r="P669" s="6"/>
      <c r="Q669" s="6" t="str">
        <f t="shared" si="1"/>
        <v>#N/A</v>
      </c>
      <c r="R669" s="6"/>
    </row>
    <row r="670" hidden="1">
      <c r="A670" s="31" t="str">
        <f>IFERROR(__xludf.DUMMYFUNCTION("""COMPUTED_VALUE"""),"НД")</f>
        <v>НД</v>
      </c>
      <c r="B670" s="14" t="str">
        <f>IFERROR(__xludf.DUMMYFUNCTION("""COMPUTED_VALUE"""),"АИП-27")</f>
        <v>АИП-27</v>
      </c>
      <c r="C670" s="14" t="str">
        <f>IFERROR(__xludf.DUMMYFUNCTION("""COMPUTED_VALUE"""),"ОКС")</f>
        <v>ОКС</v>
      </c>
      <c r="D670" s="6"/>
      <c r="E670" s="14" t="str">
        <f>IFERROR(__xludf.DUMMYFUNCTION("""COMPUTED_VALUE"""),"Административное здание на территории района Щербинка Новомосковский административный округ, район Щербинка")</f>
        <v>Административное здание на территории района Щербинка Новомосковский административный округ, район Щербинка</v>
      </c>
      <c r="F670" s="25" t="str">
        <f>IFERROR(__xludf.DUMMYFUNCTION("""COMPUTED_VALUE"""),"#N/A")</f>
        <v>#N/A</v>
      </c>
      <c r="G670" s="6" t="str">
        <f>IFERROR(__xludf.DUMMYFUNCTION("""COMPUTED_VALUE"""),"#N/A")</f>
        <v>#N/A</v>
      </c>
      <c r="H670" s="6"/>
      <c r="I670" s="6"/>
      <c r="J670" s="50"/>
      <c r="K670" s="58"/>
      <c r="L670" s="6">
        <v>30.0</v>
      </c>
      <c r="M670" s="52" t="s">
        <v>655</v>
      </c>
      <c r="N670" s="53" t="s">
        <v>698</v>
      </c>
      <c r="O670" s="6" t="s">
        <v>1058</v>
      </c>
      <c r="P670" s="6"/>
      <c r="Q670" s="6" t="str">
        <f t="shared" si="1"/>
        <v>#N/A</v>
      </c>
      <c r="R670" s="6"/>
    </row>
    <row r="671" hidden="1">
      <c r="A671" s="31" t="str">
        <f>IFERROR(__xludf.DUMMYFUNCTION("""COMPUTED_VALUE"""),"НД")</f>
        <v>НД</v>
      </c>
      <c r="B671" s="14" t="str">
        <f>IFERROR(__xludf.DUMMYFUNCTION("""COMPUTED_VALUE"""),"АИП-27")</f>
        <v>АИП-27</v>
      </c>
      <c r="C671" s="14" t="str">
        <f>IFERROR(__xludf.DUMMYFUNCTION("""COMPUTED_VALUE"""),"ОКС")</f>
        <v>ОКС</v>
      </c>
      <c r="D671" s="6"/>
      <c r="E671" s="14" t="str">
        <f>IFERROR(__xludf.DUMMYFUNCTION("""COMPUTED_VALUE"""),"Административное здание в р-нах Троицк и Краснопахорский (Административное здание УВД по ТиНАО, изолятор временного содержания на 50 мест и МО МВД России Троицк/Краснопахорский) ТАО р-н Троиц, Краснопахорский")</f>
        <v>Административное здание в р-нах Троицк и Краснопахорский (Административное здание УВД по ТиНАО, изолятор временного содержания на 50 мест и МО МВД России Троицк/Краснопахорский) ТАО р-н Троиц, Краснопахорский</v>
      </c>
      <c r="F671" s="25" t="str">
        <f>IFERROR(__xludf.DUMMYFUNCTION("""COMPUTED_VALUE"""),"#N/A")</f>
        <v>#N/A</v>
      </c>
      <c r="G671" s="6" t="str">
        <f>IFERROR(__xludf.DUMMYFUNCTION("""COMPUTED_VALUE"""),"#N/A")</f>
        <v>#N/A</v>
      </c>
      <c r="H671" s="6"/>
      <c r="I671" s="19"/>
      <c r="J671" s="50"/>
      <c r="K671" s="58"/>
      <c r="L671" s="6">
        <v>30.0</v>
      </c>
      <c r="M671" s="52" t="s">
        <v>655</v>
      </c>
      <c r="N671" s="53" t="s">
        <v>698</v>
      </c>
      <c r="O671" s="19" t="s">
        <v>1059</v>
      </c>
      <c r="P671" s="6"/>
      <c r="Q671" s="6" t="str">
        <f t="shared" si="1"/>
        <v>#N/A</v>
      </c>
      <c r="R671" s="6"/>
    </row>
    <row r="672" hidden="1">
      <c r="A672" s="31" t="str">
        <f>IFERROR(__xludf.DUMMYFUNCTION("""COMPUTED_VALUE"""),"1235")</f>
        <v>1235</v>
      </c>
      <c r="B672" s="14" t="str">
        <f>IFERROR(__xludf.DUMMYFUNCTION("""COMPUTED_VALUE"""),"АИП-27")</f>
        <v>АИП-27</v>
      </c>
      <c r="C672" s="14" t="str">
        <f>IFERROR(__xludf.DUMMYFUNCTION("""COMPUTED_VALUE"""),"ОКС")</f>
        <v>ОКС</v>
      </c>
      <c r="D672" s="6"/>
      <c r="E672" s="14" t="str">
        <f>IFERROR(__xludf.DUMMYFUNCTION("""COMPUTED_VALUE"""),"Детско-взрослая поликлиника на 750 посещений в смену г. Московский, район Тепличного комбината № 1, третий микрорайон, квартал 1")</f>
        <v>Детско-взрослая поликлиника на 750 посещений в смену г. Московский, район Тепличного комбината № 1, третий микрорайон, квартал 1</v>
      </c>
      <c r="F672" s="25" t="str">
        <f>IFERROR(__xludf.DUMMYFUNCTION("""COMPUTED_VALUE"""),"#N/A")</f>
        <v>#N/A</v>
      </c>
      <c r="G672" s="6" t="str">
        <f>IFERROR(__xludf.DUMMYFUNCTION("""COMPUTED_VALUE"""),"#N/A")</f>
        <v>#N/A</v>
      </c>
      <c r="H672" s="18" t="str">
        <f>IFERROR(__xludf.DUMMYFUNCTION("""COMPUTED_VALUE"""),"https://docs.google.com/spreadsheets/d/19THEBTE9q0fhN2eApZr6BgenIvLGh0AckaYxHQfHk5w/edit?gid=1232288908#gid=1232288908")</f>
        <v>https://docs.google.com/spreadsheets/d/19THEBTE9q0fhN2eApZr6BgenIvLGh0AckaYxHQfHk5w/edit?gid=1232288908#gid=1232288908</v>
      </c>
      <c r="I672" s="19" t="str">
        <f>IFERROR(__xludf.DUMMYFUNCTION("""COMPUTED_VALUE"""),"https://disk.yandex.ru/client/disk/Осмотры%20объектов%20АНО%20СМГ/1235.%20Детско-взрослая%20поликлиника%20на%20750%20посещений%20в%20смену%20по%20адресу%3A%20г.%20%20Москва%2C%20г.%20Московский%2C%20район%20Тепличного%20комбината%20%20№%201%2C%20третий%20"&amp;"мкр.%2C%20кв-л%201")</f>
        <v>https://disk.yandex.ru/client/disk/Осмотры%20объектов%20АНО%20СМГ/1235.%20Детско-взрослая%20поликлиника%20на%20750%20посещений%20в%20смену%20по%20адресу%3A%20г.%20%20Москва%2C%20г.%20Московский%2C%20район%20Тепличного%20комбината%20%20№%201%2C%20третий%20мкр.%2C%20кв-л%201</v>
      </c>
      <c r="J672" s="50">
        <f>IFERROR(__xludf.DUMMYFUNCTION("""COMPUTED_VALUE"""),0.0)</f>
        <v>0</v>
      </c>
      <c r="K672" s="58">
        <f>IFERROR(__xludf.DUMMYFUNCTION("""COMPUTED_VALUE"""),45911.0)</f>
        <v>45911</v>
      </c>
      <c r="L672" s="6">
        <v>30.0</v>
      </c>
      <c r="M672" s="52">
        <v>45941.0</v>
      </c>
      <c r="N672" s="53" t="s">
        <v>668</v>
      </c>
      <c r="O672" s="19" t="s">
        <v>1060</v>
      </c>
      <c r="P672" s="6"/>
      <c r="Q672" s="6" t="str">
        <f t="shared" si="1"/>
        <v>#N/A</v>
      </c>
      <c r="R672" s="6"/>
    </row>
    <row r="673" hidden="1">
      <c r="A673" s="31" t="str">
        <f>IFERROR(__xludf.DUMMYFUNCTION("""COMPUTED_VALUE"""),"1294")</f>
        <v>1294</v>
      </c>
      <c r="B673" s="14" t="str">
        <f>IFERROR(__xludf.DUMMYFUNCTION("""COMPUTED_VALUE"""),"АИП-27")</f>
        <v>АИП-27</v>
      </c>
      <c r="C673" s="14" t="str">
        <f>IFERROR(__xludf.DUMMYFUNCTION("""COMPUTED_VALUE"""),"ОКС")</f>
        <v>ОКС</v>
      </c>
      <c r="D673" s="6"/>
      <c r="E673" s="14" t="str">
        <f>IFERROR(__xludf.DUMMYFUNCTION("""COMPUTED_VALUE"""),"Детская школа искусств с. Красная Пахра, пос. Краснопахорское г. Москва, поселение Краcнопахорское, квартал № 107, земельный участок 8\")</f>
        <v>Детская школа искусств с. Красная Пахра, пос. Краснопахорское г. Москва, поселение Краcнопахорское, квартал № 107, земельный участок 8\</v>
      </c>
      <c r="F673" s="25" t="str">
        <f>IFERROR(__xludf.DUMMYFUNCTION("""COMPUTED_VALUE"""),"#N/A")</f>
        <v>#N/A</v>
      </c>
      <c r="G673" s="6" t="str">
        <f>IFERROR(__xludf.DUMMYFUNCTION("""COMPUTED_VALUE"""),"#N/A")</f>
        <v>#N/A</v>
      </c>
      <c r="H673" s="18" t="str">
        <f>IFERROR(__xludf.DUMMYFUNCTION("""COMPUTED_VALUE"""),"https://docs.google.com/spreadsheets/d/19THEBTE9q0fhN2eApZr6BgenIvLGh0AckaYxHQfHk5w/edit?gid=1607211749#gid=1607211749")</f>
        <v>https://docs.google.com/spreadsheets/d/19THEBTE9q0fhN2eApZr6BgenIvLGh0AckaYxHQfHk5w/edit?gid=1607211749#gid=1607211749</v>
      </c>
      <c r="I673" s="19"/>
      <c r="J673" s="50">
        <f>IFERROR(__xludf.DUMMYFUNCTION("""COMPUTED_VALUE"""),0.0)</f>
        <v>0</v>
      </c>
      <c r="K673" s="58">
        <f>IFERROR(__xludf.DUMMYFUNCTION("""COMPUTED_VALUE"""),45895.0)</f>
        <v>45895</v>
      </c>
      <c r="L673" s="6">
        <v>30.0</v>
      </c>
      <c r="M673" s="52">
        <v>45925.0</v>
      </c>
      <c r="N673" s="53" t="s">
        <v>668</v>
      </c>
      <c r="O673" s="19" t="s">
        <v>1042</v>
      </c>
      <c r="P673" s="6"/>
      <c r="Q673" s="6" t="str">
        <f t="shared" si="1"/>
        <v>#N/A</v>
      </c>
      <c r="R673" s="6"/>
    </row>
    <row r="674" hidden="1">
      <c r="A674" s="31" t="str">
        <f>IFERROR(__xludf.DUMMYFUNCTION("""COMPUTED_VALUE"""),"1299")</f>
        <v>1299</v>
      </c>
      <c r="B674" s="14" t="str">
        <f>IFERROR(__xludf.DUMMYFUNCTION("""COMPUTED_VALUE"""),"АИП-27")</f>
        <v>АИП-27</v>
      </c>
      <c r="C674" s="14" t="str">
        <f>IFERROR(__xludf.DUMMYFUNCTION("""COMPUTED_VALUE"""),"ОКС")</f>
        <v>ОКС</v>
      </c>
      <c r="D674" s="6"/>
      <c r="E674" s="14" t="str">
        <f>IFERROR(__xludf.DUMMYFUNCTION("""COMPUTED_VALUE"""),"Административное здание на территории района Коммунарка Новомосковский административный округ, район Коммунарка")</f>
        <v>Административное здание на территории района Коммунарка Новомосковский административный округ, район Коммунарка</v>
      </c>
      <c r="F674" s="25" t="str">
        <f>IFERROR(__xludf.DUMMYFUNCTION("""COMPUTED_VALUE"""),"#N/A")</f>
        <v>#N/A</v>
      </c>
      <c r="G674" s="6" t="str">
        <f>IFERROR(__xludf.DUMMYFUNCTION("""COMPUTED_VALUE"""),"#N/A")</f>
        <v>#N/A</v>
      </c>
      <c r="H674" s="18" t="str">
        <f>IFERROR(__xludf.DUMMYFUNCTION("""COMPUTED_VALUE"""),"https://docs.google.com/spreadsheets/d/19THEBTE9q0fhN2eApZr6BgenIvLGh0AckaYxHQfHk5w/edit?gid=373423726#gid=373423726")</f>
        <v>https://docs.google.com/spreadsheets/d/19THEBTE9q0fhN2eApZr6BgenIvLGh0AckaYxHQfHk5w/edit?gid=373423726#gid=373423726</v>
      </c>
      <c r="I674" s="19"/>
      <c r="J674" s="50">
        <f>IFERROR(__xludf.DUMMYFUNCTION("""COMPUTED_VALUE"""),0.0)</f>
        <v>0</v>
      </c>
      <c r="K674" s="58">
        <f>IFERROR(__xludf.DUMMYFUNCTION("""COMPUTED_VALUE"""),45911.0)</f>
        <v>45911</v>
      </c>
      <c r="L674" s="6">
        <v>30.0</v>
      </c>
      <c r="M674" s="52">
        <v>45941.0</v>
      </c>
      <c r="N674" s="53" t="s">
        <v>668</v>
      </c>
      <c r="O674" s="19" t="s">
        <v>1042</v>
      </c>
      <c r="P674" s="6"/>
      <c r="Q674" s="6" t="str">
        <f t="shared" si="1"/>
        <v>#N/A</v>
      </c>
      <c r="R674" s="6"/>
    </row>
    <row r="675" hidden="1">
      <c r="A675" s="31" t="str">
        <f>IFERROR(__xludf.DUMMYFUNCTION("""COMPUTED_VALUE"""),"198")</f>
        <v>198</v>
      </c>
      <c r="B675" s="14" t="str">
        <f>IFERROR(__xludf.DUMMYFUNCTION("""COMPUTED_VALUE"""),"АИП-27")</f>
        <v>АИП-27</v>
      </c>
      <c r="C675" s="14" t="str">
        <f>IFERROR(__xludf.DUMMYFUNCTION("""COMPUTED_VALUE"""),"ОКС")</f>
        <v>ОКС</v>
      </c>
      <c r="D675" s="6"/>
      <c r="E675" s="14" t="str">
        <f>IFERROR(__xludf.DUMMYFUNCTION("""COMPUTED_VALUE"""),"Реконструкция объекта незавершенного строительства с перепрофилированием под размещение Геронтопсихиатрического центра на территории ГБУ ЦРИ ""Красная Пахра"" (Троицкий и Новомосковский административный округ г. Москвы, г.о. Троицк) ТАО р-н Троицк")</f>
        <v>Реконструкция объекта незавершенного строительства с перепрофилированием под размещение Геронтопсихиатрического центра на территории ГБУ ЦРИ "Красная Пахра" (Троицкий и Новомосковский административный округ г. Москвы, г.о. Троицк) ТАО р-н Троицк</v>
      </c>
      <c r="F675" s="25" t="str">
        <f>IFERROR(__xludf.DUMMYFUNCTION("""COMPUTED_VALUE"""),"55.500902")</f>
        <v>55.500902</v>
      </c>
      <c r="G675" s="6" t="str">
        <f>IFERROR(__xludf.DUMMYFUNCTION("""COMPUTED_VALUE""")," 37.306494")</f>
        <v> 37.306494</v>
      </c>
      <c r="H675" s="18" t="str">
        <f>IFERROR(__xludf.DUMMYFUNCTION("""COMPUTED_VALUE"""),"https://docs.google.com/spreadsheets/d/19THEBTE9q0fhN2eApZr6BgenIvLGh0AckaYxHQfHk5w/edit?gid=2126809757#gid=2126809757")</f>
        <v>https://docs.google.com/spreadsheets/d/19THEBTE9q0fhN2eApZr6BgenIvLGh0AckaYxHQfHk5w/edit?gid=2126809757#gid=2126809757</v>
      </c>
      <c r="I675" s="19" t="str">
        <f>IFERROR(__xludf.DUMMYFUNCTION("""COMPUTED_VALUE"""),"https://disk.yandex.ru/client/disk/Осмотры%20объектов%20АНО%20СМГ/198.%20РЦИ%20ул.%20Теннисная%202")</f>
        <v>https://disk.yandex.ru/client/disk/Осмотры%20объектов%20АНО%20СМГ/198.%20РЦИ%20ул.%20Теннисная%202</v>
      </c>
      <c r="J675" s="50">
        <f>IFERROR(__xludf.DUMMYFUNCTION("""COMPUTED_VALUE"""),0.0)</f>
        <v>0</v>
      </c>
      <c r="K675" s="58">
        <f>IFERROR(__xludf.DUMMYFUNCTION("""COMPUTED_VALUE"""),45972.0)</f>
        <v>45972</v>
      </c>
      <c r="L675" s="6">
        <v>30.0</v>
      </c>
      <c r="M675" s="52">
        <v>46002.0</v>
      </c>
      <c r="N675" s="53" t="s">
        <v>711</v>
      </c>
      <c r="O675" s="19" t="s">
        <v>1061</v>
      </c>
      <c r="P675" s="6"/>
      <c r="Q675" s="6" t="str">
        <f t="shared" si="1"/>
        <v>#N/A</v>
      </c>
      <c r="R675" s="6"/>
    </row>
    <row r="676" hidden="1">
      <c r="A676" s="31" t="str">
        <f>IFERROR(__xludf.DUMMYFUNCTION("""COMPUTED_VALUE"""),"1236")</f>
        <v>1236</v>
      </c>
      <c r="B676" s="14" t="str">
        <f>IFERROR(__xludf.DUMMYFUNCTION("""COMPUTED_VALUE"""),"АИП-27")</f>
        <v>АИП-27</v>
      </c>
      <c r="C676" s="14" t="str">
        <f>IFERROR(__xludf.DUMMYFUNCTION("""COMPUTED_VALUE"""),"ОКС")</f>
        <v>ОКС</v>
      </c>
      <c r="D676" s="6"/>
      <c r="E676" s="14" t="str">
        <f>IFERROR(__xludf.DUMMYFUNCTION("""COMPUTED_VALUE"""),"Колледж в Коммунарке на территории АДЦ ""Коммунарка"", пос. Сосенское (Новомосковский административный округ г.Москвы) НАО р-н Коммунарка")</f>
        <v>Колледж в Коммунарке на территории АДЦ "Коммунарка", пос. Сосенское (Новомосковский административный округ г.Москвы) НАО р-н Коммунарка</v>
      </c>
      <c r="F676" s="25" t="str">
        <f>IFERROR(__xludf.DUMMYFUNCTION("""COMPUTED_VALUE"""),"#N/A")</f>
        <v>#N/A</v>
      </c>
      <c r="G676" s="6" t="str">
        <f>IFERROR(__xludf.DUMMYFUNCTION("""COMPUTED_VALUE"""),"#N/A")</f>
        <v>#N/A</v>
      </c>
      <c r="H676" s="18" t="str">
        <f>IFERROR(__xludf.DUMMYFUNCTION("""COMPUTED_VALUE"""),"https://docs.google.com/spreadsheets/d/19THEBTE9q0fhN2eApZr6BgenIvLGh0AckaYxHQfHk5w/edit?gid=290660546#gid=290660546")</f>
        <v>https://docs.google.com/spreadsheets/d/19THEBTE9q0fhN2eApZr6BgenIvLGh0AckaYxHQfHk5w/edit?gid=290660546#gid=290660546</v>
      </c>
      <c r="I676" s="19" t="str">
        <f>IFERROR(__xludf.DUMMYFUNCTION("""COMPUTED_VALUE"""),"https://disk.yandex.ru/client/disk/Осмотры%20объектов%20АНО%20СМГ/1236.%20Колледж%20в%20Коммунарке%20(АДЦ%20КОММУНАРКА)")</f>
        <v>https://disk.yandex.ru/client/disk/Осмотры%20объектов%20АНО%20СМГ/1236.%20Колледж%20в%20Коммунарке%20(АДЦ%20КОММУНАРКА)</v>
      </c>
      <c r="J676" s="50">
        <f>IFERROR(__xludf.DUMMYFUNCTION("""COMPUTED_VALUE"""),0.0)</f>
        <v>0</v>
      </c>
      <c r="K676" s="58">
        <f>IFERROR(__xludf.DUMMYFUNCTION("""COMPUTED_VALUE"""),45845.0)</f>
        <v>45845</v>
      </c>
      <c r="L676" s="6">
        <v>30.0</v>
      </c>
      <c r="M676" s="52">
        <v>45875.0</v>
      </c>
      <c r="N676" s="53" t="s">
        <v>668</v>
      </c>
      <c r="O676" s="19" t="s">
        <v>1062</v>
      </c>
      <c r="P676" s="6"/>
      <c r="Q676" s="6" t="str">
        <f t="shared" si="1"/>
        <v>#N/A</v>
      </c>
      <c r="R676" s="6"/>
    </row>
    <row r="677" hidden="1">
      <c r="A677" s="31" t="str">
        <f>IFERROR(__xludf.DUMMYFUNCTION("""COMPUTED_VALUE"""),"НД")</f>
        <v>НД</v>
      </c>
      <c r="B677" s="14" t="str">
        <f>IFERROR(__xludf.DUMMYFUNCTION("""COMPUTED_VALUE"""),"АИП-27")</f>
        <v>АИП-27</v>
      </c>
      <c r="C677" s="14" t="str">
        <f>IFERROR(__xludf.DUMMYFUNCTION("""COMPUTED_VALUE"""),"ОКС+УДС")</f>
        <v>ОКС+УДС</v>
      </c>
      <c r="D677" s="6"/>
      <c r="E677" s="14" t="str">
        <f>IFERROR(__xludf.DUMMYFUNCTION("""COMPUTED_VALUE"""),"Дороги и инженерные коммуникации для кластера «Междисциплинарный» (Подэтап 2.2) Дороги и инженерные коммуникации для кластера «Междисциплинарный»")</f>
        <v>Дороги и инженерные коммуникации для кластера «Междисциплинарный» (Подэтап 2.2) Дороги и инженерные коммуникации для кластера «Междисциплинарный»</v>
      </c>
      <c r="F677" s="25" t="str">
        <f>IFERROR(__xludf.DUMMYFUNCTION("""COMPUTED_VALUE"""),"#N/A")</f>
        <v>#N/A</v>
      </c>
      <c r="G677" s="6" t="str">
        <f>IFERROR(__xludf.DUMMYFUNCTION("""COMPUTED_VALUE"""),"#N/A")</f>
        <v>#N/A</v>
      </c>
      <c r="H677" s="6"/>
      <c r="I677" s="19"/>
      <c r="J677" s="50"/>
      <c r="K677" s="58"/>
      <c r="L677" s="6">
        <v>30.0</v>
      </c>
      <c r="M677" s="52" t="s">
        <v>655</v>
      </c>
      <c r="N677" s="53" t="s">
        <v>698</v>
      </c>
      <c r="O677" s="19" t="s">
        <v>1063</v>
      </c>
      <c r="P677" s="6"/>
      <c r="Q677" s="6" t="str">
        <f t="shared" si="1"/>
        <v>#N/A</v>
      </c>
      <c r="R677" s="6"/>
    </row>
    <row r="678" hidden="1">
      <c r="A678" s="31" t="str">
        <f>IFERROR(__xludf.DUMMYFUNCTION("""COMPUTED_VALUE"""),"НД")</f>
        <v>НД</v>
      </c>
      <c r="B678" s="14" t="str">
        <f>IFERROR(__xludf.DUMMYFUNCTION("""COMPUTED_VALUE"""),"ВНЕ СПИСКА")</f>
        <v>ВНЕ СПИСКА</v>
      </c>
      <c r="C678" s="14" t="str">
        <f>IFERROR(__xludf.DUMMYFUNCTION("""COMPUTED_VALUE"""),"УДС")</f>
        <v>УДС</v>
      </c>
      <c r="D678" s="6"/>
      <c r="E678" s="14" t="str">
        <f>IFERROR(__xludf.DUMMYFUNCTION("""COMPUTED_VALUE"""),"Дороги и инженерные коммуникации для Учебно-образовательного кластера «Ломоносов» (1-ый этап) город Москва, район Раменки Западного административного округа города Москвы, напротив проспекта Вернадского, дом 8")</f>
        <v>Дороги и инженерные коммуникации для Учебно-образовательного кластера «Ломоносов» (1-ый этап) город Москва, район Раменки Западного административного округа города Москвы, напротив проспекта Вернадского, дом 8</v>
      </c>
      <c r="F678" s="25" t="str">
        <f>IFERROR(__xludf.DUMMYFUNCTION("""COMPUTED_VALUE"""),"#N/A")</f>
        <v>#N/A</v>
      </c>
      <c r="G678" s="6" t="str">
        <f>IFERROR(__xludf.DUMMYFUNCTION("""COMPUTED_VALUE"""),"#N/A")</f>
        <v>#N/A</v>
      </c>
      <c r="H678" s="6"/>
      <c r="I678" s="19"/>
      <c r="J678" s="50"/>
      <c r="K678" s="58"/>
      <c r="L678" s="6">
        <v>30.0</v>
      </c>
      <c r="M678" s="52" t="s">
        <v>655</v>
      </c>
      <c r="N678" s="53" t="s">
        <v>652</v>
      </c>
      <c r="O678" s="19" t="s">
        <v>1064</v>
      </c>
      <c r="P678" s="6"/>
      <c r="Q678" s="6" t="str">
        <f t="shared" si="1"/>
        <v>#N/A</v>
      </c>
      <c r="R678" s="6"/>
    </row>
    <row r="679" hidden="1">
      <c r="A679" s="31" t="str">
        <f>IFERROR(__xludf.DUMMYFUNCTION("""COMPUTED_VALUE"""),"НД")</f>
        <v>НД</v>
      </c>
      <c r="B679" s="14" t="str">
        <f>IFERROR(__xludf.DUMMYFUNCTION("""COMPUTED_VALUE"""),"ВНЕ СПИСКА")</f>
        <v>ВНЕ СПИСКА</v>
      </c>
      <c r="C679" s="14" t="str">
        <f>IFERROR(__xludf.DUMMYFUNCTION("""COMPUTED_VALUE"""),"УДС")</f>
        <v>УДС</v>
      </c>
      <c r="D679" s="6"/>
      <c r="E679" s="14" t="str">
        <f>IFERROR(__xludf.DUMMYFUNCTION("""COMPUTED_VALUE"""),"Дороги и инженерные коммуникации для кластера ""Образовательный"" (Подэтап 2.1) город Москва, район Раменки, проспект Ломоносовский (тер. ИНТЦ МГУ ""Воробьевы горы"")")</f>
        <v>Дороги и инженерные коммуникации для кластера "Образовательный" (Подэтап 2.1) город Москва, район Раменки, проспект Ломоносовский (тер. ИНТЦ МГУ "Воробьевы горы")</v>
      </c>
      <c r="F679" s="25" t="str">
        <f>IFERROR(__xludf.DUMMYFUNCTION("""COMPUTED_VALUE"""),"#N/A")</f>
        <v>#N/A</v>
      </c>
      <c r="G679" s="6" t="str">
        <f>IFERROR(__xludf.DUMMYFUNCTION("""COMPUTED_VALUE"""),"#N/A")</f>
        <v>#N/A</v>
      </c>
      <c r="H679" s="6"/>
      <c r="I679" s="6"/>
      <c r="J679" s="50"/>
      <c r="K679" s="58"/>
      <c r="L679" s="6">
        <v>30.0</v>
      </c>
      <c r="M679" s="52" t="s">
        <v>655</v>
      </c>
      <c r="N679" s="53" t="s">
        <v>652</v>
      </c>
      <c r="O679" s="6" t="s">
        <v>1065</v>
      </c>
      <c r="P679" s="6"/>
      <c r="Q679" s="6" t="str">
        <f t="shared" si="1"/>
        <v>#N/A</v>
      </c>
      <c r="R679" s="6"/>
    </row>
    <row r="680" hidden="1">
      <c r="A680" s="31" t="str">
        <f>IFERROR(__xludf.DUMMYFUNCTION("""COMPUTED_VALUE"""),"1280д")</f>
        <v>1280д</v>
      </c>
      <c r="B680" s="14" t="str">
        <f>IFERROR(__xludf.DUMMYFUNCTION("""COMPUTED_VALUE"""),"АИП-27")</f>
        <v>АИП-27</v>
      </c>
      <c r="C680" s="14" t="str">
        <f>IFERROR(__xludf.DUMMYFUNCTION("""COMPUTED_VALUE"""),"УДС")</f>
        <v>УДС</v>
      </c>
      <c r="D680" s="6"/>
      <c r="E680" s="14" t="str">
        <f>IFERROR(__xludf.DUMMYFUNCTION("""COMPUTED_VALUE"""),"Дороги и инженерные коммуникаций на территории Инновационного научно-технологического центра МГУ «Воробьевы горы» район Раменки, между пр. проездами № 1190, 1194, Раменский бульвар")</f>
        <v>Дороги и инженерные коммуникаций на территории Инновационного научно-технологического центра МГУ «Воробьевы горы» район Раменки, между пр. проездами № 1190, 1194, Раменский бульвар</v>
      </c>
      <c r="F680" s="25" t="str">
        <f>IFERROR(__xludf.DUMMYFUNCTION("""COMPUTED_VALUE"""),"#N/A")</f>
        <v>#N/A</v>
      </c>
      <c r="G680" s="6" t="str">
        <f>IFERROR(__xludf.DUMMYFUNCTION("""COMPUTED_VALUE"""),"#N/A")</f>
        <v>#N/A</v>
      </c>
      <c r="H680" s="6"/>
      <c r="I680" s="6"/>
      <c r="J680" s="50">
        <f>IFERROR(__xludf.DUMMYFUNCTION("""COMPUTED_VALUE"""),100.00000000000003)</f>
        <v>100</v>
      </c>
      <c r="K680" s="58">
        <f>IFERROR(__xludf.DUMMYFUNCTION("""COMPUTED_VALUE"""),45874.0)</f>
        <v>45874</v>
      </c>
      <c r="L680" s="6" t="s">
        <v>654</v>
      </c>
      <c r="M680" s="52" t="s">
        <v>655</v>
      </c>
      <c r="N680" s="53" t="s">
        <v>656</v>
      </c>
      <c r="O680" s="6" t="s">
        <v>1066</v>
      </c>
      <c r="P680" s="6"/>
      <c r="Q680" s="6" t="str">
        <f t="shared" si="1"/>
        <v>#N/A</v>
      </c>
      <c r="R680" s="6"/>
    </row>
    <row r="681" hidden="1">
      <c r="A681" s="31" t="str">
        <f>IFERROR(__xludf.DUMMYFUNCTION("""COMPUTED_VALUE"""),"НД")</f>
        <v>НД</v>
      </c>
      <c r="B681" s="14" t="str">
        <f>IFERROR(__xludf.DUMMYFUNCTION("""COMPUTED_VALUE"""),"АИП-27")</f>
        <v>АИП-27</v>
      </c>
      <c r="C681" s="14" t="str">
        <f>IFERROR(__xludf.DUMMYFUNCTION("""COMPUTED_VALUE"""),"ОКС+УДС")</f>
        <v>ОКС+УДС</v>
      </c>
      <c r="D681" s="6"/>
      <c r="E681" s="14" t="str">
        <f>IFERROR(__xludf.DUMMYFUNCTION("""COMPUTED_VALUE"""),"Дороги и инженерные коммуникации для кластеров «Космос», «Инфотех», «Инжиниринг», «Геотех», «Нанотех», «Биомед» (Подэтап 2.3) Дороги и инженерные коммуникации для кластеров «Космос», «Инфотех», «Инжиниринг», «Геотех», «Нанотех», «Биомед»")</f>
        <v>Дороги и инженерные коммуникации для кластеров «Космос», «Инфотех», «Инжиниринг», «Геотех», «Нанотех», «Биомед» (Подэтап 2.3) Дороги и инженерные коммуникации для кластеров «Космос», «Инфотех», «Инжиниринг», «Геотех», «Нанотех», «Биомед»</v>
      </c>
      <c r="F681" s="25" t="str">
        <f>IFERROR(__xludf.DUMMYFUNCTION("""COMPUTED_VALUE"""),"#N/A")</f>
        <v>#N/A</v>
      </c>
      <c r="G681" s="6" t="str">
        <f>IFERROR(__xludf.DUMMYFUNCTION("""COMPUTED_VALUE"""),"#N/A")</f>
        <v>#N/A</v>
      </c>
      <c r="H681" s="6"/>
      <c r="I681" s="6"/>
      <c r="J681" s="50"/>
      <c r="K681" s="58"/>
      <c r="L681" s="6">
        <v>30.0</v>
      </c>
      <c r="M681" s="52" t="s">
        <v>655</v>
      </c>
      <c r="N681" s="53" t="s">
        <v>698</v>
      </c>
      <c r="O681" s="6" t="s">
        <v>1063</v>
      </c>
      <c r="P681" s="6"/>
      <c r="Q681" s="6" t="str">
        <f t="shared" si="1"/>
        <v>#N/A</v>
      </c>
      <c r="R681" s="6"/>
    </row>
    <row r="682" hidden="1">
      <c r="A682" s="31"/>
      <c r="B682" s="14" t="str">
        <f>IFERROR(__xludf.DUMMYFUNCTION("""COMPUTED_VALUE"""),"АИП-27")</f>
        <v>АИП-27</v>
      </c>
      <c r="C682" s="14" t="str">
        <f>IFERROR(__xludf.DUMMYFUNCTION("""COMPUTED_VALUE"""),"ОКС")</f>
        <v>ОКС</v>
      </c>
      <c r="D682" s="6"/>
      <c r="E682" s="14" t="str">
        <f>IFERROR(__xludf.DUMMYFUNCTION("""COMPUTED_VALUE"""),"Жилой дом с инженерными коммуникациями и благоустройством, р-н Солнцево, ул. Главмосстроя, влд. 7Б (со сносом жилых домов по адресам: ул. Главмосстроя, д. 7, к. 3, д. 7, к. 4; ул. Богданова, д. 26, к. 2, д. 26, к. 3) р-н Солнцево, ул. Главмосстроя, влд. 7"&amp;"Б")</f>
        <v>Жилой дом с инженерными коммуникациями и благоустройством, р-н Солнцево, ул. Главмосстроя, влд. 7Б (со сносом жилых домов по адресам: ул. Главмосстроя, д. 7, к. 3, д. 7, к. 4; ул. Богданова, д. 26, к. 2, д. 26, к. 3) р-н Солнцево, ул. Главмосстроя, влд. 7Б</v>
      </c>
      <c r="F682" s="25" t="str">
        <f>IFERROR(__xludf.DUMMYFUNCTION("""COMPUTED_VALUE"""),"#N/A")</f>
        <v>#N/A</v>
      </c>
      <c r="G682" s="6" t="str">
        <f>IFERROR(__xludf.DUMMYFUNCTION("""COMPUTED_VALUE"""),"#N/A")</f>
        <v>#N/A</v>
      </c>
      <c r="H682" s="6"/>
      <c r="I682" s="19"/>
      <c r="J682" s="50"/>
      <c r="K682" s="58"/>
      <c r="L682" s="6" t="s">
        <v>655</v>
      </c>
      <c r="M682" s="52" t="s">
        <v>655</v>
      </c>
      <c r="N682" s="53" t="s">
        <v>655</v>
      </c>
      <c r="O682" s="19" t="s">
        <v>1067</v>
      </c>
      <c r="P682" s="6"/>
      <c r="Q682" s="6" t="str">
        <f t="shared" si="1"/>
        <v>#N/A</v>
      </c>
      <c r="R682" s="6"/>
    </row>
    <row r="683" hidden="1">
      <c r="A683" s="31" t="str">
        <f>IFERROR(__xludf.DUMMYFUNCTION("""COMPUTED_VALUE"""),"196")</f>
        <v>196</v>
      </c>
      <c r="B683" s="14" t="str">
        <f>IFERROR(__xludf.DUMMYFUNCTION("""COMPUTED_VALUE"""),"АИП-27")</f>
        <v>АИП-27</v>
      </c>
      <c r="C683" s="14" t="str">
        <f>IFERROR(__xludf.DUMMYFUNCTION("""COMPUTED_VALUE"""),"ОКС")</f>
        <v>ОКС</v>
      </c>
      <c r="D683" s="6"/>
      <c r="E683" s="14" t="str">
        <f>IFERROR(__xludf.DUMMYFUNCTION("""COMPUTED_VALUE"""),"Подразделения УГИБДД и УВД по ЗелАО ГУ МВД России по г. Москве г. Зеленоград, р-н Крюково, п. Малино, пересечение проектируемого пр-да 6536 и ул. Малинская")</f>
        <v>Подразделения УГИБДД и УВД по ЗелАО ГУ МВД России по г. Москве г. Зеленоград, р-н Крюково, п. Малино, пересечение проектируемого пр-да 6536 и ул. Малинская</v>
      </c>
      <c r="F683" s="25" t="str">
        <f>IFERROR(__xludf.DUMMYFUNCTION("""COMPUTED_VALUE"""),"#N/A")</f>
        <v>#N/A</v>
      </c>
      <c r="G683" s="6" t="str">
        <f>IFERROR(__xludf.DUMMYFUNCTION("""COMPUTED_VALUE"""),"#N/A")</f>
        <v>#N/A</v>
      </c>
      <c r="H683" s="18" t="str">
        <f>IFERROR(__xludf.DUMMYFUNCTION("""COMPUTED_VALUE"""),"https://docs.google.com/spreadsheets/d/19THEBTE9q0fhN2eApZr6BgenIvLGh0AckaYxHQfHk5w/edit?gid=2057403759#gid=2057403759")</f>
        <v>https://docs.google.com/spreadsheets/d/19THEBTE9q0fhN2eApZr6BgenIvLGh0AckaYxHQfHk5w/edit?gid=2057403759#gid=2057403759</v>
      </c>
      <c r="I683" s="19" t="str">
        <f>IFERROR(__xludf.DUMMYFUNCTION("""COMPUTED_VALUE"""),"https://disk.yandex.ru/client/disk/Осмотры%20объектов%20АНО%20СМГ/196.%20ГИБДД%20Зеленоград%20Малинская")</f>
        <v>https://disk.yandex.ru/client/disk/Осмотры%20объектов%20АНО%20СМГ/196.%20ГИБДД%20Зеленоград%20Малинская</v>
      </c>
      <c r="J683" s="50">
        <f>IFERROR(__xludf.DUMMYFUNCTION("""COMPUTED_VALUE"""),0.0)</f>
        <v>0</v>
      </c>
      <c r="K683" s="58">
        <f>IFERROR(__xludf.DUMMYFUNCTION("""COMPUTED_VALUE"""),45736.0)</f>
        <v>45736</v>
      </c>
      <c r="L683" s="6">
        <v>30.0</v>
      </c>
      <c r="M683" s="52">
        <v>45766.0</v>
      </c>
      <c r="N683" s="53" t="s">
        <v>668</v>
      </c>
      <c r="O683" s="19" t="s">
        <v>1068</v>
      </c>
      <c r="P683" s="6"/>
      <c r="Q683" s="6" t="str">
        <f t="shared" si="1"/>
        <v>#N/A</v>
      </c>
      <c r="R683" s="6"/>
    </row>
    <row r="684" hidden="1">
      <c r="A684" s="31" t="str">
        <f>IFERROR(__xludf.DUMMYFUNCTION("""COMPUTED_VALUE"""),"386")</f>
        <v>386</v>
      </c>
      <c r="B684" s="14" t="str">
        <f>IFERROR(__xludf.DUMMYFUNCTION("""COMPUTED_VALUE"""),"РЕН-25")</f>
        <v>РЕН-25</v>
      </c>
      <c r="C684" s="14" t="str">
        <f>IFERROR(__xludf.DUMMYFUNCTION("""COMPUTED_VALUE"""),"ОКС")</f>
        <v>ОКС</v>
      </c>
      <c r="D684" s="6"/>
      <c r="E684" s="14" t="str">
        <f>IFERROR(__xludf.DUMMYFUNCTION("""COMPUTED_VALUE"""),"Базовская ул., з/у 24/26 район Западное Дегунино, ул. Базовская, з/у 24-26")</f>
        <v>Базовская ул., з/у 24/26 район Западное Дегунино, ул. Базовская, з/у 24-26</v>
      </c>
      <c r="F684" s="25" t="str">
        <f>IFERROR(__xludf.DUMMYFUNCTION("""COMPUTED_VALUE"""),"55.881507")</f>
        <v>55.881507</v>
      </c>
      <c r="G684" s="6" t="str">
        <f>IFERROR(__xludf.DUMMYFUNCTION("""COMPUTED_VALUE"""),"37.516687")</f>
        <v>37.516687</v>
      </c>
      <c r="H684" s="18" t="str">
        <f>IFERROR(__xludf.DUMMYFUNCTION("""COMPUTED_VALUE"""),"https://docs.google.com/spreadsheets/d/1H1MjbG2y0oC0hhID4do1G0_gfyI1jag72lQd7nL3WDQ/edit?gid=1354888420#gid=1354888420")</f>
        <v>https://docs.google.com/spreadsheets/d/1H1MjbG2y0oC0hhID4do1G0_gfyI1jag72lQd7nL3WDQ/edit?gid=1354888420#gid=1354888420</v>
      </c>
      <c r="I684" s="19" t="str">
        <f>IFERROR(__xludf.DUMMYFUNCTION("""COMPUTED_VALUE"""),"https://disk.yandex.ru/client/disk/Осмотры%20объектов%20АНО%20СМГ/386%20Базовская%20з.у.%2024-26%20мкр.11%2C12")</f>
        <v>https://disk.yandex.ru/client/disk/Осмотры%20объектов%20АНО%20СМГ/386%20Базовская%20з.у.%2024-26%20мкр.11%2C12</v>
      </c>
      <c r="J684" s="50">
        <f>IFERROR(__xludf.DUMMYFUNCTION("""COMPUTED_VALUE"""),99.955)</f>
        <v>99.955</v>
      </c>
      <c r="K684" s="58">
        <f>IFERROR(__xludf.DUMMYFUNCTION("""COMPUTED_VALUE"""),45968.0)</f>
        <v>45968</v>
      </c>
      <c r="L684" s="6">
        <v>7.0</v>
      </c>
      <c r="M684" s="52">
        <v>45975.0</v>
      </c>
      <c r="N684" s="53" t="s">
        <v>652</v>
      </c>
      <c r="O684" s="19" t="s">
        <v>1069</v>
      </c>
      <c r="P684" s="6"/>
      <c r="Q684" s="6" t="str">
        <f t="shared" si="1"/>
        <v>#N/A</v>
      </c>
      <c r="R684" s="6"/>
    </row>
    <row r="685" hidden="1">
      <c r="A685" s="31" t="str">
        <f>IFERROR(__xludf.DUMMYFUNCTION("""COMPUTED_VALUE"""),"446")</f>
        <v>446</v>
      </c>
      <c r="B685" s="14" t="str">
        <f>IFERROR(__xludf.DUMMYFUNCTION("""COMPUTED_VALUE"""),"РЕН-25")</f>
        <v>РЕН-25</v>
      </c>
      <c r="C685" s="14" t="str">
        <f>IFERROR(__xludf.DUMMYFUNCTION("""COMPUTED_VALUE"""),"ОКС")</f>
        <v>ОКС</v>
      </c>
      <c r="D685" s="6"/>
      <c r="E685" s="14" t="str">
        <f>IFERROR(__xludf.DUMMYFUNCTION("""COMPUTED_VALUE"""),"Грайвороново, кв. 90А, з/у 1 (Грайвороново, кв. 90А) район Текстильщики, кв-л Грайвороново 90А, з/у 1 (Грайвороново, квартал 90А)")</f>
        <v>Грайвороново, кв. 90А, з/у 1 (Грайвороново, кв. 90А) район Текстильщики, кв-л Грайвороново 90А, з/у 1 (Грайвороново, квартал 90А)</v>
      </c>
      <c r="F685" s="25" t="str">
        <f>IFERROR(__xludf.DUMMYFUNCTION("""COMPUTED_VALUE"""),"55.722629")</f>
        <v>55.722629</v>
      </c>
      <c r="G685" s="6" t="str">
        <f>IFERROR(__xludf.DUMMYFUNCTION("""COMPUTED_VALUE"""),"37.735267")</f>
        <v>37.735267</v>
      </c>
      <c r="H685" s="18" t="str">
        <f>IFERROR(__xludf.DUMMYFUNCTION("""COMPUTED_VALUE"""),"https://docs.google.com/spreadsheets/d/1H1MjbG2y0oC0hhID4do1G0_gfyI1jag72lQd7nL3WDQ/edit?gid=1062247251#gid=1062247251")</f>
        <v>https://docs.google.com/spreadsheets/d/1H1MjbG2y0oC0hhID4do1G0_gfyI1jag72lQd7nL3WDQ/edit?gid=1062247251#gid=1062247251</v>
      </c>
      <c r="I685" s="19" t="str">
        <f>IFERROR(__xludf.DUMMYFUNCTION("""COMPUTED_VALUE"""),"https://disk.yandex.ru/client/disk/Осмотры%20объектов%20АНО%20СМГ/446.%20Грайвороново%2090А%20зу%201")</f>
        <v>https://disk.yandex.ru/client/disk/Осмотры%20объектов%20АНО%20СМГ/446.%20Грайвороново%2090А%20зу%201</v>
      </c>
      <c r="J685" s="50">
        <f>IFERROR(__xludf.DUMMYFUNCTION("""COMPUTED_VALUE"""),99.68787499999999)</f>
        <v>99.687875</v>
      </c>
      <c r="K685" s="58">
        <f>IFERROR(__xludf.DUMMYFUNCTION("""COMPUTED_VALUE"""),45952.0)</f>
        <v>45952</v>
      </c>
      <c r="L685" s="6">
        <v>7.0</v>
      </c>
      <c r="M685" s="52">
        <v>45959.0</v>
      </c>
      <c r="N685" s="53" t="s">
        <v>652</v>
      </c>
      <c r="O685" s="19" t="s">
        <v>1070</v>
      </c>
      <c r="P685" s="6"/>
      <c r="Q685" s="6" t="str">
        <f t="shared" si="1"/>
        <v>#N/A</v>
      </c>
      <c r="R685" s="6"/>
    </row>
    <row r="686" hidden="1">
      <c r="A686" s="31" t="str">
        <f>IFERROR(__xludf.DUMMYFUNCTION("""COMPUTED_VALUE"""),"456")</f>
        <v>456</v>
      </c>
      <c r="B686" s="14" t="str">
        <f>IFERROR(__xludf.DUMMYFUNCTION("""COMPUTED_VALUE"""),"РЕН-25")</f>
        <v>РЕН-25</v>
      </c>
      <c r="C686" s="14" t="str">
        <f>IFERROR(__xludf.DUMMYFUNCTION("""COMPUTED_VALUE"""),"ОКС")</f>
        <v>ОКС</v>
      </c>
      <c r="D686" s="6"/>
      <c r="E686" s="14" t="str">
        <f>IFERROR(__xludf.DUMMYFUNCTION("""COMPUTED_VALUE"""),"Черное Озеро ул., з/у 7 (вл. 7) район Косино-Ухтомский, Черное Озеро ул., вл. 7")</f>
        <v>Черное Озеро ул., з/у 7 (вл. 7) район Косино-Ухтомский, Черное Озеро ул., вл. 7</v>
      </c>
      <c r="F686" s="25" t="str">
        <f>IFERROR(__xludf.DUMMYFUNCTION("""COMPUTED_VALUE"""),"55.716472")</f>
        <v>55.716472</v>
      </c>
      <c r="G686" s="6" t="str">
        <f>IFERROR(__xludf.DUMMYFUNCTION("""COMPUTED_VALUE"""),"37.861426")</f>
        <v>37.861426</v>
      </c>
      <c r="H686" s="18" t="str">
        <f>IFERROR(__xludf.DUMMYFUNCTION("""COMPUTED_VALUE"""),"https://docs.google.com/spreadsheets/d/1H1MjbG2y0oC0hhID4do1G0_gfyI1jag72lQd7nL3WDQ/edit?gid=1593101561#gid=1593101561")</f>
        <v>https://docs.google.com/spreadsheets/d/1H1MjbG2y0oC0hhID4do1G0_gfyI1jag72lQd7nL3WDQ/edit?gid=1593101561#gid=1593101561</v>
      </c>
      <c r="I686" s="19" t="str">
        <f>IFERROR(__xludf.DUMMYFUNCTION("""COMPUTED_VALUE"""),"https://disk.yandex.ru/client/disk/Осмотры%20объектов%20АНО%20СМГ/456.%20ВАО%2C%20район%20Косино-Ухтомский%2C%20Чёрное%20Озеро%20ул.%2C%20вл.%207")</f>
        <v>https://disk.yandex.ru/client/disk/Осмотры%20объектов%20АНО%20СМГ/456.%20ВАО%2C%20район%20Косино-Ухтомский%2C%20Чёрное%20Озеро%20ул.%2C%20вл.%207</v>
      </c>
      <c r="J686" s="50">
        <f>IFERROR(__xludf.DUMMYFUNCTION("""COMPUTED_VALUE"""),100.0)</f>
        <v>100</v>
      </c>
      <c r="K686" s="58">
        <f>IFERROR(__xludf.DUMMYFUNCTION("""COMPUTED_VALUE"""),45952.0)</f>
        <v>45952</v>
      </c>
      <c r="L686" s="6" t="s">
        <v>654</v>
      </c>
      <c r="M686" s="52" t="s">
        <v>655</v>
      </c>
      <c r="N686" s="53" t="s">
        <v>656</v>
      </c>
      <c r="O686" s="19" t="s">
        <v>1071</v>
      </c>
      <c r="P686" s="6"/>
      <c r="Q686" s="6" t="str">
        <f t="shared" si="1"/>
        <v>#N/A</v>
      </c>
      <c r="R686" s="6"/>
    </row>
    <row r="687" hidden="1">
      <c r="A687" s="31" t="str">
        <f>IFERROR(__xludf.DUMMYFUNCTION("""COMPUTED_VALUE"""),"457")</f>
        <v>457</v>
      </c>
      <c r="B687" s="14" t="str">
        <f>IFERROR(__xludf.DUMMYFUNCTION("""COMPUTED_VALUE"""),"РЕН-25")</f>
        <v>РЕН-25</v>
      </c>
      <c r="C687" s="14" t="str">
        <f>IFERROR(__xludf.DUMMYFUNCTION("""COMPUTED_VALUE"""),"ОКС")</f>
        <v>ОКС</v>
      </c>
      <c r="D687" s="6"/>
      <c r="E687" s="14" t="str">
        <f>IFERROR(__xludf.DUMMYFUNCTION("""COMPUTED_VALUE"""),"Черное Озеро ул., з/у 8 (вл. 8) район Косино-Ухтомский, Черное Озеро ул., вл. 8")</f>
        <v>Черное Озеро ул., з/у 8 (вл. 8) район Косино-Ухтомский, Черное Озеро ул., вл. 8</v>
      </c>
      <c r="F687" s="25" t="str">
        <f>IFERROR(__xludf.DUMMYFUNCTION("""COMPUTED_VALUE"""),"55.715758")</f>
        <v>55.715758</v>
      </c>
      <c r="G687" s="6" t="str">
        <f>IFERROR(__xludf.DUMMYFUNCTION("""COMPUTED_VALUE"""),"37.860632")</f>
        <v>37.860632</v>
      </c>
      <c r="H687" s="18" t="str">
        <f>IFERROR(__xludf.DUMMYFUNCTION("""COMPUTED_VALUE"""),"https://docs.google.com/spreadsheets/d/1H1MjbG2y0oC0hhID4do1G0_gfyI1jag72lQd7nL3WDQ/edit?gid=56472241#gid=56472241")</f>
        <v>https://docs.google.com/spreadsheets/d/1H1MjbG2y0oC0hhID4do1G0_gfyI1jag72lQd7nL3WDQ/edit?gid=56472241#gid=56472241</v>
      </c>
      <c r="I687" s="19" t="str">
        <f>IFERROR(__xludf.DUMMYFUNCTION("""COMPUTED_VALUE"""),"https://disk.yandex.ru/client/disk/Осмотры%20объектов%20АНО%20СМГ/457.%20ВАО%2C%20район%20Косино-Ухтомский%2C%20Чёрное%20Озеро%20ул.%2C%20вл.%208")</f>
        <v>https://disk.yandex.ru/client/disk/Осмотры%20объектов%20АНО%20СМГ/457.%20ВАО%2C%20район%20Косино-Ухтомский%2C%20Чёрное%20Озеро%20ул.%2C%20вл.%208</v>
      </c>
      <c r="J687" s="50">
        <f>IFERROR(__xludf.DUMMYFUNCTION("""COMPUTED_VALUE"""),100.0)</f>
        <v>100</v>
      </c>
      <c r="K687" s="58">
        <f>IFERROR(__xludf.DUMMYFUNCTION("""COMPUTED_VALUE"""),45951.0)</f>
        <v>45951</v>
      </c>
      <c r="L687" s="6" t="s">
        <v>654</v>
      </c>
      <c r="M687" s="52" t="s">
        <v>655</v>
      </c>
      <c r="N687" s="53" t="s">
        <v>656</v>
      </c>
      <c r="O687" s="19" t="s">
        <v>1072</v>
      </c>
      <c r="P687" s="6"/>
      <c r="Q687" s="6" t="str">
        <f t="shared" si="1"/>
        <v>#N/A</v>
      </c>
      <c r="R687" s="6"/>
    </row>
    <row r="688" hidden="1">
      <c r="A688" s="31" t="str">
        <f>IFERROR(__xludf.DUMMYFUNCTION("""COMPUTED_VALUE"""),"436")</f>
        <v>436</v>
      </c>
      <c r="B688" s="14" t="str">
        <f>IFERROR(__xludf.DUMMYFUNCTION("""COMPUTED_VALUE"""),"РЕН-25")</f>
        <v>РЕН-25</v>
      </c>
      <c r="C688" s="14" t="str">
        <f>IFERROR(__xludf.DUMMYFUNCTION("""COMPUTED_VALUE"""),"ОКС")</f>
        <v>ОКС</v>
      </c>
      <c r="D688" s="6"/>
      <c r="E688" s="14" t="str">
        <f>IFERROR(__xludf.DUMMYFUNCTION("""COMPUTED_VALUE"""),"Ереванская ул., з/у 4 (вл. 4) район Царицыно, Ереванская ул., вл. 4")</f>
        <v>Ереванская ул., з/у 4 (вл. 4) район Царицыно, Ереванская ул., вл. 4</v>
      </c>
      <c r="F688" s="25" t="str">
        <f>IFERROR(__xludf.DUMMYFUNCTION("""COMPUTED_VALUE"""),"55.630314")</f>
        <v>55.630314</v>
      </c>
      <c r="G688" s="6" t="str">
        <f>IFERROR(__xludf.DUMMYFUNCTION("""COMPUTED_VALUE"""),"37.668111")</f>
        <v>37.668111</v>
      </c>
      <c r="H688" s="18" t="str">
        <f>IFERROR(__xludf.DUMMYFUNCTION("""COMPUTED_VALUE"""),"https://docs.google.com/spreadsheets/d/1H1MjbG2y0oC0hhID4do1G0_gfyI1jag72lQd7nL3WDQ/edit?gid=994638175#gid=994638175")</f>
        <v>https://docs.google.com/spreadsheets/d/1H1MjbG2y0oC0hhID4do1G0_gfyI1jag72lQd7nL3WDQ/edit?gid=994638175#gid=994638175</v>
      </c>
      <c r="I688" s="19" t="str">
        <f>IFERROR(__xludf.DUMMYFUNCTION("""COMPUTED_VALUE"""),"https://disk.yandex.ru/client/disk/Осмотры%20объектов%20АНО%20СМГ/436.%20Жилой%20дом.%20Ереванская%20ул.%2C%20з-у%204")</f>
        <v>https://disk.yandex.ru/client/disk/Осмотры%20объектов%20АНО%20СМГ/436.%20Жилой%20дом.%20Ереванская%20ул.%2C%20з-у%204</v>
      </c>
      <c r="J688" s="50">
        <f>IFERROR(__xludf.DUMMYFUNCTION("""COMPUTED_VALUE"""),99.93775)</f>
        <v>99.93775</v>
      </c>
      <c r="K688" s="58">
        <f>IFERROR(__xludf.DUMMYFUNCTION("""COMPUTED_VALUE"""),45952.0)</f>
        <v>45952</v>
      </c>
      <c r="L688" s="6">
        <v>7.0</v>
      </c>
      <c r="M688" s="52">
        <v>45959.0</v>
      </c>
      <c r="N688" s="53" t="s">
        <v>652</v>
      </c>
      <c r="O688" s="19" t="s">
        <v>1073</v>
      </c>
      <c r="P688" s="6"/>
      <c r="Q688" s="6" t="str">
        <f t="shared" si="1"/>
        <v>#N/A</v>
      </c>
      <c r="R688" s="6"/>
    </row>
    <row r="689" hidden="1">
      <c r="A689" s="31" t="str">
        <f>IFERROR(__xludf.DUMMYFUNCTION("""COMPUTED_VALUE"""),"512")</f>
        <v>512</v>
      </c>
      <c r="B689" s="14" t="str">
        <f>IFERROR(__xludf.DUMMYFUNCTION("""COMPUTED_VALUE"""),"РЕН-25")</f>
        <v>РЕН-25</v>
      </c>
      <c r="C689" s="14" t="str">
        <f>IFERROR(__xludf.DUMMYFUNCTION("""COMPUTED_VALUE"""),"ОКС")</f>
        <v>ОКС</v>
      </c>
      <c r="D689" s="6"/>
      <c r="E689" s="14" t="str">
        <f>IFERROR(__xludf.DUMMYFUNCTION("""COMPUTED_VALUE"""),"Никитинская ул., з/у 5 район Измайлово, Никитинская ул., вл. 5")</f>
        <v>Никитинская ул., з/у 5 район Измайлово, Никитинская ул., вл. 5</v>
      </c>
      <c r="F689" s="25" t="str">
        <f>IFERROR(__xludf.DUMMYFUNCTION("""COMPUTED_VALUE"""),"55.796496")</f>
        <v>55.796496</v>
      </c>
      <c r="G689" s="6" t="str">
        <f>IFERROR(__xludf.DUMMYFUNCTION("""COMPUTED_VALUE"""),"37.774778")</f>
        <v>37.774778</v>
      </c>
      <c r="H689" s="18" t="str">
        <f>IFERROR(__xludf.DUMMYFUNCTION("""COMPUTED_VALUE"""),"https://docs.google.com/spreadsheets/d/1H1MjbG2y0oC0hhID4do1G0_gfyI1jag72lQd7nL3WDQ/edit?gid=1217957109#gid=1217957109")</f>
        <v>https://docs.google.com/spreadsheets/d/1H1MjbG2y0oC0hhID4do1G0_gfyI1jag72lQd7nL3WDQ/edit?gid=1217957109#gid=1217957109</v>
      </c>
      <c r="I689" s="19" t="str">
        <f>IFERROR(__xludf.DUMMYFUNCTION("""COMPUTED_VALUE"""),"https://disk.yandex.ru/client/disk/Осмотры%20объектов%20АНО%20СМГ/512.%20Ул.%20Никитинская%20вл.%205%20Район%20Измайлово")</f>
        <v>https://disk.yandex.ru/client/disk/Осмотры%20объектов%20АНО%20СМГ/512.%20Ул.%20Никитинская%20вл.%205%20Район%20Измайлово</v>
      </c>
      <c r="J689" s="50">
        <f>IFERROR(__xludf.DUMMYFUNCTION("""COMPUTED_VALUE"""),100.0)</f>
        <v>100</v>
      </c>
      <c r="K689" s="58">
        <f>IFERROR(__xludf.DUMMYFUNCTION("""COMPUTED_VALUE"""),45952.0)</f>
        <v>45952</v>
      </c>
      <c r="L689" s="6" t="s">
        <v>654</v>
      </c>
      <c r="M689" s="52" t="s">
        <v>655</v>
      </c>
      <c r="N689" s="53" t="s">
        <v>656</v>
      </c>
      <c r="O689" s="19" t="s">
        <v>1074</v>
      </c>
      <c r="P689" s="6"/>
      <c r="Q689" s="6" t="str">
        <f t="shared" si="1"/>
        <v>#N/A</v>
      </c>
      <c r="R689" s="6"/>
    </row>
    <row r="690" hidden="1">
      <c r="A690" s="31" t="str">
        <f>IFERROR(__xludf.DUMMYFUNCTION("""COMPUTED_VALUE"""),"179")</f>
        <v>179</v>
      </c>
      <c r="B690" s="14" t="str">
        <f>IFERROR(__xludf.DUMMYFUNCTION("""COMPUTED_VALUE"""),"АИП-25")</f>
        <v>АИП-25</v>
      </c>
      <c r="C690" s="14" t="str">
        <f>IFERROR(__xludf.DUMMYFUNCTION("""COMPUTED_VALUE"""),"ОКС")</f>
        <v>ОКС</v>
      </c>
      <c r="D690" s="6"/>
      <c r="E690" s="14" t="str">
        <f>IFERROR(__xludf.DUMMYFUNCTION("""COMPUTED_VALUE"""),"Здание для размещения Митинского отдела ЗАГС Управления ЗАГС Москвы, ул. Дубравная, вл. 50/1 район Митино, ул. Дубравная, д. 48А")</f>
        <v>Здание для размещения Митинского отдела ЗАГС Управления ЗАГС Москвы, ул. Дубравная, вл. 50/1 район Митино, ул. Дубравная, д. 48А</v>
      </c>
      <c r="F690" s="25" t="str">
        <f>IFERROR(__xludf.DUMMYFUNCTION("""COMPUTED_VALUE"""),"#N/A")</f>
        <v>#N/A</v>
      </c>
      <c r="G690" s="6" t="str">
        <f>IFERROR(__xludf.DUMMYFUNCTION("""COMPUTED_VALUE"""),"#N/A")</f>
        <v>#N/A</v>
      </c>
      <c r="H690" s="18" t="str">
        <f>IFERROR(__xludf.DUMMYFUNCTION("""COMPUTED_VALUE"""),"https://docs.google.com/spreadsheets/d/19THEBTE9q0fhN2eApZr6BgenIvLGh0AckaYxHQfHk5w/edit?gid=923737212#gid=923737212")</f>
        <v>https://docs.google.com/spreadsheets/d/19THEBTE9q0fhN2eApZr6BgenIvLGh0AckaYxHQfHk5w/edit?gid=923737212#gid=923737212</v>
      </c>
      <c r="I690" s="19" t="str">
        <f>IFERROR(__xludf.DUMMYFUNCTION("""COMPUTED_VALUE"""),"https://disk.yandex.ru/client/disk/Осмотры%20объектов%20АНО%20СМГ/179.%20Дубравная%2050%20стр1%20ЗАГС%20Митино")</f>
        <v>https://disk.yandex.ru/client/disk/Осмотры%20объектов%20АНО%20СМГ/179.%20Дубравная%2050%20стр1%20ЗАГС%20Митино</v>
      </c>
      <c r="J690" s="50">
        <f>IFERROR(__xludf.DUMMYFUNCTION("""COMPUTED_VALUE"""),99.992)</f>
        <v>99.992</v>
      </c>
      <c r="K690" s="58">
        <f>IFERROR(__xludf.DUMMYFUNCTION("""COMPUTED_VALUE"""),45943.0)</f>
        <v>45943</v>
      </c>
      <c r="L690" s="6">
        <v>7.0</v>
      </c>
      <c r="M690" s="52">
        <v>45950.0</v>
      </c>
      <c r="N690" s="53" t="s">
        <v>652</v>
      </c>
      <c r="O690" s="19" t="s">
        <v>1075</v>
      </c>
      <c r="P690" s="6"/>
      <c r="Q690" s="6" t="str">
        <f t="shared" si="1"/>
        <v>#N/A</v>
      </c>
      <c r="R690" s="6"/>
    </row>
    <row r="691" hidden="1">
      <c r="A691" s="31" t="str">
        <f>IFERROR(__xludf.DUMMYFUNCTION("""COMPUTED_VALUE"""),"391")</f>
        <v>391</v>
      </c>
      <c r="B691" s="14" t="str">
        <f>IFERROR(__xludf.DUMMYFUNCTION("""COMPUTED_VALUE"""),"РЕН-25")</f>
        <v>РЕН-25</v>
      </c>
      <c r="C691" s="14" t="str">
        <f>IFERROR(__xludf.DUMMYFUNCTION("""COMPUTED_VALUE"""),"ОКС")</f>
        <v>ОКС</v>
      </c>
      <c r="D691" s="6"/>
      <c r="E691" s="14" t="str">
        <f>IFERROR(__xludf.DUMMYFUNCTION("""COMPUTED_VALUE"""),"Героев Панфиловцев ул., вл. 31 район Северное Тушино, Героев Панфиловцев ул., з/у 31")</f>
        <v>Героев Панфиловцев ул., вл. 31 район Северное Тушино, Героев Панфиловцев ул., з/у 31</v>
      </c>
      <c r="F691" s="25" t="str">
        <f>IFERROR(__xludf.DUMMYFUNCTION("""COMPUTED_VALUE"""),"55.856918")</f>
        <v>55.856918</v>
      </c>
      <c r="G691" s="6" t="str">
        <f>IFERROR(__xludf.DUMMYFUNCTION("""COMPUTED_VALUE"""),"37.414790")</f>
        <v>37.414790</v>
      </c>
      <c r="H691" s="18" t="str">
        <f>IFERROR(__xludf.DUMMYFUNCTION("""COMPUTED_VALUE"""),"https://docs.google.com/spreadsheets/d/1H1MjbG2y0oC0hhID4do1G0_gfyI1jag72lQd7nL3WDQ/edit?gid=257429727#gid=257429727")</f>
        <v>https://docs.google.com/spreadsheets/d/1H1MjbG2y0oC0hhID4do1G0_gfyI1jag72lQd7nL3WDQ/edit?gid=257429727#gid=257429727</v>
      </c>
      <c r="I691" s="19" t="str">
        <f>IFERROR(__xludf.DUMMYFUNCTION("""COMPUTED_VALUE"""),"https://disk.yandex.ru/client/disk/Осмотры%20объектов%20АНО%20СМГ/391.%20Героев%20Панфиловцев%2C%2031")</f>
        <v>https://disk.yandex.ru/client/disk/Осмотры%20объектов%20АНО%20СМГ/391.%20Героев%20Панфиловцев%2C%2031</v>
      </c>
      <c r="J691" s="50">
        <f>IFERROR(__xludf.DUMMYFUNCTION("""COMPUTED_VALUE"""),99.967125)</f>
        <v>99.967125</v>
      </c>
      <c r="K691" s="58">
        <f>IFERROR(__xludf.DUMMYFUNCTION("""COMPUTED_VALUE"""),45968.0)</f>
        <v>45968</v>
      </c>
      <c r="L691" s="6">
        <v>7.0</v>
      </c>
      <c r="M691" s="52">
        <v>45975.0</v>
      </c>
      <c r="N691" s="53" t="s">
        <v>652</v>
      </c>
      <c r="O691" s="19" t="s">
        <v>1076</v>
      </c>
      <c r="P691" s="6"/>
      <c r="Q691" s="6" t="str">
        <f t="shared" si="1"/>
        <v>#N/A</v>
      </c>
      <c r="R691" s="6"/>
    </row>
    <row r="692" hidden="1">
      <c r="A692" s="31" t="str">
        <f>IFERROR(__xludf.DUMMYFUNCTION("""COMPUTED_VALUE"""),"466")</f>
        <v>466</v>
      </c>
      <c r="B692" s="14" t="str">
        <f>IFERROR(__xludf.DUMMYFUNCTION("""COMPUTED_VALUE"""),"РЕН-25")</f>
        <v>РЕН-25</v>
      </c>
      <c r="C692" s="14" t="str">
        <f>IFERROR(__xludf.DUMMYFUNCTION("""COMPUTED_VALUE"""),"ОКС")</f>
        <v>ОКС</v>
      </c>
      <c r="D692" s="6"/>
      <c r="E692" s="14" t="str">
        <f>IFERROR(__xludf.DUMMYFUNCTION("""COMPUTED_VALUE"""),"Дмитровское ш., вл. 93, корп. 2 Бескудниковское, Дмитровское шоссе д. 93, корп. 2")</f>
        <v>Дмитровское ш., вл. 93, корп. 2 Бескудниковское, Дмитровское шоссе д. 93, корп. 2</v>
      </c>
      <c r="F692" s="25" t="str">
        <f>IFERROR(__xludf.DUMMYFUNCTION("""COMPUTED_VALUE"""),"55.870387")</f>
        <v>55.870387</v>
      </c>
      <c r="G692" s="6" t="str">
        <f>IFERROR(__xludf.DUMMYFUNCTION("""COMPUTED_VALUE"""),"37.542528")</f>
        <v>37.542528</v>
      </c>
      <c r="H692" s="18" t="str">
        <f>IFERROR(__xludf.DUMMYFUNCTION("""COMPUTED_VALUE"""),"https://docs.google.com/spreadsheets/d/1H1MjbG2y0oC0hhID4do1G0_gfyI1jag72lQd7nL3WDQ/edit?gid=1086247611#gid=1086247611")</f>
        <v>https://docs.google.com/spreadsheets/d/1H1MjbG2y0oC0hhID4do1G0_gfyI1jag72lQd7nL3WDQ/edit?gid=1086247611#gid=1086247611</v>
      </c>
      <c r="I692" s="19" t="str">
        <f>IFERROR(__xludf.DUMMYFUNCTION("""COMPUTED_VALUE"""),"https://disk.yandex.ru/client/disk/Осмотры%20объектов%20АНО%20СМГ/466.%20Дмитровское%20шоссе%2C%20вл.%2093%2C%20корп.2")</f>
        <v>https://disk.yandex.ru/client/disk/Осмотры%20объектов%20АНО%20СМГ/466.%20Дмитровское%20шоссе%2C%20вл.%2093%2C%20корп.2</v>
      </c>
      <c r="J692" s="50">
        <f>IFERROR(__xludf.DUMMYFUNCTION("""COMPUTED_VALUE"""),99.8164)</f>
        <v>99.8164</v>
      </c>
      <c r="K692" s="58">
        <f>IFERROR(__xludf.DUMMYFUNCTION("""COMPUTED_VALUE"""),45943.0)</f>
        <v>45943</v>
      </c>
      <c r="L692" s="6">
        <v>7.0</v>
      </c>
      <c r="M692" s="52">
        <v>45950.0</v>
      </c>
      <c r="N692" s="53" t="s">
        <v>652</v>
      </c>
      <c r="O692" s="19" t="s">
        <v>1077</v>
      </c>
      <c r="P692" s="6"/>
      <c r="Q692" s="6" t="str">
        <f t="shared" si="1"/>
        <v>#N/A</v>
      </c>
      <c r="R692" s="6"/>
    </row>
    <row r="693" hidden="1">
      <c r="A693" s="31" t="str">
        <f>IFERROR(__xludf.DUMMYFUNCTION("""COMPUTED_VALUE"""),"489")</f>
        <v>489</v>
      </c>
      <c r="B693" s="14" t="str">
        <f>IFERROR(__xludf.DUMMYFUNCTION("""COMPUTED_VALUE"""),"РЕН-25")</f>
        <v>РЕН-25</v>
      </c>
      <c r="C693" s="14" t="str">
        <f>IFERROR(__xludf.DUMMYFUNCTION("""COMPUTED_VALUE"""),"ОКС")</f>
        <v>ОКС</v>
      </c>
      <c r="D693" s="6"/>
      <c r="E693" s="14" t="str">
        <f>IFERROR(__xludf.DUMMYFUNCTION("""COMPUTED_VALUE"""),"Спортивная, з/у 1 городской округ Троицк, г. Троицк, ул. Спортивная, з/у 1")</f>
        <v>Спортивная, з/у 1 городской округ Троицк, г. Троицк, ул. Спортивная, з/у 1</v>
      </c>
      <c r="F693" s="25" t="str">
        <f>IFERROR(__xludf.DUMMYFUNCTION("""COMPUTED_VALUE"""),"55.473513")</f>
        <v>55.473513</v>
      </c>
      <c r="G693" s="6" t="str">
        <f>IFERROR(__xludf.DUMMYFUNCTION("""COMPUTED_VALUE"""),"37.304668")</f>
        <v>37.304668</v>
      </c>
      <c r="H693" s="18" t="str">
        <f>IFERROR(__xludf.DUMMYFUNCTION("""COMPUTED_VALUE"""),"https://docs.google.com/spreadsheets/d/1H1MjbG2y0oC0hhID4do1G0_gfyI1jag72lQd7nL3WDQ/edit?gid=1943197822#gid=1943197822")</f>
        <v>https://docs.google.com/spreadsheets/d/1H1MjbG2y0oC0hhID4do1G0_gfyI1jag72lQd7nL3WDQ/edit?gid=1943197822#gid=1943197822</v>
      </c>
      <c r="I693" s="19" t="str">
        <f>IFERROR(__xludf.DUMMYFUNCTION("""COMPUTED_VALUE"""),"https://disk.yandex.ru/client/disk/Осмотры%20объектов%20АНО%20СМГ/489.%20г.о.%20Троицк%2C%20ул.%20Спортивная%2C%20зу%201")</f>
        <v>https://disk.yandex.ru/client/disk/Осмотры%20объектов%20АНО%20СМГ/489.%20г.о.%20Троицк%2C%20ул.%20Спортивная%2C%20зу%201</v>
      </c>
      <c r="J693" s="50">
        <f>IFERROR(__xludf.DUMMYFUNCTION("""COMPUTED_VALUE"""),100.0)</f>
        <v>100</v>
      </c>
      <c r="K693" s="58">
        <f>IFERROR(__xludf.DUMMYFUNCTION("""COMPUTED_VALUE"""),45968.0)</f>
        <v>45968</v>
      </c>
      <c r="L693" s="6" t="s">
        <v>654</v>
      </c>
      <c r="M693" s="52" t="s">
        <v>655</v>
      </c>
      <c r="N693" s="53" t="s">
        <v>656</v>
      </c>
      <c r="O693" s="19" t="s">
        <v>1078</v>
      </c>
      <c r="P693" s="6"/>
      <c r="Q693" s="6" t="str">
        <f t="shared" si="1"/>
        <v>#N/A</v>
      </c>
      <c r="R693" s="6"/>
    </row>
    <row r="694" hidden="1">
      <c r="A694" s="31" t="str">
        <f>IFERROR(__xludf.DUMMYFUNCTION("""COMPUTED_VALUE"""),"493")</f>
        <v>493</v>
      </c>
      <c r="B694" s="14" t="str">
        <f>IFERROR(__xludf.DUMMYFUNCTION("""COMPUTED_VALUE"""),"РЕН-25")</f>
        <v>РЕН-25</v>
      </c>
      <c r="C694" s="14" t="str">
        <f>IFERROR(__xludf.DUMMYFUNCTION("""COMPUTED_VALUE"""),"ОКС")</f>
        <v>ОКС</v>
      </c>
      <c r="D694" s="6"/>
      <c r="E694" s="14" t="str">
        <f>IFERROR(__xludf.DUMMYFUNCTION("""COMPUTED_VALUE"""),"ул. Ремизова, вл. 11, корп. 2 район Котловка, ул. Ремизова, вл. 11, корп. 2")</f>
        <v>ул. Ремизова, вл. 11, корп. 2 район Котловка, ул. Ремизова, вл. 11, корп. 2</v>
      </c>
      <c r="F694" s="25" t="str">
        <f>IFERROR(__xludf.DUMMYFUNCTION("""COMPUTED_VALUE"""),"55.676540")</f>
        <v>55.676540</v>
      </c>
      <c r="G694" s="6" t="str">
        <f>IFERROR(__xludf.DUMMYFUNCTION("""COMPUTED_VALUE"""),"37.602661")</f>
        <v>37.602661</v>
      </c>
      <c r="H694" s="18" t="str">
        <f>IFERROR(__xludf.DUMMYFUNCTION("""COMPUTED_VALUE"""),"https://docs.google.com/spreadsheets/d/1H1MjbG2y0oC0hhID4do1G0_gfyI1jag72lQd7nL3WDQ/edit?gid=598220388#gid=598220388")</f>
        <v>https://docs.google.com/spreadsheets/d/1H1MjbG2y0oC0hhID4do1G0_gfyI1jag72lQd7nL3WDQ/edit?gid=598220388#gid=598220388</v>
      </c>
      <c r="I694" s="19" t="str">
        <f>IFERROR(__xludf.DUMMYFUNCTION("""COMPUTED_VALUE"""),"https://disk.yandex.ru/client/disk/Осмотры%20объектов%20АНО%20СМГ/493.%20Ул.%20Ремизова%2C%20вл.%2011%2C%20к2.%20Жилой%20дом")</f>
        <v>https://disk.yandex.ru/client/disk/Осмотры%20объектов%20АНО%20СМГ/493.%20Ул.%20Ремизова%2C%20вл.%2011%2C%20к2.%20Жилой%20дом</v>
      </c>
      <c r="J694" s="50">
        <f>IFERROR(__xludf.DUMMYFUNCTION("""COMPUTED_VALUE"""),100.0)</f>
        <v>100</v>
      </c>
      <c r="K694" s="58">
        <f>IFERROR(__xludf.DUMMYFUNCTION("""COMPUTED_VALUE"""),45952.0)</f>
        <v>45952</v>
      </c>
      <c r="L694" s="6" t="s">
        <v>654</v>
      </c>
      <c r="M694" s="52" t="s">
        <v>655</v>
      </c>
      <c r="N694" s="53" t="s">
        <v>656</v>
      </c>
      <c r="O694" s="19" t="s">
        <v>1079</v>
      </c>
      <c r="P694" s="6"/>
      <c r="Q694" s="6" t="str">
        <f t="shared" si="1"/>
        <v>#N/A</v>
      </c>
      <c r="R694" s="6"/>
    </row>
    <row r="695" hidden="1">
      <c r="A695" s="31" t="str">
        <f>IFERROR(__xludf.DUMMYFUNCTION("""COMPUTED_VALUE"""),"382")</f>
        <v>382</v>
      </c>
      <c r="B695" s="14" t="str">
        <f>IFERROR(__xludf.DUMMYFUNCTION("""COMPUTED_VALUE"""),"РЕН-25")</f>
        <v>РЕН-25</v>
      </c>
      <c r="C695" s="14" t="str">
        <f>IFERROR(__xludf.DUMMYFUNCTION("""COMPUTED_VALUE"""),"ОКС")</f>
        <v>ОКС</v>
      </c>
      <c r="D695" s="6"/>
      <c r="E695" s="14" t="str">
        <f>IFERROR(__xludf.DUMMYFUNCTION("""COMPUTED_VALUE"""),"ул. Бехтерева, з/у 25/49/1 (ул. Бехтерева, напротив вл. 25/49 (кв. 14, 14Б, корп. 21)) район Царицыно, ул. Бехтерева, з/у 25/49/1 (ул. Бехтерева, напротив вл. 25/49 (кв. 14, 14Б, корп. 21)")</f>
        <v>ул. Бехтерева, з/у 25/49/1 (ул. Бехтерева, напротив вл. 25/49 (кв. 14, 14Б, корп. 21)) район Царицыно, ул. Бехтерева, з/у 25/49/1 (ул. Бехтерева, напротив вл. 25/49 (кв. 14, 14Б, корп. 21)</v>
      </c>
      <c r="F695" s="25" t="str">
        <f>IFERROR(__xludf.DUMMYFUNCTION("""COMPUTED_VALUE"""),"55.627311")</f>
        <v>55.627311</v>
      </c>
      <c r="G695" s="6" t="str">
        <f>IFERROR(__xludf.DUMMYFUNCTION("""COMPUTED_VALUE"""),"37.647872")</f>
        <v>37.647872</v>
      </c>
      <c r="H695" s="18" t="str">
        <f>IFERROR(__xludf.DUMMYFUNCTION("""COMPUTED_VALUE"""),"https://docs.google.com/spreadsheets/d/1H1MjbG2y0oC0hhID4do1G0_gfyI1jag72lQd7nL3WDQ/edit?gid=238235358#gid=238235358")</f>
        <v>https://docs.google.com/spreadsheets/d/1H1MjbG2y0oC0hhID4do1G0_gfyI1jag72lQd7nL3WDQ/edit?gid=238235358#gid=238235358</v>
      </c>
      <c r="I695" s="19" t="str">
        <f>IFERROR(__xludf.DUMMYFUNCTION("""COMPUTED_VALUE"""),"https://disk.yandex.ru/client/disk/Осмотры%20объектов%20АНО%20СМГ/382.%20Жилой%20дом.%20Ул.%20Бехтерева%2C%20з-у%2025-49-1")</f>
        <v>https://disk.yandex.ru/client/disk/Осмотры%20объектов%20АНО%20СМГ/382.%20Жилой%20дом.%20Ул.%20Бехтерева%2C%20з-у%2025-49-1</v>
      </c>
      <c r="J695" s="50">
        <f>IFERROR(__xludf.DUMMYFUNCTION("""COMPUTED_VALUE"""),100.0)</f>
        <v>100</v>
      </c>
      <c r="K695" s="58">
        <f>IFERROR(__xludf.DUMMYFUNCTION("""COMPUTED_VALUE"""),45951.0)</f>
        <v>45951</v>
      </c>
      <c r="L695" s="6" t="s">
        <v>654</v>
      </c>
      <c r="M695" s="52" t="s">
        <v>655</v>
      </c>
      <c r="N695" s="53" t="s">
        <v>656</v>
      </c>
      <c r="O695" s="19" t="s">
        <v>1080</v>
      </c>
      <c r="P695" s="6"/>
      <c r="Q695" s="6" t="str">
        <f t="shared" si="1"/>
        <v>#N/A</v>
      </c>
      <c r="R695" s="6"/>
    </row>
    <row r="696" hidden="1">
      <c r="A696" s="31" t="str">
        <f>IFERROR(__xludf.DUMMYFUNCTION("""COMPUTED_VALUE"""),"500")</f>
        <v>500</v>
      </c>
      <c r="B696" s="14" t="str">
        <f>IFERROR(__xludf.DUMMYFUNCTION("""COMPUTED_VALUE"""),"РЕН-25")</f>
        <v>РЕН-25</v>
      </c>
      <c r="C696" s="14" t="str">
        <f>IFERROR(__xludf.DUMMYFUNCTION("""COMPUTED_VALUE"""),"ОКС")</f>
        <v>ОКС</v>
      </c>
      <c r="D696" s="6"/>
      <c r="E696" s="14" t="str">
        <f>IFERROR(__xludf.DUMMYFUNCTION("""COMPUTED_VALUE"""),"ул. Гарибальди, з/у 17 (участок 1.2) район Обручевский, ул. Гарибальди, з/у 17 (участок 1.2)")</f>
        <v>ул. Гарибальди, з/у 17 (участок 1.2) район Обручевский, ул. Гарибальди, з/у 17 (участок 1.2)</v>
      </c>
      <c r="F696" s="25" t="str">
        <f>IFERROR(__xludf.DUMMYFUNCTION("""COMPUTED_VALUE"""),"55.673727")</f>
        <v>55.673727</v>
      </c>
      <c r="G696" s="6" t="str">
        <f>IFERROR(__xludf.DUMMYFUNCTION("""COMPUTED_VALUE"""),"37.546911")</f>
        <v>37.546911</v>
      </c>
      <c r="H696" s="18" t="str">
        <f>IFERROR(__xludf.DUMMYFUNCTION("""COMPUTED_VALUE"""),"https://docs.google.com/spreadsheets/d/1H1MjbG2y0oC0hhID4do1G0_gfyI1jag72lQd7nL3WDQ/edit?gid=363768853#gid=363768853")</f>
        <v>https://docs.google.com/spreadsheets/d/1H1MjbG2y0oC0hhID4do1G0_gfyI1jag72lQd7nL3WDQ/edit?gid=363768853#gid=363768853</v>
      </c>
      <c r="I696" s="19" t="str">
        <f>IFERROR(__xludf.DUMMYFUNCTION("""COMPUTED_VALUE"""),"https://disk.yandex.ru/client/disk/Осмотры%20объектов%20АНО%20СМГ/500.%20Гарибальди%20з!у%2017%20(участок%201.2)")</f>
        <v>https://disk.yandex.ru/client/disk/Осмотры%20объектов%20АНО%20СМГ/500.%20Гарибальди%20з!у%2017%20(участок%201.2)</v>
      </c>
      <c r="J696" s="50">
        <f>IFERROR(__xludf.DUMMYFUNCTION("""COMPUTED_VALUE"""),100.0)</f>
        <v>100</v>
      </c>
      <c r="K696" s="58">
        <f>IFERROR(__xludf.DUMMYFUNCTION("""COMPUTED_VALUE"""),45952.0)</f>
        <v>45952</v>
      </c>
      <c r="L696" s="6" t="s">
        <v>654</v>
      </c>
      <c r="M696" s="52" t="s">
        <v>655</v>
      </c>
      <c r="N696" s="53" t="s">
        <v>656</v>
      </c>
      <c r="O696" s="19" t="s">
        <v>1081</v>
      </c>
      <c r="P696" s="6"/>
      <c r="Q696" s="6" t="str">
        <f t="shared" si="1"/>
        <v>#N/A</v>
      </c>
      <c r="R696" s="6"/>
    </row>
    <row r="697" hidden="1">
      <c r="A697" s="31" t="str">
        <f>IFERROR(__xludf.DUMMYFUNCTION("""COMPUTED_VALUE"""),"445")</f>
        <v>445</v>
      </c>
      <c r="B697" s="14" t="str">
        <f>IFERROR(__xludf.DUMMYFUNCTION("""COMPUTED_VALUE"""),"РЕН-25")</f>
        <v>РЕН-25</v>
      </c>
      <c r="C697" s="14" t="str">
        <f>IFERROR(__xludf.DUMMYFUNCTION("""COMPUTED_VALUE"""),"ОКС")</f>
        <v>ОКС</v>
      </c>
      <c r="D697" s="6"/>
      <c r="E697" s="14" t="str">
        <f>IFERROR(__xludf.DUMMYFUNCTION("""COMPUTED_VALUE"""),"Оренбургская ул., з/у 4 (Оренбургская ул., вл. 4) район Косино-Ухтомский, Оренбургская ул., вл. 4")</f>
        <v>Оренбургская ул., з/у 4 (Оренбургская ул., вл. 4) район Косино-Ухтомский, Оренбургская ул., вл. 4</v>
      </c>
      <c r="F697" s="25" t="str">
        <f>IFERROR(__xludf.DUMMYFUNCTION("""COMPUTED_VALUE"""),"55.713310")</f>
        <v>55.713310</v>
      </c>
      <c r="G697" s="6" t="str">
        <f>IFERROR(__xludf.DUMMYFUNCTION("""COMPUTED_VALUE"""),"37.856726")</f>
        <v>37.856726</v>
      </c>
      <c r="H697" s="18" t="str">
        <f>IFERROR(__xludf.DUMMYFUNCTION("""COMPUTED_VALUE"""),"https://docs.google.com/spreadsheets/d/1H1MjbG2y0oC0hhID4do1G0_gfyI1jag72lQd7nL3WDQ/edit?gid=1165883041#gid=1165883041")</f>
        <v>https://docs.google.com/spreadsheets/d/1H1MjbG2y0oC0hhID4do1G0_gfyI1jag72lQd7nL3WDQ/edit?gid=1165883041#gid=1165883041</v>
      </c>
      <c r="I697" s="19" t="str">
        <f>IFERROR(__xludf.DUMMYFUNCTION("""COMPUTED_VALUE"""),"https://disk.yandex.ru/client/disk/Осмотры%20объектов%20АНО%20СМГ/445.%20ул.%20Оренбургская%2C%20зу%204%20Район%20Косино-Ухтомский%2C%20Оренбургская%20ул.%2C%20вл.%204")</f>
        <v>https://disk.yandex.ru/client/disk/Осмотры%20объектов%20АНО%20СМГ/445.%20ул.%20Оренбургская%2C%20зу%204%20Район%20Косино-Ухтомский%2C%20Оренбургская%20ул.%2C%20вл.%204</v>
      </c>
      <c r="J697" s="50">
        <f>IFERROR(__xludf.DUMMYFUNCTION("""COMPUTED_VALUE"""),99.9943)</f>
        <v>99.9943</v>
      </c>
      <c r="K697" s="58">
        <f>IFERROR(__xludf.DUMMYFUNCTION("""COMPUTED_VALUE"""),45952.0)</f>
        <v>45952</v>
      </c>
      <c r="L697" s="6">
        <v>7.0</v>
      </c>
      <c r="M697" s="52">
        <v>45959.0</v>
      </c>
      <c r="N697" s="53" t="s">
        <v>652</v>
      </c>
      <c r="O697" s="19" t="s">
        <v>1082</v>
      </c>
      <c r="P697" s="6"/>
      <c r="Q697" s="6" t="str">
        <f t="shared" si="1"/>
        <v>#N/A</v>
      </c>
      <c r="R697" s="6"/>
    </row>
    <row r="698" hidden="1">
      <c r="A698" s="31" t="str">
        <f>IFERROR(__xludf.DUMMYFUNCTION("""COMPUTED_VALUE"""),"473")</f>
        <v>473</v>
      </c>
      <c r="B698" s="14" t="str">
        <f>IFERROR(__xludf.DUMMYFUNCTION("""COMPUTED_VALUE"""),"РЕН-25")</f>
        <v>РЕН-25</v>
      </c>
      <c r="C698" s="14" t="str">
        <f>IFERROR(__xludf.DUMMYFUNCTION("""COMPUTED_VALUE"""),"ОКС")</f>
        <v>ОКС</v>
      </c>
      <c r="D698" s="6"/>
      <c r="E698" s="14" t="str">
        <f>IFERROR(__xludf.DUMMYFUNCTION("""COMPUTED_VALUE"""),"ул. Заречная, вл. 5 район Филевский Парк , ул. Заречная, вл. 5")</f>
        <v>ул. Заречная, вл. 5 район Филевский Парк , ул. Заречная, вл. 5</v>
      </c>
      <c r="F698" s="25" t="str">
        <f>IFERROR(__xludf.DUMMYFUNCTION("""COMPUTED_VALUE"""),"55.753985")</f>
        <v>55.753985</v>
      </c>
      <c r="G698" s="6" t="str">
        <f>IFERROR(__xludf.DUMMYFUNCTION("""COMPUTED_VALUE"""),"37.508670")</f>
        <v>37.508670</v>
      </c>
      <c r="H698" s="18" t="str">
        <f>IFERROR(__xludf.DUMMYFUNCTION("""COMPUTED_VALUE"""),"https://docs.google.com/spreadsheets/d/1H1MjbG2y0oC0hhID4do1G0_gfyI1jag72lQd7nL3WDQ/edit?gid=173783422#gid=173783422")</f>
        <v>https://docs.google.com/spreadsheets/d/1H1MjbG2y0oC0hhID4do1G0_gfyI1jag72lQd7nL3WDQ/edit?gid=173783422#gid=173783422</v>
      </c>
      <c r="I698" s="19" t="str">
        <f>IFERROR(__xludf.DUMMYFUNCTION("""COMPUTED_VALUE"""),"https://disk.yandex.ru/client/disk/Осмотры%20объектов%20АНО%20СМГ/473.%20Жилой%20дом%20Заречная%20д.%205")</f>
        <v>https://disk.yandex.ru/client/disk/Осмотры%20объектов%20АНО%20СМГ/473.%20Жилой%20дом%20Заречная%20д.%205</v>
      </c>
      <c r="J698" s="50">
        <f>IFERROR(__xludf.DUMMYFUNCTION("""COMPUTED_VALUE"""),100.0)</f>
        <v>100</v>
      </c>
      <c r="K698" s="58">
        <f>IFERROR(__xludf.DUMMYFUNCTION("""COMPUTED_VALUE"""),45952.0)</f>
        <v>45952</v>
      </c>
      <c r="L698" s="6" t="s">
        <v>654</v>
      </c>
      <c r="M698" s="52" t="s">
        <v>655</v>
      </c>
      <c r="N698" s="53" t="s">
        <v>656</v>
      </c>
      <c r="O698" s="19" t="s">
        <v>1083</v>
      </c>
      <c r="P698" s="6"/>
      <c r="Q698" s="6" t="str">
        <f t="shared" si="1"/>
        <v>#N/A</v>
      </c>
      <c r="R698" s="6"/>
    </row>
    <row r="699" hidden="1">
      <c r="A699" s="31" t="str">
        <f>IFERROR(__xludf.DUMMYFUNCTION("""COMPUTED_VALUE"""),"530")</f>
        <v>530</v>
      </c>
      <c r="B699" s="14" t="str">
        <f>IFERROR(__xludf.DUMMYFUNCTION("""COMPUTED_VALUE"""),"РЕН-25")</f>
        <v>РЕН-25</v>
      </c>
      <c r="C699" s="14" t="str">
        <f>IFERROR(__xludf.DUMMYFUNCTION("""COMPUTED_VALUE"""),"ОКС")</f>
        <v>ОКС</v>
      </c>
      <c r="D699" s="6"/>
      <c r="E699" s="14" t="str">
        <f>IFERROR(__xludf.DUMMYFUNCTION("""COMPUTED_VALUE"""),"Тайнинская ул., з/у 11 (вл. 11) район Лосиноостровский, ул. Тайнинская, земельный участок 11 (ул. Тайнинская, вл. 11)")</f>
        <v>Тайнинская ул., з/у 11 (вл. 11) район Лосиноостровский, ул. Тайнинская, земельный участок 11 (ул. Тайнинская, вл. 11)</v>
      </c>
      <c r="F699" s="25" t="str">
        <f>IFERROR(__xludf.DUMMYFUNCTION("""COMPUTED_VALUE"""),"55.883040")</f>
        <v>55.883040</v>
      </c>
      <c r="G699" s="6" t="str">
        <f>IFERROR(__xludf.DUMMYFUNCTION("""COMPUTED_VALUE"""),"37.684847")</f>
        <v>37.684847</v>
      </c>
      <c r="H699" s="18" t="str">
        <f>IFERROR(__xludf.DUMMYFUNCTION("""COMPUTED_VALUE"""),"https://docs.google.com/spreadsheets/d/1H1MjbG2y0oC0hhID4do1G0_gfyI1jag72lQd7nL3WDQ/edit?gid=1413670863#gid=1413670863")</f>
        <v>https://docs.google.com/spreadsheets/d/1H1MjbG2y0oC0hhID4do1G0_gfyI1jag72lQd7nL3WDQ/edit?gid=1413670863#gid=1413670863</v>
      </c>
      <c r="I699" s="19" t="str">
        <f>IFERROR(__xludf.DUMMYFUNCTION("""COMPUTED_VALUE"""),"https://disk.yandex.ru/client/disk/Осмотры%20объектов%20АНО%20СМГ/530.%20ул.%20Тайнинская%2C%20вл.%2011")</f>
        <v>https://disk.yandex.ru/client/disk/Осмотры%20объектов%20АНО%20СМГ/530.%20ул.%20Тайнинская%2C%20вл.%2011</v>
      </c>
      <c r="J699" s="50">
        <f>IFERROR(__xludf.DUMMYFUNCTION("""COMPUTED_VALUE"""),99.81671999999999)</f>
        <v>99.81672</v>
      </c>
      <c r="K699" s="58">
        <f>IFERROR(__xludf.DUMMYFUNCTION("""COMPUTED_VALUE"""),45952.0)</f>
        <v>45952</v>
      </c>
      <c r="L699" s="6">
        <v>7.0</v>
      </c>
      <c r="M699" s="52">
        <v>45959.0</v>
      </c>
      <c r="N699" s="53" t="s">
        <v>652</v>
      </c>
      <c r="O699" s="19" t="s">
        <v>1084</v>
      </c>
      <c r="P699" s="6"/>
      <c r="Q699" s="6" t="str">
        <f t="shared" si="1"/>
        <v>#N/A</v>
      </c>
      <c r="R699" s="6"/>
    </row>
    <row r="700" hidden="1">
      <c r="A700" s="31" t="str">
        <f>IFERROR(__xludf.DUMMYFUNCTION("""COMPUTED_VALUE"""),"810")</f>
        <v>810</v>
      </c>
      <c r="B700" s="14" t="str">
        <f>IFERROR(__xludf.DUMMYFUNCTION("""COMPUTED_VALUE"""),"РЕН-25")</f>
        <v>РЕН-25</v>
      </c>
      <c r="C700" s="14" t="str">
        <f>IFERROR(__xludf.DUMMYFUNCTION("""COMPUTED_VALUE"""),"ОКС")</f>
        <v>ОКС</v>
      </c>
      <c r="D700" s="6"/>
      <c r="E700" s="14" t="str">
        <f>IFERROR(__xludf.DUMMYFUNCTION("""COMPUTED_VALUE"""),"Чечёрский пр-д, з/у 28/2 (Чечерский пр-д, вл. 28) Южное Бутово, Чечёрский проезд, земельный участок 28/2 (Чечерский пр-д, вл. 28)")</f>
        <v>Чечёрский пр-д, з/у 28/2 (Чечерский пр-д, вл. 28) Южное Бутово, Чечёрский проезд, земельный участок 28/2 (Чечерский пр-д, вл. 28)</v>
      </c>
      <c r="F700" s="25" t="str">
        <f>IFERROR(__xludf.DUMMYFUNCTION("""COMPUTED_VALUE"""),"55.535987")</f>
        <v>55.535987</v>
      </c>
      <c r="G700" s="6" t="str">
        <f>IFERROR(__xludf.DUMMYFUNCTION("""COMPUTED_VALUE"""),"37.538589")</f>
        <v>37.538589</v>
      </c>
      <c r="H700" s="18" t="str">
        <f>IFERROR(__xludf.DUMMYFUNCTION("""COMPUTED_VALUE"""),"https://docs.google.com/spreadsheets/d/1H1MjbG2y0oC0hhID4do1G0_gfyI1jag72lQd7nL3WDQ/edit?gid=325961003#gid=325961003")</f>
        <v>https://docs.google.com/spreadsheets/d/1H1MjbG2y0oC0hhID4do1G0_gfyI1jag72lQd7nL3WDQ/edit?gid=325961003#gid=325961003</v>
      </c>
      <c r="I700" s="19" t="str">
        <f>IFERROR(__xludf.DUMMYFUNCTION("""COMPUTED_VALUE"""),"https://disk.yandex.ru/client/disk/Осмотры%20объектов%20АНО%20СМГ/810.%20Чечерский%20проезд%2028%20ЖК%20реновация%20ГП%20СУ%20214")</f>
        <v>https://disk.yandex.ru/client/disk/Осмотры%20объектов%20АНО%20СМГ/810.%20Чечерский%20проезд%2028%20ЖК%20реновация%20ГП%20СУ%20214</v>
      </c>
      <c r="J700" s="50">
        <f>IFERROR(__xludf.DUMMYFUNCTION("""COMPUTED_VALUE"""),100.0)</f>
        <v>100</v>
      </c>
      <c r="K700" s="58">
        <f>IFERROR(__xludf.DUMMYFUNCTION("""COMPUTED_VALUE"""),45968.0)</f>
        <v>45968</v>
      </c>
      <c r="L700" s="6" t="s">
        <v>654</v>
      </c>
      <c r="M700" s="52" t="s">
        <v>655</v>
      </c>
      <c r="N700" s="53" t="s">
        <v>656</v>
      </c>
      <c r="O700" s="19" t="s">
        <v>1085</v>
      </c>
      <c r="P700" s="6"/>
      <c r="Q700" s="6" t="str">
        <f t="shared" si="1"/>
        <v>#N/A</v>
      </c>
      <c r="R700" s="6"/>
    </row>
    <row r="701" hidden="1">
      <c r="A701" s="31" t="str">
        <f>IFERROR(__xludf.DUMMYFUNCTION("""COMPUTED_VALUE"""),"482")</f>
        <v>482</v>
      </c>
      <c r="B701" s="14" t="str">
        <f>IFERROR(__xludf.DUMMYFUNCTION("""COMPUTED_VALUE"""),"РЕН-25")</f>
        <v>РЕН-25</v>
      </c>
      <c r="C701" s="14" t="str">
        <f>IFERROR(__xludf.DUMMYFUNCTION("""COMPUTED_VALUE"""),"ОКС")</f>
        <v>ОКС</v>
      </c>
      <c r="D701" s="6"/>
      <c r="E701" s="14" t="str">
        <f>IFERROR(__xludf.DUMMYFUNCTION("""COMPUTED_VALUE"""),"пр-д Шокальского, з/у 28А/1 (пр-д Шокальского, влд. 28А) район Северное Медведково, Шокальского пр-д, з/у 28 А/1
 (Шокальского пр-д, вл.28А)")</f>
        <v>пр-д Шокальского, з/у 28А/1 (пр-д Шокальского, влд. 28А) район Северное Медведково, Шокальского пр-д, з/у 28 А/1
 (Шокальского пр-д, вл.28А)</v>
      </c>
      <c r="F701" s="25" t="str">
        <f>IFERROR(__xludf.DUMMYFUNCTION("""COMPUTED_VALUE"""),"55.878758")</f>
        <v>55.878758</v>
      </c>
      <c r="G701" s="6" t="str">
        <f>IFERROR(__xludf.DUMMYFUNCTION("""COMPUTED_VALUE"""),"37.650505")</f>
        <v>37.650505</v>
      </c>
      <c r="H701" s="18" t="str">
        <f>IFERROR(__xludf.DUMMYFUNCTION("""COMPUTED_VALUE"""),"https://docs.google.com/spreadsheets/d/1H1MjbG2y0oC0hhID4do1G0_gfyI1jag72lQd7nL3WDQ/edit?gid=291002696#gid=291002696")</f>
        <v>https://docs.google.com/spreadsheets/d/1H1MjbG2y0oC0hhID4do1G0_gfyI1jag72lQd7nL3WDQ/edit?gid=291002696#gid=291002696</v>
      </c>
      <c r="I701" s="19" t="str">
        <f>IFERROR(__xludf.DUMMYFUNCTION("""COMPUTED_VALUE"""),"https://disk.yandex.ru/client/disk/Осмотры%20объектов%20АНО%20СМГ/482.%20Проезд%20Шокальского%2C%20влд.%2028")</f>
        <v>https://disk.yandex.ru/client/disk/Осмотры%20объектов%20АНО%20СМГ/482.%20Проезд%20Шокальского%2C%20влд.%2028</v>
      </c>
      <c r="J701" s="50">
        <f>IFERROR(__xludf.DUMMYFUNCTION("""COMPUTED_VALUE"""),99.99525)</f>
        <v>99.99525</v>
      </c>
      <c r="K701" s="58">
        <f>IFERROR(__xludf.DUMMYFUNCTION("""COMPUTED_VALUE"""),45952.0)</f>
        <v>45952</v>
      </c>
      <c r="L701" s="6">
        <v>7.0</v>
      </c>
      <c r="M701" s="52">
        <v>45959.0</v>
      </c>
      <c r="N701" s="53" t="s">
        <v>652</v>
      </c>
      <c r="O701" s="19" t="s">
        <v>1086</v>
      </c>
      <c r="P701" s="6"/>
      <c r="Q701" s="6" t="str">
        <f t="shared" si="1"/>
        <v>#N/A</v>
      </c>
      <c r="R701" s="6"/>
    </row>
    <row r="702" hidden="1">
      <c r="A702" s="31" t="str">
        <f>IFERROR(__xludf.DUMMYFUNCTION("""COMPUTED_VALUE"""),"435")</f>
        <v>435</v>
      </c>
      <c r="B702" s="14" t="str">
        <f>IFERROR(__xludf.DUMMYFUNCTION("""COMPUTED_VALUE"""),"РЕН-25")</f>
        <v>РЕН-25</v>
      </c>
      <c r="C702" s="14" t="str">
        <f>IFERROR(__xludf.DUMMYFUNCTION("""COMPUTED_VALUE"""),"ОКС")</f>
        <v>ОКС</v>
      </c>
      <c r="D702" s="6"/>
      <c r="E702" s="14" t="str">
        <f>IFERROR(__xludf.DUMMYFUNCTION("""COMPUTED_VALUE"""),"Верхние Поля ул., вл. 19 район Люблино, ул. Краснодонская, д. 50 (Верхние Поля ул., вл.19) (8 сек)")</f>
        <v>Верхние Поля ул., вл. 19 район Люблино, ул. Краснодонская, д. 50 (Верхние Поля ул., вл.19) (8 сек)</v>
      </c>
      <c r="F702" s="25" t="str">
        <f>IFERROR(__xludf.DUMMYFUNCTION("""COMPUTED_VALUE"""),"55.667000")</f>
        <v>55.667000</v>
      </c>
      <c r="G702" s="6" t="str">
        <f>IFERROR(__xludf.DUMMYFUNCTION("""COMPUTED_VALUE"""),"37.750918")</f>
        <v>37.750918</v>
      </c>
      <c r="H702" s="18" t="str">
        <f>IFERROR(__xludf.DUMMYFUNCTION("""COMPUTED_VALUE"""),"https://docs.google.com/spreadsheets/d/1H1MjbG2y0oC0hhID4do1G0_gfyI1jag72lQd7nL3WDQ/edit?gid=1610263298#gid=1610263298")</f>
        <v>https://docs.google.com/spreadsheets/d/1H1MjbG2y0oC0hhID4do1G0_gfyI1jag72lQd7nL3WDQ/edit?gid=1610263298#gid=1610263298</v>
      </c>
      <c r="I702" s="19" t="str">
        <f>IFERROR(__xludf.DUMMYFUNCTION("""COMPUTED_VALUE"""),"https://disk.yandex.ru/client/disk/Осмотры%20объектов%20АНО%20СМГ/435.%20Люблино%2C%20Верхние%20Поля%20ул.%2C%20вл.%2019")</f>
        <v>https://disk.yandex.ru/client/disk/Осмотры%20объектов%20АНО%20СМГ/435.%20Люблино%2C%20Верхние%20Поля%20ул.%2C%20вл.%2019</v>
      </c>
      <c r="J702" s="50">
        <f>IFERROR(__xludf.DUMMYFUNCTION("""COMPUTED_VALUE"""),99.917)</f>
        <v>99.917</v>
      </c>
      <c r="K702" s="58">
        <f>IFERROR(__xludf.DUMMYFUNCTION("""COMPUTED_VALUE"""),45947.0)</f>
        <v>45947</v>
      </c>
      <c r="L702" s="6">
        <v>7.0</v>
      </c>
      <c r="M702" s="52">
        <v>45954.0</v>
      </c>
      <c r="N702" s="53" t="s">
        <v>652</v>
      </c>
      <c r="O702" s="19" t="s">
        <v>1087</v>
      </c>
      <c r="P702" s="6"/>
      <c r="Q702" s="6" t="str">
        <f t="shared" si="1"/>
        <v>#N/A</v>
      </c>
      <c r="R702" s="6"/>
    </row>
    <row r="703" hidden="1">
      <c r="A703" s="31" t="str">
        <f>IFERROR(__xludf.DUMMYFUNCTION("""COMPUTED_VALUE"""),"509")</f>
        <v>509</v>
      </c>
      <c r="B703" s="14" t="str">
        <f>IFERROR(__xludf.DUMMYFUNCTION("""COMPUTED_VALUE"""),"РЕН-25")</f>
        <v>РЕН-25</v>
      </c>
      <c r="C703" s="14" t="str">
        <f>IFERROR(__xludf.DUMMYFUNCTION("""COMPUTED_VALUE"""),"ОКС")</f>
        <v>ОКС</v>
      </c>
      <c r="D703" s="6"/>
      <c r="E703" s="14" t="str">
        <f>IFERROR(__xludf.DUMMYFUNCTION("""COMPUTED_VALUE"""),"Бочкова ул., з/у 11А/1 (вл. 11А) район Останкинский, ул. Бочкова, земельный участок 11А/1")</f>
        <v>Бочкова ул., з/у 11А/1 (вл. 11А) район Останкинский, ул. Бочкова, земельный участок 11А/1</v>
      </c>
      <c r="F703" s="25" t="str">
        <f>IFERROR(__xludf.DUMMYFUNCTION("""COMPUTED_VALUE"""),"55.808625")</f>
        <v>55.808625</v>
      </c>
      <c r="G703" s="6" t="str">
        <f>IFERROR(__xludf.DUMMYFUNCTION("""COMPUTED_VALUE"""),"37.626171")</f>
        <v>37.626171</v>
      </c>
      <c r="H703" s="18" t="str">
        <f>IFERROR(__xludf.DUMMYFUNCTION("""COMPUTED_VALUE"""),"https://docs.google.com/spreadsheets/d/1H1MjbG2y0oC0hhID4do1G0_gfyI1jag72lQd7nL3WDQ/edit?gid=1334279003#gid=1334279003")</f>
        <v>https://docs.google.com/spreadsheets/d/1H1MjbG2y0oC0hhID4do1G0_gfyI1jag72lQd7nL3WDQ/edit?gid=1334279003#gid=1334279003</v>
      </c>
      <c r="I703" s="19" t="str">
        <f>IFERROR(__xludf.DUMMYFUNCTION("""COMPUTED_VALUE"""),"https://disk.yandex.ru/client/disk/Осмотры%20объектов%20АНО%20СМГ/509.%20Бочкова%20ул.%2C%20зу%2011А-1")</f>
        <v>https://disk.yandex.ru/client/disk/Осмотры%20объектов%20АНО%20СМГ/509.%20Бочкова%20ул.%2C%20зу%2011А-1</v>
      </c>
      <c r="J703" s="50">
        <f>IFERROR(__xludf.DUMMYFUNCTION("""COMPUTED_VALUE"""),99.81537)</f>
        <v>99.81537</v>
      </c>
      <c r="K703" s="58">
        <f>IFERROR(__xludf.DUMMYFUNCTION("""COMPUTED_VALUE"""),45954.0)</f>
        <v>45954</v>
      </c>
      <c r="L703" s="6">
        <v>7.0</v>
      </c>
      <c r="M703" s="52">
        <v>45961.0</v>
      </c>
      <c r="N703" s="53" t="s">
        <v>652</v>
      </c>
      <c r="O703" s="19" t="s">
        <v>1088</v>
      </c>
      <c r="P703" s="6"/>
      <c r="Q703" s="6" t="str">
        <f t="shared" si="1"/>
        <v>#N/A</v>
      </c>
      <c r="R703" s="6"/>
    </row>
    <row r="704" hidden="1">
      <c r="A704" s="31" t="str">
        <f>IFERROR(__xludf.DUMMYFUNCTION("""COMPUTED_VALUE"""),"452")</f>
        <v>452</v>
      </c>
      <c r="B704" s="14" t="str">
        <f>IFERROR(__xludf.DUMMYFUNCTION("""COMPUTED_VALUE"""),"РЕН-25")</f>
        <v>РЕН-25</v>
      </c>
      <c r="C704" s="14" t="str">
        <f>IFERROR(__xludf.DUMMYFUNCTION("""COMPUTED_VALUE"""),"ОКС")</f>
        <v>ОКС</v>
      </c>
      <c r="D704" s="6"/>
      <c r="E704" s="14" t="str">
        <f>IFERROR(__xludf.DUMMYFUNCTION("""COMPUTED_VALUE"""),"Ташкентская ул., з/у 29 (зона 2.1, ЖУ-7) Выхино-Жулебино, Ташкентская, з/у 29/1 мкр.137-138, зона № 2.1")</f>
        <v>Ташкентская ул., з/у 29 (зона 2.1, ЖУ-7) Выхино-Жулебино, Ташкентская, з/у 29/1 мкр.137-138, зона № 2.1</v>
      </c>
      <c r="F704" s="25" t="str">
        <f>IFERROR(__xludf.DUMMYFUNCTION("""COMPUTED_VALUE"""),"55.698135")</f>
        <v>55.698135</v>
      </c>
      <c r="G704" s="6" t="str">
        <f>IFERROR(__xludf.DUMMYFUNCTION("""COMPUTED_VALUE"""),"37.808807")</f>
        <v>37.808807</v>
      </c>
      <c r="H704" s="18" t="str">
        <f>IFERROR(__xludf.DUMMYFUNCTION("""COMPUTED_VALUE"""),"https://docs.google.com/spreadsheets/d/1H1MjbG2y0oC0hhID4do1G0_gfyI1jag72lQd7nL3WDQ/edit?gid=1608828847#gid=1608828847")</f>
        <v>https://docs.google.com/spreadsheets/d/1H1MjbG2y0oC0hhID4do1G0_gfyI1jag72lQd7nL3WDQ/edit?gid=1608828847#gid=1608828847</v>
      </c>
      <c r="I704" s="19" t="str">
        <f>IFERROR(__xludf.DUMMYFUNCTION("""COMPUTED_VALUE"""),"https://disk.yandex.ru/client/disk/Осмотры%20объектов%20АНО%20СМГ/452.%20Выхино-Жулебино%2C%20Ташкентская%2C%20з.у.%2029_1")</f>
        <v>https://disk.yandex.ru/client/disk/Осмотры%20объектов%20АНО%20СМГ/452.%20Выхино-Жулебино%2C%20Ташкентская%2C%20з.у.%2029_1</v>
      </c>
      <c r="J704" s="50">
        <f>IFERROR(__xludf.DUMMYFUNCTION("""COMPUTED_VALUE"""),100.0)</f>
        <v>100</v>
      </c>
      <c r="K704" s="58">
        <f>IFERROR(__xludf.DUMMYFUNCTION("""COMPUTED_VALUE"""),45952.0)</f>
        <v>45952</v>
      </c>
      <c r="L704" s="6" t="s">
        <v>654</v>
      </c>
      <c r="M704" s="52" t="s">
        <v>655</v>
      </c>
      <c r="N704" s="53" t="s">
        <v>656</v>
      </c>
      <c r="O704" s="19" t="s">
        <v>1089</v>
      </c>
      <c r="P704" s="6"/>
      <c r="Q704" s="6" t="str">
        <f t="shared" si="1"/>
        <v>#N/A</v>
      </c>
      <c r="R704" s="6"/>
    </row>
    <row r="705" hidden="1">
      <c r="A705" s="31" t="str">
        <f>IFERROR(__xludf.DUMMYFUNCTION("""COMPUTED_VALUE"""),"516")</f>
        <v>516</v>
      </c>
      <c r="B705" s="14" t="str">
        <f>IFERROR(__xludf.DUMMYFUNCTION("""COMPUTED_VALUE"""),"РЕН-25")</f>
        <v>РЕН-25</v>
      </c>
      <c r="C705" s="14" t="str">
        <f>IFERROR(__xludf.DUMMYFUNCTION("""COMPUTED_VALUE"""),"ОКС")</f>
        <v>ОКС</v>
      </c>
      <c r="D705" s="6"/>
      <c r="E705" s="14" t="str">
        <f>IFERROR(__xludf.DUMMYFUNCTION("""COMPUTED_VALUE"""),"Илимская ул., з/у 5 район Лианозово, ул. Илимская, з/у 5")</f>
        <v>Илимская ул., з/у 5 район Лианозово, ул. Илимская, з/у 5</v>
      </c>
      <c r="F705" s="25" t="str">
        <f>IFERROR(__xludf.DUMMYFUNCTION("""COMPUTED_VALUE"""),"55.889160")</f>
        <v>55.889160</v>
      </c>
      <c r="G705" s="6" t="str">
        <f>IFERROR(__xludf.DUMMYFUNCTION("""COMPUTED_VALUE"""),"37.580751")</f>
        <v>37.580751</v>
      </c>
      <c r="H705" s="18" t="str">
        <f>IFERROR(__xludf.DUMMYFUNCTION("""COMPUTED_VALUE"""),"https://docs.google.com/spreadsheets/d/1H1MjbG2y0oC0hhID4do1G0_gfyI1jag72lQd7nL3WDQ/edit?gid=1390124130#gid=1390124130")</f>
        <v>https://docs.google.com/spreadsheets/d/1H1MjbG2y0oC0hhID4do1G0_gfyI1jag72lQd7nL3WDQ/edit?gid=1390124130#gid=1390124130</v>
      </c>
      <c r="I705" s="19" t="str">
        <f>IFERROR(__xludf.DUMMYFUNCTION("""COMPUTED_VALUE"""),"https://disk.yandex.ru/client/disk/Осмотры%20объектов%20АНО%20СМГ/516%20Илимская%20вл%205")</f>
        <v>https://disk.yandex.ru/client/disk/Осмотры%20объектов%20АНО%20СМГ/516%20Илимская%20вл%205</v>
      </c>
      <c r="J705" s="50">
        <f>IFERROR(__xludf.DUMMYFUNCTION("""COMPUTED_VALUE"""),100.0)</f>
        <v>100</v>
      </c>
      <c r="K705" s="58">
        <f>IFERROR(__xludf.DUMMYFUNCTION("""COMPUTED_VALUE"""),45968.0)</f>
        <v>45968</v>
      </c>
      <c r="L705" s="6" t="s">
        <v>654</v>
      </c>
      <c r="M705" s="52" t="s">
        <v>655</v>
      </c>
      <c r="N705" s="53" t="s">
        <v>656</v>
      </c>
      <c r="O705" s="19" t="s">
        <v>1090</v>
      </c>
      <c r="P705" s="6"/>
      <c r="Q705" s="6" t="str">
        <f t="shared" si="1"/>
        <v>#N/A</v>
      </c>
      <c r="R705" s="6"/>
    </row>
    <row r="706" hidden="1">
      <c r="A706" s="31" t="str">
        <f>IFERROR(__xludf.DUMMYFUNCTION("""COMPUTED_VALUE"""),"497")</f>
        <v>497</v>
      </c>
      <c r="B706" s="14" t="str">
        <f>IFERROR(__xludf.DUMMYFUNCTION("""COMPUTED_VALUE"""),"РЕН-25")</f>
        <v>РЕН-25</v>
      </c>
      <c r="C706" s="14" t="str">
        <f>IFERROR(__xludf.DUMMYFUNCTION("""COMPUTED_VALUE"""),"ОКС")</f>
        <v>ОКС</v>
      </c>
      <c r="D706" s="6"/>
      <c r="E706" s="14" t="str">
        <f>IFERROR(__xludf.DUMMYFUNCTION("""COMPUTED_VALUE"""),"ул. Родниковая, влд. 4/1 район Солнцево, ул. Родниковая, д. 4А")</f>
        <v>ул. Родниковая, влд. 4/1 район Солнцево, ул. Родниковая, д. 4А</v>
      </c>
      <c r="F706" s="25" t="str">
        <f>IFERROR(__xludf.DUMMYFUNCTION("""COMPUTED_VALUE"""),"55.639494")</f>
        <v>55.639494</v>
      </c>
      <c r="G706" s="6" t="str">
        <f>IFERROR(__xludf.DUMMYFUNCTION("""COMPUTED_VALUE"""),"37.377424")</f>
        <v>37.377424</v>
      </c>
      <c r="H706" s="18" t="str">
        <f>IFERROR(__xludf.DUMMYFUNCTION("""COMPUTED_VALUE"""),"https://docs.google.com/spreadsheets/d/1H1MjbG2y0oC0hhID4do1G0_gfyI1jag72lQd7nL3WDQ/edit?gid=1190352531#gid=1190352531")</f>
        <v>https://docs.google.com/spreadsheets/d/1H1MjbG2y0oC0hhID4do1G0_gfyI1jag72lQd7nL3WDQ/edit?gid=1190352531#gid=1190352531</v>
      </c>
      <c r="I706" s="19" t="str">
        <f>IFERROR(__xludf.DUMMYFUNCTION("""COMPUTED_VALUE"""),"https://disk.yandex.ru/client/disk/Осмотры%20объектов%20АНО%20СМГ/497.%20Солнцево%2C%20Родниковая%20ул.%2C%C2%A0%20д.%204-1")</f>
        <v>https://disk.yandex.ru/client/disk/Осмотры%20объектов%20АНО%20СМГ/497.%20Солнцево%2C%20Родниковая%20ул.%2C%C2%A0%20д.%204-1</v>
      </c>
      <c r="J706" s="50">
        <f>IFERROR(__xludf.DUMMYFUNCTION("""COMPUTED_VALUE"""),96.05865)</f>
        <v>96.05865</v>
      </c>
      <c r="K706" s="58">
        <f>IFERROR(__xludf.DUMMYFUNCTION("""COMPUTED_VALUE"""),45952.0)</f>
        <v>45952</v>
      </c>
      <c r="L706" s="6">
        <v>7.0</v>
      </c>
      <c r="M706" s="52">
        <v>45959.0</v>
      </c>
      <c r="N706" s="53" t="s">
        <v>652</v>
      </c>
      <c r="O706" s="19" t="s">
        <v>1091</v>
      </c>
      <c r="P706" s="6"/>
      <c r="Q706" s="6" t="str">
        <f t="shared" si="1"/>
        <v>#N/A</v>
      </c>
      <c r="R706" s="6"/>
    </row>
    <row r="707" hidden="1">
      <c r="A707" s="31" t="str">
        <f>IFERROR(__xludf.DUMMYFUNCTION("""COMPUTED_VALUE"""),"389")</f>
        <v>389</v>
      </c>
      <c r="B707" s="14" t="str">
        <f>IFERROR(__xludf.DUMMYFUNCTION("""COMPUTED_VALUE"""),"РЕН-25")</f>
        <v>РЕН-25</v>
      </c>
      <c r="C707" s="14" t="str">
        <f>IFERROR(__xludf.DUMMYFUNCTION("""COMPUTED_VALUE"""),"ОКС")</f>
        <v>ОКС</v>
      </c>
      <c r="D707" s="6"/>
      <c r="E707" s="14" t="str">
        <f>IFERROR(__xludf.DUMMYFUNCTION("""COMPUTED_VALUE"""),"пр-д Черепановых., влд. 56А район Коптево, проезд Черепановых, вл. 56А")</f>
        <v>пр-д Черепановых., влд. 56А район Коптево, проезд Черепановых, вл. 56А</v>
      </c>
      <c r="F707" s="25" t="str">
        <f>IFERROR(__xludf.DUMMYFUNCTION("""COMPUTED_VALUE"""),"55.843565")</f>
        <v>55.843565</v>
      </c>
      <c r="G707" s="6" t="str">
        <f>IFERROR(__xludf.DUMMYFUNCTION("""COMPUTED_VALUE"""),"37.540875")</f>
        <v>37.540875</v>
      </c>
      <c r="H707" s="18" t="str">
        <f>IFERROR(__xludf.DUMMYFUNCTION("""COMPUTED_VALUE"""),"https://docs.google.com/spreadsheets/d/1H1MjbG2y0oC0hhID4do1G0_gfyI1jag72lQd7nL3WDQ/edit?gid=828728965#gid=828728965")</f>
        <v>https://docs.google.com/spreadsheets/d/1H1MjbG2y0oC0hhID4do1G0_gfyI1jag72lQd7nL3WDQ/edit?gid=828728965#gid=828728965</v>
      </c>
      <c r="I707" s="19" t="str">
        <f>IFERROR(__xludf.DUMMYFUNCTION("""COMPUTED_VALUE"""),"https://disk.yandex.ru/client/disk/Осмотры%20объектов%20АНО%20СМГ/389.%20Черепановых%20проезд%2056А")</f>
        <v>https://disk.yandex.ru/client/disk/Осмотры%20объектов%20АНО%20СМГ/389.%20Черепановых%20проезд%2056А</v>
      </c>
      <c r="J707" s="50">
        <f>IFERROR(__xludf.DUMMYFUNCTION("""COMPUTED_VALUE"""),85.33571499999998)</f>
        <v>85.335715</v>
      </c>
      <c r="K707" s="58">
        <f>IFERROR(__xludf.DUMMYFUNCTION("""COMPUTED_VALUE"""),45967.0)</f>
        <v>45967</v>
      </c>
      <c r="L707" s="6">
        <v>14.0</v>
      </c>
      <c r="M707" s="52">
        <v>45981.0</v>
      </c>
      <c r="N707" s="53" t="s">
        <v>741</v>
      </c>
      <c r="O707" s="19" t="s">
        <v>1092</v>
      </c>
      <c r="P707" s="6"/>
      <c r="Q707" s="6" t="str">
        <f t="shared" si="1"/>
        <v>#N/A</v>
      </c>
      <c r="R707" s="6"/>
    </row>
    <row r="708" hidden="1">
      <c r="A708" s="31" t="str">
        <f>IFERROR(__xludf.DUMMYFUNCTION("""COMPUTED_VALUE"""),"506")</f>
        <v>506</v>
      </c>
      <c r="B708" s="14" t="str">
        <f>IFERROR(__xludf.DUMMYFUNCTION("""COMPUTED_VALUE"""),"РЕН-25")</f>
        <v>РЕН-25</v>
      </c>
      <c r="C708" s="14" t="str">
        <f>IFERROR(__xludf.DUMMYFUNCTION("""COMPUTED_VALUE"""),"ОКС")</f>
        <v>ОКС</v>
      </c>
      <c r="D708" s="6"/>
      <c r="E708" s="14" t="str">
        <f>IFERROR(__xludf.DUMMYFUNCTION("""COMPUTED_VALUE"""),"ул. Краснобогатырская, з/у 38А (Краснобогатырская ул., вблизи вл. 38) район Богородское, Краснобогатырская ул., з/у 38А (Краснобогатырская ул., вблизи вл. 38) (Краснобогатырская ул.,д.36)")</f>
        <v>ул. Краснобогатырская, з/у 38А (Краснобогатырская ул., вблизи вл. 38) район Богородское, Краснобогатырская ул., з/у 38А (Краснобогатырская ул., вблизи вл. 38) (Краснобогатырская ул.,д.36)</v>
      </c>
      <c r="F708" s="25" t="str">
        <f>IFERROR(__xludf.DUMMYFUNCTION("""COMPUTED_VALUE"""),"55.810938")</f>
        <v>55.810938</v>
      </c>
      <c r="G708" s="6" t="str">
        <f>IFERROR(__xludf.DUMMYFUNCTION("""COMPUTED_VALUE"""),"37.700495")</f>
        <v>37.700495</v>
      </c>
      <c r="H708" s="18" t="str">
        <f>IFERROR(__xludf.DUMMYFUNCTION("""COMPUTED_VALUE"""),"https://docs.google.com/spreadsheets/d/1H1MjbG2y0oC0hhID4do1G0_gfyI1jag72lQd7nL3WDQ/edit?gid=1722375014#gid=1722375014")</f>
        <v>https://docs.google.com/spreadsheets/d/1H1MjbG2y0oC0hhID4do1G0_gfyI1jag72lQd7nL3WDQ/edit?gid=1722375014#gid=1722375014</v>
      </c>
      <c r="I708" s="19" t="str">
        <f>IFERROR(__xludf.DUMMYFUNCTION("""COMPUTED_VALUE"""),"https://disk.yandex.ru/client/disk/Осмотры%20объектов%20АНО%20СМГ/506.%20Краснобогатырская%20ул.%2C%20зу%2038А")</f>
        <v>https://disk.yandex.ru/client/disk/Осмотры%20объектов%20АНО%20СМГ/506.%20Краснобогатырская%20ул.%2C%20зу%2038А</v>
      </c>
      <c r="J708" s="50">
        <f>IFERROR(__xludf.DUMMYFUNCTION("""COMPUTED_VALUE"""),100.0)</f>
        <v>100</v>
      </c>
      <c r="K708" s="58">
        <f>IFERROR(__xludf.DUMMYFUNCTION("""COMPUTED_VALUE"""),45958.0)</f>
        <v>45958</v>
      </c>
      <c r="L708" s="6" t="s">
        <v>654</v>
      </c>
      <c r="M708" s="52" t="s">
        <v>655</v>
      </c>
      <c r="N708" s="53" t="s">
        <v>656</v>
      </c>
      <c r="O708" s="19" t="s">
        <v>1093</v>
      </c>
      <c r="P708" s="6"/>
      <c r="Q708" s="6" t="str">
        <f t="shared" si="1"/>
        <v>#N/A</v>
      </c>
      <c r="R708" s="6"/>
    </row>
    <row r="709" hidden="1">
      <c r="A709" s="31" t="str">
        <f>IFERROR(__xludf.DUMMYFUNCTION("""COMPUTED_VALUE"""),"450")</f>
        <v>450</v>
      </c>
      <c r="B709" s="14" t="str">
        <f>IFERROR(__xludf.DUMMYFUNCTION("""COMPUTED_VALUE"""),"РЕН-25")</f>
        <v>РЕН-25</v>
      </c>
      <c r="C709" s="14" t="str">
        <f>IFERROR(__xludf.DUMMYFUNCTION("""COMPUTED_VALUE"""),"ОКС")</f>
        <v>ОКС</v>
      </c>
      <c r="D709" s="6"/>
      <c r="E709" s="14" t="str">
        <f>IFERROR(__xludf.DUMMYFUNCTION("""COMPUTED_VALUE"""),"Люблинская ул., з/у 113/3 (вл. 113, корп. 1) район Люблино, ул. Люблинская, з/у 113/3 (Люблинская ул., вл. 113, корп. 1)")</f>
        <v>Люблинская ул., з/у 113/3 (вл. 113, корп. 1) район Люблино, ул. Люблинская, з/у 113/3 (Люблинская ул., вл. 113, корп. 1)</v>
      </c>
      <c r="F709" s="25" t="str">
        <f>IFERROR(__xludf.DUMMYFUNCTION("""COMPUTED_VALUE"""),"55.678605")</f>
        <v>55.678605</v>
      </c>
      <c r="G709" s="6" t="str">
        <f>IFERROR(__xludf.DUMMYFUNCTION("""COMPUTED_VALUE"""),"37.740449")</f>
        <v>37.740449</v>
      </c>
      <c r="H709" s="18" t="str">
        <f>IFERROR(__xludf.DUMMYFUNCTION("""COMPUTED_VALUE"""),"https://docs.google.com/spreadsheets/d/1H1MjbG2y0oC0hhID4do1G0_gfyI1jag72lQd7nL3WDQ/edit?gid=803822262#gid=803822262")</f>
        <v>https://docs.google.com/spreadsheets/d/1H1MjbG2y0oC0hhID4do1G0_gfyI1jag72lQd7nL3WDQ/edit?gid=803822262#gid=803822262</v>
      </c>
      <c r="I709" s="19" t="str">
        <f>IFERROR(__xludf.DUMMYFUNCTION("""COMPUTED_VALUE"""),"https://disk.yandex.ru/client/disk/Осмотры%20объектов%20АНО%20СМГ/450.%20Люблинская%20ул.%2C%20вл.%20113%2C%20корп.%203.%20Жилой%20дом")</f>
        <v>https://disk.yandex.ru/client/disk/Осмотры%20объектов%20АНО%20СМГ/450.%20Люблинская%20ул.%2C%20вл.%20113%2C%20корп.%203.%20Жилой%20дом</v>
      </c>
      <c r="J709" s="50">
        <f>IFERROR(__xludf.DUMMYFUNCTION("""COMPUTED_VALUE"""),100.0)</f>
        <v>100</v>
      </c>
      <c r="K709" s="58">
        <f>IFERROR(__xludf.DUMMYFUNCTION("""COMPUTED_VALUE"""),45947.0)</f>
        <v>45947</v>
      </c>
      <c r="L709" s="6" t="s">
        <v>654</v>
      </c>
      <c r="M709" s="52" t="s">
        <v>655</v>
      </c>
      <c r="N709" s="53" t="s">
        <v>656</v>
      </c>
      <c r="O709" s="19" t="s">
        <v>1094</v>
      </c>
      <c r="P709" s="6"/>
      <c r="Q709" s="6" t="str">
        <f t="shared" si="1"/>
        <v>#N/A</v>
      </c>
      <c r="R709" s="6"/>
    </row>
    <row r="710" hidden="1">
      <c r="A710" s="31" t="str">
        <f>IFERROR(__xludf.DUMMYFUNCTION("""COMPUTED_VALUE"""),"494")</f>
        <v>494</v>
      </c>
      <c r="B710" s="14" t="str">
        <f>IFERROR(__xludf.DUMMYFUNCTION("""COMPUTED_VALUE"""),"РЕН-25")</f>
        <v>РЕН-25</v>
      </c>
      <c r="C710" s="14" t="str">
        <f>IFERROR(__xludf.DUMMYFUNCTION("""COMPUTED_VALUE"""),"ОКС")</f>
        <v>ОКС</v>
      </c>
      <c r="D710" s="6"/>
      <c r="E710" s="14" t="str">
        <f>IFERROR(__xludf.DUMMYFUNCTION("""COMPUTED_VALUE"""),"Кантемировская ул., 43 Кантемировская ул., 43 (Кантемировская, д.41, корп.1, корп.2)")</f>
        <v>Кантемировская ул., 43 Кантемировская ул., 43 (Кантемировская, д.41, корп.1, корп.2)</v>
      </c>
      <c r="F710" s="25" t="str">
        <f>IFERROR(__xludf.DUMMYFUNCTION("""COMPUTED_VALUE"""),"55.636970")</f>
        <v>55.636970</v>
      </c>
      <c r="G710" s="6" t="str">
        <f>IFERROR(__xludf.DUMMYFUNCTION("""COMPUTED_VALUE"""),"37.657955")</f>
        <v>37.657955</v>
      </c>
      <c r="H710" s="18" t="str">
        <f>IFERROR(__xludf.DUMMYFUNCTION("""COMPUTED_VALUE"""),"https://docs.google.com/spreadsheets/d/1H1MjbG2y0oC0hhID4do1G0_gfyI1jag72lQd7nL3WDQ/edit?gid=1973217010#gid=1973217010")</f>
        <v>https://docs.google.com/spreadsheets/d/1H1MjbG2y0oC0hhID4do1G0_gfyI1jag72lQd7nL3WDQ/edit?gid=1973217010#gid=1973217010</v>
      </c>
      <c r="I710" s="19" t="str">
        <f>IFERROR(__xludf.DUMMYFUNCTION("""COMPUTED_VALUE"""),"https://disk.yandex.ru/client/disk/Осмотры%20объектов%20АНО%20СМГ/494.%20Кантемировская%20ул.%2C%2043%20реновация%20(д.43)")</f>
        <v>https://disk.yandex.ru/client/disk/Осмотры%20объектов%20АНО%20СМГ/494.%20Кантемировская%20ул.%2C%2043%20реновация%20(д.43)</v>
      </c>
      <c r="J710" s="50">
        <f>IFERROR(__xludf.DUMMYFUNCTION("""COMPUTED_VALUE"""),98.610375)</f>
        <v>98.610375</v>
      </c>
      <c r="K710" s="58">
        <f>IFERROR(__xludf.DUMMYFUNCTION("""COMPUTED_VALUE"""),45951.0)</f>
        <v>45951</v>
      </c>
      <c r="L710" s="6">
        <v>7.0</v>
      </c>
      <c r="M710" s="52">
        <v>45958.0</v>
      </c>
      <c r="N710" s="53" t="s">
        <v>652</v>
      </c>
      <c r="O710" s="19" t="s">
        <v>1095</v>
      </c>
      <c r="P710" s="6"/>
      <c r="Q710" s="6" t="str">
        <f t="shared" si="1"/>
        <v>#N/A</v>
      </c>
      <c r="R710" s="6"/>
    </row>
    <row r="711" hidden="1">
      <c r="A711" s="31" t="str">
        <f>IFERROR(__xludf.DUMMYFUNCTION("""COMPUTED_VALUE"""),"231")</f>
        <v>231</v>
      </c>
      <c r="B711" s="14" t="str">
        <f>IFERROR(__xludf.DUMMYFUNCTION("""COMPUTED_VALUE"""),"АИП-26")</f>
        <v>АИП-26</v>
      </c>
      <c r="C711" s="14" t="str">
        <f>IFERROR(__xludf.DUMMYFUNCTION("""COMPUTED_VALUE"""),"ОКС")</f>
        <v>ОКС</v>
      </c>
      <c r="D711" s="6"/>
      <c r="E711" s="14" t="str">
        <f>IFERROR(__xludf.DUMMYFUNCTION("""COMPUTED_VALUE"""),"Реконструкция Центрального Московского ипподрома, САО, Беговой, ул. Беговая, д. 22 Этап 1  г. Москва, ул. Беговая, д. 22")</f>
        <v>Реконструкция Центрального Московского ипподрома, САО, Беговой, ул. Беговая, д. 22 Этап 1  г. Москва, ул. Беговая, д. 22</v>
      </c>
      <c r="F711" s="25" t="str">
        <f>IFERROR(__xludf.DUMMYFUNCTION("""COMPUTED_VALUE"""),"55.777746")</f>
        <v>55.777746</v>
      </c>
      <c r="G711" s="6" t="str">
        <f>IFERROR(__xludf.DUMMYFUNCTION("""COMPUTED_VALUE"""),"37.558642")</f>
        <v>37.558642</v>
      </c>
      <c r="H711" s="6"/>
      <c r="I711" s="19"/>
      <c r="J711" s="50"/>
      <c r="K711" s="58"/>
      <c r="L711" s="6">
        <v>30.0</v>
      </c>
      <c r="M711" s="52" t="s">
        <v>655</v>
      </c>
      <c r="N711" s="53" t="s">
        <v>698</v>
      </c>
      <c r="O711" s="19" t="s">
        <v>1096</v>
      </c>
      <c r="P711" s="6"/>
      <c r="Q711" s="6" t="str">
        <f t="shared" si="1"/>
        <v>#N/A</v>
      </c>
      <c r="R711" s="6"/>
    </row>
    <row r="712" hidden="1">
      <c r="A712" s="31" t="str">
        <f>IFERROR(__xludf.DUMMYFUNCTION("""COMPUTED_VALUE"""),"825")</f>
        <v>825</v>
      </c>
      <c r="B712" s="14" t="str">
        <f>IFERROR(__xludf.DUMMYFUNCTION("""COMPUTED_VALUE"""),"РЕН-25")</f>
        <v>РЕН-25</v>
      </c>
      <c r="C712" s="14" t="str">
        <f>IFERROR(__xludf.DUMMYFUNCTION("""COMPUTED_VALUE"""),"ОКС")</f>
        <v>ОКС</v>
      </c>
      <c r="D712" s="6"/>
      <c r="E712" s="14" t="str">
        <f>IFERROR(__xludf.DUMMYFUNCTION("""COMPUTED_VALUE"""),"улица Маршала Чуйкова, земельный участок 9/5/1 (зоны 4.2 и 4.7) (Маршала Чуйкова ул.,д.9Б) улица Маршала Чуйкова, земельный участок 9/5/1 (зоны 4.2 и 4.7) (9/5/3А)(Маршала Чуйкова ул.,д.9Б)")</f>
        <v>улица Маршала Чуйкова, земельный участок 9/5/1 (зоны 4.2 и 4.7) (Маршала Чуйкова ул.,д.9Б) улица Маршала Чуйкова, земельный участок 9/5/1 (зоны 4.2 и 4.7) (9/5/3А)(Маршала Чуйкова ул.,д.9Б)</v>
      </c>
      <c r="F712" s="25" t="str">
        <f>IFERROR(__xludf.DUMMYFUNCTION("""COMPUTED_VALUE"""),"55.696054")</f>
        <v>55.696054</v>
      </c>
      <c r="G712" s="6" t="str">
        <f>IFERROR(__xludf.DUMMYFUNCTION("""COMPUTED_VALUE"""),"37.763112")</f>
        <v>37.763112</v>
      </c>
      <c r="H712" s="18" t="str">
        <f>IFERROR(__xludf.DUMMYFUNCTION("""COMPUTED_VALUE"""),"https://docs.google.com/spreadsheets/d/1H1MjbG2y0oC0hhID4do1G0_gfyI1jag72lQd7nL3WDQ/edit?gid=372650495#gid=372650495")</f>
        <v>https://docs.google.com/spreadsheets/d/1H1MjbG2y0oC0hhID4do1G0_gfyI1jag72lQd7nL3WDQ/edit?gid=372650495#gid=372650495</v>
      </c>
      <c r="I712" s="19" t="str">
        <f>IFERROR(__xludf.DUMMYFUNCTION("""COMPUTED_VALUE"""),"https://disk.yandex.ru/client/disk/Осмотры%20объектов%20АНО%20СМГ/825.%20район%20Кузьминки%2C%20ул.%20Маршала%20Чуйкова%2C%20зу%209.5.1%20мкр.%20113%2C113а%2C%20зона%20№4.2")</f>
        <v>https://disk.yandex.ru/client/disk/Осмотры%20объектов%20АНО%20СМГ/825.%20район%20Кузьминки%2C%20ул.%20Маршала%20Чуйкова%2C%20зу%209.5.1%20мкр.%20113%2C113а%2C%20зона%20№4.2</v>
      </c>
      <c r="J712" s="50">
        <f>IFERROR(__xludf.DUMMYFUNCTION("""COMPUTED_VALUE"""),100.0)</f>
        <v>100</v>
      </c>
      <c r="K712" s="58">
        <f>IFERROR(__xludf.DUMMYFUNCTION("""COMPUTED_VALUE"""),45945.0)</f>
        <v>45945</v>
      </c>
      <c r="L712" s="6" t="s">
        <v>654</v>
      </c>
      <c r="M712" s="52" t="s">
        <v>655</v>
      </c>
      <c r="N712" s="53" t="s">
        <v>656</v>
      </c>
      <c r="O712" s="19" t="s">
        <v>1097</v>
      </c>
      <c r="P712" s="6"/>
      <c r="Q712" s="6" t="str">
        <f t="shared" si="1"/>
        <v>#N/A</v>
      </c>
      <c r="R712" s="6"/>
    </row>
    <row r="713" hidden="1">
      <c r="A713" s="31" t="str">
        <f>IFERROR(__xludf.DUMMYFUNCTION("""COMPUTED_VALUE"""),"475")</f>
        <v>475</v>
      </c>
      <c r="B713" s="14" t="str">
        <f>IFERROR(__xludf.DUMMYFUNCTION("""COMPUTED_VALUE"""),"РЕН-25")</f>
        <v>РЕН-25</v>
      </c>
      <c r="C713" s="14" t="str">
        <f>IFERROR(__xludf.DUMMYFUNCTION("""COMPUTED_VALUE"""),"ОКС")</f>
        <v>ОКС</v>
      </c>
      <c r="D713" s="6"/>
      <c r="E713" s="14" t="str">
        <f>IFERROR(__xludf.DUMMYFUNCTION("""COMPUTED_VALUE"""),"Старокоптевский пер., з/у 7 (вл. 7) район Коптево, переулок Старокоптевский, земельный участок 7 (со сносом здания трансформаторной подстанции по адресу: Старокоптевский пер., д. 7, стр.15)")</f>
        <v>Старокоптевский пер., з/у 7 (вл. 7) район Коптево, переулок Старокоптевский, земельный участок 7 (со сносом здания трансформаторной подстанции по адресу: Старокоптевский пер., д. 7, стр.15)</v>
      </c>
      <c r="F713" s="25" t="str">
        <f>IFERROR(__xludf.DUMMYFUNCTION("""COMPUTED_VALUE"""),"55.834953")</f>
        <v>55.834953</v>
      </c>
      <c r="G713" s="6" t="str">
        <f>IFERROR(__xludf.DUMMYFUNCTION("""COMPUTED_VALUE"""),"37.515185")</f>
        <v>37.515185</v>
      </c>
      <c r="H713" s="18" t="str">
        <f>IFERROR(__xludf.DUMMYFUNCTION("""COMPUTED_VALUE"""),"https://docs.google.com/spreadsheets/d/1H1MjbG2y0oC0hhID4do1G0_gfyI1jag72lQd7nL3WDQ/edit?gid=1742187453#gid=1742187453")</f>
        <v>https://docs.google.com/spreadsheets/d/1H1MjbG2y0oC0hhID4do1G0_gfyI1jag72lQd7nL3WDQ/edit?gid=1742187453#gid=1742187453</v>
      </c>
      <c r="I713" s="19" t="str">
        <f>IFERROR(__xludf.DUMMYFUNCTION("""COMPUTED_VALUE"""),"https://disk.yandex.ru/client/disk/Осмотры%20объектов%20АНО%20СМГ/475.%20Старокоптевский%20пер.%2C%20зу%207")</f>
        <v>https://disk.yandex.ru/client/disk/Осмотры%20объектов%20АНО%20СМГ/475.%20Старокоптевский%20пер.%2C%20зу%207</v>
      </c>
      <c r="J713" s="50">
        <f>IFERROR(__xludf.DUMMYFUNCTION("""COMPUTED_VALUE"""),100.0)</f>
        <v>100</v>
      </c>
      <c r="K713" s="58">
        <f>IFERROR(__xludf.DUMMYFUNCTION("""COMPUTED_VALUE"""),45953.0)</f>
        <v>45953</v>
      </c>
      <c r="L713" s="6" t="s">
        <v>654</v>
      </c>
      <c r="M713" s="52" t="s">
        <v>655</v>
      </c>
      <c r="N713" s="53" t="s">
        <v>656</v>
      </c>
      <c r="O713" s="19" t="s">
        <v>1098</v>
      </c>
      <c r="P713" s="6"/>
      <c r="Q713" s="6" t="str">
        <f t="shared" si="1"/>
        <v>#N/A</v>
      </c>
      <c r="R713" s="6"/>
    </row>
    <row r="714" hidden="1">
      <c r="A714" s="31" t="str">
        <f>IFERROR(__xludf.DUMMYFUNCTION("""COMPUTED_VALUE"""),"491")</f>
        <v>491</v>
      </c>
      <c r="B714" s="14" t="str">
        <f>IFERROR(__xludf.DUMMYFUNCTION("""COMPUTED_VALUE"""),"РЕН-25")</f>
        <v>РЕН-25</v>
      </c>
      <c r="C714" s="14" t="str">
        <f>IFERROR(__xludf.DUMMYFUNCTION("""COMPUTED_VALUE"""),"ОКС")</f>
        <v>ОКС</v>
      </c>
      <c r="D714" s="6"/>
      <c r="E714" s="14" t="str">
        <f>IFERROR(__xludf.DUMMYFUNCTION("""COMPUTED_VALUE"""),"ул. Лобачевского, з/у 28/36 (Лобачевского ул., вл. 28-36) район Проспект Вернадского, ул. Лобачевского, з/у 28-36 (Лобачевского ул., вл. 28-36)")</f>
        <v>ул. Лобачевского, з/у 28/36 (Лобачевского ул., вл. 28-36) район Проспект Вернадского, ул. Лобачевского, з/у 28-36 (Лобачевского ул., вл. 28-36)</v>
      </c>
      <c r="F714" s="25" t="str">
        <f>IFERROR(__xludf.DUMMYFUNCTION("""COMPUTED_VALUE"""),"55.669719")</f>
        <v>55.669719</v>
      </c>
      <c r="G714" s="6" t="str">
        <f>IFERROR(__xludf.DUMMYFUNCTION("""COMPUTED_VALUE"""),"37.504939")</f>
        <v>37.504939</v>
      </c>
      <c r="H714" s="18" t="str">
        <f>IFERROR(__xludf.DUMMYFUNCTION("""COMPUTED_VALUE"""),"https://docs.google.com/spreadsheets/d/1H1MjbG2y0oC0hhID4do1G0_gfyI1jag72lQd7nL3WDQ/edit?gid=1094415968#gid=1094415968")</f>
        <v>https://docs.google.com/spreadsheets/d/1H1MjbG2y0oC0hhID4do1G0_gfyI1jag72lQd7nL3WDQ/edit?gid=1094415968#gid=1094415968</v>
      </c>
      <c r="I714" s="19" t="str">
        <f>IFERROR(__xludf.DUMMYFUNCTION("""COMPUTED_VALUE"""),"https://disk.yandex.ru/client/disk/Осмотры%20объектов%20АНО%20СМГ/491.%20проспект%20Вернадского%2C%20ул.%20Лобачевского%2C%20з-у%2028-36%20(Лобачевского%20ул.%20Вл.%2028--36)")</f>
        <v>https://disk.yandex.ru/client/disk/Осмотры%20объектов%20АНО%20СМГ/491.%20проспект%20Вернадского%2C%20ул.%20Лобачевского%2C%20з-у%2028-36%20(Лобачевского%20ул.%20Вл.%2028--36)</v>
      </c>
      <c r="J714" s="50">
        <f>IFERROR(__xludf.DUMMYFUNCTION("""COMPUTED_VALUE"""),97.37505999999999)</f>
        <v>97.37506</v>
      </c>
      <c r="K714" s="58">
        <f>IFERROR(__xludf.DUMMYFUNCTION("""COMPUTED_VALUE"""),45952.0)</f>
        <v>45952</v>
      </c>
      <c r="L714" s="6">
        <v>7.0</v>
      </c>
      <c r="M714" s="52">
        <v>45959.0</v>
      </c>
      <c r="N714" s="53" t="s">
        <v>652</v>
      </c>
      <c r="O714" s="19" t="s">
        <v>1099</v>
      </c>
      <c r="P714" s="6"/>
      <c r="Q714" s="6" t="str">
        <f t="shared" si="1"/>
        <v>#N/A</v>
      </c>
      <c r="R714" s="6"/>
    </row>
    <row r="715" hidden="1">
      <c r="A715" s="31" t="str">
        <f>IFERROR(__xludf.DUMMYFUNCTION("""COMPUTED_VALUE"""),"557")</f>
        <v>557</v>
      </c>
      <c r="B715" s="14" t="str">
        <f>IFERROR(__xludf.DUMMYFUNCTION("""COMPUTED_VALUE"""),"РЕН-25")</f>
        <v>РЕН-25</v>
      </c>
      <c r="C715" s="14" t="str">
        <f>IFERROR(__xludf.DUMMYFUNCTION("""COMPUTED_VALUE"""),"ОКС")</f>
        <v>ОКС</v>
      </c>
      <c r="D715" s="6"/>
      <c r="E715" s="14" t="str">
        <f>IFERROR(__xludf.DUMMYFUNCTION("""COMPUTED_VALUE"""),"Полярная ул., з/у 3/1 (Полярная ул., вл. 3, корп. 1) район Южное Медведково, Полярная улица, земельный участок 3/1 (Полярная ул., вл. 3, корп. 1)")</f>
        <v>Полярная ул., з/у 3/1 (Полярная ул., вл. 3, корп. 1) район Южное Медведково, Полярная улица, земельный участок 3/1 (Полярная ул., вл. 3, корп. 1)</v>
      </c>
      <c r="F715" s="25" t="str">
        <f>IFERROR(__xludf.DUMMYFUNCTION("""COMPUTED_VALUE"""),"55.872476")</f>
        <v>55.872476</v>
      </c>
      <c r="G715" s="6" t="str">
        <f>IFERROR(__xludf.DUMMYFUNCTION("""COMPUTED_VALUE"""),"37.636814")</f>
        <v>37.636814</v>
      </c>
      <c r="H715" s="18" t="str">
        <f>IFERROR(__xludf.DUMMYFUNCTION("""COMPUTED_VALUE"""),"https://docs.google.com/spreadsheets/d/1H1MjbG2y0oC0hhID4do1G0_gfyI1jag72lQd7nL3WDQ/edit?gid=1490545737#gid=1490545737")</f>
        <v>https://docs.google.com/spreadsheets/d/1H1MjbG2y0oC0hhID4do1G0_gfyI1jag72lQd7nL3WDQ/edit?gid=1490545737#gid=1490545737</v>
      </c>
      <c r="I715" s="19" t="str">
        <f>IFERROR(__xludf.DUMMYFUNCTION("""COMPUTED_VALUE"""),"https://disk.yandex.ru/client/disk/Осмотры%20объектов%20АНО%20СМГ/557.%20Полярная%20ул.%2C%20зу%203%201")</f>
        <v>https://disk.yandex.ru/client/disk/Осмотры%20объектов%20АНО%20СМГ/557.%20Полярная%20ул.%2C%20зу%203%201</v>
      </c>
      <c r="J715" s="50">
        <f>IFERROR(__xludf.DUMMYFUNCTION("""COMPUTED_VALUE"""),99.90775)</f>
        <v>99.90775</v>
      </c>
      <c r="K715" s="58">
        <f>IFERROR(__xludf.DUMMYFUNCTION("""COMPUTED_VALUE"""),45952.0)</f>
        <v>45952</v>
      </c>
      <c r="L715" s="6">
        <v>7.0</v>
      </c>
      <c r="M715" s="52">
        <v>45959.0</v>
      </c>
      <c r="N715" s="53" t="s">
        <v>652</v>
      </c>
      <c r="O715" s="19" t="s">
        <v>1100</v>
      </c>
      <c r="P715" s="6"/>
      <c r="Q715" s="6" t="str">
        <f t="shared" si="1"/>
        <v>#N/A</v>
      </c>
      <c r="R715" s="6"/>
    </row>
    <row r="716" hidden="1">
      <c r="A716" s="31" t="str">
        <f>IFERROR(__xludf.DUMMYFUNCTION("""COMPUTED_VALUE"""),"515")</f>
        <v>515</v>
      </c>
      <c r="B716" s="14" t="str">
        <f>IFERROR(__xludf.DUMMYFUNCTION("""COMPUTED_VALUE"""),"РЕН-25")</f>
        <v>РЕН-25</v>
      </c>
      <c r="C716" s="14" t="str">
        <f>IFERROR(__xludf.DUMMYFUNCTION("""COMPUTED_VALUE"""),"ОКС")</f>
        <v>ОКС</v>
      </c>
      <c r="D716" s="6"/>
      <c r="E716" s="14" t="str">
        <f>IFERROR(__xludf.DUMMYFUNCTION("""COMPUTED_VALUE"""),"11-я Парковая ул., з/у 57 район Северное Измайлово, ул. 11-я Парковая, з/у 57")</f>
        <v>11-я Парковая ул., з/у 57 район Северное Измайлово, ул. 11-я Парковая, з/у 57</v>
      </c>
      <c r="F716" s="25" t="str">
        <f>IFERROR(__xludf.DUMMYFUNCTION("""COMPUTED_VALUE"""),"55.809783")</f>
        <v>55.809783</v>
      </c>
      <c r="G716" s="6" t="str">
        <f>IFERROR(__xludf.DUMMYFUNCTION("""COMPUTED_VALUE"""),"37.803541")</f>
        <v>37.803541</v>
      </c>
      <c r="H716" s="18" t="str">
        <f>IFERROR(__xludf.DUMMYFUNCTION("""COMPUTED_VALUE"""),"https://docs.google.com/spreadsheets/d/1H1MjbG2y0oC0hhID4do1G0_gfyI1jag72lQd7nL3WDQ/edit?gid=1582876076#gid=1582876076")</f>
        <v>https://docs.google.com/spreadsheets/d/1H1MjbG2y0oC0hhID4do1G0_gfyI1jag72lQd7nL3WDQ/edit?gid=1582876076#gid=1582876076</v>
      </c>
      <c r="I716" s="19" t="str">
        <f>IFERROR(__xludf.DUMMYFUNCTION("""COMPUTED_VALUE"""),"https://disk.yandex.ru/client/disk/Осмотры%20объектов%20АНО%20СМГ/515.%20Северное%20Измайлово%2C%2011-я%20Парковаяул.%2057")</f>
        <v>https://disk.yandex.ru/client/disk/Осмотры%20объектов%20АНО%20СМГ/515.%20Северное%20Измайлово%2C%2011-я%20Парковаяул.%2057</v>
      </c>
      <c r="J716" s="50">
        <f>IFERROR(__xludf.DUMMYFUNCTION("""COMPUTED_VALUE"""),69.080985)</f>
        <v>69.080985</v>
      </c>
      <c r="K716" s="58">
        <f>IFERROR(__xludf.DUMMYFUNCTION("""COMPUTED_VALUE"""),45967.0)</f>
        <v>45967</v>
      </c>
      <c r="L716" s="6">
        <v>14.0</v>
      </c>
      <c r="M716" s="52">
        <v>45981.0</v>
      </c>
      <c r="N716" s="53" t="s">
        <v>741</v>
      </c>
      <c r="O716" s="19" t="s">
        <v>669</v>
      </c>
      <c r="P716" s="6"/>
      <c r="Q716" s="6" t="str">
        <f t="shared" si="1"/>
        <v>#N/A</v>
      </c>
      <c r="R716" s="6"/>
    </row>
    <row r="717" hidden="1">
      <c r="A717" s="31" t="str">
        <f>IFERROR(__xludf.DUMMYFUNCTION("""COMPUTED_VALUE"""),"548")</f>
        <v>548</v>
      </c>
      <c r="B717" s="14" t="str">
        <f>IFERROR(__xludf.DUMMYFUNCTION("""COMPUTED_VALUE"""),"РЕН-25")</f>
        <v>РЕН-25</v>
      </c>
      <c r="C717" s="14" t="str">
        <f>IFERROR(__xludf.DUMMYFUNCTION("""COMPUTED_VALUE"""),"ОКС")</f>
        <v>ОКС</v>
      </c>
      <c r="D717" s="6"/>
      <c r="E717" s="14" t="str">
        <f>IFERROR(__xludf.DUMMYFUNCTION("""COMPUTED_VALUE"""),"2-я Фрезерная, з/у 6 (2-я Фрезерная ул., вл. 6) район Нижегородский, 2-я Фрезерная, з/у 6 (2-я Фрезерная ул., вл. 6)")</f>
        <v>2-я Фрезерная, з/у 6 (2-я Фрезерная ул., вл. 6) район Нижегородский, 2-я Фрезерная, з/у 6 (2-я Фрезерная ул., вл. 6)</v>
      </c>
      <c r="F717" s="25" t="str">
        <f>IFERROR(__xludf.DUMMYFUNCTION("""COMPUTED_VALUE"""),"55.739866")</f>
        <v>55.739866</v>
      </c>
      <c r="G717" s="6" t="str">
        <f>IFERROR(__xludf.DUMMYFUNCTION("""COMPUTED_VALUE"""),"37.740280")</f>
        <v>37.740280</v>
      </c>
      <c r="H717" s="18" t="str">
        <f>IFERROR(__xludf.DUMMYFUNCTION("""COMPUTED_VALUE"""),"https://docs.google.com/spreadsheets/d/1H1MjbG2y0oC0hhID4do1G0_gfyI1jag72lQd7nL3WDQ/edit?gid=2123184099#gid=2123184099")</f>
        <v>https://docs.google.com/spreadsheets/d/1H1MjbG2y0oC0hhID4do1G0_gfyI1jag72lQd7nL3WDQ/edit?gid=2123184099#gid=2123184099</v>
      </c>
      <c r="I717" s="19" t="str">
        <f>IFERROR(__xludf.DUMMYFUNCTION("""COMPUTED_VALUE"""),"https://disk.yandex.ru/client/disk/Осмотры%20объектов%20АНО%20СМГ/548.%202-я%20Фрезерная%20ул%20вл%206%20(рефинансирование)%20White%20Box")</f>
        <v>https://disk.yandex.ru/client/disk/Осмотры%20объектов%20АНО%20СМГ/548.%202-я%20Фрезерная%20ул%20вл%206%20(рефинансирование)%20White%20Box</v>
      </c>
      <c r="J717" s="50">
        <f>IFERROR(__xludf.DUMMYFUNCTION("""COMPUTED_VALUE"""),79.05030000000001)</f>
        <v>79.0503</v>
      </c>
      <c r="K717" s="58">
        <f>IFERROR(__xludf.DUMMYFUNCTION("""COMPUTED_VALUE"""),45967.0)</f>
        <v>45967</v>
      </c>
      <c r="L717" s="6">
        <v>14.0</v>
      </c>
      <c r="M717" s="52">
        <v>45981.0</v>
      </c>
      <c r="N717" s="53" t="s">
        <v>741</v>
      </c>
      <c r="O717" s="19" t="s">
        <v>669</v>
      </c>
      <c r="P717" s="6"/>
      <c r="Q717" s="6" t="str">
        <f t="shared" si="1"/>
        <v>#N/A</v>
      </c>
      <c r="R717" s="6"/>
    </row>
    <row r="718" hidden="1">
      <c r="A718" s="31" t="str">
        <f>IFERROR(__xludf.DUMMYFUNCTION("""COMPUTED_VALUE"""),"547")</f>
        <v>547</v>
      </c>
      <c r="B718" s="14" t="str">
        <f>IFERROR(__xludf.DUMMYFUNCTION("""COMPUTED_VALUE"""),"РЕН-25")</f>
        <v>РЕН-25</v>
      </c>
      <c r="C718" s="14" t="str">
        <f>IFERROR(__xludf.DUMMYFUNCTION("""COMPUTED_VALUE"""),"ОКС")</f>
        <v>ОКС</v>
      </c>
      <c r="D718" s="6"/>
      <c r="E718" s="14" t="str">
        <f>IFERROR(__xludf.DUMMYFUNCTION("""COMPUTED_VALUE"""),"Булатниковский пр-д, з/у 2Б (Булатниковский пр-д, вл. 2Б) район Бирюлёво, Булатниковский пр-д, з/у 2Б (Булатниковский пр-д, вл. 2Б) (Харьковский пр., д.1А, корп.2)")</f>
        <v>Булатниковский пр-д, з/у 2Б (Булатниковский пр-д, вл. 2Б) район Бирюлёво, Булатниковский пр-д, з/у 2Б (Булатниковский пр-д, вл. 2Б) (Харьковский пр., д.1А, корп.2)</v>
      </c>
      <c r="F718" s="25" t="str">
        <f>IFERROR(__xludf.DUMMYFUNCTION("""COMPUTED_VALUE"""),"55.594614")</f>
        <v>55.594614</v>
      </c>
      <c r="G718" s="6" t="str">
        <f>IFERROR(__xludf.DUMMYFUNCTION("""COMPUTED_VALUE"""),"37.648514")</f>
        <v>37.648514</v>
      </c>
      <c r="H718" s="18" t="str">
        <f>IFERROR(__xludf.DUMMYFUNCTION("""COMPUTED_VALUE"""),"https://docs.google.com/spreadsheets/d/1H1MjbG2y0oC0hhID4do1G0_gfyI1jag72lQd7nL3WDQ/edit?gid=955881279#gid=955881279")</f>
        <v>https://docs.google.com/spreadsheets/d/1H1MjbG2y0oC0hhID4do1G0_gfyI1jag72lQd7nL3WDQ/edit?gid=955881279#gid=955881279</v>
      </c>
      <c r="I718" s="19" t="str">
        <f>IFERROR(__xludf.DUMMYFUNCTION("""COMPUTED_VALUE"""),"https://disk.yandex.ru/client/disk/Осмотры%20объектов%20АНО%20СМГ/547.%20Булатниковский%20проезд%202Б%20ЖК%20реновация")</f>
        <v>https://disk.yandex.ru/client/disk/Осмотры%20объектов%20АНО%20СМГ/547.%20Булатниковский%20проезд%202Б%20ЖК%20реновация</v>
      </c>
      <c r="J718" s="50">
        <f>IFERROR(__xludf.DUMMYFUNCTION("""COMPUTED_VALUE"""),100.0)</f>
        <v>100</v>
      </c>
      <c r="K718" s="58">
        <f>IFERROR(__xludf.DUMMYFUNCTION("""COMPUTED_VALUE"""),45952.0)</f>
        <v>45952</v>
      </c>
      <c r="L718" s="6" t="s">
        <v>654</v>
      </c>
      <c r="M718" s="52" t="s">
        <v>655</v>
      </c>
      <c r="N718" s="53" t="s">
        <v>656</v>
      </c>
      <c r="O718" s="19" t="s">
        <v>1101</v>
      </c>
      <c r="P718" s="6"/>
      <c r="Q718" s="6" t="str">
        <f t="shared" si="1"/>
        <v>#N/A</v>
      </c>
      <c r="R718" s="6"/>
    </row>
    <row r="719" hidden="1">
      <c r="A719" s="31" t="str">
        <f>IFERROR(__xludf.DUMMYFUNCTION("""COMPUTED_VALUE"""),"518")</f>
        <v>518</v>
      </c>
      <c r="B719" s="14" t="str">
        <f>IFERROR(__xludf.DUMMYFUNCTION("""COMPUTED_VALUE"""),"РЕН-25")</f>
        <v>РЕН-25</v>
      </c>
      <c r="C719" s="14" t="str">
        <f>IFERROR(__xludf.DUMMYFUNCTION("""COMPUTED_VALUE"""),"ОКС")</f>
        <v>ОКС</v>
      </c>
      <c r="D719" s="6"/>
      <c r="E719" s="14" t="str">
        <f>IFERROR(__xludf.DUMMYFUNCTION("""COMPUTED_VALUE"""),"ул. Академика Королева, з/у 21/1 район Марфино, ул. Академика Королева, з/у 21/1")</f>
        <v>ул. Академика Королева, з/у 21/1 район Марфино, ул. Академика Королева, з/у 21/1</v>
      </c>
      <c r="F719" s="25" t="str">
        <f>IFERROR(__xludf.DUMMYFUNCTION("""COMPUTED_VALUE"""),"55.820548")</f>
        <v>55.820548</v>
      </c>
      <c r="G719" s="6" t="str">
        <f>IFERROR(__xludf.DUMMYFUNCTION("""COMPUTED_VALUE"""),"37.600205")</f>
        <v>37.600205</v>
      </c>
      <c r="H719" s="18" t="str">
        <f>IFERROR(__xludf.DUMMYFUNCTION("""COMPUTED_VALUE"""),"https://docs.google.com/spreadsheets/d/1H1MjbG2y0oC0hhID4do1G0_gfyI1jag72lQd7nL3WDQ/edit?gid=607862402#gid=607862402")</f>
        <v>https://docs.google.com/spreadsheets/d/1H1MjbG2y0oC0hhID4do1G0_gfyI1jag72lQd7nL3WDQ/edit?gid=607862402#gid=607862402</v>
      </c>
      <c r="I719" s="19" t="str">
        <f>IFERROR(__xludf.DUMMYFUNCTION("""COMPUTED_VALUE"""),"https://disk.yandex.ru/client/disk/Осмотры%20объектов%20АНО%20СМГ/518.%20Академика%20Королева%2C%20вл.21")</f>
        <v>https://disk.yandex.ru/client/disk/Осмотры%20объектов%20АНО%20СМГ/518.%20Академика%20Королева%2C%20вл.21</v>
      </c>
      <c r="J719" s="50">
        <f>IFERROR(__xludf.DUMMYFUNCTION("""COMPUTED_VALUE"""),99.928)</f>
        <v>99.928</v>
      </c>
      <c r="K719" s="58">
        <f>IFERROR(__xludf.DUMMYFUNCTION("""COMPUTED_VALUE"""),45954.0)</f>
        <v>45954</v>
      </c>
      <c r="L719" s="6">
        <v>7.0</v>
      </c>
      <c r="M719" s="52">
        <v>45961.0</v>
      </c>
      <c r="N719" s="53" t="s">
        <v>652</v>
      </c>
      <c r="O719" s="19" t="s">
        <v>1102</v>
      </c>
      <c r="P719" s="6"/>
      <c r="Q719" s="6" t="str">
        <f t="shared" si="1"/>
        <v>#N/A</v>
      </c>
      <c r="R719" s="6"/>
    </row>
    <row r="720" hidden="1">
      <c r="A720" s="31" t="str">
        <f>IFERROR(__xludf.DUMMYFUNCTION("""COMPUTED_VALUE"""),"499")</f>
        <v>499</v>
      </c>
      <c r="B720" s="14" t="str">
        <f>IFERROR(__xludf.DUMMYFUNCTION("""COMPUTED_VALUE"""),"РЕН-25")</f>
        <v>РЕН-25</v>
      </c>
      <c r="C720" s="14" t="str">
        <f>IFERROR(__xludf.DUMMYFUNCTION("""COMPUTED_VALUE"""),"ОКС")</f>
        <v>ОКС</v>
      </c>
      <c r="D720" s="6"/>
      <c r="E720" s="14" t="str">
        <f>IFERROR(__xludf.DUMMYFUNCTION("""COMPUTED_VALUE"""),"Варшавское шос., з/у 47/2 (Варшавское шос., влд.47, к.2) район Нагатино-Садовники, Варшавское шос., з/у 47/2 (Варшавское шос., влд.47, к.2)")</f>
        <v>Варшавское шос., з/у 47/2 (Варшавское шос., влд.47, к.2) район Нагатино-Садовники, Варшавское шос., з/у 47/2 (Варшавское шос., влд.47, к.2)</v>
      </c>
      <c r="F720" s="25" t="str">
        <f>IFERROR(__xludf.DUMMYFUNCTION("""COMPUTED_VALUE"""),"55.679346")</f>
        <v>55.679346</v>
      </c>
      <c r="G720" s="6" t="str">
        <f>IFERROR(__xludf.DUMMYFUNCTION("""COMPUTED_VALUE"""),"37.627319")</f>
        <v>37.627319</v>
      </c>
      <c r="H720" s="18" t="str">
        <f>IFERROR(__xludf.DUMMYFUNCTION("""COMPUTED_VALUE"""),"https://docs.google.com/spreadsheets/d/1H1MjbG2y0oC0hhID4do1G0_gfyI1jag72lQd7nL3WDQ/edit?gid=32132627#gid=32132627")</f>
        <v>https://docs.google.com/spreadsheets/d/1H1MjbG2y0oC0hhID4do1G0_gfyI1jag72lQd7nL3WDQ/edit?gid=32132627#gid=32132627</v>
      </c>
      <c r="I720" s="19" t="str">
        <f>IFERROR(__xludf.DUMMYFUNCTION("""COMPUTED_VALUE"""),"https://disk.yandex.ru/client/disk/Осмотры%20объектов%20АНО%20СМГ/499.%20Варшавское%20ш.%2C%20вл.%2047%2C%20к.%202.%20ЖК%20реновация")</f>
        <v>https://disk.yandex.ru/client/disk/Осмотры%20объектов%20АНО%20СМГ/499.%20Варшавское%20ш.%2C%20вл.%2047%2C%20к.%202.%20ЖК%20реновация</v>
      </c>
      <c r="J720" s="50">
        <f>IFERROR(__xludf.DUMMYFUNCTION("""COMPUTED_VALUE"""),100.0)</f>
        <v>100</v>
      </c>
      <c r="K720" s="58">
        <f>IFERROR(__xludf.DUMMYFUNCTION("""COMPUTED_VALUE"""),45952.0)</f>
        <v>45952</v>
      </c>
      <c r="L720" s="6" t="s">
        <v>654</v>
      </c>
      <c r="M720" s="52" t="s">
        <v>655</v>
      </c>
      <c r="N720" s="53" t="s">
        <v>656</v>
      </c>
      <c r="O720" s="19" t="s">
        <v>1103</v>
      </c>
      <c r="P720" s="6"/>
      <c r="Q720" s="6" t="str">
        <f t="shared" si="1"/>
        <v>#N/A</v>
      </c>
      <c r="R720" s="6"/>
    </row>
    <row r="721" hidden="1">
      <c r="A721" s="31" t="str">
        <f>IFERROR(__xludf.DUMMYFUNCTION("""COMPUTED_VALUE"""),"567")</f>
        <v>567</v>
      </c>
      <c r="B721" s="14" t="str">
        <f>IFERROR(__xludf.DUMMYFUNCTION("""COMPUTED_VALUE"""),"РЕН-25")</f>
        <v>РЕН-25</v>
      </c>
      <c r="C721" s="14" t="str">
        <f>IFERROR(__xludf.DUMMYFUNCTION("""COMPUTED_VALUE"""),"ОКС")</f>
        <v>ОКС</v>
      </c>
      <c r="D721" s="6"/>
      <c r="E721" s="14" t="str">
        <f>IFERROR(__xludf.DUMMYFUNCTION("""COMPUTED_VALUE"""),"ул. Гарибальди, з/у 26 (участок 2.2) район Обручевский, Гарибальди ул., вл.26, квартал 26-27, участок 2.2")</f>
        <v>ул. Гарибальди, з/у 26 (участок 2.2) район Обручевский, Гарибальди ул., вл.26, квартал 26-27, участок 2.2</v>
      </c>
      <c r="F721" s="25" t="str">
        <f>IFERROR(__xludf.DUMMYFUNCTION("""COMPUTED_VALUE"""),"55.670770")</f>
        <v>55.670770</v>
      </c>
      <c r="G721" s="6" t="str">
        <f>IFERROR(__xludf.DUMMYFUNCTION("""COMPUTED_VALUE"""),"37.548939")</f>
        <v>37.548939</v>
      </c>
      <c r="H721" s="18" t="str">
        <f>IFERROR(__xludf.DUMMYFUNCTION("""COMPUTED_VALUE"""),"https://docs.google.com/spreadsheets/d/1H1MjbG2y0oC0hhID4do1G0_gfyI1jag72lQd7nL3WDQ/edit?gid=335429819#gid=335429819")</f>
        <v>https://docs.google.com/spreadsheets/d/1H1MjbG2y0oC0hhID4do1G0_gfyI1jag72lQd7nL3WDQ/edit?gid=335429819#gid=335429819</v>
      </c>
      <c r="I721" s="19" t="str">
        <f>IFERROR(__xludf.DUMMYFUNCTION("""COMPUTED_VALUE"""),"https://disk.yandex.ru/client/disk/Осмотры%20объектов%20АНО%20СМГ/567.%20Гарибальди%20вл.26%2C%20квартал%2026-27%20зона%202.2")</f>
        <v>https://disk.yandex.ru/client/disk/Осмотры%20объектов%20АНО%20СМГ/567.%20Гарибальди%20вл.26%2C%20квартал%2026-27%20зона%202.2</v>
      </c>
      <c r="J721" s="50">
        <f>IFERROR(__xludf.DUMMYFUNCTION("""COMPUTED_VALUE"""),100.0)</f>
        <v>100</v>
      </c>
      <c r="K721" s="58">
        <f>IFERROR(__xludf.DUMMYFUNCTION("""COMPUTED_VALUE"""),45972.0)</f>
        <v>45972</v>
      </c>
      <c r="L721" s="6" t="s">
        <v>654</v>
      </c>
      <c r="M721" s="52" t="s">
        <v>655</v>
      </c>
      <c r="N721" s="53" t="s">
        <v>656</v>
      </c>
      <c r="O721" s="19" t="s">
        <v>1104</v>
      </c>
      <c r="P721" s="6"/>
      <c r="Q721" s="6" t="str">
        <f t="shared" si="1"/>
        <v>#N/A</v>
      </c>
      <c r="R721" s="6"/>
    </row>
    <row r="722" hidden="1">
      <c r="A722" s="31" t="str">
        <f>IFERROR(__xludf.DUMMYFUNCTION("""COMPUTED_VALUE"""),"474")</f>
        <v>474</v>
      </c>
      <c r="B722" s="14" t="str">
        <f>IFERROR(__xludf.DUMMYFUNCTION("""COMPUTED_VALUE"""),"РЕН-25")</f>
        <v>РЕН-25</v>
      </c>
      <c r="C722" s="14" t="str">
        <f>IFERROR(__xludf.DUMMYFUNCTION("""COMPUTED_VALUE"""),"ОКС")</f>
        <v>ОКС</v>
      </c>
      <c r="D722" s="6"/>
      <c r="E722" s="14" t="str">
        <f>IFERROR(__xludf.DUMMYFUNCTION("""COMPUTED_VALUE"""),"Генерала Глаголева ул., з/у 9 (вл. 9, корп. 1) Генерала Глаголева ул., з/у 9 (вл. 9, корп. 1) (д.11 корп.1)")</f>
        <v>Генерала Глаголева ул., з/у 9 (вл. 9, корп. 1) Генерала Глаголева ул., з/у 9 (вл. 9, корп. 1) (д.11 корп.1)</v>
      </c>
      <c r="F722" s="25" t="str">
        <f>IFERROR(__xludf.DUMMYFUNCTION("""COMPUTED_VALUE"""),"55.781669")</f>
        <v>55.781669</v>
      </c>
      <c r="G722" s="6" t="str">
        <f>IFERROR(__xludf.DUMMYFUNCTION("""COMPUTED_VALUE"""),"37.461154")</f>
        <v>37.461154</v>
      </c>
      <c r="H722" s="18" t="str">
        <f>IFERROR(__xludf.DUMMYFUNCTION("""COMPUTED_VALUE"""),"https://docs.google.com/spreadsheets/d/1H1MjbG2y0oC0hhID4do1G0_gfyI1jag72lQd7nL3WDQ/edit?gid=881100781#gid=881100781")</f>
        <v>https://docs.google.com/spreadsheets/d/1H1MjbG2y0oC0hhID4do1G0_gfyI1jag72lQd7nL3WDQ/edit?gid=881100781#gid=881100781</v>
      </c>
      <c r="I722" s="19" t="str">
        <f>IFERROR(__xludf.DUMMYFUNCTION("""COMPUTED_VALUE"""),"https://disk.yandex.ru/client/disk/Осмотры%20объектов%20АНО%20СМГ/474%20Генерала%20Глаголева%20%20вл%209")</f>
        <v>https://disk.yandex.ru/client/disk/Осмотры%20объектов%20АНО%20СМГ/474%20Генерала%20Глаголева%20%20вл%209</v>
      </c>
      <c r="J722" s="50">
        <f>IFERROR(__xludf.DUMMYFUNCTION("""COMPUTED_VALUE"""),100.0)</f>
        <v>100</v>
      </c>
      <c r="K722" s="58">
        <f>IFERROR(__xludf.DUMMYFUNCTION("""COMPUTED_VALUE"""),45943.0)</f>
        <v>45943</v>
      </c>
      <c r="L722" s="6" t="s">
        <v>654</v>
      </c>
      <c r="M722" s="52" t="s">
        <v>655</v>
      </c>
      <c r="N722" s="53" t="s">
        <v>656</v>
      </c>
      <c r="O722" s="19" t="s">
        <v>1105</v>
      </c>
      <c r="P722" s="6"/>
      <c r="Q722" s="6" t="str">
        <f t="shared" si="1"/>
        <v>#N/A</v>
      </c>
      <c r="R722" s="6"/>
    </row>
    <row r="723" hidden="1">
      <c r="A723" s="31" t="str">
        <f>IFERROR(__xludf.DUMMYFUNCTION("""COMPUTED_VALUE"""),"593")</f>
        <v>593</v>
      </c>
      <c r="B723" s="14" t="str">
        <f>IFERROR(__xludf.DUMMYFUNCTION("""COMPUTED_VALUE"""),"РЕН-25")</f>
        <v>РЕН-25</v>
      </c>
      <c r="C723" s="14" t="str">
        <f>IFERROR(__xludf.DUMMYFUNCTION("""COMPUTED_VALUE"""),"ОКС")</f>
        <v>ОКС</v>
      </c>
      <c r="D723" s="6"/>
      <c r="E723" s="14" t="str">
        <f>IFERROR(__xludf.DUMMYFUNCTION("""COMPUTED_VALUE"""),"Люблинская ул., з/у 52/1 (зона №1.1) Улица Люблинская, д.52, к.1")</f>
        <v>Люблинская ул., з/у 52/1 (зона №1.1) Улица Люблинская, д.52, к.1</v>
      </c>
      <c r="F723" s="25" t="str">
        <f>IFERROR(__xludf.DUMMYFUNCTION("""COMPUTED_VALUE"""),"55.678233")</f>
        <v>55.678233</v>
      </c>
      <c r="G723" s="6" t="str">
        <f>IFERROR(__xludf.DUMMYFUNCTION("""COMPUTED_VALUE"""),"37.737429")</f>
        <v>37.737429</v>
      </c>
      <c r="H723" s="18" t="str">
        <f>IFERROR(__xludf.DUMMYFUNCTION("""COMPUTED_VALUE"""),"https://docs.google.com/spreadsheets/d/1H1MjbG2y0oC0hhID4do1G0_gfyI1jag72lQd7nL3WDQ/edit?gid=1303982691#gid=1303982691")</f>
        <v>https://docs.google.com/spreadsheets/d/1H1MjbG2y0oC0hhID4do1G0_gfyI1jag72lQd7nL3WDQ/edit?gid=1303982691#gid=1303982691</v>
      </c>
      <c r="I723" s="19" t="str">
        <f>IFERROR(__xludf.DUMMYFUNCTION("""COMPUTED_VALUE"""),"https://disk.yandex.ru/client/disk/Осмотры%20объектов%20АНО%20СМГ/593.%20Люблинская%20ул.%2C%20з!у%20%2052!1%2C%20%20кв.%20А%2C%20Б%2C%20Г%2C%20Е%2C%20зона%20№%20%201.1")</f>
        <v>https://disk.yandex.ru/client/disk/Осмотры%20объектов%20АНО%20СМГ/593.%20Люблинская%20ул.%2C%20з!у%20%2052!1%2C%20%20кв.%20А%2C%20Б%2C%20Г%2C%20Е%2C%20зона%20№%20%201.1</v>
      </c>
      <c r="J723" s="50">
        <f>IFERROR(__xludf.DUMMYFUNCTION("""COMPUTED_VALUE"""),95.74027499999998)</f>
        <v>95.740275</v>
      </c>
      <c r="K723" s="58">
        <f>IFERROR(__xludf.DUMMYFUNCTION("""COMPUTED_VALUE"""),45952.0)</f>
        <v>45952</v>
      </c>
      <c r="L723" s="6">
        <v>7.0</v>
      </c>
      <c r="M723" s="52">
        <v>45959.0</v>
      </c>
      <c r="N723" s="53" t="s">
        <v>652</v>
      </c>
      <c r="O723" s="19" t="s">
        <v>1105</v>
      </c>
      <c r="P723" s="6"/>
      <c r="Q723" s="6" t="str">
        <f t="shared" si="1"/>
        <v>#N/A</v>
      </c>
      <c r="R723" s="6"/>
    </row>
    <row r="724" hidden="1">
      <c r="A724" s="31" t="str">
        <f>IFERROR(__xludf.DUMMYFUNCTION("""COMPUTED_VALUE"""),"601")</f>
        <v>601</v>
      </c>
      <c r="B724" s="14" t="str">
        <f>IFERROR(__xludf.DUMMYFUNCTION("""COMPUTED_VALUE"""),"РЕН-25")</f>
        <v>РЕН-25</v>
      </c>
      <c r="C724" s="14" t="str">
        <f>IFERROR(__xludf.DUMMYFUNCTION("""COMPUTED_VALUE"""),"ОКС")</f>
        <v>ОКС</v>
      </c>
      <c r="D724" s="6"/>
      <c r="E724" s="14" t="str">
        <f>IFERROR(__xludf.DUMMYFUNCTION("""COMPUTED_VALUE"""),"г. Зеленоград, ул. Заводская, 8 район Крюково, Заводская ул., 8 (со сносом жилых зданий по адресам: ул.Заводская, д.6а; ул. Заводская, д.8; ул. Заводская, д.10; ул. Заводская, д.12а)")</f>
        <v>г. Зеленоград, ул. Заводская, 8 район Крюково, Заводская ул., 8 (со сносом жилых зданий по адресам: ул.Заводская, д.6а; ул. Заводская, д.8; ул. Заводская, д.10; ул. Заводская, д.12а)</v>
      </c>
      <c r="F724" s="25" t="str">
        <f>IFERROR(__xludf.DUMMYFUNCTION("""COMPUTED_VALUE"""),"55.976389")</f>
        <v>55.976389</v>
      </c>
      <c r="G724" s="6" t="str">
        <f>IFERROR(__xludf.DUMMYFUNCTION("""COMPUTED_VALUE"""),"37.177202")</f>
        <v>37.177202</v>
      </c>
      <c r="H724" s="18" t="str">
        <f>IFERROR(__xludf.DUMMYFUNCTION("""COMPUTED_VALUE"""),"https://docs.google.com/spreadsheets/d/1H1MjbG2y0oC0hhID4do1G0_gfyI1jag72lQd7nL3WDQ/edit?gid=1947915664#gid=1947915664")</f>
        <v>https://docs.google.com/spreadsheets/d/1H1MjbG2y0oC0hhID4do1G0_gfyI1jag72lQd7nL3WDQ/edit?gid=1947915664#gid=1947915664</v>
      </c>
      <c r="I724" s="19" t="str">
        <f>IFERROR(__xludf.DUMMYFUNCTION("""COMPUTED_VALUE"""),"https://disk.yandex.ru/client/disk/Осмотры%20объектов%20АНО%20СМГ/601%20Заводская%208%20ЗелАО%20Крюково")</f>
        <v>https://disk.yandex.ru/client/disk/Осмотры%20объектов%20АНО%20СМГ/601%20Заводская%208%20ЗелАО%20Крюково</v>
      </c>
      <c r="J724" s="50">
        <f>IFERROR(__xludf.DUMMYFUNCTION("""COMPUTED_VALUE"""),88.13133499999998)</f>
        <v>88.131335</v>
      </c>
      <c r="K724" s="58">
        <f>IFERROR(__xludf.DUMMYFUNCTION("""COMPUTED_VALUE"""),45960.0)</f>
        <v>45960</v>
      </c>
      <c r="L724" s="6">
        <v>14.0</v>
      </c>
      <c r="M724" s="52">
        <v>45974.0</v>
      </c>
      <c r="N724" s="53" t="s">
        <v>668</v>
      </c>
      <c r="O724" s="19" t="s">
        <v>1106</v>
      </c>
      <c r="P724" s="6"/>
      <c r="Q724" s="6" t="str">
        <f t="shared" si="1"/>
        <v>#N/A</v>
      </c>
      <c r="R724" s="6"/>
    </row>
    <row r="725" hidden="1">
      <c r="A725" s="31" t="str">
        <f>IFERROR(__xludf.DUMMYFUNCTION("""COMPUTED_VALUE"""),"587")</f>
        <v>587</v>
      </c>
      <c r="B725" s="14" t="str">
        <f>IFERROR(__xludf.DUMMYFUNCTION("""COMPUTED_VALUE"""),"РЕН-25")</f>
        <v>РЕН-25</v>
      </c>
      <c r="C725" s="14" t="str">
        <f>IFERROR(__xludf.DUMMYFUNCTION("""COMPUTED_VALUE"""),"ОКС")</f>
        <v>ОКС</v>
      </c>
      <c r="D725" s="6"/>
      <c r="E725" s="14" t="str">
        <f>IFERROR(__xludf.DUMMYFUNCTION("""COMPUTED_VALUE"""),"1-я Мясниковская ул., з/у 16А (участок 2.1) район Богородское, 1-я Мясниковская ул., д. 16А (участок 2.1)")</f>
        <v>1-я Мясниковская ул., з/у 16А (участок 2.1) район Богородское, 1-я Мясниковская ул., д. 16А (участок 2.1)</v>
      </c>
      <c r="F725" s="25" t="str">
        <f>IFERROR(__xludf.DUMMYFUNCTION("""COMPUTED_VALUE"""),"55.817552")</f>
        <v>55.817552</v>
      </c>
      <c r="G725" s="6" t="str">
        <f>IFERROR(__xludf.DUMMYFUNCTION("""COMPUTED_VALUE"""),"37.707709")</f>
        <v>37.707709</v>
      </c>
      <c r="H725" s="18" t="str">
        <f>IFERROR(__xludf.DUMMYFUNCTION("""COMPUTED_VALUE"""),"https://docs.google.com/spreadsheets/d/1H1MjbG2y0oC0hhID4do1G0_gfyI1jag72lQd7nL3WDQ/edit?gid=575501291#gid=575501291")</f>
        <v>https://docs.google.com/spreadsheets/d/1H1MjbG2y0oC0hhID4do1G0_gfyI1jag72lQd7nL3WDQ/edit?gid=575501291#gid=575501291</v>
      </c>
      <c r="I725" s="19" t="str">
        <f>IFERROR(__xludf.DUMMYFUNCTION("""COMPUTED_VALUE"""),"https://disk.yandex.ru/client/disk/Осмотры%20объектов%20АНО%20СМГ/587.%201-я%20Мясниковская%20ул.%2C%20зу%2016а")</f>
        <v>https://disk.yandex.ru/client/disk/Осмотры%20объектов%20АНО%20СМГ/587.%201-я%20Мясниковская%20ул.%2C%20зу%2016а</v>
      </c>
      <c r="J725" s="50">
        <f>IFERROR(__xludf.DUMMYFUNCTION("""COMPUTED_VALUE"""),99.755725)</f>
        <v>99.755725</v>
      </c>
      <c r="K725" s="58">
        <f>IFERROR(__xludf.DUMMYFUNCTION("""COMPUTED_VALUE"""),45952.0)</f>
        <v>45952</v>
      </c>
      <c r="L725" s="6">
        <v>7.0</v>
      </c>
      <c r="M725" s="52">
        <v>45959.0</v>
      </c>
      <c r="N725" s="53" t="s">
        <v>652</v>
      </c>
      <c r="O725" s="19" t="s">
        <v>1107</v>
      </c>
      <c r="P725" s="6"/>
      <c r="Q725" s="6" t="str">
        <f t="shared" si="1"/>
        <v>#N/A</v>
      </c>
      <c r="R725" s="6"/>
    </row>
    <row r="726" hidden="1">
      <c r="A726" s="31" t="str">
        <f>IFERROR(__xludf.DUMMYFUNCTION("""COMPUTED_VALUE"""),"560")</f>
        <v>560</v>
      </c>
      <c r="B726" s="14" t="str">
        <f>IFERROR(__xludf.DUMMYFUNCTION("""COMPUTED_VALUE"""),"РЕН-25")</f>
        <v>РЕН-25</v>
      </c>
      <c r="C726" s="14" t="str">
        <f>IFERROR(__xludf.DUMMYFUNCTION("""COMPUTED_VALUE"""),"ОКС")</f>
        <v>ОКС</v>
      </c>
      <c r="D726" s="6"/>
      <c r="E726" s="14" t="str">
        <f>IFERROR(__xludf.DUMMYFUNCTION("""COMPUTED_VALUE"""),"ул. Щукинская, з/у 7Б (ул. Щукинская. влд. 7) район Щукино, Щукинская ул., з/у 7Б (Щукинская ул., вл. 7)")</f>
        <v>ул. Щукинская, з/у 7Б (ул. Щукинская. влд. 7) район Щукино, Щукинская ул., з/у 7Б (Щукинская ул., вл. 7)</v>
      </c>
      <c r="F726" s="25" t="str">
        <f>IFERROR(__xludf.DUMMYFUNCTION("""COMPUTED_VALUE"""),"55.807700")</f>
        <v>55.807700</v>
      </c>
      <c r="G726" s="6" t="str">
        <f>IFERROR(__xludf.DUMMYFUNCTION("""COMPUTED_VALUE"""),"37.480861")</f>
        <v>37.480861</v>
      </c>
      <c r="H726" s="18" t="str">
        <f>IFERROR(__xludf.DUMMYFUNCTION("""COMPUTED_VALUE"""),"https://docs.google.com/spreadsheets/d/1H1MjbG2y0oC0hhID4do1G0_gfyI1jag72lQd7nL3WDQ/edit?gid=90787826#gid=90787826")</f>
        <v>https://docs.google.com/spreadsheets/d/1H1MjbG2y0oC0hhID4do1G0_gfyI1jag72lQd7nL3WDQ/edit?gid=90787826#gid=90787826</v>
      </c>
      <c r="I726" s="19" t="str">
        <f>IFERROR(__xludf.DUMMYFUNCTION("""COMPUTED_VALUE"""),"https://disk.yandex.ru/client/disk/Осмотры%20объектов%20АНО%20СМГ/560%20Щукинская%207%20Б")</f>
        <v>https://disk.yandex.ru/client/disk/Осмотры%20объектов%20АНО%20СМГ/560%20Щукинская%207%20Б</v>
      </c>
      <c r="J726" s="50">
        <f>IFERROR(__xludf.DUMMYFUNCTION("""COMPUTED_VALUE"""),96.96992499999999)</f>
        <v>96.969925</v>
      </c>
      <c r="K726" s="58">
        <f>IFERROR(__xludf.DUMMYFUNCTION("""COMPUTED_VALUE"""),45952.0)</f>
        <v>45952</v>
      </c>
      <c r="L726" s="6">
        <v>7.0</v>
      </c>
      <c r="M726" s="52">
        <v>45959.0</v>
      </c>
      <c r="N726" s="53" t="s">
        <v>652</v>
      </c>
      <c r="O726" s="19" t="s">
        <v>1108</v>
      </c>
      <c r="P726" s="6"/>
      <c r="Q726" s="6" t="str">
        <f t="shared" si="1"/>
        <v>#N/A</v>
      </c>
      <c r="R726" s="6"/>
    </row>
    <row r="727" hidden="1">
      <c r="A727" s="31" t="str">
        <f>IFERROR(__xludf.DUMMYFUNCTION("""COMPUTED_VALUE"""),"483")</f>
        <v>483</v>
      </c>
      <c r="B727" s="14" t="str">
        <f>IFERROR(__xludf.DUMMYFUNCTION("""COMPUTED_VALUE"""),"РЕН-25")</f>
        <v>РЕН-25</v>
      </c>
      <c r="C727" s="14" t="str">
        <f>IFERROR(__xludf.DUMMYFUNCTION("""COMPUTED_VALUE"""),"ОКС")</f>
        <v>ОКС</v>
      </c>
      <c r="D727" s="6"/>
      <c r="E727" s="14" t="str">
        <f>IFERROR(__xludf.DUMMYFUNCTION("""COMPUTED_VALUE"""),"Изумрудная ул., з/у 28 район Лосиноостровский, Изумрудная ул., вл. 28")</f>
        <v>Изумрудная ул., з/у 28 район Лосиноостровский, Изумрудная ул., вл. 28</v>
      </c>
      <c r="F727" s="25" t="str">
        <f>IFERROR(__xludf.DUMMYFUNCTION("""COMPUTED_VALUE"""),"55.873896")</f>
        <v>55.873896</v>
      </c>
      <c r="G727" s="6" t="str">
        <f>IFERROR(__xludf.DUMMYFUNCTION("""COMPUTED_VALUE"""),"37.687002")</f>
        <v>37.687002</v>
      </c>
      <c r="H727" s="18" t="str">
        <f>IFERROR(__xludf.DUMMYFUNCTION("""COMPUTED_VALUE"""),"https://docs.google.com/spreadsheets/d/1H1MjbG2y0oC0hhID4do1G0_gfyI1jag72lQd7nL3WDQ/edit?gid=1858152678#gid=1858152678")</f>
        <v>https://docs.google.com/spreadsheets/d/1H1MjbG2y0oC0hhID4do1G0_gfyI1jag72lQd7nL3WDQ/edit?gid=1858152678#gid=1858152678</v>
      </c>
      <c r="I727" s="19" t="str">
        <f>IFERROR(__xludf.DUMMYFUNCTION("""COMPUTED_VALUE"""),"https://disk.yandex.ru/client/disk/Осмотры%20объектов%20АНО%20СМГ/483%20Изумрудная%2C%20зу%2028")</f>
        <v>https://disk.yandex.ru/client/disk/Осмотры%20объектов%20АНО%20СМГ/483%20Изумрудная%2C%20зу%2028</v>
      </c>
      <c r="J727" s="50">
        <f>IFERROR(__xludf.DUMMYFUNCTION("""COMPUTED_VALUE"""),99.44018999999999)</f>
        <v>99.44019</v>
      </c>
      <c r="K727" s="58">
        <f>IFERROR(__xludf.DUMMYFUNCTION("""COMPUTED_VALUE"""),45952.0)</f>
        <v>45952</v>
      </c>
      <c r="L727" s="6">
        <v>7.0</v>
      </c>
      <c r="M727" s="52">
        <v>45959.0</v>
      </c>
      <c r="N727" s="53" t="s">
        <v>652</v>
      </c>
      <c r="O727" s="19" t="s">
        <v>1109</v>
      </c>
      <c r="P727" s="6"/>
      <c r="Q727" s="6" t="str">
        <f t="shared" si="1"/>
        <v>#N/A</v>
      </c>
      <c r="R727" s="6"/>
    </row>
    <row r="728" hidden="1">
      <c r="A728" s="31" t="str">
        <f>IFERROR(__xludf.DUMMYFUNCTION("""COMPUTED_VALUE"""),"492")</f>
        <v>492</v>
      </c>
      <c r="B728" s="14" t="str">
        <f>IFERROR(__xludf.DUMMYFUNCTION("""COMPUTED_VALUE"""),"РЕН-25")</f>
        <v>РЕН-25</v>
      </c>
      <c r="C728" s="14" t="str">
        <f>IFERROR(__xludf.DUMMYFUNCTION("""COMPUTED_VALUE"""),"ОКС")</f>
        <v>ОКС</v>
      </c>
      <c r="D728" s="6"/>
      <c r="E728" s="14" t="str">
        <f>IFERROR(__xludf.DUMMYFUNCTION("""COMPUTED_VALUE"""),"Жилой дом с инженерными сетями и благоустройством территории, ЮЗАО, район Котловка, ул. Нагорная, д. 5А район Котловка, Нагорная ул., д. 5А")</f>
        <v>Жилой дом с инженерными сетями и благоустройством территории, ЮЗАО, район Котловка, ул. Нагорная, д. 5А район Котловка, Нагорная ул., д. 5А</v>
      </c>
      <c r="F728" s="25" t="str">
        <f>IFERROR(__xludf.DUMMYFUNCTION("""COMPUTED_VALUE"""),"55.606054")</f>
        <v>55.606054</v>
      </c>
      <c r="G728" s="6" t="str">
        <f>IFERROR(__xludf.DUMMYFUNCTION("""COMPUTED_VALUE"""),"37.369361")</f>
        <v>37.369361</v>
      </c>
      <c r="H728" s="18" t="str">
        <f>IFERROR(__xludf.DUMMYFUNCTION("""COMPUTED_VALUE"""),"https://docs.google.com/spreadsheets/d/1H1MjbG2y0oC0hhID4do1G0_gfyI1jag72lQd7nL3WDQ/edit?gid=1012385907#gid=1012385907")</f>
        <v>https://docs.google.com/spreadsheets/d/1H1MjbG2y0oC0hhID4do1G0_gfyI1jag72lQd7nL3WDQ/edit?gid=1012385907#gid=1012385907</v>
      </c>
      <c r="I728" s="19" t="str">
        <f>IFERROR(__xludf.DUMMYFUNCTION("""COMPUTED_VALUE"""),"https://disk.yandex.ru/client/disk/Осмотры%20объектов%20АНО%20СМГ/492.%20Нагорная%20вл.%205А%20ЖК%20реновация")</f>
        <v>https://disk.yandex.ru/client/disk/Осмотры%20объектов%20АНО%20СМГ/492.%20Нагорная%20вл.%205А%20ЖК%20реновация</v>
      </c>
      <c r="J728" s="50">
        <f>IFERROR(__xludf.DUMMYFUNCTION("""COMPUTED_VALUE"""),100.0)</f>
        <v>100</v>
      </c>
      <c r="K728" s="58">
        <f>IFERROR(__xludf.DUMMYFUNCTION("""COMPUTED_VALUE"""),45952.0)</f>
        <v>45952</v>
      </c>
      <c r="L728" s="6" t="s">
        <v>654</v>
      </c>
      <c r="M728" s="52" t="s">
        <v>655</v>
      </c>
      <c r="N728" s="53" t="s">
        <v>656</v>
      </c>
      <c r="O728" s="19" t="s">
        <v>1110</v>
      </c>
      <c r="P728" s="6"/>
      <c r="Q728" s="6" t="str">
        <f t="shared" si="1"/>
        <v>#N/A</v>
      </c>
      <c r="R728" s="6"/>
    </row>
    <row r="729" hidden="1">
      <c r="A729" s="31" t="str">
        <f>IFERROR(__xludf.DUMMYFUNCTION("""COMPUTED_VALUE"""),"535")</f>
        <v>535</v>
      </c>
      <c r="B729" s="14" t="str">
        <f>IFERROR(__xludf.DUMMYFUNCTION("""COMPUTED_VALUE"""),"РЕН-25")</f>
        <v>РЕН-25</v>
      </c>
      <c r="C729" s="14" t="str">
        <f>IFERROR(__xludf.DUMMYFUNCTION("""COMPUTED_VALUE"""),"ОКС")</f>
        <v>ОКС</v>
      </c>
      <c r="D729" s="6"/>
      <c r="E729" s="14" t="str">
        <f>IFERROR(__xludf.DUMMYFUNCTION("""COMPUTED_VALUE"""),"Ташкентская ул., з/у 14/1 (зона 3.1) Ташкентская ул., з/у 14/1 (зона 3.1)  (Ташкентская ул., д.14 корп.2)")</f>
        <v>Ташкентская ул., з/у 14/1 (зона 3.1) Ташкентская ул., з/у 14/1 (зона 3.1)  (Ташкентская ул., д.14 корп.2)</v>
      </c>
      <c r="F729" s="25" t="str">
        <f>IFERROR(__xludf.DUMMYFUNCTION("""COMPUTED_VALUE"""),"55.704329")</f>
        <v>55.704329</v>
      </c>
      <c r="G729" s="6" t="str">
        <f>IFERROR(__xludf.DUMMYFUNCTION("""COMPUTED_VALUE"""),"37.815570")</f>
        <v>37.815570</v>
      </c>
      <c r="H729" s="18" t="str">
        <f>IFERROR(__xludf.DUMMYFUNCTION("""COMPUTED_VALUE"""),"https://docs.google.com/spreadsheets/d/1H1MjbG2y0oC0hhID4do1G0_gfyI1jag72lQd7nL3WDQ/edit?gid=168468884#gid=168468884")</f>
        <v>https://docs.google.com/spreadsheets/d/1H1MjbG2y0oC0hhID4do1G0_gfyI1jag72lQd7nL3WDQ/edit?gid=168468884#gid=168468884</v>
      </c>
      <c r="I729" s="19" t="str">
        <f>IFERROR(__xludf.DUMMYFUNCTION("""COMPUTED_VALUE"""),"https://disk.yandex.ru/client/disk/Осмотры%20объектов%20АНО%20СМГ/535%20ЮВАО%2C%20район%20Выхино-Жулебино%2C%20ул.%20Ташкентская%20ЗУ%2014.1%2C%20мкр.%20136%2C%20зона%20№%203.1")</f>
        <v>https://disk.yandex.ru/client/disk/Осмотры%20объектов%20АНО%20СМГ/535%20ЮВАО%2C%20район%20Выхино-Жулебино%2C%20ул.%20Ташкентская%20ЗУ%2014.1%2C%20мкр.%20136%2C%20зона%20№%203.1</v>
      </c>
      <c r="J729" s="50">
        <f>IFERROR(__xludf.DUMMYFUNCTION("""COMPUTED_VALUE"""),99.79355000000001)</f>
        <v>99.79355</v>
      </c>
      <c r="K729" s="58">
        <f>IFERROR(__xludf.DUMMYFUNCTION("""COMPUTED_VALUE"""),45968.0)</f>
        <v>45968</v>
      </c>
      <c r="L729" s="6">
        <v>7.0</v>
      </c>
      <c r="M729" s="52">
        <v>45975.0</v>
      </c>
      <c r="N729" s="53" t="s">
        <v>652</v>
      </c>
      <c r="O729" s="19" t="s">
        <v>1111</v>
      </c>
      <c r="P729" s="6"/>
      <c r="Q729" s="6" t="str">
        <f t="shared" si="1"/>
        <v>#N/A</v>
      </c>
      <c r="R729" s="6"/>
    </row>
    <row r="730" hidden="1">
      <c r="A730" s="31" t="str">
        <f>IFERROR(__xludf.DUMMYFUNCTION("""COMPUTED_VALUE"""),"508")</f>
        <v>508</v>
      </c>
      <c r="B730" s="14" t="str">
        <f>IFERROR(__xludf.DUMMYFUNCTION("""COMPUTED_VALUE"""),"РЕН-25")</f>
        <v>РЕН-25</v>
      </c>
      <c r="C730" s="14" t="str">
        <f>IFERROR(__xludf.DUMMYFUNCTION("""COMPUTED_VALUE"""),"ОКС")</f>
        <v>ОКС</v>
      </c>
      <c r="D730" s="6"/>
      <c r="E730" s="14" t="str">
        <f>IFERROR(__xludf.DUMMYFUNCTION("""COMPUTED_VALUE"""),"Амурская ул., з/у 1/19 (зона 1.1) (зона 1.2, 1.5) Амурская ул., д. 1А/1/5, 1А/1/5, 1А/1/1")</f>
        <v>Амурская ул., з/у 1/19 (зона 1.1) (зона 1.2, 1.5) Амурская ул., д. 1А/1/5, 1А/1/5, 1А/1/1</v>
      </c>
      <c r="F730" s="25" t="str">
        <f>IFERROR(__xludf.DUMMYFUNCTION("""COMPUTED_VALUE"""),"55.808799")</f>
        <v>55.808799</v>
      </c>
      <c r="G730" s="6" t="str">
        <f>IFERROR(__xludf.DUMMYFUNCTION("""COMPUTED_VALUE"""),"37.755985")</f>
        <v>37.755985</v>
      </c>
      <c r="H730" s="18" t="str">
        <f>IFERROR(__xludf.DUMMYFUNCTION("""COMPUTED_VALUE"""),"https://docs.google.com/spreadsheets/d/1H1MjbG2y0oC0hhID4do1G0_gfyI1jag72lQd7nL3WDQ/edit?gid=1713147169#gid=1713147169")</f>
        <v>https://docs.google.com/spreadsheets/d/1H1MjbG2y0oC0hhID4do1G0_gfyI1jag72lQd7nL3WDQ/edit?gid=1713147169#gid=1713147169</v>
      </c>
      <c r="I730" s="19" t="str">
        <f>IFERROR(__xludf.DUMMYFUNCTION("""COMPUTED_VALUE"""),"https://disk.yandex.ru/client/disk/Осмотры%20объектов%20АНО%20СМГ/508.%20ВАО%2C%20Амурская%20ул.%20вл%201%20зона%201.1%2C1.2%2C1.5%20(Амурская%20з_у%201_19)")</f>
        <v>https://disk.yandex.ru/client/disk/Осмотры%20объектов%20АНО%20СМГ/508.%20ВАО%2C%20Амурская%20ул.%20вл%201%20зона%201.1%2C1.2%2C1.5%20(Амурская%20з_у%201_19)</v>
      </c>
      <c r="J730" s="50">
        <f>IFERROR(__xludf.DUMMYFUNCTION("""COMPUTED_VALUE"""),99.96799)</f>
        <v>99.96799</v>
      </c>
      <c r="K730" s="58">
        <f>IFERROR(__xludf.DUMMYFUNCTION("""COMPUTED_VALUE"""),45958.0)</f>
        <v>45958</v>
      </c>
      <c r="L730" s="6">
        <v>7.0</v>
      </c>
      <c r="M730" s="52">
        <v>45965.0</v>
      </c>
      <c r="N730" s="53" t="s">
        <v>652</v>
      </c>
      <c r="O730" s="19" t="s">
        <v>1112</v>
      </c>
      <c r="P730" s="6"/>
      <c r="Q730" s="6" t="str">
        <f t="shared" si="1"/>
        <v>#N/A</v>
      </c>
      <c r="R730" s="6"/>
    </row>
    <row r="731" hidden="1">
      <c r="A731" s="31" t="str">
        <f>IFERROR(__xludf.DUMMYFUNCTION("""COMPUTED_VALUE"""),"586")</f>
        <v>586</v>
      </c>
      <c r="B731" s="14" t="str">
        <f>IFERROR(__xludf.DUMMYFUNCTION("""COMPUTED_VALUE"""),"РЕН-25")</f>
        <v>РЕН-25</v>
      </c>
      <c r="C731" s="14" t="str">
        <f>IFERROR(__xludf.DUMMYFUNCTION("""COMPUTED_VALUE"""),"ОКС")</f>
        <v>ОКС</v>
      </c>
      <c r="D731" s="6"/>
      <c r="E731" s="14" t="str">
        <f>IFERROR(__xludf.DUMMYFUNCTION("""COMPUTED_VALUE"""),"Юных Ленинцев ул., з/у 97/4 (вл. 97А) Юных Ленинцев ул., з/у 97/4 (вл. 97А) (Юных Ленинцев,ул., д.99, корп.2)")</f>
        <v>Юных Ленинцев ул., з/у 97/4 (вл. 97А) Юных Ленинцев ул., з/у 97/4 (вл. 97А) (Юных Ленинцев,ул., д.99, корп.2)</v>
      </c>
      <c r="F731" s="25" t="str">
        <f>IFERROR(__xludf.DUMMYFUNCTION("""COMPUTED_VALUE"""),"55.700074")</f>
        <v>55.700074</v>
      </c>
      <c r="G731" s="6" t="str">
        <f>IFERROR(__xludf.DUMMYFUNCTION("""COMPUTED_VALUE"""),"37.780515")</f>
        <v>37.780515</v>
      </c>
      <c r="H731" s="18" t="str">
        <f>IFERROR(__xludf.DUMMYFUNCTION("""COMPUTED_VALUE"""),"https://docs.google.com/spreadsheets/d/1H1MjbG2y0oC0hhID4do1G0_gfyI1jag72lQd7nL3WDQ/edit?gid=1554437241#gid=1554437241")</f>
        <v>https://docs.google.com/spreadsheets/d/1H1MjbG2y0oC0hhID4do1G0_gfyI1jag72lQd7nL3WDQ/edit?gid=1554437241#gid=1554437241</v>
      </c>
      <c r="I731" s="19" t="str">
        <f>IFERROR(__xludf.DUMMYFUNCTION("""COMPUTED_VALUE"""),"https://disk.yandex.ru/client/disk/Осмотры%20объектов%20АНО%20СМГ/586%20ЮВАО%2C%20район%20Кузьминки%2C%20мкр.%20117%2C%20117а%2C%20118%2C%20118а%2C%20119%2C%20зона%20№12.3%20ул.%20Юных%20Ленинцев%20з-у%2097.4")</f>
        <v>https://disk.yandex.ru/client/disk/Осмотры%20объектов%20АНО%20СМГ/586%20ЮВАО%2C%20район%20Кузьминки%2C%20мкр.%20117%2C%20117а%2C%20118%2C%20118а%2C%20119%2C%20зона%20№12.3%20ул.%20Юных%20Ленинцев%20з-у%2097.4</v>
      </c>
      <c r="J731" s="50">
        <f>IFERROR(__xludf.DUMMYFUNCTION("""COMPUTED_VALUE"""),99.9202)</f>
        <v>99.9202</v>
      </c>
      <c r="K731" s="58">
        <f>IFERROR(__xludf.DUMMYFUNCTION("""COMPUTED_VALUE"""),45943.0)</f>
        <v>45943</v>
      </c>
      <c r="L731" s="6">
        <v>7.0</v>
      </c>
      <c r="M731" s="52">
        <v>45950.0</v>
      </c>
      <c r="N731" s="53" t="s">
        <v>652</v>
      </c>
      <c r="O731" s="19" t="s">
        <v>1113</v>
      </c>
      <c r="P731" s="6"/>
      <c r="Q731" s="6" t="str">
        <f t="shared" si="1"/>
        <v>#N/A</v>
      </c>
      <c r="R731" s="6"/>
    </row>
    <row r="732" hidden="1">
      <c r="A732" s="31" t="str">
        <f>IFERROR(__xludf.DUMMYFUNCTION("""COMPUTED_VALUE"""),"539")</f>
        <v>539</v>
      </c>
      <c r="B732" s="14" t="str">
        <f>IFERROR(__xludf.DUMMYFUNCTION("""COMPUTED_VALUE"""),"РЕН-25")</f>
        <v>РЕН-25</v>
      </c>
      <c r="C732" s="14" t="str">
        <f>IFERROR(__xludf.DUMMYFUNCTION("""COMPUTED_VALUE"""),"ОКС")</f>
        <v>ОКС</v>
      </c>
      <c r="D732" s="6"/>
      <c r="E732" s="14" t="str">
        <f>IFERROR(__xludf.DUMMYFUNCTION("""COMPUTED_VALUE"""),"Люблинская ул., з/у 111/2/1 (вл. 111, стр. 2) Люблинская ул., з/у 111/2/1 (вл. 111, стр. 2) (Люблинская,д.109, корп.2)")</f>
        <v>Люблинская ул., з/у 111/2/1 (вл. 111, стр. 2) Люблинская ул., з/у 111/2/1 (вл. 111, стр. 2) (Люблинская,д.109, корп.2)</v>
      </c>
      <c r="F732" s="25" t="str">
        <f>IFERROR(__xludf.DUMMYFUNCTION("""COMPUTED_VALUE"""),"55.682118")</f>
        <v>55.682118</v>
      </c>
      <c r="G732" s="6" t="str">
        <f>IFERROR(__xludf.DUMMYFUNCTION("""COMPUTED_VALUE"""),"37.739842")</f>
        <v>37.739842</v>
      </c>
      <c r="H732" s="18" t="str">
        <f>IFERROR(__xludf.DUMMYFUNCTION("""COMPUTED_VALUE"""),"https://docs.google.com/spreadsheets/d/1H1MjbG2y0oC0hhID4do1G0_gfyI1jag72lQd7nL3WDQ/edit?gid=466795514#gid=466795514")</f>
        <v>https://docs.google.com/spreadsheets/d/1H1MjbG2y0oC0hhID4do1G0_gfyI1jag72lQd7nL3WDQ/edit?gid=466795514#gid=466795514</v>
      </c>
      <c r="I732" s="19" t="str">
        <f>IFERROR(__xludf.DUMMYFUNCTION("""COMPUTED_VALUE"""),"https://disk.yandex.ru/client/disk/Осмотры%20объектов%20АНО%20СМГ/539.%20Ул.%20Люблинская%2C%20з!у%20111-2-1.%20Жилой%20дом")</f>
        <v>https://disk.yandex.ru/client/disk/Осмотры%20объектов%20АНО%20СМГ/539.%20Ул.%20Люблинская%2C%20з!у%20111-2-1.%20Жилой%20дом</v>
      </c>
      <c r="J732" s="50">
        <f>IFERROR(__xludf.DUMMYFUNCTION("""COMPUTED_VALUE"""),99.97555)</f>
        <v>99.97555</v>
      </c>
      <c r="K732" s="58">
        <f>IFERROR(__xludf.DUMMYFUNCTION("""COMPUTED_VALUE"""),45952.0)</f>
        <v>45952</v>
      </c>
      <c r="L732" s="6">
        <v>7.0</v>
      </c>
      <c r="M732" s="52">
        <v>45959.0</v>
      </c>
      <c r="N732" s="53" t="s">
        <v>652</v>
      </c>
      <c r="O732" s="19" t="s">
        <v>1114</v>
      </c>
      <c r="P732" s="6"/>
      <c r="Q732" s="6" t="str">
        <f t="shared" si="1"/>
        <v>#N/A</v>
      </c>
      <c r="R732" s="6"/>
    </row>
    <row r="733" hidden="1">
      <c r="A733" s="31" t="str">
        <f>IFERROR(__xludf.DUMMYFUNCTION("""COMPUTED_VALUE"""),"549")</f>
        <v>549</v>
      </c>
      <c r="B733" s="14" t="str">
        <f>IFERROR(__xludf.DUMMYFUNCTION("""COMPUTED_VALUE"""),"РЕН-25")</f>
        <v>РЕН-25</v>
      </c>
      <c r="C733" s="14" t="str">
        <f>IFERROR(__xludf.DUMMYFUNCTION("""COMPUTED_VALUE"""),"ОКС")</f>
        <v>ОКС</v>
      </c>
      <c r="D733" s="6"/>
      <c r="E733" s="14" t="str">
        <f>IFERROR(__xludf.DUMMYFUNCTION("""COMPUTED_VALUE"""),"Боровский пр., з/у 1/5 (вл. 1) район Солнцево, Боровский проезд, земельный участок 1/5 (3 корпуса)")</f>
        <v>Боровский пр., з/у 1/5 (вл. 1) район Солнцево, Боровский проезд, земельный участок 1/5 (3 корпуса)</v>
      </c>
      <c r="F733" s="25" t="str">
        <f>IFERROR(__xludf.DUMMYFUNCTION("""COMPUTED_VALUE"""),"55.654328")</f>
        <v>55.654328</v>
      </c>
      <c r="G733" s="6" t="str">
        <f>IFERROR(__xludf.DUMMYFUNCTION("""COMPUTED_VALUE"""),"37.390491")</f>
        <v>37.390491</v>
      </c>
      <c r="H733" s="18" t="str">
        <f>IFERROR(__xludf.DUMMYFUNCTION("""COMPUTED_VALUE"""),"https://docs.google.com/spreadsheets/d/1H1MjbG2y0oC0hhID4do1G0_gfyI1jag72lQd7nL3WDQ/edit?gid=1000508457#gid=1000508457")</f>
        <v>https://docs.google.com/spreadsheets/d/1H1MjbG2y0oC0hhID4do1G0_gfyI1jag72lQd7nL3WDQ/edit?gid=1000508457#gid=1000508457</v>
      </c>
      <c r="I733" s="19" t="str">
        <f>IFERROR(__xludf.DUMMYFUNCTION("""COMPUTED_VALUE"""),"https://disk.yandex.ru/client/disk/Осмотры%20объектов%20АНО%20СМГ/549.%20Солнцево%20мкр.%203-3А%2C%20Боровский%20проезд%2C%20з-у%201-5%20зона%203.2")</f>
        <v>https://disk.yandex.ru/client/disk/Осмотры%20объектов%20АНО%20СМГ/549.%20Солнцево%20мкр.%203-3А%2C%20Боровский%20проезд%2C%20з-у%201-5%20зона%203.2</v>
      </c>
      <c r="J733" s="50">
        <f>IFERROR(__xludf.DUMMYFUNCTION("""COMPUTED_VALUE"""),81.70043999999999)</f>
        <v>81.70044</v>
      </c>
      <c r="K733" s="58">
        <f>IFERROR(__xludf.DUMMYFUNCTION("""COMPUTED_VALUE"""),45967.0)</f>
        <v>45967</v>
      </c>
      <c r="L733" s="6">
        <v>14.0</v>
      </c>
      <c r="M733" s="52">
        <v>45981.0</v>
      </c>
      <c r="N733" s="53" t="s">
        <v>741</v>
      </c>
      <c r="O733" s="19" t="s">
        <v>669</v>
      </c>
      <c r="P733" s="6"/>
      <c r="Q733" s="6" t="str">
        <f t="shared" si="1"/>
        <v>#N/A</v>
      </c>
      <c r="R733" s="6"/>
    </row>
    <row r="734" hidden="1">
      <c r="A734" s="31" t="str">
        <f>IFERROR(__xludf.DUMMYFUNCTION("""COMPUTED_VALUE"""),"455")</f>
        <v>455</v>
      </c>
      <c r="B734" s="14" t="str">
        <f>IFERROR(__xludf.DUMMYFUNCTION("""COMPUTED_VALUE"""),"РЕН-25")</f>
        <v>РЕН-25</v>
      </c>
      <c r="C734" s="14" t="str">
        <f>IFERROR(__xludf.DUMMYFUNCTION("""COMPUTED_VALUE"""),"ОКС")</f>
        <v>ОКС</v>
      </c>
      <c r="D734" s="6"/>
      <c r="E734" s="14" t="str">
        <f>IFERROR(__xludf.DUMMYFUNCTION("""COMPUTED_VALUE"""),"шос. Фрезер, з/у 17 (Фрезер ш., вл. 17, стр. 1, 2) район Нижегородский, Фрезер шоссе., з/у 17 (Фрезер ш., вл. 17, стр. 1, 2)")</f>
        <v>шос. Фрезер, з/у 17 (Фрезер ш., вл. 17, стр. 1, 2) район Нижегородский, Фрезер шоссе., з/у 17 (Фрезер ш., вл. 17, стр. 1, 2)</v>
      </c>
      <c r="F734" s="25" t="str">
        <f>IFERROR(__xludf.DUMMYFUNCTION("""COMPUTED_VALUE"""),"55.735347")</f>
        <v>55.735347</v>
      </c>
      <c r="G734" s="6" t="str">
        <f>IFERROR(__xludf.DUMMYFUNCTION("""COMPUTED_VALUE"""),"37.735832")</f>
        <v>37.735832</v>
      </c>
      <c r="H734" s="18" t="str">
        <f>IFERROR(__xludf.DUMMYFUNCTION("""COMPUTED_VALUE"""),"https://docs.google.com/spreadsheets/d/1H1MjbG2y0oC0hhID4do1G0_gfyI1jag72lQd7nL3WDQ/edit?gid=1051331619#gid=1051331619")</f>
        <v>https://docs.google.com/spreadsheets/d/1H1MjbG2y0oC0hhID4do1G0_gfyI1jag72lQd7nL3WDQ/edit?gid=1051331619#gid=1051331619</v>
      </c>
      <c r="I734" s="21" t="str">
        <f>IFERROR(__xludf.DUMMYFUNCTION("""COMPUTED_VALUE"""),"https://disk.yandex.ru/client/disk/%D0%9E%D1%81%D0%BC%D0%BE%D1%82%D1%80%D1%8B%20%D0%BE%D0%B1%D1%8A%D0%B5%D0%BA%D1%82%D0%BE%D0%B2%20%D0%90%D0%9D%D0%9E%20%D0%A1%D0%9C%D0%93/455.%20%D1%83%D0%BB.%20%D0%A4%D1%80%D0%B5%D0%B7%D0%B5%D1%80%20%D0%B7%D1%83%2017%20%D"&amp;"0%A4%D0%A0%20")</f>
        <v>https://disk.yandex.ru/client/disk/%D0%9E%D1%81%D0%BC%D0%BE%D1%82%D1%80%D1%8B%20%D0%BE%D0%B1%D1%8A%D0%B5%D0%BA%D1%82%D0%BE%D0%B2%20%D0%90%D0%9D%D0%9E%20%D0%A1%D0%9C%D0%93/455.%20%D1%83%D0%BB.%20%D0%A4%D1%80%D0%B5%D0%B7%D0%B5%D1%80%20%D0%B7%D1%83%2017%20%D0%A4%D0%A0%20</v>
      </c>
      <c r="J734" s="50">
        <f>IFERROR(__xludf.DUMMYFUNCTION("""COMPUTED_VALUE"""),93.4945)</f>
        <v>93.4945</v>
      </c>
      <c r="K734" s="58">
        <f>IFERROR(__xludf.DUMMYFUNCTION("""COMPUTED_VALUE"""),45951.0)</f>
        <v>45951</v>
      </c>
      <c r="L734" s="6">
        <v>14.0</v>
      </c>
      <c r="M734" s="52">
        <v>45965.0</v>
      </c>
      <c r="N734" s="53" t="s">
        <v>652</v>
      </c>
      <c r="O734" s="19" t="s">
        <v>1115</v>
      </c>
      <c r="P734" s="6"/>
      <c r="Q734" s="6" t="str">
        <f t="shared" si="1"/>
        <v>#N/A</v>
      </c>
      <c r="R734" s="6"/>
    </row>
    <row r="735">
      <c r="A735" s="31" t="str">
        <f>IFERROR(__xludf.DUMMYFUNCTION("""COMPUTED_VALUE"""),"555")</f>
        <v>555</v>
      </c>
      <c r="B735" s="14" t="str">
        <f>IFERROR(__xludf.DUMMYFUNCTION("""COMPUTED_VALUE"""),"РЕН-25")</f>
        <v>РЕН-25</v>
      </c>
      <c r="C735" s="14" t="str">
        <f>IFERROR(__xludf.DUMMYFUNCTION("""COMPUTED_VALUE"""),"ОКС")</f>
        <v>ОКС</v>
      </c>
      <c r="D735" s="6"/>
      <c r="E735" s="14" t="str">
        <f>IFERROR(__xludf.DUMMYFUNCTION("""COMPUTED_VALUE"""),"Севастопольский просп., з/у 46/7 (Севастопольский просп., вблизи д. 46, корп. 7) район Черемушки, Севастопольский пр-кт, вблизи д. 46, к. 7, квартал 32, 33-34, зона № 8.2")</f>
        <v>Севастопольский просп., з/у 46/7 (Севастопольский просп., вблизи д. 46, корп. 7) район Черемушки, Севастопольский пр-кт, вблизи д. 46, к. 7, квартал 32, 33-34, зона № 8.2</v>
      </c>
      <c r="F735" s="25" t="str">
        <f>IFERROR(__xludf.DUMMYFUNCTION("""COMPUTED_VALUE"""),"55.656958")</f>
        <v>55.656958</v>
      </c>
      <c r="G735" s="6" t="str">
        <f>IFERROR(__xludf.DUMMYFUNCTION("""COMPUTED_VALUE"""),"37.565047")</f>
        <v>37.565047</v>
      </c>
      <c r="H735" s="18" t="str">
        <f>IFERROR(__xludf.DUMMYFUNCTION("""COMPUTED_VALUE"""),"https://docs.google.com/spreadsheets/d/1H1MjbG2y0oC0hhID4do1G0_gfyI1jag72lQd7nL3WDQ/edit?gid=1298340576#gid=1298340576")</f>
        <v>https://docs.google.com/spreadsheets/d/1H1MjbG2y0oC0hhID4do1G0_gfyI1jag72lQd7nL3WDQ/edit?gid=1298340576#gid=1298340576</v>
      </c>
      <c r="I735" s="19" t="str">
        <f>IFERROR(__xludf.DUMMYFUNCTION("""COMPUTED_VALUE"""),"https://disk.yandex.ru/client/disk/Осмотры%20объектов%20АНО%20СМГ/555.%20Район%20Черемушки%2C%20Севастопольский%20вблизи%20д46%20к7%2C%20кв%2032%2C33%20зона%208.2")</f>
        <v>https://disk.yandex.ru/client/disk/Осмотры%20объектов%20АНО%20СМГ/555.%20Район%20Черемушки%2C%20Севастопольский%20вблизи%20д46%20к7%2C%20кв%2032%2C33%20зона%208.2</v>
      </c>
      <c r="J735" s="50">
        <f>IFERROR(__xludf.DUMMYFUNCTION("""COMPUTED_VALUE"""),67.18425)</f>
        <v>67.18425</v>
      </c>
      <c r="K735" s="58">
        <f>IFERROR(__xludf.DUMMYFUNCTION("""COMPUTED_VALUE"""),45973.0)</f>
        <v>45973</v>
      </c>
      <c r="L735" s="6">
        <v>14.0</v>
      </c>
      <c r="M735" s="52">
        <v>45987.0</v>
      </c>
      <c r="N735" s="53" t="s">
        <v>711</v>
      </c>
      <c r="O735" s="19" t="s">
        <v>669</v>
      </c>
      <c r="P735" s="6"/>
      <c r="Q735" s="6" t="str">
        <f t="shared" si="1"/>
        <v>555</v>
      </c>
      <c r="R735" s="6"/>
    </row>
    <row r="736" hidden="1">
      <c r="A736" s="31" t="str">
        <f>IFERROR(__xludf.DUMMYFUNCTION("""COMPUTED_VALUE"""),"623")</f>
        <v>623</v>
      </c>
      <c r="B736" s="14" t="str">
        <f>IFERROR(__xludf.DUMMYFUNCTION("""COMPUTED_VALUE"""),"РЕН-25")</f>
        <v>РЕН-25</v>
      </c>
      <c r="C736" s="14" t="str">
        <f>IFERROR(__xludf.DUMMYFUNCTION("""COMPUTED_VALUE"""),"ОКС")</f>
        <v>ОКС</v>
      </c>
      <c r="D736" s="6"/>
      <c r="E736" s="14" t="str">
        <f>IFERROR(__xludf.DUMMYFUNCTION("""COMPUTED_VALUE"""),"Окружная ул., з/у 2А (Окружная ул., 2А, Светлогорский пр-д, 1) район Южное Тушино, Окружная ул., з/у 2А (Окружная ул., 2А, Светлогорский пр-д, 1)")</f>
        <v>Окружная ул., з/у 2А (Окружная ул., 2А, Светлогорский пр-д, 1) район Южное Тушино, Окружная ул., з/у 2А (Окружная ул., 2А, Светлогорский пр-д, 1)</v>
      </c>
      <c r="F736" s="25" t="str">
        <f>IFERROR(__xludf.DUMMYFUNCTION("""COMPUTED_VALUE"""),"55.843424")</f>
        <v>55.843424</v>
      </c>
      <c r="G736" s="6" t="str">
        <f>IFERROR(__xludf.DUMMYFUNCTION("""COMPUTED_VALUE"""),"37.402219")</f>
        <v>37.402219</v>
      </c>
      <c r="H736" s="18" t="str">
        <f>IFERROR(__xludf.DUMMYFUNCTION("""COMPUTED_VALUE"""),"https://docs.google.com/spreadsheets/d/1H1MjbG2y0oC0hhID4do1G0_gfyI1jag72lQd7nL3WDQ/edit?gid=55726116#gid=55726116")</f>
        <v>https://docs.google.com/spreadsheets/d/1H1MjbG2y0oC0hhID4do1G0_gfyI1jag72lQd7nL3WDQ/edit?gid=55726116#gid=55726116</v>
      </c>
      <c r="I736" s="19" t="str">
        <f>IFERROR(__xludf.DUMMYFUNCTION("""COMPUTED_VALUE"""),"https://disk.yandex.ru/client/disk/Осмотры%20объектов%20АНО%20СМГ/623%20Окружная%202%20А")</f>
        <v>https://disk.yandex.ru/client/disk/Осмотры%20объектов%20АНО%20СМГ/623%20Окружная%202%20А</v>
      </c>
      <c r="J736" s="50">
        <f>IFERROR(__xludf.DUMMYFUNCTION("""COMPUTED_VALUE"""),99.99886)</f>
        <v>99.99886</v>
      </c>
      <c r="K736" s="58">
        <f>IFERROR(__xludf.DUMMYFUNCTION("""COMPUTED_VALUE"""),45968.0)</f>
        <v>45968</v>
      </c>
      <c r="L736" s="6">
        <v>7.0</v>
      </c>
      <c r="M736" s="52">
        <v>45975.0</v>
      </c>
      <c r="N736" s="53" t="s">
        <v>652</v>
      </c>
      <c r="O736" s="19" t="s">
        <v>1116</v>
      </c>
      <c r="P736" s="6"/>
      <c r="Q736" s="6" t="str">
        <f t="shared" si="1"/>
        <v>#N/A</v>
      </c>
      <c r="R736" s="6"/>
    </row>
    <row r="737" hidden="1">
      <c r="A737" s="31" t="str">
        <f>IFERROR(__xludf.DUMMYFUNCTION("""COMPUTED_VALUE"""),"572")</f>
        <v>572</v>
      </c>
      <c r="B737" s="14" t="str">
        <f>IFERROR(__xludf.DUMMYFUNCTION("""COMPUTED_VALUE"""),"РЕН-25")</f>
        <v>РЕН-25</v>
      </c>
      <c r="C737" s="14" t="str">
        <f>IFERROR(__xludf.DUMMYFUNCTION("""COMPUTED_VALUE"""),"ОКС")</f>
        <v>ОКС</v>
      </c>
      <c r="D737" s="6"/>
      <c r="E737" s="14" t="str">
        <f>IFERROR(__xludf.DUMMYFUNCTION("""COMPUTED_VALUE"""),"Кантемировская ул., 35 Кантемировская ул., 35 (ул. Кантемировская, д.35А, корп.1, корп.2, корп.3)")</f>
        <v>Кантемировская ул., 35 Кантемировская ул., 35 (ул. Кантемировская, д.35А, корп.1, корп.2, корп.3)</v>
      </c>
      <c r="F737" s="25" t="str">
        <f>IFERROR(__xludf.DUMMYFUNCTION("""COMPUTED_VALUE"""),"55.636685")</f>
        <v>55.636685</v>
      </c>
      <c r="G737" s="6" t="str">
        <f>IFERROR(__xludf.DUMMYFUNCTION("""COMPUTED_VALUE"""),"37.661649")</f>
        <v>37.661649</v>
      </c>
      <c r="H737" s="18" t="str">
        <f>IFERROR(__xludf.DUMMYFUNCTION("""COMPUTED_VALUE"""),"https://docs.google.com/spreadsheets/d/1H1MjbG2y0oC0hhID4do1G0_gfyI1jag72lQd7nL3WDQ/edit?gid=969218818#gid=969218818")</f>
        <v>https://docs.google.com/spreadsheets/d/1H1MjbG2y0oC0hhID4do1G0_gfyI1jag72lQd7nL3WDQ/edit?gid=969218818#gid=969218818</v>
      </c>
      <c r="I737" s="19" t="str">
        <f>IFERROR(__xludf.DUMMYFUNCTION("""COMPUTED_VALUE"""),"https://disk.yandex.ru/client/disk/Осмотры%20объектов%20АНО%20СМГ/572.%20Кантемировская%20ул.%2C%20д.%2035%2C%20ЖК%20реновация")</f>
        <v>https://disk.yandex.ru/client/disk/Осмотры%20объектов%20АНО%20СМГ/572.%20Кантемировская%20ул.%2C%20д.%2035%2C%20ЖК%20реновация</v>
      </c>
      <c r="J737" s="50">
        <f>IFERROR(__xludf.DUMMYFUNCTION("""COMPUTED_VALUE"""),99.40214999999998)</f>
        <v>99.40215</v>
      </c>
      <c r="K737" s="58">
        <f>IFERROR(__xludf.DUMMYFUNCTION("""COMPUTED_VALUE"""),45951.0)</f>
        <v>45951</v>
      </c>
      <c r="L737" s="6">
        <v>7.0</v>
      </c>
      <c r="M737" s="52">
        <v>45958.0</v>
      </c>
      <c r="N737" s="53" t="s">
        <v>652</v>
      </c>
      <c r="O737" s="19" t="s">
        <v>1117</v>
      </c>
      <c r="P737" s="6"/>
      <c r="Q737" s="6" t="str">
        <f t="shared" si="1"/>
        <v>#N/A</v>
      </c>
      <c r="R737" s="6"/>
    </row>
    <row r="738" hidden="1">
      <c r="A738" s="31" t="str">
        <f>IFERROR(__xludf.DUMMYFUNCTION("""COMPUTED_VALUE"""),"606")</f>
        <v>606</v>
      </c>
      <c r="B738" s="14" t="str">
        <f>IFERROR(__xludf.DUMMYFUNCTION("""COMPUTED_VALUE"""),"РЕН-25")</f>
        <v>РЕН-25</v>
      </c>
      <c r="C738" s="14" t="str">
        <f>IFERROR(__xludf.DUMMYFUNCTION("""COMPUTED_VALUE"""),"ОКС")</f>
        <v>ОКС</v>
      </c>
      <c r="D738" s="6"/>
      <c r="E738" s="14" t="str">
        <f>IFERROR(__xludf.DUMMYFUNCTION("""COMPUTED_VALUE"""),"Черноморский б-р, з/у 20 (зона 6.1) Черноморский б-р, з/у 20 (зона 6.1)")</f>
        <v>Черноморский б-р, з/у 20 (зона 6.1) Черноморский б-р, з/у 20 (зона 6.1)</v>
      </c>
      <c r="F738" s="25" t="str">
        <f>IFERROR(__xludf.DUMMYFUNCTION("""COMPUTED_VALUE"""),"55.646259")</f>
        <v>55.646259</v>
      </c>
      <c r="G738" s="6" t="str">
        <f>IFERROR(__xludf.DUMMYFUNCTION("""COMPUTED_VALUE"""),"37.600522")</f>
        <v>37.600522</v>
      </c>
      <c r="H738" s="18" t="str">
        <f>IFERROR(__xludf.DUMMYFUNCTION("""COMPUTED_VALUE"""),"https://docs.google.com/spreadsheets/d/1H1MjbG2y0oC0hhID4do1G0_gfyI1jag72lQd7nL3WDQ/edit?gid=328082788#gid=328082788")</f>
        <v>https://docs.google.com/spreadsheets/d/1H1MjbG2y0oC0hhID4do1G0_gfyI1jag72lQd7nL3WDQ/edit?gid=328082788#gid=328082788</v>
      </c>
      <c r="I738" s="19" t="str">
        <f>IFERROR(__xludf.DUMMYFUNCTION("""COMPUTED_VALUE"""),"https://disk.yandex.ru/client/disk/Осмотры%20объектов%20АНО%20СМГ/606.%20район%20Зюзино%2C%20черноморский%20б-вр%2C%20з_у%2020%2C%20кв%2026-31%2C%20зона%206.1")</f>
        <v>https://disk.yandex.ru/client/disk/Осмотры%20объектов%20АНО%20СМГ/606.%20район%20Зюзино%2C%20черноморский%20б-вр%2C%20з_у%2020%2C%20кв%2026-31%2C%20зона%206.1</v>
      </c>
      <c r="J738" s="50">
        <f>IFERROR(__xludf.DUMMYFUNCTION("""COMPUTED_VALUE"""),96.34420499999999)</f>
        <v>96.344205</v>
      </c>
      <c r="K738" s="58">
        <f>IFERROR(__xludf.DUMMYFUNCTION("""COMPUTED_VALUE"""),45968.0)</f>
        <v>45968</v>
      </c>
      <c r="L738" s="6">
        <v>7.0</v>
      </c>
      <c r="M738" s="52">
        <v>45975.0</v>
      </c>
      <c r="N738" s="53" t="s">
        <v>652</v>
      </c>
      <c r="O738" s="19" t="s">
        <v>1118</v>
      </c>
      <c r="P738" s="6"/>
      <c r="Q738" s="6" t="str">
        <f t="shared" si="1"/>
        <v>#N/A</v>
      </c>
      <c r="R738" s="6"/>
    </row>
    <row r="739" hidden="1">
      <c r="A739" s="31" t="str">
        <f>IFERROR(__xludf.DUMMYFUNCTION("""COMPUTED_VALUE"""),"576")</f>
        <v>576</v>
      </c>
      <c r="B739" s="14" t="str">
        <f>IFERROR(__xludf.DUMMYFUNCTION("""COMPUTED_VALUE"""),"РЕН-25")</f>
        <v>РЕН-25</v>
      </c>
      <c r="C739" s="14" t="str">
        <f>IFERROR(__xludf.DUMMYFUNCTION("""COMPUTED_VALUE"""),"ОКС")</f>
        <v>ОКС</v>
      </c>
      <c r="D739" s="6"/>
      <c r="E739" s="14" t="str">
        <f>IFERROR(__xludf.DUMMYFUNCTION("""COMPUTED_VALUE"""),"Зеленодольская ул., з/у 28/3 (зоны 3.3, 3.4) Зеленодольская ул., з/у 28/3 (зоны 3.3, 3.4)")</f>
        <v>Зеленодольская ул., з/у 28/3 (зоны 3.3, 3.4) Зеленодольская ул., з/у 28/3 (зоны 3.3, 3.4)</v>
      </c>
      <c r="F739" s="25" t="str">
        <f>IFERROR(__xludf.DUMMYFUNCTION("""COMPUTED_VALUE"""),"55.712070")</f>
        <v>55.712070</v>
      </c>
      <c r="G739" s="6" t="str">
        <f>IFERROR(__xludf.DUMMYFUNCTION("""COMPUTED_VALUE"""),"37.770969")</f>
        <v>37.770969</v>
      </c>
      <c r="H739" s="18" t="str">
        <f>IFERROR(__xludf.DUMMYFUNCTION("""COMPUTED_VALUE"""),"https://docs.google.com/spreadsheets/d/1H1MjbG2y0oC0hhID4do1G0_gfyI1jag72lQd7nL3WDQ/edit?gid=2042348028#gid=2042348028")</f>
        <v>https://docs.google.com/spreadsheets/d/1H1MjbG2y0oC0hhID4do1G0_gfyI1jag72lQd7nL3WDQ/edit?gid=2042348028#gid=2042348028</v>
      </c>
      <c r="I739" s="19" t="str">
        <f>IFERROR(__xludf.DUMMYFUNCTION("""COMPUTED_VALUE"""),"https://disk.yandex.ru/client/disk/Осмотры%20объектов%20АНО%20СМГ/576.%20район%20Кузьминки%2C%20ул.%20Зеленодольская%2C%20зу%2028_3")</f>
        <v>https://disk.yandex.ru/client/disk/Осмотры%20объектов%20АНО%20СМГ/576.%20район%20Кузьминки%2C%20ул.%20Зеленодольская%2C%20зу%2028_3</v>
      </c>
      <c r="J739" s="50">
        <f>IFERROR(__xludf.DUMMYFUNCTION("""COMPUTED_VALUE"""),94.36386000000002)</f>
        <v>94.36386</v>
      </c>
      <c r="K739" s="58">
        <f>IFERROR(__xludf.DUMMYFUNCTION("""COMPUTED_VALUE"""),45952.0)</f>
        <v>45952</v>
      </c>
      <c r="L739" s="6">
        <v>7.0</v>
      </c>
      <c r="M739" s="52">
        <v>45959.0</v>
      </c>
      <c r="N739" s="53" t="s">
        <v>668</v>
      </c>
      <c r="O739" s="19" t="s">
        <v>1119</v>
      </c>
      <c r="P739" s="6"/>
      <c r="Q739" s="6" t="str">
        <f t="shared" si="1"/>
        <v>#N/A</v>
      </c>
      <c r="R739" s="6"/>
    </row>
    <row r="740" hidden="1">
      <c r="A740" s="31" t="str">
        <f>IFERROR(__xludf.DUMMYFUNCTION("""COMPUTED_VALUE"""),"541")</f>
        <v>541</v>
      </c>
      <c r="B740" s="14" t="str">
        <f>IFERROR(__xludf.DUMMYFUNCTION("""COMPUTED_VALUE"""),"РЕН-25")</f>
        <v>РЕН-25</v>
      </c>
      <c r="C740" s="14" t="str">
        <f>IFERROR(__xludf.DUMMYFUNCTION("""COMPUTED_VALUE"""),"ОКС")</f>
        <v>ОКС</v>
      </c>
      <c r="D740" s="6"/>
      <c r="E740" s="14" t="str">
        <f>IFERROR(__xludf.DUMMYFUNCTION("""COMPUTED_VALUE"""),"Михалковская ул., вл. 10 район Коптево, ул. Михалковская, з/у 10")</f>
        <v>Михалковская ул., вл. 10 район Коптево, ул. Михалковская, з/у 10</v>
      </c>
      <c r="F740" s="25" t="str">
        <f>IFERROR(__xludf.DUMMYFUNCTION("""COMPUTED_VALUE"""),"55.838020")</f>
        <v>55.838020</v>
      </c>
      <c r="G740" s="6" t="str">
        <f>IFERROR(__xludf.DUMMYFUNCTION("""COMPUTED_VALUE"""),"37.535916")</f>
        <v>37.535916</v>
      </c>
      <c r="H740" s="18" t="str">
        <f>IFERROR(__xludf.DUMMYFUNCTION("""COMPUTED_VALUE"""),"https://docs.google.com/spreadsheets/d/1H1MjbG2y0oC0hhID4do1G0_gfyI1jag72lQd7nL3WDQ/edit?gid=1202640333#gid=1202640333")</f>
        <v>https://docs.google.com/spreadsheets/d/1H1MjbG2y0oC0hhID4do1G0_gfyI1jag72lQd7nL3WDQ/edit?gid=1202640333#gid=1202640333</v>
      </c>
      <c r="I740" s="19" t="str">
        <f>IFERROR(__xludf.DUMMYFUNCTION("""COMPUTED_VALUE"""),"https://disk.yandex.ru/client/disk/Осмотры%20объектов%20АНО%20СМГ/541.%20Михалковская%20зу%2010")</f>
        <v>https://disk.yandex.ru/client/disk/Осмотры%20объектов%20АНО%20СМГ/541.%20Михалковская%20зу%2010</v>
      </c>
      <c r="J740" s="50">
        <f>IFERROR(__xludf.DUMMYFUNCTION("""COMPUTED_VALUE"""),98.93084999999998)</f>
        <v>98.93085</v>
      </c>
      <c r="K740" s="58">
        <f>IFERROR(__xludf.DUMMYFUNCTION("""COMPUTED_VALUE"""),45968.0)</f>
        <v>45968</v>
      </c>
      <c r="L740" s="6">
        <v>7.0</v>
      </c>
      <c r="M740" s="52">
        <v>45975.0</v>
      </c>
      <c r="N740" s="53" t="s">
        <v>652</v>
      </c>
      <c r="O740" s="61" t="s">
        <v>1120</v>
      </c>
      <c r="P740" s="6"/>
      <c r="Q740" s="6" t="str">
        <f t="shared" si="1"/>
        <v>#N/A</v>
      </c>
      <c r="R740" s="6"/>
    </row>
    <row r="741" hidden="1">
      <c r="A741" s="31" t="str">
        <f>IFERROR(__xludf.DUMMYFUNCTION("""COMPUTED_VALUE"""),"554")</f>
        <v>554</v>
      </c>
      <c r="B741" s="14" t="str">
        <f>IFERROR(__xludf.DUMMYFUNCTION("""COMPUTED_VALUE"""),"РЕН-25")</f>
        <v>РЕН-25</v>
      </c>
      <c r="C741" s="14" t="str">
        <f>IFERROR(__xludf.DUMMYFUNCTION("""COMPUTED_VALUE"""),"ОКС")</f>
        <v>ОКС</v>
      </c>
      <c r="D741" s="6"/>
      <c r="E741" s="14" t="str">
        <f>IFERROR(__xludf.DUMMYFUNCTION("""COMPUTED_VALUE"""),"Героев Панфиловцев ул., вл. 39, корп. 2 Район Северное Тушино, ул. Героев Панфиловцев, вл 39, корпус 2")</f>
        <v>Героев Панфиловцев ул., вл. 39, корп. 2 Район Северное Тушино, ул. Героев Панфиловцев, вл 39, корпус 2</v>
      </c>
      <c r="F741" s="25" t="str">
        <f>IFERROR(__xludf.DUMMYFUNCTION("""COMPUTED_VALUE"""),"55.854200")</f>
        <v>55.854200</v>
      </c>
      <c r="G741" s="6" t="str">
        <f>IFERROR(__xludf.DUMMYFUNCTION("""COMPUTED_VALUE"""),"37.411778")</f>
        <v>37.411778</v>
      </c>
      <c r="H741" s="18" t="str">
        <f>IFERROR(__xludf.DUMMYFUNCTION("""COMPUTED_VALUE"""),"https://docs.google.com/spreadsheets/d/1H1MjbG2y0oC0hhID4do1G0_gfyI1jag72lQd7nL3WDQ/edit?gid=1325450813#gid=1325450813")</f>
        <v>https://docs.google.com/spreadsheets/d/1H1MjbG2y0oC0hhID4do1G0_gfyI1jag72lQd7nL3WDQ/edit?gid=1325450813#gid=1325450813</v>
      </c>
      <c r="I741" s="19" t="str">
        <f>IFERROR(__xludf.DUMMYFUNCTION("""COMPUTED_VALUE"""),"https://disk.yandex.ru/client/disk/Осмотры%20объектов%20АНО%20СМГ/554%20Героев%20Панфиловцев%20д%2039%20к%202")</f>
        <v>https://disk.yandex.ru/client/disk/Осмотры%20объектов%20АНО%20СМГ/554%20Героев%20Панфиловцев%20д%2039%20к%202</v>
      </c>
      <c r="J741" s="50">
        <f>IFERROR(__xludf.DUMMYFUNCTION("""COMPUTED_VALUE"""),82.502025)</f>
        <v>82.502025</v>
      </c>
      <c r="K741" s="58">
        <f>IFERROR(__xludf.DUMMYFUNCTION("""COMPUTED_VALUE"""),45961.0)</f>
        <v>45961</v>
      </c>
      <c r="L741" s="6">
        <v>14.0</v>
      </c>
      <c r="M741" s="52">
        <v>45975.0</v>
      </c>
      <c r="N741" s="53" t="s">
        <v>701</v>
      </c>
      <c r="O741" s="19" t="s">
        <v>669</v>
      </c>
      <c r="P741" s="6"/>
      <c r="Q741" s="6" t="str">
        <f t="shared" si="1"/>
        <v>#N/A</v>
      </c>
      <c r="R741" s="6"/>
    </row>
    <row r="742" hidden="1">
      <c r="A742" s="31" t="str">
        <f>IFERROR(__xludf.DUMMYFUNCTION("""COMPUTED_VALUE"""),"558")</f>
        <v>558</v>
      </c>
      <c r="B742" s="14" t="str">
        <f>IFERROR(__xludf.DUMMYFUNCTION("""COMPUTED_VALUE"""),"РЕН-25")</f>
        <v>РЕН-25</v>
      </c>
      <c r="C742" s="14" t="str">
        <f>IFERROR(__xludf.DUMMYFUNCTION("""COMPUTED_VALUE"""),"ОКС")</f>
        <v>ОКС</v>
      </c>
      <c r="D742" s="6"/>
      <c r="E742" s="14" t="str">
        <f>IFERROR(__xludf.DUMMYFUNCTION("""COMPUTED_VALUE"""),"3-й Михалковский пер., вл. 17, вл. 19 (зона 7.2) район Коптево, переулок 3-й Михалковский, земельный участок 17/19 (3-й Михалковский пер., вл. 17, вл. 19)")</f>
        <v>3-й Михалковский пер., вл. 17, вл. 19 (зона 7.2) район Коптево, переулок 3-й Михалковский, земельный участок 17/19 (3-й Михалковский пер., вл. 17, вл. 19)</v>
      </c>
      <c r="F742" s="25" t="str">
        <f>IFERROR(__xludf.DUMMYFUNCTION("""COMPUTED_VALUE"""),"55.835719")</f>
        <v>55.835719</v>
      </c>
      <c r="G742" s="6" t="str">
        <f>IFERROR(__xludf.DUMMYFUNCTION("""COMPUTED_VALUE"""),"37.524640")</f>
        <v>37.524640</v>
      </c>
      <c r="H742" s="18" t="str">
        <f>IFERROR(__xludf.DUMMYFUNCTION("""COMPUTED_VALUE"""),"https://docs.google.com/spreadsheets/d/1H1MjbG2y0oC0hhID4do1G0_gfyI1jag72lQd7nL3WDQ/edit?gid=1578036964#gid=1578036964")</f>
        <v>https://docs.google.com/spreadsheets/d/1H1MjbG2y0oC0hhID4do1G0_gfyI1jag72lQd7nL3WDQ/edit?gid=1578036964#gid=1578036964</v>
      </c>
      <c r="I742" s="19" t="str">
        <f>IFERROR(__xludf.DUMMYFUNCTION("""COMPUTED_VALUE"""),"https://disk.yandex.ru/client/disk/Осмотры%20объектов%20АНО%20СМГ/558.%203-й%20Михалковский%20пер.%2C%20зу%2017-19")</f>
        <v>https://disk.yandex.ru/client/disk/Осмотры%20объектов%20АНО%20СМГ/558.%203-й%20Михалковский%20пер.%2C%20зу%2017-19</v>
      </c>
      <c r="J742" s="50">
        <f>IFERROR(__xludf.DUMMYFUNCTION("""COMPUTED_VALUE"""),98.80094999999999)</f>
        <v>98.80095</v>
      </c>
      <c r="K742" s="58">
        <f>IFERROR(__xludf.DUMMYFUNCTION("""COMPUTED_VALUE"""),45968.0)</f>
        <v>45968</v>
      </c>
      <c r="L742" s="6">
        <v>7.0</v>
      </c>
      <c r="M742" s="52">
        <v>45975.0</v>
      </c>
      <c r="N742" s="53" t="s">
        <v>652</v>
      </c>
      <c r="O742" s="19" t="s">
        <v>1121</v>
      </c>
      <c r="P742" s="6"/>
      <c r="Q742" s="6" t="str">
        <f t="shared" si="1"/>
        <v>#N/A</v>
      </c>
      <c r="R742" s="6"/>
    </row>
    <row r="743" hidden="1">
      <c r="A743" s="31" t="str">
        <f>IFERROR(__xludf.DUMMYFUNCTION("""COMPUTED_VALUE"""),"565")</f>
        <v>565</v>
      </c>
      <c r="B743" s="14" t="str">
        <f>IFERROR(__xludf.DUMMYFUNCTION("""COMPUTED_VALUE"""),"РЕН-25")</f>
        <v>РЕН-25</v>
      </c>
      <c r="C743" s="14" t="str">
        <f>IFERROR(__xludf.DUMMYFUNCTION("""COMPUTED_VALUE"""),"ОКС")</f>
        <v>ОКС</v>
      </c>
      <c r="D743" s="6"/>
      <c r="E743" s="14" t="str">
        <f>IFERROR(__xludf.DUMMYFUNCTION("""COMPUTED_VALUE"""),"Парковая ул., з/у 7 (зона 2.1) поселок Новобратцевский, район Митино, зона №2.1")</f>
        <v>Парковая ул., з/у 7 (зона 2.1) поселок Новобратцевский, район Митино, зона №2.1</v>
      </c>
      <c r="F743" s="25" t="str">
        <f>IFERROR(__xludf.DUMMYFUNCTION("""COMPUTED_VALUE"""),"55.851649")</f>
        <v>55.851649</v>
      </c>
      <c r="G743" s="6" t="str">
        <f>IFERROR(__xludf.DUMMYFUNCTION("""COMPUTED_VALUE"""),"37.382568")</f>
        <v>37.382568</v>
      </c>
      <c r="H743" s="18" t="str">
        <f>IFERROR(__xludf.DUMMYFUNCTION("""COMPUTED_VALUE"""),"https://docs.google.com/spreadsheets/d/1H1MjbG2y0oC0hhID4do1G0_gfyI1jag72lQd7nL3WDQ/edit?gid=1517123869#gid=1517123869")</f>
        <v>https://docs.google.com/spreadsheets/d/1H1MjbG2y0oC0hhID4do1G0_gfyI1jag72lQd7nL3WDQ/edit?gid=1517123869#gid=1517123869</v>
      </c>
      <c r="I743" s="19" t="str">
        <f>IFERROR(__xludf.DUMMYFUNCTION("""COMPUTED_VALUE"""),"https://disk.yandex.ru/client/disk/Осмотры%20объектов%20АНО%20СМГ/565%20Парковая%20зу%207%20Митино")</f>
        <v>https://disk.yandex.ru/client/disk/Осмотры%20объектов%20АНО%20СМГ/565%20Парковая%20зу%207%20Митино</v>
      </c>
      <c r="J743" s="50">
        <f>IFERROR(__xludf.DUMMYFUNCTION("""COMPUTED_VALUE"""),86.98989999999999)</f>
        <v>86.9899</v>
      </c>
      <c r="K743" s="58">
        <f>IFERROR(__xludf.DUMMYFUNCTION("""COMPUTED_VALUE"""),45960.0)</f>
        <v>45960</v>
      </c>
      <c r="L743" s="6">
        <v>14.0</v>
      </c>
      <c r="M743" s="52">
        <v>45974.0</v>
      </c>
      <c r="N743" s="53" t="s">
        <v>668</v>
      </c>
      <c r="O743" s="19" t="s">
        <v>669</v>
      </c>
      <c r="P743" s="6"/>
      <c r="Q743" s="6" t="str">
        <f t="shared" si="1"/>
        <v>#N/A</v>
      </c>
      <c r="R743" s="6"/>
    </row>
    <row r="744" hidden="1">
      <c r="A744" s="31" t="str">
        <f>IFERROR(__xludf.DUMMYFUNCTION("""COMPUTED_VALUE"""),"608")</f>
        <v>608</v>
      </c>
      <c r="B744" s="14" t="str">
        <f>IFERROR(__xludf.DUMMYFUNCTION("""COMPUTED_VALUE"""),"РЕН-25")</f>
        <v>РЕН-25</v>
      </c>
      <c r="C744" s="14" t="str">
        <f>IFERROR(__xludf.DUMMYFUNCTION("""COMPUTED_VALUE"""),"ОКС")</f>
        <v>ОКС</v>
      </c>
      <c r="D744" s="6"/>
      <c r="E744" s="14" t="str">
        <f>IFERROR(__xludf.DUMMYFUNCTION("""COMPUTED_VALUE"""),"Героев Панфиловцев ул., з/у 49 (зона 3.1) район Северное Тушино, улица Героев Панфиловцев, земельный участок 49")</f>
        <v>Героев Панфиловцев ул., з/у 49 (зона 3.1) район Северное Тушино, улица Героев Панфиловцев, земельный участок 49</v>
      </c>
      <c r="F744" s="25" t="str">
        <f>IFERROR(__xludf.DUMMYFUNCTION("""COMPUTED_VALUE"""),"55.852285")</f>
        <v>55.852285</v>
      </c>
      <c r="G744" s="6" t="str">
        <f>IFERROR(__xludf.DUMMYFUNCTION("""COMPUTED_VALUE"""),"37.408515")</f>
        <v>37.408515</v>
      </c>
      <c r="H744" s="18" t="str">
        <f>IFERROR(__xludf.DUMMYFUNCTION("""COMPUTED_VALUE"""),"https://docs.google.com/spreadsheets/d/1H1MjbG2y0oC0hhID4do1G0_gfyI1jag72lQd7nL3WDQ/edit?gid=1413674534#gid=1413674534")</f>
        <v>https://docs.google.com/spreadsheets/d/1H1MjbG2y0oC0hhID4do1G0_gfyI1jag72lQd7nL3WDQ/edit?gid=1413674534#gid=1413674534</v>
      </c>
      <c r="I744" s="19" t="str">
        <f>IFERROR(__xludf.DUMMYFUNCTION("""COMPUTED_VALUE"""),"https://disk.yandex.ru/client/disk/Осмотры%20объектов%20АНО%20СМГ/608%20Героев%20Панфиловцев%20д%2049%20к1%20к2")</f>
        <v>https://disk.yandex.ru/client/disk/Осмотры%20объектов%20АНО%20СМГ/608%20Героев%20Панфиловцев%20д%2049%20к1%20к2</v>
      </c>
      <c r="J744" s="50">
        <f>IFERROR(__xludf.DUMMYFUNCTION("""COMPUTED_VALUE"""),83.40147)</f>
        <v>83.40147</v>
      </c>
      <c r="K744" s="58">
        <f>IFERROR(__xludf.DUMMYFUNCTION("""COMPUTED_VALUE"""),45961.0)</f>
        <v>45961</v>
      </c>
      <c r="L744" s="6">
        <v>14.0</v>
      </c>
      <c r="M744" s="52">
        <v>45975.0</v>
      </c>
      <c r="N744" s="53" t="s">
        <v>701</v>
      </c>
      <c r="O744" s="19" t="s">
        <v>669</v>
      </c>
      <c r="P744" s="6"/>
      <c r="Q744" s="6" t="str">
        <f t="shared" si="1"/>
        <v>#N/A</v>
      </c>
      <c r="R744" s="6"/>
    </row>
    <row r="745" hidden="1">
      <c r="A745" s="31" t="str">
        <f>IFERROR(__xludf.DUMMYFUNCTION("""COMPUTED_VALUE"""),"660")</f>
        <v>660</v>
      </c>
      <c r="B745" s="14" t="str">
        <f>IFERROR(__xludf.DUMMYFUNCTION("""COMPUTED_VALUE"""),"РЕН-25")</f>
        <v>РЕН-25</v>
      </c>
      <c r="C745" s="14" t="str">
        <f>IFERROR(__xludf.DUMMYFUNCTION("""COMPUTED_VALUE"""),"ОКС")</f>
        <v>ОКС</v>
      </c>
      <c r="D745" s="6"/>
      <c r="E745" s="14" t="str">
        <f>IFERROR(__xludf.DUMMYFUNCTION("""COMPUTED_VALUE"""),"улица Свободы,земельный участок 69 (Свободы ул.вл. 69) район Северное Тушино, ул. Свободы, земельный участок 69 (Свободы ул.,вл. 69)")</f>
        <v>улица Свободы,земельный участок 69 (Свободы ул.вл. 69) район Северное Тушино, ул. Свободы, земельный участок 69 (Свободы ул.,вл. 69)</v>
      </c>
      <c r="F745" s="25" t="str">
        <f>IFERROR(__xludf.DUMMYFUNCTION("""COMPUTED_VALUE"""),"55.857513")</f>
        <v>55.857513</v>
      </c>
      <c r="G745" s="6" t="str">
        <f>IFERROR(__xludf.DUMMYFUNCTION("""COMPUTED_VALUE"""),"37.448959")</f>
        <v>37.448959</v>
      </c>
      <c r="H745" s="18" t="str">
        <f>IFERROR(__xludf.DUMMYFUNCTION("""COMPUTED_VALUE"""),"https://docs.google.com/spreadsheets/d/1H1MjbG2y0oC0hhID4do1G0_gfyI1jag72lQd7nL3WDQ/edit?gid=604357555#gid=604357555")</f>
        <v>https://docs.google.com/spreadsheets/d/1H1MjbG2y0oC0hhID4do1G0_gfyI1jag72lQd7nL3WDQ/edit?gid=604357555#gid=604357555</v>
      </c>
      <c r="I745" s="19" t="str">
        <f>IFERROR(__xludf.DUMMYFUNCTION("""COMPUTED_VALUE"""),"https://disk.yandex.ru/client/disk/Осмотры%20объектов%20АНО%20СМГ/660.%20жилой%20дом%20ул.%20Свободы%2069")</f>
        <v>https://disk.yandex.ru/client/disk/Осмотры%20объектов%20АНО%20СМГ/660.%20жилой%20дом%20ул.%20Свободы%2069</v>
      </c>
      <c r="J745" s="50">
        <f>IFERROR(__xludf.DUMMYFUNCTION("""COMPUTED_VALUE"""),52.001819999999995)</f>
        <v>52.00182</v>
      </c>
      <c r="K745" s="58">
        <f>IFERROR(__xludf.DUMMYFUNCTION("""COMPUTED_VALUE"""),45967.0)</f>
        <v>45967</v>
      </c>
      <c r="L745" s="6">
        <v>14.0</v>
      </c>
      <c r="M745" s="52">
        <v>45981.0</v>
      </c>
      <c r="N745" s="53" t="s">
        <v>741</v>
      </c>
      <c r="O745" s="19" t="s">
        <v>1122</v>
      </c>
      <c r="P745" s="6"/>
      <c r="Q745" s="6" t="str">
        <f t="shared" si="1"/>
        <v>#N/A</v>
      </c>
      <c r="R745" s="6"/>
    </row>
    <row r="746" hidden="1">
      <c r="A746" s="31" t="str">
        <f>IFERROR(__xludf.DUMMYFUNCTION("""COMPUTED_VALUE"""),"615")</f>
        <v>615</v>
      </c>
      <c r="B746" s="14" t="str">
        <f>IFERROR(__xludf.DUMMYFUNCTION("""COMPUTED_VALUE"""),"РЕН-25")</f>
        <v>РЕН-25</v>
      </c>
      <c r="C746" s="14" t="str">
        <f>IFERROR(__xludf.DUMMYFUNCTION("""COMPUTED_VALUE"""),"ОКС")</f>
        <v>ОКС</v>
      </c>
      <c r="D746" s="6"/>
      <c r="E746" s="14" t="str">
        <f>IFERROR(__xludf.DUMMYFUNCTION("""COMPUTED_VALUE"""),"Боровское ш., з/у 26 (пересечение Боровского ш. и Чоботовской ул.) Чоботовская, д. 2а")</f>
        <v>Боровское ш., з/у 26 (пересечение Боровского ш. и Чоботовской ул.) Чоботовская, д. 2а</v>
      </c>
      <c r="F746" s="25" t="str">
        <f>IFERROR(__xludf.DUMMYFUNCTION("""COMPUTED_VALUE"""),"55.644663")</f>
        <v>55.644663</v>
      </c>
      <c r="G746" s="6" t="str">
        <f>IFERROR(__xludf.DUMMYFUNCTION("""COMPUTED_VALUE"""),"37.359945")</f>
        <v>37.359945</v>
      </c>
      <c r="H746" s="18" t="str">
        <f>IFERROR(__xludf.DUMMYFUNCTION("""COMPUTED_VALUE"""),"https://docs.google.com/spreadsheets/d/1H1MjbG2y0oC0hhID4do1G0_gfyI1jag72lQd7nL3WDQ/edit?gid=2120381921#gid=2120381921")</f>
        <v>https://docs.google.com/spreadsheets/d/1H1MjbG2y0oC0hhID4do1G0_gfyI1jag72lQd7nL3WDQ/edit?gid=2120381921#gid=2120381921</v>
      </c>
      <c r="I746" s="19" t="str">
        <f>IFERROR(__xludf.DUMMYFUNCTION("""COMPUTED_VALUE"""),"https://disk.yandex.ru/client/disk/Осмотры%20объектов%20АНО%20СМГ/615.%20Район%20Ново-Переделкино%2C%20Боровское%20шоссе%2C%20земельный%20участок%2026")</f>
        <v>https://disk.yandex.ru/client/disk/Осмотры%20объектов%20АНО%20СМГ/615.%20Район%20Ново-Переделкино%2C%20Боровское%20шоссе%2C%20земельный%20участок%2026</v>
      </c>
      <c r="J746" s="50">
        <f>IFERROR(__xludf.DUMMYFUNCTION("""COMPUTED_VALUE"""),99.36855)</f>
        <v>99.36855</v>
      </c>
      <c r="K746" s="58">
        <f>IFERROR(__xludf.DUMMYFUNCTION("""COMPUTED_VALUE"""),45971.0)</f>
        <v>45971</v>
      </c>
      <c r="L746" s="6">
        <v>7.0</v>
      </c>
      <c r="M746" s="52">
        <v>45978.0</v>
      </c>
      <c r="N746" s="53" t="s">
        <v>652</v>
      </c>
      <c r="O746" s="19" t="s">
        <v>1123</v>
      </c>
      <c r="P746" s="6"/>
      <c r="Q746" s="6" t="str">
        <f t="shared" si="1"/>
        <v>#N/A</v>
      </c>
      <c r="R746" s="6"/>
    </row>
    <row r="747" hidden="1">
      <c r="A747" s="31" t="str">
        <f>IFERROR(__xludf.DUMMYFUNCTION("""COMPUTED_VALUE"""),"595")</f>
        <v>595</v>
      </c>
      <c r="B747" s="14" t="str">
        <f>IFERROR(__xludf.DUMMYFUNCTION("""COMPUTED_VALUE"""),"РЕН-25")</f>
        <v>РЕН-25</v>
      </c>
      <c r="C747" s="14" t="str">
        <f>IFERROR(__xludf.DUMMYFUNCTION("""COMPUTED_VALUE"""),"ОКС")</f>
        <v>ОКС</v>
      </c>
      <c r="D747" s="6"/>
      <c r="E747" s="14" t="str">
        <f>IFERROR(__xludf.DUMMYFUNCTION("""COMPUTED_VALUE"""),"Отрадный пр-д, з/у 6/1 (Отрадный пр-д, вл. 6-8) район Отрадное, Отрадное, Отрадный пр-д, з/у 6/1 (Отрадный пр-д, вл. 6-8)")</f>
        <v>Отрадный пр-д, з/у 6/1 (Отрадный пр-д, вл. 6-8) район Отрадное, Отрадное, Отрадный пр-д, з/у 6/1 (Отрадный пр-д, вл. 6-8)</v>
      </c>
      <c r="F747" s="25" t="str">
        <f>IFERROR(__xludf.DUMMYFUNCTION("""COMPUTED_VALUE"""),"55.855397")</f>
        <v>55.855397</v>
      </c>
      <c r="G747" s="6" t="str">
        <f>IFERROR(__xludf.DUMMYFUNCTION("""COMPUTED_VALUE"""),"37.609932")</f>
        <v>37.609932</v>
      </c>
      <c r="H747" s="18" t="str">
        <f>IFERROR(__xludf.DUMMYFUNCTION("""COMPUTED_VALUE"""),"https://docs.google.com/spreadsheets/d/1H1MjbG2y0oC0hhID4do1G0_gfyI1jag72lQd7nL3WDQ/edit?gid=1677110935#gid=1677110935")</f>
        <v>https://docs.google.com/spreadsheets/d/1H1MjbG2y0oC0hhID4do1G0_gfyI1jag72lQd7nL3WDQ/edit?gid=1677110935#gid=1677110935</v>
      </c>
      <c r="I747" s="19" t="str">
        <f>IFERROR(__xludf.DUMMYFUNCTION("""COMPUTED_VALUE"""),"https://disk.yandex.ru/client/disk/Осмотры%20объектов%20АНО%20СМГ/595.%20Отрадный%20проезд%2C%20з.у.%206.1")</f>
        <v>https://disk.yandex.ru/client/disk/Осмотры%20объектов%20АНО%20СМГ/595.%20Отрадный%20проезд%2C%20з.у.%206.1</v>
      </c>
      <c r="J747" s="50">
        <f>IFERROR(__xludf.DUMMYFUNCTION("""COMPUTED_VALUE"""),98.89269999999999)</f>
        <v>98.8927</v>
      </c>
      <c r="K747" s="58">
        <f>IFERROR(__xludf.DUMMYFUNCTION("""COMPUTED_VALUE"""),45952.0)</f>
        <v>45952</v>
      </c>
      <c r="L747" s="6">
        <v>7.0</v>
      </c>
      <c r="M747" s="52">
        <v>45959.0</v>
      </c>
      <c r="N747" s="53" t="s">
        <v>652</v>
      </c>
      <c r="O747" s="19" t="s">
        <v>1124</v>
      </c>
      <c r="P747" s="6"/>
      <c r="Q747" s="6" t="str">
        <f t="shared" si="1"/>
        <v>#N/A</v>
      </c>
      <c r="R747" s="6"/>
    </row>
    <row r="748" hidden="1">
      <c r="A748" s="31" t="str">
        <f>IFERROR(__xludf.DUMMYFUNCTION("""COMPUTED_VALUE"""),"544")</f>
        <v>544</v>
      </c>
      <c r="B748" s="14" t="str">
        <f>IFERROR(__xludf.DUMMYFUNCTION("""COMPUTED_VALUE"""),"РЕН-25")</f>
        <v>РЕН-25</v>
      </c>
      <c r="C748" s="14" t="str">
        <f>IFERROR(__xludf.DUMMYFUNCTION("""COMPUTED_VALUE"""),"ОКС")</f>
        <v>ОКС</v>
      </c>
      <c r="D748" s="6"/>
      <c r="E748" s="14" t="str">
        <f>IFERROR(__xludf.DUMMYFUNCTION("""COMPUTED_VALUE"""),"Жилой дом с инженерными
сетями и благоустройством
территории (со сносом зданий
расположенных по адресам:
город Москва, Северное
Бутово, Феодосийская ул., д.
3; Феодосийская ул., д. 5;
Феодосийская ул., д. 7) район Северное Бутово, ул. Феодосийская д.5")</f>
        <v>Жилой дом с инженерными
сетями и благоустройством
территории (со сносом зданий
расположенных по адресам:
город Москва, Северное
Бутово, Феодосийская ул., д.
3; Феодосийская ул., д. 5;
Феодосийская ул., д. 7) район Северное Бутово, ул. Феодосийская д.5</v>
      </c>
      <c r="F748" s="25" t="str">
        <f>IFERROR(__xludf.DUMMYFUNCTION("""COMPUTED_VALUE"""),"55.563100")</f>
        <v>55.563100</v>
      </c>
      <c r="G748" s="6" t="str">
        <f>IFERROR(__xludf.DUMMYFUNCTION("""COMPUTED_VALUE"""),"37.579658")</f>
        <v>37.579658</v>
      </c>
      <c r="H748" s="18" t="str">
        <f>IFERROR(__xludf.DUMMYFUNCTION("""COMPUTED_VALUE"""),"https://docs.google.com/spreadsheets/d/1H1MjbG2y0oC0hhID4do1G0_gfyI1jag72lQd7nL3WDQ/edit?gid=1191711449#gid=1191711449")</f>
        <v>https://docs.google.com/spreadsheets/d/1H1MjbG2y0oC0hhID4do1G0_gfyI1jag72lQd7nL3WDQ/edit?gid=1191711449#gid=1191711449</v>
      </c>
      <c r="I748" s="19" t="str">
        <f>IFERROR(__xludf.DUMMYFUNCTION("""COMPUTED_VALUE"""),"https://disk.yandex.ru/client/disk/Осмотры%20объектов%20АНО%20СМГ/544.%20Феодосийская%20зу7")</f>
        <v>https://disk.yandex.ru/client/disk/Осмотры%20объектов%20АНО%20СМГ/544.%20Феодосийская%20зу7</v>
      </c>
      <c r="J748" s="50">
        <f>IFERROR(__xludf.DUMMYFUNCTION("""COMPUTED_VALUE"""),96.023675)</f>
        <v>96.023675</v>
      </c>
      <c r="K748" s="58">
        <f>IFERROR(__xludf.DUMMYFUNCTION("""COMPUTED_VALUE"""),45971.0)</f>
        <v>45971</v>
      </c>
      <c r="L748" s="6">
        <v>7.0</v>
      </c>
      <c r="M748" s="52">
        <v>45978.0</v>
      </c>
      <c r="N748" s="53" t="s">
        <v>652</v>
      </c>
      <c r="O748" s="19" t="s">
        <v>1125</v>
      </c>
      <c r="P748" s="6"/>
      <c r="Q748" s="6" t="str">
        <f t="shared" si="1"/>
        <v>#N/A</v>
      </c>
      <c r="R748" s="6"/>
    </row>
    <row r="749" hidden="1">
      <c r="A749" s="31" t="str">
        <f>IFERROR(__xludf.DUMMYFUNCTION("""COMPUTED_VALUE"""),"602")</f>
        <v>602</v>
      </c>
      <c r="B749" s="14" t="str">
        <f>IFERROR(__xludf.DUMMYFUNCTION("""COMPUTED_VALUE"""),"РЕН-25")</f>
        <v>РЕН-25</v>
      </c>
      <c r="C749" s="14" t="str">
        <f>IFERROR(__xludf.DUMMYFUNCTION("""COMPUTED_VALUE"""),"ОКС")</f>
        <v>ОКС</v>
      </c>
      <c r="D749" s="6"/>
      <c r="E749" s="14" t="str">
        <f>IFERROR(__xludf.DUMMYFUNCTION("""COMPUTED_VALUE"""),"ул. 2-я Хуторская, з/у 31А район Савеловский, ул. 2-я Хуторская улица, дом 33 корпус 2;
дом 33 корпус 1")</f>
        <v>ул. 2-я Хуторская, з/у 31А район Савеловский, ул. 2-я Хуторская улица, дом 33 корпус 2;
дом 33 корпус 1</v>
      </c>
      <c r="F749" s="25" t="str">
        <f>IFERROR(__xludf.DUMMYFUNCTION("""COMPUTED_VALUE"""),"55.804361")</f>
        <v>55.804361</v>
      </c>
      <c r="G749" s="6" t="str">
        <f>IFERROR(__xludf.DUMMYFUNCTION("""COMPUTED_VALUE"""),"37.567554")</f>
        <v>37.567554</v>
      </c>
      <c r="H749" s="18" t="str">
        <f>IFERROR(__xludf.DUMMYFUNCTION("""COMPUTED_VALUE"""),"https://docs.google.com/spreadsheets/d/1H1MjbG2y0oC0hhID4do1G0_gfyI1jag72lQd7nL3WDQ/edit?gid=1870096044#gid=1870096044")</f>
        <v>https://docs.google.com/spreadsheets/d/1H1MjbG2y0oC0hhID4do1G0_gfyI1jag72lQd7nL3WDQ/edit?gid=1870096044#gid=1870096044</v>
      </c>
      <c r="I749" s="19" t="str">
        <f>IFERROR(__xludf.DUMMYFUNCTION("""COMPUTED_VALUE"""),"https://disk.yandex.ru/client/disk/Осмотры%20объектов%20АНО%20СМГ/602.%202-ая%20Хуторская%20ул.%2C%20зу%2031а")</f>
        <v>https://disk.yandex.ru/client/disk/Осмотры%20объектов%20АНО%20СМГ/602.%202-ая%20Хуторская%20ул.%2C%20зу%2031а</v>
      </c>
      <c r="J749" s="50">
        <f>IFERROR(__xludf.DUMMYFUNCTION("""COMPUTED_VALUE"""),91.06339999999999)</f>
        <v>91.0634</v>
      </c>
      <c r="K749" s="58">
        <f>IFERROR(__xludf.DUMMYFUNCTION("""COMPUTED_VALUE"""),45972.0)</f>
        <v>45972</v>
      </c>
      <c r="L749" s="6">
        <v>14.0</v>
      </c>
      <c r="M749" s="52">
        <v>45986.0</v>
      </c>
      <c r="N749" s="53" t="s">
        <v>652</v>
      </c>
      <c r="O749" s="19" t="s">
        <v>1126</v>
      </c>
      <c r="P749" s="6"/>
      <c r="Q749" s="6" t="str">
        <f t="shared" si="1"/>
        <v>#N/A</v>
      </c>
      <c r="R749" s="6"/>
    </row>
    <row r="750" hidden="1">
      <c r="A750" s="31" t="str">
        <f>IFERROR(__xludf.DUMMYFUNCTION("""COMPUTED_VALUE"""),"545")</f>
        <v>545</v>
      </c>
      <c r="B750" s="14" t="str">
        <f>IFERROR(__xludf.DUMMYFUNCTION("""COMPUTED_VALUE"""),"РЕН-25")</f>
        <v>РЕН-25</v>
      </c>
      <c r="C750" s="14" t="str">
        <f>IFERROR(__xludf.DUMMYFUNCTION("""COMPUTED_VALUE"""),"ОКС")</f>
        <v>ОКС</v>
      </c>
      <c r="D750" s="6"/>
      <c r="E750" s="14" t="str">
        <f>IFERROR(__xludf.DUMMYFUNCTION("""COMPUTED_VALUE"""),"г. Московский, ул. Никитина, 9 район Московский, г. Московский, ул. Никитина, 9")</f>
        <v>г. Московский, ул. Никитина, 9 район Московский, г. Московский, ул. Никитина, 9</v>
      </c>
      <c r="F750" s="25" t="str">
        <f>IFERROR(__xludf.DUMMYFUNCTION("""COMPUTED_VALUE"""),"55.606618")</f>
        <v>55.606618</v>
      </c>
      <c r="G750" s="6" t="str">
        <f>IFERROR(__xludf.DUMMYFUNCTION("""COMPUTED_VALUE"""),"37.371306")</f>
        <v>37.371306</v>
      </c>
      <c r="H750" s="18" t="str">
        <f>IFERROR(__xludf.DUMMYFUNCTION("""COMPUTED_VALUE"""),"https://docs.google.com/spreadsheets/d/1H1MjbG2y0oC0hhID4do1G0_gfyI1jag72lQd7nL3WDQ/edit?gid=1300457232#gid=1300457232")</f>
        <v>https://docs.google.com/spreadsheets/d/1H1MjbG2y0oC0hhID4do1G0_gfyI1jag72lQd7nL3WDQ/edit?gid=1300457232#gid=1300457232</v>
      </c>
      <c r="I750" s="19" t="str">
        <f>IFERROR(__xludf.DUMMYFUNCTION("""COMPUTED_VALUE"""),"https://disk.yandex.ru/client/disk/Осмотры%20объектов%20АНО%20СМГ/545.%20район%20Московский%2C%20г.%20Московский%2C%20%20ул.%20Никитина%2C%209")</f>
        <v>https://disk.yandex.ru/client/disk/Осмотры%20объектов%20АНО%20СМГ/545.%20район%20Московский%2C%20г.%20Московский%2C%20%20ул.%20Никитина%2C%209</v>
      </c>
      <c r="J750" s="50">
        <f>IFERROR(__xludf.DUMMYFUNCTION("""COMPUTED_VALUE"""),78.39822)</f>
        <v>78.39822</v>
      </c>
      <c r="K750" s="58">
        <f>IFERROR(__xludf.DUMMYFUNCTION("""COMPUTED_VALUE"""),45959.0)</f>
        <v>45959</v>
      </c>
      <c r="L750" s="6">
        <v>14.0</v>
      </c>
      <c r="M750" s="52">
        <v>45973.0</v>
      </c>
      <c r="N750" s="53" t="s">
        <v>668</v>
      </c>
      <c r="O750" s="19" t="s">
        <v>1127</v>
      </c>
      <c r="P750" s="6"/>
      <c r="Q750" s="6" t="str">
        <f t="shared" si="1"/>
        <v>#N/A</v>
      </c>
      <c r="R750" s="6"/>
    </row>
    <row r="751" hidden="1">
      <c r="A751" s="31" t="str">
        <f>IFERROR(__xludf.DUMMYFUNCTION("""COMPUTED_VALUE"""),"553")</f>
        <v>553</v>
      </c>
      <c r="B751" s="14" t="str">
        <f>IFERROR(__xludf.DUMMYFUNCTION("""COMPUTED_VALUE"""),"РЕН-25")</f>
        <v>РЕН-25</v>
      </c>
      <c r="C751" s="14" t="str">
        <f>IFERROR(__xludf.DUMMYFUNCTION("""COMPUTED_VALUE"""),"ОКС")</f>
        <v>ОКС</v>
      </c>
      <c r="D751" s="6"/>
      <c r="E751" s="14" t="str">
        <f>IFERROR(__xludf.DUMMYFUNCTION("""COMPUTED_VALUE"""),"Верхоянская ул., з/у 14 (Зоны 10.1, 10.2, 10.3) район Бабушкинский, Верхоянская ул., з/у 14 (Зоны 10.1, 10.2, 10.3)")</f>
        <v>Верхоянская ул., з/у 14 (Зоны 10.1, 10.2, 10.3) район Бабушкинский, Верхоянская ул., з/у 14 (Зоны 10.1, 10.2, 10.3)</v>
      </c>
      <c r="F751" s="25" t="str">
        <f>IFERROR(__xludf.DUMMYFUNCTION("""COMPUTED_VALUE"""),"55.857841")</f>
        <v>55.857841</v>
      </c>
      <c r="G751" s="6" t="str">
        <f>IFERROR(__xludf.DUMMYFUNCTION("""COMPUTED_VALUE"""),"37.664879")</f>
        <v>37.664879</v>
      </c>
      <c r="H751" s="18" t="str">
        <f>IFERROR(__xludf.DUMMYFUNCTION("""COMPUTED_VALUE"""),"https://docs.google.com/spreadsheets/d/1H1MjbG2y0oC0hhID4do1G0_gfyI1jag72lQd7nL3WDQ/edit?gid=815627436#gid=815627436")</f>
        <v>https://docs.google.com/spreadsheets/d/1H1MjbG2y0oC0hhID4do1G0_gfyI1jag72lQd7nL3WDQ/edit?gid=815627436#gid=815627436</v>
      </c>
      <c r="I751" s="19" t="str">
        <f>IFERROR(__xludf.DUMMYFUNCTION("""COMPUTED_VALUE"""),"https://disk.yandex.ru/client/disk/Осмотры%20объектов%20АНО%20СМГ/553.%20ул.%20Верхоянская%20зу%2014")</f>
        <v>https://disk.yandex.ru/client/disk/Осмотры%20объектов%20АНО%20СМГ/553.%20ул.%20Верхоянская%20зу%2014</v>
      </c>
      <c r="J751" s="50">
        <f>IFERROR(__xludf.DUMMYFUNCTION("""COMPUTED_VALUE"""),89.66385000000001)</f>
        <v>89.66385</v>
      </c>
      <c r="K751" s="58">
        <f>IFERROR(__xludf.DUMMYFUNCTION("""COMPUTED_VALUE"""),45971.0)</f>
        <v>45971</v>
      </c>
      <c r="L751" s="6">
        <v>14.0</v>
      </c>
      <c r="M751" s="52">
        <v>45985.0</v>
      </c>
      <c r="N751" s="53" t="s">
        <v>711</v>
      </c>
      <c r="O751" s="19" t="s">
        <v>669</v>
      </c>
      <c r="P751" s="6"/>
      <c r="Q751" s="6" t="str">
        <f t="shared" si="1"/>
        <v>#N/A</v>
      </c>
      <c r="R751" s="6"/>
    </row>
    <row r="752" hidden="1">
      <c r="A752" s="31" t="str">
        <f>IFERROR(__xludf.DUMMYFUNCTION("""COMPUTED_VALUE"""),"517")</f>
        <v>517</v>
      </c>
      <c r="B752" s="14" t="str">
        <f>IFERROR(__xludf.DUMMYFUNCTION("""COMPUTED_VALUE"""),"РЕН-25")</f>
        <v>РЕН-25</v>
      </c>
      <c r="C752" s="14" t="str">
        <f>IFERROR(__xludf.DUMMYFUNCTION("""COMPUTED_VALUE"""),"ОКС")</f>
        <v>ОКС</v>
      </c>
      <c r="D752" s="6"/>
      <c r="E752" s="14" t="str">
        <f>IFERROR(__xludf.DUMMYFUNCTION("""COMPUTED_VALUE"""),"Измайловский б-р, вл. 71 (Измайловский б-р, вл. 71/25) Измайловский б-р, вл. 71 (Измайловский б-р, вл. 71/25)")</f>
        <v>Измайловский б-р, вл. 71 (Измайловский б-р, вл. 71/25) Измайловский б-р, вл. 71 (Измайловский б-р, вл. 71/25)</v>
      </c>
      <c r="F752" s="25" t="str">
        <f>IFERROR(__xludf.DUMMYFUNCTION("""COMPUTED_VALUE"""),"55.797771")</f>
        <v>55.797771</v>
      </c>
      <c r="G752" s="6" t="str">
        <f>IFERROR(__xludf.DUMMYFUNCTION("""COMPUTED_VALUE"""),"37.817609")</f>
        <v>37.817609</v>
      </c>
      <c r="H752" s="18" t="str">
        <f>IFERROR(__xludf.DUMMYFUNCTION("""COMPUTED_VALUE"""),"https://docs.google.com/spreadsheets/d/1H1MjbG2y0oC0hhID4do1G0_gfyI1jag72lQd7nL3WDQ/edit?gid=1927985373#gid=1927985373")</f>
        <v>https://docs.google.com/spreadsheets/d/1H1MjbG2y0oC0hhID4do1G0_gfyI1jag72lQd7nL3WDQ/edit?gid=1927985373#gid=1927985373</v>
      </c>
      <c r="I752" s="19" t="str">
        <f>IFERROR(__xludf.DUMMYFUNCTION("""COMPUTED_VALUE"""),"https://disk.yandex.ru/client/disk/Осмотры%20объектов%20АНО%20СМГ/517.%20Измайлово%2C%20Измайловский%20б-р%2C%20вл.%2071")</f>
        <v>https://disk.yandex.ru/client/disk/Осмотры%20объектов%20АНО%20СМГ/517.%20Измайлово%2C%20Измайловский%20б-р%2C%20вл.%2071</v>
      </c>
      <c r="J752" s="50">
        <f>IFERROR(__xludf.DUMMYFUNCTION("""COMPUTED_VALUE"""),97.357075)</f>
        <v>97.357075</v>
      </c>
      <c r="K752" s="58">
        <f>IFERROR(__xludf.DUMMYFUNCTION("""COMPUTED_VALUE"""),45952.0)</f>
        <v>45952</v>
      </c>
      <c r="L752" s="6">
        <v>7.0</v>
      </c>
      <c r="M752" s="52">
        <v>45959.0</v>
      </c>
      <c r="N752" s="53" t="s">
        <v>652</v>
      </c>
      <c r="O752" s="19" t="s">
        <v>1128</v>
      </c>
      <c r="P752" s="6"/>
      <c r="Q752" s="6" t="str">
        <f t="shared" si="1"/>
        <v>#N/A</v>
      </c>
      <c r="R752" s="6"/>
    </row>
    <row r="753" hidden="1">
      <c r="A753" s="31" t="str">
        <f>IFERROR(__xludf.DUMMYFUNCTION("""COMPUTED_VALUE"""),"562")</f>
        <v>562</v>
      </c>
      <c r="B753" s="14" t="str">
        <f>IFERROR(__xludf.DUMMYFUNCTION("""COMPUTED_VALUE"""),"РЕН-25")</f>
        <v>РЕН-25</v>
      </c>
      <c r="C753" s="14" t="str">
        <f>IFERROR(__xludf.DUMMYFUNCTION("""COMPUTED_VALUE"""),"ОКС")</f>
        <v>ОКС</v>
      </c>
      <c r="D753" s="6"/>
      <c r="E753" s="14" t="str">
        <f>IFERROR(__xludf.DUMMYFUNCTION("""COMPUTED_VALUE"""),"Жигулевская ул., з/у 12/6, з/у 12/6/1 (Жигулевская ул., д. 12, корп. 6) Жигулевская ул., з/у 12/6, з/у 12/6/1 (Жигулевская ул., д. 12, корп. 6)")</f>
        <v>Жигулевская ул., з/у 12/6, з/у 12/6/1 (Жигулевская ул., д. 12, корп. 6) Жигулевская ул., з/у 12/6, з/у 12/6/1 (Жигулевская ул., д. 12, корп. 6)</v>
      </c>
      <c r="F753" s="25" t="str">
        <f>IFERROR(__xludf.DUMMYFUNCTION("""COMPUTED_VALUE"""),"55.710282")</f>
        <v>55.710282</v>
      </c>
      <c r="G753" s="6" t="str">
        <f>IFERROR(__xludf.DUMMYFUNCTION("""COMPUTED_VALUE"""),"37.758707")</f>
        <v>37.758707</v>
      </c>
      <c r="H753" s="18" t="str">
        <f>IFERROR(__xludf.DUMMYFUNCTION("""COMPUTED_VALUE"""),"https://docs.google.com/spreadsheets/d/1H1MjbG2y0oC0hhID4do1G0_gfyI1jag72lQd7nL3WDQ/edit?gid=1589045795#gid=1589045795")</f>
        <v>https://docs.google.com/spreadsheets/d/1H1MjbG2y0oC0hhID4do1G0_gfyI1jag72lQd7nL3WDQ/edit?gid=1589045795#gid=1589045795</v>
      </c>
      <c r="I753" s="21" t="str">
        <f>IFERROR(__xludf.DUMMYFUNCTION("""COMPUTED_VALUE"""),"https://disk.yandex.ru/client/disk/%D0%9E%D1%81%D0%BC%D0%BE%D1%82%D1%80%D1%8B%20%D0%BE%D0%B1%D1%8A%D0%B5%D0%BA%D1%82%D0%BE%D0%B2%20%D0%90%D0%9D%D0%9E%20%D0%A1%D0%9C%D0%93/562.%20%D1%80%D0%B0%D0%B9%D0%BE%D0%BD%20%D0%9A%D1%83%D0%B7%D1%8C%D0%BC%D0%B8%D0%BD%D"&amp;"0%BA%D0%B8%2C%20%D0%96%D0%B8%D0%B3%D1%83%D0%BB%D0%B5%D0%B2%D1%81%D0%BA%D0%B0%D1%8F%20%D1%83%D0%BB.%2C12.6.1%20%D0%B7%D0%BE%D0%BD%D0%B0%205.1%20(%D0%96%D0%B8%D0%BB%D0%BE%D0%B9%20%D0%B4%D0%BE%D0%BC%20%D0%9A.5%20(%D0%BC%D0%BA%D1%80.115)%20")</f>
        <v>https://disk.yandex.ru/client/disk/%D0%9E%D1%81%D0%BC%D0%BE%D1%82%D1%80%D1%8B%20%D0%BE%D0%B1%D1%8A%D0%B5%D0%BA%D1%82%D0%BE%D0%B2%20%D0%90%D0%9D%D0%9E%20%D0%A1%D0%9C%D0%93/562.%20%D1%80%D0%B0%D0%B9%D0%BE%D0%BD%20%D0%9A%D1%83%D0%B7%D1%8C%D0%BC%D0%B8%D0%BD%D0%BA%D0%B8%2C%20%D0%96%D0%B8%D0%B3%D1%83%D0%BB%D0%B5%D0%B2%D1%81%D0%BA%D0%B0%D1%8F%20%D1%83%D0%BB.%2C12.6.1%20%D0%B7%D0%BE%D0%BD%D0%B0%205.1%20(%D0%96%D0%B8%D0%BB%D0%BE%D0%B9%20%D0%B4%D0%BE%D0%BC%20%D0%9A.5%20(%D0%BC%D0%BA%D1%80.115)%20</v>
      </c>
      <c r="J753" s="50">
        <f>IFERROR(__xludf.DUMMYFUNCTION("""COMPUTED_VALUE"""),93.36587499999999)</f>
        <v>93.365875</v>
      </c>
      <c r="K753" s="58">
        <f>IFERROR(__xludf.DUMMYFUNCTION("""COMPUTED_VALUE"""),45952.0)</f>
        <v>45952</v>
      </c>
      <c r="L753" s="6">
        <v>14.0</v>
      </c>
      <c r="M753" s="52">
        <v>45966.0</v>
      </c>
      <c r="N753" s="53" t="s">
        <v>652</v>
      </c>
      <c r="O753" s="19" t="s">
        <v>1129</v>
      </c>
      <c r="P753" s="6"/>
      <c r="Q753" s="6" t="str">
        <f t="shared" si="1"/>
        <v>#N/A</v>
      </c>
      <c r="R753" s="6"/>
    </row>
    <row r="754" hidden="1">
      <c r="A754" s="31" t="str">
        <f>IFERROR(__xludf.DUMMYFUNCTION("""COMPUTED_VALUE"""),"599")</f>
        <v>599</v>
      </c>
      <c r="B754" s="14" t="str">
        <f>IFERROR(__xludf.DUMMYFUNCTION("""COMPUTED_VALUE"""),"РЕН-25")</f>
        <v>РЕН-25</v>
      </c>
      <c r="C754" s="14" t="str">
        <f>IFERROR(__xludf.DUMMYFUNCTION("""COMPUTED_VALUE"""),"ОКС")</f>
        <v>ОКС</v>
      </c>
      <c r="D754" s="6"/>
      <c r="E754" s="14" t="str">
        <f>IFERROR(__xludf.DUMMYFUNCTION("""COMPUTED_VALUE"""),"Онежская ул., з/у 33 (вл. 31, зона 16.6) Онежская ул., з/у 33 (вл. 31, зона 16.6)")</f>
        <v>Онежская ул., з/у 33 (вл. 31, зона 16.6) Онежская ул., з/у 33 (вл. 31, зона 16.6)</v>
      </c>
      <c r="F754" s="25" t="str">
        <f>IFERROR(__xludf.DUMMYFUNCTION("""COMPUTED_VALUE"""),"55.854714")</f>
        <v>55.854714</v>
      </c>
      <c r="G754" s="6" t="str">
        <f>IFERROR(__xludf.DUMMYFUNCTION("""COMPUTED_VALUE"""),"37.513183")</f>
        <v>37.513183</v>
      </c>
      <c r="H754" s="18" t="str">
        <f>IFERROR(__xludf.DUMMYFUNCTION("""COMPUTED_VALUE"""),"https://docs.google.com/spreadsheets/d/1H1MjbG2y0oC0hhID4do1G0_gfyI1jag72lQd7nL3WDQ/edit?gid=397817205#gid=397817205")</f>
        <v>https://docs.google.com/spreadsheets/d/1H1MjbG2y0oC0hhID4do1G0_gfyI1jag72lQd7nL3WDQ/edit?gid=397817205#gid=397817205</v>
      </c>
      <c r="I754" s="19" t="str">
        <f>IFERROR(__xludf.DUMMYFUNCTION("""COMPUTED_VALUE"""),"https://disk.yandex.ru/client/disk/Осмотры%20объектов%20АНО%20СМГ/599.%20Онежская%2C%20зу%2033")</f>
        <v>https://disk.yandex.ru/client/disk/Осмотры%20объектов%20АНО%20СМГ/599.%20Онежская%2C%20зу%2033</v>
      </c>
      <c r="J754" s="50">
        <f>IFERROR(__xludf.DUMMYFUNCTION("""COMPUTED_VALUE"""),72.640515)</f>
        <v>72.640515</v>
      </c>
      <c r="K754" s="58">
        <f>IFERROR(__xludf.DUMMYFUNCTION("""COMPUTED_VALUE"""),45953.0)</f>
        <v>45953</v>
      </c>
      <c r="L754" s="6">
        <v>14.0</v>
      </c>
      <c r="M754" s="52">
        <v>45967.0</v>
      </c>
      <c r="N754" s="53" t="s">
        <v>668</v>
      </c>
      <c r="O754" s="19" t="s">
        <v>669</v>
      </c>
      <c r="P754" s="6"/>
      <c r="Q754" s="6" t="str">
        <f t="shared" si="1"/>
        <v>#N/A</v>
      </c>
      <c r="R754" s="6"/>
    </row>
    <row r="755">
      <c r="A755" s="31" t="str">
        <f>IFERROR(__xludf.DUMMYFUNCTION("""COMPUTED_VALUE"""),"710")</f>
        <v>710</v>
      </c>
      <c r="B755" s="14" t="str">
        <f>IFERROR(__xludf.DUMMYFUNCTION("""COMPUTED_VALUE"""),"РЕН-25")</f>
        <v>РЕН-25</v>
      </c>
      <c r="C755" s="14" t="str">
        <f>IFERROR(__xludf.DUMMYFUNCTION("""COMPUTED_VALUE"""),"ОКС")</f>
        <v>ОКС</v>
      </c>
      <c r="D755" s="6"/>
      <c r="E755" s="14" t="str">
        <f>IFERROR(__xludf.DUMMYFUNCTION("""COMPUTED_VALUE"""),"Сиреневый бульвар, з/у 4/9, зона 6,1 Сиреневый бульвар, з/у 4/9, зона 6,1")</f>
        <v>Сиреневый бульвар, з/у 4/9, зона 6,1 Сиреневый бульвар, з/у 4/9, зона 6,1</v>
      </c>
      <c r="F755" s="25" t="str">
        <f>IFERROR(__xludf.DUMMYFUNCTION("""COMPUTED_VALUE"""),"55.796229")</f>
        <v>55.796229</v>
      </c>
      <c r="G755" s="6" t="str">
        <f>IFERROR(__xludf.DUMMYFUNCTION("""COMPUTED_VALUE"""),"37.759937")</f>
        <v>37.759937</v>
      </c>
      <c r="H755" s="18" t="str">
        <f>IFERROR(__xludf.DUMMYFUNCTION("""COMPUTED_VALUE"""),"https://docs.google.com/spreadsheets/d/1H1MjbG2y0oC0hhID4do1G0_gfyI1jag72lQd7nL3WDQ/edit?gid=84528393#gid=84528393")</f>
        <v>https://docs.google.com/spreadsheets/d/1H1MjbG2y0oC0hhID4do1G0_gfyI1jag72lQd7nL3WDQ/edit?gid=84528393#gid=84528393</v>
      </c>
      <c r="I755" s="19" t="str">
        <f>IFERROR(__xludf.DUMMYFUNCTION("""COMPUTED_VALUE"""),"https://disk.yandex.ru/client/disk/Осмотры%20объектов%20АНО%20СМГ/710%20Сиреневый%20бульвар%2C%20зу%204%209%2C%20зона%206.1")</f>
        <v>https://disk.yandex.ru/client/disk/Осмотры%20объектов%20АНО%20СМГ/710%20Сиреневый%20бульвар%2C%20зу%204%209%2C%20зона%206.1</v>
      </c>
      <c r="J755" s="50">
        <f>IFERROR(__xludf.DUMMYFUNCTION("""COMPUTED_VALUE"""),73.159005)</f>
        <v>73.159005</v>
      </c>
      <c r="K755" s="58">
        <f>IFERROR(__xludf.DUMMYFUNCTION("""COMPUTED_VALUE"""),45973.0)</f>
        <v>45973</v>
      </c>
      <c r="L755" s="6">
        <v>14.0</v>
      </c>
      <c r="M755" s="52">
        <v>45987.0</v>
      </c>
      <c r="N755" s="53" t="s">
        <v>711</v>
      </c>
      <c r="O755" s="19" t="s">
        <v>1130</v>
      </c>
      <c r="P755" s="6"/>
      <c r="Q755" s="6" t="str">
        <f t="shared" si="1"/>
        <v>710</v>
      </c>
      <c r="R755" s="6"/>
    </row>
    <row r="756">
      <c r="A756" s="31" t="str">
        <f>IFERROR(__xludf.DUMMYFUNCTION("""COMPUTED_VALUE"""),"532")</f>
        <v>532</v>
      </c>
      <c r="B756" s="14" t="str">
        <f>IFERROR(__xludf.DUMMYFUNCTION("""COMPUTED_VALUE"""),"РЕН-25")</f>
        <v>РЕН-25</v>
      </c>
      <c r="C756" s="14" t="str">
        <f>IFERROR(__xludf.DUMMYFUNCTION("""COMPUTED_VALUE"""),"ОКС")</f>
        <v>ОКС</v>
      </c>
      <c r="D756" s="6"/>
      <c r="E756" s="14" t="str">
        <f>IFERROR(__xludf.DUMMYFUNCTION("""COMPUTED_VALUE"""),"Михайлова ул., з/у 15 (Михайлова ул., вл. 15, корп. 1 и 2) Михайлова ул., з/у 15 (Михайлова ул., вл. 15, корп. 1 и 2)")</f>
        <v>Михайлова ул., з/у 15 (Михайлова ул., вл. 15, корп. 1 и 2) Михайлова ул., з/у 15 (Михайлова ул., вл. 15, корп. 1 и 2)</v>
      </c>
      <c r="F756" s="25" t="str">
        <f>IFERROR(__xludf.DUMMYFUNCTION("""COMPUTED_VALUE"""),"55.728195")</f>
        <v>55.728195</v>
      </c>
      <c r="G756" s="6" t="str">
        <f>IFERROR(__xludf.DUMMYFUNCTION("""COMPUTED_VALUE"""),"37.765938")</f>
        <v>37.765938</v>
      </c>
      <c r="H756" s="18" t="str">
        <f>IFERROR(__xludf.DUMMYFUNCTION("""COMPUTED_VALUE"""),"https://docs.google.com/spreadsheets/d/1H1MjbG2y0oC0hhID4do1G0_gfyI1jag72lQd7nL3WDQ/edit?gid=1217417878#gid=1217417878")</f>
        <v>https://docs.google.com/spreadsheets/d/1H1MjbG2y0oC0hhID4do1G0_gfyI1jag72lQd7nL3WDQ/edit?gid=1217417878#gid=1217417878</v>
      </c>
      <c r="I756" s="19" t="str">
        <f>IFERROR(__xludf.DUMMYFUNCTION("""COMPUTED_VALUE"""),"https://disk.yandex.ru/client/disk/Осмотры%20объектов%20АНО%20СМГ/532%20район%20Рязанский%2C%20Михайлова%20ул.%2C%20зу%2015")</f>
        <v>https://disk.yandex.ru/client/disk/Осмотры%20объектов%20АНО%20СМГ/532%20район%20Рязанский%2C%20Михайлова%20ул.%2C%20зу%2015</v>
      </c>
      <c r="J756" s="50">
        <f>IFERROR(__xludf.DUMMYFUNCTION("""COMPUTED_VALUE"""),82.348275)</f>
        <v>82.348275</v>
      </c>
      <c r="K756" s="58">
        <f>IFERROR(__xludf.DUMMYFUNCTION("""COMPUTED_VALUE"""),45973.0)</f>
        <v>45973</v>
      </c>
      <c r="L756" s="6">
        <v>14.0</v>
      </c>
      <c r="M756" s="52">
        <v>45987.0</v>
      </c>
      <c r="N756" s="53" t="s">
        <v>711</v>
      </c>
      <c r="O756" s="19" t="s">
        <v>669</v>
      </c>
      <c r="P756" s="6"/>
      <c r="Q756" s="6" t="str">
        <f t="shared" si="1"/>
        <v>532</v>
      </c>
      <c r="R756" s="6"/>
    </row>
    <row r="757">
      <c r="A757" s="31" t="str">
        <f>IFERROR(__xludf.DUMMYFUNCTION("""COMPUTED_VALUE"""),"616")</f>
        <v>616</v>
      </c>
      <c r="B757" s="14" t="str">
        <f>IFERROR(__xludf.DUMMYFUNCTION("""COMPUTED_VALUE"""),"РЕН-25")</f>
        <v>РЕН-25</v>
      </c>
      <c r="C757" s="14" t="str">
        <f>IFERROR(__xludf.DUMMYFUNCTION("""COMPUTED_VALUE"""),"ОКС")</f>
        <v>ОКС</v>
      </c>
      <c r="D757" s="6"/>
      <c r="E757" s="14" t="str">
        <f>IFERROR(__xludf.DUMMYFUNCTION("""COMPUTED_VALUE"""),"Сиреневый б-р, з/у 4/9, зона 6,2 Сиреневый б-р, з/у 4/9, зона 6,2")</f>
        <v>Сиреневый б-р, з/у 4/9, зона 6,2 Сиреневый б-р, з/у 4/9, зона 6,2</v>
      </c>
      <c r="F757" s="25" t="str">
        <f>IFERROR(__xludf.DUMMYFUNCTION("""COMPUTED_VALUE"""),"55.796435")</f>
        <v>55.796435</v>
      </c>
      <c r="G757" s="6" t="str">
        <f>IFERROR(__xludf.DUMMYFUNCTION("""COMPUTED_VALUE"""),"37.761761")</f>
        <v>37.761761</v>
      </c>
      <c r="H757" s="18" t="str">
        <f>IFERROR(__xludf.DUMMYFUNCTION("""COMPUTED_VALUE"""),"https://docs.google.com/spreadsheets/d/1H1MjbG2y0oC0hhID4do1G0_gfyI1jag72lQd7nL3WDQ/edit?gid=632665949#gid=632665949")</f>
        <v>https://docs.google.com/spreadsheets/d/1H1MjbG2y0oC0hhID4do1G0_gfyI1jag72lQd7nL3WDQ/edit?gid=632665949#gid=632665949</v>
      </c>
      <c r="I757" s="19" t="str">
        <f>IFERROR(__xludf.DUMMYFUNCTION("""COMPUTED_VALUE"""),"https://disk.yandex.ru/client/disk/Осмотры%20объектов%20АНО%20СМГ/616.%20Измайлово%2C%20Сиреневый%20бульв%20ар%2C%20зу%204.9%2C%20зона%206.2")</f>
        <v>https://disk.yandex.ru/client/disk/Осмотры%20объектов%20АНО%20СМГ/616.%20Измайлово%2C%20Сиреневый%20бульв%20ар%2C%20зу%204.9%2C%20зона%206.2</v>
      </c>
      <c r="J757" s="50">
        <f>IFERROR(__xludf.DUMMYFUNCTION("""COMPUTED_VALUE"""),84.976475)</f>
        <v>84.976475</v>
      </c>
      <c r="K757" s="58">
        <f>IFERROR(__xludf.DUMMYFUNCTION("""COMPUTED_VALUE"""),45973.0)</f>
        <v>45973</v>
      </c>
      <c r="L757" s="6">
        <v>14.0</v>
      </c>
      <c r="M757" s="52">
        <v>45987.0</v>
      </c>
      <c r="N757" s="53" t="s">
        <v>711</v>
      </c>
      <c r="O757" s="19" t="s">
        <v>1130</v>
      </c>
      <c r="P757" s="6"/>
      <c r="Q757" s="6" t="str">
        <f t="shared" si="1"/>
        <v>616</v>
      </c>
      <c r="R757" s="6"/>
    </row>
    <row r="758" hidden="1">
      <c r="A758" s="31" t="str">
        <f>IFERROR(__xludf.DUMMYFUNCTION("""COMPUTED_VALUE"""),"633")</f>
        <v>633</v>
      </c>
      <c r="B758" s="14" t="str">
        <f>IFERROR(__xludf.DUMMYFUNCTION("""COMPUTED_VALUE"""),"РЕН-25")</f>
        <v>РЕН-25</v>
      </c>
      <c r="C758" s="14" t="str">
        <f>IFERROR(__xludf.DUMMYFUNCTION("""COMPUTED_VALUE"""),"ОКС")</f>
        <v>ОКС</v>
      </c>
      <c r="D758" s="6"/>
      <c r="E758" s="14" t="str">
        <f>IFERROR(__xludf.DUMMYFUNCTION("""COMPUTED_VALUE"""),"  Жилой дом с приспособлением подземного гаража под укрытие - 1100 мест для обеспечения защиты населения в период чрезвычайных ситуаций (ЗСГО), с инженерными сетями и благоустройством территории (со сносом жилого дома по адресу:  ул. Демьяна Бедного, д. 2"&amp;"2, корп. 3), СЗАО, район Хорошево-Мневники, улица Демьяна Бедного, земельный участок 22/3 улица Демьяна Бедного, д. 22А")</f>
        <v>  Жилой дом с приспособлением подземного гаража под укрытие - 1100 мест для обеспечения защиты населения в период чрезвычайных ситуаций (ЗСГО), с инженерными сетями и благоустройством территории (со сносом жилого дома по адресу:  ул. Демьяна Бедного, д. 22, корп. 3), СЗАО, район Хорошево-Мневники, улица Демьяна Бедного, земельный участок 22/3 улица Демьяна Бедного, д. 22А</v>
      </c>
      <c r="F758" s="25" t="str">
        <f>IFERROR(__xludf.DUMMYFUNCTION("""COMPUTED_VALUE"""),"55.779795")</f>
        <v>55.779795</v>
      </c>
      <c r="G758" s="6" t="str">
        <f>IFERROR(__xludf.DUMMYFUNCTION("""COMPUTED_VALUE"""),"37.490684")</f>
        <v>37.490684</v>
      </c>
      <c r="H758" s="18" t="str">
        <f>IFERROR(__xludf.DUMMYFUNCTION("""COMPUTED_VALUE"""),"https://docs.google.com/spreadsheets/d/1H1MjbG2y0oC0hhID4do1G0_gfyI1jag72lQd7nL3WDQ/edit?gid=1409357007#gid=1409357007")</f>
        <v>https://docs.google.com/spreadsheets/d/1H1MjbG2y0oC0hhID4do1G0_gfyI1jag72lQd7nL3WDQ/edit?gid=1409357007#gid=1409357007</v>
      </c>
      <c r="I758" s="19" t="str">
        <f>IFERROR(__xludf.DUMMYFUNCTION("""COMPUTED_VALUE"""),"https://disk.yandex.ru/client/disk/Осмотры%20объектов%20АНО%20СМГ/633.%20Демьяна%20бедного%2022.3%20жилой%20дом")</f>
        <v>https://disk.yandex.ru/client/disk/Осмотры%20объектов%20АНО%20СМГ/633.%20Демьяна%20бедного%2022.3%20жилой%20дом</v>
      </c>
      <c r="J758" s="50">
        <f>IFERROR(__xludf.DUMMYFUNCTION("""COMPUTED_VALUE"""),88.49032)</f>
        <v>88.49032</v>
      </c>
      <c r="K758" s="58">
        <f>IFERROR(__xludf.DUMMYFUNCTION("""COMPUTED_VALUE"""),45952.0)</f>
        <v>45952</v>
      </c>
      <c r="L758" s="6">
        <v>14.0</v>
      </c>
      <c r="M758" s="52">
        <v>45966.0</v>
      </c>
      <c r="N758" s="53" t="s">
        <v>652</v>
      </c>
      <c r="O758" s="19" t="s">
        <v>1131</v>
      </c>
      <c r="P758" s="6"/>
      <c r="Q758" s="6" t="str">
        <f t="shared" si="1"/>
        <v>#N/A</v>
      </c>
      <c r="R758" s="6"/>
    </row>
    <row r="759" hidden="1">
      <c r="A759" s="31" t="str">
        <f>IFERROR(__xludf.DUMMYFUNCTION("""COMPUTED_VALUE"""),"575")</f>
        <v>575</v>
      </c>
      <c r="B759" s="14" t="str">
        <f>IFERROR(__xludf.DUMMYFUNCTION("""COMPUTED_VALUE"""),"РЕН-25")</f>
        <v>РЕН-25</v>
      </c>
      <c r="C759" s="14" t="str">
        <f>IFERROR(__xludf.DUMMYFUNCTION("""COMPUTED_VALUE"""),"ОКС")</f>
        <v>ОКС</v>
      </c>
      <c r="D759" s="6"/>
      <c r="E759" s="14" t="str">
        <f>IFERROR(__xludf.DUMMYFUNCTION("""COMPUTED_VALUE"""),"Спортивный пр., з/у 6А/6 (зоны 12.2 и 12.3) Спортивный пр., д.6А, стр. 1 (зоны 12.2 и 12.3)")</f>
        <v>Спортивный пр., з/у 6А/6 (зоны 12.2 и 12.3) Спортивный пр., д.6А, стр. 1 (зоны 12.2 и 12.3)</v>
      </c>
      <c r="F759" s="25" t="str">
        <f>IFERROR(__xludf.DUMMYFUNCTION("""COMPUTED_VALUE"""),"55.682163")</f>
        <v>55.682163</v>
      </c>
      <c r="G759" s="6" t="str">
        <f>IFERROR(__xludf.DUMMYFUNCTION("""COMPUTED_VALUE"""),"37.753146")</f>
        <v>37.753146</v>
      </c>
      <c r="H759" s="18" t="str">
        <f>IFERROR(__xludf.DUMMYFUNCTION("""COMPUTED_VALUE"""),"https://docs.google.com/spreadsheets/d/1H1MjbG2y0oC0hhID4do1G0_gfyI1jag72lQd7nL3WDQ/edit?gid=765483752#gid=765483752")</f>
        <v>https://docs.google.com/spreadsheets/d/1H1MjbG2y0oC0hhID4do1G0_gfyI1jag72lQd7nL3WDQ/edit?gid=765483752#gid=765483752</v>
      </c>
      <c r="I759" s="19" t="str">
        <f>IFERROR(__xludf.DUMMYFUNCTION("""COMPUTED_VALUE"""),"https://disk.yandex.ru/client/disk/Осмотры%20объектов%20АНО%20СМГ/575.%20Спортивный%20проезд%2C%20д.6А%2C%20стр.6")</f>
        <v>https://disk.yandex.ru/client/disk/Осмотры%20объектов%20АНО%20СМГ/575.%20Спортивный%20проезд%2C%20д.6А%2C%20стр.6</v>
      </c>
      <c r="J759" s="50">
        <f>IFERROR(__xludf.DUMMYFUNCTION("""COMPUTED_VALUE"""),88.77659499999999)</f>
        <v>88.776595</v>
      </c>
      <c r="K759" s="58">
        <f>IFERROR(__xludf.DUMMYFUNCTION("""COMPUTED_VALUE"""),45951.0)</f>
        <v>45951</v>
      </c>
      <c r="L759" s="6">
        <v>14.0</v>
      </c>
      <c r="M759" s="52">
        <v>45965.0</v>
      </c>
      <c r="N759" s="53" t="s">
        <v>652</v>
      </c>
      <c r="O759" s="19" t="s">
        <v>1132</v>
      </c>
      <c r="P759" s="6"/>
      <c r="Q759" s="6" t="str">
        <f t="shared" si="1"/>
        <v>#N/A</v>
      </c>
      <c r="R759" s="6"/>
    </row>
    <row r="760" hidden="1">
      <c r="A760" s="31" t="str">
        <f>IFERROR(__xludf.DUMMYFUNCTION("""COMPUTED_VALUE"""),"534")</f>
        <v>534</v>
      </c>
      <c r="B760" s="14" t="str">
        <f>IFERROR(__xludf.DUMMYFUNCTION("""COMPUTED_VALUE"""),"РЕН-25")</f>
        <v>РЕН-25</v>
      </c>
      <c r="C760" s="14" t="str">
        <f>IFERROR(__xludf.DUMMYFUNCTION("""COMPUTED_VALUE"""),"ОКС")</f>
        <v>ОКС</v>
      </c>
      <c r="D760" s="6"/>
      <c r="E760" s="14" t="str">
        <f>IFERROR(__xludf.DUMMYFUNCTION("""COMPUTED_VALUE"""),"Черского пр., з/у 21Б (зона 2.1) район Алтуфьевский, проезд Черского, з/у 21Б, участок 2.1 (со сносом здания дошкольного образования по адресу: проезд Черского, дом 21Б)")</f>
        <v>Черского пр., з/у 21Б (зона 2.1) район Алтуфьевский, проезд Черского, з/у 21Б, участок 2.1 (со сносом здания дошкольного образования по адресу: проезд Черского, дом 21Б)</v>
      </c>
      <c r="F760" s="25" t="str">
        <f>IFERROR(__xludf.DUMMYFUNCTION("""COMPUTED_VALUE"""),"55.875551")</f>
        <v>55.875551</v>
      </c>
      <c r="G760" s="6" t="str">
        <f>IFERROR(__xludf.DUMMYFUNCTION("""COMPUTED_VALUE"""),"37.575576")</f>
        <v>37.575576</v>
      </c>
      <c r="H760" s="18" t="str">
        <f>IFERROR(__xludf.DUMMYFUNCTION("""COMPUTED_VALUE"""),"https://docs.google.com/spreadsheets/d/1H1MjbG2y0oC0hhID4do1G0_gfyI1jag72lQd7nL3WDQ/edit?gid=656187579#gid=656187579")</f>
        <v>https://docs.google.com/spreadsheets/d/1H1MjbG2y0oC0hhID4do1G0_gfyI1jag72lQd7nL3WDQ/edit?gid=656187579#gid=656187579</v>
      </c>
      <c r="I760" s="19" t="str">
        <f>IFERROR(__xludf.DUMMYFUNCTION("""COMPUTED_VALUE"""),"https://disk.yandex.ru/client/disk/Осмотры%20объектов%20АНО%20СМГ/534.%20проезд%20Черского%2C%20вл.%2021Б")</f>
        <v>https://disk.yandex.ru/client/disk/Осмотры%20объектов%20АНО%20СМГ/534.%20проезд%20Черского%2C%20вл.%2021Б</v>
      </c>
      <c r="J760" s="50">
        <f>IFERROR(__xludf.DUMMYFUNCTION("""COMPUTED_VALUE"""),89.567075)</f>
        <v>89.567075</v>
      </c>
      <c r="K760" s="58">
        <f>IFERROR(__xludf.DUMMYFUNCTION("""COMPUTED_VALUE"""),45952.0)</f>
        <v>45952</v>
      </c>
      <c r="L760" s="6">
        <v>14.0</v>
      </c>
      <c r="M760" s="52">
        <v>45966.0</v>
      </c>
      <c r="N760" s="53" t="s">
        <v>652</v>
      </c>
      <c r="O760" s="19" t="s">
        <v>1133</v>
      </c>
      <c r="P760" s="6"/>
      <c r="Q760" s="6" t="str">
        <f t="shared" si="1"/>
        <v>#N/A</v>
      </c>
      <c r="R760" s="6"/>
    </row>
    <row r="761" hidden="1">
      <c r="A761" s="31" t="str">
        <f>IFERROR(__xludf.DUMMYFUNCTION("""COMPUTED_VALUE"""),"538")</f>
        <v>538</v>
      </c>
      <c r="B761" s="14" t="str">
        <f>IFERROR(__xludf.DUMMYFUNCTION("""COMPUTED_VALUE"""),"РЕН-25")</f>
        <v>РЕН-25</v>
      </c>
      <c r="C761" s="14" t="str">
        <f>IFERROR(__xludf.DUMMYFUNCTION("""COMPUTED_VALUE"""),"ОКС")</f>
        <v>ОКС</v>
      </c>
      <c r="D761" s="6"/>
      <c r="E761" s="14" t="str">
        <f>IFERROR(__xludf.DUMMYFUNCTION("""COMPUTED_VALUE"""),"Волгоградский пр-т, з/у161/2 (зона 15.4) Волгоградский пр-т, д. 163 (зона 15.4)")</f>
        <v>Волгоградский пр-т, з/у161/2 (зона 15.4) Волгоградский пр-т, д. 163 (зона 15.4)</v>
      </c>
      <c r="F761" s="25" t="str">
        <f>IFERROR(__xludf.DUMMYFUNCTION("""COMPUTED_VALUE"""),"55.704179")</f>
        <v>55.704179</v>
      </c>
      <c r="G761" s="6" t="str">
        <f>IFERROR(__xludf.DUMMYFUNCTION("""COMPUTED_VALUE"""),"37.787650")</f>
        <v>37.787650</v>
      </c>
      <c r="H761" s="18" t="str">
        <f>IFERROR(__xludf.DUMMYFUNCTION("""COMPUTED_VALUE"""),"https://docs.google.com/spreadsheets/d/1H1MjbG2y0oC0hhID4do1G0_gfyI1jag72lQd7nL3WDQ/edit?gid=1057256122#gid=1057256122")</f>
        <v>https://docs.google.com/spreadsheets/d/1H1MjbG2y0oC0hhID4do1G0_gfyI1jag72lQd7nL3WDQ/edit?gid=1057256122#gid=1057256122</v>
      </c>
      <c r="I761" s="19" t="str">
        <f>IFERROR(__xludf.DUMMYFUNCTION("""COMPUTED_VALUE"""),"https://disk.yandex.ru/client/disk/Осмотры%20объектов%20АНО%20СМГ/538.%20ЮВАО%2C%20район%20Кузьминки%2C%20Волгоградский%20проспект%2C%20зу%20161_2")</f>
        <v>https://disk.yandex.ru/client/disk/Осмотры%20объектов%20АНО%20СМГ/538.%20ЮВАО%2C%20район%20Кузьминки%2C%20Волгоградский%20проспект%2C%20зу%20161_2</v>
      </c>
      <c r="J761" s="50">
        <f>IFERROR(__xludf.DUMMYFUNCTION("""COMPUTED_VALUE"""),92.240205)</f>
        <v>92.240205</v>
      </c>
      <c r="K761" s="58">
        <f>IFERROR(__xludf.DUMMYFUNCTION("""COMPUTED_VALUE"""),45951.0)</f>
        <v>45951</v>
      </c>
      <c r="L761" s="6">
        <v>14.0</v>
      </c>
      <c r="M761" s="52">
        <v>45965.0</v>
      </c>
      <c r="N761" s="53" t="s">
        <v>652</v>
      </c>
      <c r="O761" s="19" t="s">
        <v>1134</v>
      </c>
      <c r="P761" s="6"/>
      <c r="Q761" s="6" t="str">
        <f t="shared" si="1"/>
        <v>#N/A</v>
      </c>
      <c r="R761" s="6"/>
    </row>
    <row r="762" hidden="1">
      <c r="A762" s="31" t="str">
        <f>IFERROR(__xludf.DUMMYFUNCTION("""COMPUTED_VALUE"""),"579")</f>
        <v>579</v>
      </c>
      <c r="B762" s="14" t="str">
        <f>IFERROR(__xludf.DUMMYFUNCTION("""COMPUTED_VALUE"""),"РЕН-25")</f>
        <v>РЕН-25</v>
      </c>
      <c r="C762" s="14" t="str">
        <f>IFERROR(__xludf.DUMMYFUNCTION("""COMPUTED_VALUE"""),"ОКС")</f>
        <v>ОКС</v>
      </c>
      <c r="D762" s="6"/>
      <c r="E762" s="14" t="str">
        <f>IFERROR(__xludf.DUMMYFUNCTION("""COMPUTED_VALUE"""),"ул. Говорова, влд. 14/16 район Можайский, Говорова ул., влд. 14/16")</f>
        <v>ул. Говорова, влд. 14/16 район Можайский, Говорова ул., влд. 14/16</v>
      </c>
      <c r="F762" s="25" t="str">
        <f>IFERROR(__xludf.DUMMYFUNCTION("""COMPUTED_VALUE"""),"55.720727")</f>
        <v>55.720727</v>
      </c>
      <c r="G762" s="6" t="str">
        <f>IFERROR(__xludf.DUMMYFUNCTION("""COMPUTED_VALUE"""),"37.396201")</f>
        <v>37.396201</v>
      </c>
      <c r="H762" s="18" t="str">
        <f>IFERROR(__xludf.DUMMYFUNCTION("""COMPUTED_VALUE"""),"https://docs.google.com/spreadsheets/d/1H1MjbG2y0oC0hhID4do1G0_gfyI1jag72lQd7nL3WDQ/edit?gid=255089364#gid=255089364")</f>
        <v>https://docs.google.com/spreadsheets/d/1H1MjbG2y0oC0hhID4do1G0_gfyI1jag72lQd7nL3WDQ/edit?gid=255089364#gid=255089364</v>
      </c>
      <c r="I762" s="19" t="str">
        <f>IFERROR(__xludf.DUMMYFUNCTION("""COMPUTED_VALUE"""),"https://disk.yandex.ru/client/disk/Осмотры%20объектов%20АНО%20СМГ/579.%20Жилой%20дом%20ул.%20Говорова%2014-16")</f>
        <v>https://disk.yandex.ru/client/disk/Осмотры%20объектов%20АНО%20СМГ/579.%20Жилой%20дом%20ул.%20Говорова%2014-16</v>
      </c>
      <c r="J762" s="50">
        <f>IFERROR(__xludf.DUMMYFUNCTION("""COMPUTED_VALUE"""),99.9685)</f>
        <v>99.9685</v>
      </c>
      <c r="K762" s="58">
        <f>IFERROR(__xludf.DUMMYFUNCTION("""COMPUTED_VALUE"""),45961.0)</f>
        <v>45961</v>
      </c>
      <c r="L762" s="6">
        <v>7.0</v>
      </c>
      <c r="M762" s="52">
        <v>45968.0</v>
      </c>
      <c r="N762" s="53" t="s">
        <v>652</v>
      </c>
      <c r="O762" s="19" t="s">
        <v>1135</v>
      </c>
      <c r="P762" s="6"/>
      <c r="Q762" s="6" t="str">
        <f t="shared" si="1"/>
        <v>#N/A</v>
      </c>
      <c r="R762" s="6"/>
    </row>
    <row r="763" hidden="1">
      <c r="A763" s="31" t="str">
        <f>IFERROR(__xludf.DUMMYFUNCTION("""COMPUTED_VALUE"""),"578")</f>
        <v>578</v>
      </c>
      <c r="B763" s="14" t="str">
        <f>IFERROR(__xludf.DUMMYFUNCTION("""COMPUTED_VALUE"""),"РЕН-25")</f>
        <v>РЕН-25</v>
      </c>
      <c r="C763" s="14" t="str">
        <f>IFERROR(__xludf.DUMMYFUNCTION("""COMPUTED_VALUE"""),"ОКС")</f>
        <v>ОКС</v>
      </c>
      <c r="D763" s="6"/>
      <c r="E763" s="14" t="str">
        <f>IFERROR(__xludf.DUMMYFUNCTION("""COMPUTED_VALUE"""),"ул. Радужная, зу 15 район Бабушкинский, ул. Радужная, влд. 15, к.3, стр. 1/1 и 1/2 (ул. Радужная, напротив вл. 15, корп. 2)")</f>
        <v>ул. Радужная, зу 15 район Бабушкинский, ул. Радужная, влд. 15, к.3, стр. 1/1 и 1/2 (ул. Радужная, напротив вл. 15, корп. 2)</v>
      </c>
      <c r="F763" s="25" t="str">
        <f>IFERROR(__xludf.DUMMYFUNCTION("""COMPUTED_VALUE"""),"55.858613")</f>
        <v>55.858613</v>
      </c>
      <c r="G763" s="6" t="str">
        <f>IFERROR(__xludf.DUMMYFUNCTION("""COMPUTED_VALUE"""),"37.664677")</f>
        <v>37.664677</v>
      </c>
      <c r="H763" s="18" t="str">
        <f>IFERROR(__xludf.DUMMYFUNCTION("""COMPUTED_VALUE"""),"https://docs.google.com/spreadsheets/d/1H1MjbG2y0oC0hhID4do1G0_gfyI1jag72lQd7nL3WDQ/edit?gid=36908310#gid=36908310")</f>
        <v>https://docs.google.com/spreadsheets/d/1H1MjbG2y0oC0hhID4do1G0_gfyI1jag72lQd7nL3WDQ/edit?gid=36908310#gid=36908310</v>
      </c>
      <c r="I763" s="19" t="str">
        <f>IFERROR(__xludf.DUMMYFUNCTION("""COMPUTED_VALUE"""),"https://disk.yandex.ru/client/disk/Осмотры%20объектов%20АНО%20СМГ/578.%20Радужная%20ул.%2C%20вл.%2015%2C%20к.%203%2C%20стр.%201%201%20и%201%202")</f>
        <v>https://disk.yandex.ru/client/disk/Осмотры%20объектов%20АНО%20СМГ/578.%20Радужная%20ул.%2C%20вл.%2015%2C%20к.%203%2C%20стр.%201%201%20и%201%202</v>
      </c>
      <c r="J763" s="50">
        <f>IFERROR(__xludf.DUMMYFUNCTION("""COMPUTED_VALUE"""),99.494025)</f>
        <v>99.494025</v>
      </c>
      <c r="K763" s="58">
        <f>IFERROR(__xludf.DUMMYFUNCTION("""COMPUTED_VALUE"""),45952.0)</f>
        <v>45952</v>
      </c>
      <c r="L763" s="6">
        <v>7.0</v>
      </c>
      <c r="M763" s="52">
        <v>45959.0</v>
      </c>
      <c r="N763" s="53" t="s">
        <v>652</v>
      </c>
      <c r="O763" s="19" t="s">
        <v>1136</v>
      </c>
      <c r="P763" s="6"/>
      <c r="Q763" s="6" t="str">
        <f t="shared" si="1"/>
        <v>#N/A</v>
      </c>
      <c r="R763" s="6"/>
    </row>
    <row r="764">
      <c r="A764" s="31" t="str">
        <f>IFERROR(__xludf.DUMMYFUNCTION("""COMPUTED_VALUE"""),"566")</f>
        <v>566</v>
      </c>
      <c r="B764" s="14" t="str">
        <f>IFERROR(__xludf.DUMMYFUNCTION("""COMPUTED_VALUE"""),"РЕН-25")</f>
        <v>РЕН-25</v>
      </c>
      <c r="C764" s="14" t="str">
        <f>IFERROR(__xludf.DUMMYFUNCTION("""COMPUTED_VALUE"""),"ОКС")</f>
        <v>ОКС</v>
      </c>
      <c r="D764" s="6"/>
      <c r="E764" s="14" t="str">
        <f>IFERROR(__xludf.DUMMYFUNCTION("""COMPUTED_VALUE"""),"Волгоградский пр-т, вл. 101, корп. 2 район Кузьминки, Волгоградский пр-т, вл. 101, корп. 2")</f>
        <v>Волгоградский пр-т, вл. 101, корп. 2 район Кузьминки, Волгоградский пр-т, вл. 101, корп. 2</v>
      </c>
      <c r="F764" s="25" t="str">
        <f>IFERROR(__xludf.DUMMYFUNCTION("""COMPUTED_VALUE"""),"55.708765")</f>
        <v>55.708765</v>
      </c>
      <c r="G764" s="6" t="str">
        <f>IFERROR(__xludf.DUMMYFUNCTION("""COMPUTED_VALUE"""),"37.754512")</f>
        <v>37.754512</v>
      </c>
      <c r="H764" s="18" t="str">
        <f>IFERROR(__xludf.DUMMYFUNCTION("""COMPUTED_VALUE"""),"https://docs.google.com/spreadsheets/d/1H1MjbG2y0oC0hhID4do1G0_gfyI1jag72lQd7nL3WDQ/edit?gid=947386880#gid=947386880")</f>
        <v>https://docs.google.com/spreadsheets/d/1H1MjbG2y0oC0hhID4do1G0_gfyI1jag72lQd7nL3WDQ/edit?gid=947386880#gid=947386880</v>
      </c>
      <c r="I764" s="19" t="str">
        <f>IFERROR(__xludf.DUMMYFUNCTION("""COMPUTED_VALUE"""),"https://disk.yandex.ru/client/disk/Осмотры%20объектов%20АНО%20СМГ/566.%20район%20Кузьминки%2C%20Волгоградский%20пр-т%2C%20вл.%20101%2C%20корп.%202")</f>
        <v>https://disk.yandex.ru/client/disk/Осмотры%20объектов%20АНО%20СМГ/566.%20район%20Кузьминки%2C%20Волгоградский%20пр-т%2C%20вл.%20101%2C%20корп.%202</v>
      </c>
      <c r="J764" s="50">
        <f>IFERROR(__xludf.DUMMYFUNCTION("""COMPUTED_VALUE"""),74.992875)</f>
        <v>74.992875</v>
      </c>
      <c r="K764" s="58">
        <f>IFERROR(__xludf.DUMMYFUNCTION("""COMPUTED_VALUE"""),45974.0)</f>
        <v>45974</v>
      </c>
      <c r="L764" s="6">
        <v>14.0</v>
      </c>
      <c r="M764" s="52">
        <v>45988.0</v>
      </c>
      <c r="N764" s="53" t="s">
        <v>711</v>
      </c>
      <c r="O764" s="19" t="s">
        <v>669</v>
      </c>
      <c r="P764" s="6"/>
      <c r="Q764" s="6" t="str">
        <f t="shared" si="1"/>
        <v>566</v>
      </c>
      <c r="R764" s="6"/>
    </row>
    <row r="765">
      <c r="A765" s="31" t="str">
        <f>IFERROR(__xludf.DUMMYFUNCTION("""COMPUTED_VALUE"""),"447")</f>
        <v>447</v>
      </c>
      <c r="B765" s="14" t="str">
        <f>IFERROR(__xludf.DUMMYFUNCTION("""COMPUTED_VALUE"""),"РЕН-25")</f>
        <v>РЕН-25</v>
      </c>
      <c r="C765" s="14" t="str">
        <f>IFERROR(__xludf.DUMMYFUNCTION("""COMPUTED_VALUE"""),"ОКС")</f>
        <v>ОКС</v>
      </c>
      <c r="D765" s="6"/>
      <c r="E765" s="14" t="str">
        <f>IFERROR(__xludf.DUMMYFUNCTION("""COMPUTED_VALUE"""),"Камова ул., вл. 24 район Косино-Ухтомский, Камова ул., вл. 24")</f>
        <v>Камова ул., вл. 24 район Косино-Ухтомский, Камова ул., вл. 24</v>
      </c>
      <c r="F765" s="25" t="str">
        <f>IFERROR(__xludf.DUMMYFUNCTION("""COMPUTED_VALUE"""),"55.699665")</f>
        <v>55.699665</v>
      </c>
      <c r="G765" s="6" t="str">
        <f>IFERROR(__xludf.DUMMYFUNCTION("""COMPUTED_VALUE"""),"37.875188")</f>
        <v>37.875188</v>
      </c>
      <c r="H765" s="18" t="str">
        <f>IFERROR(__xludf.DUMMYFUNCTION("""COMPUTED_VALUE"""),"https://docs.google.com/spreadsheets/d/1H1MjbG2y0oC0hhID4do1G0_gfyI1jag72lQd7nL3WDQ/edit?gid=747557076#gid=747557076")</f>
        <v>https://docs.google.com/spreadsheets/d/1H1MjbG2y0oC0hhID4do1G0_gfyI1jag72lQd7nL3WDQ/edit?gid=747557076#gid=747557076</v>
      </c>
      <c r="I765" s="19" t="str">
        <f>IFERROR(__xludf.DUMMYFUNCTION("""COMPUTED_VALUE"""),"https://disk.yandex.ru/client/disk/Осмотры%20объектов%20АНО%20СМГ/447.%20район%20Косино-Ухтомский%2C%20ул.%20Камова%2C%20влд.%2024")</f>
        <v>https://disk.yandex.ru/client/disk/Осмотры%20объектов%20АНО%20СМГ/447.%20район%20Косино-Ухтомский%2C%20ул.%20Камова%2C%20влд.%2024</v>
      </c>
      <c r="J765" s="50">
        <f>IFERROR(__xludf.DUMMYFUNCTION("""COMPUTED_VALUE"""),84.33198)</f>
        <v>84.33198</v>
      </c>
      <c r="K765" s="58">
        <f>IFERROR(__xludf.DUMMYFUNCTION("""COMPUTED_VALUE"""),45973.0)</f>
        <v>45973</v>
      </c>
      <c r="L765" s="6">
        <v>14.0</v>
      </c>
      <c r="M765" s="52">
        <v>45987.0</v>
      </c>
      <c r="N765" s="53" t="s">
        <v>711</v>
      </c>
      <c r="O765" s="19" t="s">
        <v>669</v>
      </c>
      <c r="P765" s="6"/>
      <c r="Q765" s="6" t="str">
        <f t="shared" si="1"/>
        <v>447</v>
      </c>
      <c r="R765" s="6"/>
    </row>
    <row r="766">
      <c r="A766" s="31" t="str">
        <f>IFERROR(__xludf.DUMMYFUNCTION("""COMPUTED_VALUE"""),"588")</f>
        <v>588</v>
      </c>
      <c r="B766" s="14" t="str">
        <f>IFERROR(__xludf.DUMMYFUNCTION("""COMPUTED_VALUE"""),"РЕН-25")</f>
        <v>РЕН-25</v>
      </c>
      <c r="C766" s="14" t="str">
        <f>IFERROR(__xludf.DUMMYFUNCTION("""COMPUTED_VALUE"""),"ОКС")</f>
        <v>ОКС</v>
      </c>
      <c r="D766" s="6"/>
      <c r="E766" s="14" t="str">
        <f>IFERROR(__xludf.DUMMYFUNCTION("""COMPUTED_VALUE"""),"Молодогвардейская ул., з/у 53 (вл. 51, вл. 53) район Кунцево, Молодогвардейская ул., з/у 53")</f>
        <v>Молодогвардейская ул., з/у 53 (вл. 51, вл. 53) район Кунцево, Молодогвардейская ул., з/у 53</v>
      </c>
      <c r="F766" s="25" t="str">
        <f>IFERROR(__xludf.DUMMYFUNCTION("""COMPUTED_VALUE"""),"55.733307")</f>
        <v>55.733307</v>
      </c>
      <c r="G766" s="6" t="str">
        <f>IFERROR(__xludf.DUMMYFUNCTION("""COMPUTED_VALUE"""),"37.406168")</f>
        <v>37.406168</v>
      </c>
      <c r="H766" s="18" t="str">
        <f>IFERROR(__xludf.DUMMYFUNCTION("""COMPUTED_VALUE"""),"https://docs.google.com/spreadsheets/d/1H1MjbG2y0oC0hhID4do1G0_gfyI1jag72lQd7nL3WDQ/edit?gid=788221100#gid=788221100")</f>
        <v>https://docs.google.com/spreadsheets/d/1H1MjbG2y0oC0hhID4do1G0_gfyI1jag72lQd7nL3WDQ/edit?gid=788221100#gid=788221100</v>
      </c>
      <c r="I766" s="19" t="str">
        <f>IFERROR(__xludf.DUMMYFUNCTION("""COMPUTED_VALUE"""),"https://disk.yandex.ru/client/disk/Осмотры%20объектов%20АНО%20СМГ/588.%20жилой%20дом%20ул.%20Молодогвардейская%2053")</f>
        <v>https://disk.yandex.ru/client/disk/Осмотры%20объектов%20АНО%20СМГ/588.%20жилой%20дом%20ул.%20Молодогвардейская%2053</v>
      </c>
      <c r="J766" s="50">
        <f>IFERROR(__xludf.DUMMYFUNCTION("""COMPUTED_VALUE"""),68.66192999999998)</f>
        <v>68.66193</v>
      </c>
      <c r="K766" s="58">
        <f>IFERROR(__xludf.DUMMYFUNCTION("""COMPUTED_VALUE"""),45973.0)</f>
        <v>45973</v>
      </c>
      <c r="L766" s="6">
        <v>14.0</v>
      </c>
      <c r="M766" s="52">
        <v>45987.0</v>
      </c>
      <c r="N766" s="53" t="s">
        <v>711</v>
      </c>
      <c r="O766" s="19" t="s">
        <v>669</v>
      </c>
      <c r="P766" s="6"/>
      <c r="Q766" s="6" t="str">
        <f t="shared" si="1"/>
        <v>588</v>
      </c>
      <c r="R766" s="6"/>
    </row>
    <row r="767">
      <c r="A767" s="31" t="str">
        <f>IFERROR(__xludf.DUMMYFUNCTION("""COMPUTED_VALUE"""),"556")</f>
        <v>556</v>
      </c>
      <c r="B767" s="14" t="str">
        <f>IFERROR(__xludf.DUMMYFUNCTION("""COMPUTED_VALUE"""),"РЕН-25")</f>
        <v>РЕН-25</v>
      </c>
      <c r="C767" s="14" t="str">
        <f>IFERROR(__xludf.DUMMYFUNCTION("""COMPUTED_VALUE"""),"ОКС")</f>
        <v>ОКС</v>
      </c>
      <c r="D767" s="6"/>
      <c r="E767" s="14" t="str">
        <f>IFERROR(__xludf.DUMMYFUNCTION("""COMPUTED_VALUE"""),"Грайвороново, кв. 90А, корп. 12 район Текстильщики, кв-л Грайвороново 90А, з/у 1 (Грайвороново, квартал 90А)")</f>
        <v>Грайвороново, кв. 90А, корп. 12 район Текстильщики, кв-л Грайвороново 90А, з/у 1 (Грайвороново, квартал 90А)</v>
      </c>
      <c r="F767" s="25" t="str">
        <f>IFERROR(__xludf.DUMMYFUNCTION("""COMPUTED_VALUE"""),"55.721583")</f>
        <v>55.721583</v>
      </c>
      <c r="G767" s="6" t="str">
        <f>IFERROR(__xludf.DUMMYFUNCTION("""COMPUTED_VALUE"""),"37.738602")</f>
        <v>37.738602</v>
      </c>
      <c r="H767" s="18" t="str">
        <f>IFERROR(__xludf.DUMMYFUNCTION("""COMPUTED_VALUE"""),"https://docs.google.com/spreadsheets/d/1H1MjbG2y0oC0hhID4do1G0_gfyI1jag72lQd7nL3WDQ/edit?gid=1984564802#gid=1984564802")</f>
        <v>https://docs.google.com/spreadsheets/d/1H1MjbG2y0oC0hhID4do1G0_gfyI1jag72lQd7nL3WDQ/edit?gid=1984564802#gid=1984564802</v>
      </c>
      <c r="I767" s="19" t="str">
        <f>IFERROR(__xludf.DUMMYFUNCTION("""COMPUTED_VALUE"""),"https://disk.yandex.ru/client/disk/Осмотры%20объектов%20АНО%20СМГ/556.%20Грайвороново%20кв.%2090.%20корп.%2012")</f>
        <v>https://disk.yandex.ru/client/disk/Осмотры%20объектов%20АНО%20СМГ/556.%20Грайвороново%20кв.%2090.%20корп.%2012</v>
      </c>
      <c r="J767" s="50">
        <f>IFERROR(__xludf.DUMMYFUNCTION("""COMPUTED_VALUE"""),72.40365000000001)</f>
        <v>72.40365</v>
      </c>
      <c r="K767" s="58">
        <f>IFERROR(__xludf.DUMMYFUNCTION("""COMPUTED_VALUE"""),45973.0)</f>
        <v>45973</v>
      </c>
      <c r="L767" s="6">
        <v>14.0</v>
      </c>
      <c r="M767" s="52">
        <v>45987.0</v>
      </c>
      <c r="N767" s="53" t="s">
        <v>711</v>
      </c>
      <c r="O767" s="19" t="s">
        <v>669</v>
      </c>
      <c r="P767" s="6"/>
      <c r="Q767" s="6" t="str">
        <f t="shared" si="1"/>
        <v>556</v>
      </c>
      <c r="R767" s="6"/>
    </row>
    <row r="768">
      <c r="A768" s="31" t="str">
        <f>IFERROR(__xludf.DUMMYFUNCTION("""COMPUTED_VALUE"""),"453")</f>
        <v>453</v>
      </c>
      <c r="B768" s="14" t="str">
        <f>IFERROR(__xludf.DUMMYFUNCTION("""COMPUTED_VALUE"""),"РЕН-25")</f>
        <v>РЕН-25</v>
      </c>
      <c r="C768" s="14" t="str">
        <f>IFERROR(__xludf.DUMMYFUNCTION("""COMPUTED_VALUE"""),"ОКС")</f>
        <v>ОКС</v>
      </c>
      <c r="D768" s="6"/>
      <c r="E768" s="14" t="str">
        <f>IFERROR(__xludf.DUMMYFUNCTION("""COMPUTED_VALUE"""),"2-й квартал Капотня, з/у 21 район Капотня, Капотня, 2-й кв., з/у 21")</f>
        <v>2-й квартал Капотня, з/у 21 район Капотня, Капотня, 2-й кв., з/у 21</v>
      </c>
      <c r="F768" s="25" t="str">
        <f>IFERROR(__xludf.DUMMYFUNCTION("""COMPUTED_VALUE"""),"55.638790")</f>
        <v>55.638790</v>
      </c>
      <c r="G768" s="6" t="str">
        <f>IFERROR(__xludf.DUMMYFUNCTION("""COMPUTED_VALUE"""),"37.801064")</f>
        <v>37.801064</v>
      </c>
      <c r="H768" s="18" t="str">
        <f>IFERROR(__xludf.DUMMYFUNCTION("""COMPUTED_VALUE"""),"https://docs.google.com/spreadsheets/d/1H1MjbG2y0oC0hhID4do1G0_gfyI1jag72lQd7nL3WDQ/edit?gid=1879792750#gid=1879792750")</f>
        <v>https://docs.google.com/spreadsheets/d/1H1MjbG2y0oC0hhID4do1G0_gfyI1jag72lQd7nL3WDQ/edit?gid=1879792750#gid=1879792750</v>
      </c>
      <c r="I768" s="19" t="str">
        <f>IFERROR(__xludf.DUMMYFUNCTION("""COMPUTED_VALUE"""),"https://disk.yandex.ru/client/disk/Осмотры%20объектов%20АНО%20СМГ/453.%20Капотня%20р-н%2C%20Капотня%2C%202-й%20кв.%2C%20зу%2021")</f>
        <v>https://disk.yandex.ru/client/disk/Осмотры%20объектов%20АНО%20СМГ/453.%20Капотня%20р-н%2C%20Капотня%2C%202-й%20кв.%2C%20зу%2021</v>
      </c>
      <c r="J768" s="50">
        <f>IFERROR(__xludf.DUMMYFUNCTION("""COMPUTED_VALUE"""),82.76032500000001)</f>
        <v>82.760325</v>
      </c>
      <c r="K768" s="58">
        <f>IFERROR(__xludf.DUMMYFUNCTION("""COMPUTED_VALUE"""),45973.0)</f>
        <v>45973</v>
      </c>
      <c r="L768" s="6">
        <v>14.0</v>
      </c>
      <c r="M768" s="52">
        <v>45987.0</v>
      </c>
      <c r="N768" s="53" t="s">
        <v>711</v>
      </c>
      <c r="O768" s="19" t="s">
        <v>669</v>
      </c>
      <c r="P768" s="6"/>
      <c r="Q768" s="6" t="str">
        <f t="shared" si="1"/>
        <v>453</v>
      </c>
      <c r="R768" s="6"/>
    </row>
    <row r="769" hidden="1">
      <c r="A769" s="31" t="str">
        <f>IFERROR(__xludf.DUMMYFUNCTION("""COMPUTED_VALUE"""),"561")</f>
        <v>561</v>
      </c>
      <c r="B769" s="14" t="str">
        <f>IFERROR(__xludf.DUMMYFUNCTION("""COMPUTED_VALUE"""),"РЕН-25")</f>
        <v>РЕН-25</v>
      </c>
      <c r="C769" s="14" t="str">
        <f>IFERROR(__xludf.DUMMYFUNCTION("""COMPUTED_VALUE"""),"ОКС")</f>
        <v>ОКС</v>
      </c>
      <c r="D769" s="6"/>
      <c r="E769" s="14" t="str">
        <f>IFERROR(__xludf.DUMMYFUNCTION("""COMPUTED_VALUE"""),"ул. Пивченкова, з/у 1 район Фили-Давыдково, Пивченкова ул., з/у 1, Квартал 58, 59 зона 1.1 (со сносом жилых зданий по адресам: ул. Пивченкова, д.1, к.1 и ул. Пивченкова, д.1, к.2)")</f>
        <v>ул. Пивченкова, з/у 1 район Фили-Давыдково, Пивченкова ул., з/у 1, Квартал 58, 59 зона 1.1 (со сносом жилых зданий по адресам: ул. Пивченкова, д.1, к.1 и ул. Пивченкова, д.1, к.2)</v>
      </c>
      <c r="F769" s="25" t="str">
        <f>IFERROR(__xludf.DUMMYFUNCTION("""COMPUTED_VALUE"""),"55.732654")</f>
        <v>55.732654</v>
      </c>
      <c r="G769" s="6" t="str">
        <f>IFERROR(__xludf.DUMMYFUNCTION("""COMPUTED_VALUE"""),"37.477610")</f>
        <v>37.477610</v>
      </c>
      <c r="H769" s="18" t="str">
        <f>IFERROR(__xludf.DUMMYFUNCTION("""COMPUTED_VALUE"""),"https://docs.google.com/spreadsheets/d/1H1MjbG2y0oC0hhID4do1G0_gfyI1jag72lQd7nL3WDQ/edit?gid=1880476815#gid=1880476815")</f>
        <v>https://docs.google.com/spreadsheets/d/1H1MjbG2y0oC0hhID4do1G0_gfyI1jag72lQd7nL3WDQ/edit?gid=1880476815#gid=1880476815</v>
      </c>
      <c r="I769" s="19" t="str">
        <f>IFERROR(__xludf.DUMMYFUNCTION("""COMPUTED_VALUE"""),"https://disk.yandex.ru/client/disk/Осмотры%20объектов%20АНО%20СМГ/561.%20Пивченкова%20вл1%20Жилой%20дом")</f>
        <v>https://disk.yandex.ru/client/disk/Осмотры%20объектов%20АНО%20СМГ/561.%20Пивченкова%20вл1%20Жилой%20дом</v>
      </c>
      <c r="J769" s="50">
        <f>IFERROR(__xludf.DUMMYFUNCTION("""COMPUTED_VALUE"""),72.90541499999998)</f>
        <v>72.905415</v>
      </c>
      <c r="K769" s="58">
        <f>IFERROR(__xludf.DUMMYFUNCTION("""COMPUTED_VALUE"""),45967.0)</f>
        <v>45967</v>
      </c>
      <c r="L769" s="6">
        <v>14.0</v>
      </c>
      <c r="M769" s="52">
        <v>45981.0</v>
      </c>
      <c r="N769" s="53" t="s">
        <v>741</v>
      </c>
      <c r="O769" s="19" t="s">
        <v>669</v>
      </c>
      <c r="P769" s="6"/>
      <c r="Q769" s="6" t="str">
        <f t="shared" si="1"/>
        <v>#N/A</v>
      </c>
      <c r="R769" s="6"/>
    </row>
    <row r="770" hidden="1">
      <c r="A770" s="31" t="str">
        <f>IFERROR(__xludf.DUMMYFUNCTION("""COMPUTED_VALUE"""),"592")</f>
        <v>592</v>
      </c>
      <c r="B770" s="14" t="str">
        <f>IFERROR(__xludf.DUMMYFUNCTION("""COMPUTED_VALUE"""),"РЕН-25")</f>
        <v>РЕН-25</v>
      </c>
      <c r="C770" s="14" t="str">
        <f>IFERROR(__xludf.DUMMYFUNCTION("""COMPUTED_VALUE"""),"ОКС")</f>
        <v>ОКС</v>
      </c>
      <c r="D770" s="6"/>
      <c r="E770" s="14" t="str">
        <f>IFERROR(__xludf.DUMMYFUNCTION("""COMPUTED_VALUE"""),"ул. Багрицкого,з/у 28 Можайский район,ул. Багрицкого, з/у 28 (квартал 107-110, зона 3.1)")</f>
        <v>ул. Багрицкого,з/у 28 Можайский район,ул. Багрицкого, з/у 28 (квартал 107-110, зона 3.1)</v>
      </c>
      <c r="F770" s="25" t="str">
        <f>IFERROR(__xludf.DUMMYFUNCTION("""COMPUTED_VALUE"""),"55.716002")</f>
        <v>55.716002</v>
      </c>
      <c r="G770" s="6" t="str">
        <f>IFERROR(__xludf.DUMMYFUNCTION("""COMPUTED_VALUE"""),"37.437029")</f>
        <v>37.437029</v>
      </c>
      <c r="H770" s="18" t="str">
        <f>IFERROR(__xludf.DUMMYFUNCTION("""COMPUTED_VALUE"""),"https://docs.google.com/spreadsheets/d/1H1MjbG2y0oC0hhID4do1G0_gfyI1jag72lQd7nL3WDQ/edit?gid=2089213196#gid=2089213196")</f>
        <v>https://docs.google.com/spreadsheets/d/1H1MjbG2y0oC0hhID4do1G0_gfyI1jag72lQd7nL3WDQ/edit?gid=2089213196#gid=2089213196</v>
      </c>
      <c r="I770" s="19" t="str">
        <f>IFERROR(__xludf.DUMMYFUNCTION("""COMPUTED_VALUE"""),"https://disk.yandex.ru/client/disk/Осмотры%20объектов%20АНО%20СМГ/592.%20Жилой%20дом%20ул.%20Багрицкого%2028")</f>
        <v>https://disk.yandex.ru/client/disk/Осмотры%20объектов%20АНО%20СМГ/592.%20Жилой%20дом%20ул.%20Багрицкого%2028</v>
      </c>
      <c r="J770" s="50">
        <f>IFERROR(__xludf.DUMMYFUNCTION("""COMPUTED_VALUE"""),81.8601)</f>
        <v>81.8601</v>
      </c>
      <c r="K770" s="58">
        <f>IFERROR(__xludf.DUMMYFUNCTION("""COMPUTED_VALUE"""),45967.0)</f>
        <v>45967</v>
      </c>
      <c r="L770" s="6">
        <v>14.0</v>
      </c>
      <c r="M770" s="52">
        <v>45981.0</v>
      </c>
      <c r="N770" s="53" t="s">
        <v>741</v>
      </c>
      <c r="O770" s="19" t="s">
        <v>669</v>
      </c>
      <c r="P770" s="6"/>
      <c r="Q770" s="6" t="str">
        <f t="shared" si="1"/>
        <v>#N/A</v>
      </c>
      <c r="R770" s="6"/>
    </row>
    <row r="771">
      <c r="A771" s="31" t="str">
        <f>IFERROR(__xludf.DUMMYFUNCTION("""COMPUTED_VALUE"""),"536")</f>
        <v>536</v>
      </c>
      <c r="B771" s="14" t="str">
        <f>IFERROR(__xludf.DUMMYFUNCTION("""COMPUTED_VALUE"""),"РЕН-25")</f>
        <v>РЕН-25</v>
      </c>
      <c r="C771" s="14" t="str">
        <f>IFERROR(__xludf.DUMMYFUNCTION("""COMPUTED_VALUE"""),"ОКС")</f>
        <v>ОКС</v>
      </c>
      <c r="D771" s="6"/>
      <c r="E771" s="14" t="str">
        <f>IFERROR(__xludf.DUMMYFUNCTION("""COMPUTED_VALUE"""),"пр-д Нансена, з/у 8 (пр-д Нансена, вл.8) район Свиблово, проезд Нансена, з/у 8")</f>
        <v>пр-д Нансена, з/у 8 (пр-д Нансена, вл.8) район Свиблово, проезд Нансена, з/у 8</v>
      </c>
      <c r="F771" s="25" t="str">
        <f>IFERROR(__xludf.DUMMYFUNCTION("""COMPUTED_VALUE"""),"55.850828")</f>
        <v>55.850828</v>
      </c>
      <c r="G771" s="6" t="str">
        <f>IFERROR(__xludf.DUMMYFUNCTION("""COMPUTED_VALUE"""),"37.652804")</f>
        <v>37.652804</v>
      </c>
      <c r="H771" s="18" t="str">
        <f>IFERROR(__xludf.DUMMYFUNCTION("""COMPUTED_VALUE"""),"https://docs.google.com/spreadsheets/d/1H1MjbG2y0oC0hhID4do1G0_gfyI1jag72lQd7nL3WDQ/edit?gid=1956651299#gid=1956651299")</f>
        <v>https://docs.google.com/spreadsheets/d/1H1MjbG2y0oC0hhID4do1G0_gfyI1jag72lQd7nL3WDQ/edit?gid=1956651299#gid=1956651299</v>
      </c>
      <c r="I771" s="21" t="str">
        <f>IFERROR(__xludf.DUMMYFUNCTION("""COMPUTED_VALUE"""),"https://disk.yandex.ru/client/disk/%D0%9E%D1%81%D0%BC%D0%BE%D1%82%D1%80%D1%8B%20%D0%BE%D0%B1%D1%8A%D0%B5%D0%BA%D1%82%D0%BE%D0%B2%20%D0%90%D0%9D%D0%9E%20%D0%A1%D0%9C%D0%93/536.%20%D0%BF%D1%80%D0%BE%D0%B5%D0%B7%D0%B4%20%D0%9D%D0%B0%D0%BD%D1%81%D0%B5%D0%BD%D"&amp;"0%B0%2C%20%D0%B2%D0%BB%D0%B4.%208")</f>
        <v>https://disk.yandex.ru/client/disk/%D0%9E%D1%81%D0%BC%D0%BE%D1%82%D1%80%D1%8B%20%D0%BE%D0%B1%D1%8A%D0%B5%D0%BA%D1%82%D0%BE%D0%B2%20%D0%90%D0%9D%D0%9E%20%D0%A1%D0%9C%D0%93/536.%20%D0%BF%D1%80%D0%BE%D0%B5%D0%B7%D0%B4%20%D0%9D%D0%B0%D0%BD%D1%81%D0%B5%D0%BD%D0%B0%2C%20%D0%B2%D0%BB%D0%B4.%208</v>
      </c>
      <c r="J771" s="50">
        <f>IFERROR(__xludf.DUMMYFUNCTION("""COMPUTED_VALUE"""),84.57233999999998)</f>
        <v>84.57234</v>
      </c>
      <c r="K771" s="58">
        <f>IFERROR(__xludf.DUMMYFUNCTION("""COMPUTED_VALUE"""),45974.0)</f>
        <v>45974</v>
      </c>
      <c r="L771" s="6">
        <v>14.0</v>
      </c>
      <c r="M771" s="52">
        <v>45988.0</v>
      </c>
      <c r="N771" s="53" t="s">
        <v>711</v>
      </c>
      <c r="O771" s="19" t="s">
        <v>669</v>
      </c>
      <c r="P771" s="6"/>
      <c r="Q771" s="6" t="str">
        <f t="shared" si="1"/>
        <v>536</v>
      </c>
      <c r="R771" s="6"/>
    </row>
    <row r="772">
      <c r="A772" s="31" t="str">
        <f>IFERROR(__xludf.DUMMYFUNCTION("""COMPUTED_VALUE"""),"568")</f>
        <v>568</v>
      </c>
      <c r="B772" s="14" t="str">
        <f>IFERROR(__xludf.DUMMYFUNCTION("""COMPUTED_VALUE"""),"РЕН-25")</f>
        <v>РЕН-25</v>
      </c>
      <c r="C772" s="14" t="str">
        <f>IFERROR(__xludf.DUMMYFUNCTION("""COMPUTED_VALUE"""),"ОКС")</f>
        <v>ОКС</v>
      </c>
      <c r="D772" s="6"/>
      <c r="E772" s="14" t="str">
        <f>IFERROR(__xludf.DUMMYFUNCTION("""COMPUTED_VALUE"""),"Карельский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f>
        <v>Карельский бул-р, з/у 14/16 район Дмитровский, Карельский бульвар, з/у 14/16, К.6 (зона 12.1) (со сносом жилых зданий по адресам: Карельский бульвар, д. 14/6; Карельский бульвар, д. 18)</v>
      </c>
      <c r="F772" s="25" t="str">
        <f>IFERROR(__xludf.DUMMYFUNCTION("""COMPUTED_VALUE"""),"55.894674")</f>
        <v>55.894674</v>
      </c>
      <c r="G772" s="6" t="str">
        <f>IFERROR(__xludf.DUMMYFUNCTION("""COMPUTED_VALUE"""),"37.537043")</f>
        <v>37.537043</v>
      </c>
      <c r="H772" s="18" t="str">
        <f>IFERROR(__xludf.DUMMYFUNCTION("""COMPUTED_VALUE"""),"https://docs.google.com/spreadsheets/d/1H1MjbG2y0oC0hhID4do1G0_gfyI1jag72lQd7nL3WDQ/edit?gid=33336285#gid=33336285")</f>
        <v>https://docs.google.com/spreadsheets/d/1H1MjbG2y0oC0hhID4do1G0_gfyI1jag72lQd7nL3WDQ/edit?gid=33336285#gid=33336285</v>
      </c>
      <c r="I772" s="21" t="str">
        <f>IFERROR(__xludf.DUMMYFUNCTION("""COMPUTED_VALUE"""),"https://disk.yandex.ru/client/disk/%D0%9E%D1%81%D0%BC%D0%BE%D1%82%D1%80%D1%8B%20%D0%BE%D0%B1%D1%8A%D0%B5%D0%BA%D1%82%D0%BE%D0%B2%20%D0%90%D0%9D%D0%9E%20%D0%A1%D0%9C%D0%93/568.%20%D0%9A%D0%B0%D1%80%D0%B5%D0%BB%D1%8C%D1%81%D0%BA%D0%B8%D0%B9%20%D0%B1%D1%83%D"&amp;"0%BB%D1%8C%D0%B2%D0%B0%D1%80%2C%20%D0%B7%D1%83%2014-16")</f>
        <v>https://disk.yandex.ru/client/disk/%D0%9E%D1%81%D0%BC%D0%BE%D1%82%D1%80%D1%8B%20%D0%BE%D0%B1%D1%8A%D0%B5%D0%BA%D1%82%D0%BE%D0%B2%20%D0%90%D0%9D%D0%9E%20%D0%A1%D0%9C%D0%93/568.%20%D0%9A%D0%B0%D1%80%D0%B5%D0%BB%D1%8C%D1%81%D0%BA%D0%B8%D0%B9%20%D0%B1%D1%83%D0%BB%D1%8C%D0%B2%D0%B0%D1%80%2C%20%D0%B7%D1%83%2014-16</v>
      </c>
      <c r="J772" s="50">
        <f>IFERROR(__xludf.DUMMYFUNCTION("""COMPUTED_VALUE"""),75.96489499999998)</f>
        <v>75.964895</v>
      </c>
      <c r="K772" s="58">
        <f>IFERROR(__xludf.DUMMYFUNCTION("""COMPUTED_VALUE"""),45974.0)</f>
        <v>45974</v>
      </c>
      <c r="L772" s="6">
        <v>14.0</v>
      </c>
      <c r="M772" s="52">
        <v>45988.0</v>
      </c>
      <c r="N772" s="53" t="s">
        <v>711</v>
      </c>
      <c r="O772" s="19" t="s">
        <v>669</v>
      </c>
      <c r="P772" s="6"/>
      <c r="Q772" s="6" t="str">
        <f t="shared" si="1"/>
        <v>568</v>
      </c>
      <c r="R772" s="6"/>
    </row>
    <row r="773">
      <c r="A773" s="31" t="str">
        <f>IFERROR(__xludf.DUMMYFUNCTION("""COMPUTED_VALUE"""),"551")</f>
        <v>551</v>
      </c>
      <c r="B773" s="14" t="str">
        <f>IFERROR(__xludf.DUMMYFUNCTION("""COMPUTED_VALUE"""),"РЕН-25")</f>
        <v>РЕН-25</v>
      </c>
      <c r="C773" s="14" t="str">
        <f>IFERROR(__xludf.DUMMYFUNCTION("""COMPUTED_VALUE"""),"ОКС")</f>
        <v>ОКС</v>
      </c>
      <c r="D773" s="6"/>
      <c r="E773" s="14" t="str">
        <f>IFERROR(__xludf.DUMMYFUNCTION("""COMPUTED_VALUE"""),"ул. Лобненская, з/у 9А (Лобненская ул., вл. 9А) район Дмитровский, ул. Лобненская, з/у 9А, к. 23 микрорайон 15, 16, 17, 18 зона № 14.1")</f>
        <v>ул. Лобненская, з/у 9А (Лобненская ул., вл. 9А) район Дмитровский, ул. Лобненская, з/у 9А, к. 23 микрорайон 15, 16, 17, 18 зона № 14.1</v>
      </c>
      <c r="F773" s="25" t="str">
        <f>IFERROR(__xludf.DUMMYFUNCTION("""COMPUTED_VALUE"""),"55.887585")</f>
        <v>55.887585</v>
      </c>
      <c r="G773" s="6" t="str">
        <f>IFERROR(__xludf.DUMMYFUNCTION("""COMPUTED_VALUE"""),"37.538869")</f>
        <v>37.538869</v>
      </c>
      <c r="H773" s="18" t="str">
        <f>IFERROR(__xludf.DUMMYFUNCTION("""COMPUTED_VALUE"""),"https://docs.google.com/spreadsheets/d/1H1MjbG2y0oC0hhID4do1G0_gfyI1jag72lQd7nL3WDQ/edit?gid=1791563527#gid=1791563527")</f>
        <v>https://docs.google.com/spreadsheets/d/1H1MjbG2y0oC0hhID4do1G0_gfyI1jag72lQd7nL3WDQ/edit?gid=1791563527#gid=1791563527</v>
      </c>
      <c r="I773" s="19" t="str">
        <f>IFERROR(__xludf.DUMMYFUNCTION("""COMPUTED_VALUE"""),"https://disk.yandex.ru/client/disk/Осмотры%20объектов%20АНО%20СМГ/551.%20Дмитровский%2C%20Лобненская%20ул.%2C%20з.у%209А%2C%20К.23%20мкр.%2015%2C%2016%2C%2017%2C%2018%2C%20зона%20№%20%2014.1")</f>
        <v>https://disk.yandex.ru/client/disk/Осмотры%20объектов%20АНО%20СМГ/551.%20Дмитровский%2C%20Лобненская%20ул.%2C%20з.у%209А%2C%20К.23%20мкр.%2015%2C%2016%2C%2017%2C%2018%2C%20зона%20№%20%2014.1</v>
      </c>
      <c r="J773" s="50">
        <f>IFERROR(__xludf.DUMMYFUNCTION("""COMPUTED_VALUE"""),77.99967000000001)</f>
        <v>77.99967</v>
      </c>
      <c r="K773" s="58">
        <f>IFERROR(__xludf.DUMMYFUNCTION("""COMPUTED_VALUE"""),45968.0)</f>
        <v>45968</v>
      </c>
      <c r="L773" s="6">
        <v>14.0</v>
      </c>
      <c r="M773" s="52">
        <v>45982.0</v>
      </c>
      <c r="N773" s="53" t="s">
        <v>692</v>
      </c>
      <c r="O773" s="19" t="s">
        <v>669</v>
      </c>
      <c r="P773" s="6"/>
      <c r="Q773" s="6" t="str">
        <f t="shared" si="1"/>
        <v>551</v>
      </c>
      <c r="R773" s="6"/>
    </row>
    <row r="774">
      <c r="A774" s="31" t="str">
        <f>IFERROR(__xludf.DUMMYFUNCTION("""COMPUTED_VALUE"""),"591")</f>
        <v>591</v>
      </c>
      <c r="B774" s="14" t="str">
        <f>IFERROR(__xludf.DUMMYFUNCTION("""COMPUTED_VALUE"""),"РЕН-25")</f>
        <v>РЕН-25</v>
      </c>
      <c r="C774" s="14" t="str">
        <f>IFERROR(__xludf.DUMMYFUNCTION("""COMPUTED_VALUE"""),"ОКС")</f>
        <v>ОКС</v>
      </c>
      <c r="D774" s="6"/>
      <c r="E774" s="14" t="str">
        <f>IFERROR(__xludf.DUMMYFUNCTION("""COMPUTED_VALUE"""),"ул.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14"&amp;"1, к. 1)")</f>
        <v>ул. Долгопрудная, з/у 3/5 (зона 13.1) район Дмитровский, ул. Долгопрудная, з/у 3/5, микрорайон 15,16,17,18; Дмитровское шосс, к. 10, (зона 13.1) (со сносом жилых зданий по адресам: 
 ул. Долгопрудная, д. 5; ул. Долгопрудная, д. 3; Дмитровское шоссе, д. 141, к. 1)</v>
      </c>
      <c r="F774" s="25" t="str">
        <f>IFERROR(__xludf.DUMMYFUNCTION("""COMPUTED_VALUE"""),"55.893395")</f>
        <v>55.893395</v>
      </c>
      <c r="G774" s="6" t="str">
        <f>IFERROR(__xludf.DUMMYFUNCTION("""COMPUTED_VALUE"""),"37.540047")</f>
        <v>37.540047</v>
      </c>
      <c r="H774" s="18" t="str">
        <f>IFERROR(__xludf.DUMMYFUNCTION("""COMPUTED_VALUE"""),"https://docs.google.com/spreadsheets/d/1H1MjbG2y0oC0hhID4do1G0_gfyI1jag72lQd7nL3WDQ/edit?gid=683523839#gid=683523839")</f>
        <v>https://docs.google.com/spreadsheets/d/1H1MjbG2y0oC0hhID4do1G0_gfyI1jag72lQd7nL3WDQ/edit?gid=683523839#gid=683523839</v>
      </c>
      <c r="I774" s="21" t="str">
        <f>IFERROR(__xludf.DUMMYFUNCTION("""COMPUTED_VALUE"""),"https://disk.yandex.ru/client/disk/%D0%9E%D1%81%D0%BC%D0%BE%D1%82%D1%80%D1%8B%20%D0%BE%D0%B1%D1%8A%D0%B5%D0%BA%D1%82%D0%BE%D0%B2%20%D0%90%D0%9D%D0%9E%20%D0%A1%D0%9C%D0%93/591.%20%D0%94%D0%BE%D0%BB%D0%B3%D0%BE%D0%BF%D1%80%D1%83%D0%B4%D0%BD%D0%B0%D1%8F%20%D"&amp;"1%83%D0%BB.%2C%20%D0%B7%D1%83%203-5")</f>
        <v>https://disk.yandex.ru/client/disk/%D0%9E%D1%81%D0%BC%D0%BE%D1%82%D1%80%D1%8B%20%D0%BE%D0%B1%D1%8A%D0%B5%D0%BA%D1%82%D0%BE%D0%B2%20%D0%90%D0%9D%D0%9E%20%D0%A1%D0%9C%D0%93/591.%20%D0%94%D0%BE%D0%BB%D0%B3%D0%BE%D0%BF%D1%80%D1%83%D0%B4%D0%BD%D0%B0%D1%8F%20%D1%83%D0%BB.%2C%20%D0%B7%D1%83%203-5</v>
      </c>
      <c r="J774" s="50">
        <f>IFERROR(__xludf.DUMMYFUNCTION("""COMPUTED_VALUE"""),82.70590499999999)</f>
        <v>82.705905</v>
      </c>
      <c r="K774" s="58">
        <f>IFERROR(__xludf.DUMMYFUNCTION("""COMPUTED_VALUE"""),45974.0)</f>
        <v>45974</v>
      </c>
      <c r="L774" s="6">
        <v>14.0</v>
      </c>
      <c r="M774" s="52">
        <v>45988.0</v>
      </c>
      <c r="N774" s="53" t="s">
        <v>711</v>
      </c>
      <c r="O774" s="19" t="s">
        <v>669</v>
      </c>
      <c r="P774" s="6"/>
      <c r="Q774" s="6" t="str">
        <f t="shared" si="1"/>
        <v>591</v>
      </c>
      <c r="R774" s="6"/>
    </row>
    <row r="775">
      <c r="A775" s="31" t="str">
        <f>IFERROR(__xludf.DUMMYFUNCTION("""COMPUTED_VALUE"""),"533")</f>
        <v>533</v>
      </c>
      <c r="B775" s="14" t="str">
        <f>IFERROR(__xludf.DUMMYFUNCTION("""COMPUTED_VALUE"""),"РЕН-25")</f>
        <v>РЕН-25</v>
      </c>
      <c r="C775" s="14" t="str">
        <f>IFERROR(__xludf.DUMMYFUNCTION("""COMPUTED_VALUE"""),"ОКС")</f>
        <v>ОКС</v>
      </c>
      <c r="D775" s="6"/>
      <c r="E775" s="14" t="str">
        <f>IFERROR(__xludf.DUMMYFUNCTION("""COMPUTED_VALUE"""),"Тайнинская ул., з/у 16/3 (Тайнинская ул., вл. 16, корп. 3) район Лосиноостровский, ул. Тайнинская, з/у 16/3")</f>
        <v>Тайнинская ул., з/у 16/3 (Тайнинская ул., вл. 16, корп. 3) район Лосиноостровский, ул. Тайнинская, з/у 16/3</v>
      </c>
      <c r="F775" s="25" t="str">
        <f>IFERROR(__xludf.DUMMYFUNCTION("""COMPUTED_VALUE"""),"55.879736")</f>
        <v>55.879736</v>
      </c>
      <c r="G775" s="6" t="str">
        <f>IFERROR(__xludf.DUMMYFUNCTION("""COMPUTED_VALUE"""),"37.686949")</f>
        <v>37.686949</v>
      </c>
      <c r="H775" s="18" t="str">
        <f>IFERROR(__xludf.DUMMYFUNCTION("""COMPUTED_VALUE"""),"https://docs.google.com/spreadsheets/d/1H1MjbG2y0oC0hhID4do1G0_gfyI1jag72lQd7nL3WDQ/edit?gid=17563487#gid=17563487")</f>
        <v>https://docs.google.com/spreadsheets/d/1H1MjbG2y0oC0hhID4do1G0_gfyI1jag72lQd7nL3WDQ/edit?gid=17563487#gid=17563487</v>
      </c>
      <c r="I775" s="19" t="str">
        <f>IFERROR(__xludf.DUMMYFUNCTION("""COMPUTED_VALUE"""),"https://disk.yandex.ru/client/disk/Осмотры%20объектов%20АНО%20СМГ/533.%20ул.%20Тайнинская%2C%20вл%20ЗУ%2016%203")</f>
        <v>https://disk.yandex.ru/client/disk/Осмотры%20объектов%20АНО%20СМГ/533.%20ул.%20Тайнинская%2C%20вл%20ЗУ%2016%203</v>
      </c>
      <c r="J775" s="50">
        <f>IFERROR(__xludf.DUMMYFUNCTION("""COMPUTED_VALUE"""),79.46833500000001)</f>
        <v>79.468335</v>
      </c>
      <c r="K775" s="58">
        <f>IFERROR(__xludf.DUMMYFUNCTION("""COMPUTED_VALUE"""),45972.0)</f>
        <v>45972</v>
      </c>
      <c r="L775" s="6">
        <v>14.0</v>
      </c>
      <c r="M775" s="52">
        <v>45986.0</v>
      </c>
      <c r="N775" s="53" t="s">
        <v>711</v>
      </c>
      <c r="O775" s="19" t="s">
        <v>669</v>
      </c>
      <c r="P775" s="6"/>
      <c r="Q775" s="6" t="str">
        <f t="shared" si="1"/>
        <v>533</v>
      </c>
      <c r="R775" s="6"/>
    </row>
    <row r="776" hidden="1">
      <c r="A776" s="31" t="str">
        <f>IFERROR(__xludf.DUMMYFUNCTION("""COMPUTED_VALUE"""),"531")</f>
        <v>531</v>
      </c>
      <c r="B776" s="14" t="str">
        <f>IFERROR(__xludf.DUMMYFUNCTION("""COMPUTED_VALUE"""),"РЕН-25")</f>
        <v>РЕН-25</v>
      </c>
      <c r="C776" s="14" t="str">
        <f>IFERROR(__xludf.DUMMYFUNCTION("""COMPUTED_VALUE"""),"ОКС")</f>
        <v>ОКС</v>
      </c>
      <c r="D776" s="6"/>
      <c r="E776" s="14" t="str">
        <f>IFERROR(__xludf.DUMMYFUNCTION("""COMPUTED_VALUE"""),"ул. Новохохловская, з/у 15А/2 (ул. Новохохловская, з/у 15/2) район Нижегородский, ул. Новохохловская, з/у 15А2 (ул. Новохохловская, з/у 15/2))")</f>
        <v>ул. Новохохловская, з/у 15А/2 (ул. Новохохловская, з/у 15/2) район Нижегородский, ул. Новохохловская, з/у 15А2 (ул. Новохохловская, з/у 15/2))</v>
      </c>
      <c r="F776" s="25" t="str">
        <f>IFERROR(__xludf.DUMMYFUNCTION("""COMPUTED_VALUE"""),"55.728974")</f>
        <v>55.728974</v>
      </c>
      <c r="G776" s="6" t="str">
        <f>IFERROR(__xludf.DUMMYFUNCTION("""COMPUTED_VALUE"""),"37.713304")</f>
        <v>37.713304</v>
      </c>
      <c r="H776" s="18" t="str">
        <f>IFERROR(__xludf.DUMMYFUNCTION("""COMPUTED_VALUE"""),"https://docs.google.com/spreadsheets/d/1H1MjbG2y0oC0hhID4do1G0_gfyI1jag72lQd7nL3WDQ/edit?gid=888939104#gid=888939104")</f>
        <v>https://docs.google.com/spreadsheets/d/1H1MjbG2y0oC0hhID4do1G0_gfyI1jag72lQd7nL3WDQ/edit?gid=888939104#gid=888939104</v>
      </c>
      <c r="I776" s="19" t="str">
        <f>IFERROR(__xludf.DUMMYFUNCTION("""COMPUTED_VALUE"""),"https://disk.yandex.ru/client/disk/Осмотры%20объектов%20АНО%20СМГ/531.%20Новохохловская%20улица%2C%2015к2%20Реновация")</f>
        <v>https://disk.yandex.ru/client/disk/Осмотры%20объектов%20АНО%20СМГ/531.%20Новохохловская%20улица%2C%2015к2%20Реновация</v>
      </c>
      <c r="J776" s="50">
        <f>IFERROR(__xludf.DUMMYFUNCTION("""COMPUTED_VALUE"""),71.19255)</f>
        <v>71.19255</v>
      </c>
      <c r="K776" s="58">
        <f>IFERROR(__xludf.DUMMYFUNCTION("""COMPUTED_VALUE"""),45959.0)</f>
        <v>45959</v>
      </c>
      <c r="L776" s="6">
        <v>14.0</v>
      </c>
      <c r="M776" s="52">
        <v>45973.0</v>
      </c>
      <c r="N776" s="53" t="s">
        <v>668</v>
      </c>
      <c r="O776" s="19" t="s">
        <v>669</v>
      </c>
      <c r="P776" s="6"/>
      <c r="Q776" s="6" t="str">
        <f t="shared" si="1"/>
        <v>#N/A</v>
      </c>
      <c r="R776" s="6"/>
    </row>
    <row r="777" hidden="1">
      <c r="A777" s="31" t="str">
        <f>IFERROR(__xludf.DUMMYFUNCTION("""COMPUTED_VALUE"""),"703")</f>
        <v>703</v>
      </c>
      <c r="B777" s="14" t="str">
        <f>IFERROR(__xludf.DUMMYFUNCTION("""COMPUTED_VALUE"""),"РЕН-25")</f>
        <v>РЕН-25</v>
      </c>
      <c r="C777" s="14" t="str">
        <f>IFERROR(__xludf.DUMMYFUNCTION("""COMPUTED_VALUE"""),"ОКС")</f>
        <v>ОКС</v>
      </c>
      <c r="D777" s="6"/>
      <c r="E777" s="14" t="str">
        <f>IFERROR(__xludf.DUMMYFUNCTION("""COMPUTED_VALUE"""),"Открытое шос., д.14Д (Открытое шос., вл.14Д) район Богородское, Открытое шоссе, д. 14А")</f>
        <v>Открытое шос., д.14Д (Открытое шос., вл.14Д) район Богородское, Открытое шоссе, д. 14А</v>
      </c>
      <c r="F777" s="25" t="str">
        <f>IFERROR(__xludf.DUMMYFUNCTION("""COMPUTED_VALUE"""),"55.814463")</f>
        <v>55.814463</v>
      </c>
      <c r="G777" s="6" t="str">
        <f>IFERROR(__xludf.DUMMYFUNCTION("""COMPUTED_VALUE"""),"37.739363")</f>
        <v>37.739363</v>
      </c>
      <c r="H777" s="18" t="str">
        <f>IFERROR(__xludf.DUMMYFUNCTION("""COMPUTED_VALUE"""),"https://docs.google.com/spreadsheets/d/1H1MjbG2y0oC0hhID4do1G0_gfyI1jag72lQd7nL3WDQ/edit?gid=1430842581#gid=1430842581")</f>
        <v>https://docs.google.com/spreadsheets/d/1H1MjbG2y0oC0hhID4do1G0_gfyI1jag72lQd7nL3WDQ/edit?gid=1430842581#gid=1430842581</v>
      </c>
      <c r="I777" s="19" t="str">
        <f>IFERROR(__xludf.DUMMYFUNCTION("""COMPUTED_VALUE"""),"https://disk.yandex.ru/client/disk/Осмотры%20объектов%20АНО%20СМГ/703%20Открытое%20Шоссе%20вл%2014Д%20%20(рн-Богородское)")</f>
        <v>https://disk.yandex.ru/client/disk/Осмотры%20объектов%20АНО%20СМГ/703%20Открытое%20Шоссе%20вл%2014Д%20%20(рн-Богородское)</v>
      </c>
      <c r="J777" s="50">
        <f>IFERROR(__xludf.DUMMYFUNCTION("""COMPUTED_VALUE"""),99.71482999999999)</f>
        <v>99.71483</v>
      </c>
      <c r="K777" s="58">
        <f>IFERROR(__xludf.DUMMYFUNCTION("""COMPUTED_VALUE"""),45957.0)</f>
        <v>45957</v>
      </c>
      <c r="L777" s="6">
        <v>7.0</v>
      </c>
      <c r="M777" s="52">
        <v>45964.0</v>
      </c>
      <c r="N777" s="53" t="s">
        <v>652</v>
      </c>
      <c r="O777" s="61" t="s">
        <v>1137</v>
      </c>
      <c r="P777" s="6"/>
      <c r="Q777" s="6" t="str">
        <f t="shared" si="1"/>
        <v>#N/A</v>
      </c>
      <c r="R777" s="6"/>
    </row>
    <row r="778" hidden="1">
      <c r="A778" s="31" t="str">
        <f>IFERROR(__xludf.DUMMYFUNCTION("""COMPUTED_VALUE"""),"537")</f>
        <v>537</v>
      </c>
      <c r="B778" s="14" t="str">
        <f>IFERROR(__xludf.DUMMYFUNCTION("""COMPUTED_VALUE"""),"РЕН-25")</f>
        <v>РЕН-25</v>
      </c>
      <c r="C778" s="14" t="str">
        <f>IFERROR(__xludf.DUMMYFUNCTION("""COMPUTED_VALUE"""),"ОКС")</f>
        <v>ОКС</v>
      </c>
      <c r="D778" s="6"/>
      <c r="E778" s="14" t="str">
        <f>IFERROR(__xludf.DUMMYFUNCTION("""COMPUTED_VALUE"""),"Рязанский пр-т, з/у 49 район Рязанский, Рязанский проспект, з/у 49 (со сносом жилых домов по адресам: г. Москва, Рязанский проспект, дом 49, корпуса 1, 2, 3, 4)")</f>
        <v>Рязанский пр-т, з/у 49 район Рязанский, Рязанский проспект, з/у 49 (со сносом жилых домов по адресам: г. Москва, Рязанский проспект, дом 49, корпуса 1, 2, 3, 4)</v>
      </c>
      <c r="F778" s="25" t="str">
        <f>IFERROR(__xludf.DUMMYFUNCTION("""COMPUTED_VALUE"""),"55.725658")</f>
        <v>55.725658</v>
      </c>
      <c r="G778" s="6" t="str">
        <f>IFERROR(__xludf.DUMMYFUNCTION("""COMPUTED_VALUE"""),"37.764742")</f>
        <v>37.764742</v>
      </c>
      <c r="H778" s="18" t="str">
        <f>IFERROR(__xludf.DUMMYFUNCTION("""COMPUTED_VALUE"""),"https://docs.google.com/spreadsheets/d/1H1MjbG2y0oC0hhID4do1G0_gfyI1jag72lQd7nL3WDQ/edit?gid=1141531368#gid=1141531368")</f>
        <v>https://docs.google.com/spreadsheets/d/1H1MjbG2y0oC0hhID4do1G0_gfyI1jag72lQd7nL3WDQ/edit?gid=1141531368#gid=1141531368</v>
      </c>
      <c r="I778" s="19" t="str">
        <f>IFERROR(__xludf.DUMMYFUNCTION("""COMPUTED_VALUE"""),"https://disk.yandex.ru/client/disk/Осмотры%20объектов%20АНО%20СМГ/537%20ЮВАО%2C%20район%20Рязанский%2C%20Рязанский%20проспект%2C%20земельный%20участок%2049%2C%20(Рязанский%20пр-т%2C%20вл.49%2C%20корпуса%201%2C2%2C3%2C4)")</f>
        <v>https://disk.yandex.ru/client/disk/Осмотры%20объектов%20АНО%20СМГ/537%20ЮВАО%2C%20район%20Рязанский%2C%20Рязанский%20проспект%2C%20земельный%20участок%2049%2C%20(Рязанский%20пр-т%2C%20вл.49%2C%20корпуса%201%2C2%2C3%2C4)</v>
      </c>
      <c r="J778" s="50">
        <f>IFERROR(__xludf.DUMMYFUNCTION("""COMPUTED_VALUE"""),72.72009)</f>
        <v>72.72009</v>
      </c>
      <c r="K778" s="58">
        <f>IFERROR(__xludf.DUMMYFUNCTION("""COMPUTED_VALUE"""),45967.0)</f>
        <v>45967</v>
      </c>
      <c r="L778" s="6">
        <v>14.0</v>
      </c>
      <c r="M778" s="52">
        <v>45981.0</v>
      </c>
      <c r="N778" s="53" t="s">
        <v>741</v>
      </c>
      <c r="O778" s="19" t="s">
        <v>669</v>
      </c>
      <c r="P778" s="6"/>
      <c r="Q778" s="6" t="str">
        <f t="shared" si="1"/>
        <v>#N/A</v>
      </c>
      <c r="R778" s="6"/>
    </row>
    <row r="779" hidden="1">
      <c r="A779" s="31" t="str">
        <f>IFERROR(__xludf.DUMMYFUNCTION("""COMPUTED_VALUE"""),"628")</f>
        <v>628</v>
      </c>
      <c r="B779" s="14" t="str">
        <f>IFERROR(__xludf.DUMMYFUNCTION("""COMPUTED_VALUE"""),"РЕН-25")</f>
        <v>РЕН-25</v>
      </c>
      <c r="C779" s="14" t="str">
        <f>IFERROR(__xludf.DUMMYFUNCTION("""COMPUTED_VALUE"""),"ОКС")</f>
        <v>ОКС</v>
      </c>
      <c r="D779" s="6"/>
      <c r="E779" s="14" t="str">
        <f>IFERROR(__xludf.DUMMYFUNCTION("""COMPUTED_VALUE"""),"ул. Фридриха Энгельса, з/у 56/1; вл. 58, стр. 1-3, вл. 60, стр. 1, вл. 62, стр. 1, корп. 2 район Басманный, Фридриха Энгельса ул., з/у 56/1; влд. 56 стр. 1-7, 9; влд. 58, стр. 1-3; влд. 60, стр. 1; влд. 62, стр. 1")</f>
        <v>ул. Фридриха Энгельса, з/у 56/1; вл. 58, стр. 1-3, вл. 60, стр. 1, вл. 62, стр. 1, корп. 2 район Басманный, Фридриха Энгельса ул., з/у 56/1; влд. 56 стр. 1-7, 9; влд. 58, стр. 1-3; влд. 60, стр. 1; влд. 62, стр. 1</v>
      </c>
      <c r="F779" s="25" t="str">
        <f>IFERROR(__xludf.DUMMYFUNCTION("""COMPUTED_VALUE"""),"55.776981")</f>
        <v>55.776981</v>
      </c>
      <c r="G779" s="6" t="str">
        <f>IFERROR(__xludf.DUMMYFUNCTION("""COMPUTED_VALUE"""),"37.692421")</f>
        <v>37.692421</v>
      </c>
      <c r="H779" s="18" t="str">
        <f>IFERROR(__xludf.DUMMYFUNCTION("""COMPUTED_VALUE"""),"https://docs.google.com/spreadsheets/d/1H1MjbG2y0oC0hhID4do1G0_gfyI1jag72lQd7nL3WDQ/edit?gid=751430157#gid=751430157")</f>
        <v>https://docs.google.com/spreadsheets/d/1H1MjbG2y0oC0hhID4do1G0_gfyI1jag72lQd7nL3WDQ/edit?gid=751430157#gid=751430157</v>
      </c>
      <c r="I779" s="19" t="str">
        <f>IFERROR(__xludf.DUMMYFUNCTION("""COMPUTED_VALUE"""),"https://disk.yandex.ru/client/disk/Осмотры%20объектов%20АНО%20СМГ/628.%20Фридриха%20Энгельса%20ул.%2C%20вл.%2056%2C%20стр.%201-7")</f>
        <v>https://disk.yandex.ru/client/disk/Осмотры%20объектов%20АНО%20СМГ/628.%20Фридриха%20Энгельса%20ул.%2C%20вл.%2056%2C%20стр.%201-7</v>
      </c>
      <c r="J779" s="50">
        <f>IFERROR(__xludf.DUMMYFUNCTION("""COMPUTED_VALUE"""),95.875725)</f>
        <v>95.875725</v>
      </c>
      <c r="K779" s="58">
        <f>IFERROR(__xludf.DUMMYFUNCTION("""COMPUTED_VALUE"""),45960.0)</f>
        <v>45960</v>
      </c>
      <c r="L779" s="6">
        <v>7.0</v>
      </c>
      <c r="M779" s="52">
        <v>45967.0</v>
      </c>
      <c r="N779" s="53" t="s">
        <v>668</v>
      </c>
      <c r="O779" s="19" t="s">
        <v>669</v>
      </c>
      <c r="P779" s="6"/>
      <c r="Q779" s="6" t="str">
        <f t="shared" si="1"/>
        <v>#N/A</v>
      </c>
      <c r="R779" s="6"/>
    </row>
    <row r="780" hidden="1">
      <c r="A780" s="31" t="str">
        <f>IFERROR(__xludf.DUMMYFUNCTION("""COMPUTED_VALUE"""),"678")</f>
        <v>678</v>
      </c>
      <c r="B780" s="14" t="str">
        <f>IFERROR(__xludf.DUMMYFUNCTION("""COMPUTED_VALUE"""),"РЕН-25")</f>
        <v>РЕН-25</v>
      </c>
      <c r="C780" s="14" t="str">
        <f>IFERROR(__xludf.DUMMYFUNCTION("""COMPUTED_VALUE"""),"ОКС")</f>
        <v>ОКС</v>
      </c>
      <c r="D780" s="6"/>
      <c r="E780" s="14" t="str">
        <f>IFERROR(__xludf.DUMMYFUNCTION("""COMPUTED_VALUE"""),"Булатниковский пр-д, з/у 2В/3 (Булатниковский пр-д, вл.2В, корп.3) район Бирюлево Западное, Булатниковский пр-д, з/у 2В/3 (Булатниковский пр-д, вл.2В, корп.3).")</f>
        <v>Булатниковский пр-д, з/у 2В/3 (Булатниковский пр-д, вл.2В, корп.3) район Бирюлево Западное, Булатниковский пр-д, з/у 2В/3 (Булатниковский пр-д, вл.2В, корп.3).</v>
      </c>
      <c r="F780" s="25" t="str">
        <f>IFERROR(__xludf.DUMMYFUNCTION("""COMPUTED_VALUE"""),"55.595206")</f>
        <v>55.595206</v>
      </c>
      <c r="G780" s="6" t="str">
        <f>IFERROR(__xludf.DUMMYFUNCTION("""COMPUTED_VALUE"""),"37.649192")</f>
        <v>37.649192</v>
      </c>
      <c r="H780" s="18" t="str">
        <f>IFERROR(__xludf.DUMMYFUNCTION("""COMPUTED_VALUE"""),"https://docs.google.com/spreadsheets/d/1H1MjbG2y0oC0hhID4do1G0_gfyI1jag72lQd7nL3WDQ/edit?gid=1107137504#gid=1107137504")</f>
        <v>https://docs.google.com/spreadsheets/d/1H1MjbG2y0oC0hhID4do1G0_gfyI1jag72lQd7nL3WDQ/edit?gid=1107137504#gid=1107137504</v>
      </c>
      <c r="I780" s="19" t="str">
        <f>IFERROR(__xludf.DUMMYFUNCTION("""COMPUTED_VALUE"""),"https://disk.yandex.ru/client/disk/Осмотры%20объектов%20АНО%20СМГ/678.Булатниковский%20д.2В%20Корп.3")</f>
        <v>https://disk.yandex.ru/client/disk/Осмотры%20объектов%20АНО%20СМГ/678.Булатниковский%20д.2В%20Корп.3</v>
      </c>
      <c r="J780" s="50">
        <f>IFERROR(__xludf.DUMMYFUNCTION("""COMPUTED_VALUE"""),59.404725)</f>
        <v>59.404725</v>
      </c>
      <c r="K780" s="58">
        <f>IFERROR(__xludf.DUMMYFUNCTION("""COMPUTED_VALUE"""),45967.0)</f>
        <v>45967</v>
      </c>
      <c r="L780" s="6">
        <v>14.0</v>
      </c>
      <c r="M780" s="52">
        <v>45981.0</v>
      </c>
      <c r="N780" s="53" t="s">
        <v>741</v>
      </c>
      <c r="O780" s="19" t="s">
        <v>669</v>
      </c>
      <c r="P780" s="6"/>
      <c r="Q780" s="6" t="str">
        <f t="shared" si="1"/>
        <v>#N/A</v>
      </c>
      <c r="R780" s="6"/>
    </row>
    <row r="781" hidden="1">
      <c r="A781" s="31" t="str">
        <f>IFERROR(__xludf.DUMMYFUNCTION("""COMPUTED_VALUE"""),"614")</f>
        <v>614</v>
      </c>
      <c r="B781" s="14" t="str">
        <f>IFERROR(__xludf.DUMMYFUNCTION("""COMPUTED_VALUE"""),"РЕН-25")</f>
        <v>РЕН-25</v>
      </c>
      <c r="C781" s="14" t="str">
        <f>IFERROR(__xludf.DUMMYFUNCTION("""COMPUTED_VALUE"""),"ОКС")</f>
        <v>ОКС</v>
      </c>
      <c r="D781" s="6"/>
      <c r="E781" s="14" t="str">
        <f>IFERROR(__xludf.DUMMYFUNCTION("""COMPUTED_VALUE"""),"ул. Игральная, вл. 1 район Богородское, ул. Игральная, д. 1А (зона - 4.1) (участок 10) (ул. Игральная, д.1А)")</f>
        <v>ул. Игральная, вл. 1 район Богородское, ул. Игральная, д. 1А (зона - 4.1) (участок 10) (ул. Игральная, д.1А)</v>
      </c>
      <c r="F781" s="25" t="str">
        <f>IFERROR(__xludf.DUMMYFUNCTION("""COMPUTED_VALUE"""),"55.814608")</f>
        <v>55.814608</v>
      </c>
      <c r="G781" s="6" t="str">
        <f>IFERROR(__xludf.DUMMYFUNCTION("""COMPUTED_VALUE"""),"37.710737")</f>
        <v>37.710737</v>
      </c>
      <c r="H781" s="18" t="str">
        <f>IFERROR(__xludf.DUMMYFUNCTION("""COMPUTED_VALUE"""),"https://docs.google.com/spreadsheets/d/1H1MjbG2y0oC0hhID4do1G0_gfyI1jag72lQd7nL3WDQ/edit?gid=1248381323#gid=1248381323")</f>
        <v>https://docs.google.com/spreadsheets/d/1H1MjbG2y0oC0hhID4do1G0_gfyI1jag72lQd7nL3WDQ/edit?gid=1248381323#gid=1248381323</v>
      </c>
      <c r="I781" s="19" t="str">
        <f>IFERROR(__xludf.DUMMYFUNCTION("""COMPUTED_VALUE"""),"https://disk.yandex.ru/client/disk/Осмотры%20объектов%20АНО%20СМГ/614%20Игральная%20ул.%2C%20вл.%201")</f>
        <v>https://disk.yandex.ru/client/disk/Осмотры%20объектов%20АНО%20СМГ/614%20Игральная%20ул.%2C%20вл.%201</v>
      </c>
      <c r="J781" s="50">
        <f>IFERROR(__xludf.DUMMYFUNCTION("""COMPUTED_VALUE"""),99.732175)</f>
        <v>99.732175</v>
      </c>
      <c r="K781" s="58">
        <f>IFERROR(__xludf.DUMMYFUNCTION("""COMPUTED_VALUE"""),45952.0)</f>
        <v>45952</v>
      </c>
      <c r="L781" s="6">
        <v>7.0</v>
      </c>
      <c r="M781" s="52">
        <v>45959.0</v>
      </c>
      <c r="N781" s="53" t="s">
        <v>652</v>
      </c>
      <c r="O781" s="19" t="s">
        <v>1138</v>
      </c>
      <c r="P781" s="6"/>
      <c r="Q781" s="6" t="str">
        <f t="shared" si="1"/>
        <v>#N/A</v>
      </c>
      <c r="R781" s="6"/>
    </row>
    <row r="782">
      <c r="A782" s="31" t="str">
        <f>IFERROR(__xludf.DUMMYFUNCTION("""COMPUTED_VALUE"""),"617")</f>
        <v>617</v>
      </c>
      <c r="B782" s="14" t="str">
        <f>IFERROR(__xludf.DUMMYFUNCTION("""COMPUTED_VALUE"""),"РЕН-25")</f>
        <v>РЕН-25</v>
      </c>
      <c r="C782" s="14" t="str">
        <f>IFERROR(__xludf.DUMMYFUNCTION("""COMPUTED_VALUE"""),"ОКС")</f>
        <v>ОКС</v>
      </c>
      <c r="D782" s="6"/>
      <c r="E782" s="14" t="str">
        <f>IFERROR(__xludf.DUMMYFUNCTION("""COMPUTED_VALUE"""),"ул. Газопровод з/у 7 (Газопровод, влд. 7) район Южное Чертаново, Газопровод ул., з/у 7 (Газопровод ул., вл. 7)")</f>
        <v>ул. Газопровод з/у 7 (Газопровод, влд. 7) район Южное Чертаново, Газопровод ул., з/у 7 (Газопровод ул., вл. 7)</v>
      </c>
      <c r="F782" s="25" t="str">
        <f>IFERROR(__xludf.DUMMYFUNCTION("""COMPUTED_VALUE"""),"55.590353")</f>
        <v>55.590353</v>
      </c>
      <c r="G782" s="6" t="str">
        <f>IFERROR(__xludf.DUMMYFUNCTION("""COMPUTED_VALUE"""),"37.605625")</f>
        <v>37.605625</v>
      </c>
      <c r="H782" s="18" t="str">
        <f>IFERROR(__xludf.DUMMYFUNCTION("""COMPUTED_VALUE"""),"https://docs.google.com/spreadsheets/d/1H1MjbG2y0oC0hhID4do1G0_gfyI1jag72lQd7nL3WDQ/edit?gid=964974032#gid=964974032")</f>
        <v>https://docs.google.com/spreadsheets/d/1H1MjbG2y0oC0hhID4do1G0_gfyI1jag72lQd7nL3WDQ/edit?gid=964974032#gid=964974032</v>
      </c>
      <c r="I782" s="19" t="str">
        <f>IFERROR(__xludf.DUMMYFUNCTION("""COMPUTED_VALUE"""),"https://disk.yandex.ru/client/disk/Осмотры%20объектов%20АНО%20СМГ/617.%20Район%20Чертаново%20Южное%2C%20ул.%20Газопровод%2C%20вл.7")</f>
        <v>https://disk.yandex.ru/client/disk/Осмотры%20объектов%20АНО%20СМГ/617.%20Район%20Чертаново%20Южное%2C%20ул.%20Газопровод%2C%20вл.7</v>
      </c>
      <c r="J782" s="50">
        <f>IFERROR(__xludf.DUMMYFUNCTION("""COMPUTED_VALUE"""),75.61484999999999)</f>
        <v>75.61485</v>
      </c>
      <c r="K782" s="58">
        <f>IFERROR(__xludf.DUMMYFUNCTION("""COMPUTED_VALUE"""),45972.0)</f>
        <v>45972</v>
      </c>
      <c r="L782" s="6">
        <v>14.0</v>
      </c>
      <c r="M782" s="52">
        <v>45986.0</v>
      </c>
      <c r="N782" s="53" t="s">
        <v>711</v>
      </c>
      <c r="O782" s="19" t="s">
        <v>669</v>
      </c>
      <c r="P782" s="6"/>
      <c r="Q782" s="6" t="str">
        <f t="shared" si="1"/>
        <v>617</v>
      </c>
      <c r="R782" s="6"/>
    </row>
    <row r="783">
      <c r="A783" s="31" t="str">
        <f>IFERROR(__xludf.DUMMYFUNCTION("""COMPUTED_VALUE"""),"581")</f>
        <v>581</v>
      </c>
      <c r="B783" s="14" t="str">
        <f>IFERROR(__xludf.DUMMYFUNCTION("""COMPUTED_VALUE"""),"РЕН-25")</f>
        <v>РЕН-25</v>
      </c>
      <c r="C783" s="14" t="str">
        <f>IFERROR(__xludf.DUMMYFUNCTION("""COMPUTED_VALUE"""),"ОКС")</f>
        <v>ОКС</v>
      </c>
      <c r="D783" s="6"/>
      <c r="E783" s="14" t="str">
        <f>IFERROR(__xludf.DUMMYFUNCTION("""COMPUTED_VALUE"""),"1-й Волоколамский пр-д, з/у 7/1 (1-й Волоколамский пр-д, вл. 7, корп. 1) район Щукино, 1-й Волоколамский пр-д, з/у 7/1 
 (1-й Волоколамский пр-д, влд. 7, корп. 1)")</f>
        <v>1-й Волоколамский пр-д, з/у 7/1 (1-й Волоколамский пр-д, вл. 7, корп. 1) район Щукино, 1-й Волоколамский пр-д, з/у 7/1 
 (1-й Волоколамский пр-д, влд. 7, корп. 1)</v>
      </c>
      <c r="F783" s="25" t="str">
        <f>IFERROR(__xludf.DUMMYFUNCTION("""COMPUTED_VALUE"""),"55.800599")</f>
        <v>55.800599</v>
      </c>
      <c r="G783" s="6" t="str">
        <f>IFERROR(__xludf.DUMMYFUNCTION("""COMPUTED_VALUE"""),"37.491611")</f>
        <v>37.491611</v>
      </c>
      <c r="H783" s="18" t="str">
        <f>IFERROR(__xludf.DUMMYFUNCTION("""COMPUTED_VALUE"""),"https://docs.google.com/spreadsheets/d/1H1MjbG2y0oC0hhID4do1G0_gfyI1jag72lQd7nL3WDQ/edit?gid=1426054658#gid=1426054658")</f>
        <v>https://docs.google.com/spreadsheets/d/1H1MjbG2y0oC0hhID4do1G0_gfyI1jag72lQd7nL3WDQ/edit?gid=1426054658#gid=1426054658</v>
      </c>
      <c r="I783" s="19" t="str">
        <f>IFERROR(__xludf.DUMMYFUNCTION("""COMPUTED_VALUE"""),"https://disk.yandex.ru/client/disk/Осмотры%20объектов%20АНО%20СМГ/581%201%20й%20Волоколамский%20проезд%20д%207%20к1")</f>
        <v>https://disk.yandex.ru/client/disk/Осмотры%20объектов%20АНО%20СМГ/581%201%20й%20Волоколамский%20проезд%20д%207%20к1</v>
      </c>
      <c r="J783" s="50">
        <f>IFERROR(__xludf.DUMMYFUNCTION("""COMPUTED_VALUE"""),63.706095000000005)</f>
        <v>63.706095</v>
      </c>
      <c r="K783" s="58">
        <f>IFERROR(__xludf.DUMMYFUNCTION("""COMPUTED_VALUE"""),45972.0)</f>
        <v>45972</v>
      </c>
      <c r="L783" s="6">
        <v>14.0</v>
      </c>
      <c r="M783" s="52">
        <v>45986.0</v>
      </c>
      <c r="N783" s="53" t="s">
        <v>711</v>
      </c>
      <c r="O783" s="19" t="s">
        <v>669</v>
      </c>
      <c r="P783" s="6"/>
      <c r="Q783" s="6" t="str">
        <f t="shared" si="1"/>
        <v>581</v>
      </c>
      <c r="R783" s="6"/>
    </row>
    <row r="784" hidden="1">
      <c r="A784" s="31" t="str">
        <f>IFERROR(__xludf.DUMMYFUNCTION("""COMPUTED_VALUE"""),"546")</f>
        <v>546</v>
      </c>
      <c r="B784" s="14" t="str">
        <f>IFERROR(__xludf.DUMMYFUNCTION("""COMPUTED_VALUE"""),"РЕН-25")</f>
        <v>РЕН-25</v>
      </c>
      <c r="C784" s="14" t="str">
        <f>IFERROR(__xludf.DUMMYFUNCTION("""COMPUTED_VALUE"""),"ОКС")</f>
        <v>ОКС</v>
      </c>
      <c r="D784" s="6"/>
      <c r="E784" s="14" t="str">
        <f>IFERROR(__xludf.DUMMYFUNCTION("""COMPUTED_VALUE"""),"Артюхиной ул., вл. 24 район Текстильщики, Артюхиной ул., вл. 24")</f>
        <v>Артюхиной ул., вл. 24 район Текстильщики, Артюхиной ул., вл. 24</v>
      </c>
      <c r="F784" s="25" t="str">
        <f>IFERROR(__xludf.DUMMYFUNCTION("""COMPUTED_VALUE"""),"55.695961")</f>
        <v>55.695961</v>
      </c>
      <c r="G784" s="6" t="str">
        <f>IFERROR(__xludf.DUMMYFUNCTION("""COMPUTED_VALUE"""),"37.738629")</f>
        <v>37.738629</v>
      </c>
      <c r="H784" s="18" t="str">
        <f>IFERROR(__xludf.DUMMYFUNCTION("""COMPUTED_VALUE"""),"https://docs.google.com/spreadsheets/d/1H1MjbG2y0oC0hhID4do1G0_gfyI1jag72lQd7nL3WDQ/edit?gid=1086511131#gid=1086511131")</f>
        <v>https://docs.google.com/spreadsheets/d/1H1MjbG2y0oC0hhID4do1G0_gfyI1jag72lQd7nL3WDQ/edit?gid=1086511131#gid=1086511131</v>
      </c>
      <c r="I784" s="19" t="str">
        <f>IFERROR(__xludf.DUMMYFUNCTION("""COMPUTED_VALUE"""),"https://disk.yandex.ru/client/disk/Осмотры%20объектов%20АНО%20СМГ/546.%20Артюхиной%20ул.%2C%20вл.%2024%20реновация")</f>
        <v>https://disk.yandex.ru/client/disk/Осмотры%20объектов%20АНО%20СМГ/546.%20Артюхиной%20ул.%2C%20вл.%2024%20реновация</v>
      </c>
      <c r="J784" s="50">
        <f>IFERROR(__xludf.DUMMYFUNCTION("""COMPUTED_VALUE"""),20.429699999999997)</f>
        <v>20.4297</v>
      </c>
      <c r="K784" s="58">
        <f>IFERROR(__xludf.DUMMYFUNCTION("""COMPUTED_VALUE"""),45947.0)</f>
        <v>45947</v>
      </c>
      <c r="L784" s="6">
        <v>30.0</v>
      </c>
      <c r="M784" s="52">
        <v>45977.0</v>
      </c>
      <c r="N784" s="53" t="s">
        <v>701</v>
      </c>
      <c r="O784" s="19" t="s">
        <v>1139</v>
      </c>
      <c r="P784" s="6"/>
      <c r="Q784" s="6" t="str">
        <f t="shared" si="1"/>
        <v>#N/A</v>
      </c>
      <c r="R784" s="6"/>
    </row>
    <row r="785">
      <c r="A785" s="31" t="str">
        <f>IFERROR(__xludf.DUMMYFUNCTION("""COMPUTED_VALUE"""),"584")</f>
        <v>584</v>
      </c>
      <c r="B785" s="14" t="str">
        <f>IFERROR(__xludf.DUMMYFUNCTION("""COMPUTED_VALUE"""),"РЕН-25")</f>
        <v>РЕН-25</v>
      </c>
      <c r="C785" s="14" t="str">
        <f>IFERROR(__xludf.DUMMYFUNCTION("""COMPUTED_VALUE"""),"ОКС")</f>
        <v>ОКС</v>
      </c>
      <c r="D785" s="6"/>
      <c r="E785" s="14" t="str">
        <f>IFERROR(__xludf.DUMMYFUNCTION("""COMPUTED_VALUE"""),"Изумрудная зу 44/1 (мкр 2, зона 12.4) район Лосиноостровский, ул. Изумрудная, з/у 44/1, микрорайон 2, зона 12.4 (со сносом жилого здания по адресу: ул. Изумрудная, д. 44)")</f>
        <v>Изумрудная зу 44/1 (мкр 2, зона 12.4) район Лосиноостровский, ул. Изумрудная, з/у 44/1, микрорайон 2, зона 12.4 (со сносом жилого здания по адресу: ул. Изумрудная, д. 44)</v>
      </c>
      <c r="F785" s="25" t="str">
        <f>IFERROR(__xludf.DUMMYFUNCTION("""COMPUTED_VALUE"""),"55.877273")</f>
        <v>55.877273</v>
      </c>
      <c r="G785" s="6" t="str">
        <f>IFERROR(__xludf.DUMMYFUNCTION("""COMPUTED_VALUE"""),"37.692177")</f>
        <v>37.692177</v>
      </c>
      <c r="H785" s="18" t="str">
        <f>IFERROR(__xludf.DUMMYFUNCTION("""COMPUTED_VALUE"""),"https://docs.google.com/spreadsheets/d/1H1MjbG2y0oC0hhID4do1G0_gfyI1jag72lQd7nL3WDQ/edit?gid=1900542966#gid=1900542966")</f>
        <v>https://docs.google.com/spreadsheets/d/1H1MjbG2y0oC0hhID4do1G0_gfyI1jag72lQd7nL3WDQ/edit?gid=1900542966#gid=1900542966</v>
      </c>
      <c r="I785" s="19" t="str">
        <f>IFERROR(__xludf.DUMMYFUNCTION("""COMPUTED_VALUE"""),"https://disk.yandex.ru/client/disk/Осмотры%20объектов%20АНО%20СМГ/584.%20ул.%20Изумрудная%2044.1")</f>
        <v>https://disk.yandex.ru/client/disk/Осмотры%20объектов%20АНО%20СМГ/584.%20ул.%20Изумрудная%2044.1</v>
      </c>
      <c r="J785" s="50">
        <f>IFERROR(__xludf.DUMMYFUNCTION("""COMPUTED_VALUE"""),79.59270000000001)</f>
        <v>79.5927</v>
      </c>
      <c r="K785" s="58">
        <f>IFERROR(__xludf.DUMMYFUNCTION("""COMPUTED_VALUE"""),45953.0)</f>
        <v>45953</v>
      </c>
      <c r="L785" s="6">
        <v>14.0</v>
      </c>
      <c r="M785" s="52">
        <v>45967.0</v>
      </c>
      <c r="N785" s="53" t="s">
        <v>668</v>
      </c>
      <c r="O785" s="19" t="s">
        <v>669</v>
      </c>
      <c r="P785" s="6"/>
      <c r="Q785" s="6" t="str">
        <f t="shared" si="1"/>
        <v>584</v>
      </c>
      <c r="R785" s="6"/>
    </row>
    <row r="786" hidden="1">
      <c r="A786" s="31" t="str">
        <f>IFERROR(__xludf.DUMMYFUNCTION("""COMPUTED_VALUE"""),"603")</f>
        <v>603</v>
      </c>
      <c r="B786" s="14" t="str">
        <f>IFERROR(__xludf.DUMMYFUNCTION("""COMPUTED_VALUE"""),"РЕН-25")</f>
        <v>РЕН-25</v>
      </c>
      <c r="C786" s="14" t="str">
        <f>IFERROR(__xludf.DUMMYFUNCTION("""COMPUTED_VALUE"""),"ОКС")</f>
        <v>ОКС</v>
      </c>
      <c r="D786" s="6"/>
      <c r="E786" s="14" t="str">
        <f>IFERROR(__xludf.DUMMYFUNCTION("""COMPUTED_VALUE"""),"Жилой дом с подземной автостоянкой, инженерными сетями и благоустройством территории (со сносом жилых зданий по адресам: ул. Бутлерова, д. 34, корп.1; ул. Бутлерова, д. 34, корп.2; ул. Бутлерова, д. 36, корп.1; ул. Бутлерова, д. 36, корп.2), район Коньков"&amp;"о, микрорайон 6 района Коньково, зона № 1.2 район Коньково, микрорайон 6 района Коньково, зона № 1.2 (4 корпуса)")</f>
        <v>Жилой дом с подземной автостоянкой, инженерными сетями и благоустройством территории (со сносом жилых зданий по адресам: ул. Бутлерова, д. 34, корп.1; ул. Бутлерова, д. 34, корп.2; ул. Бутлерова, д. 36, корп.1; ул. Бутлерова, д. 36, корп.2), район Коньково, микрорайон 6 района Коньково, зона № 1.2 район Коньково, микрорайон 6 района Коньково, зона № 1.2 (4 корпуса)</v>
      </c>
      <c r="F786" s="25" t="str">
        <f>IFERROR(__xludf.DUMMYFUNCTION("""COMPUTED_VALUE"""),"55.643709")</f>
        <v>55.643709</v>
      </c>
      <c r="G786" s="6" t="str">
        <f>IFERROR(__xludf.DUMMYFUNCTION("""COMPUTED_VALUE"""),"37.545808")</f>
        <v>37.545808</v>
      </c>
      <c r="H786" s="18" t="str">
        <f>IFERROR(__xludf.DUMMYFUNCTION("""COMPUTED_VALUE"""),"https://docs.google.com/spreadsheets/d/1H1MjbG2y0oC0hhID4do1G0_gfyI1jag72lQd7nL3WDQ/edit?gid=1000032786#gid=1000032786")</f>
        <v>https://docs.google.com/spreadsheets/d/1H1MjbG2y0oC0hhID4do1G0_gfyI1jag72lQd7nL3WDQ/edit?gid=1000032786#gid=1000032786</v>
      </c>
      <c r="I786" s="19" t="str">
        <f>IFERROR(__xludf.DUMMYFUNCTION("""COMPUTED_VALUE"""),"https://disk.yandex.ru/client/disk/Осмотры%20объектов%20АНО%20СМГ/603.%20район%20Коньково%2C%20ул.%20Бутлерово%20зу%2034_2%20мкр.%206%20зона%201.2")</f>
        <v>https://disk.yandex.ru/client/disk/Осмотры%20объектов%20АНО%20СМГ/603.%20район%20Коньково%2C%20ул.%20Бутлерово%20зу%2034_2%20мкр.%206%20зона%201.2</v>
      </c>
      <c r="J786" s="50">
        <f>IFERROR(__xludf.DUMMYFUNCTION("""COMPUTED_VALUE"""),81.793665)</f>
        <v>81.793665</v>
      </c>
      <c r="K786" s="58">
        <f>IFERROR(__xludf.DUMMYFUNCTION("""COMPUTED_VALUE"""),45973.0)</f>
        <v>45973</v>
      </c>
      <c r="L786" s="6">
        <v>14.0</v>
      </c>
      <c r="M786" s="52">
        <v>45987.0</v>
      </c>
      <c r="N786" s="53" t="s">
        <v>711</v>
      </c>
      <c r="O786" s="19" t="s">
        <v>1140</v>
      </c>
      <c r="P786" s="6"/>
      <c r="Q786" s="6" t="str">
        <f t="shared" si="1"/>
        <v>#N/A</v>
      </c>
      <c r="R786" s="6"/>
    </row>
    <row r="787" hidden="1">
      <c r="A787" s="31" t="str">
        <f>IFERROR(__xludf.DUMMYFUNCTION("""COMPUTED_VALUE"""),"721")</f>
        <v>721</v>
      </c>
      <c r="B787" s="14" t="str">
        <f>IFERROR(__xludf.DUMMYFUNCTION("""COMPUTED_VALUE"""),"РЕН-25")</f>
        <v>РЕН-25</v>
      </c>
      <c r="C787" s="14" t="str">
        <f>IFERROR(__xludf.DUMMYFUNCTION("""COMPUTED_VALUE"""),"ОКС")</f>
        <v>ОКС</v>
      </c>
      <c r="D787" s="6"/>
      <c r="E787" s="14" t="str">
        <f>IFERROR(__xludf.DUMMYFUNCTION("""COMPUTED_VALUE"""),"Чапаева ул., вл. 4, 6 район Щербинка, Чапаева ул., вл. 4, 6")</f>
        <v>Чапаева ул., вл. 4, 6 район Щербинка, Чапаева ул., вл. 4, 6</v>
      </c>
      <c r="F787" s="25" t="str">
        <f>IFERROR(__xludf.DUMMYFUNCTION("""COMPUTED_VALUE"""),"55.512428")</f>
        <v>55.512428</v>
      </c>
      <c r="G787" s="6" t="str">
        <f>IFERROR(__xludf.DUMMYFUNCTION("""COMPUTED_VALUE"""),"37.571232")</f>
        <v>37.571232</v>
      </c>
      <c r="H787" s="18" t="str">
        <f>IFERROR(__xludf.DUMMYFUNCTION("""COMPUTED_VALUE"""),"https://docs.google.com/spreadsheets/d/1H1MjbG2y0oC0hhID4do1G0_gfyI1jag72lQd7nL3WDQ/edit?gid=249071120#gid=249071120")</f>
        <v>https://docs.google.com/spreadsheets/d/1H1MjbG2y0oC0hhID4do1G0_gfyI1jag72lQd7nL3WDQ/edit?gid=249071120#gid=249071120</v>
      </c>
      <c r="I787" s="19" t="str">
        <f>IFERROR(__xludf.DUMMYFUNCTION("""COMPUTED_VALUE"""),"https://disk.yandex.ru/client/disk/Осмотры%20объектов%20АНО%20СМГ/721.Щербинка%20Чапаева%20д.4%2C%20д.6")</f>
        <v>https://disk.yandex.ru/client/disk/Осмотры%20объектов%20АНО%20СМГ/721.Щербинка%20Чапаева%20д.4%2C%20д.6</v>
      </c>
      <c r="J787" s="50">
        <f>IFERROR(__xludf.DUMMYFUNCTION("""COMPUTED_VALUE"""),46.4247)</f>
        <v>46.4247</v>
      </c>
      <c r="K787" s="58">
        <f>IFERROR(__xludf.DUMMYFUNCTION("""COMPUTED_VALUE"""),45968.0)</f>
        <v>45968</v>
      </c>
      <c r="L787" s="6">
        <v>30.0</v>
      </c>
      <c r="M787" s="52">
        <v>45998.0</v>
      </c>
      <c r="N787" s="53" t="s">
        <v>711</v>
      </c>
      <c r="O787" s="19" t="s">
        <v>669</v>
      </c>
      <c r="P787" s="6"/>
      <c r="Q787" s="6" t="str">
        <f t="shared" si="1"/>
        <v>#N/A</v>
      </c>
      <c r="R787" s="6"/>
    </row>
    <row r="788">
      <c r="A788" s="31" t="str">
        <f>IFERROR(__xludf.DUMMYFUNCTION("""COMPUTED_VALUE"""),"632")</f>
        <v>632</v>
      </c>
      <c r="B788" s="14" t="str">
        <f>IFERROR(__xludf.DUMMYFUNCTION("""COMPUTED_VALUE"""),"РЕН-25")</f>
        <v>РЕН-25</v>
      </c>
      <c r="C788" s="14" t="str">
        <f>IFERROR(__xludf.DUMMYFUNCTION("""COMPUTED_VALUE"""),"ОКС")</f>
        <v>ОКС</v>
      </c>
      <c r="D788" s="6"/>
      <c r="E788" s="14" t="str">
        <f>IFERROR(__xludf.DUMMYFUNCTION("""COMPUTED_VALUE"""),"Строительный проезд, земельный участок 9/13 (Строительный проезд, вл.9) Строительный проезд, земельный участок 9/13 (Строительный проезд, вл.9)")</f>
        <v>Строительный проезд, земельный участок 9/13 (Строительный проезд, вл.9) Строительный проезд, земельный участок 9/13 (Строительный проезд, вл.9)</v>
      </c>
      <c r="F788" s="25" t="str">
        <f>IFERROR(__xludf.DUMMYFUNCTION("""COMPUTED_VALUE"""),"55.833154")</f>
        <v>55.833154</v>
      </c>
      <c r="G788" s="6" t="str">
        <f>IFERROR(__xludf.DUMMYFUNCTION("""COMPUTED_VALUE"""),"37.423872")</f>
        <v>37.423872</v>
      </c>
      <c r="H788" s="18" t="str">
        <f>IFERROR(__xludf.DUMMYFUNCTION("""COMPUTED_VALUE"""),"https://docs.google.com/spreadsheets/d/1H1MjbG2y0oC0hhID4do1G0_gfyI1jag72lQd7nL3WDQ/edit?gid=1181793870#gid=1181793870")</f>
        <v>https://docs.google.com/spreadsheets/d/1H1MjbG2y0oC0hhID4do1G0_gfyI1jag72lQd7nL3WDQ/edit?gid=1181793870#gid=1181793870</v>
      </c>
      <c r="I788" s="19" t="str">
        <f>IFERROR(__xludf.DUMMYFUNCTION("""COMPUTED_VALUE"""),"https://disk.yandex.ru/client/disk/Осмотры%20объектов%20АНО%20СМГ/632%20Строительный%20проезд%209%5C13")</f>
        <v>https://disk.yandex.ru/client/disk/Осмотры%20объектов%20АНО%20СМГ/632%20Строительный%20проезд%209%5C13</v>
      </c>
      <c r="J788" s="50">
        <f>IFERROR(__xludf.DUMMYFUNCTION("""COMPUTED_VALUE"""),94.543875)</f>
        <v>94.543875</v>
      </c>
      <c r="K788" s="58">
        <f>IFERROR(__xludf.DUMMYFUNCTION("""COMPUTED_VALUE"""),45974.0)</f>
        <v>45974</v>
      </c>
      <c r="L788" s="6">
        <v>7.0</v>
      </c>
      <c r="M788" s="52">
        <v>45981.0</v>
      </c>
      <c r="N788" s="53" t="s">
        <v>711</v>
      </c>
      <c r="O788" s="19" t="s">
        <v>669</v>
      </c>
      <c r="P788" s="6"/>
      <c r="Q788" s="6" t="str">
        <f t="shared" si="1"/>
        <v>632</v>
      </c>
      <c r="R788" s="6"/>
    </row>
    <row r="789">
      <c r="A789" s="31" t="str">
        <f>IFERROR(__xludf.DUMMYFUNCTION("""COMPUTED_VALUE"""),"610")</f>
        <v>610</v>
      </c>
      <c r="B789" s="14" t="str">
        <f>IFERROR(__xludf.DUMMYFUNCTION("""COMPUTED_VALUE"""),"РЕН-25")</f>
        <v>РЕН-25</v>
      </c>
      <c r="C789" s="14" t="str">
        <f>IFERROR(__xludf.DUMMYFUNCTION("""COMPUTED_VALUE"""),"ОКС")</f>
        <v>ОКС</v>
      </c>
      <c r="D789" s="6"/>
      <c r="E789" s="14" t="str">
        <f>IFERROR(__xludf.DUMMYFUNCTION("""COMPUTED_VALUE"""),"Академика Скрябина ул., з/у 40 (участки 13.1 и 13.2) Академика Скрябина ул., з/у 40 (участки 13.1 и 13.2)")</f>
        <v>Академика Скрябина ул., з/у 40 (участки 13.1 и 13.2) Академика Скрябина ул., з/у 40 (участки 13.1 и 13.2)</v>
      </c>
      <c r="F789" s="25" t="str">
        <f>IFERROR(__xludf.DUMMYFUNCTION("""COMPUTED_VALUE"""),"55.697934")</f>
        <v>55.697934</v>
      </c>
      <c r="G789" s="6" t="str">
        <f>IFERROR(__xludf.DUMMYFUNCTION("""COMPUTED_VALUE"""),"37.790701")</f>
        <v>37.790701</v>
      </c>
      <c r="H789" s="18" t="str">
        <f>IFERROR(__xludf.DUMMYFUNCTION("""COMPUTED_VALUE"""),"https://docs.google.com/spreadsheets/d/1H1MjbG2y0oC0hhID4do1G0_gfyI1jag72lQd7nL3WDQ/edit?gid=1609263203#gid=1609263203")</f>
        <v>https://docs.google.com/spreadsheets/d/1H1MjbG2y0oC0hhID4do1G0_gfyI1jag72lQd7nL3WDQ/edit?gid=1609263203#gid=1609263203</v>
      </c>
      <c r="I789" s="19" t="str">
        <f>IFERROR(__xludf.DUMMYFUNCTION("""COMPUTED_VALUE"""),"https://disk.yandex.ru/client/disk/Осмотры%20объектов%20АНО%20СМГ/610%20ЮВАО%2C%20Кузьминки%2C%20улица%20Академика%20Скрябина%2C%20зу%2040%2C%20мкр.%20117%2C%20117а%2C%20118%2C%20118а%2C%20119%2C%20зона%20№%2013.1")</f>
        <v>https://disk.yandex.ru/client/disk/Осмотры%20объектов%20АНО%20СМГ/610%20ЮВАО%2C%20Кузьминки%2C%20улица%20Академика%20Скрябина%2C%20зу%2040%2C%20мкр.%20117%2C%20117а%2C%20118%2C%20118а%2C%20119%2C%20зона%20№%2013.1</v>
      </c>
      <c r="J789" s="50">
        <f>IFERROR(__xludf.DUMMYFUNCTION("""COMPUTED_VALUE"""),74.59048499999999)</f>
        <v>74.590485</v>
      </c>
      <c r="K789" s="58">
        <f>IFERROR(__xludf.DUMMYFUNCTION("""COMPUTED_VALUE"""),45972.0)</f>
        <v>45972</v>
      </c>
      <c r="L789" s="6">
        <v>14.0</v>
      </c>
      <c r="M789" s="52">
        <v>45986.0</v>
      </c>
      <c r="N789" s="53" t="s">
        <v>711</v>
      </c>
      <c r="O789" s="19" t="s">
        <v>669</v>
      </c>
      <c r="P789" s="6"/>
      <c r="Q789" s="6" t="str">
        <f t="shared" si="1"/>
        <v>610</v>
      </c>
      <c r="R789" s="6"/>
    </row>
    <row r="790">
      <c r="A790" s="31" t="str">
        <f>IFERROR(__xludf.DUMMYFUNCTION("""COMPUTED_VALUE"""),"604")</f>
        <v>604</v>
      </c>
      <c r="B790" s="14" t="str">
        <f>IFERROR(__xludf.DUMMYFUNCTION("""COMPUTED_VALUE"""),"РЕН-25")</f>
        <v>РЕН-25</v>
      </c>
      <c r="C790" s="14" t="str">
        <f>IFERROR(__xludf.DUMMYFUNCTION("""COMPUTED_VALUE"""),"ОКС")</f>
        <v>ОКС</v>
      </c>
      <c r="D790" s="6"/>
      <c r="E790" s="14" t="str">
        <f>IFERROR(__xludf.DUMMYFUNCTION("""COMPUTED_VALUE"""),"улица Совхозная, земельный участок 55/2 (участок 21.1) улица Совхозная, земельный участок 55/2 (участок 21.1)")</f>
        <v>улица Совхозная, земельный участок 55/2 (участок 21.1) улица Совхозная, земельный участок 55/2 (участок 21.1)</v>
      </c>
      <c r="F790" s="25" t="str">
        <f>IFERROR(__xludf.DUMMYFUNCTION("""COMPUTED_VALUE"""),"55.681186")</f>
        <v>55.681186</v>
      </c>
      <c r="G790" s="6" t="str">
        <f>IFERROR(__xludf.DUMMYFUNCTION("""COMPUTED_VALUE"""),"37.762729")</f>
        <v>37.762729</v>
      </c>
      <c r="H790" s="18" t="str">
        <f>IFERROR(__xludf.DUMMYFUNCTION("""COMPUTED_VALUE"""),"https://docs.google.com/spreadsheets/d/1H1MjbG2y0oC0hhID4do1G0_gfyI1jag72lQd7nL3WDQ/edit?gid=1407301391#gid=1407301391")</f>
        <v>https://docs.google.com/spreadsheets/d/1H1MjbG2y0oC0hhID4do1G0_gfyI1jag72lQd7nL3WDQ/edit?gid=1407301391#gid=1407301391</v>
      </c>
      <c r="I790" s="19" t="str">
        <f>IFERROR(__xludf.DUMMYFUNCTION("""COMPUTED_VALUE"""),"https://disk.yandex.ru/client/disk/Осмотры%20объектов%20АНО%20СМГ/604.%20Совхозная%20ул.%2C%20зу%2055-2%20(участок%2021.1)")</f>
        <v>https://disk.yandex.ru/client/disk/Осмотры%20объектов%20АНО%20СМГ/604.%20Совхозная%20ул.%2C%20зу%2055-2%20(участок%2021.1)</v>
      </c>
      <c r="J790" s="50">
        <f>IFERROR(__xludf.DUMMYFUNCTION("""COMPUTED_VALUE"""),65.8695)</f>
        <v>65.8695</v>
      </c>
      <c r="K790" s="58">
        <f>IFERROR(__xludf.DUMMYFUNCTION("""COMPUTED_VALUE"""),45973.0)</f>
        <v>45973</v>
      </c>
      <c r="L790" s="6">
        <v>14.0</v>
      </c>
      <c r="M790" s="52">
        <v>45987.0</v>
      </c>
      <c r="N790" s="53" t="s">
        <v>711</v>
      </c>
      <c r="O790" s="19" t="s">
        <v>669</v>
      </c>
      <c r="P790" s="6"/>
      <c r="Q790" s="6" t="str">
        <f t="shared" si="1"/>
        <v>604</v>
      </c>
      <c r="R790" s="6"/>
    </row>
    <row r="791">
      <c r="A791" s="31" t="str">
        <f>IFERROR(__xludf.DUMMYFUNCTION("""COMPUTED_VALUE"""),"600")</f>
        <v>600</v>
      </c>
      <c r="B791" s="14" t="str">
        <f>IFERROR(__xludf.DUMMYFUNCTION("""COMPUTED_VALUE"""),"РЕН-25")</f>
        <v>РЕН-25</v>
      </c>
      <c r="C791" s="14" t="str">
        <f>IFERROR(__xludf.DUMMYFUNCTION("""COMPUTED_VALUE"""),"ОКС")</f>
        <v>ОКС</v>
      </c>
      <c r="D791" s="6"/>
      <c r="E791" s="14" t="str">
        <f>IFERROR(__xludf.DUMMYFUNCTION("""COMPUTED_VALUE"""),"улица Шумилова, земельный участок 26 улица Шумилова, земельный участок 26")</f>
        <v>улица Шумилова, земельный участок 26 улица Шумилова, земельный участок 26</v>
      </c>
      <c r="F791" s="25" t="str">
        <f>IFERROR(__xludf.DUMMYFUNCTION("""COMPUTED_VALUE"""),"55.706537")</f>
        <v>55.706537</v>
      </c>
      <c r="G791" s="6" t="str">
        <f>IFERROR(__xludf.DUMMYFUNCTION("""COMPUTED_VALUE"""),"37.779062")</f>
        <v>37.779062</v>
      </c>
      <c r="H791" s="18" t="str">
        <f>IFERROR(__xludf.DUMMYFUNCTION("""COMPUTED_VALUE"""),"https://docs.google.com/spreadsheets/d/1H1MjbG2y0oC0hhID4do1G0_gfyI1jag72lQd7nL3WDQ/edit?gid=1021209176#gid=1021209176")</f>
        <v>https://docs.google.com/spreadsheets/d/1H1MjbG2y0oC0hhID4do1G0_gfyI1jag72lQd7nL3WDQ/edit?gid=1021209176#gid=1021209176</v>
      </c>
      <c r="I791" s="19" t="str">
        <f>IFERROR(__xludf.DUMMYFUNCTION("""COMPUTED_VALUE"""),"https://disk.yandex.ru/client/disk/Осмотры%20объектов%20АНО%20СМГ/600%20ЮВАО%2C%20район%20Кузьминки%2C%20Шумилова%20ул.%2C%20зу%2026%20(мкр.%20115-116%20Шумилова%20ул.%2C%20д.%2026.6%3B%20Есенинский%20б-р.%2C%20д.%206%2C%20корп.%202%3B%20Шумилова%20ул.%2C"&amp;"%2024%20зона%202.11)")</f>
        <v>https://disk.yandex.ru/client/disk/Осмотры%20объектов%20АНО%20СМГ/600%20ЮВАО%2C%20район%20Кузьминки%2C%20Шумилова%20ул.%2C%20зу%2026%20(мкр.%20115-116%20Шумилова%20ул.%2C%20д.%2026.6%3B%20Есенинский%20б-р.%2C%20д.%206%2C%20корп.%202%3B%20Шумилова%20ул.%2C%2024%20зона%202.11)</v>
      </c>
      <c r="J791" s="50">
        <f>IFERROR(__xludf.DUMMYFUNCTION("""COMPUTED_VALUE"""),47.90470499999999)</f>
        <v>47.904705</v>
      </c>
      <c r="K791" s="58">
        <f>IFERROR(__xludf.DUMMYFUNCTION("""COMPUTED_VALUE"""),45972.0)</f>
        <v>45972</v>
      </c>
      <c r="L791" s="6">
        <v>30.0</v>
      </c>
      <c r="M791" s="52">
        <v>46002.0</v>
      </c>
      <c r="N791" s="53" t="s">
        <v>711</v>
      </c>
      <c r="O791" s="19" t="s">
        <v>669</v>
      </c>
      <c r="P791" s="6"/>
      <c r="Q791" s="6" t="str">
        <f t="shared" si="1"/>
        <v>600</v>
      </c>
      <c r="R791" s="6"/>
    </row>
    <row r="792">
      <c r="A792" s="31" t="str">
        <f>IFERROR(__xludf.DUMMYFUNCTION("""COMPUTED_VALUE"""),"629")</f>
        <v>629</v>
      </c>
      <c r="B792" s="14" t="str">
        <f>IFERROR(__xludf.DUMMYFUNCTION("""COMPUTED_VALUE"""),"РЕН-25")</f>
        <v>РЕН-25</v>
      </c>
      <c r="C792" s="14" t="str">
        <f>IFERROR(__xludf.DUMMYFUNCTION("""COMPUTED_VALUE"""),"ОКС")</f>
        <v>ОКС</v>
      </c>
      <c r="D792" s="6"/>
      <c r="E792" s="14" t="str">
        <f>IFERROR(__xludf.DUMMYFUNCTION("""COMPUTED_VALUE"""),"улица Юных Ленинцев, земельный участок 44/3 (зоны 2.5 и 2.7) улица Юных Ленинцев, земельный участок 44/3 (зоны 2.5 и 2.7)")</f>
        <v>улица Юных Ленинцев, земельный участок 44/3 (зоны 2.5 и 2.7) улица Юных Ленинцев, земельный участок 44/3 (зоны 2.5 и 2.7)</v>
      </c>
      <c r="F792" s="25" t="str">
        <f>IFERROR(__xludf.DUMMYFUNCTION("""COMPUTED_VALUE"""),"55.699296")</f>
        <v>55.699296</v>
      </c>
      <c r="G792" s="6" t="str">
        <f>IFERROR(__xludf.DUMMYFUNCTION("""COMPUTED_VALUE"""),"37.759386")</f>
        <v>37.759386</v>
      </c>
      <c r="H792" s="18" t="str">
        <f>IFERROR(__xludf.DUMMYFUNCTION("""COMPUTED_VALUE"""),"https://docs.google.com/spreadsheets/d/1H1MjbG2y0oC0hhID4do1G0_gfyI1jag72lQd7nL3WDQ/edit?gid=139795987#gid=139795987")</f>
        <v>https://docs.google.com/spreadsheets/d/1H1MjbG2y0oC0hhID4do1G0_gfyI1jag72lQd7nL3WDQ/edit?gid=139795987#gid=139795987</v>
      </c>
      <c r="I792" s="19" t="str">
        <f>IFERROR(__xludf.DUMMYFUNCTION("""COMPUTED_VALUE"""),"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amp;"044%2C%20корп.3%2C%20ул.%20Юных%20Ленинцев%2C%20д.%2044%2C%20корп.2%20)")</f>
        <v>https://disk.yandex.ru/client/disk/Осмотры%20объектов%20АНО%20СМГ/629.%20район%20Кузьминки%2C%20ул.%20Юных%20Ленинцев%2C%20зу%2044.3%2C%20мкр.%20113%2C113а%2C%20зона%20№2.5%20(со%20сносом%20жилых%20домов%20по%20адресам%3A%20ул.%20Юных%20Ленинцев%2C%20д.%2044%2C%20корп.3%2C%20ул.%20Юных%20Ленинцев%2C%20д.%2044%2C%20корп.2%20)</v>
      </c>
      <c r="J792" s="50">
        <f>IFERROR(__xludf.DUMMYFUNCTION("""COMPUTED_VALUE"""),78.26517)</f>
        <v>78.26517</v>
      </c>
      <c r="K792" s="58">
        <f>IFERROR(__xludf.DUMMYFUNCTION("""COMPUTED_VALUE"""),45973.0)</f>
        <v>45973</v>
      </c>
      <c r="L792" s="6">
        <v>14.0</v>
      </c>
      <c r="M792" s="52">
        <v>45987.0</v>
      </c>
      <c r="N792" s="53" t="s">
        <v>711</v>
      </c>
      <c r="O792" s="19" t="s">
        <v>669</v>
      </c>
      <c r="P792" s="6"/>
      <c r="Q792" s="6" t="str">
        <f t="shared" si="1"/>
        <v>629</v>
      </c>
      <c r="R792" s="6"/>
    </row>
    <row r="793">
      <c r="A793" s="31" t="str">
        <f>IFERROR(__xludf.DUMMYFUNCTION("""COMPUTED_VALUE"""),"543")</f>
        <v>543</v>
      </c>
      <c r="B793" s="14" t="str">
        <f>IFERROR(__xludf.DUMMYFUNCTION("""COMPUTED_VALUE"""),"РЕН-25")</f>
        <v>РЕН-25</v>
      </c>
      <c r="C793" s="14" t="str">
        <f>IFERROR(__xludf.DUMMYFUNCTION("""COMPUTED_VALUE"""),"ОКС")</f>
        <v>ОКС</v>
      </c>
      <c r="D793" s="6"/>
      <c r="E793" s="14" t="str">
        <f>IFERROR(__xludf.DUMMYFUNCTION("""COMPUTED_VALUE"""),"11-я Парковая улица, земельный участок 53 (вл. 53) (зона 72.3 (к. 39)) 11-я Парковая улица, земельный участок 53 (вл. 53) (зона 72.3 (к. 39))")</f>
        <v>11-я Парковая улица, земельный участок 53 (вл. 53) (зона 72.3 (к. 39)) 11-я Парковая улица, земельный участок 53 (вл. 53) (зона 72.3 (к. 39))</v>
      </c>
      <c r="F793" s="25" t="str">
        <f>IFERROR(__xludf.DUMMYFUNCTION("""COMPUTED_VALUE"""),"55.808251")</f>
        <v>55.808251</v>
      </c>
      <c r="G793" s="6" t="str">
        <f>IFERROR(__xludf.DUMMYFUNCTION("""COMPUTED_VALUE"""),"37.804211")</f>
        <v>37.804211</v>
      </c>
      <c r="H793" s="18" t="str">
        <f>IFERROR(__xludf.DUMMYFUNCTION("""COMPUTED_VALUE"""),"https://docs.google.com/spreadsheets/d/1H1MjbG2y0oC0hhID4do1G0_gfyI1jag72lQd7nL3WDQ/edit?gid=432585965#gid=432585965")</f>
        <v>https://docs.google.com/spreadsheets/d/1H1MjbG2y0oC0hhID4do1G0_gfyI1jag72lQd7nL3WDQ/edit?gid=432585965#gid=432585965</v>
      </c>
      <c r="I793" s="19" t="str">
        <f>IFERROR(__xludf.DUMMYFUNCTION("""COMPUTED_VALUE"""),"https://disk.yandex.ru/client/disk/Осмотры%20объектов%20АНО%20СМГ/543.%2011я%20Парковая%20зу%2053%20%2C%20зона%20№72.3%20Фонд%20реновации")</f>
        <v>https://disk.yandex.ru/client/disk/Осмотры%20объектов%20АНО%20СМГ/543.%2011я%20Парковая%20зу%2053%20%2C%20зона%20№72.3%20Фонд%20реновации</v>
      </c>
      <c r="J793" s="50">
        <f>IFERROR(__xludf.DUMMYFUNCTION("""COMPUTED_VALUE"""),62.504025)</f>
        <v>62.504025</v>
      </c>
      <c r="K793" s="58">
        <f>IFERROR(__xludf.DUMMYFUNCTION("""COMPUTED_VALUE"""),45973.0)</f>
        <v>45973</v>
      </c>
      <c r="L793" s="6">
        <v>14.0</v>
      </c>
      <c r="M793" s="52">
        <v>45987.0</v>
      </c>
      <c r="N793" s="53" t="s">
        <v>711</v>
      </c>
      <c r="O793" s="19" t="s">
        <v>669</v>
      </c>
      <c r="P793" s="6"/>
      <c r="Q793" s="6" t="str">
        <f t="shared" si="1"/>
        <v>543</v>
      </c>
      <c r="R793" s="6"/>
    </row>
    <row r="794">
      <c r="A794" s="31" t="str">
        <f>IFERROR(__xludf.DUMMYFUNCTION("""COMPUTED_VALUE"""),"613")</f>
        <v>613</v>
      </c>
      <c r="B794" s="14" t="str">
        <f>IFERROR(__xludf.DUMMYFUNCTION("""COMPUTED_VALUE"""),"РЕН-25")</f>
        <v>РЕН-25</v>
      </c>
      <c r="C794" s="14" t="str">
        <f>IFERROR(__xludf.DUMMYFUNCTION("""COMPUTED_VALUE"""),"ОКС")</f>
        <v>ОКС</v>
      </c>
      <c r="D794" s="6"/>
      <c r="E794" s="14" t="str">
        <f>IFERROR(__xludf.DUMMYFUNCTION("""COMPUTED_VALUE"""),"Жилой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З"&amp;"юзино, улица Малая Юшуньская, земельный участок 12/1 (участок 7.5) улица Малая Юшуньская, земельный участок 12/1 (участок 7.5)")</f>
        <v>Жилой дом с подземным одноуровневым гаражом с инженерными сетями и благоустройством территории (со сносом жилых зданий по адресам: ул. Одесская, д 27/14, ул. Малая Юшуньская, д.12, корп. 1, ул. Малая Юшуньская, д.10, корп. 1) по адресу: г. Москва, район Зюзино, улица Малая Юшуньская, земельный участок 12/1 (участок 7.5) улица Малая Юшуньская, земельный участок 12/1 (участок 7.5)</v>
      </c>
      <c r="F794" s="25" t="str">
        <f>IFERROR(__xludf.DUMMYFUNCTION("""COMPUTED_VALUE"""),"55.651939")</f>
        <v>55.651939</v>
      </c>
      <c r="G794" s="6" t="str">
        <f>IFERROR(__xludf.DUMMYFUNCTION("""COMPUTED_VALUE"""),"37.588976")</f>
        <v>37.588976</v>
      </c>
      <c r="H794" s="18" t="str">
        <f>IFERROR(__xludf.DUMMYFUNCTION("""COMPUTED_VALUE"""),"https://docs.google.com/spreadsheets/d/1H1MjbG2y0oC0hhID4do1G0_gfyI1jag72lQd7nL3WDQ/edit?gid=1835376342#gid=1835376342")</f>
        <v>https://docs.google.com/spreadsheets/d/1H1MjbG2y0oC0hhID4do1G0_gfyI1jag72lQd7nL3WDQ/edit?gid=1835376342#gid=1835376342</v>
      </c>
      <c r="I794" s="19" t="str">
        <f>IFERROR(__xludf.DUMMYFUNCTION("""COMPUTED_VALUE"""),"https://disk.yandex.ru/client/disk/Осмотры%20объектов%20АНО%20СМГ/613.%20Район%20Зюзино%2C%20ул.%20Малая%20Юшуньская%2012_1%20(зона%207.5)")</f>
        <v>https://disk.yandex.ru/client/disk/Осмотры%20объектов%20АНО%20СМГ/613.%20Район%20Зюзино%2C%20ул.%20Малая%20Юшуньская%2012_1%20(зона%207.5)</v>
      </c>
      <c r="J794" s="50">
        <f>IFERROR(__xludf.DUMMYFUNCTION("""COMPUTED_VALUE"""),64.09649999999999)</f>
        <v>64.0965</v>
      </c>
      <c r="K794" s="58">
        <f>IFERROR(__xludf.DUMMYFUNCTION("""COMPUTED_VALUE"""),45968.0)</f>
        <v>45968</v>
      </c>
      <c r="L794" s="6">
        <v>14.0</v>
      </c>
      <c r="M794" s="52">
        <v>45982.0</v>
      </c>
      <c r="N794" s="53" t="s">
        <v>692</v>
      </c>
      <c r="O794" s="19" t="s">
        <v>669</v>
      </c>
      <c r="P794" s="6"/>
      <c r="Q794" s="6" t="str">
        <f t="shared" si="1"/>
        <v>613</v>
      </c>
      <c r="R794" s="6"/>
    </row>
    <row r="795">
      <c r="A795" s="31" t="str">
        <f>IFERROR(__xludf.DUMMYFUNCTION("""COMPUTED_VALUE"""),"569")</f>
        <v>569</v>
      </c>
      <c r="B795" s="14" t="str">
        <f>IFERROR(__xludf.DUMMYFUNCTION("""COMPUTED_VALUE"""),"РЕН-25")</f>
        <v>РЕН-25</v>
      </c>
      <c r="C795" s="14" t="str">
        <f>IFERROR(__xludf.DUMMYFUNCTION("""COMPUTED_VALUE"""),"ОКС")</f>
        <v>ОКС</v>
      </c>
      <c r="D795" s="6"/>
      <c r="E795" s="14" t="str">
        <f>IFERROR(__xludf.DUMMYFUNCTION("""COMPUTED_VALUE"""),"15-я Парковая улица, земельный участок 46/1 (влд.46Б) (зона 5.3 (к.12)) 15-я Парковая улица, земельный участок 46/1 (влд.46Б) (зона 5.3 (к.12))")</f>
        <v>15-я Парковая улица, земельный участок 46/1 (влд.46Б) (зона 5.3 (к.12)) 15-я Парковая улица, земельный участок 46/1 (влд.46Б) (зона 5.3 (к.12))</v>
      </c>
      <c r="F795" s="25" t="str">
        <f>IFERROR(__xludf.DUMMYFUNCTION("""COMPUTED_VALUE"""),"55.809590")</f>
        <v>55.809590</v>
      </c>
      <c r="G795" s="6" t="str">
        <f>IFERROR(__xludf.DUMMYFUNCTION("""COMPUTED_VALUE"""),"37.825712")</f>
        <v>37.825712</v>
      </c>
      <c r="H795" s="18" t="str">
        <f>IFERROR(__xludf.DUMMYFUNCTION("""COMPUTED_VALUE"""),"https://docs.google.com/spreadsheets/d/1H1MjbG2y0oC0hhID4do1G0_gfyI1jag72lQd7nL3WDQ/edit?gid=1916178969#gid=1916178969")</f>
        <v>https://docs.google.com/spreadsheets/d/1H1MjbG2y0oC0hhID4do1G0_gfyI1jag72lQd7nL3WDQ/edit?gid=1916178969#gid=1916178969</v>
      </c>
      <c r="I795" s="19" t="str">
        <f>IFERROR(__xludf.DUMMYFUNCTION("""COMPUTED_VALUE"""),"https://disk.yandex.ru/client/disk/Осмотры%20объектов%20АНО%20СМГ/569.%20Северное%20Измайлово%2C%2015-я%20Парковая%20ул%2C%20вл.%2046")</f>
        <v>https://disk.yandex.ru/client/disk/Осмотры%20объектов%20АНО%20СМГ/569.%20Северное%20Измайлово%2C%2015-я%20Парковая%20ул%2C%20вл.%2046</v>
      </c>
      <c r="J795" s="50">
        <f>IFERROR(__xludf.DUMMYFUNCTION("""COMPUTED_VALUE"""),78.09985499999999)</f>
        <v>78.099855</v>
      </c>
      <c r="K795" s="58">
        <f>IFERROR(__xludf.DUMMYFUNCTION("""COMPUTED_VALUE"""),45972.0)</f>
        <v>45972</v>
      </c>
      <c r="L795" s="6">
        <v>14.0</v>
      </c>
      <c r="M795" s="52">
        <v>45986.0</v>
      </c>
      <c r="N795" s="53" t="s">
        <v>711</v>
      </c>
      <c r="O795" s="19" t="s">
        <v>669</v>
      </c>
      <c r="P795" s="6"/>
      <c r="Q795" s="6" t="str">
        <f t="shared" si="1"/>
        <v>569</v>
      </c>
      <c r="R795" s="6"/>
    </row>
    <row r="796">
      <c r="A796" s="31" t="str">
        <f>IFERROR(__xludf.DUMMYFUNCTION("""COMPUTED_VALUE"""),"563")</f>
        <v>563</v>
      </c>
      <c r="B796" s="14" t="str">
        <f>IFERROR(__xludf.DUMMYFUNCTION("""COMPUTED_VALUE"""),"РЕН-25")</f>
        <v>РЕН-25</v>
      </c>
      <c r="C796" s="14" t="str">
        <f>IFERROR(__xludf.DUMMYFUNCTION("""COMPUTED_VALUE"""),"ОКС")</f>
        <v>ОКС</v>
      </c>
      <c r="D796" s="6"/>
      <c r="E796" s="14" t="str">
        <f>IFERROR(__xludf.DUMMYFUNCTION("""COMPUTED_VALUE"""),"улица Маршала Чуйкова, земельный участок 9/5/2 (зоны 4.1, 4.7) улица Маршала Чуйкова, земельный участок 9/5/2 (зоны 4.1, 4.7)")</f>
        <v>улица Маршала Чуйкова, земельный участок 9/5/2 (зоны 4.1, 4.7) улица Маршала Чуйкова, земельный участок 9/5/2 (зоны 4.1, 4.7)</v>
      </c>
      <c r="F796" s="25" t="str">
        <f>IFERROR(__xludf.DUMMYFUNCTION("""COMPUTED_VALUE"""),"55.696299")</f>
        <v>55.696299</v>
      </c>
      <c r="G796" s="6" t="str">
        <f>IFERROR(__xludf.DUMMYFUNCTION("""COMPUTED_VALUE"""),"37.761476")</f>
        <v>37.761476</v>
      </c>
      <c r="H796" s="18" t="str">
        <f>IFERROR(__xludf.DUMMYFUNCTION("""COMPUTED_VALUE"""),"https://docs.google.com/spreadsheets/d/1H1MjbG2y0oC0hhID4do1G0_gfyI1jag72lQd7nL3WDQ/edit?gid=640523369#gid=640523369")</f>
        <v>https://docs.google.com/spreadsheets/d/1H1MjbG2y0oC0hhID4do1G0_gfyI1jag72lQd7nL3WDQ/edit?gid=640523369#gid=640523369</v>
      </c>
      <c r="I796" s="19" t="str">
        <f>IFERROR(__xludf.DUMMYFUNCTION("""COMPUTED_VALUE"""),"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amp;"Чуйкова%2C%20д.%209%2C%20корп.5)%209.5.2")</f>
        <v>https://disk.yandex.ru/client/disk/Осмотры%20объектов%20АНО%20СМГ/563.%20район%20Кузьминки%2C%20ул.%20Маршала%20Чуйкова%2C%20зу%209.5.2%2C%20мкр.%20113%2C113а%2C%20зона%20№4.1%2C%204.7%20(со%20сносом%20нежилого%20здания%20по%20адресу%3A%20ул.%20Маршала%20Чуйкова%2C%20д.%209%2C%20корп.5)%209.5.2</v>
      </c>
      <c r="J796" s="50">
        <f>IFERROR(__xludf.DUMMYFUNCTION("""COMPUTED_VALUE"""),69.9741)</f>
        <v>69.9741</v>
      </c>
      <c r="K796" s="58">
        <f>IFERROR(__xludf.DUMMYFUNCTION("""COMPUTED_VALUE"""),45973.0)</f>
        <v>45973</v>
      </c>
      <c r="L796" s="6">
        <v>14.0</v>
      </c>
      <c r="M796" s="52">
        <v>45987.0</v>
      </c>
      <c r="N796" s="53" t="s">
        <v>711</v>
      </c>
      <c r="O796" s="19" t="s">
        <v>669</v>
      </c>
      <c r="P796" s="6"/>
      <c r="Q796" s="6" t="str">
        <f t="shared" si="1"/>
        <v>563</v>
      </c>
      <c r="R796" s="6"/>
    </row>
    <row r="797">
      <c r="A797" s="31" t="str">
        <f>IFERROR(__xludf.DUMMYFUNCTION("""COMPUTED_VALUE"""),"684")</f>
        <v>684</v>
      </c>
      <c r="B797" s="14" t="str">
        <f>IFERROR(__xludf.DUMMYFUNCTION("""COMPUTED_VALUE"""),"РЕН-25")</f>
        <v>РЕН-25</v>
      </c>
      <c r="C797" s="14" t="str">
        <f>IFERROR(__xludf.DUMMYFUNCTION("""COMPUTED_VALUE"""),"ОКС")</f>
        <v>ОКС</v>
      </c>
      <c r="D797" s="6"/>
      <c r="E797" s="14" t="str">
        <f>IFERROR(__xludf.DUMMYFUNCTION("""COMPUTED_VALUE"""),"улица Юных Ленинцев, земельный участок 40/В (зоны 2.4 и 2.7) улица Юных Ленинцев, земельный участок 40/В (зоны 2.4 и 2.7)")</f>
        <v>улица Юных Ленинцев, земельный участок 40/В (зоны 2.4 и 2.7) улица Юных Ленинцев, земельный участок 40/В (зоны 2.4 и 2.7)</v>
      </c>
      <c r="F797" s="25" t="str">
        <f>IFERROR(__xludf.DUMMYFUNCTION("""COMPUTED_VALUE"""),"55.699429")</f>
        <v>55.699429</v>
      </c>
      <c r="G797" s="6" t="str">
        <f>IFERROR(__xludf.DUMMYFUNCTION("""COMPUTED_VALUE"""),"37.757826")</f>
        <v>37.757826</v>
      </c>
      <c r="H797" s="18" t="str">
        <f>IFERROR(__xludf.DUMMYFUNCTION("""COMPUTED_VALUE"""),"https://docs.google.com/spreadsheets/d/1H1MjbG2y0oC0hhID4do1G0_gfyI1jag72lQd7nL3WDQ/edit?gid=2107770933#gid=2107770933")</f>
        <v>https://docs.google.com/spreadsheets/d/1H1MjbG2y0oC0hhID4do1G0_gfyI1jag72lQd7nL3WDQ/edit?gid=2107770933#gid=2107770933</v>
      </c>
      <c r="I797" s="19" t="str">
        <f>IFERROR(__xludf.DUMMYFUNCTION("""COMPUTED_VALUE"""),"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amp;".%2040%2C%20корп.%202%2C%20ул.%20Юных%20Ленинцев%2C%20д.%2040%2C%20корп.%203)")</f>
        <v>https://disk.yandex.ru/client/disk/Осмотры%20объектов%20АНО%20СМГ/684.%20район%20Кузьминки%2C%20улица%20Юных%20Ленинцев%2C%20земельный%20участок%2040.3%20(зоны%202.4%20и%202.7)%20(со%20сносом%20жилых%20домов%20по%20адресу%3A%20ул.%20Юных%20Ленинцев%2C%20д.%2040%2C%20корп.%202%2C%20ул.%20Юных%20Ленинцев%2C%20д.%2040%2C%20корп.%203)</v>
      </c>
      <c r="J797" s="50">
        <f>IFERROR(__xludf.DUMMYFUNCTION("""COMPUTED_VALUE"""),51.60052499999999)</f>
        <v>51.600525</v>
      </c>
      <c r="K797" s="58">
        <f>IFERROR(__xludf.DUMMYFUNCTION("""COMPUTED_VALUE"""),45973.0)</f>
        <v>45973</v>
      </c>
      <c r="L797" s="6">
        <v>14.0</v>
      </c>
      <c r="M797" s="52">
        <v>45987.0</v>
      </c>
      <c r="N797" s="53" t="s">
        <v>711</v>
      </c>
      <c r="O797" s="19" t="s">
        <v>669</v>
      </c>
      <c r="P797" s="6"/>
      <c r="Q797" s="6" t="str">
        <f t="shared" si="1"/>
        <v>684</v>
      </c>
      <c r="R797" s="6"/>
    </row>
    <row r="798">
      <c r="A798" s="31" t="str">
        <f>IFERROR(__xludf.DUMMYFUNCTION("""COMPUTED_VALUE"""),"707")</f>
        <v>707</v>
      </c>
      <c r="B798" s="14" t="str">
        <f>IFERROR(__xludf.DUMMYFUNCTION("""COMPUTED_VALUE"""),"РЕН-25")</f>
        <v>РЕН-25</v>
      </c>
      <c r="C798" s="14" t="str">
        <f>IFERROR(__xludf.DUMMYFUNCTION("""COMPUTED_VALUE"""),"ОКС")</f>
        <v>ОКС</v>
      </c>
      <c r="D798" s="6"/>
      <c r="E798" s="14" t="str">
        <f>IFERROR(__xludf.DUMMYFUNCTION("""COMPUTED_VALUE"""),"Жилой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Институтск"&amp;"ая ул., рядом с д. 4)
 3-я Институтская улица, земельный участок 4/1")</f>
        <v>Жилой дом с инженерными сетями и благоустройством территории (со сносом жилых домов по адресам: ул.Паперника, д.1, ул. Паперника, д.3, ул. Паперника, д.5) по адресу: г. Москва, район Рязанский, 3-я Институтская улица, земельный участок 4/1 (3-я Институтская ул., рядом с д. 4)
 3-я Институтская улица, земельный участок 4/1</v>
      </c>
      <c r="F798" s="25" t="str">
        <f>IFERROR(__xludf.DUMMYFUNCTION("""COMPUTED_VALUE"""),"55.720079")</f>
        <v>55.720079</v>
      </c>
      <c r="G798" s="6" t="str">
        <f>IFERROR(__xludf.DUMMYFUNCTION("""COMPUTED_VALUE"""),"37.783518")</f>
        <v>37.783518</v>
      </c>
      <c r="H798" s="18" t="str">
        <f>IFERROR(__xludf.DUMMYFUNCTION("""COMPUTED_VALUE"""),"https://docs.google.com/spreadsheets/d/1H1MjbG2y0oC0hhID4do1G0_gfyI1jag72lQd7nL3WDQ/edit?gid=864081677#gid=864081677")</f>
        <v>https://docs.google.com/spreadsheets/d/1H1MjbG2y0oC0hhID4do1G0_gfyI1jag72lQd7nL3WDQ/edit?gid=864081677#gid=864081677</v>
      </c>
      <c r="I798" s="19" t="str">
        <f>IFERROR(__xludf.DUMMYFUNCTION("""COMPUTED_VALUE"""),"https://disk.yandex.ru/client/disk/Осмотры%20объектов%20АНО%20СМГ/707%20Ул%203-я%20Институтская%20ЗУ%204.1")</f>
        <v>https://disk.yandex.ru/client/disk/Осмотры%20объектов%20АНО%20СМГ/707%20Ул%203-я%20Институтская%20ЗУ%204.1</v>
      </c>
      <c r="J798" s="50">
        <f>IFERROR(__xludf.DUMMYFUNCTION("""COMPUTED_VALUE"""),32.605245000000004)</f>
        <v>32.605245</v>
      </c>
      <c r="K798" s="58">
        <f>IFERROR(__xludf.DUMMYFUNCTION("""COMPUTED_VALUE"""),45971.0)</f>
        <v>45971</v>
      </c>
      <c r="L798" s="6">
        <v>30.0</v>
      </c>
      <c r="M798" s="52">
        <v>46001.0</v>
      </c>
      <c r="N798" s="53" t="s">
        <v>711</v>
      </c>
      <c r="O798" s="19" t="s">
        <v>669</v>
      </c>
      <c r="P798" s="6"/>
      <c r="Q798" s="6" t="str">
        <f t="shared" si="1"/>
        <v>707</v>
      </c>
      <c r="R798" s="6"/>
    </row>
    <row r="799">
      <c r="A799" s="31" t="str">
        <f>IFERROR(__xludf.DUMMYFUNCTION("""COMPUTED_VALUE"""),"635")</f>
        <v>635</v>
      </c>
      <c r="B799" s="14" t="str">
        <f>IFERROR(__xludf.DUMMYFUNCTION("""COMPUTED_VALUE"""),"РЕН-25")</f>
        <v>РЕН-25</v>
      </c>
      <c r="C799" s="14" t="str">
        <f>IFERROR(__xludf.DUMMYFUNCTION("""COMPUTED_VALUE"""),"ОКС")</f>
        <v>ОКС</v>
      </c>
      <c r="D799" s="6"/>
      <c r="E799" s="14" t="str">
        <f>IFERROR(__xludf.DUMMYFUNCTION("""COMPUTED_VALUE"""),"Жилой дом с инженерными сетями и благоустройством территории (со сносом здания по адресу: Люблинская улица, вл. 121/1) по адресу: г. Москва, внутригородское муниципальное образование Люблино, улица Люблинская, земельный участок 121/1 (Люблинская улица, вл"&amp;". 121/1) улица Люблинская, земельный участок 121/1 (вл. 121/1)")</f>
        <v>Жилой дом с инженерными сетями и благоустройством территории (со сносом здания по адресу: Люблинская улица, вл. 121/1) по адресу: г. Москва, внутригородское муниципальное образование Люблино, улица Люблинская, земельный участок 121/1 (Люблинская улица, вл. 121/1) улица Люблинская, земельный участок 121/1 (вл. 121/1)</v>
      </c>
      <c r="F799" s="25" t="str">
        <f>IFERROR(__xludf.DUMMYFUNCTION("""COMPUTED_VALUE"""),"55.674942")</f>
        <v>55.674942</v>
      </c>
      <c r="G799" s="6" t="str">
        <f>IFERROR(__xludf.DUMMYFUNCTION("""COMPUTED_VALUE"""),"37.739845")</f>
        <v>37.739845</v>
      </c>
      <c r="H799" s="18" t="str">
        <f>IFERROR(__xludf.DUMMYFUNCTION("""COMPUTED_VALUE"""),"https://docs.google.com/spreadsheets/d/1H1MjbG2y0oC0hhID4do1G0_gfyI1jag72lQd7nL3WDQ/edit?gid=763040175#gid=763040175")</f>
        <v>https://docs.google.com/spreadsheets/d/1H1MjbG2y0oC0hhID4do1G0_gfyI1jag72lQd7nL3WDQ/edit?gid=763040175#gid=763040175</v>
      </c>
      <c r="I799" s="19" t="str">
        <f>IFERROR(__xludf.DUMMYFUNCTION("""COMPUTED_VALUE"""),"https://disk.yandex.ru/client/disk/Осмотры%20объектов%20АНО%20СМГ/635.%20Люблинская%20ул.%2C%20вл.%20121!1.%20Жилой%20дом")</f>
        <v>https://disk.yandex.ru/client/disk/Осмотры%20объектов%20АНО%20СМГ/635.%20Люблинская%20ул.%2C%20вл.%20121!1.%20Жилой%20дом</v>
      </c>
      <c r="J799" s="50">
        <f>IFERROR(__xludf.DUMMYFUNCTION("""COMPUTED_VALUE"""),42.334365)</f>
        <v>42.334365</v>
      </c>
      <c r="K799" s="58">
        <f>IFERROR(__xludf.DUMMYFUNCTION("""COMPUTED_VALUE"""),45972.0)</f>
        <v>45972</v>
      </c>
      <c r="L799" s="6">
        <v>30.0</v>
      </c>
      <c r="M799" s="52">
        <v>46002.0</v>
      </c>
      <c r="N799" s="53" t="s">
        <v>711</v>
      </c>
      <c r="O799" s="19" t="s">
        <v>669</v>
      </c>
      <c r="P799" s="6"/>
      <c r="Q799" s="6" t="str">
        <f t="shared" si="1"/>
        <v>635</v>
      </c>
      <c r="R799" s="6"/>
    </row>
    <row r="800">
      <c r="A800" s="31" t="str">
        <f>IFERROR(__xludf.DUMMYFUNCTION("""COMPUTED_VALUE"""),"574")</f>
        <v>574</v>
      </c>
      <c r="B800" s="14" t="str">
        <f>IFERROR(__xludf.DUMMYFUNCTION("""COMPUTED_VALUE"""),"РЕН-25")</f>
        <v>РЕН-25</v>
      </c>
      <c r="C800" s="14" t="str">
        <f>IFERROR(__xludf.DUMMYFUNCTION("""COMPUTED_VALUE"""),"ОКС")</f>
        <v>ОКС</v>
      </c>
      <c r="D800" s="6"/>
      <c r="E800" s="14" t="str">
        <f>IFERROR(__xludf.DUMMYFUNCTION("""COMPUTED_VALUE"""),"Амурская ул., земельный участок 1/18 (зоны 3.4, 3.6, 3.7) Амурская ул., емельный участок 1/18 (зоны 3.4, 3.6, 3.7)")</f>
        <v>Амурская ул., земельный участок 1/18 (зоны 3.4, 3.6, 3.7) Амурская ул., емельный участок 1/18 (зоны 3.4, 3.6, 3.7)</v>
      </c>
      <c r="F800" s="25" t="str">
        <f>IFERROR(__xludf.DUMMYFUNCTION("""COMPUTED_VALUE"""),"55.807256")</f>
        <v>55.807256</v>
      </c>
      <c r="G800" s="6" t="str">
        <f>IFERROR(__xludf.DUMMYFUNCTION("""COMPUTED_VALUE"""),"37.751308")</f>
        <v>37.751308</v>
      </c>
      <c r="H800" s="18" t="str">
        <f>IFERROR(__xludf.DUMMYFUNCTION("""COMPUTED_VALUE"""),"https://docs.google.com/spreadsheets/d/1H1MjbG2y0oC0hhID4do1G0_gfyI1jag72lQd7nL3WDQ/edit?gid=1599124365#gid=1599124365")</f>
        <v>https://docs.google.com/spreadsheets/d/1H1MjbG2y0oC0hhID4do1G0_gfyI1jag72lQd7nL3WDQ/edit?gid=1599124365#gid=1599124365</v>
      </c>
      <c r="I800" s="19" t="str">
        <f>IFERROR(__xludf.DUMMYFUNCTION("""COMPUTED_VALUE"""),"https://disk.yandex.ru/client/disk/Осмотры%20объектов%20АНО%20СМГ/574.%20Район%20Гольяново%2C%20Амурская%20ул.%20вл.%201%20зона%20N3.4%20(зу%201_18)")</f>
        <v>https://disk.yandex.ru/client/disk/Осмотры%20объектов%20АНО%20СМГ/574.%20Район%20Гольяново%2C%20Амурская%20ул.%20вл.%201%20зона%20N3.4%20(зу%201_18)</v>
      </c>
      <c r="J800" s="50">
        <f>IFERROR(__xludf.DUMMYFUNCTION("""COMPUTED_VALUE"""),77.46195)</f>
        <v>77.46195</v>
      </c>
      <c r="K800" s="58">
        <f>IFERROR(__xludf.DUMMYFUNCTION("""COMPUTED_VALUE"""),45974.0)</f>
        <v>45974</v>
      </c>
      <c r="L800" s="6">
        <v>14.0</v>
      </c>
      <c r="M800" s="52">
        <v>45988.0</v>
      </c>
      <c r="N800" s="53" t="s">
        <v>711</v>
      </c>
      <c r="O800" s="19" t="s">
        <v>669</v>
      </c>
      <c r="P800" s="6"/>
      <c r="Q800" s="6" t="str">
        <f t="shared" si="1"/>
        <v>574</v>
      </c>
      <c r="R800" s="6"/>
    </row>
    <row r="801" hidden="1">
      <c r="A801" s="31" t="str">
        <f>IFERROR(__xludf.DUMMYFUNCTION("""COMPUTED_VALUE"""),"696")</f>
        <v>696</v>
      </c>
      <c r="B801" s="14" t="str">
        <f>IFERROR(__xludf.DUMMYFUNCTION("""COMPUTED_VALUE"""),"РЕН-25")</f>
        <v>РЕН-25</v>
      </c>
      <c r="C801" s="14" t="str">
        <f>IFERROR(__xludf.DUMMYFUNCTION("""COMPUTED_VALUE"""),"ОКС")</f>
        <v>ОКС</v>
      </c>
      <c r="D801" s="6"/>
      <c r="E801" s="14" t="str">
        <f>IFERROR(__xludf.DUMMYFUNCTION("""COMPUTED_VALUE"""),"ул.Херсонская д. 10 корп. 1, д. 10 корп. 2, ул.Херсонская д. 10 корп. 1, д. 10 корп. 2,")</f>
        <v>ул.Херсонская д. 10 корп. 1, д. 10 корп. 2, ул.Херсонская д. 10 корп. 1, д. 10 корп. 2,</v>
      </c>
      <c r="F801" s="25" t="str">
        <f>IFERROR(__xludf.DUMMYFUNCTION("""COMPUTED_VALUE"""),"55.650950")</f>
        <v>55.650950</v>
      </c>
      <c r="G801" s="6" t="str">
        <f>IFERROR(__xludf.DUMMYFUNCTION("""COMPUTED_VALUE"""),"37.573158")</f>
        <v>37.573158</v>
      </c>
      <c r="H801" s="18" t="str">
        <f>IFERROR(__xludf.DUMMYFUNCTION("""COMPUTED_VALUE"""),"https://docs.google.com/spreadsheets/d/1H1MjbG2y0oC0hhID4do1G0_gfyI1jag72lQd7nL3WDQ/edit?gid=1268803659#gid=1268803659")</f>
        <v>https://docs.google.com/spreadsheets/d/1H1MjbG2y0oC0hhID4do1G0_gfyI1jag72lQd7nL3WDQ/edit?gid=1268803659#gid=1268803659</v>
      </c>
      <c r="I801" s="19" t="str">
        <f>IFERROR(__xludf.DUMMYFUNCTION("""COMPUTED_VALUE"""),"https://disk.yandex.ru/client/disk/Осмотры%20объектов%20АНО%20СМГ/696.%20район%20Зюзино%2C%20ул.%20Херсонская%2C%20зу%2010_1%2C%20кв.%2040%2C%20зона%201.7%20(со%20сносом%20ГБОУ%20школа%20№538%20(ДОУ)%20по%20адресу%3A%20ул.%20Херсонская%20д.%2010%20корп.%2"&amp;"01%2C%20д.10%20корп.%202)")</f>
        <v>https://disk.yandex.ru/client/disk/Осмотры%20объектов%20АНО%20СМГ/696.%20район%20Зюзино%2C%20ул.%20Херсонская%2C%20зу%2010_1%2C%20кв.%2040%2C%20зона%201.7%20(со%20сносом%20ГБОУ%20школа%20№538%20(ДОУ)%20по%20адресу%3A%20ул.%20Херсонская%20д.%2010%20корп.%201%2C%20д.10%20корп.%202)</v>
      </c>
      <c r="J801" s="50">
        <f>IFERROR(__xludf.DUMMYFUNCTION("""COMPUTED_VALUE"""),27.712349999999997)</f>
        <v>27.71235</v>
      </c>
      <c r="K801" s="58">
        <f>IFERROR(__xludf.DUMMYFUNCTION("""COMPUTED_VALUE"""),45952.0)</f>
        <v>45952</v>
      </c>
      <c r="L801" s="6">
        <v>30.0</v>
      </c>
      <c r="M801" s="52">
        <v>45982.0</v>
      </c>
      <c r="N801" s="53" t="s">
        <v>741</v>
      </c>
      <c r="O801" s="19" t="s">
        <v>669</v>
      </c>
      <c r="P801" s="6"/>
      <c r="Q801" s="6" t="str">
        <f t="shared" si="1"/>
        <v>#N/A</v>
      </c>
      <c r="R801" s="6"/>
    </row>
    <row r="802">
      <c r="A802" s="31" t="str">
        <f>IFERROR(__xludf.DUMMYFUNCTION("""COMPUTED_VALUE"""),"716")</f>
        <v>716</v>
      </c>
      <c r="B802" s="14" t="str">
        <f>IFERROR(__xludf.DUMMYFUNCTION("""COMPUTED_VALUE"""),"РЕН-25")</f>
        <v>РЕН-25</v>
      </c>
      <c r="C802" s="14" t="str">
        <f>IFERROR(__xludf.DUMMYFUNCTION("""COMPUTED_VALUE"""),"ОКС")</f>
        <v>ОКС</v>
      </c>
      <c r="D802" s="6"/>
      <c r="E802" s="14" t="str">
        <f>IFERROR(__xludf.DUMMYFUNCTION("""COMPUTED_VALUE"""),"Сходненская ул., вл. 42 Сходненская ул., вл. 42")</f>
        <v>Сходненская ул., вл. 42 Сходненская ул., вл. 42</v>
      </c>
      <c r="F802" s="25" t="str">
        <f>IFERROR(__xludf.DUMMYFUNCTION("""COMPUTED_VALUE"""),"55.844727")</f>
        <v>55.844727</v>
      </c>
      <c r="G802" s="6" t="str">
        <f>IFERROR(__xludf.DUMMYFUNCTION("""COMPUTED_VALUE"""),"37.439962")</f>
        <v>37.439962</v>
      </c>
      <c r="H802" s="18" t="str">
        <f>IFERROR(__xludf.DUMMYFUNCTION("""COMPUTED_VALUE"""),"https://docs.google.com/spreadsheets/d/1H1MjbG2y0oC0hhID4do1G0_gfyI1jag72lQd7nL3WDQ/edit?gid=1587877211#gid=1587877211")</f>
        <v>https://docs.google.com/spreadsheets/d/1H1MjbG2y0oC0hhID4do1G0_gfyI1jag72lQd7nL3WDQ/edit?gid=1587877211#gid=1587877211</v>
      </c>
      <c r="I802" s="19" t="str">
        <f>IFERROR(__xludf.DUMMYFUNCTION("""COMPUTED_VALUE"""),"https://disk.yandex.ru/client/disk/Осмотры%20объектов%20АНО%20СМГ/716%20Сходненская%20%20вл%2042")</f>
        <v>https://disk.yandex.ru/client/disk/Осмотры%20объектов%20АНО%20СМГ/716%20Сходненская%20%20вл%2042</v>
      </c>
      <c r="J802" s="50">
        <f>IFERROR(__xludf.DUMMYFUNCTION("""COMPUTED_VALUE"""),66.50927999999999)</f>
        <v>66.50928</v>
      </c>
      <c r="K802" s="58">
        <f>IFERROR(__xludf.DUMMYFUNCTION("""COMPUTED_VALUE"""),45974.0)</f>
        <v>45974</v>
      </c>
      <c r="L802" s="6">
        <v>14.0</v>
      </c>
      <c r="M802" s="52">
        <v>45988.0</v>
      </c>
      <c r="N802" s="53" t="s">
        <v>711</v>
      </c>
      <c r="O802" s="19" t="s">
        <v>669</v>
      </c>
      <c r="P802" s="6"/>
      <c r="Q802" s="6" t="str">
        <f t="shared" si="1"/>
        <v>716</v>
      </c>
      <c r="R802" s="6"/>
    </row>
    <row r="803">
      <c r="A803" s="31" t="str">
        <f>IFERROR(__xludf.DUMMYFUNCTION("""COMPUTED_VALUE"""),"641")</f>
        <v>641</v>
      </c>
      <c r="B803" s="14" t="str">
        <f>IFERROR(__xludf.DUMMYFUNCTION("""COMPUTED_VALUE"""),"РЕН-25")</f>
        <v>РЕН-25</v>
      </c>
      <c r="C803" s="14" t="str">
        <f>IFERROR(__xludf.DUMMYFUNCTION("""COMPUTED_VALUE"""),"ОКС")</f>
        <v>ОКС</v>
      </c>
      <c r="D803" s="6"/>
      <c r="E803" s="14" t="str">
        <f>IFERROR(__xludf.DUMMYFUNCTION("""COMPUTED_VALUE"""),"Никитинская улица, земельный участок 21/1/3 (Никитинская ул., вл. 21, корп. 1, 3) Никитинская улица, земельный участок 21/1/3 (Никитинская ул., вл. 21, корп. 1, 3)")</f>
        <v>Никитинская улица, земельный участок 21/1/3 (Никитинская ул., вл. 21, корп. 1, 3) Никитинская улица, земельный участок 21/1/3 (Никитинская ул., вл. 21, корп. 1, 3)</v>
      </c>
      <c r="F803" s="25" t="str">
        <f>IFERROR(__xludf.DUMMYFUNCTION("""COMPUTED_VALUE"""),"55.801708")</f>
        <v>55.801708</v>
      </c>
      <c r="G803" s="6" t="str">
        <f>IFERROR(__xludf.DUMMYFUNCTION("""COMPUTED_VALUE"""),"37.773139")</f>
        <v>37.773139</v>
      </c>
      <c r="H803" s="18" t="str">
        <f>IFERROR(__xludf.DUMMYFUNCTION("""COMPUTED_VALUE"""),"https://docs.google.com/spreadsheets/d/1H1MjbG2y0oC0hhID4do1G0_gfyI1jag72lQd7nL3WDQ/edit?gid=833062955#gid=833062955")</f>
        <v>https://docs.google.com/spreadsheets/d/1H1MjbG2y0oC0hhID4do1G0_gfyI1jag72lQd7nL3WDQ/edit?gid=833062955#gid=833062955</v>
      </c>
      <c r="I803" s="19" t="str">
        <f>IFERROR(__xludf.DUMMYFUNCTION("""COMPUTED_VALUE"""),"https://disk.yandex.ru/client/disk/Осмотры%20объектов%20АНО%20СМГ/641.%20Никитинская%20ул.%2C%20зу%2021.1.3%20%20(рефинансирование)")</f>
        <v>https://disk.yandex.ru/client/disk/Осмотры%20объектов%20АНО%20СМГ/641.%20Никитинская%20ул.%2C%20зу%2021.1.3%20%20(рефинансирование)</v>
      </c>
      <c r="J803" s="50">
        <f>IFERROR(__xludf.DUMMYFUNCTION("""COMPUTED_VALUE"""),59.65602)</f>
        <v>59.65602</v>
      </c>
      <c r="K803" s="58">
        <f>IFERROR(__xludf.DUMMYFUNCTION("""COMPUTED_VALUE"""),45973.0)</f>
        <v>45973</v>
      </c>
      <c r="L803" s="6">
        <v>14.0</v>
      </c>
      <c r="M803" s="52">
        <v>45987.0</v>
      </c>
      <c r="N803" s="53" t="s">
        <v>711</v>
      </c>
      <c r="O803" s="19" t="s">
        <v>669</v>
      </c>
      <c r="P803" s="6"/>
      <c r="Q803" s="6" t="str">
        <f t="shared" si="1"/>
        <v>641</v>
      </c>
      <c r="R803" s="6"/>
    </row>
    <row r="804" hidden="1">
      <c r="A804" s="31" t="str">
        <f>IFERROR(__xludf.DUMMYFUNCTION("""COMPUTED_VALUE"""),"648")</f>
        <v>648</v>
      </c>
      <c r="B804" s="14" t="str">
        <f>IFERROR(__xludf.DUMMYFUNCTION("""COMPUTED_VALUE"""),"РЕН-25")</f>
        <v>РЕН-25</v>
      </c>
      <c r="C804" s="14" t="str">
        <f>IFERROR(__xludf.DUMMYFUNCTION("""COMPUTED_VALUE"""),"ОКС")</f>
        <v>ОКС</v>
      </c>
      <c r="D804" s="6"/>
      <c r="E804" s="14" t="str">
        <f>IFERROR(__xludf.DUMMYFUNCTION("""COMPUTED_VALUE"""),"3-я Прядильная улица, земельный участок 14 3-я Прядильная улица, земельный участок 14")</f>
        <v>3-я Прядильная улица, земельный участок 14 3-я Прядильная улица, земельный участок 14</v>
      </c>
      <c r="F804" s="25" t="str">
        <f>IFERROR(__xludf.DUMMYFUNCTION("""COMPUTED_VALUE"""),"55.797404")</f>
        <v>55.797404</v>
      </c>
      <c r="G804" s="6" t="str">
        <f>IFERROR(__xludf.DUMMYFUNCTION("""COMPUTED_VALUE"""),"37.776162")</f>
        <v>37.776162</v>
      </c>
      <c r="H804" s="18" t="str">
        <f>IFERROR(__xludf.DUMMYFUNCTION("""COMPUTED_VALUE"""),"https://docs.google.com/spreadsheets/d/1H1MjbG2y0oC0hhID4do1G0_gfyI1jag72lQd7nL3WDQ/edit?gid=760560062#gid=760560062")</f>
        <v>https://docs.google.com/spreadsheets/d/1H1MjbG2y0oC0hhID4do1G0_gfyI1jag72lQd7nL3WDQ/edit?gid=760560062#gid=760560062</v>
      </c>
      <c r="I804" s="19" t="str">
        <f>IFERROR(__xludf.DUMMYFUNCTION("""COMPUTED_VALUE"""),"https://disk.yandex.ru/client/disk/Осмотры%20объектов%20АНО%20СМГ/648%203-я%20Прядильная%20ул.%2C%20зу%2014")</f>
        <v>https://disk.yandex.ru/client/disk/Осмотры%20объектов%20АНО%20СМГ/648%203-я%20Прядильная%20ул.%2C%20зу%2014</v>
      </c>
      <c r="J804" s="50">
        <f>IFERROR(__xludf.DUMMYFUNCTION("""COMPUTED_VALUE"""),2.2420799999999996)</f>
        <v>2.24208</v>
      </c>
      <c r="K804" s="58">
        <f>IFERROR(__xludf.DUMMYFUNCTION("""COMPUTED_VALUE"""),45952.0)</f>
        <v>45952</v>
      </c>
      <c r="L804" s="6">
        <v>30.0</v>
      </c>
      <c r="M804" s="52">
        <v>45982.0</v>
      </c>
      <c r="N804" s="53" t="s">
        <v>741</v>
      </c>
      <c r="O804" s="19" t="s">
        <v>669</v>
      </c>
      <c r="P804" s="6"/>
      <c r="Q804" s="6" t="str">
        <f t="shared" si="1"/>
        <v>#N/A</v>
      </c>
      <c r="R804" s="6"/>
    </row>
    <row r="805">
      <c r="A805" s="31" t="str">
        <f>IFERROR(__xludf.DUMMYFUNCTION("""COMPUTED_VALUE"""),"607")</f>
        <v>607</v>
      </c>
      <c r="B805" s="14" t="str">
        <f>IFERROR(__xludf.DUMMYFUNCTION("""COMPUTED_VALUE"""),"РЕН-25")</f>
        <v>РЕН-25</v>
      </c>
      <c r="C805" s="14" t="str">
        <f>IFERROR(__xludf.DUMMYFUNCTION("""COMPUTED_VALUE"""),"ОКС")</f>
        <v>ОКС</v>
      </c>
      <c r="D805" s="6"/>
      <c r="E805" s="14" t="str">
        <f>IFERROR(__xludf.DUMMYFUNCTION("""COMPUTED_VALUE"""),"Херсонская ул. 8 (зона 6.5) Херсонская ул. 8 (зона 6.5)")</f>
        <v>Херсонская ул. 8 (зона 6.5) Херсонская ул. 8 (зона 6.5)</v>
      </c>
      <c r="F805" s="25" t="str">
        <f>IFERROR(__xludf.DUMMYFUNCTION("""COMPUTED_VALUE"""),"55.650516")</f>
        <v>55.650516</v>
      </c>
      <c r="G805" s="6" t="str">
        <f>IFERROR(__xludf.DUMMYFUNCTION("""COMPUTED_VALUE"""),"37.575543")</f>
        <v>37.575543</v>
      </c>
      <c r="H805" s="18" t="str">
        <f>IFERROR(__xludf.DUMMYFUNCTION("""COMPUTED_VALUE"""),"https://docs.google.com/spreadsheets/d/1H1MjbG2y0oC0hhID4do1G0_gfyI1jag72lQd7nL3WDQ/edit?gid=471133046#gid=471133046")</f>
        <v>https://docs.google.com/spreadsheets/d/1H1MjbG2y0oC0hhID4do1G0_gfyI1jag72lQd7nL3WDQ/edit?gid=471133046#gid=471133046</v>
      </c>
      <c r="I805" s="21" t="str">
        <f>IFERROR(__xludf.DUMMYFUNCTION("""COMPUTED_VALUE"""),"https://disk.yandex.ru/client/disk/%D0%9E%D1%81%D0%BC%D0%BE%D1%82%D1%80%D1%8B%20%D0%BE%D0%B1%D1%8A%D0%B5%D0%BA%D1%82%D0%BE%D0%B2%20%D0%90%D0%9D%D0%9E%20%D0%A1%D0%9C%D0%93/607.%20%D1%80%D0%B0%D0%B9%D0%BE%D0%BD%20%D0%97%D1%8E%D0%B7%D0%B8%D0%BD%D0%BE%20%D1%8"&amp;"3%D0%BB.%D0%A5%D0%B5%D1%80%D1%81%D0%BE%D0%BD%D1%81%D0%BA%D0%B0%D1%8F%20%D0%B7%D1%83%208%20%D0%BA%D0%B2%2040%20%D0%B7%D0%BE%D0%BD%D0%B0%206.5_%D1%83%D0%BB.%D0%A5%D0%B5%D1%80%D1%81%D0%BE%D0%BD%D1%81%D0%BA%D0%B0%D1%8F%20%D0%B48")</f>
        <v>https://disk.yandex.ru/client/disk/%D0%9E%D1%81%D0%BC%D0%BE%D1%82%D1%80%D1%8B%20%D0%BE%D0%B1%D1%8A%D0%B5%D0%BA%D1%82%D0%BE%D0%B2%20%D0%90%D0%9D%D0%9E%20%D0%A1%D0%9C%D0%93/607.%20%D1%80%D0%B0%D0%B9%D0%BE%D0%BD%20%D0%97%D1%8E%D0%B7%D0%B8%D0%BD%D0%BE%20%D1%83%D0%BB.%D0%A5%D0%B5%D1%80%D1%81%D0%BE%D0%BD%D1%81%D0%BA%D0%B0%D1%8F%20%D0%B7%D1%83%208%20%D0%BA%D0%B2%2040%20%D0%B7%D0%BE%D0%BD%D0%B0%206.5_%D1%83%D0%BB.%D0%A5%D0%B5%D1%80%D1%81%D0%BE%D0%BD%D1%81%D0%BA%D0%B0%D1%8F%20%D0%B48</v>
      </c>
      <c r="J805" s="50">
        <f>IFERROR(__xludf.DUMMYFUNCTION("""COMPUTED_VALUE"""),71.284815)</f>
        <v>71.284815</v>
      </c>
      <c r="K805" s="58">
        <f>IFERROR(__xludf.DUMMYFUNCTION("""COMPUTED_VALUE"""),45973.0)</f>
        <v>45973</v>
      </c>
      <c r="L805" s="6">
        <v>14.0</v>
      </c>
      <c r="M805" s="52">
        <v>45987.0</v>
      </c>
      <c r="N805" s="53" t="s">
        <v>711</v>
      </c>
      <c r="O805" s="19" t="s">
        <v>1141</v>
      </c>
      <c r="P805" s="6"/>
      <c r="Q805" s="6" t="str">
        <f t="shared" si="1"/>
        <v>607</v>
      </c>
      <c r="R805" s="6"/>
    </row>
    <row r="806">
      <c r="A806" s="31" t="str">
        <f>IFERROR(__xludf.DUMMYFUNCTION("""COMPUTED_VALUE"""),"759")</f>
        <v>759</v>
      </c>
      <c r="B806" s="14" t="str">
        <f>IFERROR(__xludf.DUMMYFUNCTION("""COMPUTED_VALUE"""),"РЕН-25")</f>
        <v>РЕН-25</v>
      </c>
      <c r="C806" s="14" t="str">
        <f>IFERROR(__xludf.DUMMYFUNCTION("""COMPUTED_VALUE"""),"ОКС")</f>
        <v>ОКС</v>
      </c>
      <c r="D806" s="6"/>
      <c r="E806" s="14" t="str">
        <f>IFERROR(__xludf.DUMMYFUNCTION("""COMPUTED_VALUE"""),"ул. Оренбургская, вл. 30 район Косино-Ухтомский, ул. Оренбургская, вл. 30")</f>
        <v>ул. Оренбургская, вл. 30 район Косино-Ухтомский, ул. Оренбургская, вл. 30</v>
      </c>
      <c r="F806" s="25" t="str">
        <f>IFERROR(__xludf.DUMMYFUNCTION("""COMPUTED_VALUE"""),"55.711431")</f>
        <v>55.711431</v>
      </c>
      <c r="G806" s="6" t="str">
        <f>IFERROR(__xludf.DUMMYFUNCTION("""COMPUTED_VALUE"""),"37.866175")</f>
        <v>37.866175</v>
      </c>
      <c r="H806" s="18" t="str">
        <f>IFERROR(__xludf.DUMMYFUNCTION("""COMPUTED_VALUE"""),"https://docs.google.com/spreadsheets/d/1H1MjbG2y0oC0hhID4do1G0_gfyI1jag72lQd7nL3WDQ/edit?gid=1180712542#gid=1180712542")</f>
        <v>https://docs.google.com/spreadsheets/d/1H1MjbG2y0oC0hhID4do1G0_gfyI1jag72lQd7nL3WDQ/edit?gid=1180712542#gid=1180712542</v>
      </c>
      <c r="I806" s="19" t="str">
        <f>IFERROR(__xludf.DUMMYFUNCTION("""COMPUTED_VALUE"""),"https://disk.yandex.ru/client/disk/Осмотры%20объектов%20АНО%20СМГ/759%20ВАО%2C%20ул.%20Оренбургская%2C%20вл.%2030")</f>
        <v>https://disk.yandex.ru/client/disk/Осмотры%20объектов%20АНО%20СМГ/759%20ВАО%2C%20ул.%20Оренбургская%2C%20вл.%2030</v>
      </c>
      <c r="J806" s="50">
        <f>IFERROR(__xludf.DUMMYFUNCTION("""COMPUTED_VALUE"""),62.884305)</f>
        <v>62.884305</v>
      </c>
      <c r="K806" s="58">
        <f>IFERROR(__xludf.DUMMYFUNCTION("""COMPUTED_VALUE"""),45973.0)</f>
        <v>45973</v>
      </c>
      <c r="L806" s="6">
        <v>14.0</v>
      </c>
      <c r="M806" s="52">
        <v>45987.0</v>
      </c>
      <c r="N806" s="53" t="s">
        <v>711</v>
      </c>
      <c r="O806" s="19" t="s">
        <v>669</v>
      </c>
      <c r="P806" s="6"/>
      <c r="Q806" s="6" t="str">
        <f t="shared" si="1"/>
        <v>759</v>
      </c>
      <c r="R806" s="6"/>
    </row>
    <row r="807">
      <c r="A807" s="31" t="str">
        <f>IFERROR(__xludf.DUMMYFUNCTION("""COMPUTED_VALUE"""),"670")</f>
        <v>670</v>
      </c>
      <c r="B807" s="14" t="str">
        <f>IFERROR(__xludf.DUMMYFUNCTION("""COMPUTED_VALUE"""),"РЕН-25")</f>
        <v>РЕН-25</v>
      </c>
      <c r="C807" s="14" t="str">
        <f>IFERROR(__xludf.DUMMYFUNCTION("""COMPUTED_VALUE"""),"ОКС")</f>
        <v>ОКС</v>
      </c>
      <c r="D807" s="6"/>
      <c r="E807" s="14" t="str">
        <f>IFERROR(__xludf.DUMMYFUNCTION("""COMPUTED_VALUE"""),"ул. Мироновская, земельный участок 32 (Мироновская ул., вл. 32) Соколиная гора, улица Мироновская, земельный участок 32 (Мироновская ул., вл. 32)")</f>
        <v>ул. Мироновская, земельный участок 32 (Мироновская ул., вл. 32) Соколиная гора, улица Мироновская, земельный участок 32 (Мироновская ул., вл. 32)</v>
      </c>
      <c r="F807" s="25" t="str">
        <f>IFERROR(__xludf.DUMMYFUNCTION("""COMPUTED_VALUE"""),"55.788936")</f>
        <v>55.788936</v>
      </c>
      <c r="G807" s="6" t="str">
        <f>IFERROR(__xludf.DUMMYFUNCTION("""COMPUTED_VALUE"""),"37.734289")</f>
        <v>37.734289</v>
      </c>
      <c r="H807" s="18" t="str">
        <f>IFERROR(__xludf.DUMMYFUNCTION("""COMPUTED_VALUE"""),"https://docs.google.com/spreadsheets/d/1H1MjbG2y0oC0hhID4do1G0_gfyI1jag72lQd7nL3WDQ/edit?gid=1252296860#gid=1252296860")</f>
        <v>https://docs.google.com/spreadsheets/d/1H1MjbG2y0oC0hhID4do1G0_gfyI1jag72lQd7nL3WDQ/edit?gid=1252296860#gid=1252296860</v>
      </c>
      <c r="I807" s="19" t="str">
        <f>IFERROR(__xludf.DUMMYFUNCTION("""COMPUTED_VALUE"""),"https://disk.yandex.ru/client/disk/Осмотры%20объектов%20АНО%20СМГ/670.%20Ул%20Мироновская%20зу%2032")</f>
        <v>https://disk.yandex.ru/client/disk/Осмотры%20объектов%20АНО%20СМГ/670.%20Ул%20Мироновская%20зу%2032</v>
      </c>
      <c r="J807" s="50">
        <f>IFERROR(__xludf.DUMMYFUNCTION("""COMPUTED_VALUE"""),64.038645)</f>
        <v>64.038645</v>
      </c>
      <c r="K807" s="58">
        <f>IFERROR(__xludf.DUMMYFUNCTION("""COMPUTED_VALUE"""),45974.0)</f>
        <v>45974</v>
      </c>
      <c r="L807" s="6">
        <v>14.0</v>
      </c>
      <c r="M807" s="52">
        <v>45988.0</v>
      </c>
      <c r="N807" s="53" t="s">
        <v>711</v>
      </c>
      <c r="O807" s="19" t="s">
        <v>669</v>
      </c>
      <c r="P807" s="6"/>
      <c r="Q807" s="6" t="str">
        <f t="shared" si="1"/>
        <v>670</v>
      </c>
      <c r="R807" s="6"/>
    </row>
    <row r="808" hidden="1">
      <c r="A808" s="31" t="str">
        <f>IFERROR(__xludf.DUMMYFUNCTION("""COMPUTED_VALUE"""),"689")</f>
        <v>689</v>
      </c>
      <c r="B808" s="14" t="str">
        <f>IFERROR(__xludf.DUMMYFUNCTION("""COMPUTED_VALUE"""),"РЕН-25")</f>
        <v>РЕН-25</v>
      </c>
      <c r="C808" s="14" t="str">
        <f>IFERROR(__xludf.DUMMYFUNCTION("""COMPUTED_VALUE"""),"ОКС")</f>
        <v>ОКС</v>
      </c>
      <c r="D808" s="6"/>
      <c r="E808" s="14" t="str">
        <f>IFERROR(__xludf.DUMMYFUNCTION("""COMPUTED_VALUE"""),"Авангардная ул., з/у 12 (зона 4.1) район Головинский, Авангардная улица, земельный участок 12 (Зона 4.1)")</f>
        <v>Авангардная ул., з/у 12 (зона 4.1) район Головинский, Авангардная улица, земельный участок 12 (Зона 4.1)</v>
      </c>
      <c r="F808" s="25" t="str">
        <f>IFERROR(__xludf.DUMMYFUNCTION("""COMPUTED_VALUE"""),"55.846769")</f>
        <v>55.846769</v>
      </c>
      <c r="G808" s="6" t="str">
        <f>IFERROR(__xludf.DUMMYFUNCTION("""COMPUTED_VALUE"""),"37.490618")</f>
        <v>37.490618</v>
      </c>
      <c r="H808" s="18" t="str">
        <f>IFERROR(__xludf.DUMMYFUNCTION("""COMPUTED_VALUE"""),"https://docs.google.com/spreadsheets/d/1H1MjbG2y0oC0hhID4do1G0_gfyI1jag72lQd7nL3WDQ/edit?gid=998835814#gid=998835814")</f>
        <v>https://docs.google.com/spreadsheets/d/1H1MjbG2y0oC0hhID4do1G0_gfyI1jag72lQd7nL3WDQ/edit?gid=998835814#gid=998835814</v>
      </c>
      <c r="I808" s="19" t="str">
        <f>IFERROR(__xludf.DUMMYFUNCTION("""COMPUTED_VALUE"""),"https://disk.yandex.ru/client/disk/Осмотры%20объектов%20АНО%20СМГ/689.%20ул.%20Авангардная%20вл.%2012")</f>
        <v>https://disk.yandex.ru/client/disk/Осмотры%20объектов%20АНО%20СМГ/689.%20ул.%20Авангардная%20вл.%2012</v>
      </c>
      <c r="J808" s="50">
        <f>IFERROR(__xludf.DUMMYFUNCTION("""COMPUTED_VALUE"""),0.48)</f>
        <v>0.48</v>
      </c>
      <c r="K808" s="58">
        <f>IFERROR(__xludf.DUMMYFUNCTION("""COMPUTED_VALUE"""),45968.0)</f>
        <v>45968</v>
      </c>
      <c r="L808" s="6">
        <v>30.0</v>
      </c>
      <c r="M808" s="52">
        <v>45998.0</v>
      </c>
      <c r="N808" s="53" t="s">
        <v>711</v>
      </c>
      <c r="O808" s="19" t="s">
        <v>669</v>
      </c>
      <c r="P808" s="6"/>
      <c r="Q808" s="6" t="str">
        <f t="shared" si="1"/>
        <v>#N/A</v>
      </c>
      <c r="R808" s="6"/>
    </row>
    <row r="809" hidden="1">
      <c r="A809" s="31" t="str">
        <f>IFERROR(__xludf.DUMMYFUNCTION("""COMPUTED_VALUE"""),"681")</f>
        <v>681</v>
      </c>
      <c r="B809" s="14" t="str">
        <f>IFERROR(__xludf.DUMMYFUNCTION("""COMPUTED_VALUE"""),"РЕН-25")</f>
        <v>РЕН-25</v>
      </c>
      <c r="C809" s="14" t="str">
        <f>IFERROR(__xludf.DUMMYFUNCTION("""COMPUTED_VALUE"""),"ОКС")</f>
        <v>ОКС</v>
      </c>
      <c r="D809" s="6"/>
      <c r="E809" s="14" t="str">
        <f>IFERROR(__xludf.DUMMYFUNCTION("""COMPUTED_VALUE"""),"Жилой дом с подземной автостоянкой, с инженерными сетями и благоустройством территории (со сносом нежилого здания по адресу: Дмитровское шоссе д. 93, к.3) по адресу:район Бескудниково, Коровинское шоссе, земельный участок 93/3 (Зоны 14.2, 14.4) район Беск"&amp;"удниково, Коровинское шоссе, земельный участок 93/3 (Зоны 14.2, 14.4)")</f>
        <v>Жилой дом с подземной автостоянкой, с инженерными сетями и благоустройством территории (со сносом нежилого здания по адресу: Дмитровское шоссе д. 93, к.3) по адресу:район Бескудниково, Коровинское шоссе, земельный участок 93/3 (Зоны 14.2, 14.4) район Бескудниково, Коровинское шоссе, земельный участок 93/3 (Зоны 14.2, 14.4)</v>
      </c>
      <c r="F809" s="25" t="str">
        <f>IFERROR(__xludf.DUMMYFUNCTION("""COMPUTED_VALUE"""),"55.869848")</f>
        <v>55.869848</v>
      </c>
      <c r="G809" s="6" t="str">
        <f>IFERROR(__xludf.DUMMYFUNCTION("""COMPUTED_VALUE"""),"37.541119")</f>
        <v>37.541119</v>
      </c>
      <c r="H809" s="18" t="str">
        <f>IFERROR(__xludf.DUMMYFUNCTION("""COMPUTED_VALUE"""),"https://docs.google.com/spreadsheets/d/1H1MjbG2y0oC0hhID4do1G0_gfyI1jag72lQd7nL3WDQ/edit?gid=418314272#gid=418314272")</f>
        <v>https://docs.google.com/spreadsheets/d/1H1MjbG2y0oC0hhID4do1G0_gfyI1jag72lQd7nL3WDQ/edit?gid=418314272#gid=418314272</v>
      </c>
      <c r="I809" s="19" t="str">
        <f>IFERROR(__xludf.DUMMYFUNCTION("""COMPUTED_VALUE"""),"https://disk.yandex.ru/client/disk/Осмотры%20объектов%20АНО%20СМГ/681.%20Коровинское%20шоссе%2093%20%5C3")</f>
        <v>https://disk.yandex.ru/client/disk/Осмотры%20объектов%20АНО%20СМГ/681.%20Коровинское%20шоссе%2093%20%5C3</v>
      </c>
      <c r="J809" s="50">
        <f>IFERROR(__xludf.DUMMYFUNCTION("""COMPUTED_VALUE"""),26.2152)</f>
        <v>26.2152</v>
      </c>
      <c r="K809" s="58">
        <f>IFERROR(__xludf.DUMMYFUNCTION("""COMPUTED_VALUE"""),45967.0)</f>
        <v>45967</v>
      </c>
      <c r="L809" s="6">
        <v>30.0</v>
      </c>
      <c r="M809" s="52">
        <v>45997.0</v>
      </c>
      <c r="N809" s="53" t="s">
        <v>711</v>
      </c>
      <c r="O809" s="19" t="s">
        <v>669</v>
      </c>
      <c r="P809" s="6"/>
      <c r="Q809" s="6" t="str">
        <f t="shared" si="1"/>
        <v>#N/A</v>
      </c>
      <c r="R809" s="6"/>
    </row>
    <row r="810" hidden="1">
      <c r="A810" s="31" t="str">
        <f>IFERROR(__xludf.DUMMYFUNCTION("""COMPUTED_VALUE"""),"658")</f>
        <v>658</v>
      </c>
      <c r="B810" s="14" t="str">
        <f>IFERROR(__xludf.DUMMYFUNCTION("""COMPUTED_VALUE"""),"РЕН-25")</f>
        <v>РЕН-25</v>
      </c>
      <c r="C810" s="14" t="str">
        <f>IFERROR(__xludf.DUMMYFUNCTION("""COMPUTED_VALUE"""),"ОКС")</f>
        <v>ОКС</v>
      </c>
      <c r="D810" s="6"/>
      <c r="E810" s="14" t="str">
        <f>IFERROR(__xludf.DUMMYFUNCTION("""COMPUTED_VALUE"""),"ул. Полярная, з/у 4 (вл. 4) район Южное Медведково, Полярная ул., вл. 4")</f>
        <v>ул. Полярная, з/у 4 (вл. 4) район Южное Медведково, Полярная ул., вл. 4</v>
      </c>
      <c r="F810" s="25" t="str">
        <f>IFERROR(__xludf.DUMMYFUNCTION("""COMPUTED_VALUE"""),"55.872678")</f>
        <v>55.872678</v>
      </c>
      <c r="G810" s="6" t="str">
        <f>IFERROR(__xludf.DUMMYFUNCTION("""COMPUTED_VALUE"""),"37.638506")</f>
        <v>37.638506</v>
      </c>
      <c r="H810" s="18" t="str">
        <f>IFERROR(__xludf.DUMMYFUNCTION("""COMPUTED_VALUE"""),"https://docs.google.com/spreadsheets/d/1H1MjbG2y0oC0hhID4do1G0_gfyI1jag72lQd7nL3WDQ/edit?gid=617262299#gid=617262299")</f>
        <v>https://docs.google.com/spreadsheets/d/1H1MjbG2y0oC0hhID4do1G0_gfyI1jag72lQd7nL3WDQ/edit?gid=617262299#gid=617262299</v>
      </c>
      <c r="I810" s="19" t="str">
        <f>IFERROR(__xludf.DUMMYFUNCTION("""COMPUTED_VALUE"""),"https://disk.yandex.ru/client/disk/Осмотры%20объектов%20АНО%20СМГ/658.%20Полярная%20ул.%2C%20зу%204")</f>
        <v>https://disk.yandex.ru/client/disk/Осмотры%20объектов%20АНО%20СМГ/658.%20Полярная%20ул.%2C%20зу%204</v>
      </c>
      <c r="J810" s="50">
        <f>IFERROR(__xludf.DUMMYFUNCTION("""COMPUTED_VALUE"""),89.1828)</f>
        <v>89.1828</v>
      </c>
      <c r="K810" s="58">
        <f>IFERROR(__xludf.DUMMYFUNCTION("""COMPUTED_VALUE"""),45973.0)</f>
        <v>45973</v>
      </c>
      <c r="L810" s="6">
        <v>14.0</v>
      </c>
      <c r="M810" s="52">
        <v>45987.0</v>
      </c>
      <c r="N810" s="53" t="s">
        <v>711</v>
      </c>
      <c r="O810" s="19" t="s">
        <v>669</v>
      </c>
      <c r="P810" s="6"/>
      <c r="Q810" s="6" t="str">
        <f t="shared" si="1"/>
        <v>#N/A</v>
      </c>
      <c r="R810" s="6"/>
    </row>
    <row r="811" hidden="1">
      <c r="A811" s="31" t="str">
        <f>IFERROR(__xludf.DUMMYFUNCTION("""COMPUTED_VALUE"""),"794")</f>
        <v>794</v>
      </c>
      <c r="B811" s="14" t="str">
        <f>IFERROR(__xludf.DUMMYFUNCTION("""COMPUTED_VALUE"""),"РЕН-25")</f>
        <v>РЕН-25</v>
      </c>
      <c r="C811" s="14" t="str">
        <f>IFERROR(__xludf.DUMMYFUNCTION("""COMPUTED_VALUE"""),"ОКС")</f>
        <v>ОКС</v>
      </c>
      <c r="D811" s="6"/>
      <c r="E811" s="14" t="str">
        <f>IFERROR(__xludf.DUMMYFUNCTION("""COMPUTED_VALUE"""),"улица Полярная, з/у 17/1 (ул. Полярная, вл. 17, корп. 1) район Южное Медведково, ул. Полярная, вл. 17, корп. 1")</f>
        <v>улица Полярная, з/у 17/1 (ул. Полярная, вл. 17, корп. 1) район Южное Медведково, ул. Полярная, вл. 17, корп. 1</v>
      </c>
      <c r="F811" s="25" t="str">
        <f>IFERROR(__xludf.DUMMYFUNCTION("""COMPUTED_VALUE"""),"55.876455")</f>
        <v>55.876455</v>
      </c>
      <c r="G811" s="6" t="str">
        <f>IFERROR(__xludf.DUMMYFUNCTION("""COMPUTED_VALUE"""),"37.635792")</f>
        <v>37.635792</v>
      </c>
      <c r="H811" s="18" t="str">
        <f>IFERROR(__xludf.DUMMYFUNCTION("""COMPUTED_VALUE"""),"https://docs.google.com/spreadsheets/d/1H1MjbG2y0oC0hhID4do1G0_gfyI1jag72lQd7nL3WDQ/edit?gid=540934155#gid=540934155")</f>
        <v>https://docs.google.com/spreadsheets/d/1H1MjbG2y0oC0hhID4do1G0_gfyI1jag72lQd7nL3WDQ/edit?gid=540934155#gid=540934155</v>
      </c>
      <c r="I811" s="19" t="str">
        <f>IFERROR(__xludf.DUMMYFUNCTION("""COMPUTED_VALUE"""),"https://disk.yandex.ru/client/disk/Осмотры%20объектов%20АНО%20СМГ/794.%20Полярная%20ул.%2C%20зу%20вл.%2017%2C%20корп.%201")</f>
        <v>https://disk.yandex.ru/client/disk/Осмотры%20объектов%20АНО%20СМГ/794.%20Полярная%20ул.%2C%20зу%20вл.%2017%2C%20корп.%201</v>
      </c>
      <c r="J811" s="50">
        <f>IFERROR(__xludf.DUMMYFUNCTION("""COMPUTED_VALUE"""),49.272375)</f>
        <v>49.272375</v>
      </c>
      <c r="K811" s="58">
        <f>IFERROR(__xludf.DUMMYFUNCTION("""COMPUTED_VALUE"""),45973.0)</f>
        <v>45973</v>
      </c>
      <c r="L811" s="6">
        <v>30.0</v>
      </c>
      <c r="M811" s="52">
        <v>46003.0</v>
      </c>
      <c r="N811" s="53" t="s">
        <v>711</v>
      </c>
      <c r="O811" s="19" t="s">
        <v>669</v>
      </c>
      <c r="P811" s="6"/>
      <c r="Q811" s="6" t="str">
        <f t="shared" si="1"/>
        <v>#N/A</v>
      </c>
      <c r="R811" s="6"/>
    </row>
    <row r="812" hidden="1">
      <c r="A812" s="31" t="str">
        <f>IFERROR(__xludf.DUMMYFUNCTION("""COMPUTED_VALUE"""),"594")</f>
        <v>594</v>
      </c>
      <c r="B812" s="14" t="str">
        <f>IFERROR(__xludf.DUMMYFUNCTION("""COMPUTED_VALUE"""),"РЕН-25")</f>
        <v>РЕН-25</v>
      </c>
      <c r="C812" s="14" t="str">
        <f>IFERROR(__xludf.DUMMYFUNCTION("""COMPUTED_VALUE"""),"ОКС")</f>
        <v>ОКС</v>
      </c>
      <c r="D812" s="6"/>
      <c r="E812" s="14" t="str">
        <f>IFERROR(__xludf.DUMMYFUNCTION("""COMPUTED_VALUE"""),"улица Оренбургская, земельный участок 26 Район Косино-Ухтомский, ул. Оренбургская, вл. 26")</f>
        <v>улица Оренбургская, земельный участок 26 Район Косино-Ухтомский, ул. Оренбургская, вл. 26</v>
      </c>
      <c r="F812" s="25" t="str">
        <f>IFERROR(__xludf.DUMMYFUNCTION("""COMPUTED_VALUE"""),"55.710601")</f>
        <v>55.710601</v>
      </c>
      <c r="G812" s="6" t="str">
        <f>IFERROR(__xludf.DUMMYFUNCTION("""COMPUTED_VALUE"""),"37.865433")</f>
        <v>37.865433</v>
      </c>
      <c r="H812" s="18" t="str">
        <f>IFERROR(__xludf.DUMMYFUNCTION("""COMPUTED_VALUE"""),"https://docs.google.com/spreadsheets/d/1H1MjbG2y0oC0hhID4do1G0_gfyI1jag72lQd7nL3WDQ/edit?gid=984031511#gid=984031511")</f>
        <v>https://docs.google.com/spreadsheets/d/1H1MjbG2y0oC0hhID4do1G0_gfyI1jag72lQd7nL3WDQ/edit?gid=984031511#gid=984031511</v>
      </c>
      <c r="I812" s="19" t="str">
        <f>IFERROR(__xludf.DUMMYFUNCTION("""COMPUTED_VALUE"""),"https://disk.yandex.ru/client/disk/Осмотры%20объектов%20АНО%20СМГ/594%20район%20Косино-Ухтомский%2C%20Оренбургская%20ул.%2C%20вл.26")</f>
        <v>https://disk.yandex.ru/client/disk/Осмотры%20объектов%20АНО%20СМГ/594%20район%20Косино-Ухтомский%2C%20Оренбургская%20ул.%2C%20вл.26</v>
      </c>
      <c r="J812" s="50">
        <f>IFERROR(__xludf.DUMMYFUNCTION("""COMPUTED_VALUE"""),7.457999999999998)</f>
        <v>7.458</v>
      </c>
      <c r="K812" s="58">
        <f>IFERROR(__xludf.DUMMYFUNCTION("""COMPUTED_VALUE"""),45968.0)</f>
        <v>45968</v>
      </c>
      <c r="L812" s="6">
        <v>30.0</v>
      </c>
      <c r="M812" s="52">
        <v>45998.0</v>
      </c>
      <c r="N812" s="53" t="s">
        <v>711</v>
      </c>
      <c r="O812" s="19" t="s">
        <v>669</v>
      </c>
      <c r="P812" s="6"/>
      <c r="Q812" s="6" t="str">
        <f t="shared" si="1"/>
        <v>#N/A</v>
      </c>
      <c r="R812" s="6"/>
    </row>
    <row r="813">
      <c r="A813" s="31" t="str">
        <f>IFERROR(__xludf.DUMMYFUNCTION("""COMPUTED_VALUE"""),"585")</f>
        <v>585</v>
      </c>
      <c r="B813" s="14" t="str">
        <f>IFERROR(__xludf.DUMMYFUNCTION("""COMPUTED_VALUE"""),"РЕН-25")</f>
        <v>РЕН-25</v>
      </c>
      <c r="C813" s="14" t="str">
        <f>IFERROR(__xludf.DUMMYFUNCTION("""COMPUTED_VALUE"""),"ОКС")</f>
        <v>ОКС</v>
      </c>
      <c r="D813" s="6"/>
      <c r="E813" s="14" t="str">
        <f>IFERROR(__xludf.DUMMYFUNCTION("""COMPUTED_VALUE"""),"Петра Романова ул., вл. 10 район Южнопортовый, Петра Романова ул., вл. 10")</f>
        <v>Петра Романова ул., вл. 10 район Южнопортовый, Петра Романова ул., вл. 10</v>
      </c>
      <c r="F813" s="25" t="str">
        <f>IFERROR(__xludf.DUMMYFUNCTION("""COMPUTED_VALUE"""),"55.706644")</f>
        <v>55.706644</v>
      </c>
      <c r="G813" s="6" t="str">
        <f>IFERROR(__xludf.DUMMYFUNCTION("""COMPUTED_VALUE"""),"37.682224")</f>
        <v>37.682224</v>
      </c>
      <c r="H813" s="18" t="str">
        <f>IFERROR(__xludf.DUMMYFUNCTION("""COMPUTED_VALUE"""),"https://docs.google.com/spreadsheets/d/1H1MjbG2y0oC0hhID4do1G0_gfyI1jag72lQd7nL3WDQ/edit?gid=363267103#gid=363267103")</f>
        <v>https://docs.google.com/spreadsheets/d/1H1MjbG2y0oC0hhID4do1G0_gfyI1jag72lQd7nL3WDQ/edit?gid=363267103#gid=363267103</v>
      </c>
      <c r="I813" s="19" t="str">
        <f>IFERROR(__xludf.DUMMYFUNCTION("""COMPUTED_VALUE"""),"https://disk.yandex.ru/client/disk/Осмотры%20объектов%20АНО%20СМГ/585.%20Ул.%20Петра%20Романова%2C%20вл.%2010.%20Жилой%20дом.%20Реновация")</f>
        <v>https://disk.yandex.ru/client/disk/Осмотры%20объектов%20АНО%20СМГ/585.%20Ул.%20Петра%20Романова%2C%20вл.%2010.%20Жилой%20дом.%20Реновация</v>
      </c>
      <c r="J813" s="50">
        <f>IFERROR(__xludf.DUMMYFUNCTION("""COMPUTED_VALUE"""),48.19345499999999)</f>
        <v>48.193455</v>
      </c>
      <c r="K813" s="58">
        <f>IFERROR(__xludf.DUMMYFUNCTION("""COMPUTED_VALUE"""),45972.0)</f>
        <v>45972</v>
      </c>
      <c r="L813" s="6">
        <v>30.0</v>
      </c>
      <c r="M813" s="52">
        <v>46002.0</v>
      </c>
      <c r="N813" s="53" t="s">
        <v>711</v>
      </c>
      <c r="O813" s="19" t="s">
        <v>669</v>
      </c>
      <c r="P813" s="6"/>
      <c r="Q813" s="6" t="str">
        <f t="shared" si="1"/>
        <v>585</v>
      </c>
      <c r="R813" s="6"/>
    </row>
    <row r="814" hidden="1">
      <c r="A814" s="31" t="str">
        <f>IFERROR(__xludf.DUMMYFUNCTION("""COMPUTED_VALUE"""),"651")</f>
        <v>651</v>
      </c>
      <c r="B814" s="14" t="str">
        <f>IFERROR(__xludf.DUMMYFUNCTION("""COMPUTED_VALUE"""),"РЕН-25")</f>
        <v>РЕН-25</v>
      </c>
      <c r="C814" s="14" t="str">
        <f>IFERROR(__xludf.DUMMYFUNCTION("""COMPUTED_VALUE"""),"ОКС")</f>
        <v>ОКС</v>
      </c>
      <c r="D814" s="6"/>
      <c r="E814" s="14" t="str">
        <f>IFERROR(__xludf.DUMMYFUNCTION("""COMPUTED_VALUE"""),"Лосевская ул., з/у 3А (Лосевская ул., вблизи д. 3) район Ярославский, ул. Лосевская, земельный участок 3А (Лосевская улица, вблизи д. 3)")</f>
        <v>Лосевская ул., з/у 3А (Лосевская ул., вблизи д. 3) район Ярославский, ул. Лосевская, земельный участок 3А (Лосевская улица, вблизи д. 3)</v>
      </c>
      <c r="F814" s="25" t="str">
        <f>IFERROR(__xludf.DUMMYFUNCTION("""COMPUTED_VALUE"""),"55.874863")</f>
        <v>55.874863</v>
      </c>
      <c r="G814" s="6" t="str">
        <f>IFERROR(__xludf.DUMMYFUNCTION("""COMPUTED_VALUE"""),"37.711992")</f>
        <v>37.711992</v>
      </c>
      <c r="H814" s="18" t="str">
        <f>IFERROR(__xludf.DUMMYFUNCTION("""COMPUTED_VALUE"""),"https://docs.google.com/spreadsheets/d/1H1MjbG2y0oC0hhID4do1G0_gfyI1jag72lQd7nL3WDQ/edit?gid=537197080#gid=537197080")</f>
        <v>https://docs.google.com/spreadsheets/d/1H1MjbG2y0oC0hhID4do1G0_gfyI1jag72lQd7nL3WDQ/edit?gid=537197080#gid=537197080</v>
      </c>
      <c r="I814" s="19" t="str">
        <f>IFERROR(__xludf.DUMMYFUNCTION("""COMPUTED_VALUE"""),"https://disk.yandex.ru/client/disk/Осмотры%20объектов%20АНО%20СМГ/651Рн%20Ярославский%20ул%20%20Лосевская%20ЗУ%203А")</f>
        <v>https://disk.yandex.ru/client/disk/Осмотры%20объектов%20АНО%20СМГ/651Рн%20Ярославский%20ул%20%20Лосевская%20ЗУ%203А</v>
      </c>
      <c r="J814" s="50">
        <f>IFERROR(__xludf.DUMMYFUNCTION("""COMPUTED_VALUE"""),70.14165000000001)</f>
        <v>70.14165</v>
      </c>
      <c r="K814" s="58">
        <f>IFERROR(__xludf.DUMMYFUNCTION("""COMPUTED_VALUE"""),45961.0)</f>
        <v>45961</v>
      </c>
      <c r="L814" s="6">
        <v>14.0</v>
      </c>
      <c r="M814" s="52">
        <v>45975.0</v>
      </c>
      <c r="N814" s="53" t="s">
        <v>701</v>
      </c>
      <c r="O814" s="19" t="s">
        <v>669</v>
      </c>
      <c r="P814" s="6"/>
      <c r="Q814" s="6" t="str">
        <f t="shared" si="1"/>
        <v>#N/A</v>
      </c>
      <c r="R814" s="6"/>
    </row>
    <row r="815" hidden="1">
      <c r="A815" s="31" t="str">
        <f>IFERROR(__xludf.DUMMYFUNCTION("""COMPUTED_VALUE"""),"570")</f>
        <v>570</v>
      </c>
      <c r="B815" s="14" t="str">
        <f>IFERROR(__xludf.DUMMYFUNCTION("""COMPUTED_VALUE"""),"РЕН-25")</f>
        <v>РЕН-25</v>
      </c>
      <c r="C815" s="14" t="str">
        <f>IFERROR(__xludf.DUMMYFUNCTION("""COMPUTED_VALUE"""),"ОКС")</f>
        <v>ОКС</v>
      </c>
      <c r="D815" s="6"/>
      <c r="E815" s="14" t="str">
        <f>IFERROR(__xludf.DUMMYFUNCTION("""COMPUTED_VALUE"""),"   Кавказский бул-р, з/у 27 (участок 4.4) район Царицыно, Кавказский бульвар, з/у 27 (участок 4.4)")</f>
        <v>   Кавказский бул-р, з/у 27 (участок 4.4) район Царицыно, Кавказский бульвар, з/у 27 (участок 4.4)</v>
      </c>
      <c r="F815" s="25" t="str">
        <f>IFERROR(__xludf.DUMMYFUNCTION("""COMPUTED_VALUE"""),"55.629672")</f>
        <v>55.629672</v>
      </c>
      <c r="G815" s="6" t="str">
        <f>IFERROR(__xludf.DUMMYFUNCTION("""COMPUTED_VALUE"""),"37.665654")</f>
        <v>37.665654</v>
      </c>
      <c r="H815" s="18" t="str">
        <f>IFERROR(__xludf.DUMMYFUNCTION("""COMPUTED_VALUE"""),"https://docs.google.com/spreadsheets/d/1H1MjbG2y0oC0hhID4do1G0_gfyI1jag72lQd7nL3WDQ/edit?gid=232049031#gid=232049031")</f>
        <v>https://docs.google.com/spreadsheets/d/1H1MjbG2y0oC0hhID4do1G0_gfyI1jag72lQd7nL3WDQ/edit?gid=232049031#gid=232049031</v>
      </c>
      <c r="I815" s="19" t="str">
        <f>IFERROR(__xludf.DUMMYFUNCTION("""COMPUTED_VALUE"""),"https://disk.yandex.ru/client/disk/Осмотры%20объектов%20АНО%20СМГ/570.%20Кавказский%20бульвар%2027%2C%20зона%204.4")</f>
        <v>https://disk.yandex.ru/client/disk/Осмотры%20объектов%20АНО%20СМГ/570.%20Кавказский%20бульвар%2027%2C%20зона%204.4</v>
      </c>
      <c r="J815" s="50">
        <f>IFERROR(__xludf.DUMMYFUNCTION("""COMPUTED_VALUE"""),68.401575)</f>
        <v>68.401575</v>
      </c>
      <c r="K815" s="58">
        <f>IFERROR(__xludf.DUMMYFUNCTION("""COMPUTED_VALUE"""),45967.0)</f>
        <v>45967</v>
      </c>
      <c r="L815" s="6">
        <v>14.0</v>
      </c>
      <c r="M815" s="52">
        <v>45981.0</v>
      </c>
      <c r="N815" s="53" t="s">
        <v>741</v>
      </c>
      <c r="O815" s="19" t="s">
        <v>1106</v>
      </c>
      <c r="P815" s="6"/>
      <c r="Q815" s="6" t="str">
        <f t="shared" si="1"/>
        <v>#N/A</v>
      </c>
      <c r="R815" s="6"/>
    </row>
    <row r="816" hidden="1">
      <c r="A816" s="31" t="str">
        <f>IFERROR(__xludf.DUMMYFUNCTION("""COMPUTED_VALUE"""),"590")</f>
        <v>590</v>
      </c>
      <c r="B816" s="14" t="str">
        <f>IFERROR(__xludf.DUMMYFUNCTION("""COMPUTED_VALUE"""),"РЕН-25")</f>
        <v>РЕН-25</v>
      </c>
      <c r="C816" s="14" t="str">
        <f>IFERROR(__xludf.DUMMYFUNCTION("""COMPUTED_VALUE"""),"ОКС")</f>
        <v>ОКС</v>
      </c>
      <c r="D816" s="6"/>
      <c r="E816" s="14" t="str">
        <f>IFERROR(__xludf.DUMMYFUNCTION("""COMPUTED_VALUE"""),"Гаражная ул., вл. 3 район Соколиная Гора, ул. Гаражная, вл. 3")</f>
        <v>Гаражная ул., вл. 3 район Соколиная Гора, ул. Гаражная, вл. 3</v>
      </c>
      <c r="F816" s="25" t="str">
        <f>IFERROR(__xludf.DUMMYFUNCTION("""COMPUTED_VALUE"""),"55.759827")</f>
        <v>55.759827</v>
      </c>
      <c r="G816" s="6" t="str">
        <f>IFERROR(__xludf.DUMMYFUNCTION("""COMPUTED_VALUE"""),"37.742502")</f>
        <v>37.742502</v>
      </c>
      <c r="H816" s="18" t="str">
        <f>IFERROR(__xludf.DUMMYFUNCTION("""COMPUTED_VALUE"""),"https://docs.google.com/spreadsheets/d/1H1MjbG2y0oC0hhID4do1G0_gfyI1jag72lQd7nL3WDQ/edit?gid=945188652#gid=945188652")</f>
        <v>https://docs.google.com/spreadsheets/d/1H1MjbG2y0oC0hhID4do1G0_gfyI1jag72lQd7nL3WDQ/edit?gid=945188652#gid=945188652</v>
      </c>
      <c r="I816" s="19" t="str">
        <f>IFERROR(__xludf.DUMMYFUNCTION("""COMPUTED_VALUE"""),"https://disk.yandex.ru/client/disk/Осмотры%20объектов%20АНО%20СМГ/590.%20Соколиная%20Гора%2C%20Гаражная%20ул%2C%20вл3")</f>
        <v>https://disk.yandex.ru/client/disk/Осмотры%20объектов%20АНО%20СМГ/590.%20Соколиная%20Гора%2C%20Гаражная%20ул%2C%20вл3</v>
      </c>
      <c r="J816" s="50">
        <f>IFERROR(__xludf.DUMMYFUNCTION("""COMPUTED_VALUE"""),66.74427)</f>
        <v>66.74427</v>
      </c>
      <c r="K816" s="58">
        <f>IFERROR(__xludf.DUMMYFUNCTION("""COMPUTED_VALUE"""),45972.0)</f>
        <v>45972</v>
      </c>
      <c r="L816" s="6">
        <v>14.0</v>
      </c>
      <c r="M816" s="52">
        <v>45986.0</v>
      </c>
      <c r="N816" s="53" t="s">
        <v>711</v>
      </c>
      <c r="O816" s="19" t="s">
        <v>1142</v>
      </c>
      <c r="P816" s="6"/>
      <c r="Q816" s="6" t="str">
        <f t="shared" si="1"/>
        <v>#N/A</v>
      </c>
      <c r="R816" s="6"/>
    </row>
    <row r="817" hidden="1">
      <c r="A817" s="31" t="str">
        <f>IFERROR(__xludf.DUMMYFUNCTION("""COMPUTED_VALUE"""),"725")</f>
        <v>725</v>
      </c>
      <c r="B817" s="14" t="str">
        <f>IFERROR(__xludf.DUMMYFUNCTION("""COMPUTED_VALUE"""),"РЕН-25")</f>
        <v>РЕН-25</v>
      </c>
      <c r="C817" s="14" t="str">
        <f>IFERROR(__xludf.DUMMYFUNCTION("""COMPUTED_VALUE"""),"ОКС")</f>
        <v>ОКС</v>
      </c>
      <c r="D817" s="6"/>
      <c r="E817" s="14" t="str">
        <f>IFERROR(__xludf.DUMMYFUNCTION("""COMPUTED_VALUE"""),"г. Зеленоград, Панфиловский просп., з/у 927 (Зеленоград, вл.927) район Старое Крюково, Панфиловский проспект, зу 927)")</f>
        <v>г. Зеленоград, Панфиловский просп., з/у 927 (Зеленоград, вл.927) район Старое Крюково, Панфиловский проспект, зу 927)</v>
      </c>
      <c r="F817" s="25" t="str">
        <f>IFERROR(__xludf.DUMMYFUNCTION("""COMPUTED_VALUE"""),"55.983509")</f>
        <v>55.983509</v>
      </c>
      <c r="G817" s="6" t="str">
        <f>IFERROR(__xludf.DUMMYFUNCTION("""COMPUTED_VALUE"""),"37.182949")</f>
        <v>37.182949</v>
      </c>
      <c r="H817" s="18" t="str">
        <f>IFERROR(__xludf.DUMMYFUNCTION("""COMPUTED_VALUE"""),"https://docs.google.com/spreadsheets/d/1H1MjbG2y0oC0hhID4do1G0_gfyI1jag72lQd7nL3WDQ/edit?gid=1715541541#gid=1715541541")</f>
        <v>https://docs.google.com/spreadsheets/d/1H1MjbG2y0oC0hhID4do1G0_gfyI1jag72lQd7nL3WDQ/edit?gid=1715541541#gid=1715541541</v>
      </c>
      <c r="I817" s="19" t="str">
        <f>IFERROR(__xludf.DUMMYFUNCTION("""COMPUTED_VALUE"""),"https://disk.yandex.ru/client/disk/Осмотры%20объектов%20АНО%20СМГ/725%20%20Панфиловский%20проспект%2C%20зу%20927")</f>
        <v>https://disk.yandex.ru/client/disk/Осмотры%20объектов%20АНО%20СМГ/725%20%20Панфиловский%20проспект%2C%20зу%20927</v>
      </c>
      <c r="J817" s="50">
        <f>IFERROR(__xludf.DUMMYFUNCTION("""COMPUTED_VALUE"""),48.80105999999999)</f>
        <v>48.80106</v>
      </c>
      <c r="K817" s="58">
        <f>IFERROR(__xludf.DUMMYFUNCTION("""COMPUTED_VALUE"""),45972.0)</f>
        <v>45972</v>
      </c>
      <c r="L817" s="6">
        <v>30.0</v>
      </c>
      <c r="M817" s="52">
        <v>46002.0</v>
      </c>
      <c r="N817" s="53" t="s">
        <v>711</v>
      </c>
      <c r="O817" s="19" t="s">
        <v>1106</v>
      </c>
      <c r="P817" s="6"/>
      <c r="Q817" s="6" t="str">
        <f t="shared" si="1"/>
        <v>#N/A</v>
      </c>
      <c r="R817" s="6"/>
    </row>
    <row r="818" hidden="1">
      <c r="A818" s="31" t="str">
        <f>IFERROR(__xludf.DUMMYFUNCTION("""COMPUTED_VALUE"""),"963")</f>
        <v>963</v>
      </c>
      <c r="B818" s="14" t="str">
        <f>IFERROR(__xludf.DUMMYFUNCTION("""COMPUTED_VALUE"""),"РЕН-25")</f>
        <v>РЕН-25</v>
      </c>
      <c r="C818" s="14" t="str">
        <f>IFERROR(__xludf.DUMMYFUNCTION("""COMPUTED_VALUE"""),"ОКС")</f>
        <v>ОКС</v>
      </c>
      <c r="D818" s="6"/>
      <c r="E818" s="14" t="str">
        <f>IFERROR(__xludf.DUMMYFUNCTION("""COMPUTED_VALUE"""),"ул. Михалковская, вл. 48, корп. 5, секции 3, 4 район Головинский, ул. Михалковская, вл. 48, корп. 5, секция 3, 4")</f>
        <v>ул. Михалковская, вл. 48, корп. 5, секции 3, 4 район Головинский, ул. Михалковская, вл. 48, корп. 5, секция 3, 4</v>
      </c>
      <c r="F818" s="25" t="str">
        <f>IFERROR(__xludf.DUMMYFUNCTION("""COMPUTED_VALUE"""),"55.839462")</f>
        <v>55.839462</v>
      </c>
      <c r="G818" s="6" t="str">
        <f>IFERROR(__xludf.DUMMYFUNCTION("""COMPUTED_VALUE"""),"37.515006")</f>
        <v>37.515006</v>
      </c>
      <c r="H818" s="18" t="str">
        <f>IFERROR(__xludf.DUMMYFUNCTION("""COMPUTED_VALUE"""),"https://docs.google.com/spreadsheets/d/1H1MjbG2y0oC0hhID4do1G0_gfyI1jag72lQd7nL3WDQ/edit?gid=444310098#gid=444310098")</f>
        <v>https://docs.google.com/spreadsheets/d/1H1MjbG2y0oC0hhID4do1G0_gfyI1jag72lQd7nL3WDQ/edit?gid=444310098#gid=444310098</v>
      </c>
      <c r="I818" s="19" t="str">
        <f>IFERROR(__xludf.DUMMYFUNCTION("""COMPUTED_VALUE"""),"https://disk.yandex.ru/client/disk/Осмотры%20объектов%20АНО%20СМГ/963.%20Михалковская%20ул.%2C%20вл.%2048%2C%20Корп.%205%2C%20секция%203%2C%204")</f>
        <v>https://disk.yandex.ru/client/disk/Осмотры%20объектов%20АНО%20СМГ/963.%20Михалковская%20ул.%2C%20вл.%2048%2C%20Корп.%205%2C%20секция%203%2C%204</v>
      </c>
      <c r="J818" s="50">
        <f>IFERROR(__xludf.DUMMYFUNCTION("""COMPUTED_VALUE"""),80.10817499999999)</f>
        <v>80.108175</v>
      </c>
      <c r="K818" s="58">
        <f>IFERROR(__xludf.DUMMYFUNCTION("""COMPUTED_VALUE"""),45968.0)</f>
        <v>45968</v>
      </c>
      <c r="L818" s="6">
        <v>14.0</v>
      </c>
      <c r="M818" s="52">
        <v>45982.0</v>
      </c>
      <c r="N818" s="53" t="s">
        <v>692</v>
      </c>
      <c r="O818" s="19" t="s">
        <v>669</v>
      </c>
      <c r="P818" s="6"/>
      <c r="Q818" s="6" t="str">
        <f t="shared" si="1"/>
        <v>#N/A</v>
      </c>
      <c r="R818" s="6"/>
    </row>
    <row r="819">
      <c r="A819" s="31" t="str">
        <f>IFERROR(__xludf.DUMMYFUNCTION("""COMPUTED_VALUE"""),"631")</f>
        <v>631</v>
      </c>
      <c r="B819" s="14" t="str">
        <f>IFERROR(__xludf.DUMMYFUNCTION("""COMPUTED_VALUE"""),"РЕН-25")</f>
        <v>РЕН-25</v>
      </c>
      <c r="C819" s="14" t="str">
        <f>IFERROR(__xludf.DUMMYFUNCTION("""COMPUTED_VALUE"""),"ОКС")</f>
        <v>ОКС</v>
      </c>
      <c r="D819" s="6"/>
      <c r="E819" s="14" t="str">
        <f>IFERROR(__xludf.DUMMYFUNCTION("""COMPUTED_VALUE"""),"Ярославская ул., з/у 2/1 район Алексеевский, Ярославская ул., з/у 2/1")</f>
        <v>Ярославская ул., з/у 2/1 район Алексеевский, Ярославская ул., з/у 2/1</v>
      </c>
      <c r="F819" s="25" t="str">
        <f>IFERROR(__xludf.DUMMYFUNCTION("""COMPUTED_VALUE"""),"55.813806")</f>
        <v>55.813806</v>
      </c>
      <c r="G819" s="6" t="str">
        <f>IFERROR(__xludf.DUMMYFUNCTION("""COMPUTED_VALUE"""),"37.647062")</f>
        <v>37.647062</v>
      </c>
      <c r="H819" s="18" t="str">
        <f>IFERROR(__xludf.DUMMYFUNCTION("""COMPUTED_VALUE"""),"https://docs.google.com/spreadsheets/d/1H1MjbG2y0oC0hhID4do1G0_gfyI1jag72lQd7nL3WDQ/edit?gid=1988948543#gid=1988948543")</f>
        <v>https://docs.google.com/spreadsheets/d/1H1MjbG2y0oC0hhID4do1G0_gfyI1jag72lQd7nL3WDQ/edit?gid=1988948543#gid=1988948543</v>
      </c>
      <c r="I819" s="19" t="str">
        <f>IFERROR(__xludf.DUMMYFUNCTION("""COMPUTED_VALUE"""),"https://disk.yandex.ru/client/disk/Осмотры%20объектов%20АНО%20СМГ/631.%20Ярославская%20ул.%2C%20зу%202-1")</f>
        <v>https://disk.yandex.ru/client/disk/Осмотры%20объектов%20АНО%20СМГ/631.%20Ярославская%20ул.%2C%20зу%202-1</v>
      </c>
      <c r="J819" s="50">
        <f>IFERROR(__xludf.DUMMYFUNCTION("""COMPUTED_VALUE"""),80.36232)</f>
        <v>80.36232</v>
      </c>
      <c r="K819" s="58">
        <f>IFERROR(__xludf.DUMMYFUNCTION("""COMPUTED_VALUE"""),45973.0)</f>
        <v>45973</v>
      </c>
      <c r="L819" s="6">
        <v>14.0</v>
      </c>
      <c r="M819" s="52">
        <v>45987.0</v>
      </c>
      <c r="N819" s="53" t="s">
        <v>711</v>
      </c>
      <c r="O819" s="19" t="s">
        <v>669</v>
      </c>
      <c r="P819" s="6"/>
      <c r="Q819" s="6" t="str">
        <f t="shared" si="1"/>
        <v>631</v>
      </c>
      <c r="R819" s="6"/>
    </row>
    <row r="820">
      <c r="A820" s="31" t="str">
        <f>IFERROR(__xludf.DUMMYFUNCTION("""COMPUTED_VALUE"""),"542")</f>
        <v>542</v>
      </c>
      <c r="B820" s="14" t="str">
        <f>IFERROR(__xludf.DUMMYFUNCTION("""COMPUTED_VALUE"""),"РЕН-25")</f>
        <v>РЕН-25</v>
      </c>
      <c r="C820" s="14" t="str">
        <f>IFERROR(__xludf.DUMMYFUNCTION("""COMPUTED_VALUE"""),"ОКС")</f>
        <v>ОКС</v>
      </c>
      <c r="D820" s="6"/>
      <c r="E820" s="14" t="str">
        <f>IFERROR(__xludf.DUMMYFUNCTION("""COMPUTED_VALUE"""),"11-я Парковая улица, земельный участок 55/1 (вл. 55) (зона 72.2 (к. 38)) район Северное Измайлово, 11-я Парковая ул., земельный участок 55/1 (11-я Парковая ул., вл. 55) (зона 72.2 (к.38))")</f>
        <v>11-я Парковая улица, земельный участок 55/1 (вл. 55) (зона 72.2 (к. 38)) район Северное Измайлово, 11-я Парковая ул., земельный участок 55/1 (11-я Парковая ул., вл. 55) (зона 72.2 (к.38))</v>
      </c>
      <c r="F820" s="25" t="str">
        <f>IFERROR(__xludf.DUMMYFUNCTION("""COMPUTED_VALUE"""),"55.808673")</f>
        <v>55.808673</v>
      </c>
      <c r="G820" s="6" t="str">
        <f>IFERROR(__xludf.DUMMYFUNCTION("""COMPUTED_VALUE"""),"37.802970")</f>
        <v>37.802970</v>
      </c>
      <c r="H820" s="18" t="str">
        <f>IFERROR(__xludf.DUMMYFUNCTION("""COMPUTED_VALUE"""),"https://docs.google.com/spreadsheets/d/1H1MjbG2y0oC0hhID4do1G0_gfyI1jag72lQd7nL3WDQ/edit?gid=1320846516#gid=1320846516")</f>
        <v>https://docs.google.com/spreadsheets/d/1H1MjbG2y0oC0hhID4do1G0_gfyI1jag72lQd7nL3WDQ/edit?gid=1320846516#gid=1320846516</v>
      </c>
      <c r="I820" s="19" t="str">
        <f>IFERROR(__xludf.DUMMYFUNCTION("""COMPUTED_VALUE"""),"https://disk.yandex.ru/client/disk/Осмотры%20объектов%20АНО%20СМГ/542.%20Северное%20Измайлово%2C%2011-я%20Парковая%20ул.%2055")</f>
        <v>https://disk.yandex.ru/client/disk/Осмотры%20объектов%20АНО%20СМГ/542.%20Северное%20Измайлово%2C%2011-я%20Парковая%20ул.%2055</v>
      </c>
      <c r="J820" s="50">
        <f>IFERROR(__xludf.DUMMYFUNCTION("""COMPUTED_VALUE"""),65.12567999999999)</f>
        <v>65.12568</v>
      </c>
      <c r="K820" s="58">
        <f>IFERROR(__xludf.DUMMYFUNCTION("""COMPUTED_VALUE"""),45973.0)</f>
        <v>45973</v>
      </c>
      <c r="L820" s="6">
        <v>14.0</v>
      </c>
      <c r="M820" s="52">
        <v>45987.0</v>
      </c>
      <c r="N820" s="53" t="s">
        <v>711</v>
      </c>
      <c r="O820" s="19" t="s">
        <v>669</v>
      </c>
      <c r="P820" s="6"/>
      <c r="Q820" s="6" t="str">
        <f t="shared" si="1"/>
        <v>542</v>
      </c>
      <c r="R820" s="6"/>
    </row>
    <row r="821" hidden="1">
      <c r="A821" s="31" t="str">
        <f>IFERROR(__xludf.DUMMYFUNCTION("""COMPUTED_VALUE"""),"713")</f>
        <v>713</v>
      </c>
      <c r="B821" s="14" t="str">
        <f>IFERROR(__xludf.DUMMYFUNCTION("""COMPUTED_VALUE"""),"РЕН-26")</f>
        <v>РЕН-26</v>
      </c>
      <c r="C821" s="14" t="str">
        <f>IFERROR(__xludf.DUMMYFUNCTION("""COMPUTED_VALUE"""),"ОКС")</f>
        <v>ОКС</v>
      </c>
      <c r="D821" s="6"/>
      <c r="E821" s="14" t="str">
        <f>IFERROR(__xludf.DUMMYFUNCTION("""COMPUTED_VALUE"""),"Веерная улица, земельный участок 28А район Очаково-Матвеевское, ул. Веерная, вл. 28А")</f>
        <v>Веерная улица, земельный участок 28А район Очаково-Матвеевское, ул. Веерная, вл. 28А</v>
      </c>
      <c r="F821" s="25" t="str">
        <f>IFERROR(__xludf.DUMMYFUNCTION("""COMPUTED_VALUE"""),"55.710226")</f>
        <v>55.710226</v>
      </c>
      <c r="G821" s="6" t="str">
        <f>IFERROR(__xludf.DUMMYFUNCTION("""COMPUTED_VALUE"""),"37.480970")</f>
        <v>37.480970</v>
      </c>
      <c r="H821" s="18" t="str">
        <f>IFERROR(__xludf.DUMMYFUNCTION("""COMPUTED_VALUE"""),"https://docs.google.com/spreadsheets/d/1rbCD10ySi4YZEkJW2_Slmn9z7AI1WEsGsZaIJmnnT18/edit?gid=1754531219#gid=1754531219")</f>
        <v>https://docs.google.com/spreadsheets/d/1rbCD10ySi4YZEkJW2_Slmn9z7AI1WEsGsZaIJmnnT18/edit?gid=1754531219#gid=1754531219</v>
      </c>
      <c r="I821" s="19" t="str">
        <f>IFERROR(__xludf.DUMMYFUNCTION("""COMPUTED_VALUE"""),"https://disk.yandex.ru/client/disk/Осмотры%20объектов%20АНО%20СМГ/713.%20Жилой%20дом%20ул.%20Веерная%2028а")</f>
        <v>https://disk.yandex.ru/client/disk/Осмотры%20объектов%20АНО%20СМГ/713.%20Жилой%20дом%20ул.%20Веерная%2028а</v>
      </c>
      <c r="J821" s="50">
        <f>IFERROR(__xludf.DUMMYFUNCTION("""COMPUTED_VALUE"""),30.530399999999997)</f>
        <v>30.5304</v>
      </c>
      <c r="K821" s="58">
        <f>IFERROR(__xludf.DUMMYFUNCTION("""COMPUTED_VALUE"""),45960.0)</f>
        <v>45960</v>
      </c>
      <c r="L821" s="6">
        <v>30.0</v>
      </c>
      <c r="M821" s="52">
        <v>45990.0</v>
      </c>
      <c r="N821" s="53" t="s">
        <v>692</v>
      </c>
      <c r="O821" s="19" t="s">
        <v>669</v>
      </c>
      <c r="P821" s="6"/>
      <c r="Q821" s="6" t="str">
        <f t="shared" si="1"/>
        <v>#N/A</v>
      </c>
      <c r="R821" s="6"/>
    </row>
    <row r="822" hidden="1">
      <c r="A822" s="31" t="str">
        <f>IFERROR(__xludf.DUMMYFUNCTION("""COMPUTED_VALUE"""),"513")</f>
        <v>513</v>
      </c>
      <c r="B822" s="14" t="str">
        <f>IFERROR(__xludf.DUMMYFUNCTION("""COMPUTED_VALUE"""),"РЕН-26")</f>
        <v>РЕН-26</v>
      </c>
      <c r="C822" s="14" t="str">
        <f>IFERROR(__xludf.DUMMYFUNCTION("""COMPUTED_VALUE"""),"ОКС")</f>
        <v>ОКС</v>
      </c>
      <c r="D822" s="6"/>
      <c r="E822" s="14" t="str">
        <f>IFERROR(__xludf.DUMMYFUNCTION("""COMPUTED_VALUE"""),"Жилой дом с инженерными сетями и благоустройством территории, ВАО, район Метрогородок, ш. Открытое, влд. 28/3 (Открытое шоссе, вл. 28, корп. 3) ш. Открытое, влд. 28/3")</f>
        <v>Жилой дом с инженерными сетями и благоустройством территории, ВАО, район Метрогородок, ш. Открытое, влд. 28/3 (Открытое шоссе, вл. 28, корп. 3) ш. Открытое, влд. 28/3</v>
      </c>
      <c r="F822" s="25" t="str">
        <f>IFERROR(__xludf.DUMMYFUNCTION("""COMPUTED_VALUE"""),"55.827838")</f>
        <v>55.827838</v>
      </c>
      <c r="G822" s="6" t="str">
        <f>IFERROR(__xludf.DUMMYFUNCTION("""COMPUTED_VALUE"""),"37.768921")</f>
        <v>37.768921</v>
      </c>
      <c r="H822" s="18" t="str">
        <f>IFERROR(__xludf.DUMMYFUNCTION("""COMPUTED_VALUE"""),"https://docs.google.com/spreadsheets/d/1rbCD10ySi4YZEkJW2_Slmn9z7AI1WEsGsZaIJmnnT18/edit?gid=478234873#gid=478234873")</f>
        <v>https://docs.google.com/spreadsheets/d/1rbCD10ySi4YZEkJW2_Slmn9z7AI1WEsGsZaIJmnnT18/edit?gid=478234873#gid=478234873</v>
      </c>
      <c r="I822" s="19" t="str">
        <f>IFERROR(__xludf.DUMMYFUNCTION("""COMPUTED_VALUE"""),"https://disk.yandex.ru/client/disk/Осмотры%20объектов%20АНО%20СМГ/513.%20Метрогородок%2C%20Открытое%20шоссе%20вл.28%20корп%203")</f>
        <v>https://disk.yandex.ru/client/disk/Осмотры%20объектов%20АНО%20СМГ/513.%20Метрогородок%2C%20Открытое%20шоссе%20вл.28%20корп%203</v>
      </c>
      <c r="J822" s="50">
        <f>IFERROR(__xludf.DUMMYFUNCTION("""COMPUTED_VALUE"""),72.36836999999998)</f>
        <v>72.36837</v>
      </c>
      <c r="K822" s="58">
        <f>IFERROR(__xludf.DUMMYFUNCTION("""COMPUTED_VALUE"""),45973.0)</f>
        <v>45973</v>
      </c>
      <c r="L822" s="6">
        <v>14.0</v>
      </c>
      <c r="M822" s="52">
        <v>45987.0</v>
      </c>
      <c r="N822" s="53" t="s">
        <v>711</v>
      </c>
      <c r="O822" s="19" t="s">
        <v>1143</v>
      </c>
      <c r="P822" s="6"/>
      <c r="Q822" s="6" t="str">
        <f t="shared" si="1"/>
        <v>#N/A</v>
      </c>
      <c r="R822" s="6"/>
    </row>
    <row r="823" hidden="1">
      <c r="A823" s="31" t="str">
        <f>IFERROR(__xludf.DUMMYFUNCTION("""COMPUTED_VALUE"""),"552")</f>
        <v>552</v>
      </c>
      <c r="B823" s="14" t="str">
        <f>IFERROR(__xludf.DUMMYFUNCTION("""COMPUTED_VALUE"""),"РЕН-26")</f>
        <v>РЕН-26</v>
      </c>
      <c r="C823" s="14" t="str">
        <f>IFERROR(__xludf.DUMMYFUNCTION("""COMPUTED_VALUE"""),"ОКС")</f>
        <v>ОКС</v>
      </c>
      <c r="D823" s="6"/>
      <c r="E823" s="14" t="str">
        <f>IFERROR(__xludf.DUMMYFUNCTION("""COMPUTED_VALUE"""),"Жилой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f>
        <v>Жилой дом с подземной автостоянкой с инженерными сетями и благоустройством территории по адресу: город Москва, район Метрогородок, Открытое шоссе, земельный участок 26/3, номер зоны - 4.5 (ЖУ-5) Открытое шоссе, з/у 26/3, зона 4.5 (ЖУ-5).</v>
      </c>
      <c r="F823" s="25" t="str">
        <f>IFERROR(__xludf.DUMMYFUNCTION("""COMPUTED_VALUE"""),"55.824779")</f>
        <v>55.824779</v>
      </c>
      <c r="G823" s="6" t="str">
        <f>IFERROR(__xludf.DUMMYFUNCTION("""COMPUTED_VALUE"""),"37.762614")</f>
        <v>37.762614</v>
      </c>
      <c r="H823" s="18" t="str">
        <f>IFERROR(__xludf.DUMMYFUNCTION("""COMPUTED_VALUE"""),"https://docs.google.com/spreadsheets/d/1rbCD10ySi4YZEkJW2_Slmn9z7AI1WEsGsZaIJmnnT18/edit?gid=235307605#gid=235307605")</f>
        <v>https://docs.google.com/spreadsheets/d/1rbCD10ySi4YZEkJW2_Slmn9z7AI1WEsGsZaIJmnnT18/edit?gid=235307605#gid=235307605</v>
      </c>
      <c r="I823" s="19" t="str">
        <f>IFERROR(__xludf.DUMMYFUNCTION("""COMPUTED_VALUE"""),"https://disk.yandex.ru/client/disk/Осмотры%20объектов%20АНО%20СМГ/552.%20ВАО%2C%20Метрогородок%2C%20Открытое%20шоссе%2C%20зу%2026_3")</f>
        <v>https://disk.yandex.ru/client/disk/Осмотры%20объектов%20АНО%20СМГ/552.%20ВАО%2C%20Метрогородок%2C%20Открытое%20шоссе%2C%20зу%2026_3</v>
      </c>
      <c r="J823" s="50">
        <f>IFERROR(__xludf.DUMMYFUNCTION("""COMPUTED_VALUE"""),63.392325)</f>
        <v>63.392325</v>
      </c>
      <c r="K823" s="58">
        <f>IFERROR(__xludf.DUMMYFUNCTION("""COMPUTED_VALUE"""),45973.0)</f>
        <v>45973</v>
      </c>
      <c r="L823" s="6">
        <v>14.0</v>
      </c>
      <c r="M823" s="52">
        <v>45987.0</v>
      </c>
      <c r="N823" s="53" t="s">
        <v>711</v>
      </c>
      <c r="O823" s="19" t="s">
        <v>669</v>
      </c>
      <c r="P823" s="6"/>
      <c r="Q823" s="6" t="str">
        <f t="shared" si="1"/>
        <v>#N/A</v>
      </c>
      <c r="R823" s="6"/>
    </row>
    <row r="824" hidden="1">
      <c r="A824" s="31" t="str">
        <f>IFERROR(__xludf.DUMMYFUNCTION("""COMPUTED_VALUE"""),"700")</f>
        <v>700</v>
      </c>
      <c r="B824" s="14" t="str">
        <f>IFERROR(__xludf.DUMMYFUNCTION("""COMPUTED_VALUE"""),"РЕН-26")</f>
        <v>РЕН-26</v>
      </c>
      <c r="C824" s="14" t="str">
        <f>IFERROR(__xludf.DUMMYFUNCTION("""COMPUTED_VALUE"""),"ОКС")</f>
        <v>ОКС</v>
      </c>
      <c r="D824" s="6"/>
      <c r="E824" s="14" t="str">
        <f>IFERROR(__xludf.DUMMYFUNCTION("""COMPUTED_VALUE"""),"Жилой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f>
        <v>Жилой дом с подземной автостоянкой, инженерными сетями и благоустройством территории по адресу: район Нагатино-Садовники, Нагатинская ул, вл.1/4 (Нагатинская ул, вл.1) район Нагатино-Садовники, Нагатинская ул, вл.1/4 (Нагатинская ул, вл.1)</v>
      </c>
      <c r="F824" s="25" t="str">
        <f>IFERROR(__xludf.DUMMYFUNCTION("""COMPUTED_VALUE"""),"55.684985")</f>
        <v>55.684985</v>
      </c>
      <c r="G824" s="6" t="str">
        <f>IFERROR(__xludf.DUMMYFUNCTION("""COMPUTED_VALUE"""),"37.624634")</f>
        <v>37.624634</v>
      </c>
      <c r="H824" s="18" t="str">
        <f>IFERROR(__xludf.DUMMYFUNCTION("""COMPUTED_VALUE"""),"https://docs.google.com/spreadsheets/d/1rbCD10ySi4YZEkJW2_Slmn9z7AI1WEsGsZaIJmnnT18/edit?gid=732973558#gid=732973558")</f>
        <v>https://docs.google.com/spreadsheets/d/1rbCD10ySi4YZEkJW2_Slmn9z7AI1WEsGsZaIJmnnT18/edit?gid=732973558#gid=732973558</v>
      </c>
      <c r="I824" s="19" t="str">
        <f>IFERROR(__xludf.DUMMYFUNCTION("""COMPUTED_VALUE"""),"https://disk.yandex.ru/client/disk/Осмотры%20объектов%20АНО%20СМГ/700.%20Нагатинская%20ул.%20вл.%201.%20Жилой%09дом")</f>
        <v>https://disk.yandex.ru/client/disk/Осмотры%20объектов%20АНО%20СМГ/700.%20Нагатинская%20ул.%20вл.%201.%20Жилой%09дом</v>
      </c>
      <c r="J824" s="50">
        <f>IFERROR(__xludf.DUMMYFUNCTION("""COMPUTED_VALUE"""),25.334999999999997)</f>
        <v>25.335</v>
      </c>
      <c r="K824" s="58">
        <f>IFERROR(__xludf.DUMMYFUNCTION("""COMPUTED_VALUE"""),45953.0)</f>
        <v>45953</v>
      </c>
      <c r="L824" s="6">
        <v>30.0</v>
      </c>
      <c r="M824" s="52">
        <v>45983.0</v>
      </c>
      <c r="N824" s="53" t="s">
        <v>741</v>
      </c>
      <c r="O824" s="19" t="s">
        <v>1144</v>
      </c>
      <c r="P824" s="6"/>
      <c r="Q824" s="6" t="str">
        <f t="shared" si="1"/>
        <v>#N/A</v>
      </c>
      <c r="R824" s="6"/>
    </row>
    <row r="825">
      <c r="A825" s="31" t="str">
        <f>IFERROR(__xludf.DUMMYFUNCTION("""COMPUTED_VALUE"""),"844")</f>
        <v>844</v>
      </c>
      <c r="B825" s="14" t="str">
        <f>IFERROR(__xludf.DUMMYFUNCTION("""COMPUTED_VALUE"""),"РЕН-26")</f>
        <v>РЕН-26</v>
      </c>
      <c r="C825" s="14" t="str">
        <f>IFERROR(__xludf.DUMMYFUNCTION("""COMPUTED_VALUE"""),"ОКС")</f>
        <v>ОКС</v>
      </c>
      <c r="D825" s="6"/>
      <c r="E825" s="14" t="str">
        <f>IFERROR(__xludf.DUMMYFUNCTION("""COMPUTED_VALUE"""),"улица Перекопская, земельный участок 4 внутригородское муниципальное образование Зюзино, улица Перекопская, земельный участок 4")</f>
        <v>улица Перекопская, земельный участок 4 внутригородское муниципальное образование Зюзино, улица Перекопская, земельный участок 4</v>
      </c>
      <c r="F825" s="25" t="str">
        <f>IFERROR(__xludf.DUMMYFUNCTION("""COMPUTED_VALUE"""),"55.659190")</f>
        <v>55.659190</v>
      </c>
      <c r="G825" s="6" t="str">
        <f>IFERROR(__xludf.DUMMYFUNCTION("""COMPUTED_VALUE"""),"37.585503")</f>
        <v>37.585503</v>
      </c>
      <c r="H825" s="18" t="str">
        <f>IFERROR(__xludf.DUMMYFUNCTION("""COMPUTED_VALUE"""),"https://docs.google.com/spreadsheets/d/1rbCD10ySi4YZEkJW2_Slmn9z7AI1WEsGsZaIJmnnT18/edit?gid=932084254#gid=932084254")</f>
        <v>https://docs.google.com/spreadsheets/d/1rbCD10ySi4YZEkJW2_Slmn9z7AI1WEsGsZaIJmnnT18/edit?gid=932084254#gid=932084254</v>
      </c>
      <c r="I825" s="19" t="str">
        <f>IFERROR(__xludf.DUMMYFUNCTION("""COMPUTED_VALUE"""),"https://disk.yandex.ru/client/disk/Осмотры%20объектов%20АНО%20СМГ/844.%20Перекопская%20улица%2C%20зу%204")</f>
        <v>https://disk.yandex.ru/client/disk/Осмотры%20объектов%20АНО%20СМГ/844.%20Перекопская%20улица%2C%20зу%204</v>
      </c>
      <c r="J825" s="50">
        <f>IFERROR(__xludf.DUMMYFUNCTION("""COMPUTED_VALUE"""),2.85)</f>
        <v>2.85</v>
      </c>
      <c r="K825" s="58">
        <f>IFERROR(__xludf.DUMMYFUNCTION("""COMPUTED_VALUE"""),45974.0)</f>
        <v>45974</v>
      </c>
      <c r="L825" s="6">
        <v>30.0</v>
      </c>
      <c r="M825" s="52">
        <v>46004.0</v>
      </c>
      <c r="N825" s="53" t="s">
        <v>711</v>
      </c>
      <c r="O825" s="19" t="s">
        <v>669</v>
      </c>
      <c r="P825" s="6"/>
      <c r="Q825" s="6" t="str">
        <f t="shared" si="1"/>
        <v>844</v>
      </c>
      <c r="R825" s="6"/>
    </row>
    <row r="826" hidden="1">
      <c r="A826" s="31" t="str">
        <f>IFERROR(__xludf.DUMMYFUNCTION("""COMPUTED_VALUE"""),"738")</f>
        <v>738</v>
      </c>
      <c r="B826" s="14" t="str">
        <f>IFERROR(__xludf.DUMMYFUNCTION("""COMPUTED_VALUE"""),"РЕН-26")</f>
        <v>РЕН-26</v>
      </c>
      <c r="C826" s="14" t="str">
        <f>IFERROR(__xludf.DUMMYFUNCTION("""COMPUTED_VALUE"""),"ОКС")</f>
        <v>ОКС</v>
      </c>
      <c r="D826" s="6"/>
      <c r="E826" s="14" t="str">
        <f>IFERROR(__xludf.DUMMYFUNCTION("""COMPUTED_VALUE"""),"ул. Шепелюгинская, вл. 14 район Лефортово, ул. Шепелюгинская, вл. 14")</f>
        <v>ул. Шепелюгинская, вл. 14 район Лефортово, ул. Шепелюгинская, вл. 14</v>
      </c>
      <c r="F826" s="25" t="str">
        <f>IFERROR(__xludf.DUMMYFUNCTION("""COMPUTED_VALUE"""),"55.745914")</f>
        <v>55.745914</v>
      </c>
      <c r="G826" s="6" t="str">
        <f>IFERROR(__xludf.DUMMYFUNCTION("""COMPUTED_VALUE"""),"37.702358")</f>
        <v>37.702358</v>
      </c>
      <c r="H826" s="18" t="str">
        <f>IFERROR(__xludf.DUMMYFUNCTION("""COMPUTED_VALUE"""),"https://docs.google.com/spreadsheets/d/1rbCD10ySi4YZEkJW2_Slmn9z7AI1WEsGsZaIJmnnT18/edit?gid=2128103220#gid=2128103220")</f>
        <v>https://docs.google.com/spreadsheets/d/1rbCD10ySi4YZEkJW2_Slmn9z7AI1WEsGsZaIJmnnT18/edit?gid=2128103220#gid=2128103220</v>
      </c>
      <c r="I826" s="21" t="str">
        <f>IFERROR(__xludf.DUMMYFUNCTION("""COMPUTED_VALUE"""),"https://disk.yandex.ru/client/disk/%D0%9E%D1%81%D0%BC%D0%BE%D1%82%D1%80%D1%8B%20%D0%BE%D0%B1%D1%8A%D0%B5%D0%BA%D1%82%D0%BE%D0%B2%20%D0%90%D0%9D%D0%9E%20%D0%A1%D0%9C%D0%93/738.%20%D0%A8%D0%B5%D0%BF%D0%B5%D0%BB%D1%8E%D0%B3%D0%B8%D0%BD%D1%81%D0%BA%D0%B0%D1%8"&amp;"F%20%D0%B2%D0%BB%2014%20")</f>
        <v>https://disk.yandex.ru/client/disk/%D0%9E%D1%81%D0%BC%D0%BE%D1%82%D1%80%D1%8B%20%D0%BE%D0%B1%D1%8A%D0%B5%D0%BA%D1%82%D0%BE%D0%B2%20%D0%90%D0%9D%D0%9E%20%D0%A1%D0%9C%D0%93/738.%20%D0%A8%D0%B5%D0%BF%D0%B5%D0%BB%D1%8E%D0%B3%D0%B8%D0%BD%D1%81%D0%BA%D0%B0%D1%8F%20%D0%B2%D0%BB%2014%20</v>
      </c>
      <c r="J826" s="50">
        <f>IFERROR(__xludf.DUMMYFUNCTION("""COMPUTED_VALUE"""),27.212909999999997)</f>
        <v>27.21291</v>
      </c>
      <c r="K826" s="58">
        <f>IFERROR(__xludf.DUMMYFUNCTION("""COMPUTED_VALUE"""),45960.0)</f>
        <v>45960</v>
      </c>
      <c r="L826" s="6">
        <v>30.0</v>
      </c>
      <c r="M826" s="52">
        <v>45990.0</v>
      </c>
      <c r="N826" s="53" t="s">
        <v>692</v>
      </c>
      <c r="O826" s="19" t="s">
        <v>669</v>
      </c>
      <c r="P826" s="6"/>
      <c r="Q826" s="6" t="str">
        <f t="shared" si="1"/>
        <v>#N/A</v>
      </c>
      <c r="R826" s="6"/>
    </row>
    <row r="827" hidden="1">
      <c r="A827" s="31" t="str">
        <f>IFERROR(__xludf.DUMMYFUNCTION("""COMPUTED_VALUE"""),"740")</f>
        <v>740</v>
      </c>
      <c r="B827" s="14" t="str">
        <f>IFERROR(__xludf.DUMMYFUNCTION("""COMPUTED_VALUE"""),"РЕН-26")</f>
        <v>РЕН-26</v>
      </c>
      <c r="C827" s="14" t="str">
        <f>IFERROR(__xludf.DUMMYFUNCTION("""COMPUTED_VALUE"""),"ОКС")</f>
        <v>ОКС</v>
      </c>
      <c r="D827" s="6"/>
      <c r="E827" s="14" t="str">
        <f>IFERROR(__xludf.DUMMYFUNCTION("""COMPUTED_VALUE"""),"Шепелюгинский пер., вл. 7 (Приобретение объектов недвижимости) район Лефортово, Шепелюгинский пер., вл. 7")</f>
        <v>Шепелюгинский пер., вл. 7 (Приобретение объектов недвижимости) район Лефортово, Шепелюгинский пер., вл. 7</v>
      </c>
      <c r="F827" s="25" t="str">
        <f>IFERROR(__xludf.DUMMYFUNCTION("""COMPUTED_VALUE"""),"55.746929")</f>
        <v>55.746929</v>
      </c>
      <c r="G827" s="6" t="str">
        <f>IFERROR(__xludf.DUMMYFUNCTION("""COMPUTED_VALUE"""),"37.701113")</f>
        <v>37.701113</v>
      </c>
      <c r="H827" s="18" t="str">
        <f>IFERROR(__xludf.DUMMYFUNCTION("""COMPUTED_VALUE"""),"https://docs.google.com/spreadsheets/d/1rbCD10ySi4YZEkJW2_Slmn9z7AI1WEsGsZaIJmnnT18/edit?gid=1195206502#gid=1195206502")</f>
        <v>https://docs.google.com/spreadsheets/d/1rbCD10ySi4YZEkJW2_Slmn9z7AI1WEsGsZaIJmnnT18/edit?gid=1195206502#gid=1195206502</v>
      </c>
      <c r="I827" s="19" t="str">
        <f>IFERROR(__xludf.DUMMYFUNCTION("""COMPUTED_VALUE"""),"https://disk.yandex.ru/client/disk/Осмотры%20объектов%20АНО%20СМГ/740.%20Шепелюгинский%20пер%20вл%207")</f>
        <v>https://disk.yandex.ru/client/disk/Осмотры%20объектов%20АНО%20СМГ/740.%20Шепелюгинский%20пер%20вл%207</v>
      </c>
      <c r="J827" s="50">
        <f>IFERROR(__xludf.DUMMYFUNCTION("""COMPUTED_VALUE"""),4.669499999999999)</f>
        <v>4.6695</v>
      </c>
      <c r="K827" s="58">
        <f>IFERROR(__xludf.DUMMYFUNCTION("""COMPUTED_VALUE"""),45962.0)</f>
        <v>45962</v>
      </c>
      <c r="L827" s="6">
        <v>30.0</v>
      </c>
      <c r="M827" s="52">
        <v>45992.0</v>
      </c>
      <c r="N827" s="53" t="s">
        <v>692</v>
      </c>
      <c r="O827" s="19" t="s">
        <v>669</v>
      </c>
      <c r="P827" s="6"/>
      <c r="Q827" s="6" t="str">
        <f t="shared" si="1"/>
        <v>#N/A</v>
      </c>
      <c r="R827" s="6"/>
    </row>
    <row r="828" hidden="1">
      <c r="A828" s="31" t="str">
        <f>IFERROR(__xludf.DUMMYFUNCTION("""COMPUTED_VALUE"""),"661")</f>
        <v>661</v>
      </c>
      <c r="B828" s="14" t="str">
        <f>IFERROR(__xludf.DUMMYFUNCTION("""COMPUTED_VALUE"""),"РЕН-26")</f>
        <v>РЕН-26</v>
      </c>
      <c r="C828" s="14" t="str">
        <f>IFERROR(__xludf.DUMMYFUNCTION("""COMPUTED_VALUE"""),"ОКС")</f>
        <v>ОКС</v>
      </c>
      <c r="D828" s="6"/>
      <c r="E828" s="14" t="str">
        <f>IFERROR(__xludf.DUMMYFUNCTION("""COMPUTED_VALUE"""),"б-р Яна Райниса, вл.2, к 2,3 район Северное Тушино, мкр. 4, б-р Яна Райниса, вл.2, к 2,3.")</f>
        <v>б-р Яна Райниса, вл.2, к 2,3 район Северное Тушино, мкр. 4, б-р Яна Райниса, вл.2, к 2,3.</v>
      </c>
      <c r="F828" s="25" t="str">
        <f>IFERROR(__xludf.DUMMYFUNCTION("""COMPUTED_VALUE"""),"55.852135")</f>
        <v>55.852135</v>
      </c>
      <c r="G828" s="6" t="str">
        <f>IFERROR(__xludf.DUMMYFUNCTION("""COMPUTED_VALUE"""),"37.431852")</f>
        <v>37.431852</v>
      </c>
      <c r="H828" s="18" t="str">
        <f>IFERROR(__xludf.DUMMYFUNCTION("""COMPUTED_VALUE"""),"https://docs.google.com/spreadsheets/d/1rbCD10ySi4YZEkJW2_Slmn9z7AI1WEsGsZaIJmnnT18/edit?gid=988598667#gid=988598667")</f>
        <v>https://docs.google.com/spreadsheets/d/1rbCD10ySi4YZEkJW2_Slmn9z7AI1WEsGsZaIJmnnT18/edit?gid=988598667#gid=988598667</v>
      </c>
      <c r="I828" s="19" t="str">
        <f>IFERROR(__xludf.DUMMYFUNCTION("""COMPUTED_VALUE"""),"https://disk.yandex.ru/client/disk/Осмотры%20объектов%20АНО%20СМГ/661.%20Яна%20Райниса%20б-р%2C%20влд.%202%2C%20к.%202%2C%203")</f>
        <v>https://disk.yandex.ru/client/disk/Осмотры%20объектов%20АНО%20СМГ/661.%20Яна%20Райниса%20б-р%2C%20влд.%202%2C%20к.%202%2C%203</v>
      </c>
      <c r="J828" s="50">
        <f>IFERROR(__xludf.DUMMYFUNCTION("""COMPUTED_VALUE"""),25.151899999999994)</f>
        <v>25.1519</v>
      </c>
      <c r="K828" s="58">
        <f>IFERROR(__xludf.DUMMYFUNCTION("""COMPUTED_VALUE"""),45961.0)</f>
        <v>45961</v>
      </c>
      <c r="L828" s="6">
        <v>30.0</v>
      </c>
      <c r="M828" s="52">
        <v>45991.0</v>
      </c>
      <c r="N828" s="53" t="s">
        <v>692</v>
      </c>
      <c r="O828" s="19" t="s">
        <v>669</v>
      </c>
      <c r="P828" s="6"/>
      <c r="Q828" s="6" t="str">
        <f t="shared" si="1"/>
        <v>#N/A</v>
      </c>
      <c r="R828" s="6"/>
    </row>
    <row r="829" hidden="1">
      <c r="A829" s="31" t="str">
        <f>IFERROR(__xludf.DUMMYFUNCTION("""COMPUTED_VALUE"""),"636")</f>
        <v>636</v>
      </c>
      <c r="B829" s="14" t="str">
        <f>IFERROR(__xludf.DUMMYFUNCTION("""COMPUTED_VALUE"""),"РЕН-26")</f>
        <v>РЕН-26</v>
      </c>
      <c r="C829" s="14" t="str">
        <f>IFERROR(__xludf.DUMMYFUNCTION("""COMPUTED_VALUE"""),"ОКС")</f>
        <v>ОКС</v>
      </c>
      <c r="D829" s="6"/>
      <c r="E829" s="14" t="str">
        <f>IFERROR(__xludf.DUMMYFUNCTION("""COMPUTED_VALUE"""),"улица Смольная,земельный участок 23 внутригородское муниципальное образование Головинское, улица Смольная,земельный участок 23 (ул. Смольная, 23)")</f>
        <v>улица Смольная,земельный участок 23 внутригородское муниципальное образование Головинское, улица Смольная,земельный участок 23 (ул. Смольная, 23)</v>
      </c>
      <c r="F829" s="25" t="str">
        <f>IFERROR(__xludf.DUMMYFUNCTION("""COMPUTED_VALUE"""),"55.849033")</f>
        <v>55.849033</v>
      </c>
      <c r="G829" s="6" t="str">
        <f>IFERROR(__xludf.DUMMYFUNCTION("""COMPUTED_VALUE"""),"37.494706")</f>
        <v>37.494706</v>
      </c>
      <c r="H829" s="18" t="str">
        <f>IFERROR(__xludf.DUMMYFUNCTION("""COMPUTED_VALUE"""),"https://docs.google.com/spreadsheets/d/1rbCD10ySi4YZEkJW2_Slmn9z7AI1WEsGsZaIJmnnT18/edit?gid=1665166606#gid=1665166606")</f>
        <v>https://docs.google.com/spreadsheets/d/1rbCD10ySi4YZEkJW2_Slmn9z7AI1WEsGsZaIJmnnT18/edit?gid=1665166606#gid=1665166606</v>
      </c>
      <c r="I829" s="19" t="str">
        <f>IFERROR(__xludf.DUMMYFUNCTION("""COMPUTED_VALUE"""),"https://disk.yandex.ru/client/disk/Осмотры%20объектов%20АНО%20СМГ/636.%20Смольная%20зу%2023")</f>
        <v>https://disk.yandex.ru/client/disk/Осмотры%20объектов%20АНО%20СМГ/636.%20Смольная%20зу%2023</v>
      </c>
      <c r="J829" s="50">
        <f>IFERROR(__xludf.DUMMYFUNCTION("""COMPUTED_VALUE"""),4.71)</f>
        <v>4.71</v>
      </c>
      <c r="K829" s="58">
        <f>IFERROR(__xludf.DUMMYFUNCTION("""COMPUTED_VALUE"""),45961.0)</f>
        <v>45961</v>
      </c>
      <c r="L829" s="6">
        <v>30.0</v>
      </c>
      <c r="M829" s="52">
        <v>45991.0</v>
      </c>
      <c r="N829" s="53" t="s">
        <v>692</v>
      </c>
      <c r="O829" s="19" t="s">
        <v>1145</v>
      </c>
      <c r="P829" s="6"/>
      <c r="Q829" s="6" t="str">
        <f t="shared" si="1"/>
        <v>#N/A</v>
      </c>
      <c r="R829" s="6"/>
    </row>
    <row r="830" hidden="1">
      <c r="A830" s="31" t="str">
        <f>IFERROR(__xludf.DUMMYFUNCTION("""COMPUTED_VALUE"""),"638")</f>
        <v>638</v>
      </c>
      <c r="B830" s="14" t="str">
        <f>IFERROR(__xludf.DUMMYFUNCTION("""COMPUTED_VALUE"""),"РЕН-26")</f>
        <v>РЕН-26</v>
      </c>
      <c r="C830" s="14" t="str">
        <f>IFERROR(__xludf.DUMMYFUNCTION("""COMPUTED_VALUE"""),"ОКС")</f>
        <v>ОКС</v>
      </c>
      <c r="D830" s="6"/>
      <c r="E830" s="14" t="str">
        <f>IFERROR(__xludf.DUMMYFUNCTION("""COMPUTED_VALUE"""),"Авиационная улица, земельный участок 61/1 (вл. 61, корп. 1) район Щукино, Авиационная улица, земельный участок 61/1 (Авиационная ул., вл. 61, корп. 1)")</f>
        <v>Авиационная улица, земельный участок 61/1 (вл. 61, корп. 1) район Щукино, Авиационная улица, земельный участок 61/1 (Авиационная ул., вл. 61, корп. 1)</v>
      </c>
      <c r="F830" s="25" t="str">
        <f>IFERROR(__xludf.DUMMYFUNCTION("""COMPUTED_VALUE"""),"55.808441")</f>
        <v>55.808441</v>
      </c>
      <c r="G830" s="6" t="str">
        <f>IFERROR(__xludf.DUMMYFUNCTION("""COMPUTED_VALUE"""),"37.457208")</f>
        <v>37.457208</v>
      </c>
      <c r="H830" s="18" t="str">
        <f>IFERROR(__xludf.DUMMYFUNCTION("""COMPUTED_VALUE"""),"https://docs.google.com/spreadsheets/d/1rbCD10ySi4YZEkJW2_Slmn9z7AI1WEsGsZaIJmnnT18/edit?gid=563761401#gid=563761401")</f>
        <v>https://docs.google.com/spreadsheets/d/1rbCD10ySi4YZEkJW2_Slmn9z7AI1WEsGsZaIJmnnT18/edit?gid=563761401#gid=563761401</v>
      </c>
      <c r="I830" s="19" t="str">
        <f>IFERROR(__xludf.DUMMYFUNCTION("""COMPUTED_VALUE"""),"https://disk.yandex.ru/client/disk/Осмотры%20объектов%20АНО%20СМГ/638.%20Жилой%20дом%20Авиационная%2061к1")</f>
        <v>https://disk.yandex.ru/client/disk/Осмотры%20объектов%20АНО%20СМГ/638.%20Жилой%20дом%20Авиационная%2061к1</v>
      </c>
      <c r="J830" s="50">
        <f>IFERROR(__xludf.DUMMYFUNCTION("""COMPUTED_VALUE"""),10.079099999999999)</f>
        <v>10.0791</v>
      </c>
      <c r="K830" s="58">
        <f>IFERROR(__xludf.DUMMYFUNCTION("""COMPUTED_VALUE"""),45972.0)</f>
        <v>45972</v>
      </c>
      <c r="L830" s="6">
        <v>30.0</v>
      </c>
      <c r="M830" s="52">
        <v>46002.0</v>
      </c>
      <c r="N830" s="53" t="s">
        <v>711</v>
      </c>
      <c r="O830" s="19" t="s">
        <v>669</v>
      </c>
      <c r="P830" s="6"/>
      <c r="Q830" s="6" t="str">
        <f t="shared" si="1"/>
        <v>#N/A</v>
      </c>
      <c r="R830" s="6"/>
    </row>
    <row r="831">
      <c r="A831" s="31" t="str">
        <f>IFERROR(__xludf.DUMMYFUNCTION("""COMPUTED_VALUE"""),"589")</f>
        <v>589</v>
      </c>
      <c r="B831" s="14" t="str">
        <f>IFERROR(__xludf.DUMMYFUNCTION("""COMPUTED_VALUE"""),"РЕН-26")</f>
        <v>РЕН-26</v>
      </c>
      <c r="C831" s="14" t="str">
        <f>IFERROR(__xludf.DUMMYFUNCTION("""COMPUTED_VALUE"""),"ОКС")</f>
        <v>ОКС</v>
      </c>
      <c r="D831" s="6"/>
      <c r="E831" s="14" t="str">
        <f>IFERROR(__xludf.DUMMYFUNCTION("""COMPUTED_VALUE"""),"Всеволода Вишневского ул., земельный участок 11 район Тимирязевский, Всеволода Вишневского ул., вл. 11")</f>
        <v>Всеволода Вишневского ул., земельный участок 11 район Тимирязевский, Всеволода Вишневского ул., вл. 11</v>
      </c>
      <c r="F831" s="25" t="str">
        <f>IFERROR(__xludf.DUMMYFUNCTION("""COMPUTED_VALUE"""),"55.811372")</f>
        <v>55.811372</v>
      </c>
      <c r="G831" s="6" t="str">
        <f>IFERROR(__xludf.DUMMYFUNCTION("""COMPUTED_VALUE"""),"37.569402")</f>
        <v>37.569402</v>
      </c>
      <c r="H831" s="18" t="str">
        <f>IFERROR(__xludf.DUMMYFUNCTION("""COMPUTED_VALUE"""),"https://docs.google.com/spreadsheets/d/1rbCD10ySi4YZEkJW2_Slmn9z7AI1WEsGsZaIJmnnT18/edit?gid=2092914415#gid=2092914415")</f>
        <v>https://docs.google.com/spreadsheets/d/1rbCD10ySi4YZEkJW2_Slmn9z7AI1WEsGsZaIJmnnT18/edit?gid=2092914415#gid=2092914415</v>
      </c>
      <c r="I831" s="19" t="str">
        <f>IFERROR(__xludf.DUMMYFUNCTION("""COMPUTED_VALUE"""),"https://disk.yandex.ru/client/disk/Осмотры%20объектов%20АНО%20СМГ/589.%20Всеволода%20Вишневского%20ул.%2C%20вл.%2011")</f>
        <v>https://disk.yandex.ru/client/disk/Осмотры%20объектов%20АНО%20СМГ/589.%20Всеволода%20Вишневского%20ул.%2C%20вл.%2011</v>
      </c>
      <c r="J831" s="50">
        <f>IFERROR(__xludf.DUMMYFUNCTION("""COMPUTED_VALUE"""),35.266935)</f>
        <v>35.266935</v>
      </c>
      <c r="K831" s="58">
        <f>IFERROR(__xludf.DUMMYFUNCTION("""COMPUTED_VALUE"""),45973.0)</f>
        <v>45973</v>
      </c>
      <c r="L831" s="6">
        <v>30.0</v>
      </c>
      <c r="M831" s="52">
        <v>46003.0</v>
      </c>
      <c r="N831" s="53" t="s">
        <v>711</v>
      </c>
      <c r="O831" s="19" t="s">
        <v>669</v>
      </c>
      <c r="P831" s="6"/>
      <c r="Q831" s="6" t="str">
        <f t="shared" si="1"/>
        <v>589</v>
      </c>
      <c r="R831" s="6"/>
    </row>
    <row r="832" hidden="1">
      <c r="A832" s="31" t="str">
        <f>IFERROR(__xludf.DUMMYFUNCTION("""COMPUTED_VALUE"""),"624")</f>
        <v>624</v>
      </c>
      <c r="B832" s="14" t="str">
        <f>IFERROR(__xludf.DUMMYFUNCTION("""COMPUTED_VALUE"""),"РЕН-26")</f>
        <v>РЕН-26</v>
      </c>
      <c r="C832" s="14" t="str">
        <f>IFERROR(__xludf.DUMMYFUNCTION("""COMPUTED_VALUE"""),"ОКС")</f>
        <v>ОКС</v>
      </c>
      <c r="D832" s="6"/>
      <c r="E832" s="14" t="str">
        <f>IFERROR(__xludf.DUMMYFUNCTION("""COMPUTED_VALUE"""),"улица Тайнинская, земельный участок 3 (вл. 3) район Лосиноостровский, Тайнинская ул., вл. 3")</f>
        <v>улица Тайнинская, земельный участок 3 (вл. 3) район Лосиноостровский, Тайнинская ул., вл. 3</v>
      </c>
      <c r="F832" s="25" t="str">
        <f>IFERROR(__xludf.DUMMYFUNCTION("""COMPUTED_VALUE"""),"55.878112")</f>
        <v>55.878112</v>
      </c>
      <c r="G832" s="6" t="str">
        <f>IFERROR(__xludf.DUMMYFUNCTION("""COMPUTED_VALUE"""),"37.681312")</f>
        <v>37.681312</v>
      </c>
      <c r="H832" s="18" t="str">
        <f>IFERROR(__xludf.DUMMYFUNCTION("""COMPUTED_VALUE"""),"https://docs.google.com/spreadsheets/d/1rbCD10ySi4YZEkJW2_Slmn9z7AI1WEsGsZaIJmnnT18/edit?gid=1331480544#gid=1331480544")</f>
        <v>https://docs.google.com/spreadsheets/d/1rbCD10ySi4YZEkJW2_Slmn9z7AI1WEsGsZaIJmnnT18/edit?gid=1331480544#gid=1331480544</v>
      </c>
      <c r="I832" s="19" t="str">
        <f>IFERROR(__xludf.DUMMYFUNCTION("""COMPUTED_VALUE"""),"https://disk.yandex.ru/client/disk/Осмотры%20объектов%20АНО%20СМГ/624.%20Тайнинская%20ул.%2C%20зу%203")</f>
        <v>https://disk.yandex.ru/client/disk/Осмотры%20объектов%20АНО%20СМГ/624.%20Тайнинская%20ул.%2C%20зу%203</v>
      </c>
      <c r="J832" s="50">
        <f>IFERROR(__xludf.DUMMYFUNCTION("""COMPUTED_VALUE"""),4.919999999999999)</f>
        <v>4.92</v>
      </c>
      <c r="K832" s="58">
        <f>IFERROR(__xludf.DUMMYFUNCTION("""COMPUTED_VALUE"""),45962.0)</f>
        <v>45962</v>
      </c>
      <c r="L832" s="6">
        <v>30.0</v>
      </c>
      <c r="M832" s="52">
        <v>45992.0</v>
      </c>
      <c r="N832" s="53" t="s">
        <v>692</v>
      </c>
      <c r="O832" s="19" t="s">
        <v>669</v>
      </c>
      <c r="P832" s="6"/>
      <c r="Q832" s="6" t="str">
        <f t="shared" si="1"/>
        <v>#N/A</v>
      </c>
      <c r="R832" s="6"/>
    </row>
    <row r="833" hidden="1">
      <c r="A833" s="31" t="str">
        <f>IFERROR(__xludf.DUMMYFUNCTION("""COMPUTED_VALUE"""),"686")</f>
        <v>686</v>
      </c>
      <c r="B833" s="14" t="str">
        <f>IFERROR(__xludf.DUMMYFUNCTION("""COMPUTED_VALUE"""),"РЕН-26")</f>
        <v>РЕН-26</v>
      </c>
      <c r="C833" s="14" t="str">
        <f>IFERROR(__xludf.DUMMYFUNCTION("""COMPUTED_VALUE"""),"ОКС")</f>
        <v>ОКС</v>
      </c>
      <c r="D833" s="6"/>
      <c r="E833" s="14" t="str">
        <f>IFERROR(__xludf.DUMMYFUNCTION("""COMPUTED_VALUE"""),"Плющева ул., вл. 12А район Перово, Плющева ул., вл. 12А")</f>
        <v>Плющева ул., вл. 12А район Перово, Плющева ул., вл. 12А</v>
      </c>
      <c r="F833" s="25" t="str">
        <f>IFERROR(__xludf.DUMMYFUNCTION("""COMPUTED_VALUE"""),"55.743921")</f>
        <v>55.743921</v>
      </c>
      <c r="G833" s="6" t="str">
        <f>IFERROR(__xludf.DUMMYFUNCTION("""COMPUTED_VALUE"""),"37.758839")</f>
        <v>37.758839</v>
      </c>
      <c r="H833" s="18" t="str">
        <f>IFERROR(__xludf.DUMMYFUNCTION("""COMPUTED_VALUE"""),"https://docs.google.com/spreadsheets/d/1rbCD10ySi4YZEkJW2_Slmn9z7AI1WEsGsZaIJmnnT18/edit?gid=1102875556#gid=1102875556")</f>
        <v>https://docs.google.com/spreadsheets/d/1rbCD10ySi4YZEkJW2_Slmn9z7AI1WEsGsZaIJmnnT18/edit?gid=1102875556#gid=1102875556</v>
      </c>
      <c r="I833" s="19" t="str">
        <f>IFERROR(__xludf.DUMMYFUNCTION("""COMPUTED_VALUE"""),"https://disk.yandex.ru/client/disk/Осмотры%20объектов%20АНО%20СМГ/686.%20р-н%20Перово%2C%20Ул.Плющева%20вл.%2012А")</f>
        <v>https://disk.yandex.ru/client/disk/Осмотры%20объектов%20АНО%20СМГ/686.%20р-н%20Перово%2C%20Ул.Плющева%20вл.%2012А</v>
      </c>
      <c r="J833" s="50">
        <f>IFERROR(__xludf.DUMMYFUNCTION("""COMPUTED_VALUE"""),0.0)</f>
        <v>0</v>
      </c>
      <c r="K833" s="58">
        <f>IFERROR(__xludf.DUMMYFUNCTION("""COMPUTED_VALUE"""),45968.0)</f>
        <v>45968</v>
      </c>
      <c r="L833" s="6">
        <v>30.0</v>
      </c>
      <c r="M833" s="52">
        <v>45998.0</v>
      </c>
      <c r="N833" s="53" t="s">
        <v>711</v>
      </c>
      <c r="O833" s="19" t="s">
        <v>669</v>
      </c>
      <c r="P833" s="6"/>
      <c r="Q833" s="6" t="str">
        <f t="shared" si="1"/>
        <v>#N/A</v>
      </c>
      <c r="R833" s="6"/>
    </row>
    <row r="834" hidden="1">
      <c r="A834" s="31" t="str">
        <f>IFERROR(__xludf.DUMMYFUNCTION("""COMPUTED_VALUE"""),"804")</f>
        <v>804</v>
      </c>
      <c r="B834" s="14" t="str">
        <f>IFERROR(__xludf.DUMMYFUNCTION("""COMPUTED_VALUE"""),"РЕН-26")</f>
        <v>РЕН-26</v>
      </c>
      <c r="C834" s="14" t="str">
        <f>IFERROR(__xludf.DUMMYFUNCTION("""COMPUTED_VALUE"""),"ОКС")</f>
        <v>ОКС</v>
      </c>
      <c r="D834" s="6"/>
      <c r="E834" s="14" t="str">
        <f>IFERROR(__xludf.DUMMYFUNCTION("""COMPUTED_VALUE"""),"ул. Маршала Бирюзова, вл. 1, корпус 1 район Щукино, ул. Маршала Бирюзова, вл. 1, корпус 1")</f>
        <v>ул. Маршала Бирюзова, вл. 1, корпус 1 район Щукино, ул. Маршала Бирюзова, вл. 1, корпус 1</v>
      </c>
      <c r="F834" s="25" t="str">
        <f>IFERROR(__xludf.DUMMYFUNCTION("""COMPUTED_VALUE"""),"55.789318")</f>
        <v>55.789318</v>
      </c>
      <c r="G834" s="6" t="str">
        <f>IFERROR(__xludf.DUMMYFUNCTION("""COMPUTED_VALUE"""),"37.497921")</f>
        <v>37.497921</v>
      </c>
      <c r="H834" s="18" t="str">
        <f>IFERROR(__xludf.DUMMYFUNCTION("""COMPUTED_VALUE"""),"https://docs.google.com/spreadsheets/d/1rbCD10ySi4YZEkJW2_Slmn9z7AI1WEsGsZaIJmnnT18/edit?gid=1997450648#gid=1997450648")</f>
        <v>https://docs.google.com/spreadsheets/d/1rbCD10ySi4YZEkJW2_Slmn9z7AI1WEsGsZaIJmnnT18/edit?gid=1997450648#gid=1997450648</v>
      </c>
      <c r="I834" s="19" t="str">
        <f>IFERROR(__xludf.DUMMYFUNCTION("""COMPUTED_VALUE"""),"https://disk.yandex.ru/client/disk/Осмотры%20объектов%20АНО%20СМГ/804.%20Жилой%20дом%20ул%20Маршала%20Бирюзова%201к1")</f>
        <v>https://disk.yandex.ru/client/disk/Осмотры%20объектов%20АНО%20СМГ/804.%20Жилой%20дом%20ул%20Маршала%20Бирюзова%201к1</v>
      </c>
      <c r="J834" s="50">
        <f>IFERROR(__xludf.DUMMYFUNCTION("""COMPUTED_VALUE"""),31.610159999999997)</f>
        <v>31.61016</v>
      </c>
      <c r="K834" s="58">
        <f>IFERROR(__xludf.DUMMYFUNCTION("""COMPUTED_VALUE"""),45972.0)</f>
        <v>45972</v>
      </c>
      <c r="L834" s="6">
        <v>30.0</v>
      </c>
      <c r="M834" s="52">
        <v>46002.0</v>
      </c>
      <c r="N834" s="53" t="s">
        <v>711</v>
      </c>
      <c r="O834" s="19" t="s">
        <v>669</v>
      </c>
      <c r="P834" s="6"/>
      <c r="Q834" s="6" t="str">
        <f t="shared" si="1"/>
        <v>#N/A</v>
      </c>
      <c r="R834" s="6"/>
    </row>
    <row r="835" hidden="1">
      <c r="A835" s="31" t="str">
        <f>IFERROR(__xludf.DUMMYFUNCTION("""COMPUTED_VALUE"""),"802")</f>
        <v>802</v>
      </c>
      <c r="B835" s="14" t="str">
        <f>IFERROR(__xludf.DUMMYFUNCTION("""COMPUTED_VALUE"""),"РЕН-26")</f>
        <v>РЕН-26</v>
      </c>
      <c r="C835" s="14" t="str">
        <f>IFERROR(__xludf.DUMMYFUNCTION("""COMPUTED_VALUE"""),"ОКС")</f>
        <v>ОКС</v>
      </c>
      <c r="D835" s="6"/>
      <c r="E835" s="14" t="str">
        <f>IFERROR(__xludf.DUMMYFUNCTION("""COMPUTED_VALUE"""),"Кржижановского ул., вл. 31 район Котловка Кржижановского ул., вл. 31 микрорайонов 67,68, кварталов 103,104,105,106 за границами ППТ")</f>
        <v>Кржижановского ул., вл. 31 район Котловка Кржижановского ул., вл. 31 микрорайонов 67,68, кварталов 103,104,105,106 за границами ППТ</v>
      </c>
      <c r="F835" s="25" t="str">
        <f>IFERROR(__xludf.DUMMYFUNCTION("""COMPUTED_VALUE"""),"55.673297")</f>
        <v>55.673297</v>
      </c>
      <c r="G835" s="6" t="str">
        <f>IFERROR(__xludf.DUMMYFUNCTION("""COMPUTED_VALUE"""),"37.581276")</f>
        <v>37.581276</v>
      </c>
      <c r="H835" s="18" t="str">
        <f>IFERROR(__xludf.DUMMYFUNCTION("""COMPUTED_VALUE"""),"https://docs.google.com/spreadsheets/d/1rbCD10ySi4YZEkJW2_Slmn9z7AI1WEsGsZaIJmnnT18/edit?gid=79728110#gid=79728110")</f>
        <v>https://docs.google.com/spreadsheets/d/1rbCD10ySi4YZEkJW2_Slmn9z7AI1WEsGsZaIJmnnT18/edit?gid=79728110#gid=79728110</v>
      </c>
      <c r="I835" s="19" t="str">
        <f>IFERROR(__xludf.DUMMYFUNCTION("""COMPUTED_VALUE"""),"https://disk.yandex.ru/client/disk/Осмотры%20объектов%20АНО%20СМГ/802.%20Котловка%2C%20ул.%20Кржижановского%20вл.%2031")</f>
        <v>https://disk.yandex.ru/client/disk/Осмотры%20объектов%20АНО%20СМГ/802.%20Котловка%2C%20ул.%20Кржижановского%20вл.%2031</v>
      </c>
      <c r="J835" s="50">
        <f>IFERROR(__xludf.DUMMYFUNCTION("""COMPUTED_VALUE"""),8.1)</f>
        <v>8.1</v>
      </c>
      <c r="K835" s="58">
        <f>IFERROR(__xludf.DUMMYFUNCTION("""COMPUTED_VALUE"""),45953.0)</f>
        <v>45953</v>
      </c>
      <c r="L835" s="6">
        <v>30.0</v>
      </c>
      <c r="M835" s="52">
        <v>45983.0</v>
      </c>
      <c r="N835" s="53" t="s">
        <v>741</v>
      </c>
      <c r="O835" s="19" t="s">
        <v>1146</v>
      </c>
      <c r="P835" s="6"/>
      <c r="Q835" s="6" t="str">
        <f t="shared" si="1"/>
        <v>#N/A</v>
      </c>
      <c r="R835" s="6"/>
    </row>
    <row r="836" hidden="1">
      <c r="A836" s="31" t="str">
        <f>IFERROR(__xludf.DUMMYFUNCTION("""COMPUTED_VALUE"""),"805")</f>
        <v>805</v>
      </c>
      <c r="B836" s="14" t="str">
        <f>IFERROR(__xludf.DUMMYFUNCTION("""COMPUTED_VALUE"""),"РЕН-26")</f>
        <v>РЕН-26</v>
      </c>
      <c r="C836" s="14" t="str">
        <f>IFERROR(__xludf.DUMMYFUNCTION("""COMPUTED_VALUE"""),"ОКС")</f>
        <v>ОКС</v>
      </c>
      <c r="D836" s="6"/>
      <c r="E836" s="14" t="str">
        <f>IFERROR(__xludf.DUMMYFUNCTION("""COMPUTED_VALUE"""),"Нижегородская ул., з/у 92А (зона №2.4) кв. 80, район Нижегородский (зона № 2.4) (ул. Нижегородская, д. 94, к.2)")</f>
        <v>Нижегородская ул., з/у 92А (зона №2.4) кв. 80, район Нижегородский (зона № 2.4) (ул. Нижегородская, д. 94, к.2)</v>
      </c>
      <c r="F836" s="25" t="str">
        <f>IFERROR(__xludf.DUMMYFUNCTION("""COMPUTED_VALUE"""),"55.729701")</f>
        <v>55.729701</v>
      </c>
      <c r="G836" s="6" t="str">
        <f>IFERROR(__xludf.DUMMYFUNCTION("""COMPUTED_VALUE"""),"37.721204")</f>
        <v>37.721204</v>
      </c>
      <c r="H836" s="18" t="str">
        <f>IFERROR(__xludf.DUMMYFUNCTION("""COMPUTED_VALUE"""),"https://docs.google.com/spreadsheets/d/1rbCD10ySi4YZEkJW2_Slmn9z7AI1WEsGsZaIJmnnT18/edit?gid=1527817991#gid=1527817991")</f>
        <v>https://docs.google.com/spreadsheets/d/1rbCD10ySi4YZEkJW2_Slmn9z7AI1WEsGsZaIJmnnT18/edit?gid=1527817991#gid=1527817991</v>
      </c>
      <c r="I836" s="19" t="str">
        <f>IFERROR(__xludf.DUMMYFUNCTION("""COMPUTED_VALUE"""),"https://disk.yandex.ru/client/disk/Осмотры%20объектов%20АНО%20СМГ/805.%20Нижегородская%20ул.%2C%20з-у%2092А%2C%20зона%202.4")</f>
        <v>https://disk.yandex.ru/client/disk/Осмотры%20объектов%20АНО%20СМГ/805.%20Нижегородская%20ул.%2C%20з-у%2092А%2C%20зона%202.4</v>
      </c>
      <c r="J836" s="50">
        <f>IFERROR(__xludf.DUMMYFUNCTION("""COMPUTED_VALUE"""),1.65)</f>
        <v>1.65</v>
      </c>
      <c r="K836" s="58">
        <f>IFERROR(__xludf.DUMMYFUNCTION("""COMPUTED_VALUE"""),45975.0)</f>
        <v>45975</v>
      </c>
      <c r="L836" s="6">
        <v>30.0</v>
      </c>
      <c r="M836" s="52">
        <v>46005.0</v>
      </c>
      <c r="N836" s="53" t="s">
        <v>711</v>
      </c>
      <c r="O836" s="19" t="s">
        <v>669</v>
      </c>
      <c r="P836" s="6"/>
      <c r="Q836" s="6" t="str">
        <f t="shared" si="1"/>
        <v>#N/A</v>
      </c>
      <c r="R836" s="6"/>
    </row>
    <row r="837" hidden="1">
      <c r="A837" s="31" t="str">
        <f>IFERROR(__xludf.DUMMYFUNCTION("""COMPUTED_VALUE"""),"597")</f>
        <v>597</v>
      </c>
      <c r="B837" s="14" t="str">
        <f>IFERROR(__xludf.DUMMYFUNCTION("""COMPUTED_VALUE"""),"РЕН-26")</f>
        <v>РЕН-26</v>
      </c>
      <c r="C837" s="14" t="str">
        <f>IFERROR(__xludf.DUMMYFUNCTION("""COMPUTED_VALUE"""),"ОКС")</f>
        <v>ОКС</v>
      </c>
      <c r="D837" s="6"/>
      <c r="E837" s="14" t="str">
        <f>IFERROR(__xludf.DUMMYFUNCTION("""COMPUTED_VALUE"""),"ул. Гарибальди, з/у 22 (зона 2.1) улица Гарибальди, земельный участок 22 (участок 2.1)")</f>
        <v>ул. Гарибальди, з/у 22 (зона 2.1) улица Гарибальди, земельный участок 22 (участок 2.1)</v>
      </c>
      <c r="F837" s="25" t="str">
        <f>IFERROR(__xludf.DUMMYFUNCTION("""COMPUTED_VALUE"""),"55.671743")</f>
        <v>55.671743</v>
      </c>
      <c r="G837" s="6" t="str">
        <f>IFERROR(__xludf.DUMMYFUNCTION("""COMPUTED_VALUE"""),"37.546630")</f>
        <v>37.546630</v>
      </c>
      <c r="H837" s="18" t="str">
        <f>IFERROR(__xludf.DUMMYFUNCTION("""COMPUTED_VALUE"""),"https://docs.google.com/spreadsheets/d/1rbCD10ySi4YZEkJW2_Slmn9z7AI1WEsGsZaIJmnnT18/edit?gid=1504466944#gid=1504466944")</f>
        <v>https://docs.google.com/spreadsheets/d/1rbCD10ySi4YZEkJW2_Slmn9z7AI1WEsGsZaIJmnnT18/edit?gid=1504466944#gid=1504466944</v>
      </c>
      <c r="I837" s="19" t="str">
        <f>IFERROR(__xludf.DUMMYFUNCTION("""COMPUTED_VALUE"""),"https://disk.yandex.ru/client/disk/Осмотры%20объектов%20АНО%20СМГ/597.%20Гарибальди%20з!у%2022%20(участок%202.1)")</f>
        <v>https://disk.yandex.ru/client/disk/Осмотры%20объектов%20АНО%20СМГ/597.%20Гарибальди%20з!у%2022%20(участок%202.1)</v>
      </c>
      <c r="J837" s="50">
        <f>IFERROR(__xludf.DUMMYFUNCTION("""COMPUTED_VALUE"""),26.304885)</f>
        <v>26.304885</v>
      </c>
      <c r="K837" s="58">
        <f>IFERROR(__xludf.DUMMYFUNCTION("""COMPUTED_VALUE"""),45972.0)</f>
        <v>45972</v>
      </c>
      <c r="L837" s="6">
        <v>30.0</v>
      </c>
      <c r="M837" s="52">
        <v>46002.0</v>
      </c>
      <c r="N837" s="53" t="s">
        <v>711</v>
      </c>
      <c r="O837" s="19" t="s">
        <v>669</v>
      </c>
      <c r="P837" s="6"/>
      <c r="Q837" s="6" t="str">
        <f t="shared" si="1"/>
        <v>#N/A</v>
      </c>
      <c r="R837" s="6"/>
    </row>
    <row r="838" hidden="1">
      <c r="A838" s="31" t="str">
        <f>IFERROR(__xludf.DUMMYFUNCTION("""COMPUTED_VALUE"""),"609")</f>
        <v>609</v>
      </c>
      <c r="B838" s="14" t="str">
        <f>IFERROR(__xludf.DUMMYFUNCTION("""COMPUTED_VALUE"""),"РЕН-26")</f>
        <v>РЕН-26</v>
      </c>
      <c r="C838" s="14" t="str">
        <f>IFERROR(__xludf.DUMMYFUNCTION("""COMPUTED_VALUE"""),"ОКС")</f>
        <v>ОКС</v>
      </c>
      <c r="D838" s="6"/>
      <c r="E838" s="14" t="str">
        <f>IFERROR(__xludf.DUMMYFUNCTION("""COMPUTED_VALUE"""),"ул. Лобачевского, влд. 62 район Проспект Вернадского, Лобачевского ул., вл. 62")</f>
        <v>ул. Лобачевского, влд. 62 район Проспект Вернадского, Лобачевского ул., вл. 62</v>
      </c>
      <c r="F838" s="25" t="str">
        <f>IFERROR(__xludf.DUMMYFUNCTION("""COMPUTED_VALUE"""),"55.675595")</f>
        <v>55.675595</v>
      </c>
      <c r="G838" s="6" t="str">
        <f>IFERROR(__xludf.DUMMYFUNCTION("""COMPUTED_VALUE"""),"37.492644")</f>
        <v>37.492644</v>
      </c>
      <c r="H838" s="18" t="str">
        <f>IFERROR(__xludf.DUMMYFUNCTION("""COMPUTED_VALUE"""),"https://docs.google.com/spreadsheets/d/1rbCD10ySi4YZEkJW2_Slmn9z7AI1WEsGsZaIJmnnT18/edit?gid=387655725#gid=387655725")</f>
        <v>https://docs.google.com/spreadsheets/d/1rbCD10ySi4YZEkJW2_Slmn9z7AI1WEsGsZaIJmnnT18/edit?gid=387655725#gid=387655725</v>
      </c>
      <c r="I838" s="19" t="str">
        <f>IFERROR(__xludf.DUMMYFUNCTION("""COMPUTED_VALUE"""),"https://disk.yandex.ru/client/disk/Осмотры%20объектов%20АНО%20СМГ/609.%20ЗАО%20проспект%20Вернадского%2C%20Лобачевского%20улица.%2C%20вл.62")</f>
        <v>https://disk.yandex.ru/client/disk/Осмотры%20объектов%20АНО%20СМГ/609.%20ЗАО%20проспект%20Вернадского%2C%20Лобачевского%20улица.%2C%20вл.62</v>
      </c>
      <c r="J838" s="50">
        <f>IFERROR(__xludf.DUMMYFUNCTION("""COMPUTED_VALUE"""),22.72227)</f>
        <v>22.72227</v>
      </c>
      <c r="K838" s="58">
        <f>IFERROR(__xludf.DUMMYFUNCTION("""COMPUTED_VALUE"""),45968.0)</f>
        <v>45968</v>
      </c>
      <c r="L838" s="6">
        <v>30.0</v>
      </c>
      <c r="M838" s="52">
        <v>45998.0</v>
      </c>
      <c r="N838" s="53" t="s">
        <v>711</v>
      </c>
      <c r="O838" s="19" t="s">
        <v>669</v>
      </c>
      <c r="P838" s="6"/>
      <c r="Q838" s="6" t="str">
        <f t="shared" si="1"/>
        <v>#N/A</v>
      </c>
      <c r="R838" s="6"/>
    </row>
    <row r="839" hidden="1">
      <c r="A839" s="31" t="str">
        <f>IFERROR(__xludf.DUMMYFUNCTION("""COMPUTED_VALUE"""),"644")</f>
        <v>644</v>
      </c>
      <c r="B839" s="14" t="str">
        <f>IFERROR(__xludf.DUMMYFUNCTION("""COMPUTED_VALUE"""),"РЕН-26")</f>
        <v>РЕН-26</v>
      </c>
      <c r="C839" s="14" t="str">
        <f>IFERROR(__xludf.DUMMYFUNCTION("""COMPUTED_VALUE"""),"ОКС")</f>
        <v>ОКС</v>
      </c>
      <c r="D839" s="6"/>
      <c r="E839" s="14" t="str">
        <f>IFERROR(__xludf.DUMMYFUNCTION("""COMPUTED_VALUE"""),"9 Мая ул., вл. 24 район Восточный, 9 Мая ул., вл. 24")</f>
        <v>9 Мая ул., вл. 24 район Восточный, 9 Мая ул., вл. 24</v>
      </c>
      <c r="F839" s="25" t="str">
        <f>IFERROR(__xludf.DUMMYFUNCTION("""COMPUTED_VALUE"""),"55.818169")</f>
        <v>55.818169</v>
      </c>
      <c r="G839" s="6" t="str">
        <f>IFERROR(__xludf.DUMMYFUNCTION("""COMPUTED_VALUE"""),"37.872541")</f>
        <v>37.872541</v>
      </c>
      <c r="H839" s="18" t="str">
        <f>IFERROR(__xludf.DUMMYFUNCTION("""COMPUTED_VALUE"""),"https://docs.google.com/spreadsheets/d/1rbCD10ySi4YZEkJW2_Slmn9z7AI1WEsGsZaIJmnnT18/edit?gid=692135392#gid=692135392")</f>
        <v>https://docs.google.com/spreadsheets/d/1rbCD10ySi4YZEkJW2_Slmn9z7AI1WEsGsZaIJmnnT18/edit?gid=692135392#gid=692135392</v>
      </c>
      <c r="I839" s="21" t="str">
        <f>IFERROR(__xludf.DUMMYFUNCTION("""COMPUTED_VALUE"""),"https://disk.yandex.ru/client/disk/%D0%9E%D1%81%D0%BC%D0%BE%D1%82%D1%80%D1%8B%20%D0%BE%D0%B1%D1%8A%D0%B5%D0%BA%D1%82%D0%BE%D0%B2%20%D0%90%D0%9D%D0%9E%20%D0%A1%D0%9C%D0%93/644%20%D0%A3%D0%BB.%209%20%D0%9C%D0%B0%D1%8F%20%D0%B2%D0%BB%2024%20%D1%80-%D0%BD%20%"&amp;"D0%92%D0%BE%D1%81%D1%82%D0%BE%D1%87%D0%BD%D1%8B%D0%B9%2C%20%D1%81%D0%BE%20%D1%81%D0%BD%D0%BE%D1%81%D0%BE%D0%BC%20%D0%96.%D0%A1.%20%20")</f>
        <v>https://disk.yandex.ru/client/disk/%D0%9E%D1%81%D0%BC%D0%BE%D1%82%D1%80%D1%8B%20%D0%BE%D0%B1%D1%8A%D0%B5%D0%BA%D1%82%D0%BE%D0%B2%20%D0%90%D0%9D%D0%9E%20%D0%A1%D0%9C%D0%93/644%20%D0%A3%D0%BB.%209%20%D0%9C%D0%B0%D1%8F%20%D0%B2%D0%BB%2024%20%D1%80-%D0%BD%20%D0%92%D0%BE%D1%81%D1%82%D0%BE%D1%87%D0%BD%D1%8B%D0%B9%2C%20%D1%81%D0%BE%20%D1%81%D0%BD%D0%BE%D1%81%D0%BE%D0%BC%20%D0%96.%D0%A1.%20%20</v>
      </c>
      <c r="J839" s="50">
        <f>IFERROR(__xludf.DUMMYFUNCTION("""COMPUTED_VALUE"""),2.85)</f>
        <v>2.85</v>
      </c>
      <c r="K839" s="58">
        <f>IFERROR(__xludf.DUMMYFUNCTION("""COMPUTED_VALUE"""),45960.0)</f>
        <v>45960</v>
      </c>
      <c r="L839" s="6">
        <v>30.0</v>
      </c>
      <c r="M839" s="52">
        <v>45990.0</v>
      </c>
      <c r="N839" s="53" t="s">
        <v>692</v>
      </c>
      <c r="O839" s="19" t="s">
        <v>1147</v>
      </c>
      <c r="P839" s="6"/>
      <c r="Q839" s="6" t="str">
        <f t="shared" si="1"/>
        <v>#N/A</v>
      </c>
      <c r="R839" s="6"/>
    </row>
    <row r="840" hidden="1">
      <c r="A840" s="31" t="str">
        <f>IFERROR(__xludf.DUMMYFUNCTION("""COMPUTED_VALUE"""),"605")</f>
        <v>605</v>
      </c>
      <c r="B840" s="14" t="str">
        <f>IFERROR(__xludf.DUMMYFUNCTION("""COMPUTED_VALUE"""),"РЕН-26")</f>
        <v>РЕН-26</v>
      </c>
      <c r="C840" s="14" t="str">
        <f>IFERROR(__xludf.DUMMYFUNCTION("""COMPUTED_VALUE"""),"ОКС")</f>
        <v>ОКС</v>
      </c>
      <c r="D840" s="6"/>
      <c r="E840" s="14" t="str">
        <f>IFERROR(__xludf.DUMMYFUNCTION("""COMPUTED_VALUE"""),"1-й Саратовский пр-д, з/у 5 (1-й Саратовский пр-д, вл.5) район Текстильщики, 1-й Саратовский пр-д, вл.5")</f>
        <v>1-й Саратовский пр-д, з/у 5 (1-й Саратовский пр-д, вл.5) район Текстильщики, 1-й Саратовский пр-д, вл.5</v>
      </c>
      <c r="F840" s="25" t="str">
        <f>IFERROR(__xludf.DUMMYFUNCTION("""COMPUTED_VALUE"""),"55.711841")</f>
        <v>55.711841</v>
      </c>
      <c r="G840" s="6" t="str">
        <f>IFERROR(__xludf.DUMMYFUNCTION("""COMPUTED_VALUE"""),"37.737222")</f>
        <v>37.737222</v>
      </c>
      <c r="H840" s="18" t="str">
        <f>IFERROR(__xludf.DUMMYFUNCTION("""COMPUTED_VALUE"""),"https://docs.google.com/spreadsheets/d/1rbCD10ySi4YZEkJW2_Slmn9z7AI1WEsGsZaIJmnnT18/edit?gid=847490134#gid=847490134")</f>
        <v>https://docs.google.com/spreadsheets/d/1rbCD10ySi4YZEkJW2_Slmn9z7AI1WEsGsZaIJmnnT18/edit?gid=847490134#gid=847490134</v>
      </c>
      <c r="I840" s="19" t="str">
        <f>IFERROR(__xludf.DUMMYFUNCTION("""COMPUTED_VALUE"""),"https://disk.yandex.ru/client/disk/Осмотры%20объектов%20АНО%20СМГ/605.%201-й%20Саратовский%20проезд%2C%205%20Реновация")</f>
        <v>https://disk.yandex.ru/client/disk/Осмотры%20объектов%20АНО%20СМГ/605.%201-й%20Саратовский%20проезд%2C%205%20Реновация</v>
      </c>
      <c r="J840" s="50">
        <f>IFERROR(__xludf.DUMMYFUNCTION("""COMPUTED_VALUE"""),5.97)</f>
        <v>5.97</v>
      </c>
      <c r="K840" s="58">
        <f>IFERROR(__xludf.DUMMYFUNCTION("""COMPUTED_VALUE"""),45975.0)</f>
        <v>45975</v>
      </c>
      <c r="L840" s="6">
        <v>30.0</v>
      </c>
      <c r="M840" s="52">
        <v>46005.0</v>
      </c>
      <c r="N840" s="53" t="s">
        <v>711</v>
      </c>
      <c r="O840" s="19" t="s">
        <v>669</v>
      </c>
      <c r="P840" s="6"/>
      <c r="Q840" s="6" t="str">
        <f t="shared" si="1"/>
        <v>#N/A</v>
      </c>
      <c r="R840" s="6"/>
    </row>
    <row r="841" hidden="1">
      <c r="A841" s="31" t="str">
        <f>IFERROR(__xludf.DUMMYFUNCTION("""COMPUTED_VALUE"""),"728")</f>
        <v>728</v>
      </c>
      <c r="B841" s="14" t="str">
        <f>IFERROR(__xludf.DUMMYFUNCTION("""COMPUTED_VALUE"""),"РЕН-26")</f>
        <v>РЕН-26</v>
      </c>
      <c r="C841" s="14" t="str">
        <f>IFERROR(__xludf.DUMMYFUNCTION("""COMPUTED_VALUE"""),"ОКС")</f>
        <v>ОКС</v>
      </c>
      <c r="D841" s="6"/>
      <c r="E841" s="14" t="str">
        <f>IFERROR(__xludf.DUMMYFUNCTION("""COMPUTED_VALUE"""),"ул. 2-я Синичкина, з/у 9 (ул. 2-я Синичкина, вл. 9) район Лефортово, улица 2-я Синичкина, земельный участок 9 (ул. 2-я Синичкина, вл. 9)")</f>
        <v>ул. 2-я Синичкина, з/у 9 (ул. 2-я Синичкина, вл. 9) район Лефортово, улица 2-я Синичкина, земельный участок 9 (ул. 2-я Синичкина, вл. 9)</v>
      </c>
      <c r="F841" s="25" t="str">
        <f>IFERROR(__xludf.DUMMYFUNCTION("""COMPUTED_VALUE"""),"55.763275")</f>
        <v>55.763275</v>
      </c>
      <c r="G841" s="6" t="str">
        <f>IFERROR(__xludf.DUMMYFUNCTION("""COMPUTED_VALUE"""),"37.712926")</f>
        <v>37.712926</v>
      </c>
      <c r="H841" s="18" t="str">
        <f>IFERROR(__xludf.DUMMYFUNCTION("""COMPUTED_VALUE"""),"https://docs.google.com/spreadsheets/d/1rbCD10ySi4YZEkJW2_Slmn9z7AI1WEsGsZaIJmnnT18/edit?gid=943458292#gid=943458292")</f>
        <v>https://docs.google.com/spreadsheets/d/1rbCD10ySi4YZEkJW2_Slmn9z7AI1WEsGsZaIJmnnT18/edit?gid=943458292#gid=943458292</v>
      </c>
      <c r="I841" s="21" t="str">
        <f>IFERROR(__xludf.DUMMYFUNCTION("""COMPUTED_VALUE"""),"https://disk.yandex.ru/client/disk/%D0%9E%D1%81%D0%BC%D0%BE%D1%82%D1%80%D1%8B%20%D0%BE%D0%B1%D1%8A%D0%B5%D0%BA%D1%82%D0%BE%D0%B2%20%D0%90%D0%9D%D0%9E%20%D0%A1%D0%9C%D0%93/728.%20%D1%80%D0%B0%D0%B9%D0%BE%D0%BD%20%D0%9B%D0%B5%D1%84%D0%BE%D1%80%D1%82%D0%BE%D"&amp;"0%B2%D0%BE%2C%202-%D1%8F%20%D0%A1%D0%B8%D0%BD%D0%B8%D1%87%D0%BA%D0%B8%D0%BD%D0%B0%2C%20%D0%B7.%D1%83%209%20(%D1%81%D0%BE%20%D1%81%D0%BD%D0%BE%D1%81%D0%BE%D0%BC%20%D0%B6%D0%B8%D0%BB%D0%BE%D0%B3%D0%BE%20%D0%B4%D0%BE%D0%BC%D0%B0%20%D0%BF%D0%BE%20%D0%B0%D0%B4"&amp;"%D1%80%D0%B5%D1%81%D1%83%3A%202-%D1%8F%20%D1%83%D0%BB%D0%B8%D1%86%D0%B0%20%D0%A1%D0%B8%D0%BD%D0%B8%D1%87%D0%BA%D0%B8%D0%BD%D0%B0%2C%20%D0%B4%D0%BE%D0%BC%209)")</f>
        <v>https://disk.yandex.ru/client/disk/%D0%9E%D1%81%D0%BC%D0%BE%D1%82%D1%80%D1%8B%20%D0%BE%D0%B1%D1%8A%D0%B5%D0%BA%D1%82%D0%BE%D0%B2%20%D0%90%D0%9D%D0%9E%20%D0%A1%D0%9C%D0%93/728.%20%D1%80%D0%B0%D0%B9%D0%BE%D0%BD%20%D0%9B%D0%B5%D1%84%D0%BE%D1%80%D1%82%D0%BE%D0%B2%D0%BE%2C%202-%D1%8F%20%D0%A1%D0%B8%D0%BD%D0%B8%D1%87%D0%BA%D0%B8%D0%BD%D0%B0%2C%20%D0%B7.%D1%83%209%20(%D1%81%D0%BE%20%D1%81%D0%BD%D0%BE%D1%81%D0%BE%D0%BC%20%D0%B6%D0%B8%D0%BB%D0%BE%D0%B3%D0%BE%20%D0%B4%D0%BE%D0%BC%D0%B0%20%D0%BF%D0%BE%20%D0%B0%D0%B4%D1%80%D0%B5%D1%81%D1%83%3A%202-%D1%8F%20%D1%83%D0%BB%D0%B8%D1%86%D0%B0%20%D0%A1%D0%B8%D0%BD%D0%B8%D1%87%D0%BA%D0%B8%D0%BD%D0%B0%2C%20%D0%B4%D0%BE%D0%BC%209)</v>
      </c>
      <c r="J841" s="50">
        <f>IFERROR(__xludf.DUMMYFUNCTION("""COMPUTED_VALUE"""),2.1708)</f>
        <v>2.1708</v>
      </c>
      <c r="K841" s="58">
        <f>IFERROR(__xludf.DUMMYFUNCTION("""COMPUTED_VALUE"""),45960.0)</f>
        <v>45960</v>
      </c>
      <c r="L841" s="6">
        <v>30.0</v>
      </c>
      <c r="M841" s="52">
        <v>45990.0</v>
      </c>
      <c r="N841" s="53" t="s">
        <v>692</v>
      </c>
      <c r="O841" s="19" t="s">
        <v>669</v>
      </c>
      <c r="P841" s="6"/>
      <c r="Q841" s="6" t="str">
        <f t="shared" si="1"/>
        <v>#N/A</v>
      </c>
      <c r="R841" s="6"/>
    </row>
    <row r="842" hidden="1">
      <c r="A842" s="31" t="str">
        <f>IFERROR(__xludf.DUMMYFUNCTION("""COMPUTED_VALUE"""),"645")</f>
        <v>645</v>
      </c>
      <c r="B842" s="14" t="str">
        <f>IFERROR(__xludf.DUMMYFUNCTION("""COMPUTED_VALUE"""),"РЕН-26")</f>
        <v>РЕН-26</v>
      </c>
      <c r="C842" s="14" t="str">
        <f>IFERROR(__xludf.DUMMYFUNCTION("""COMPUTED_VALUE"""),"ОКС")</f>
        <v>ОКС</v>
      </c>
      <c r="D842" s="6"/>
      <c r="E842" s="14" t="str">
        <f>IFERROR(__xludf.DUMMYFUNCTION("""COMPUTED_VALUE"""),"Щербаковская ул., влд. 5А район Соколиная гора, Щербаковская улица, влд. 5А")</f>
        <v>Щербаковская ул., влд. 5А район Соколиная гора, Щербаковская улица, влд. 5А</v>
      </c>
      <c r="F842" s="25" t="str">
        <f>IFERROR(__xludf.DUMMYFUNCTION("""COMPUTED_VALUE"""),"55.783473")</f>
        <v>55.783473</v>
      </c>
      <c r="G842" s="6" t="str">
        <f>IFERROR(__xludf.DUMMYFUNCTION("""COMPUTED_VALUE"""),"37.725236")</f>
        <v>37.725236</v>
      </c>
      <c r="H842" s="18" t="str">
        <f>IFERROR(__xludf.DUMMYFUNCTION("""COMPUTED_VALUE"""),"https://docs.google.com/spreadsheets/d/1rbCD10ySi4YZEkJW2_Slmn9z7AI1WEsGsZaIJmnnT18/edit?gid=1166394533#gid=1166394533")</f>
        <v>https://docs.google.com/spreadsheets/d/1rbCD10ySi4YZEkJW2_Slmn9z7AI1WEsGsZaIJmnnT18/edit?gid=1166394533#gid=1166394533</v>
      </c>
      <c r="I842" s="21" t="str">
        <f>IFERROR(__xludf.DUMMYFUNCTION("""COMPUTED_VALUE"""),"https://disk.yandex.ru/client/disk/%D0%9E%D1%81%D0%BC%D0%BE%D1%82%D1%80%D1%8B%20%D0%BE%D0%B1%D1%8A%D0%B5%D0%BA%D1%82%D0%BE%D0%B2%20%D0%90%D0%9D%D0%9E%20%D0%A1%D0%9C%D0%93/645.%20%D0%A9%D0%B5%D1%80%D0%B1%D0%B0%D0%BA%D0%BE%D0%B2%D1%81%D0%BA%D0%B0%D1%8F%20%D"&amp;"0%B7%D1%83%205%D0%90%20")</f>
        <v>https://disk.yandex.ru/client/disk/%D0%9E%D1%81%D0%BC%D0%BE%D1%82%D1%80%D1%8B%20%D0%BE%D0%B1%D1%8A%D0%B5%D0%BA%D1%82%D0%BE%D0%B2%20%D0%90%D0%9D%D0%9E%20%D0%A1%D0%9C%D0%93/645.%20%D0%A9%D0%B5%D1%80%D0%B1%D0%B0%D0%BA%D0%BE%D0%B2%D1%81%D0%BA%D0%B0%D1%8F%20%D0%B7%D1%83%205%D0%90%20</v>
      </c>
      <c r="J842" s="50">
        <f>IFERROR(__xludf.DUMMYFUNCTION("""COMPUTED_VALUE"""),14.57082)</f>
        <v>14.57082</v>
      </c>
      <c r="K842" s="58">
        <f>IFERROR(__xludf.DUMMYFUNCTION("""COMPUTED_VALUE"""),45960.0)</f>
        <v>45960</v>
      </c>
      <c r="L842" s="6">
        <v>30.0</v>
      </c>
      <c r="M842" s="52">
        <v>45990.0</v>
      </c>
      <c r="N842" s="53" t="s">
        <v>692</v>
      </c>
      <c r="O842" s="19" t="s">
        <v>669</v>
      </c>
      <c r="P842" s="6"/>
      <c r="Q842" s="6" t="str">
        <f t="shared" si="1"/>
        <v>#N/A</v>
      </c>
      <c r="R842" s="6"/>
    </row>
    <row r="843" hidden="1">
      <c r="A843" s="31" t="str">
        <f>IFERROR(__xludf.DUMMYFUNCTION("""COMPUTED_VALUE"""),"672")</f>
        <v>672</v>
      </c>
      <c r="B843" s="14" t="str">
        <f>IFERROR(__xludf.DUMMYFUNCTION("""COMPUTED_VALUE"""),"РЕН-26")</f>
        <v>РЕН-26</v>
      </c>
      <c r="C843" s="14" t="str">
        <f>IFERROR(__xludf.DUMMYFUNCTION("""COMPUTED_VALUE"""),"ОКС")</f>
        <v>ОКС</v>
      </c>
      <c r="D843" s="6"/>
      <c r="E843" s="14" t="str">
        <f>IFERROR(__xludf.DUMMYFUNCTION("""COMPUTED_VALUE"""),"2-я Дубровская ул., з/у 1 район Таганский, 2-я Дубровская улица, земельный участок 1")</f>
        <v>2-я Дубровская ул., з/у 1 район Таганский, 2-я Дубровская улица, земельный участок 1</v>
      </c>
      <c r="F843" s="25" t="str">
        <f>IFERROR(__xludf.DUMMYFUNCTION("""COMPUTED_VALUE"""),"55.729530")</f>
        <v>55.729530</v>
      </c>
      <c r="G843" s="6" t="str">
        <f>IFERROR(__xludf.DUMMYFUNCTION("""COMPUTED_VALUE"""),"37.670697")</f>
        <v>37.670697</v>
      </c>
      <c r="H843" s="18" t="str">
        <f>IFERROR(__xludf.DUMMYFUNCTION("""COMPUTED_VALUE"""),"https://docs.google.com/spreadsheets/d/1rbCD10ySi4YZEkJW2_Slmn9z7AI1WEsGsZaIJmnnT18/edit?gid=1407262521#gid=1407262521")</f>
        <v>https://docs.google.com/spreadsheets/d/1rbCD10ySi4YZEkJW2_Slmn9z7AI1WEsGsZaIJmnnT18/edit?gid=1407262521#gid=1407262521</v>
      </c>
      <c r="I843" s="21" t="str">
        <f>IFERROR(__xludf.DUMMYFUNCTION("""COMPUTED_VALUE"""),"https://disk.yandex.ru/client/disk/%D0%9E%D1%81%D0%BC%D0%BE%D1%82%D1%80%D1%8B%20%D0%BE%D0%B1%D1%8A%D0%B5%D0%BA%D1%82%D0%BE%D0%B2%20%D0%90%D0%9D%D0%9E%20%D0%A1%D0%9C%D0%93/672.%202-%D1%8F%20%D0%94%D1%83%D0%B1%D1%80%D0%BE%D0%B2%D1%81%D0%BA%D0%B0%D1%8F%20%D0"&amp;"%B4.1")</f>
        <v>https://disk.yandex.ru/client/disk/%D0%9E%D1%81%D0%BC%D0%BE%D1%82%D1%80%D1%8B%20%D0%BE%D0%B1%D1%8A%D0%B5%D0%BA%D1%82%D0%BE%D0%B2%20%D0%90%D0%9D%D0%9E%20%D0%A1%D0%9C%D0%93/672.%202-%D1%8F%20%D0%94%D1%83%D0%B1%D1%80%D0%BE%D0%B2%D1%81%D0%BA%D0%B0%D1%8F%20%D0%B4.1</v>
      </c>
      <c r="J843" s="50">
        <f>IFERROR(__xludf.DUMMYFUNCTION("""COMPUTED_VALUE"""),8.309999999999999)</f>
        <v>8.31</v>
      </c>
      <c r="K843" s="58">
        <f>IFERROR(__xludf.DUMMYFUNCTION("""COMPUTED_VALUE"""),45971.0)</f>
        <v>45971</v>
      </c>
      <c r="L843" s="6">
        <v>30.0</v>
      </c>
      <c r="M843" s="52">
        <v>46001.0</v>
      </c>
      <c r="N843" s="53" t="s">
        <v>711</v>
      </c>
      <c r="O843" s="19" t="s">
        <v>1148</v>
      </c>
      <c r="P843" s="6"/>
      <c r="Q843" s="6" t="str">
        <f t="shared" si="1"/>
        <v>#N/A</v>
      </c>
      <c r="R843" s="6"/>
    </row>
    <row r="844" hidden="1">
      <c r="A844" s="31" t="str">
        <f>IFERROR(__xludf.DUMMYFUNCTION("""COMPUTED_VALUE"""),"650")</f>
        <v>650</v>
      </c>
      <c r="B844" s="14" t="str">
        <f>IFERROR(__xludf.DUMMYFUNCTION("""COMPUTED_VALUE"""),"РЕН-26")</f>
        <v>РЕН-26</v>
      </c>
      <c r="C844" s="14" t="str">
        <f>IFERROR(__xludf.DUMMYFUNCTION("""COMPUTED_VALUE"""),"ОКС")</f>
        <v>ОКС</v>
      </c>
      <c r="D844" s="6"/>
      <c r="E844" s="14" t="str">
        <f>IFERROR(__xludf.DUMMYFUNCTION("""COMPUTED_VALUE"""),"Большая Черёмушкинская, з/у 26  ЮЗАО, район Академический, Большая Черемушкинская улица, земельный участок 26 
(рефинансирование)")</f>
        <v>Большая Черёмушкинская, з/у 26  ЮЗАО, район Академический, Большая Черемушкинская улица, земельный участок 26 
(рефинансирование)</v>
      </c>
      <c r="F844" s="25" t="str">
        <f>IFERROR(__xludf.DUMMYFUNCTION("""COMPUTED_VALUE"""),"55.680673")</f>
        <v>55.680673</v>
      </c>
      <c r="G844" s="6" t="str">
        <f>IFERROR(__xludf.DUMMYFUNCTION("""COMPUTED_VALUE"""),"37.584110")</f>
        <v>37.584110</v>
      </c>
      <c r="H844" s="18" t="str">
        <f>IFERROR(__xludf.DUMMYFUNCTION("""COMPUTED_VALUE"""),"https://docs.google.com/spreadsheets/d/1rbCD10ySi4YZEkJW2_Slmn9z7AI1WEsGsZaIJmnnT18/edit?gid=1401788865#gid=1401788865")</f>
        <v>https://docs.google.com/spreadsheets/d/1rbCD10ySi4YZEkJW2_Slmn9z7AI1WEsGsZaIJmnnT18/edit?gid=1401788865#gid=1401788865</v>
      </c>
      <c r="I844" s="21" t="str">
        <f>IFERROR(__xludf.DUMMYFUNCTION("""COMPUTED_VALUE"""),"https://disk.yandex.ru/client/disk/%D0%9E%D1%81%D0%BC%D0%BE%D1%82%D1%80%D1%8B%20%D0%BE%D0%B1%D1%8A%D0%B5%D0%BA%D1%82%D0%BE%D0%B2%20%D0%90%D0%9D%D0%9E%20%D0%A1%D0%9C%D0%93/650.%20%D0%91%D0%BE%D0%BB%D1%8C%D1%88%D0%B0%D1%8F%20%D0%A7%D0%B5%D1%80%D1%91%D0%BC%D"&amp;"1%83%D1%88%D0%BA%D0%B8%D0%BD%D1%81%D0%BA%D0%B0%D1%8F%20%D0%B7!%D1%83%2026%20(%D1%80%D0%B5%D1%84%D0%B8%D0%BD%D0%B0%D0%BD%D1%81%D0%B8%D1%80%D0%BE%D0%B2%D0%B0%D0%BD%D0%B8%D0%B5)")</f>
        <v>https://disk.yandex.ru/client/disk/%D0%9E%D1%81%D0%BC%D0%BE%D1%82%D1%80%D1%8B%20%D0%BE%D0%B1%D1%8A%D0%B5%D0%BA%D1%82%D0%BE%D0%B2%20%D0%90%D0%9D%D0%9E%20%D0%A1%D0%9C%D0%93/650.%20%D0%91%D0%BE%D0%BB%D1%8C%D1%88%D0%B0%D1%8F%20%D0%A7%D0%B5%D1%80%D1%91%D0%BC%D1%83%D1%88%D0%BA%D0%B8%D0%BD%D1%81%D0%BA%D0%B0%D1%8F%20%D0%B7!%D1%83%2026%20(%D1%80%D0%B5%D1%84%D0%B8%D0%BD%D0%B0%D0%BD%D1%81%D0%B8%D1%80%D0%BE%D0%B2%D0%B0%D0%BD%D0%B8%D0%B5)</v>
      </c>
      <c r="J844" s="50">
        <f>IFERROR(__xludf.DUMMYFUNCTION("""COMPUTED_VALUE"""),0.75)</f>
        <v>0.75</v>
      </c>
      <c r="K844" s="58">
        <f>IFERROR(__xludf.DUMMYFUNCTION("""COMPUTED_VALUE"""),45966.0)</f>
        <v>45966</v>
      </c>
      <c r="L844" s="6">
        <v>30.0</v>
      </c>
      <c r="M844" s="52">
        <v>45996.0</v>
      </c>
      <c r="N844" s="53" t="s">
        <v>711</v>
      </c>
      <c r="O844" s="19" t="s">
        <v>1149</v>
      </c>
      <c r="P844" s="6"/>
      <c r="Q844" s="6" t="str">
        <f t="shared" si="1"/>
        <v>#N/A</v>
      </c>
      <c r="R844" s="6"/>
    </row>
    <row r="845" hidden="1">
      <c r="A845" s="31" t="str">
        <f>IFERROR(__xludf.DUMMYFUNCTION("""COMPUTED_VALUE"""),"564")</f>
        <v>564</v>
      </c>
      <c r="B845" s="14" t="str">
        <f>IFERROR(__xludf.DUMMYFUNCTION("""COMPUTED_VALUE"""),"РЕН-26")</f>
        <v>РЕН-26</v>
      </c>
      <c r="C845" s="14" t="str">
        <f>IFERROR(__xludf.DUMMYFUNCTION("""COMPUTED_VALUE"""),"ОКС")</f>
        <v>ОКС</v>
      </c>
      <c r="D845" s="6"/>
      <c r="E845" s="14" t="str">
        <f>IFERROR(__xludf.DUMMYFUNCTION("""COMPUTED_VALUE"""),"ул. Лётчика Бабушкина, з/у 29/5 (Летчика Бабушкина ул., вл. 29, корп. 5), зона № 3.1 СВАО, Бабушкинский, улица Лётчика Бабушкина, земельный участок 29/5, мкр.10,13, зона №  3.1 (Летчика Бабушкина ул., вл. 29, корп. 5) 									")</f>
        <v>ул. Лётчика Бабушкина, з/у 29/5 (Летчика Бабушкина ул., вл. 29, корп. 5), зона № 3.1 СВАО, Бабушкинский, улица Лётчика Бабушкина, земельный участок 29/5, мкр.10,13, зона №  3.1 (Летчика Бабушкина ул., вл. 29, корп. 5) 									</v>
      </c>
      <c r="F845" s="25" t="str">
        <f>IFERROR(__xludf.DUMMYFUNCTION("""COMPUTED_VALUE"""),"55.870315")</f>
        <v>55.870315</v>
      </c>
      <c r="G845" s="6" t="str">
        <f>IFERROR(__xludf.DUMMYFUNCTION("""COMPUTED_VALUE"""),"37.673746")</f>
        <v>37.673746</v>
      </c>
      <c r="H845" s="18" t="str">
        <f>IFERROR(__xludf.DUMMYFUNCTION("""COMPUTED_VALUE"""),"https://docs.google.com/spreadsheets/d/1rbCD10ySi4YZEkJW2_Slmn9z7AI1WEsGsZaIJmnnT18/edit?gid=1455966079#gid=1455966079")</f>
        <v>https://docs.google.com/spreadsheets/d/1rbCD10ySi4YZEkJW2_Slmn9z7AI1WEsGsZaIJmnnT18/edit?gid=1455966079#gid=1455966079</v>
      </c>
      <c r="I845" s="19" t="str">
        <f>IFERROR(__xludf.DUMMYFUNCTION("""COMPUTED_VALUE"""),"https://disk.yandex.ru/client/disk/Осмотры%20объектов%20АНО%20СМГ/564.%20ул.%20Лётчика%20Бабушкина%2C%20з.у.%2029.5")</f>
        <v>https://disk.yandex.ru/client/disk/Осмотры%20объектов%20АНО%20СМГ/564.%20ул.%20Лётчика%20Бабушкина%2C%20з.у.%2029.5</v>
      </c>
      <c r="J845" s="50">
        <f>IFERROR(__xludf.DUMMYFUNCTION("""COMPUTED_VALUE"""),55.97624999999999)</f>
        <v>55.97625</v>
      </c>
      <c r="K845" s="58">
        <f>IFERROR(__xludf.DUMMYFUNCTION("""COMPUTED_VALUE"""),45972.0)</f>
        <v>45972</v>
      </c>
      <c r="L845" s="6">
        <v>14.0</v>
      </c>
      <c r="M845" s="52">
        <v>45986.0</v>
      </c>
      <c r="N845" s="53" t="s">
        <v>711</v>
      </c>
      <c r="O845" s="19" t="s">
        <v>669</v>
      </c>
      <c r="P845" s="6"/>
      <c r="Q845" s="6" t="str">
        <f t="shared" si="1"/>
        <v>#N/A</v>
      </c>
      <c r="R845" s="6"/>
    </row>
    <row r="846" hidden="1">
      <c r="A846" s="31" t="str">
        <f>IFERROR(__xludf.DUMMYFUNCTION("""COMPUTED_VALUE"""),"550")</f>
        <v>550</v>
      </c>
      <c r="B846" s="14" t="str">
        <f>IFERROR(__xludf.DUMMYFUNCTION("""COMPUTED_VALUE"""),"РЕН-26")</f>
        <v>РЕН-26</v>
      </c>
      <c r="C846" s="14" t="str">
        <f>IFERROR(__xludf.DUMMYFUNCTION("""COMPUTED_VALUE"""),"ОКС")</f>
        <v>ОКС</v>
      </c>
      <c r="D846" s="6"/>
      <c r="E846" s="14" t="str">
        <f>IFERROR(__xludf.DUMMYFUNCTION("""COMPUTED_VALUE"""),"гор.Щербинка, 40 лет Октября ул., з/у 12 ТиНАО, г.о. Щербинка,  ул. 40 лет Октября, з/у 12 (Симферопольская ул., д. 2, ул. 40 лет Октября, д. 12, д. 16/1)")</f>
        <v>гор.Щербинка, 40 лет Октября ул., з/у 12 ТиНАО, г.о. Щербинка,  ул. 40 лет Октября, з/у 12 (Симферопольская ул., д. 2, ул. 40 лет Октября, д. 12, д. 16/1)</v>
      </c>
      <c r="F846" s="25" t="str">
        <f>IFERROR(__xludf.DUMMYFUNCTION("""COMPUTED_VALUE"""),"55.510648")</f>
        <v>55.510648</v>
      </c>
      <c r="G846" s="6" t="str">
        <f>IFERROR(__xludf.DUMMYFUNCTION("""COMPUTED_VALUE"""),"37.572771")</f>
        <v>37.572771</v>
      </c>
      <c r="H846" s="18" t="str">
        <f>IFERROR(__xludf.DUMMYFUNCTION("""COMPUTED_VALUE"""),"https://docs.google.com/spreadsheets/d/1rbCD10ySi4YZEkJW2_Slmn9z7AI1WEsGsZaIJmnnT18/edit?gid=811633138#gid=811633138")</f>
        <v>https://docs.google.com/spreadsheets/d/1rbCD10ySi4YZEkJW2_Slmn9z7AI1WEsGsZaIJmnnT18/edit?gid=811633138#gid=811633138</v>
      </c>
      <c r="I846" s="19" t="str">
        <f>IFERROR(__xludf.DUMMYFUNCTION("""COMPUTED_VALUE"""),"https://disk.yandex.ru/client/disk/Осмотры%20объектов%20АНО%20СМГ/550.%20г.о.%20Щербинка%2C%20ул.%2040%20лет%20Октября%2C%20з.у%2012%20Симферопольская%20ул.%2C%20д.%202%2C%20ул.%2040%20лет%20Октября%2C%20д.%2012%2C%20д.%2016.1)")</f>
        <v>https://disk.yandex.ru/client/disk/Осмотры%20объектов%20АНО%20СМГ/550.%20г.о.%20Щербинка%2C%20ул.%2040%20лет%20Октября%2C%20з.у%2012%20Симферопольская%20ул.%2C%20д.%202%2C%20ул.%2040%20лет%20Октября%2C%20д.%2012%2C%20д.%2016.1)</v>
      </c>
      <c r="J846" s="50">
        <f>IFERROR(__xludf.DUMMYFUNCTION("""COMPUTED_VALUE"""),22.826399999999996)</f>
        <v>22.8264</v>
      </c>
      <c r="K846" s="58">
        <f>IFERROR(__xludf.DUMMYFUNCTION("""COMPUTED_VALUE"""),45968.0)</f>
        <v>45968</v>
      </c>
      <c r="L846" s="6">
        <v>30.0</v>
      </c>
      <c r="M846" s="52">
        <v>45998.0</v>
      </c>
      <c r="N846" s="53" t="s">
        <v>711</v>
      </c>
      <c r="O846" s="19" t="s">
        <v>1150</v>
      </c>
      <c r="P846" s="6"/>
      <c r="Q846" s="6" t="str">
        <f t="shared" si="1"/>
        <v>#N/A</v>
      </c>
      <c r="R846" s="6"/>
    </row>
    <row r="847" hidden="1">
      <c r="A847" s="31" t="str">
        <f>IFERROR(__xludf.DUMMYFUNCTION("""COMPUTED_VALUE"""),"655")</f>
        <v>655</v>
      </c>
      <c r="B847" s="14" t="str">
        <f>IFERROR(__xludf.DUMMYFUNCTION("""COMPUTED_VALUE"""),"РЕН-26")</f>
        <v>РЕН-26</v>
      </c>
      <c r="C847" s="14" t="str">
        <f>IFERROR(__xludf.DUMMYFUNCTION("""COMPUTED_VALUE"""),"ОКС")</f>
        <v>ОКС</v>
      </c>
      <c r="D847" s="6"/>
      <c r="E847" s="14" t="str">
        <f>IFERROR(__xludf.DUMMYFUNCTION("""COMPUTED_VALUE"""),"ул. Корнейчука, вл.47А СВАО, район Бибирево, ул. Корнейчука, вл. 47А (со сносом здания по адресу: ул. Корнейчука, д. 47А)")</f>
        <v>ул. Корнейчука, вл.47А СВАО, район Бибирево, ул. Корнейчука, вл. 47А (со сносом здания по адресу: ул. Корнейчука, д. 47А)</v>
      </c>
      <c r="F847" s="25" t="str">
        <f>IFERROR(__xludf.DUMMYFUNCTION("""COMPUTED_VALUE"""),"55.893110")</f>
        <v>55.893110</v>
      </c>
      <c r="G847" s="6" t="str">
        <f>IFERROR(__xludf.DUMMYFUNCTION("""COMPUTED_VALUE"""),"37.630685")</f>
        <v>37.630685</v>
      </c>
      <c r="H847" s="18" t="str">
        <f>IFERROR(__xludf.DUMMYFUNCTION("""COMPUTED_VALUE"""),"https://docs.google.com/spreadsheets/d/1rbCD10ySi4YZEkJW2_Slmn9z7AI1WEsGsZaIJmnnT18/edit?gid=1300345470#gid=1300345470")</f>
        <v>https://docs.google.com/spreadsheets/d/1rbCD10ySi4YZEkJW2_Slmn9z7AI1WEsGsZaIJmnnT18/edit?gid=1300345470#gid=1300345470</v>
      </c>
      <c r="I847" s="19" t="str">
        <f>IFERROR(__xludf.DUMMYFUNCTION("""COMPUTED_VALUE"""),"https://disk.yandex.ru/client/disk/Осмотры%20объектов%20АНО%20СМГ/655.%20ул.%20Корнейчука%2C%20вл.%2047%20А")</f>
        <v>https://disk.yandex.ru/client/disk/Осмотры%20объектов%20АНО%20СМГ/655.%20ул.%20Корнейчука%2C%20вл.%2047%20А</v>
      </c>
      <c r="J847" s="50">
        <f>IFERROR(__xludf.DUMMYFUNCTION("""COMPUTED_VALUE"""),34.077884999999995)</f>
        <v>34.077885</v>
      </c>
      <c r="K847" s="58">
        <f>IFERROR(__xludf.DUMMYFUNCTION("""COMPUTED_VALUE"""),45961.0)</f>
        <v>45961</v>
      </c>
      <c r="L847" s="6">
        <v>30.0</v>
      </c>
      <c r="M847" s="52">
        <v>45991.0</v>
      </c>
      <c r="N847" s="53" t="s">
        <v>692</v>
      </c>
      <c r="O847" s="19" t="s">
        <v>669</v>
      </c>
      <c r="P847" s="6"/>
      <c r="Q847" s="6" t="str">
        <f t="shared" si="1"/>
        <v>#N/A</v>
      </c>
      <c r="R847" s="6"/>
    </row>
    <row r="848" hidden="1">
      <c r="A848" s="31" t="str">
        <f>IFERROR(__xludf.DUMMYFUNCTION("""COMPUTED_VALUE"""),"712")</f>
        <v>712</v>
      </c>
      <c r="B848" s="14" t="str">
        <f>IFERROR(__xludf.DUMMYFUNCTION("""COMPUTED_VALUE"""),"РЕН-26")</f>
        <v>РЕН-26</v>
      </c>
      <c r="C848" s="14" t="str">
        <f>IFERROR(__xludf.DUMMYFUNCTION("""COMPUTED_VALUE"""),"ОКС")</f>
        <v>ОКС</v>
      </c>
      <c r="D848" s="6"/>
      <c r="E848" s="14" t="str">
        <f>IFERROR(__xludf.DUMMYFUNCTION("""COMPUTED_VALUE"""),"ул.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f>
        <v>ул. Большая Очаковская, з/у 45А (Большая Очаковская ул., вл.45А) ЗАО, район Очаково - Матвеевское, Большая Очаковская, влд. 45А, квартал 2,4 зона 15.1 (со сносом жилых зданий по адресу: ул. Большая Очаковская, 45 к.1, ул. Проектируемый проезд №1980, д.3)</v>
      </c>
      <c r="F848" s="25" t="str">
        <f>IFERROR(__xludf.DUMMYFUNCTION("""COMPUTED_VALUE"""),"55.674464")</f>
        <v>55.674464</v>
      </c>
      <c r="G848" s="6" t="str">
        <f>IFERROR(__xludf.DUMMYFUNCTION("""COMPUTED_VALUE"""),"37.446148")</f>
        <v>37.446148</v>
      </c>
      <c r="H848" s="18" t="str">
        <f>IFERROR(__xludf.DUMMYFUNCTION("""COMPUTED_VALUE"""),"https://docs.google.com/spreadsheets/d/1rbCD10ySi4YZEkJW2_Slmn9z7AI1WEsGsZaIJmnnT18/edit?gid=1525507838#gid=1525507838")</f>
        <v>https://docs.google.com/spreadsheets/d/1rbCD10ySi4YZEkJW2_Slmn9z7AI1WEsGsZaIJmnnT18/edit?gid=1525507838#gid=1525507838</v>
      </c>
      <c r="I848" s="19" t="str">
        <f>IFERROR(__xludf.DUMMYFUNCTION("""COMPUTED_VALUE"""),"https://disk.yandex.ru/client/disk/Осмотры%20объектов%20АНО%20СМГ/712.%20Большая%20Очаковская%2C%20влд.%2045А%2C%20квартал%202%2C4%20зона%2015.1")</f>
        <v>https://disk.yandex.ru/client/disk/Осмотры%20объектов%20АНО%20СМГ/712.%20Большая%20Очаковская%2C%20влд.%2045А%2C%20квартал%202%2C4%20зона%2015.1</v>
      </c>
      <c r="J848" s="50">
        <f>IFERROR(__xludf.DUMMYFUNCTION("""COMPUTED_VALUE"""),17.1978)</f>
        <v>17.1978</v>
      </c>
      <c r="K848" s="58">
        <f>IFERROR(__xludf.DUMMYFUNCTION("""COMPUTED_VALUE"""),45968.0)</f>
        <v>45968</v>
      </c>
      <c r="L848" s="6">
        <v>30.0</v>
      </c>
      <c r="M848" s="52">
        <v>45998.0</v>
      </c>
      <c r="N848" s="53" t="s">
        <v>711</v>
      </c>
      <c r="O848" s="19" t="s">
        <v>669</v>
      </c>
      <c r="P848" s="6"/>
      <c r="Q848" s="6" t="str">
        <f t="shared" si="1"/>
        <v>#N/A</v>
      </c>
      <c r="R848" s="6"/>
    </row>
    <row r="849" hidden="1">
      <c r="A849" s="31" t="str">
        <f>IFERROR(__xludf.DUMMYFUNCTION("""COMPUTED_VALUE"""),"698")</f>
        <v>698</v>
      </c>
      <c r="B849" s="14" t="str">
        <f>IFERROR(__xludf.DUMMYFUNCTION("""COMPUTED_VALUE"""),"РЕН-26")</f>
        <v>РЕН-26</v>
      </c>
      <c r="C849" s="14" t="str">
        <f>IFERROR(__xludf.DUMMYFUNCTION("""COMPUTED_VALUE"""),"ОКС")</f>
        <v>ОКС</v>
      </c>
      <c r="D849" s="6"/>
      <c r="E849" s="14" t="str">
        <f>IFERROR(__xludf.DUMMYFUNCTION("""COMPUTED_VALUE"""),"Шишкин Лес, зона 6.2 ТАО, пос. Михайлово-Ярцевское, п. Шишкин Лес, з/у 5 зона №  6.2")</f>
        <v>Шишкин Лес, зона 6.2 ТАО, пос. Михайлово-Ярцевское, п. Шишкин Лес, з/у 5 зона №  6.2</v>
      </c>
      <c r="F849" s="25" t="str">
        <f>IFERROR(__xludf.DUMMYFUNCTION("""COMPUTED_VALUE"""),"55.413660")</f>
        <v>55.413660</v>
      </c>
      <c r="G849" s="6" t="str">
        <f>IFERROR(__xludf.DUMMYFUNCTION("""COMPUTED_VALUE"""),"37.192563")</f>
        <v>37.192563</v>
      </c>
      <c r="H849" s="18" t="str">
        <f>IFERROR(__xludf.DUMMYFUNCTION("""COMPUTED_VALUE"""),"https://docs.google.com/spreadsheets/d/1rbCD10ySi4YZEkJW2_Slmn9z7AI1WEsGsZaIJmnnT18/edit?gid=1721879742#gid=1721879742")</f>
        <v>https://docs.google.com/spreadsheets/d/1rbCD10ySi4YZEkJW2_Slmn9z7AI1WEsGsZaIJmnnT18/edit?gid=1721879742#gid=1721879742</v>
      </c>
      <c r="I849" s="19" t="str">
        <f>IFERROR(__xludf.DUMMYFUNCTION("""COMPUTED_VALUE"""),"https://disk.yandex.ru/client/disk/Осмотры%20объектов%20АНО%20СМГ/698.%20пос.%20Михайлово-Ярцевское%2C%20п.%20Шишкин%20Лес%2C%20зу%205%20зона%20№%206.2")</f>
        <v>https://disk.yandex.ru/client/disk/Осмотры%20объектов%20АНО%20СМГ/698.%20пос.%20Михайлово-Ярцевское%2C%20п.%20Шишкин%20Лес%2C%20зу%205%20зона%20№%206.2</v>
      </c>
      <c r="J849" s="50">
        <f>IFERROR(__xludf.DUMMYFUNCTION("""COMPUTED_VALUE"""),5.609999999999999)</f>
        <v>5.61</v>
      </c>
      <c r="K849" s="58">
        <f>IFERROR(__xludf.DUMMYFUNCTION("""COMPUTED_VALUE"""),45968.0)</f>
        <v>45968</v>
      </c>
      <c r="L849" s="6">
        <v>30.0</v>
      </c>
      <c r="M849" s="52">
        <v>45998.0</v>
      </c>
      <c r="N849" s="53" t="s">
        <v>711</v>
      </c>
      <c r="O849" s="19" t="s">
        <v>669</v>
      </c>
      <c r="P849" s="6"/>
      <c r="Q849" s="6" t="str">
        <f t="shared" si="1"/>
        <v>#N/A</v>
      </c>
      <c r="R849" s="6"/>
    </row>
    <row r="850" hidden="1">
      <c r="A850" s="31" t="str">
        <f>IFERROR(__xludf.DUMMYFUNCTION("""COMPUTED_VALUE"""),"582")</f>
        <v>582</v>
      </c>
      <c r="B850" s="14" t="str">
        <f>IFERROR(__xludf.DUMMYFUNCTION("""COMPUTED_VALUE"""),"РЕН-26")</f>
        <v>РЕН-26</v>
      </c>
      <c r="C850" s="14" t="str">
        <f>IFERROR(__xludf.DUMMYFUNCTION("""COMPUTED_VALUE"""),"ОКС")</f>
        <v>ОКС</v>
      </c>
      <c r="D850" s="6"/>
      <c r="E850" s="14" t="str">
        <f>IFERROR(__xludf.DUMMYFUNCTION("""COMPUTED_VALUE"""),"ул. Профсоюзная, з/у 60 (участок 3.2) ЮЗАО, района Обручевский, Профсоюзная улица, зу 60 квартал 26-27, зона № 3.2 (со сносом жилых зданий по адресам: Профсоюзная улица, дом 60, корпус 1; Профсоюзная улица, дом 60, корпус 2) (рефинансирование)")</f>
        <v>ул. Профсоюзная, з/у 60 (участок 3.2) ЮЗАО, района Обручевский, Профсоюзная улица, зу 60 квартал 26-27, зона № 3.2 (со сносом жилых зданий по адресам: Профсоюзная улица, дом 60, корпус 1; Профсоюзная улица, дом 60, корпус 2) (рефинансирование)</v>
      </c>
      <c r="F850" s="25" t="str">
        <f>IFERROR(__xludf.DUMMYFUNCTION("""COMPUTED_VALUE"""),"55.668230")</f>
        <v>55.668230</v>
      </c>
      <c r="G850" s="6" t="str">
        <f>IFERROR(__xludf.DUMMYFUNCTION("""COMPUTED_VALUE"""),"37.551306")</f>
        <v>37.551306</v>
      </c>
      <c r="H850" s="18" t="str">
        <f>IFERROR(__xludf.DUMMYFUNCTION("""COMPUTED_VALUE"""),"https://docs.google.com/spreadsheets/d/1rbCD10ySi4YZEkJW2_Slmn9z7AI1WEsGsZaIJmnnT18/edit?gid=1735599010#gid=1735599010")</f>
        <v>https://docs.google.com/spreadsheets/d/1rbCD10ySi4YZEkJW2_Slmn9z7AI1WEsGsZaIJmnnT18/edit?gid=1735599010#gid=1735599010</v>
      </c>
      <c r="I850" s="19" t="str">
        <f>IFERROR(__xludf.DUMMYFUNCTION("""COMPUTED_VALUE"""),"https://disk.yandex.ru/client/disk/Осмотры%20объектов%20АНО%20СМГ/582.%20Профсоюзная%20з!у%2060%20(участок%203.2)")</f>
        <v>https://disk.yandex.ru/client/disk/Осмотры%20объектов%20АНО%20СМГ/582.%20Профсоюзная%20з!у%2060%20(участок%203.2)</v>
      </c>
      <c r="J850" s="50">
        <f>IFERROR(__xludf.DUMMYFUNCTION("""COMPUTED_VALUE"""),31.918649999999992)</f>
        <v>31.91865</v>
      </c>
      <c r="K850" s="58">
        <f>IFERROR(__xludf.DUMMYFUNCTION("""COMPUTED_VALUE"""),45972.0)</f>
        <v>45972</v>
      </c>
      <c r="L850" s="6">
        <v>30.0</v>
      </c>
      <c r="M850" s="52">
        <v>46002.0</v>
      </c>
      <c r="N850" s="53" t="s">
        <v>711</v>
      </c>
      <c r="O850" s="19" t="s">
        <v>669</v>
      </c>
      <c r="P850" s="6"/>
      <c r="Q850" s="6" t="str">
        <f t="shared" si="1"/>
        <v>#N/A</v>
      </c>
      <c r="R850" s="6"/>
    </row>
    <row r="851" hidden="1">
      <c r="A851" s="31" t="str">
        <f>IFERROR(__xludf.DUMMYFUNCTION("""COMPUTED_VALUE"""),"653")</f>
        <v>653</v>
      </c>
      <c r="B851" s="14" t="str">
        <f>IFERROR(__xludf.DUMMYFUNCTION("""COMPUTED_VALUE"""),"РЕН-26")</f>
        <v>РЕН-26</v>
      </c>
      <c r="C851" s="14" t="str">
        <f>IFERROR(__xludf.DUMMYFUNCTION("""COMPUTED_VALUE"""),"ОКС")</f>
        <v>ОКС</v>
      </c>
      <c r="D851" s="6"/>
      <c r="E851" s="14" t="str">
        <f>IFERROR(__xludf.DUMMYFUNCTION("""COMPUTED_VALUE"""),"ул.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ул"&amp;". Госпитальный Вал, д.5, стр.20 и жилого дома по адресу: ул. Госпитальный Вал, д.5, к.10)")</f>
        <v>ул. Госпитальный Вал, вл.5, корп.10 , ул. Госпитальный Вал, д.5, стр.20; ул. Госпитальный Вал, д.5, к.10) ЦАО, район Басманный, ул. Госпитальный Вал, вл.5, корп.20 (со сносом нежилого здания ГБОУ школа на Яузе Дошкольное отделение корпус № 7 по адресу: ул. Госпитальный Вал, д.5, стр.20 и жилого дома по адресу: ул. Госпитальный Вал, д.5, к.10)</v>
      </c>
      <c r="F851" s="25" t="str">
        <f>IFERROR(__xludf.DUMMYFUNCTION("""COMPUTED_VALUE"""),"55.772856")</f>
        <v>55.772856</v>
      </c>
      <c r="G851" s="6" t="str">
        <f>IFERROR(__xludf.DUMMYFUNCTION("""COMPUTED_VALUE"""),"37.708026")</f>
        <v>37.708026</v>
      </c>
      <c r="H851" s="18" t="str">
        <f>IFERROR(__xludf.DUMMYFUNCTION("""COMPUTED_VALUE"""),"https://docs.google.com/spreadsheets/d/1rbCD10ySi4YZEkJW2_Slmn9z7AI1WEsGsZaIJmnnT18/edit?gid=1637195585#gid=1637195585")</f>
        <v>https://docs.google.com/spreadsheets/d/1rbCD10ySi4YZEkJW2_Slmn9z7AI1WEsGsZaIJmnnT18/edit?gid=1637195585#gid=1637195585</v>
      </c>
      <c r="I851" s="19" t="str">
        <f>IFERROR(__xludf.DUMMYFUNCTION("""COMPUTED_VALUE"""),"https://disk.yandex.ru/client/disk/Осмотры%20объектов%20АНО%20СМГ/653.%20Госпитальный%20Вал%20ул.%2C%20вл.%205%2C%20Корп.20")</f>
        <v>https://disk.yandex.ru/client/disk/Осмотры%20объектов%20АНО%20СМГ/653.%20Госпитальный%20Вал%20ул.%2C%20вл.%205%2C%20Корп.20</v>
      </c>
      <c r="J851" s="50">
        <f>IFERROR(__xludf.DUMMYFUNCTION("""COMPUTED_VALUE"""),8.827979999999998)</f>
        <v>8.82798</v>
      </c>
      <c r="K851" s="58">
        <f>IFERROR(__xludf.DUMMYFUNCTION("""COMPUTED_VALUE"""),45960.0)</f>
        <v>45960</v>
      </c>
      <c r="L851" s="6">
        <v>30.0</v>
      </c>
      <c r="M851" s="52">
        <v>45990.0</v>
      </c>
      <c r="N851" s="53" t="s">
        <v>692</v>
      </c>
      <c r="O851" s="19" t="s">
        <v>669</v>
      </c>
      <c r="P851" s="6"/>
      <c r="Q851" s="6" t="str">
        <f t="shared" si="1"/>
        <v>#N/A</v>
      </c>
      <c r="R851" s="6"/>
    </row>
    <row r="852" hidden="1">
      <c r="A852" s="31" t="str">
        <f>IFERROR(__xludf.DUMMYFUNCTION("""COMPUTED_VALUE"""),"694")</f>
        <v>694</v>
      </c>
      <c r="B852" s="14" t="str">
        <f>IFERROR(__xludf.DUMMYFUNCTION("""COMPUTED_VALUE"""),"РЕН-26")</f>
        <v>РЕН-26</v>
      </c>
      <c r="C852" s="14" t="str">
        <f>IFERROR(__xludf.DUMMYFUNCTION("""COMPUTED_VALUE"""),"ОКС")</f>
        <v>ОКС</v>
      </c>
      <c r="D852" s="6"/>
      <c r="E852" s="14" t="str">
        <f>IFERROR(__xludf.DUMMYFUNCTION("""COMPUTED_VALUE"""),"ул. Госпитальный Вал, вл.3 ЦАО, район Басманный, ул. Госпитальный Вал, вл.3 (со сносом жилых домов по адресам: 
ул. Госпитальный Вал, д.3 и д.3, корп.1)")</f>
        <v>ул. Госпитальный Вал, вл.3 ЦАО, район Басманный, ул. Госпитальный Вал, вл.3 (со сносом жилых домов по адресам: 
ул. Госпитальный Вал, д.3 и д.3, корп.1)</v>
      </c>
      <c r="F852" s="25" t="str">
        <f>IFERROR(__xludf.DUMMYFUNCTION("""COMPUTED_VALUE"""),"55.772318")</f>
        <v>55.772318</v>
      </c>
      <c r="G852" s="6" t="str">
        <f>IFERROR(__xludf.DUMMYFUNCTION("""COMPUTED_VALUE"""),"37.706787")</f>
        <v>37.706787</v>
      </c>
      <c r="H852" s="18" t="str">
        <f>IFERROR(__xludf.DUMMYFUNCTION("""COMPUTED_VALUE"""),"https://docs.google.com/spreadsheets/d/1rbCD10ySi4YZEkJW2_Slmn9z7AI1WEsGsZaIJmnnT18/edit?gid=1429286292#gid=1429286292")</f>
        <v>https://docs.google.com/spreadsheets/d/1rbCD10ySi4YZEkJW2_Slmn9z7AI1WEsGsZaIJmnnT18/edit?gid=1429286292#gid=1429286292</v>
      </c>
      <c r="I852" s="19" t="str">
        <f>IFERROR(__xludf.DUMMYFUNCTION("""COMPUTED_VALUE"""),"https://disk.yandex.ru/client/disk/Осмотры%20объектов%20АНО%20СМГ/694.%20Госпитальный%20Вал%20ул.%2C%20вл.%203")</f>
        <v>https://disk.yandex.ru/client/disk/Осмотры%20объектов%20АНО%20СМГ/694.%20Госпитальный%20Вал%20ул.%2C%20вл.%203</v>
      </c>
      <c r="J852" s="50">
        <f>IFERROR(__xludf.DUMMYFUNCTION("""COMPUTED_VALUE"""),8.10798)</f>
        <v>8.10798</v>
      </c>
      <c r="K852" s="58">
        <f>IFERROR(__xludf.DUMMYFUNCTION("""COMPUTED_VALUE"""),45960.0)</f>
        <v>45960</v>
      </c>
      <c r="L852" s="6">
        <v>30.0</v>
      </c>
      <c r="M852" s="52">
        <v>45990.0</v>
      </c>
      <c r="N852" s="53" t="s">
        <v>692</v>
      </c>
      <c r="O852" s="19" t="s">
        <v>669</v>
      </c>
      <c r="P852" s="6"/>
      <c r="Q852" s="6" t="str">
        <f t="shared" si="1"/>
        <v>#N/A</v>
      </c>
      <c r="R852" s="6"/>
    </row>
    <row r="853" hidden="1">
      <c r="A853" s="31" t="str">
        <f>IFERROR(__xludf.DUMMYFUNCTION("""COMPUTED_VALUE"""),"966")</f>
        <v>966</v>
      </c>
      <c r="B853" s="14" t="str">
        <f>IFERROR(__xludf.DUMMYFUNCTION("""COMPUTED_VALUE"""),"РЕН-26")</f>
        <v>РЕН-26</v>
      </c>
      <c r="C853" s="14" t="str">
        <f>IFERROR(__xludf.DUMMYFUNCTION("""COMPUTED_VALUE"""),"ОКС")</f>
        <v>ОКС</v>
      </c>
      <c r="D853" s="6"/>
      <c r="E853" s="14" t="str">
        <f>IFERROR(__xludf.DUMMYFUNCTION("""COMPUTED_VALUE"""),"Сельскохозяйственная ул., вл. 18, корп. 6 г. Москва, внутригородское муниципальное образование Ростокино, Сельскохозяйственная ул., вл. 18, корп. 6, Северо-Восточный административный округ")</f>
        <v>Сельскохозяйственная ул., вл. 18, корп. 6 г. Москва, внутригородское муниципальное образование Ростокино, Сельскохозяйственная ул., вл. 18, корп. 6, Северо-Восточный административный округ</v>
      </c>
      <c r="F853" s="25" t="str">
        <f>IFERROR(__xludf.DUMMYFUNCTION("""COMPUTED_VALUE"""),"55.837724")</f>
        <v>55.837724</v>
      </c>
      <c r="G853" s="6" t="str">
        <f>IFERROR(__xludf.DUMMYFUNCTION("""COMPUTED_VALUE"""),"37.644822")</f>
        <v>37.644822</v>
      </c>
      <c r="H853" s="18" t="str">
        <f>IFERROR(__xludf.DUMMYFUNCTION("""COMPUTED_VALUE"""),"https://docs.google.com/spreadsheets/d/1rbCD10ySi4YZEkJW2_Slmn9z7AI1WEsGsZaIJmnnT18/edit?gid=1239547160#gid=1239547160")</f>
        <v>https://docs.google.com/spreadsheets/d/1rbCD10ySi4YZEkJW2_Slmn9z7AI1WEsGsZaIJmnnT18/edit?gid=1239547160#gid=1239547160</v>
      </c>
      <c r="I853" s="19" t="str">
        <f>IFERROR(__xludf.DUMMYFUNCTION("""COMPUTED_VALUE"""),"https://disk.yandex.ru/client/disk/Осмотры%20объектов%20АНО%20СМГ/966.%20Сельскохозяйственная%20ул.%2C%20вл.%2018%2C%20корп.%206")</f>
        <v>https://disk.yandex.ru/client/disk/Осмотры%20объектов%20АНО%20СМГ/966.%20Сельскохозяйственная%20ул.%2C%20вл.%2018%2C%20корп.%206</v>
      </c>
      <c r="J853" s="50">
        <f>IFERROR(__xludf.DUMMYFUNCTION("""COMPUTED_VALUE"""),0.0)</f>
        <v>0</v>
      </c>
      <c r="K853" s="58">
        <f>IFERROR(__xludf.DUMMYFUNCTION("""COMPUTED_VALUE"""),45960.0)</f>
        <v>45960</v>
      </c>
      <c r="L853" s="6">
        <v>30.0</v>
      </c>
      <c r="M853" s="52">
        <v>45990.0</v>
      </c>
      <c r="N853" s="53" t="s">
        <v>692</v>
      </c>
      <c r="O853" s="19" t="s">
        <v>1151</v>
      </c>
      <c r="P853" s="6"/>
      <c r="Q853" s="6" t="str">
        <f t="shared" si="1"/>
        <v>#N/A</v>
      </c>
      <c r="R853" s="6"/>
    </row>
    <row r="854" hidden="1">
      <c r="A854" s="31" t="str">
        <f>IFERROR(__xludf.DUMMYFUNCTION("""COMPUTED_VALUE"""),"666")</f>
        <v>666</v>
      </c>
      <c r="B854" s="14" t="str">
        <f>IFERROR(__xludf.DUMMYFUNCTION("""COMPUTED_VALUE"""),"РЕН-26")</f>
        <v>РЕН-26</v>
      </c>
      <c r="C854" s="14" t="str">
        <f>IFERROR(__xludf.DUMMYFUNCTION("""COMPUTED_VALUE"""),"ОКС")</f>
        <v>ОКС</v>
      </c>
      <c r="D854" s="6"/>
      <c r="E854" s="14" t="str">
        <f>IFERROR(__xludf.DUMMYFUNCTION("""COMPUTED_VALUE"""),"ул. Константинова, з/у 2 (ул. Константинова, вл. 2) СВАО, район Алексеевский, ул. Константинова, влд. 2 		")</f>
        <v>ул. Константинова, з/у 2 (ул. Константинова, вл. 2) СВАО, район Алексеевский, ул. Константинова, влд. 2 		</v>
      </c>
      <c r="F854" s="25" t="str">
        <f>IFERROR(__xludf.DUMMYFUNCTION("""COMPUTED_VALUE"""),"55.813415")</f>
        <v>55.813415</v>
      </c>
      <c r="G854" s="6" t="str">
        <f>IFERROR(__xludf.DUMMYFUNCTION("""COMPUTED_VALUE"""),"37.652562")</f>
        <v>37.652562</v>
      </c>
      <c r="H854" s="18" t="str">
        <f>IFERROR(__xludf.DUMMYFUNCTION("""COMPUTED_VALUE"""),"https://docs.google.com/spreadsheets/d/1rbCD10ySi4YZEkJW2_Slmn9z7AI1WEsGsZaIJmnnT18/edit?gid=989644917#gid=989644917")</f>
        <v>https://docs.google.com/spreadsheets/d/1rbCD10ySi4YZEkJW2_Slmn9z7AI1WEsGsZaIJmnnT18/edit?gid=989644917#gid=989644917</v>
      </c>
      <c r="I854" s="19" t="str">
        <f>IFERROR(__xludf.DUMMYFUNCTION("""COMPUTED_VALUE"""),"https://disk.yandex.ru/client/disk/Осмотры%20объектов%20АНО%20СМГ/666.%20Константинова%20ул.%2C%20вл.%202")</f>
        <v>https://disk.yandex.ru/client/disk/Осмотры%20объектов%20АНО%20СМГ/666.%20Константинова%20ул.%2C%20вл.%202</v>
      </c>
      <c r="J854" s="50">
        <f>IFERROR(__xludf.DUMMYFUNCTION("""COMPUTED_VALUE"""),14.148)</f>
        <v>14.148</v>
      </c>
      <c r="K854" s="58">
        <f>IFERROR(__xludf.DUMMYFUNCTION("""COMPUTED_VALUE"""),45960.0)</f>
        <v>45960</v>
      </c>
      <c r="L854" s="6">
        <v>30.0</v>
      </c>
      <c r="M854" s="52">
        <v>45990.0</v>
      </c>
      <c r="N854" s="53" t="s">
        <v>692</v>
      </c>
      <c r="O854" s="19" t="s">
        <v>669</v>
      </c>
      <c r="P854" s="6"/>
      <c r="Q854" s="6" t="str">
        <f t="shared" si="1"/>
        <v>#N/A</v>
      </c>
      <c r="R854" s="6"/>
    </row>
    <row r="855" hidden="1">
      <c r="A855" s="31" t="str">
        <f>IFERROR(__xludf.DUMMYFUNCTION("""COMPUTED_VALUE"""),"577")</f>
        <v>577</v>
      </c>
      <c r="B855" s="14" t="str">
        <f>IFERROR(__xludf.DUMMYFUNCTION("""COMPUTED_VALUE"""),"РЕН-26")</f>
        <v>РЕН-26</v>
      </c>
      <c r="C855" s="14" t="str">
        <f>IFERROR(__xludf.DUMMYFUNCTION("""COMPUTED_VALUE"""),"ОКС")</f>
        <v>ОКС</v>
      </c>
      <c r="D855" s="6"/>
      <c r="E855" s="14" t="str">
        <f>IFERROR(__xludf.DUMMYFUNCTION("""COMPUTED_VALUE"""),"3-й Нижнелихоборский пр-д, вл. 5, стр. 1 (3-й Нижнелихоборский пр-д, вл. 5) САО, район Тимирязевский, 3-й Нижнелихоборский проезд, вл. 5, стр. 1 (3-й Нижнелихоборский проезд, вл. 5)")</f>
        <v>3-й Нижнелихоборский пр-д, вл. 5, стр. 1 (3-й Нижнелихоборский пр-д, вл. 5) САО, район Тимирязевский, 3-й Нижнелихоборский проезд, вл. 5, стр. 1 (3-й Нижнелихоборский проезд, вл. 5)</v>
      </c>
      <c r="F855" s="25" t="str">
        <f>IFERROR(__xludf.DUMMYFUNCTION("""COMPUTED_VALUE"""),"55.846346")</f>
        <v>55.846346</v>
      </c>
      <c r="G855" s="6" t="str">
        <f>IFERROR(__xludf.DUMMYFUNCTION("""COMPUTED_VALUE"""),"37.566002")</f>
        <v>37.566002</v>
      </c>
      <c r="H855" s="18" t="str">
        <f>IFERROR(__xludf.DUMMYFUNCTION("""COMPUTED_VALUE"""),"https://docs.google.com/spreadsheets/d/1rbCD10ySi4YZEkJW2_Slmn9z7AI1WEsGsZaIJmnnT18/edit?gid=2096121583#gid=2096121583")</f>
        <v>https://docs.google.com/spreadsheets/d/1rbCD10ySi4YZEkJW2_Slmn9z7AI1WEsGsZaIJmnnT18/edit?gid=2096121583#gid=2096121583</v>
      </c>
      <c r="I855" s="19" t="str">
        <f>IFERROR(__xludf.DUMMYFUNCTION("""COMPUTED_VALUE"""),"https://disk.yandex.ru/client/disk/Осмотры%20объектов%20АНО%20СМГ/577.%203-й%20Нижнелихоборский%20проезд%2C%20вл.%205")</f>
        <v>https://disk.yandex.ru/client/disk/Осмотры%20объектов%20АНО%20СМГ/577.%203-й%20Нижнелихоборский%20проезд%2C%20вл.%205</v>
      </c>
      <c r="J855" s="50">
        <f>IFERROR(__xludf.DUMMYFUNCTION("""COMPUTED_VALUE"""),7.469999999999999)</f>
        <v>7.47</v>
      </c>
      <c r="K855" s="58">
        <f>IFERROR(__xludf.DUMMYFUNCTION("""COMPUTED_VALUE"""),45971.0)</f>
        <v>45971</v>
      </c>
      <c r="L855" s="6">
        <v>30.0</v>
      </c>
      <c r="M855" s="52">
        <v>46001.0</v>
      </c>
      <c r="N855" s="53" t="s">
        <v>711</v>
      </c>
      <c r="O855" s="19" t="s">
        <v>669</v>
      </c>
      <c r="P855" s="6"/>
      <c r="Q855" s="6" t="str">
        <f t="shared" si="1"/>
        <v>#N/A</v>
      </c>
      <c r="R855" s="6"/>
    </row>
    <row r="856" hidden="1">
      <c r="A856" s="31" t="str">
        <f>IFERROR(__xludf.DUMMYFUNCTION("""COMPUTED_VALUE"""),"961")</f>
        <v>961</v>
      </c>
      <c r="B856" s="14" t="str">
        <f>IFERROR(__xludf.DUMMYFUNCTION("""COMPUTED_VALUE"""),"РЕН-26")</f>
        <v>РЕН-26</v>
      </c>
      <c r="C856" s="14" t="str">
        <f>IFERROR(__xludf.DUMMYFUNCTION("""COMPUTED_VALUE"""),"ОКС")</f>
        <v>ОКС</v>
      </c>
      <c r="D856" s="6"/>
      <c r="E856" s="14" t="str">
        <f>IFERROR(__xludf.DUMMYFUNCTION("""COMPUTED_VALUE"""),"пр-д Береговой, з/у 9/1 (Береговой пр-д, вл.9, корп.1) район Филевский парк, Береговой пр-д, вл. 9, корп. 1")</f>
        <v>пр-д Береговой, з/у 9/1 (Береговой пр-д, вл.9, корп.1) район Филевский парк, Береговой пр-д, вл. 9, корп. 1</v>
      </c>
      <c r="F856" s="25" t="str">
        <f>IFERROR(__xludf.DUMMYFUNCTION("""COMPUTED_VALUE"""),"55.754325")</f>
        <v>55.754325</v>
      </c>
      <c r="G856" s="6" t="str">
        <f>IFERROR(__xludf.DUMMYFUNCTION("""COMPUTED_VALUE"""),"37.504466")</f>
        <v>37.504466</v>
      </c>
      <c r="H856" s="18" t="str">
        <f>IFERROR(__xludf.DUMMYFUNCTION("""COMPUTED_VALUE"""),"https://docs.google.com/spreadsheets/d/1rbCD10ySi4YZEkJW2_Slmn9z7AI1WEsGsZaIJmnnT18/edit?gid=3034090#gid=3034090")</f>
        <v>https://docs.google.com/spreadsheets/d/1rbCD10ySi4YZEkJW2_Slmn9z7AI1WEsGsZaIJmnnT18/edit?gid=3034090#gid=3034090</v>
      </c>
      <c r="I856" s="19" t="str">
        <f>IFERROR(__xludf.DUMMYFUNCTION("""COMPUTED_VALUE"""),"https://disk.yandex.ru/client/disk/Осмотры%20объектов%20АНО%20СМГ/961.%20Жилой%20дом%20Береговой%20проезд%209к1")</f>
        <v>https://disk.yandex.ru/client/disk/Осмотры%20объектов%20АНО%20СМГ/961.%20Жилой%20дом%20Береговой%20проезд%209к1</v>
      </c>
      <c r="J856" s="50">
        <f>IFERROR(__xludf.DUMMYFUNCTION("""COMPUTED_VALUE"""),4.08)</f>
        <v>4.08</v>
      </c>
      <c r="K856" s="58">
        <f>IFERROR(__xludf.DUMMYFUNCTION("""COMPUTED_VALUE"""),45960.0)</f>
        <v>45960</v>
      </c>
      <c r="L856" s="6">
        <v>30.0</v>
      </c>
      <c r="M856" s="52">
        <v>45990.0</v>
      </c>
      <c r="N856" s="53" t="s">
        <v>692</v>
      </c>
      <c r="O856" s="19" t="s">
        <v>669</v>
      </c>
      <c r="P856" s="6"/>
      <c r="Q856" s="6" t="str">
        <f t="shared" si="1"/>
        <v>#N/A</v>
      </c>
      <c r="R856" s="6"/>
    </row>
    <row r="857" hidden="1">
      <c r="A857" s="31" t="str">
        <f>IFERROR(__xludf.DUMMYFUNCTION("""COMPUTED_VALUE"""),"673")</f>
        <v>673</v>
      </c>
      <c r="B857" s="14" t="str">
        <f>IFERROR(__xludf.DUMMYFUNCTION("""COMPUTED_VALUE"""),"РЕН-26")</f>
        <v>РЕН-26</v>
      </c>
      <c r="C857" s="14" t="str">
        <f>IFERROR(__xludf.DUMMYFUNCTION("""COMPUTED_VALUE"""),"ОКС")</f>
        <v>ОКС</v>
      </c>
      <c r="D857" s="6"/>
      <c r="E857" s="14" t="str">
        <f>IFERROR(__xludf.DUMMYFUNCTION("""COMPUTED_VALUE"""),"Велозаводская ул., з/у 2 ЮАО, район Даниловский, Велозаводская ул., вл.2")</f>
        <v>Велозаводская ул., з/у 2 ЮАО, район Даниловский, Велозаводская ул., вл.2</v>
      </c>
      <c r="F857" s="25" t="str">
        <f>IFERROR(__xludf.DUMMYFUNCTION("""COMPUTED_VALUE"""),"55.715704")</f>
        <v>55.715704</v>
      </c>
      <c r="G857" s="6" t="str">
        <f>IFERROR(__xludf.DUMMYFUNCTION("""COMPUTED_VALUE"""),"37.663933")</f>
        <v>37.663933</v>
      </c>
      <c r="H857" s="18" t="str">
        <f>IFERROR(__xludf.DUMMYFUNCTION("""COMPUTED_VALUE"""),"https://docs.google.com/spreadsheets/d/1rbCD10ySi4YZEkJW2_Slmn9z7AI1WEsGsZaIJmnnT18/edit?gid=1509964288#gid=1509964288")</f>
        <v>https://docs.google.com/spreadsheets/d/1rbCD10ySi4YZEkJW2_Slmn9z7AI1WEsGsZaIJmnnT18/edit?gid=1509964288#gid=1509964288</v>
      </c>
      <c r="I857" s="19" t="str">
        <f>IFERROR(__xludf.DUMMYFUNCTION("""COMPUTED_VALUE"""),"https://disk.yandex.ru/client/disk/Осмотры%20объектов%20АНО%20СМГ/673.%20Велозаводская%20ул.%2C%20з.у%202")</f>
        <v>https://disk.yandex.ru/client/disk/Осмотры%20объектов%20АНО%20СМГ/673.%20Велозаводская%20ул.%2C%20з.у%202</v>
      </c>
      <c r="J857" s="50">
        <f>IFERROR(__xludf.DUMMYFUNCTION("""COMPUTED_VALUE"""),11.549999999999999)</f>
        <v>11.55</v>
      </c>
      <c r="K857" s="58">
        <f>IFERROR(__xludf.DUMMYFUNCTION("""COMPUTED_VALUE"""),45960.0)</f>
        <v>45960</v>
      </c>
      <c r="L857" s="6">
        <v>30.0</v>
      </c>
      <c r="M857" s="52">
        <v>45990.0</v>
      </c>
      <c r="N857" s="53" t="s">
        <v>692</v>
      </c>
      <c r="O857" s="19" t="s">
        <v>669</v>
      </c>
      <c r="P857" s="6"/>
      <c r="Q857" s="6" t="str">
        <f t="shared" si="1"/>
        <v>#N/A</v>
      </c>
      <c r="R857" s="6"/>
    </row>
    <row r="858" hidden="1">
      <c r="A858" s="31" t="str">
        <f>IFERROR(__xludf.DUMMYFUNCTION("""COMPUTED_VALUE"""),"970")</f>
        <v>970</v>
      </c>
      <c r="B858" s="14" t="str">
        <f>IFERROR(__xludf.DUMMYFUNCTION("""COMPUTED_VALUE"""),"РЕН-26")</f>
        <v>РЕН-26</v>
      </c>
      <c r="C858" s="14" t="str">
        <f>IFERROR(__xludf.DUMMYFUNCTION("""COMPUTED_VALUE"""),"ОКС")</f>
        <v>ОКС</v>
      </c>
      <c r="D858" s="6"/>
      <c r="E858" s="14" t="str">
        <f>IFERROR(__xludf.DUMMYFUNCTION("""COMPUTED_VALUE"""),"5-я Кожуховская ул., з/у 33 (ул. 5-я Кожуховская, вл. 33) ЮВАО, район Южнопортовый, ул. 5-я Кожуховская, земельный участок 33 (ул. 5-я Кожуховская, вл. 33)")</f>
        <v>5-я Кожуховская ул., з/у 33 (ул. 5-я Кожуховская, вл. 33) ЮВАО, район Южнопортовый, ул. 5-я Кожуховская, земельный участок 33 (ул. 5-я Кожуховская, вл. 33)</v>
      </c>
      <c r="F858" s="25" t="str">
        <f>IFERROR(__xludf.DUMMYFUNCTION("""COMPUTED_VALUE"""),"55.706255")</f>
        <v>55.706255</v>
      </c>
      <c r="G858" s="6" t="str">
        <f>IFERROR(__xludf.DUMMYFUNCTION("""COMPUTED_VALUE"""),"37.680867")</f>
        <v>37.680867</v>
      </c>
      <c r="H858" s="18" t="str">
        <f>IFERROR(__xludf.DUMMYFUNCTION("""COMPUTED_VALUE"""),"https://docs.google.com/spreadsheets/d/1rbCD10ySi4YZEkJW2_Slmn9z7AI1WEsGsZaIJmnnT18/edit?gid=673551977#gid=673551977")</f>
        <v>https://docs.google.com/spreadsheets/d/1rbCD10ySi4YZEkJW2_Slmn9z7AI1WEsGsZaIJmnnT18/edit?gid=673551977#gid=673551977</v>
      </c>
      <c r="I858" s="19" t="str">
        <f>IFERROR(__xludf.DUMMYFUNCTION("""COMPUTED_VALUE"""),"https://disk.yandex.ru/client/disk/Осмотры%20объектов%20АНО%20СМГ/970.%205-я%20Кожуховская%20ул.%2C%20з.у%2033")</f>
        <v>https://disk.yandex.ru/client/disk/Осмотры%20объектов%20АНО%20СМГ/970.%205-я%20Кожуховская%20ул.%2C%20з.у%2033</v>
      </c>
      <c r="J858" s="50">
        <f>IFERROR(__xludf.DUMMYFUNCTION("""COMPUTED_VALUE"""),3.5393999999999997)</f>
        <v>3.5394</v>
      </c>
      <c r="K858" s="58">
        <f>IFERROR(__xludf.DUMMYFUNCTION("""COMPUTED_VALUE"""),45972.0)</f>
        <v>45972</v>
      </c>
      <c r="L858" s="6">
        <v>30.0</v>
      </c>
      <c r="M858" s="52">
        <v>46002.0</v>
      </c>
      <c r="N858" s="53" t="s">
        <v>711</v>
      </c>
      <c r="O858" s="19" t="s">
        <v>1152</v>
      </c>
      <c r="P858" s="6"/>
      <c r="Q858" s="6" t="str">
        <f t="shared" si="1"/>
        <v>#N/A</v>
      </c>
      <c r="R858" s="6"/>
    </row>
    <row r="859" hidden="1">
      <c r="A859" s="31" t="str">
        <f>IFERROR(__xludf.DUMMYFUNCTION("""COMPUTED_VALUE"""),"639")</f>
        <v>639</v>
      </c>
      <c r="B859" s="14" t="str">
        <f>IFERROR(__xludf.DUMMYFUNCTION("""COMPUTED_VALUE"""),"РЕН-26")</f>
        <v>РЕН-26</v>
      </c>
      <c r="C859" s="14" t="str">
        <f>IFERROR(__xludf.DUMMYFUNCTION("""COMPUTED_VALUE"""),"ОКС")</f>
        <v>ОКС</v>
      </c>
      <c r="D859" s="6"/>
      <c r="E859" s="14" t="str">
        <f>IFERROR(__xludf.DUMMYFUNCTION("""COMPUTED_VALUE"""),"Краснодарская ул., вл.8 ЮВАО, район Люблино, ул. Краснодарская, з/у 8 (Краснодарская ул., вл. 8)")</f>
        <v>Краснодарская ул., вл.8 ЮВАО, район Люблино, ул. Краснодарская, з/у 8 (Краснодарская ул., вл. 8)</v>
      </c>
      <c r="F859" s="25" t="str">
        <f>IFERROR(__xludf.DUMMYFUNCTION("""COMPUTED_VALUE"""),"55.676412")</f>
        <v>55.676412</v>
      </c>
      <c r="G859" s="6" t="str">
        <f>IFERROR(__xludf.DUMMYFUNCTION("""COMPUTED_VALUE"""),"37.742216")</f>
        <v>37.742216</v>
      </c>
      <c r="H859" s="18" t="str">
        <f>IFERROR(__xludf.DUMMYFUNCTION("""COMPUTED_VALUE"""),"https://docs.google.com/spreadsheets/d/1rbCD10ySi4YZEkJW2_Slmn9z7AI1WEsGsZaIJmnnT18/edit?gid=573547240#gid=573547240")</f>
        <v>https://docs.google.com/spreadsheets/d/1rbCD10ySi4YZEkJW2_Slmn9z7AI1WEsGsZaIJmnnT18/edit?gid=573547240#gid=573547240</v>
      </c>
      <c r="I859" s="19" t="str">
        <f>IFERROR(__xludf.DUMMYFUNCTION("""COMPUTED_VALUE"""),"https://disk.yandex.ru/client/disk/Осмотры%20объектов%20АНО%20СМГ/639.%20Краснодарская%20ул.%2C%20влд.%208.%20Жилой%20дом")</f>
        <v>https://disk.yandex.ru/client/disk/Осмотры%20объектов%20АНО%20СМГ/639.%20Краснодарская%20ул.%2C%20влд.%208.%20Жилой%20дом</v>
      </c>
      <c r="J859" s="50">
        <f>IFERROR(__xludf.DUMMYFUNCTION("""COMPUTED_VALUE"""),1.68)</f>
        <v>1.68</v>
      </c>
      <c r="K859" s="58">
        <f>IFERROR(__xludf.DUMMYFUNCTION("""COMPUTED_VALUE"""),45952.0)</f>
        <v>45952</v>
      </c>
      <c r="L859" s="6">
        <v>30.0</v>
      </c>
      <c r="M859" s="52">
        <v>45982.0</v>
      </c>
      <c r="N859" s="53" t="s">
        <v>741</v>
      </c>
      <c r="O859" s="19" t="s">
        <v>669</v>
      </c>
      <c r="P859" s="6"/>
      <c r="Q859" s="6" t="str">
        <f t="shared" si="1"/>
        <v>#N/A</v>
      </c>
      <c r="R859" s="6"/>
    </row>
    <row r="860" hidden="1">
      <c r="A860" s="31" t="str">
        <f>IFERROR(__xludf.DUMMYFUNCTION("""COMPUTED_VALUE"""),"819")</f>
        <v>819</v>
      </c>
      <c r="B860" s="14" t="str">
        <f>IFERROR(__xludf.DUMMYFUNCTION("""COMPUTED_VALUE"""),"РЕН-26")</f>
        <v>РЕН-26</v>
      </c>
      <c r="C860" s="14" t="str">
        <f>IFERROR(__xludf.DUMMYFUNCTION("""COMPUTED_VALUE"""),"ОКС")</f>
        <v>ОКС</v>
      </c>
      <c r="D860" s="6"/>
      <c r="E860" s="14" t="str">
        <f>IFERROR(__xludf.DUMMYFUNCTION("""COMPUTED_VALUE"""),"микрорайон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корп."&amp;" 3)")</f>
        <v>микрорайон 6 района Коньково, зона № 1.3 района Коньково ул. Введенского, 9 микрорайон 6, зона № 1.3 (со сносом жилых зданий по адресам: ул. Введенского, д. 9; ул. Введенского, д. 11, корп. 1; ул. Введенского, д. 11, корп. 2; ул. Введенского, д. 11, корп. 3)</v>
      </c>
      <c r="F860" s="25" t="str">
        <f>IFERROR(__xludf.DUMMYFUNCTION("""COMPUTED_VALUE"""),"55.642963")</f>
        <v>55.642963</v>
      </c>
      <c r="G860" s="6" t="str">
        <f>IFERROR(__xludf.DUMMYFUNCTION("""COMPUTED_VALUE"""),"37.542380")</f>
        <v>37.542380</v>
      </c>
      <c r="H860" s="18" t="str">
        <f>IFERROR(__xludf.DUMMYFUNCTION("""COMPUTED_VALUE"""),"https://docs.google.com/spreadsheets/d/1rbCD10ySi4YZEkJW2_Slmn9z7AI1WEsGsZaIJmnnT18/edit?gid=1872184030#gid=1872184030")</f>
        <v>https://docs.google.com/spreadsheets/d/1rbCD10ySi4YZEkJW2_Slmn9z7AI1WEsGsZaIJmnnT18/edit?gid=1872184030#gid=1872184030</v>
      </c>
      <c r="I860" s="19" t="str">
        <f>IFERROR(__xludf.DUMMYFUNCTION("""COMPUTED_VALUE"""),"https://disk.yandex.ru/client/disk/Осмотры%20объектов%20АНО%20СМГ/819.%20района%20Коньково%20ул.%20Введенского%2C%209%20микрорайон%206%2C%20зона%20№%201.3")</f>
        <v>https://disk.yandex.ru/client/disk/Осмотры%20объектов%20АНО%20СМГ/819.%20района%20Коньково%20ул.%20Введенского%2C%209%20микрорайон%206%2C%20зона%20№%201.3</v>
      </c>
      <c r="J860" s="50">
        <f>IFERROR(__xludf.DUMMYFUNCTION("""COMPUTED_VALUE"""),39.510885)</f>
        <v>39.510885</v>
      </c>
      <c r="K860" s="58">
        <f>IFERROR(__xludf.DUMMYFUNCTION("""COMPUTED_VALUE"""),45946.0)</f>
        <v>45946</v>
      </c>
      <c r="L860" s="6">
        <v>30.0</v>
      </c>
      <c r="M860" s="52">
        <v>45976.0</v>
      </c>
      <c r="N860" s="53" t="s">
        <v>701</v>
      </c>
      <c r="O860" s="19" t="s">
        <v>669</v>
      </c>
      <c r="P860" s="6"/>
      <c r="Q860" s="6" t="str">
        <f t="shared" si="1"/>
        <v>#N/A</v>
      </c>
      <c r="R860" s="6"/>
    </row>
    <row r="861" hidden="1">
      <c r="A861" s="31" t="str">
        <f>IFERROR(__xludf.DUMMYFUNCTION("""COMPUTED_VALUE"""),"559")</f>
        <v>559</v>
      </c>
      <c r="B861" s="14" t="str">
        <f>IFERROR(__xludf.DUMMYFUNCTION("""COMPUTED_VALUE"""),"РЕН-26")</f>
        <v>РЕН-26</v>
      </c>
      <c r="C861" s="14" t="str">
        <f>IFERROR(__xludf.DUMMYFUNCTION("""COMPUTED_VALUE"""),"ОКС")</f>
        <v>ОКС</v>
      </c>
      <c r="D861" s="6"/>
      <c r="E861" s="14" t="str">
        <f>IFERROR(__xludf.DUMMYFUNCTION("""COMPUTED_VALUE"""),"Жилой дом, р-н Нагатинский затон, ул. Судостроительная, влд. 5 (3), к. 1 ЮАО, район Нагатинский Затон, Судостроительная ул., д. 5")</f>
        <v>Жилой дом, р-н Нагатинский затон, ул. Судостроительная, влд. 5 (3), к. 1 ЮАО, район Нагатинский Затон, Судостроительная ул., д. 5</v>
      </c>
      <c r="F861" s="25" t="str">
        <f>IFERROR(__xludf.DUMMYFUNCTION("""COMPUTED_VALUE"""),"55.679859")</f>
        <v>55.679859</v>
      </c>
      <c r="G861" s="6" t="str">
        <f>IFERROR(__xludf.DUMMYFUNCTION("""COMPUTED_VALUE"""),"37.668751")</f>
        <v>37.668751</v>
      </c>
      <c r="H861" s="18" t="str">
        <f>IFERROR(__xludf.DUMMYFUNCTION("""COMPUTED_VALUE"""),"https://docs.google.com/spreadsheets/d/1rbCD10ySi4YZEkJW2_Slmn9z7AI1WEsGsZaIJmnnT18/edit?gid=1103814472#gid=1103814472")</f>
        <v>https://docs.google.com/spreadsheets/d/1rbCD10ySi4YZEkJW2_Slmn9z7AI1WEsGsZaIJmnnT18/edit?gid=1103814472#gid=1103814472</v>
      </c>
      <c r="I861" s="19" t="str">
        <f>IFERROR(__xludf.DUMMYFUNCTION("""COMPUTED_VALUE"""),"https://disk.yandex.ru/client/disk/Осмотры%20объектов%20АНО%20СМГ/559.%20Судостроительная%20ул.%2C%20вл.%205.%20Жилой%20дом.%20Реновация")</f>
        <v>https://disk.yandex.ru/client/disk/Осмотры%20объектов%20АНО%20СМГ/559.%20Судостроительная%20ул.%2C%20вл.%205.%20Жилой%20дом.%20Реновация</v>
      </c>
      <c r="J861" s="50">
        <f>IFERROR(__xludf.DUMMYFUNCTION("""COMPUTED_VALUE"""),51.02605499999999)</f>
        <v>51.026055</v>
      </c>
      <c r="K861" s="58">
        <f>IFERROR(__xludf.DUMMYFUNCTION("""COMPUTED_VALUE"""),45974.0)</f>
        <v>45974</v>
      </c>
      <c r="L861" s="6">
        <v>14.0</v>
      </c>
      <c r="M861" s="52">
        <v>45988.0</v>
      </c>
      <c r="N861" s="53" t="s">
        <v>711</v>
      </c>
      <c r="O861" s="19" t="s">
        <v>669</v>
      </c>
      <c r="P861" s="6"/>
      <c r="Q861" s="6" t="str">
        <f t="shared" si="1"/>
        <v>#N/A</v>
      </c>
      <c r="R861" s="6"/>
    </row>
    <row r="862" hidden="1">
      <c r="A862" s="31" t="str">
        <f>IFERROR(__xludf.DUMMYFUNCTION("""COMPUTED_VALUE"""),"787")</f>
        <v>787</v>
      </c>
      <c r="B862" s="14" t="str">
        <f>IFERROR(__xludf.DUMMYFUNCTION("""COMPUTED_VALUE"""),"РЕН-26")</f>
        <v>РЕН-26</v>
      </c>
      <c r="C862" s="14" t="str">
        <f>IFERROR(__xludf.DUMMYFUNCTION("""COMPUTED_VALUE"""),"ОКС")</f>
        <v>ОКС</v>
      </c>
      <c r="D862" s="6"/>
      <c r="E862" s="14" t="str">
        <f>IFERROR(__xludf.DUMMYFUNCTION("""COMPUTED_VALUE"""),"Дмитровское шоссе, земельный участок 32/1 (Зоны 3.1, 3.2) САО        Дмитровское шоссе, земельный участок 32/1 (Зоны 3.1, 3.2)")</f>
        <v>Дмитровское шоссе, земельный участок 32/1 (Зоны 3.1, 3.2) САО        Дмитровское шоссе, земельный участок 32/1 (Зоны 3.1, 3.2)</v>
      </c>
      <c r="F862" s="25" t="str">
        <f>IFERROR(__xludf.DUMMYFUNCTION("""COMPUTED_VALUE"""),"55.839047")</f>
        <v>55.839047</v>
      </c>
      <c r="G862" s="6" t="str">
        <f>IFERROR(__xludf.DUMMYFUNCTION("""COMPUTED_VALUE"""),"37.573833")</f>
        <v>37.573833</v>
      </c>
      <c r="H862" s="18" t="str">
        <f>IFERROR(__xludf.DUMMYFUNCTION("""COMPUTED_VALUE"""),"https://docs.google.com/spreadsheets/d/1rbCD10ySi4YZEkJW2_Slmn9z7AI1WEsGsZaIJmnnT18/edit?gid=1402918255#gid=1402918255")</f>
        <v>https://docs.google.com/spreadsheets/d/1rbCD10ySi4YZEkJW2_Slmn9z7AI1WEsGsZaIJmnnT18/edit?gid=1402918255#gid=1402918255</v>
      </c>
      <c r="I862" s="19" t="str">
        <f>IFERROR(__xludf.DUMMYFUNCTION("""COMPUTED_VALUE"""),"https://disk.yandex.ru/client/disk/Осмотры%20объектов%20АНО%20СМГ/787.%20Дмитровское%20шоссе%2032%20стр1")</f>
        <v>https://disk.yandex.ru/client/disk/Осмотры%20объектов%20АНО%20СМГ/787.%20Дмитровское%20шоссе%2032%20стр1</v>
      </c>
      <c r="J862" s="50">
        <f>IFERROR(__xludf.DUMMYFUNCTION("""COMPUTED_VALUE"""),0.2397)</f>
        <v>0.2397</v>
      </c>
      <c r="K862" s="58">
        <f>IFERROR(__xludf.DUMMYFUNCTION("""COMPUTED_VALUE"""),45973.0)</f>
        <v>45973</v>
      </c>
      <c r="L862" s="6">
        <v>30.0</v>
      </c>
      <c r="M862" s="52">
        <v>46003.0</v>
      </c>
      <c r="N862" s="53" t="s">
        <v>711</v>
      </c>
      <c r="O862" s="19" t="s">
        <v>669</v>
      </c>
      <c r="P862" s="6"/>
      <c r="Q862" s="6" t="str">
        <f t="shared" si="1"/>
        <v>#N/A</v>
      </c>
      <c r="R862" s="6"/>
    </row>
    <row r="863" hidden="1">
      <c r="A863" s="31" t="str">
        <f>IFERROR(__xludf.DUMMYFUNCTION("""COMPUTED_VALUE"""),"596")</f>
        <v>596</v>
      </c>
      <c r="B863" s="14" t="str">
        <f>IFERROR(__xludf.DUMMYFUNCTION("""COMPUTED_VALUE"""),"РЕН-26")</f>
        <v>РЕН-26</v>
      </c>
      <c r="C863" s="14" t="str">
        <f>IFERROR(__xludf.DUMMYFUNCTION("""COMPUTED_VALUE"""),"ОКС")</f>
        <v>ОКС</v>
      </c>
      <c r="D863" s="6"/>
      <c r="E863" s="14" t="str">
        <f>IFERROR(__xludf.DUMMYFUNCTION("""COMPUTED_VALUE"""),"ул.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д.4"&amp;"5, к.2, ул. Олеко Дундича, д.47, ул. Кастанаевская, д.40, к.1, ул. Кастанаевская, д.40, к.2)")</f>
        <v>ул. Пивченкова, вл. 14 ЗАО, район Фили-Давыдково, ул. Пивченкова, влд. 14, кварталов 58, 59 зона 2.1 (со сносом жилых зданий по адресам: ул. Пивченкова, д.10, ул. Пивченкова, д.12, ул. Пивченкова, д.14, ул. Олеко Дундича, д.45, к.1, ул. Олеко Дундича, д.45, к.2, ул. Олеко Дундича, д.47, ул. Кастанаевская, д.40, к.1, ул. Кастанаевская, д.40, к.2)</v>
      </c>
      <c r="F863" s="25" t="str">
        <f>IFERROR(__xludf.DUMMYFUNCTION("""COMPUTED_VALUE"""),"55.736265")</f>
        <v>55.736265</v>
      </c>
      <c r="G863" s="6" t="str">
        <f>IFERROR(__xludf.DUMMYFUNCTION("""COMPUTED_VALUE"""),"37.477252")</f>
        <v>37.477252</v>
      </c>
      <c r="H863" s="18" t="str">
        <f>IFERROR(__xludf.DUMMYFUNCTION("""COMPUTED_VALUE"""),"https://docs.google.com/spreadsheets/d/1rbCD10ySi4YZEkJW2_Slmn9z7AI1WEsGsZaIJmnnT18/edit?gid=1114468550#gid=1114468550")</f>
        <v>https://docs.google.com/spreadsheets/d/1rbCD10ySi4YZEkJW2_Slmn9z7AI1WEsGsZaIJmnnT18/edit?gid=1114468550#gid=1114468550</v>
      </c>
      <c r="I863" s="19" t="str">
        <f>IFERROR(__xludf.DUMMYFUNCTION("""COMPUTED_VALUE"""),"https://disk.yandex.ru/client/disk/Осмотры%20объектов%20АНО%20СМГ/596.Жилой%20дом%20ул.%20Пивченкова%20вл14")</f>
        <v>https://disk.yandex.ru/client/disk/Осмотры%20объектов%20АНО%20СМГ/596.Жилой%20дом%20ул.%20Пивченкова%20вл14</v>
      </c>
      <c r="J863" s="50">
        <f>IFERROR(__xludf.DUMMYFUNCTION("""COMPUTED_VALUE"""),32.092635)</f>
        <v>32.092635</v>
      </c>
      <c r="K863" s="58">
        <f>IFERROR(__xludf.DUMMYFUNCTION("""COMPUTED_VALUE"""),45961.0)</f>
        <v>45961</v>
      </c>
      <c r="L863" s="6">
        <v>30.0</v>
      </c>
      <c r="M863" s="52">
        <v>45991.0</v>
      </c>
      <c r="N863" s="53" t="s">
        <v>692</v>
      </c>
      <c r="O863" s="19" t="s">
        <v>669</v>
      </c>
      <c r="P863" s="6"/>
      <c r="Q863" s="6" t="str">
        <f t="shared" si="1"/>
        <v>#N/A</v>
      </c>
      <c r="R863" s="6"/>
    </row>
    <row r="864" hidden="1">
      <c r="A864" s="31" t="str">
        <f>IFERROR(__xludf.DUMMYFUNCTION("""COMPUTED_VALUE"""),"691")</f>
        <v>691</v>
      </c>
      <c r="B864" s="14" t="str">
        <f>IFERROR(__xludf.DUMMYFUNCTION("""COMPUTED_VALUE"""),"РЕН-26")</f>
        <v>РЕН-26</v>
      </c>
      <c r="C864" s="14" t="str">
        <f>IFERROR(__xludf.DUMMYFUNCTION("""COMPUTED_VALUE"""),"ОКС")</f>
        <v>ОКС</v>
      </c>
      <c r="D864" s="6"/>
      <c r="E864" s="14" t="str">
        <f>IFERROR(__xludf.DUMMYFUNCTION("""COMPUTED_VALUE"""),"ул. Речников, з/у 22/2 (участок 13.1) ЮАО, район Нагатинский затон, ул. Речников з/у 22/2,  микрорайоны 4, 5, 7, зона 13.1  (со сносом многоквартирных жилых домов по адресам: ул.Речников, д.26, к.1; д.24, к.1; д.22, к.2)")</f>
        <v>ул. Речников, з/у 22/2 (участок 13.1) ЮАО, район Нагатинский затон, ул. Речников з/у 22/2,  микрорайоны 4, 5, 7, зона 13.1  (со сносом многоквартирных жилых домов по адресам: ул.Речников, д.26, к.1; д.24, к.1; д.22, к.2)</v>
      </c>
      <c r="F864" s="25" t="str">
        <f>IFERROR(__xludf.DUMMYFUNCTION("""COMPUTED_VALUE"""),"55.681606")</f>
        <v>55.681606</v>
      </c>
      <c r="G864" s="6" t="str">
        <f>IFERROR(__xludf.DUMMYFUNCTION("""COMPUTED_VALUE"""),"37.689815")</f>
        <v>37.689815</v>
      </c>
      <c r="H864" s="18" t="str">
        <f>IFERROR(__xludf.DUMMYFUNCTION("""COMPUTED_VALUE"""),"https://docs.google.com/spreadsheets/d/1rbCD10ySi4YZEkJW2_Slmn9z7AI1WEsGsZaIJmnnT18/edit?gid=198115662#gid=198115662")</f>
        <v>https://docs.google.com/spreadsheets/d/1rbCD10ySi4YZEkJW2_Slmn9z7AI1WEsGsZaIJmnnT18/edit?gid=198115662#gid=198115662</v>
      </c>
      <c r="I864" s="19" t="str">
        <f>IFERROR(__xludf.DUMMYFUNCTION("""COMPUTED_VALUE"""),"https://disk.yandex.ru/client/disk/Осмотры%20объектов%20АНО%20СМГ/691.%20Речников%2024%20к.1%2C%2026%20к.1%2C%2022%20к.2")</f>
        <v>https://disk.yandex.ru/client/disk/Осмотры%20объектов%20АНО%20СМГ/691.%20Речников%2024%20к.1%2C%2026%20к.1%2C%2022%20к.2</v>
      </c>
      <c r="J864" s="50">
        <f>IFERROR(__xludf.DUMMYFUNCTION("""COMPUTED_VALUE"""),4.35684)</f>
        <v>4.35684</v>
      </c>
      <c r="K864" s="58">
        <f>IFERROR(__xludf.DUMMYFUNCTION("""COMPUTED_VALUE"""),45972.0)</f>
        <v>45972</v>
      </c>
      <c r="L864" s="6">
        <v>30.0</v>
      </c>
      <c r="M864" s="52">
        <v>46002.0</v>
      </c>
      <c r="N864" s="53" t="s">
        <v>711</v>
      </c>
      <c r="O864" s="19" t="s">
        <v>1153</v>
      </c>
      <c r="P864" s="6"/>
      <c r="Q864" s="6" t="str">
        <f t="shared" si="1"/>
        <v>#N/A</v>
      </c>
      <c r="R864" s="6"/>
    </row>
    <row r="865" hidden="1">
      <c r="A865" s="31" t="str">
        <f>IFERROR(__xludf.DUMMYFUNCTION("""COMPUTED_VALUE"""),"912")</f>
        <v>912</v>
      </c>
      <c r="B865" s="14" t="str">
        <f>IFERROR(__xludf.DUMMYFUNCTION("""COMPUTED_VALUE"""),"РЕН-26")</f>
        <v>РЕН-26</v>
      </c>
      <c r="C865" s="14" t="str">
        <f>IFERROR(__xludf.DUMMYFUNCTION("""COMPUTED_VALUE"""),"ОКС")</f>
        <v>ОКС</v>
      </c>
      <c r="D865" s="6"/>
      <c r="E865" s="14" t="str">
        <f>IFERROR(__xludf.DUMMYFUNCTION("""COMPUTED_VALUE"""),"Часовая ул., вл. 4 район Аэропорт, Часовая ул., вл. 4")</f>
        <v>Часовая ул., вл. 4 район Аэропорт, Часовая ул., вл. 4</v>
      </c>
      <c r="F865" s="25" t="str">
        <f>IFERROR(__xludf.DUMMYFUNCTION("""COMPUTED_VALUE"""),"55.807072")</f>
        <v>55.807072</v>
      </c>
      <c r="G865" s="6" t="str">
        <f>IFERROR(__xludf.DUMMYFUNCTION("""COMPUTED_VALUE"""),"37.536382")</f>
        <v>37.536382</v>
      </c>
      <c r="H865" s="18" t="str">
        <f>IFERROR(__xludf.DUMMYFUNCTION("""COMPUTED_VALUE"""),"https://docs.google.com/spreadsheets/d/1rbCD10ySi4YZEkJW2_Slmn9z7AI1WEsGsZaIJmnnT18/edit?gid=1305190320#gid=1305190320")</f>
        <v>https://docs.google.com/spreadsheets/d/1rbCD10ySi4YZEkJW2_Slmn9z7AI1WEsGsZaIJmnnT18/edit?gid=1305190320#gid=1305190320</v>
      </c>
      <c r="I865" s="19" t="str">
        <f>IFERROR(__xludf.DUMMYFUNCTION("""COMPUTED_VALUE"""),"https://disk.yandex.ru/client/disk/Осмотры%20объектов%20АНО%20СМГ/912.%20ул.%20Часовая%20вл.4")</f>
        <v>https://disk.yandex.ru/client/disk/Осмотры%20объектов%20АНО%20СМГ/912.%20ул.%20Часовая%20вл.4</v>
      </c>
      <c r="J865" s="50">
        <f>IFERROR(__xludf.DUMMYFUNCTION("""COMPUTED_VALUE"""),0.3)</f>
        <v>0.3</v>
      </c>
      <c r="K865" s="58">
        <f>IFERROR(__xludf.DUMMYFUNCTION("""COMPUTED_VALUE"""),45960.0)</f>
        <v>45960</v>
      </c>
      <c r="L865" s="6">
        <v>30.0</v>
      </c>
      <c r="M865" s="52">
        <v>45990.0</v>
      </c>
      <c r="N865" s="53" t="s">
        <v>692</v>
      </c>
      <c r="O865" s="19" t="s">
        <v>1154</v>
      </c>
      <c r="P865" s="6"/>
      <c r="Q865" s="6" t="str">
        <f t="shared" si="1"/>
        <v>#N/A</v>
      </c>
      <c r="R865" s="6"/>
    </row>
    <row r="866" hidden="1">
      <c r="A866" s="31" t="str">
        <f>IFERROR(__xludf.DUMMYFUNCTION("""COMPUTED_VALUE"""),"910")</f>
        <v>910</v>
      </c>
      <c r="B866" s="14" t="str">
        <f>IFERROR(__xludf.DUMMYFUNCTION("""COMPUTED_VALUE"""),"РЕН-26")</f>
        <v>РЕН-26</v>
      </c>
      <c r="C866" s="14" t="str">
        <f>IFERROR(__xludf.DUMMYFUNCTION("""COMPUTED_VALUE"""),"ОКС")</f>
        <v>ОКС</v>
      </c>
      <c r="D866" s="6"/>
      <c r="E866" s="14" t="str">
        <f>IFERROR(__xludf.DUMMYFUNCTION("""COMPUTED_VALUE"""),"КРТ ""Вучетича ул., влд.1"" г. Москва, внутригородское муниципальное образование Тимирязевское, ул. Вучетича, вл.1 (Северный административный округ)")</f>
        <v>КРТ "Вучетича ул., влд.1" г. Москва, внутригородское муниципальное образование Тимирязевское, ул. Вучетича, вл.1 (Северный административный округ)</v>
      </c>
      <c r="F866" s="25" t="str">
        <f>IFERROR(__xludf.DUMMYFUNCTION("""COMPUTED_VALUE"""),"55.805741")</f>
        <v>55.805741</v>
      </c>
      <c r="G866" s="6" t="str">
        <f>IFERROR(__xludf.DUMMYFUNCTION("""COMPUTED_VALUE"""),"37.560547")</f>
        <v>37.560547</v>
      </c>
      <c r="H866" s="18" t="str">
        <f>IFERROR(__xludf.DUMMYFUNCTION("""COMPUTED_VALUE"""),"https://docs.google.com/spreadsheets/d/1rbCD10ySi4YZEkJW2_Slmn9z7AI1WEsGsZaIJmnnT18/edit?gid=479418730#gid=479418730")</f>
        <v>https://docs.google.com/spreadsheets/d/1rbCD10ySi4YZEkJW2_Slmn9z7AI1WEsGsZaIJmnnT18/edit?gid=479418730#gid=479418730</v>
      </c>
      <c r="I866" s="19" t="str">
        <f>IFERROR(__xludf.DUMMYFUNCTION("""COMPUTED_VALUE"""),"https://disk.yandex.ru/client/disk/Осмотры%20объектов%20АНО%20СМГ/910.%20ул.%20Вучетича%20Влад.1")</f>
        <v>https://disk.yandex.ru/client/disk/Осмотры%20объектов%20АНО%20СМГ/910.%20ул.%20Вучетича%20Влад.1</v>
      </c>
      <c r="J866" s="50">
        <f>IFERROR(__xludf.DUMMYFUNCTION("""COMPUTED_VALUE"""),0.0)</f>
        <v>0</v>
      </c>
      <c r="K866" s="58">
        <f>IFERROR(__xludf.DUMMYFUNCTION("""COMPUTED_VALUE"""),45960.0)</f>
        <v>45960</v>
      </c>
      <c r="L866" s="6">
        <v>30.0</v>
      </c>
      <c r="M866" s="52">
        <v>45990.0</v>
      </c>
      <c r="N866" s="53" t="s">
        <v>692</v>
      </c>
      <c r="O866" s="19" t="s">
        <v>1155</v>
      </c>
      <c r="P866" s="6"/>
      <c r="Q866" s="6" t="str">
        <f t="shared" si="1"/>
        <v>#N/A</v>
      </c>
      <c r="R866" s="6"/>
    </row>
    <row r="867" hidden="1">
      <c r="A867" s="31" t="str">
        <f>IFERROR(__xludf.DUMMYFUNCTION("""COMPUTED_VALUE"""),"962")</f>
        <v>962</v>
      </c>
      <c r="B867" s="14" t="str">
        <f>IFERROR(__xludf.DUMMYFUNCTION("""COMPUTED_VALUE"""),"РЕН-26")</f>
        <v>РЕН-26</v>
      </c>
      <c r="C867" s="14" t="str">
        <f>IFERROR(__xludf.DUMMYFUNCTION("""COMPUTED_VALUE"""),"ОКС")</f>
        <v>ОКС</v>
      </c>
      <c r="D867" s="6"/>
      <c r="E867" s="14" t="str">
        <f>IFERROR(__xludf.DUMMYFUNCTION("""COMPUTED_VALUE"""),"ул. Годовикова, з/у 7 (Годовикова ул., вл.7) район Останкинский, Годовикова ул., вл. 7")</f>
        <v>ул. Годовикова, з/у 7 (Годовикова ул., вл.7) район Останкинский, Годовикова ул., вл. 7</v>
      </c>
      <c r="F867" s="25" t="str">
        <f>IFERROR(__xludf.DUMMYFUNCTION("""COMPUTED_VALUE"""),"55.805922")</f>
        <v>55.805922</v>
      </c>
      <c r="G867" s="6" t="str">
        <f>IFERROR(__xludf.DUMMYFUNCTION("""COMPUTED_VALUE"""),"37.630109")</f>
        <v>37.630109</v>
      </c>
      <c r="H867" s="18" t="str">
        <f>IFERROR(__xludf.DUMMYFUNCTION("""COMPUTED_VALUE"""),"https://docs.google.com/spreadsheets/d/1rbCD10ySi4YZEkJW2_Slmn9z7AI1WEsGsZaIJmnnT18/edit?gid=1538306210#gid=1538306210")</f>
        <v>https://docs.google.com/spreadsheets/d/1rbCD10ySi4YZEkJW2_Slmn9z7AI1WEsGsZaIJmnnT18/edit?gid=1538306210#gid=1538306210</v>
      </c>
      <c r="I867" s="19" t="str">
        <f>IFERROR(__xludf.DUMMYFUNCTION("""COMPUTED_VALUE"""),"https://disk.yandex.ru/client/disk/Осмотры%20объектов%20АНО%20СМГ/962.%20ул.%20Годовикова%2C%20з.у.%207")</f>
        <v>https://disk.yandex.ru/client/disk/Осмотры%20объектов%20АНО%20СМГ/962.%20ул.%20Годовикова%2C%20з.у.%207</v>
      </c>
      <c r="J867" s="50">
        <f>IFERROR(__xludf.DUMMYFUNCTION("""COMPUTED_VALUE"""),1.47)</f>
        <v>1.47</v>
      </c>
      <c r="K867" s="58">
        <f>IFERROR(__xludf.DUMMYFUNCTION("""COMPUTED_VALUE"""),45973.0)</f>
        <v>45973</v>
      </c>
      <c r="L867" s="6">
        <v>30.0</v>
      </c>
      <c r="M867" s="52">
        <v>46003.0</v>
      </c>
      <c r="N867" s="53" t="s">
        <v>711</v>
      </c>
      <c r="O867" s="19" t="s">
        <v>669</v>
      </c>
      <c r="P867" s="6"/>
      <c r="Q867" s="6" t="str">
        <f t="shared" si="1"/>
        <v>#N/A</v>
      </c>
      <c r="R867" s="6"/>
    </row>
    <row r="868" hidden="1">
      <c r="A868" s="31" t="str">
        <f>IFERROR(__xludf.DUMMYFUNCTION("""COMPUTED_VALUE"""),"625")</f>
        <v>625</v>
      </c>
      <c r="B868" s="14" t="str">
        <f>IFERROR(__xludf.DUMMYFUNCTION("""COMPUTED_VALUE"""),"РЕН-26")</f>
        <v>РЕН-26</v>
      </c>
      <c r="C868" s="14" t="str">
        <f>IFERROR(__xludf.DUMMYFUNCTION("""COMPUTED_VALUE"""),"ОКС")</f>
        <v>ОКС</v>
      </c>
      <c r="D868" s="6"/>
      <c r="E868" s="14" t="str">
        <f>IFERROR(__xludf.DUMMYFUNCTION("""COMPUTED_VALUE"""),"улица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f>
        <v>улица Ташкетская, земельный участок 14/5 (участок 3.3 и 3.4) ЮВАО, район Выхино-Жулебено, улица Ташкентская, земельный участок 14/5 (зоны 3.3, 3.4) (со сносом жилого дома по адресу: Ташкентская улица, дом 14, корпус 5)</v>
      </c>
      <c r="F868" s="25" t="str">
        <f>IFERROR(__xludf.DUMMYFUNCTION("""COMPUTED_VALUE"""),"55.705355")</f>
        <v>55.705355</v>
      </c>
      <c r="G868" s="6" t="str">
        <f>IFERROR(__xludf.DUMMYFUNCTION("""COMPUTED_VALUE"""),"37.813629")</f>
        <v>37.813629</v>
      </c>
      <c r="H868" s="18" t="str">
        <f>IFERROR(__xludf.DUMMYFUNCTION("""COMPUTED_VALUE"""),"https://docs.google.com/spreadsheets/d/1rbCD10ySi4YZEkJW2_Slmn9z7AI1WEsGsZaIJmnnT18/edit?gid=830671407#gid=830671407")</f>
        <v>https://docs.google.com/spreadsheets/d/1rbCD10ySi4YZEkJW2_Slmn9z7AI1WEsGsZaIJmnnT18/edit?gid=830671407#gid=830671407</v>
      </c>
      <c r="I868" s="19" t="str">
        <f>IFERROR(__xludf.DUMMYFUNCTION("""COMPUTED_VALUE"""),"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amp;"м%2014%2C%20корпус%205)")</f>
        <v>https://disk.yandex.ru/client/disk/Осмотры%20объектов%20АНО%20СМГ/625.%20район%20Выхино-Жулебено%2C%20улица%20Ташкентская%2C%20земельный%20участок%2014.5%20(зоны%203.3%2C%203.4)%20(со%20сносом%20жилого%20дома%20по%20адресу%3A%20Ташкентская%20улица%2C%20дом%2014%2C%20корпус%205)</v>
      </c>
      <c r="J868" s="50">
        <f>IFERROR(__xludf.DUMMYFUNCTION("""COMPUTED_VALUE"""),26.49114)</f>
        <v>26.49114</v>
      </c>
      <c r="K868" s="58">
        <f>IFERROR(__xludf.DUMMYFUNCTION("""COMPUTED_VALUE"""),45968.0)</f>
        <v>45968</v>
      </c>
      <c r="L868" s="6">
        <v>30.0</v>
      </c>
      <c r="M868" s="52">
        <v>45998.0</v>
      </c>
      <c r="N868" s="53" t="s">
        <v>711</v>
      </c>
      <c r="O868" s="19" t="s">
        <v>669</v>
      </c>
      <c r="P868" s="6"/>
      <c r="Q868" s="6" t="str">
        <f t="shared" si="1"/>
        <v>#N/A</v>
      </c>
      <c r="R868" s="6"/>
    </row>
    <row r="869" hidden="1">
      <c r="A869" s="31" t="str">
        <f>IFERROR(__xludf.DUMMYFUNCTION("""COMPUTED_VALUE"""),"1199")</f>
        <v>1199</v>
      </c>
      <c r="B869" s="14" t="str">
        <f>IFERROR(__xludf.DUMMYFUNCTION("""COMPUTED_VALUE"""),"РЕН-26")</f>
        <v>РЕН-26</v>
      </c>
      <c r="C869" s="14" t="str">
        <f>IFERROR(__xludf.DUMMYFUNCTION("""COMPUTED_VALUE"""),"ОКС")</f>
        <v>ОКС</v>
      </c>
      <c r="D869" s="6"/>
      <c r="E869"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4"&amp;" (зона 1.1)")</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ул.Одесская, з/у 4 (зона 1.1) район Зюзино, ул.Одесская, з/у 4 (зона 1.1)</v>
      </c>
      <c r="F869" s="25" t="str">
        <f>IFERROR(__xludf.DUMMYFUNCTION("""COMPUTED_VALUE"""),"55.663395")</f>
        <v>55.663395</v>
      </c>
      <c r="G869" s="6" t="str">
        <f>IFERROR(__xludf.DUMMYFUNCTION("""COMPUTED_VALUE"""),"37.597567")</f>
        <v>37.597567</v>
      </c>
      <c r="H869" s="18" t="str">
        <f>IFERROR(__xludf.DUMMYFUNCTION("""COMPUTED_VALUE"""),"https://docs.google.com/spreadsheets/d/1rbCD10ySi4YZEkJW2_Slmn9z7AI1WEsGsZaIJmnnT18/edit?gid=772910058#gid=772910058")</f>
        <v>https://docs.google.com/spreadsheets/d/1rbCD10ySi4YZEkJW2_Slmn9z7AI1WEsGsZaIJmnnT18/edit?gid=772910058#gid=772910058</v>
      </c>
      <c r="I869" s="19" t="str">
        <f>IFERROR(__xludf.DUMMYFUNCTION("""COMPUTED_VALUE"""),"https://disk.yandex.ru/client/disk/Осмотры%20объектов%20АНО%20СМГ/1199.%20Одесская%204")</f>
        <v>https://disk.yandex.ru/client/disk/Осмотры%20объектов%20АНО%20СМГ/1199.%20Одесская%204</v>
      </c>
      <c r="J869" s="50">
        <f>IFERROR(__xludf.DUMMYFUNCTION("""COMPUTED_VALUE"""),22.88076)</f>
        <v>22.88076</v>
      </c>
      <c r="K869" s="58">
        <f>IFERROR(__xludf.DUMMYFUNCTION("""COMPUTED_VALUE"""),45974.0)</f>
        <v>45974</v>
      </c>
      <c r="L869" s="6">
        <v>30.0</v>
      </c>
      <c r="M869" s="52">
        <v>46004.0</v>
      </c>
      <c r="N869" s="53" t="s">
        <v>711</v>
      </c>
      <c r="O869" s="19" t="s">
        <v>1156</v>
      </c>
      <c r="P869" s="6"/>
      <c r="Q869" s="6" t="str">
        <f t="shared" si="1"/>
        <v>#N/A</v>
      </c>
      <c r="R869" s="6"/>
    </row>
    <row r="870" hidden="1">
      <c r="A870" s="31" t="str">
        <f>IFERROR(__xludf.DUMMYFUNCTION("""COMPUTED_VALUE"""),"695")</f>
        <v>695</v>
      </c>
      <c r="B870" s="14" t="str">
        <f>IFERROR(__xludf.DUMMYFUNCTION("""COMPUTED_VALUE"""),"РЕН-26")</f>
        <v>РЕН-26</v>
      </c>
      <c r="C870" s="14" t="str">
        <f>IFERROR(__xludf.DUMMYFUNCTION("""COMPUTED_VALUE"""),"ОКС")</f>
        <v>ОКС</v>
      </c>
      <c r="D870" s="6"/>
      <c r="E870" s="14" t="str">
        <f>IFERROR(__xludf.DUMMYFUNCTION("""COMPUTED_VALUE"""),"улица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f>
        <v>улица Херсонская, земельный участок16 (участок 1.3) ЮЗАО, район Зюзино, ул. Херсонская, зу  16,   кв. 40, зона 1.3 (со сносом многоквартирных жилых домов по адресам: ул. Херсонская, д.14, д.16)	</v>
      </c>
      <c r="F870" s="25" t="str">
        <f>IFERROR(__xludf.DUMMYFUNCTION("""COMPUTED_VALUE"""),"55.651945")</f>
        <v>55.651945</v>
      </c>
      <c r="G870" s="6" t="str">
        <f>IFERROR(__xludf.DUMMYFUNCTION("""COMPUTED_VALUE"""),"37.569259")</f>
        <v>37.569259</v>
      </c>
      <c r="H870" s="18" t="str">
        <f>IFERROR(__xludf.DUMMYFUNCTION("""COMPUTED_VALUE"""),"https://docs.google.com/spreadsheets/d/1rbCD10ySi4YZEkJW2_Slmn9z7AI1WEsGsZaIJmnnT18/edit?gid=1787224258#gid=1787224258")</f>
        <v>https://docs.google.com/spreadsheets/d/1rbCD10ySi4YZEkJW2_Slmn9z7AI1WEsGsZaIJmnnT18/edit?gid=1787224258#gid=1787224258</v>
      </c>
      <c r="I870" s="19" t="str">
        <f>IFERROR(__xludf.DUMMYFUNCTION("""COMPUTED_VALUE"""),"https://disk.yandex.ru/client/disk/Осмотры%20объектов%20АНО%20СМГ/695.%20ЮЗАО%2C%20Херсонская%20зу%2016%20кв.%2040%2C%20зона%201.3")</f>
        <v>https://disk.yandex.ru/client/disk/Осмотры%20объектов%20АНО%20СМГ/695.%20ЮЗАО%2C%20Херсонская%20зу%2016%20кв.%2040%2C%20зона%201.3</v>
      </c>
      <c r="J870" s="50">
        <f>IFERROR(__xludf.DUMMYFUNCTION("""COMPUTED_VALUE"""),21.5883)</f>
        <v>21.5883</v>
      </c>
      <c r="K870" s="58">
        <f>IFERROR(__xludf.DUMMYFUNCTION("""COMPUTED_VALUE"""),45962.0)</f>
        <v>45962</v>
      </c>
      <c r="L870" s="6">
        <v>30.0</v>
      </c>
      <c r="M870" s="52">
        <v>45992.0</v>
      </c>
      <c r="N870" s="53" t="s">
        <v>692</v>
      </c>
      <c r="O870" s="19" t="s">
        <v>1157</v>
      </c>
      <c r="P870" s="6"/>
      <c r="Q870" s="6" t="str">
        <f t="shared" si="1"/>
        <v>#N/A</v>
      </c>
      <c r="R870" s="6"/>
    </row>
    <row r="871" hidden="1">
      <c r="A871" s="31" t="str">
        <f>IFERROR(__xludf.DUMMYFUNCTION("""COMPUTED_VALUE"""),"659")</f>
        <v>659</v>
      </c>
      <c r="B871" s="14" t="str">
        <f>IFERROR(__xludf.DUMMYFUNCTION("""COMPUTED_VALUE"""),"РЕН-26")</f>
        <v>РЕН-26</v>
      </c>
      <c r="C871" s="14" t="str">
        <f>IFERROR(__xludf.DUMMYFUNCTION("""COMPUTED_VALUE"""),"ОКС")</f>
        <v>ОКС</v>
      </c>
      <c r="D871" s="6"/>
      <c r="E871" s="14" t="str">
        <f>IFERROR(__xludf.DUMMYFUNCTION("""COMPUTED_VALUE"""),"улица Херсонская,земельный участок 14 (участок 1.4) ЮЗАО, район Зюзино, кв. 40, ул. Херсонская, зу 14 (зона 1.4)")</f>
        <v>улица Херсонская,земельный участок 14 (участок 1.4) ЮЗАО, район Зюзино, кв. 40, ул. Херсонская, зу 14 (зона 1.4)</v>
      </c>
      <c r="F871" s="25" t="str">
        <f>IFERROR(__xludf.DUMMYFUNCTION("""COMPUTED_VALUE"""),"55.651717")</f>
        <v>55.651717</v>
      </c>
      <c r="G871" s="6" t="str">
        <f>IFERROR(__xludf.DUMMYFUNCTION("""COMPUTED_VALUE"""),"37.570189")</f>
        <v>37.570189</v>
      </c>
      <c r="H871" s="18" t="str">
        <f>IFERROR(__xludf.DUMMYFUNCTION("""COMPUTED_VALUE"""),"https://docs.google.com/spreadsheets/d/1rbCD10ySi4YZEkJW2_Slmn9z7AI1WEsGsZaIJmnnT18/edit?gid=2069894648#gid=2069894648")</f>
        <v>https://docs.google.com/spreadsheets/d/1rbCD10ySi4YZEkJW2_Slmn9z7AI1WEsGsZaIJmnnT18/edit?gid=2069894648#gid=2069894648</v>
      </c>
      <c r="I871" s="19" t="str">
        <f>IFERROR(__xludf.DUMMYFUNCTION("""COMPUTED_VALUE"""),"https://disk.yandex.ru/client/disk/Осмотры%20объектов%20АНО%20СМГ/659.%20ЮЗАО%2C%20Зюзино%20кв%2040%2C%20Херсонская%20зу%2014%20(зона%201.4)")</f>
        <v>https://disk.yandex.ru/client/disk/Осмотры%20объектов%20АНО%20СМГ/659.%20ЮЗАО%2C%20Зюзино%20кв%2040%2C%20Херсонская%20зу%2014%20(зона%201.4)</v>
      </c>
      <c r="J871" s="50">
        <f>IFERROR(__xludf.DUMMYFUNCTION("""COMPUTED_VALUE"""),12.419699999999999)</f>
        <v>12.4197</v>
      </c>
      <c r="K871" s="58">
        <f>IFERROR(__xludf.DUMMYFUNCTION("""COMPUTED_VALUE"""),45962.0)</f>
        <v>45962</v>
      </c>
      <c r="L871" s="6">
        <v>30.0</v>
      </c>
      <c r="M871" s="52">
        <v>45992.0</v>
      </c>
      <c r="N871" s="53" t="s">
        <v>692</v>
      </c>
      <c r="O871" s="19" t="s">
        <v>1158</v>
      </c>
      <c r="P871" s="6"/>
      <c r="Q871" s="6" t="str">
        <f t="shared" si="1"/>
        <v>#N/A</v>
      </c>
      <c r="R871" s="6"/>
    </row>
    <row r="872" hidden="1">
      <c r="A872" s="31" t="str">
        <f>IFERROR(__xludf.DUMMYFUNCTION("""COMPUTED_VALUE"""),"714")</f>
        <v>714</v>
      </c>
      <c r="B872" s="14" t="str">
        <f>IFERROR(__xludf.DUMMYFUNCTION("""COMPUTED_VALUE"""),"РЕН-26")</f>
        <v>РЕН-26</v>
      </c>
      <c r="C872" s="14" t="str">
        <f>IFERROR(__xludf.DUMMYFUNCTION("""COMPUTED_VALUE"""),"ОКС")</f>
        <v>ОКС</v>
      </c>
      <c r="D872" s="6"/>
      <c r="E872" s="14" t="str">
        <f>IFERROR(__xludf.DUMMYFUNCTION("""COMPUTED_VALUE"""),"улица Зарайская, земельный участок 46/1 (вл. 46, к. 1 и 2, Шатурская ул., вл. 39) ЮВАО, район Рязанский, Зарайская ул., вл. 46/1, Шатурская ул. вл.39 ")</f>
        <v>улица Зарайская, земельный участок 46/1 (вл. 46, к. 1 и 2, Шатурская ул., вл. 39) ЮВАО, район Рязанский, Зарайская ул., вл. 46/1, Шатурская ул. вл.39 </v>
      </c>
      <c r="F872" s="25" t="str">
        <f>IFERROR(__xludf.DUMMYFUNCTION("""COMPUTED_VALUE"""),"55.728211")</f>
        <v>55.728211</v>
      </c>
      <c r="G872" s="6" t="str">
        <f>IFERROR(__xludf.DUMMYFUNCTION("""COMPUTED_VALUE"""),"37.772367")</f>
        <v>37.772367</v>
      </c>
      <c r="H872" s="18" t="str">
        <f>IFERROR(__xludf.DUMMYFUNCTION("""COMPUTED_VALUE"""),"https://docs.google.com/spreadsheets/d/1rbCD10ySi4YZEkJW2_Slmn9z7AI1WEsGsZaIJmnnT18/edit?gid=1644784685#gid=1644784685")</f>
        <v>https://docs.google.com/spreadsheets/d/1rbCD10ySi4YZEkJW2_Slmn9z7AI1WEsGsZaIJmnnT18/edit?gid=1644784685#gid=1644784685</v>
      </c>
      <c r="I872" s="21" t="str">
        <f>IFERROR(__xludf.DUMMYFUNCTION("""COMPUTED_VALUE"""),"https://disk.yandex.ru/client/disk/%D0%9E%D1%81%D0%BC%D0%BE%D1%82%D1%80%D1%8B%20%D0%BE%D0%B1%D1%8A%D0%B5%D0%BA%D1%82%D0%BE%D0%B2%20%D0%90%D0%9D%D0%9E%20%D0%A1%D0%9C%D0%93/714%20%D0%97%D0%B0%D1%80%D0%B0%D0%B9%D1%81%D0%BA%D0%B0%D1%8F%20%D0%B2%D0%BB%2046.1%2"&amp;"0%2C%20%D0%A8%D0%B0%D1%82%D1%83%D1%80%D1%81%D0%BA%D0%B0%D1%8F%20%D1%83%D0%BB%20%D0%B2%D0%BB.%2039%20")</f>
        <v>https://disk.yandex.ru/client/disk/%D0%9E%D1%81%D0%BC%D0%BE%D1%82%D1%80%D1%8B%20%D0%BE%D0%B1%D1%8A%D0%B5%D0%BA%D1%82%D0%BE%D0%B2%20%D0%90%D0%9D%D0%9E%20%D0%A1%D0%9C%D0%93/714%20%D0%97%D0%B0%D1%80%D0%B0%D0%B9%D1%81%D0%BA%D0%B0%D1%8F%20%D0%B2%D0%BB%2046.1%20%2C%20%D0%A8%D0%B0%D1%82%D1%83%D1%80%D1%81%D0%BA%D0%B0%D1%8F%20%D1%83%D0%BB%20%D0%B2%D0%BB.%2039%20</v>
      </c>
      <c r="J872" s="50">
        <f>IFERROR(__xludf.DUMMYFUNCTION("""COMPUTED_VALUE"""),18.172124999999998)</f>
        <v>18.172125</v>
      </c>
      <c r="K872" s="58">
        <f>IFERROR(__xludf.DUMMYFUNCTION("""COMPUTED_VALUE"""),45952.0)</f>
        <v>45952</v>
      </c>
      <c r="L872" s="6">
        <v>30.0</v>
      </c>
      <c r="M872" s="52">
        <v>45982.0</v>
      </c>
      <c r="N872" s="53" t="s">
        <v>741</v>
      </c>
      <c r="O872" s="19" t="s">
        <v>669</v>
      </c>
      <c r="P872" s="6"/>
      <c r="Q872" s="6" t="str">
        <f t="shared" si="1"/>
        <v>#N/A</v>
      </c>
      <c r="R872" s="6"/>
    </row>
    <row r="873" hidden="1">
      <c r="A873" s="31" t="str">
        <f>IFERROR(__xludf.DUMMYFUNCTION("""COMPUTED_VALUE"""),"571")</f>
        <v>571</v>
      </c>
      <c r="B873" s="14" t="str">
        <f>IFERROR(__xludf.DUMMYFUNCTION("""COMPUTED_VALUE"""),"РЕН-26")</f>
        <v>РЕН-26</v>
      </c>
      <c r="C873" s="14" t="str">
        <f>IFERROR(__xludf.DUMMYFUNCTION("""COMPUTED_VALUE"""),"ОКС")</f>
        <v>ОКС</v>
      </c>
      <c r="D873" s="6"/>
      <c r="E873" s="14" t="str">
        <f>IFERROR(__xludf.DUMMYFUNCTION("""COMPUTED_VALUE"""),"улица Плеханова, земельный участок 24А (вл. 24А) ВАО, район Перово, ул. Плеханова зу 24А")</f>
        <v>улица Плеханова, земельный участок 24А (вл. 24А) ВАО, район Перово, ул. Плеханова зу 24А</v>
      </c>
      <c r="F873" s="25" t="str">
        <f>IFERROR(__xludf.DUMMYFUNCTION("""COMPUTED_VALUE"""),"55.741388")</f>
        <v>55.741388</v>
      </c>
      <c r="G873" s="6" t="str">
        <f>IFERROR(__xludf.DUMMYFUNCTION("""COMPUTED_VALUE"""),"37.764829")</f>
        <v>37.764829</v>
      </c>
      <c r="H873" s="18" t="str">
        <f>IFERROR(__xludf.DUMMYFUNCTION("""COMPUTED_VALUE"""),"https://docs.google.com/spreadsheets/d/1rbCD10ySi4YZEkJW2_Slmn9z7AI1WEsGsZaIJmnnT18/edit?gid=1455430518#gid=1455430518")</f>
        <v>https://docs.google.com/spreadsheets/d/1rbCD10ySi4YZEkJW2_Slmn9z7AI1WEsGsZaIJmnnT18/edit?gid=1455430518#gid=1455430518</v>
      </c>
      <c r="I873" s="19" t="str">
        <f>IFERROR(__xludf.DUMMYFUNCTION("""COMPUTED_VALUE"""),"https://disk.yandex.ru/client/disk/Осмотры%20объектов%20АНО%20СМГ/571.%20Перово%2C%20ул.%20Плехановская%2C%2024%20А")</f>
        <v>https://disk.yandex.ru/client/disk/Осмотры%20объектов%20АНО%20СМГ/571.%20Перово%2C%20ул.%20Плехановская%2C%2024%20А</v>
      </c>
      <c r="J873" s="50">
        <f>IFERROR(__xludf.DUMMYFUNCTION("""COMPUTED_VALUE"""),12.915)</f>
        <v>12.915</v>
      </c>
      <c r="K873" s="58">
        <f>IFERROR(__xludf.DUMMYFUNCTION("""COMPUTED_VALUE"""),45968.0)</f>
        <v>45968</v>
      </c>
      <c r="L873" s="6">
        <v>30.0</v>
      </c>
      <c r="M873" s="52">
        <v>45998.0</v>
      </c>
      <c r="N873" s="53" t="s">
        <v>711</v>
      </c>
      <c r="O873" s="19" t="s">
        <v>669</v>
      </c>
      <c r="P873" s="6"/>
      <c r="Q873" s="6" t="str">
        <f t="shared" si="1"/>
        <v>#N/A</v>
      </c>
      <c r="R873" s="6"/>
    </row>
    <row r="874" hidden="1">
      <c r="A874" s="31" t="str">
        <f>IFERROR(__xludf.DUMMYFUNCTION("""COMPUTED_VALUE"""),"682")</f>
        <v>682</v>
      </c>
      <c r="B874" s="14" t="str">
        <f>IFERROR(__xludf.DUMMYFUNCTION("""COMPUTED_VALUE"""),"РЕН-26")</f>
        <v>РЕН-26</v>
      </c>
      <c r="C874" s="14" t="str">
        <f>IFERROR(__xludf.DUMMYFUNCTION("""COMPUTED_VALUE"""),"ОКС")</f>
        <v>ОКС</v>
      </c>
      <c r="D874" s="6"/>
      <c r="E874" s="14" t="str">
        <f>IFERROR(__xludf.DUMMYFUNCTION("""COMPUTED_VALUE"""),"15-я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П"&amp;"арковая ул, д.42, к.8, стр.1)")</f>
        <v>15-я Парковая улица, земельный участок 42 (вл.42) (зона 10.4(к.17) ВАО, Северное Измайлово,  15-я Парковая ул., з/у 42, мкр. 80,  зона №10.4  (со сносом жилых и нежилых зданий, по адресам: 15-я Парковая ул., д.42, к.7; 15-я Парковая ул., д.42, к.8; 15-я Парковая ул, д.42, к.8, стр.1)</v>
      </c>
      <c r="F874" s="25" t="str">
        <f>IFERROR(__xludf.DUMMYFUNCTION("""COMPUTED_VALUE"""),"55.806119")</f>
        <v>55.806119</v>
      </c>
      <c r="G874" s="6" t="str">
        <f>IFERROR(__xludf.DUMMYFUNCTION("""COMPUTED_VALUE"""),"37.824476")</f>
        <v>37.824476</v>
      </c>
      <c r="H874" s="18" t="str">
        <f>IFERROR(__xludf.DUMMYFUNCTION("""COMPUTED_VALUE"""),"https://docs.google.com/spreadsheets/d/1rbCD10ySi4YZEkJW2_Slmn9z7AI1WEsGsZaIJmnnT18/edit?gid=617058408#gid=617058408")</f>
        <v>https://docs.google.com/spreadsheets/d/1rbCD10ySi4YZEkJW2_Slmn9z7AI1WEsGsZaIJmnnT18/edit?gid=617058408#gid=617058408</v>
      </c>
      <c r="I874" s="21" t="str">
        <f>IFERROR(__xludf.DUMMYFUNCTION("""COMPUTED_VALUE"""),"https://disk.yandex.ru/client/disk/%D0%9E%D1%81%D0%BC%D0%BE%D1%82%D1%80%D1%8B%20%D0%BE%D0%B1%D1%8A%D0%B5%D0%BA%D1%82%D0%BE%D0%B2%20%D0%90%D0%9D%D0%9E%20%D0%A1%D0%9C%D0%93/682%20%D0%92%D0%90%D0%9E%2C%20%D0%A1%D0%B5%D0%B2%D0%B5%D1%80%D0%BD%D0%BE%D0%B5%20%D0"&amp;"%98%D0%B7%D0%BC%D0%B0%D0%B9%D0%BB%D0%BE%D0%B2%D0%BE%2C%20%2015-%D1%8F%20%D0%9F%D0%B0%D1%80%D0%BA%D0%BE%D0%B2%D0%B0%D1%8F%20%D0%B7%D1%83%2042%2C%20%D0%BC%D0%BA%D1%80.%2080%2C%20%20%D0%B7%D0%BE%D0%BD%D0%B0%20%E2%84%9610.4%20%D0%BA%D0%BE%D1%80%D0%BF%D1%83%D1"&amp;"%81%207%20%2C%20%D0%BA%D0%BE%D1%80%D0%BF%D1%83%D1%81%208%20%2C%20%D0%BA%D0%BE%D1%80%D0%BF%D1%83%D1%81%208%20%D1%81%D1%82%D1%80%201%20")</f>
        <v>https://disk.yandex.ru/client/disk/%D0%9E%D1%81%D0%BC%D0%BE%D1%82%D1%80%D1%8B%20%D0%BE%D0%B1%D1%8A%D0%B5%D0%BA%D1%82%D0%BE%D0%B2%20%D0%90%D0%9D%D0%9E%20%D0%A1%D0%9C%D0%93/682%20%D0%92%D0%90%D0%9E%2C%20%D0%A1%D0%B5%D0%B2%D0%B5%D1%80%D0%BD%D0%BE%D0%B5%20%D0%98%D0%B7%D0%BC%D0%B0%D0%B9%D0%BB%D0%BE%D0%B2%D0%BE%2C%20%2015-%D1%8F%20%D0%9F%D0%B0%D1%80%D0%BA%D0%BE%D0%B2%D0%B0%D1%8F%20%D0%B7%D1%83%2042%2C%20%D0%BC%D0%BA%D1%80.%2080%2C%20%20%D0%B7%D0%BE%D0%BD%D0%B0%20%E2%84%9610.4%20%D0%BA%D0%BE%D1%80%D0%BF%D1%83%D1%81%207%20%2C%20%D0%BA%D0%BE%D1%80%D0%BF%D1%83%D1%81%208%20%2C%20%D0%BA%D0%BE%D1%80%D0%BF%D1%83%D1%81%208%20%D1%81%D1%82%D1%80%201%20</v>
      </c>
      <c r="J874" s="50">
        <f>IFERROR(__xludf.DUMMYFUNCTION("""COMPUTED_VALUE"""),5.6799)</f>
        <v>5.6799</v>
      </c>
      <c r="K874" s="58">
        <f>IFERROR(__xludf.DUMMYFUNCTION("""COMPUTED_VALUE"""),45947.0)</f>
        <v>45947</v>
      </c>
      <c r="L874" s="6">
        <v>30.0</v>
      </c>
      <c r="M874" s="52">
        <v>45977.0</v>
      </c>
      <c r="N874" s="53" t="s">
        <v>701</v>
      </c>
      <c r="O874" s="19" t="s">
        <v>669</v>
      </c>
      <c r="P874" s="6"/>
      <c r="Q874" s="6" t="str">
        <f t="shared" si="1"/>
        <v>#N/A</v>
      </c>
      <c r="R874" s="6"/>
    </row>
    <row r="875">
      <c r="A875" s="31" t="str">
        <f>IFERROR(__xludf.DUMMYFUNCTION("""COMPUTED_VALUE"""),"612")</f>
        <v>612</v>
      </c>
      <c r="B875" s="14" t="str">
        <f>IFERROR(__xludf.DUMMYFUNCTION("""COMPUTED_VALUE"""),"РЕН-26")</f>
        <v>РЕН-26</v>
      </c>
      <c r="C875" s="14" t="str">
        <f>IFERROR(__xludf.DUMMYFUNCTION("""COMPUTED_VALUE"""),"ОКС")</f>
        <v>ОКС</v>
      </c>
      <c r="D875" s="6"/>
      <c r="E875" s="14" t="str">
        <f>IFERROR(__xludf.DUMMYFUNCTION("""COMPUTED_VALUE"""),"Сиреневый бульвар, земельный участок 4/4 зона 5.1 район Измайлово, Сиреневый бульвар, вл. 4, участок 4 зона 5.1")</f>
        <v>Сиреневый бульвар, земельный участок 4/4 зона 5.1 район Измайлово, Сиреневый бульвар, вл. 4, участок 4 зона 5.1</v>
      </c>
      <c r="F875" s="25" t="str">
        <f>IFERROR(__xludf.DUMMYFUNCTION("""COMPUTED_VALUE"""),"55.796007")</f>
        <v>55.796007</v>
      </c>
      <c r="G875" s="6" t="str">
        <f>IFERROR(__xludf.DUMMYFUNCTION("""COMPUTED_VALUE"""),"37.758178")</f>
        <v>37.758178</v>
      </c>
      <c r="H875" s="18" t="str">
        <f>IFERROR(__xludf.DUMMYFUNCTION("""COMPUTED_VALUE"""),"https://docs.google.com/spreadsheets/d/1rbCD10ySi4YZEkJW2_Slmn9z7AI1WEsGsZaIJmnnT18/edit?gid=1553204611#gid=1553204611")</f>
        <v>https://docs.google.com/spreadsheets/d/1rbCD10ySi4YZEkJW2_Slmn9z7AI1WEsGsZaIJmnnT18/edit?gid=1553204611#gid=1553204611</v>
      </c>
      <c r="I875" s="19" t="str">
        <f>IFERROR(__xludf.DUMMYFUNCTION("""COMPUTED_VALUE"""),"https://disk.yandex.ru/client/disk/Осмотры%20объектов%20АНО%20СМГ/612.%20Измайлово%2C%20Сиреневый%20бульвар%2C%20зу%204.4%2C%20зона%205.1")</f>
        <v>https://disk.yandex.ru/client/disk/Осмотры%20объектов%20АНО%20СМГ/612.%20Измайлово%2C%20Сиреневый%20бульвар%2C%20зу%204.4%2C%20зона%205.1</v>
      </c>
      <c r="J875" s="50">
        <f>IFERROR(__xludf.DUMMYFUNCTION("""COMPUTED_VALUE"""),0.44999999999999996)</f>
        <v>0.45</v>
      </c>
      <c r="K875" s="58">
        <f>IFERROR(__xludf.DUMMYFUNCTION("""COMPUTED_VALUE"""),45973.0)</f>
        <v>45973</v>
      </c>
      <c r="L875" s="6">
        <v>30.0</v>
      </c>
      <c r="M875" s="52">
        <v>46003.0</v>
      </c>
      <c r="N875" s="53" t="s">
        <v>711</v>
      </c>
      <c r="O875" s="19" t="s">
        <v>669</v>
      </c>
      <c r="P875" s="6"/>
      <c r="Q875" s="6" t="str">
        <f t="shared" si="1"/>
        <v>612</v>
      </c>
      <c r="R875" s="6"/>
    </row>
    <row r="876" hidden="1">
      <c r="A876" s="31" t="str">
        <f>IFERROR(__xludf.DUMMYFUNCTION("""COMPUTED_VALUE"""),"827")</f>
        <v>827</v>
      </c>
      <c r="B876" s="14" t="str">
        <f>IFERROR(__xludf.DUMMYFUNCTION("""COMPUTED_VALUE"""),"РЕН-26")</f>
        <v>РЕН-26</v>
      </c>
      <c r="C876" s="14" t="str">
        <f>IFERROR(__xludf.DUMMYFUNCTION("""COMPUTED_VALUE"""),"ОКС")</f>
        <v>ОКС</v>
      </c>
      <c r="D876" s="6"/>
      <c r="E876" s="14" t="str">
        <f>IFERROR(__xludf.DUMMYFUNCTION("""COMPUTED_VALUE"""),"улица Ташкентская, земельный участок 14/3 (зона 3.2 и 3.4) улица Ташкентская, земельный участок 14/3 (зона 3.2 и 3.4)")</f>
        <v>улица Ташкентская, земельный участок 14/3 (зона 3.2 и 3.4) улица Ташкентская, земельный участок 14/3 (зона 3.2 и 3.4)</v>
      </c>
      <c r="F876" s="25" t="str">
        <f>IFERROR(__xludf.DUMMYFUNCTION("""COMPUTED_VALUE"""),"55.704688")</f>
        <v>55.704688</v>
      </c>
      <c r="G876" s="6" t="str">
        <f>IFERROR(__xludf.DUMMYFUNCTION("""COMPUTED_VALUE"""),"37.813485")</f>
        <v>37.813485</v>
      </c>
      <c r="H876" s="18" t="str">
        <f>IFERROR(__xludf.DUMMYFUNCTION("""COMPUTED_VALUE"""),"https://docs.google.com/spreadsheets/d/1rbCD10ySi4YZEkJW2_Slmn9z7AI1WEsGsZaIJmnnT18/edit?gid=252316906#gid=252316906")</f>
        <v>https://docs.google.com/spreadsheets/d/1rbCD10ySi4YZEkJW2_Slmn9z7AI1WEsGsZaIJmnnT18/edit?gid=252316906#gid=252316906</v>
      </c>
      <c r="I876" s="19" t="str">
        <f>IFERROR(__xludf.DUMMYFUNCTION("""COMPUTED_VALUE"""),"https://disk.yandex.ru/client/disk/Осмотры%20объектов%20АНО%20СМГ/827.%20район%20Выхино-Жулебино%2C%20ул.%20Ташкентская%20ЗУ%2014.3%2C%20зона%20№%203.2%2C%203.4")</f>
        <v>https://disk.yandex.ru/client/disk/Осмотры%20объектов%20АНО%20СМГ/827.%20район%20Выхино-Жулебино%2C%20ул.%20Ташкентская%20ЗУ%2014.3%2C%20зона%20№%203.2%2C%203.4</v>
      </c>
      <c r="J876" s="50">
        <f>IFERROR(__xludf.DUMMYFUNCTION("""COMPUTED_VALUE"""),19.0071)</f>
        <v>19.0071</v>
      </c>
      <c r="K876" s="58">
        <f>IFERROR(__xludf.DUMMYFUNCTION("""COMPUTED_VALUE"""),45968.0)</f>
        <v>45968</v>
      </c>
      <c r="L876" s="6">
        <v>30.0</v>
      </c>
      <c r="M876" s="52">
        <v>45998.0</v>
      </c>
      <c r="N876" s="53" t="s">
        <v>711</v>
      </c>
      <c r="O876" s="19" t="s">
        <v>669</v>
      </c>
      <c r="P876" s="6"/>
      <c r="Q876" s="6" t="str">
        <f t="shared" si="1"/>
        <v>#N/A</v>
      </c>
      <c r="R876" s="6"/>
    </row>
    <row r="877" hidden="1">
      <c r="A877" s="31" t="str">
        <f>IFERROR(__xludf.DUMMYFUNCTION("""COMPUTED_VALUE"""),"598")</f>
        <v>598</v>
      </c>
      <c r="B877" s="14" t="str">
        <f>IFERROR(__xludf.DUMMYFUNCTION("""COMPUTED_VALUE"""),"РЕН-26")</f>
        <v>РЕН-26</v>
      </c>
      <c r="C877" s="14" t="str">
        <f>IFERROR(__xludf.DUMMYFUNCTION("""COMPUTED_VALUE"""),"ОКС")</f>
        <v>ОКС</v>
      </c>
      <c r="D877" s="6"/>
      <c r="E877" s="14" t="str">
        <f>IFERROR(__xludf.DUMMYFUNCTION("""COMPUTED_VALUE"""),"ул. Амурская, земельный участок 1/11 (зоны 3.1, 3.2) район Гольяново, Амурская ул., вл. 1, зона № 3.1, 3.2 (улица Амурская, з/у 1/11)")</f>
        <v>ул. Амурская, земельный участок 1/11 (зоны 3.1, 3.2) район Гольяново, Амурская ул., вл. 1, зона № 3.1, 3.2 (улица Амурская, з/у 1/11)</v>
      </c>
      <c r="F877" s="25" t="str">
        <f>IFERROR(__xludf.DUMMYFUNCTION("""COMPUTED_VALUE"""),"55.808457")</f>
        <v>55.808457</v>
      </c>
      <c r="G877" s="6" t="str">
        <f>IFERROR(__xludf.DUMMYFUNCTION("""COMPUTED_VALUE"""),"37.753995")</f>
        <v>37.753995</v>
      </c>
      <c r="H877" s="18" t="str">
        <f>IFERROR(__xludf.DUMMYFUNCTION("""COMPUTED_VALUE"""),"https://docs.google.com/spreadsheets/d/1rbCD10ySi4YZEkJW2_Slmn9z7AI1WEsGsZaIJmnnT18/edit?gid=798053940#gid=798053940")</f>
        <v>https://docs.google.com/spreadsheets/d/1rbCD10ySi4YZEkJW2_Slmn9z7AI1WEsGsZaIJmnnT18/edit?gid=798053940#gid=798053940</v>
      </c>
      <c r="I877" s="19" t="str">
        <f>IFERROR(__xludf.DUMMYFUNCTION("""COMPUTED_VALUE"""),"https://disk.yandex.ru/client/disk/Осмотры%20объектов%20АНО%20СМГ/598.%20ВАО%2C%20Амурская%20ул%20вл.1%20зона%20N%203.1%2C3.2%20(з_у%201_11)")</f>
        <v>https://disk.yandex.ru/client/disk/Осмотры%20объектов%20АНО%20СМГ/598.%20ВАО%2C%20Амурская%20ул%20вл.1%20зона%20N%203.1%2C3.2%20(з_у%201_11)</v>
      </c>
      <c r="J877" s="50">
        <f>IFERROR(__xludf.DUMMYFUNCTION("""COMPUTED_VALUE"""),40.013925)</f>
        <v>40.013925</v>
      </c>
      <c r="K877" s="58">
        <f>IFERROR(__xludf.DUMMYFUNCTION("""COMPUTED_VALUE"""),45962.0)</f>
        <v>45962</v>
      </c>
      <c r="L877" s="6">
        <v>30.0</v>
      </c>
      <c r="M877" s="52">
        <v>45992.0</v>
      </c>
      <c r="N877" s="53" t="s">
        <v>692</v>
      </c>
      <c r="O877" s="19" t="s">
        <v>669</v>
      </c>
      <c r="P877" s="6"/>
      <c r="Q877" s="6" t="str">
        <f t="shared" si="1"/>
        <v>#N/A</v>
      </c>
      <c r="R877" s="6"/>
    </row>
    <row r="878" hidden="1">
      <c r="A878" s="31" t="str">
        <f>IFERROR(__xludf.DUMMYFUNCTION("""COMPUTED_VALUE"""),"829")</f>
        <v>829</v>
      </c>
      <c r="B878" s="14" t="str">
        <f>IFERROR(__xludf.DUMMYFUNCTION("""COMPUTED_VALUE"""),"РЕН-26")</f>
        <v>РЕН-26</v>
      </c>
      <c r="C878" s="14" t="str">
        <f>IFERROR(__xludf.DUMMYFUNCTION("""COMPUTED_VALUE"""),"ОКС")</f>
        <v>ОКС</v>
      </c>
      <c r="D878" s="6"/>
      <c r="E878" s="14" t="str">
        <f>IFERROR(__xludf.DUMMYFUNCTION("""COMPUTED_VALUE"""),"улица Юных Ленинцев, земельный участок 103 (участок 12.4) улица Юных Ленинцев, земельный участок 103 (участок 12.4)")</f>
        <v>улица Юных Ленинцев, земельный участок 103 (участок 12.4) улица Юных Ленинцев, земельный участок 103 (участок 12.4)</v>
      </c>
      <c r="F878" s="25" t="str">
        <f>IFERROR(__xludf.DUMMYFUNCTION("""COMPUTED_VALUE"""),"55.699947")</f>
        <v>55.699947</v>
      </c>
      <c r="G878" s="6" t="str">
        <f>IFERROR(__xludf.DUMMYFUNCTION("""COMPUTED_VALUE"""),"37.781703")</f>
        <v>37.781703</v>
      </c>
      <c r="H878" s="18" t="str">
        <f>IFERROR(__xludf.DUMMYFUNCTION("""COMPUTED_VALUE"""),"https://docs.google.com/spreadsheets/d/1rbCD10ySi4YZEkJW2_Slmn9z7AI1WEsGsZaIJmnnT18/edit?gid=256251800#gid=256251800")</f>
        <v>https://docs.google.com/spreadsheets/d/1rbCD10ySi4YZEkJW2_Slmn9z7AI1WEsGsZaIJmnnT18/edit?gid=256251800#gid=256251800</v>
      </c>
      <c r="I878" s="19" t="str">
        <f>IFERROR(__xludf.DUMMYFUNCTION("""COMPUTED_VALUE"""),"https://disk.yandex.ru/client/disk/Осмотры%20объектов%20АНО%20СМГ/829.%20Ул.%20Юных%20Ленинцев%2C%20з-у%20103%20(уч.%2012.4).%20Жилой%20дом")</f>
        <v>https://disk.yandex.ru/client/disk/Осмотры%20объектов%20АНО%20СМГ/829.%20Ул.%20Юных%20Ленинцев%2C%20з-у%20103%20(уч.%2012.4).%20Жилой%20дом</v>
      </c>
      <c r="J878" s="50">
        <f>IFERROR(__xludf.DUMMYFUNCTION("""COMPUTED_VALUE"""),33.12825)</f>
        <v>33.12825</v>
      </c>
      <c r="K878" s="58">
        <f>IFERROR(__xludf.DUMMYFUNCTION("""COMPUTED_VALUE"""),45975.0)</f>
        <v>45975</v>
      </c>
      <c r="L878" s="6">
        <v>30.0</v>
      </c>
      <c r="M878" s="52">
        <v>46005.0</v>
      </c>
      <c r="N878" s="53" t="s">
        <v>711</v>
      </c>
      <c r="O878" s="19" t="s">
        <v>669</v>
      </c>
      <c r="P878" s="6"/>
      <c r="Q878" s="6" t="str">
        <f t="shared" si="1"/>
        <v>#N/A</v>
      </c>
      <c r="R878" s="6"/>
    </row>
    <row r="879" hidden="1">
      <c r="A879" s="31" t="str">
        <f>IFERROR(__xludf.DUMMYFUNCTION("""COMPUTED_VALUE"""),"830")</f>
        <v>830</v>
      </c>
      <c r="B879" s="14" t="str">
        <f>IFERROR(__xludf.DUMMYFUNCTION("""COMPUTED_VALUE"""),"РЕН-26")</f>
        <v>РЕН-26</v>
      </c>
      <c r="C879" s="14" t="str">
        <f>IFERROR(__xludf.DUMMYFUNCTION("""COMPUTED_VALUE"""),"ОКС")</f>
        <v>ОКС</v>
      </c>
      <c r="D879" s="6"/>
      <c r="E879" s="14" t="str">
        <f>IFERROR(__xludf.DUMMYFUNCTION("""COMPUTED_VALUE"""),"улица Юных Ленинцев, земельный участок 111 (участок 12.8) улица Юных Ленинцев, земельный участок 111 (участок 12.8)")</f>
        <v>улица Юных Ленинцев, земельный участок 111 (участок 12.8) улица Юных Ленинцев, земельный участок 111 (участок 12.8)</v>
      </c>
      <c r="F879" s="25" t="str">
        <f>IFERROR(__xludf.DUMMYFUNCTION("""COMPUTED_VALUE"""),"55.699444")</f>
        <v>55.699444</v>
      </c>
      <c r="G879" s="6" t="str">
        <f>IFERROR(__xludf.DUMMYFUNCTION("""COMPUTED_VALUE"""),"37.785650")</f>
        <v>37.785650</v>
      </c>
      <c r="H879" s="18" t="str">
        <f>IFERROR(__xludf.DUMMYFUNCTION("""COMPUTED_VALUE"""),"https://docs.google.com/spreadsheets/d/1rbCD10ySi4YZEkJW2_Slmn9z7AI1WEsGsZaIJmnnT18/edit?gid=580229704#gid=580229704")</f>
        <v>https://docs.google.com/spreadsheets/d/1rbCD10ySi4YZEkJW2_Slmn9z7AI1WEsGsZaIJmnnT18/edit?gid=580229704#gid=580229704</v>
      </c>
      <c r="I879" s="19" t="str">
        <f>IFERROR(__xludf.DUMMYFUNCTION("""COMPUTED_VALUE"""),"https://disk.yandex.ru/client/disk/Осмотры%20объектов%20АНО%20СМГ/830.%20улица%20Юных%20Ленинцев%2C%20зу%20111")</f>
        <v>https://disk.yandex.ru/client/disk/Осмотры%20объектов%20АНО%20СМГ/830.%20улица%20Юных%20Ленинцев%2C%20зу%20111</v>
      </c>
      <c r="J879" s="50">
        <f>IFERROR(__xludf.DUMMYFUNCTION("""COMPUTED_VALUE"""),36.43993499999999)</f>
        <v>36.439935</v>
      </c>
      <c r="K879" s="58">
        <f>IFERROR(__xludf.DUMMYFUNCTION("""COMPUTED_VALUE"""),45974.0)</f>
        <v>45974</v>
      </c>
      <c r="L879" s="6">
        <v>30.0</v>
      </c>
      <c r="M879" s="52">
        <v>46004.0</v>
      </c>
      <c r="N879" s="53" t="s">
        <v>711</v>
      </c>
      <c r="O879" s="19" t="s">
        <v>669</v>
      </c>
      <c r="P879" s="6"/>
      <c r="Q879" s="6" t="str">
        <f t="shared" si="1"/>
        <v>#N/A</v>
      </c>
      <c r="R879" s="6"/>
    </row>
    <row r="880" hidden="1">
      <c r="A880" s="31" t="str">
        <f>IFERROR(__xludf.DUMMYFUNCTION("""COMPUTED_VALUE"""),"831")</f>
        <v>831</v>
      </c>
      <c r="B880" s="14" t="str">
        <f>IFERROR(__xludf.DUMMYFUNCTION("""COMPUTED_VALUE"""),"РЕН-26")</f>
        <v>РЕН-26</v>
      </c>
      <c r="C880" s="14" t="str">
        <f>IFERROR(__xludf.DUMMYFUNCTION("""COMPUTED_VALUE"""),"ОКС")</f>
        <v>ОКС</v>
      </c>
      <c r="D880" s="6"/>
      <c r="E880" s="14" t="str">
        <f>IFERROR(__xludf.DUMMYFUNCTION("""COMPUTED_VALUE"""),"улица Юных Ленинцев, земельный участок 113 (зоны 12.9, 12.12) ЮВАО	улица Юных Ленинцев, земельный участок 113 (зоны 12.9, 12.12)")</f>
        <v>улица Юных Ленинцев, земельный участок 113 (зоны 12.9, 12.12) ЮВАО	улица Юных Ленинцев, земельный участок 113 (зоны 12.9, 12.12)</v>
      </c>
      <c r="F880" s="25" t="str">
        <f>IFERROR(__xludf.DUMMYFUNCTION("""COMPUTED_VALUE"""),"55.699232")</f>
        <v>55.699232</v>
      </c>
      <c r="G880" s="6" t="str">
        <f>IFERROR(__xludf.DUMMYFUNCTION("""COMPUTED_VALUE"""),"37.786713")</f>
        <v>37.786713</v>
      </c>
      <c r="H880" s="18" t="str">
        <f>IFERROR(__xludf.DUMMYFUNCTION("""COMPUTED_VALUE"""),"https://docs.google.com/spreadsheets/d/1rbCD10ySi4YZEkJW2_Slmn9z7AI1WEsGsZaIJmnnT18/edit?gid=372457040#gid=372457040")</f>
        <v>https://docs.google.com/spreadsheets/d/1rbCD10ySi4YZEkJW2_Slmn9z7AI1WEsGsZaIJmnnT18/edit?gid=372457040#gid=372457040</v>
      </c>
      <c r="I880" s="19" t="str">
        <f>IFERROR(__xludf.DUMMYFUNCTION("""COMPUTED_VALUE"""),"https://disk.yandex.ru/client/disk/Осмотры%20объектов%20АНО%20СМГ/831.%20улица%20Юных%20Ленинцев%2C%20зу%20113")</f>
        <v>https://disk.yandex.ru/client/disk/Осмотры%20объектов%20АНО%20СМГ/831.%20улица%20Юных%20Ленинцев%2C%20зу%20113</v>
      </c>
      <c r="J880" s="50">
        <f>IFERROR(__xludf.DUMMYFUNCTION("""COMPUTED_VALUE"""),41.096775)</f>
        <v>41.096775</v>
      </c>
      <c r="K880" s="58">
        <f>IFERROR(__xludf.DUMMYFUNCTION("""COMPUTED_VALUE"""),45974.0)</f>
        <v>45974</v>
      </c>
      <c r="L880" s="6">
        <v>30.0</v>
      </c>
      <c r="M880" s="52">
        <v>46004.0</v>
      </c>
      <c r="N880" s="53" t="s">
        <v>711</v>
      </c>
      <c r="O880" s="19" t="s">
        <v>669</v>
      </c>
      <c r="P880" s="6"/>
      <c r="Q880" s="6" t="str">
        <f t="shared" si="1"/>
        <v>#N/A</v>
      </c>
      <c r="R880" s="6"/>
    </row>
    <row r="881" hidden="1">
      <c r="A881" s="31" t="str">
        <f>IFERROR(__xludf.DUMMYFUNCTION("""COMPUTED_VALUE"""),"832")</f>
        <v>832</v>
      </c>
      <c r="B881" s="14" t="str">
        <f>IFERROR(__xludf.DUMMYFUNCTION("""COMPUTED_VALUE"""),"РЕН-26")</f>
        <v>РЕН-26</v>
      </c>
      <c r="C881" s="14" t="str">
        <f>IFERROR(__xludf.DUMMYFUNCTION("""COMPUTED_VALUE"""),"ОКС")</f>
        <v>ОКС</v>
      </c>
      <c r="D881" s="6"/>
      <c r="E881" s="14" t="str">
        <f>IFERROR(__xludf.DUMMYFUNCTION("""COMPUTED_VALUE"""),"шоссе Волоколамское, земельный участок 106 СЗАО	 шоссе Волоколамское, земельный участок 106")</f>
        <v>шоссе Волоколамское, земельный участок 106 СЗАО	 шоссе Волоколамское, земельный участок 106</v>
      </c>
      <c r="F881" s="25" t="str">
        <f>IFERROR(__xludf.DUMMYFUNCTION("""COMPUTED_VALUE"""),"55.826736")</f>
        <v>55.826736</v>
      </c>
      <c r="G881" s="6" t="str">
        <f>IFERROR(__xludf.DUMMYFUNCTION("""COMPUTED_VALUE"""),"37.428314")</f>
        <v>37.428314</v>
      </c>
      <c r="H881" s="18" t="str">
        <f>IFERROR(__xludf.DUMMYFUNCTION("""COMPUTED_VALUE"""),"https://docs.google.com/spreadsheets/d/1rbCD10ySi4YZEkJW2_Slmn9z7AI1WEsGsZaIJmnnT18/edit?gid=1402094174#gid=1402094174")</f>
        <v>https://docs.google.com/spreadsheets/d/1rbCD10ySi4YZEkJW2_Slmn9z7AI1WEsGsZaIJmnnT18/edit?gid=1402094174#gid=1402094174</v>
      </c>
      <c r="I881" s="19" t="str">
        <f>IFERROR(__xludf.DUMMYFUNCTION("""COMPUTED_VALUE"""),"https://disk.yandex.ru/client/disk/Осмотры%20объектов%20АНО%20СМГ/832.%20Волоколамское%20шоссе%2C%20зу%20106")</f>
        <v>https://disk.yandex.ru/client/disk/Осмотры%20объектов%20АНО%20СМГ/832.%20Волоколамское%20шоссе%2C%20зу%20106</v>
      </c>
      <c r="J881" s="50">
        <f>IFERROR(__xludf.DUMMYFUNCTION("""COMPUTED_VALUE"""),3.4499999999999997)</f>
        <v>3.45</v>
      </c>
      <c r="K881" s="58">
        <f>IFERROR(__xludf.DUMMYFUNCTION("""COMPUTED_VALUE"""),45961.0)</f>
        <v>45961</v>
      </c>
      <c r="L881" s="6">
        <v>30.0</v>
      </c>
      <c r="M881" s="52">
        <v>45991.0</v>
      </c>
      <c r="N881" s="53" t="s">
        <v>692</v>
      </c>
      <c r="O881" s="19" t="s">
        <v>669</v>
      </c>
      <c r="P881" s="6"/>
      <c r="Q881" s="6" t="str">
        <f t="shared" si="1"/>
        <v>#N/A</v>
      </c>
      <c r="R881" s="6"/>
    </row>
    <row r="882">
      <c r="A882" s="31" t="str">
        <f>IFERROR(__xludf.DUMMYFUNCTION("""COMPUTED_VALUE"""),"693")</f>
        <v>693</v>
      </c>
      <c r="B882" s="14" t="str">
        <f>IFERROR(__xludf.DUMMYFUNCTION("""COMPUTED_VALUE"""),"РЕН-26")</f>
        <v>РЕН-26</v>
      </c>
      <c r="C882" s="14" t="str">
        <f>IFERROR(__xludf.DUMMYFUNCTION("""COMPUTED_VALUE"""),"ОКС")</f>
        <v>ОКС</v>
      </c>
      <c r="D882" s="6"/>
      <c r="E882" s="14" t="str">
        <f>IFERROR(__xludf.DUMMYFUNCTION("""COMPUTED_VALUE"""),"7-я Парковая улица, земельный участок 19 ВАО, район Измайлово, 7-я Парковая ул., зу 19")</f>
        <v>7-я Парковая улица, земельный участок 19 ВАО, район Измайлово, 7-я Парковая ул., зу 19</v>
      </c>
      <c r="F882" s="25" t="str">
        <f>IFERROR(__xludf.DUMMYFUNCTION("""COMPUTED_VALUE"""),"55.800022")</f>
        <v>55.800022</v>
      </c>
      <c r="G882" s="6" t="str">
        <f>IFERROR(__xludf.DUMMYFUNCTION("""COMPUTED_VALUE"""),"37.792436")</f>
        <v>37.792436</v>
      </c>
      <c r="H882" s="18" t="str">
        <f>IFERROR(__xludf.DUMMYFUNCTION("""COMPUTED_VALUE"""),"https://docs.google.com/spreadsheets/d/1rbCD10ySi4YZEkJW2_Slmn9z7AI1WEsGsZaIJmnnT18/edit?gid=511980375#gid=511980375")</f>
        <v>https://docs.google.com/spreadsheets/d/1rbCD10ySi4YZEkJW2_Slmn9z7AI1WEsGsZaIJmnnT18/edit?gid=511980375#gid=511980375</v>
      </c>
      <c r="I882" s="19" t="str">
        <f>IFERROR(__xludf.DUMMYFUNCTION("""COMPUTED_VALUE"""),"https://disk.yandex.ru/client/disk/Осмотры%20объектов%20АНО%20СМГ/693%207-я%20Парковая%20зу%2019")</f>
        <v>https://disk.yandex.ru/client/disk/Осмотры%20объектов%20АНО%20СМГ/693%207-я%20Парковая%20зу%2019</v>
      </c>
      <c r="J882" s="50">
        <f>IFERROR(__xludf.DUMMYFUNCTION("""COMPUTED_VALUE"""),4.803719999999999)</f>
        <v>4.80372</v>
      </c>
      <c r="K882" s="58">
        <f>IFERROR(__xludf.DUMMYFUNCTION("""COMPUTED_VALUE"""),45973.0)</f>
        <v>45973</v>
      </c>
      <c r="L882" s="6">
        <v>30.0</v>
      </c>
      <c r="M882" s="52">
        <v>46003.0</v>
      </c>
      <c r="N882" s="53" t="s">
        <v>711</v>
      </c>
      <c r="O882" s="19" t="s">
        <v>1159</v>
      </c>
      <c r="P882" s="6"/>
      <c r="Q882" s="6" t="str">
        <f t="shared" si="1"/>
        <v>693</v>
      </c>
      <c r="R882" s="6"/>
    </row>
    <row r="883" hidden="1">
      <c r="A883" s="31" t="str">
        <f>IFERROR(__xludf.DUMMYFUNCTION("""COMPUTED_VALUE"""),"697")</f>
        <v>697</v>
      </c>
      <c r="B883" s="14" t="str">
        <f>IFERROR(__xludf.DUMMYFUNCTION("""COMPUTED_VALUE"""),"РЕН-26")</f>
        <v>РЕН-26</v>
      </c>
      <c r="C883" s="14" t="str">
        <f>IFERROR(__xludf.DUMMYFUNCTION("""COMPUTED_VALUE"""),"ОКС")</f>
        <v>ОКС</v>
      </c>
      <c r="D883" s="6"/>
      <c r="E883" s="14" t="str">
        <f>IFERROR(__xludf.DUMMYFUNCTION("""COMPUTED_VALUE"""),"Керченская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f>
        <v>Керченская улица, земельный участок 28 (участок 12.3) ЮЗАО, район Зюзино, Керченская ул., зу 28, кв. 42, зона 12.3 (со сносом многоквартирных жилых домов по адресам: ул. Керченская, д. 28, д. 30)</v>
      </c>
      <c r="F883" s="25" t="str">
        <f>IFERROR(__xludf.DUMMYFUNCTION("""COMPUTED_VALUE"""),"55.648386")</f>
        <v>55.648386</v>
      </c>
      <c r="G883" s="6" t="str">
        <f>IFERROR(__xludf.DUMMYFUNCTION("""COMPUTED_VALUE"""),"37.576613")</f>
        <v>37.576613</v>
      </c>
      <c r="H883" s="18" t="str">
        <f>IFERROR(__xludf.DUMMYFUNCTION("""COMPUTED_VALUE"""),"https://docs.google.com/spreadsheets/d/1rbCD10ySi4YZEkJW2_Slmn9z7AI1WEsGsZaIJmnnT18/edit?gid=1656095741#gid=1656095741")</f>
        <v>https://docs.google.com/spreadsheets/d/1rbCD10ySi4YZEkJW2_Slmn9z7AI1WEsGsZaIJmnnT18/edit?gid=1656095741#gid=1656095741</v>
      </c>
      <c r="I883" s="19" t="str">
        <f>IFERROR(__xludf.DUMMYFUNCTION("""COMPUTED_VALUE"""),"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amp;"%20д.%2030)")</f>
        <v>https://disk.yandex.ru/client/disk/Осмотры%20объектов%20АНО%20СМГ/697.%20район%20Зюзино%2C%20Керченская%20ул.%2C%20зу%2028%2C%20кв.%2042%2C%20зона%2012.3%20(со%20сносом%20многоквартирных%20жилых%20домов%20по%20адресам%3A%20ул.%20Керченская%2C%20д.%2028%2C%20д.%2030)</v>
      </c>
      <c r="J883" s="50">
        <f>IFERROR(__xludf.DUMMYFUNCTION("""COMPUTED_VALUE"""),6.588900000000001)</f>
        <v>6.5889</v>
      </c>
      <c r="K883" s="58">
        <f>IFERROR(__xludf.DUMMYFUNCTION("""COMPUTED_VALUE"""),45974.0)</f>
        <v>45974</v>
      </c>
      <c r="L883" s="6">
        <v>30.0</v>
      </c>
      <c r="M883" s="52">
        <v>46004.0</v>
      </c>
      <c r="N883" s="53" t="s">
        <v>711</v>
      </c>
      <c r="O883" s="19" t="s">
        <v>1160</v>
      </c>
      <c r="P883" s="6"/>
      <c r="Q883" s="6" t="str">
        <f t="shared" si="1"/>
        <v>#N/A</v>
      </c>
      <c r="R883" s="6"/>
    </row>
    <row r="884" hidden="1">
      <c r="A884" s="31" t="str">
        <f>IFERROR(__xludf.DUMMYFUNCTION("""COMPUTED_VALUE"""),"705")</f>
        <v>705</v>
      </c>
      <c r="B884" s="14" t="str">
        <f>IFERROR(__xludf.DUMMYFUNCTION("""COMPUTED_VALUE"""),"РЕН-26")</f>
        <v>РЕН-26</v>
      </c>
      <c r="C884" s="14" t="str">
        <f>IFERROR(__xludf.DUMMYFUNCTION("""COMPUTED_VALUE"""),"ОКС")</f>
        <v>ОКС</v>
      </c>
      <c r="D884" s="6"/>
      <c r="E884" s="14" t="str">
        <f>IFERROR(__xludf.DUMMYFUNCTION("""COMPUTED_VALUE"""),"проспект Нахимовский, земельный участок 17/2 ЮЗАО, район Зюзино, кв. 14, зона 1.2 (со сносом жилых зданий по адресам: Нахимовский пр- кт, д.15, корп.2, Нахимовский пр-кт, д.17, корп.2)")</f>
        <v>проспект Нахимовский, земельный участок 17/2 ЮЗАО, район Зюзино, кв. 14, зона 1.2 (со сносом жилых зданий по адресам: Нахимовский пр- кт, д.15, корп.2, Нахимовский пр-кт, д.17, корп.2)</v>
      </c>
      <c r="F884" s="25" t="str">
        <f>IFERROR(__xludf.DUMMYFUNCTION("""COMPUTED_VALUE"""),"55.663358")</f>
        <v>55.663358</v>
      </c>
      <c r="G884" s="6" t="str">
        <f>IFERROR(__xludf.DUMMYFUNCTION("""COMPUTED_VALUE"""),"37.601466")</f>
        <v>37.601466</v>
      </c>
      <c r="H884" s="18" t="str">
        <f>IFERROR(__xludf.DUMMYFUNCTION("""COMPUTED_VALUE"""),"https://docs.google.com/spreadsheets/d/1rbCD10ySi4YZEkJW2_Slmn9z7AI1WEsGsZaIJmnnT18/edit?gid=1394380200#gid=1394380200")</f>
        <v>https://docs.google.com/spreadsheets/d/1rbCD10ySi4YZEkJW2_Slmn9z7AI1WEsGsZaIJmnnT18/edit?gid=1394380200#gid=1394380200</v>
      </c>
      <c r="I884" s="19" t="str">
        <f>IFERROR(__xludf.DUMMYFUNCTION("""COMPUTED_VALUE"""),"https://disk.yandex.ru/client/disk/Осмотры%20объектов%20АНО%20СМГ/705.%20район%20Зюзино%2C%20кв.%2014%2C%20зона%201.2%20(со%20сносом%20жилых%20зданий%20по%20адресам%3A%20Нахимовский%20пр-%20кт%2C%20д.15%2C%20корп.2%2C%20Нахимовский%20пркт%2C%20д.17%2C%20к"&amp;"орп.2)")</f>
        <v>https://disk.yandex.ru/client/disk/Осмотры%20объектов%20АНО%20СМГ/705.%20район%20Зюзино%2C%20кв.%2014%2C%20зона%201.2%20(со%20сносом%20жилых%20зданий%20по%20адресам%3A%20Нахимовский%20пр-%20кт%2C%20д.15%2C%20корп.2%2C%20Нахимовский%20пркт%2C%20д.17%2C%20корп.2)</v>
      </c>
      <c r="J884" s="50">
        <f>IFERROR(__xludf.DUMMYFUNCTION("""COMPUTED_VALUE"""),0.09000000000000001)</f>
        <v>0.09</v>
      </c>
      <c r="K884" s="58">
        <f>IFERROR(__xludf.DUMMYFUNCTION("""COMPUTED_VALUE"""),45946.0)</f>
        <v>45946</v>
      </c>
      <c r="L884" s="6">
        <v>30.0</v>
      </c>
      <c r="M884" s="52">
        <v>45976.0</v>
      </c>
      <c r="N884" s="53" t="s">
        <v>701</v>
      </c>
      <c r="O884" s="19" t="s">
        <v>1161</v>
      </c>
      <c r="P884" s="6"/>
      <c r="Q884" s="6" t="str">
        <f t="shared" si="1"/>
        <v>#N/A</v>
      </c>
      <c r="R884" s="6"/>
    </row>
    <row r="885" hidden="1">
      <c r="A885" s="31" t="str">
        <f>IFERROR(__xludf.DUMMYFUNCTION("""COMPUTED_VALUE"""),"706")</f>
        <v>706</v>
      </c>
      <c r="B885" s="14" t="str">
        <f>IFERROR(__xludf.DUMMYFUNCTION("""COMPUTED_VALUE"""),"РЕН-26")</f>
        <v>РЕН-26</v>
      </c>
      <c r="C885" s="14" t="str">
        <f>IFERROR(__xludf.DUMMYFUNCTION("""COMPUTED_VALUE"""),"ОКС")</f>
        <v>ОКС</v>
      </c>
      <c r="D885" s="6"/>
      <c r="E885" s="14" t="str">
        <f>IFERROR(__xludf.DUMMYFUNCTION("""COMPUTED_VALUE"""),"улица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вл."&amp;" 6, корп. 1, стр. 1)")</f>
        <v>улица Одесская, земельный участок 5 (Зюзино кв. 14) ЮЗАО        улица Одесская, земельный участок 5
район Зюзино, кв. 14, зона 1.3 (со сносом жилых зданий по адресам: ул. Одесская, д. 3, ул. Одесская, д. 5 и кирпичного гаража по адресу: ул. Сивашская, вл. 6, корп. 1, стр. 1)</v>
      </c>
      <c r="F885" s="25" t="str">
        <f>IFERROR(__xludf.DUMMYFUNCTION("""COMPUTED_VALUE"""),"55.663206")</f>
        <v>55.663206</v>
      </c>
      <c r="G885" s="6" t="str">
        <f>IFERROR(__xludf.DUMMYFUNCTION("""COMPUTED_VALUE"""),"37.599810")</f>
        <v>37.599810</v>
      </c>
      <c r="H885" s="18" t="str">
        <f>IFERROR(__xludf.DUMMYFUNCTION("""COMPUTED_VALUE"""),"https://docs.google.com/spreadsheets/d/1rbCD10ySi4YZEkJW2_Slmn9z7AI1WEsGsZaIJmnnT18/edit?gid=1203948268#gid=1203948268")</f>
        <v>https://docs.google.com/spreadsheets/d/1rbCD10ySi4YZEkJW2_Slmn9z7AI1WEsGsZaIJmnnT18/edit?gid=1203948268#gid=1203948268</v>
      </c>
      <c r="I885" s="19" t="str">
        <f>IFERROR(__xludf.DUMMYFUNCTION("""COMPUTED_VALUE"""),"https://disk.yandex.ru/client/disk/Осмотры%20объектов%20АНО%20СМГ/706.%20район%20Зюзино%2C%20кв.%2014%2C%20зона%201.3")</f>
        <v>https://disk.yandex.ru/client/disk/Осмотры%20объектов%20АНО%20СМГ/706.%20район%20Зюзино%2C%20кв.%2014%2C%20зона%201.3</v>
      </c>
      <c r="J885" s="50">
        <f>IFERROR(__xludf.DUMMYFUNCTION("""COMPUTED_VALUE"""),3.3299999999999996)</f>
        <v>3.33</v>
      </c>
      <c r="K885" s="58">
        <f>IFERROR(__xludf.DUMMYFUNCTION("""COMPUTED_VALUE"""),45974.0)</f>
        <v>45974</v>
      </c>
      <c r="L885" s="6">
        <v>30.0</v>
      </c>
      <c r="M885" s="52">
        <v>46004.0</v>
      </c>
      <c r="N885" s="53" t="s">
        <v>711</v>
      </c>
      <c r="O885" s="19" t="s">
        <v>1162</v>
      </c>
      <c r="P885" s="6"/>
      <c r="Q885" s="6" t="str">
        <f t="shared" si="1"/>
        <v>#N/A</v>
      </c>
      <c r="R885" s="6"/>
    </row>
    <row r="886" hidden="1">
      <c r="A886" s="31" t="str">
        <f>IFERROR(__xludf.DUMMYFUNCTION("""COMPUTED_VALUE"""),"692")</f>
        <v>692</v>
      </c>
      <c r="B886" s="14" t="str">
        <f>IFERROR(__xludf.DUMMYFUNCTION("""COMPUTED_VALUE"""),"РЕН-26")</f>
        <v>РЕН-26</v>
      </c>
      <c r="C886" s="14" t="str">
        <f>IFERROR(__xludf.DUMMYFUNCTION("""COMPUTED_VALUE"""),"ОКС")</f>
        <v>ОКС</v>
      </c>
      <c r="D886" s="6"/>
      <c r="E886" s="14" t="str">
        <f>IFERROR(__xludf.DUMMYFUNCTION("""COMPUTED_VALUE"""),"1-я Прядильная улица, земельный участок 3 ВАО, район Измайлово, 1-я Прядильная ул., зу 3")</f>
        <v>1-я Прядильная улица, земельный участок 3 ВАО, район Измайлово, 1-я Прядильная ул., зу 3</v>
      </c>
      <c r="F886" s="25" t="str">
        <f>IFERROR(__xludf.DUMMYFUNCTION("""COMPUTED_VALUE"""),"55.794436")</f>
        <v>55.794436</v>
      </c>
      <c r="G886" s="6" t="str">
        <f>IFERROR(__xludf.DUMMYFUNCTION("""COMPUTED_VALUE"""),"37.777068")</f>
        <v>37.777068</v>
      </c>
      <c r="H886" s="18" t="str">
        <f>IFERROR(__xludf.DUMMYFUNCTION("""COMPUTED_VALUE"""),"https://docs.google.com/spreadsheets/d/1rbCD10ySi4YZEkJW2_Slmn9z7AI1WEsGsZaIJmnnT18/edit?gid=532286662#gid=532286662")</f>
        <v>https://docs.google.com/spreadsheets/d/1rbCD10ySi4YZEkJW2_Slmn9z7AI1WEsGsZaIJmnnT18/edit?gid=532286662#gid=532286662</v>
      </c>
      <c r="I886" s="19" t="str">
        <f>IFERROR(__xludf.DUMMYFUNCTION("""COMPUTED_VALUE"""),"https://disk.yandex.ru/client/disk/Осмотры%20объектов%20АНО%20СМГ/692%201-я%20Прядильная%20ул.%2C%20зу%203")</f>
        <v>https://disk.yandex.ru/client/disk/Осмотры%20объектов%20АНО%20СМГ/692%201-я%20Прядильная%20ул.%2C%20зу%203</v>
      </c>
      <c r="J886" s="50">
        <f>IFERROR(__xludf.DUMMYFUNCTION("""COMPUTED_VALUE"""),0.0)</f>
        <v>0</v>
      </c>
      <c r="K886" s="58">
        <f>IFERROR(__xludf.DUMMYFUNCTION("""COMPUTED_VALUE"""),45953.0)</f>
        <v>45953</v>
      </c>
      <c r="L886" s="6">
        <v>30.0</v>
      </c>
      <c r="M886" s="52">
        <v>45983.0</v>
      </c>
      <c r="N886" s="53" t="s">
        <v>741</v>
      </c>
      <c r="O886" s="19" t="s">
        <v>1163</v>
      </c>
      <c r="P886" s="6"/>
      <c r="Q886" s="6" t="str">
        <f t="shared" si="1"/>
        <v>#N/A</v>
      </c>
      <c r="R886" s="6"/>
    </row>
    <row r="887">
      <c r="A887" s="31" t="str">
        <f>IFERROR(__xludf.DUMMYFUNCTION("""COMPUTED_VALUE"""),"683")</f>
        <v>683</v>
      </c>
      <c r="B887" s="14" t="str">
        <f>IFERROR(__xludf.DUMMYFUNCTION("""COMPUTED_VALUE"""),"РЕН-26")</f>
        <v>РЕН-26</v>
      </c>
      <c r="C887" s="14" t="str">
        <f>IFERROR(__xludf.DUMMYFUNCTION("""COMPUTED_VALUE"""),"ОКС")</f>
        <v>ОКС</v>
      </c>
      <c r="D887" s="6"/>
      <c r="E887" s="14" t="str">
        <f>IFERROR(__xludf.DUMMYFUNCTION("""COMPUTED_VALUE"""),"3-я Прядильная улица, земельный участок 10 ВАО, район Измайлово, 3-я Прядильная ул., зу 10  (рефинансирование)")</f>
        <v>3-я Прядильная улица, земельный участок 10 ВАО, район Измайлово, 3-я Прядильная ул., зу 10  (рефинансирование)</v>
      </c>
      <c r="F887" s="25" t="str">
        <f>IFERROR(__xludf.DUMMYFUNCTION("""COMPUTED_VALUE"""),"55.797856")</f>
        <v>55.797856</v>
      </c>
      <c r="G887" s="6" t="str">
        <f>IFERROR(__xludf.DUMMYFUNCTION("""COMPUTED_VALUE"""),"37.773705")</f>
        <v>37.773705</v>
      </c>
      <c r="H887" s="18" t="str">
        <f>IFERROR(__xludf.DUMMYFUNCTION("""COMPUTED_VALUE"""),"https://docs.google.com/spreadsheets/d/1rbCD10ySi4YZEkJW2_Slmn9z7AI1WEsGsZaIJmnnT18/edit?gid=152190080#gid=152190080")</f>
        <v>https://docs.google.com/spreadsheets/d/1rbCD10ySi4YZEkJW2_Slmn9z7AI1WEsGsZaIJmnnT18/edit?gid=152190080#gid=152190080</v>
      </c>
      <c r="I887" s="19" t="str">
        <f>IFERROR(__xludf.DUMMYFUNCTION("""COMPUTED_VALUE"""),"https://disk.yandex.ru/client/disk/Осмотры%20объектов%20АНО%20СМГ/683%203-я%20Прядильная%20ул.%2C%20зу%2010")</f>
        <v>https://disk.yandex.ru/client/disk/Осмотры%20объектов%20АНО%20СМГ/683%203-я%20Прядильная%20ул.%2C%20зу%2010</v>
      </c>
      <c r="J887" s="50">
        <f>IFERROR(__xludf.DUMMYFUNCTION("""COMPUTED_VALUE"""),0.0399)</f>
        <v>0.0399</v>
      </c>
      <c r="K887" s="58">
        <f>IFERROR(__xludf.DUMMYFUNCTION("""COMPUTED_VALUE"""),45973.0)</f>
        <v>45973</v>
      </c>
      <c r="L887" s="6">
        <v>30.0</v>
      </c>
      <c r="M887" s="52">
        <v>46003.0</v>
      </c>
      <c r="N887" s="53" t="s">
        <v>711</v>
      </c>
      <c r="O887" s="19" t="s">
        <v>1164</v>
      </c>
      <c r="P887" s="6"/>
      <c r="Q887" s="6" t="str">
        <f t="shared" si="1"/>
        <v>683</v>
      </c>
      <c r="R887" s="6"/>
    </row>
    <row r="888" hidden="1">
      <c r="A888" s="31" t="str">
        <f>IFERROR(__xludf.DUMMYFUNCTION("""COMPUTED_VALUE"""),"838")</f>
        <v>838</v>
      </c>
      <c r="B888" s="14" t="str">
        <f>IFERROR(__xludf.DUMMYFUNCTION("""COMPUTED_VALUE"""),"РЕН-26")</f>
        <v>РЕН-26</v>
      </c>
      <c r="C888" s="14" t="str">
        <f>IFERROR(__xludf.DUMMYFUNCTION("""COMPUTED_VALUE"""),"ОКС")</f>
        <v>ОКС</v>
      </c>
      <c r="D888" s="6"/>
      <c r="E888" s="14" t="str">
        <f>IFERROR(__xludf.DUMMYFUNCTION("""COMPUTED_VALUE"""),"Волгоградский проспект, земельный участок 140/2 ЮВАО        Волгоградский проспект, земельный участок 140/2")</f>
        <v>Волгоградский проспект, земельный участок 140/2 ЮВАО        Волгоградский проспект, земельный участок 140/2</v>
      </c>
      <c r="F888" s="25" t="str">
        <f>IFERROR(__xludf.DUMMYFUNCTION("""COMPUTED_VALUE"""),"55.701120")</f>
        <v>55.701120</v>
      </c>
      <c r="G888" s="6" t="str">
        <f>IFERROR(__xludf.DUMMYFUNCTION("""COMPUTED_VALUE"""),"37.786941")</f>
        <v>37.786941</v>
      </c>
      <c r="H888" s="18" t="str">
        <f>IFERROR(__xludf.DUMMYFUNCTION("""COMPUTED_VALUE"""),"https://docs.google.com/spreadsheets/d/1rbCD10ySi4YZEkJW2_Slmn9z7AI1WEsGsZaIJmnnT18/edit?gid=415706414#gid=415706414")</f>
        <v>https://docs.google.com/spreadsheets/d/1rbCD10ySi4YZEkJW2_Slmn9z7AI1WEsGsZaIJmnnT18/edit?gid=415706414#gid=415706414</v>
      </c>
      <c r="I888" s="19" t="str">
        <f>IFERROR(__xludf.DUMMYFUNCTION("""COMPUTED_VALUE"""),"https://disk.yandex.ru/client/disk/Осмотры%20объектов%20АНО%20СМГ/838.%20Волгоградский%20пр-т%2C%20з-у%20140-2.%20Жилой%20дом")</f>
        <v>https://disk.yandex.ru/client/disk/Осмотры%20объектов%20АНО%20СМГ/838.%20Волгоградский%20пр-т%2C%20з-у%20140-2.%20Жилой%20дом</v>
      </c>
      <c r="J888" s="50">
        <f>IFERROR(__xludf.DUMMYFUNCTION("""COMPUTED_VALUE"""),15.87)</f>
        <v>15.87</v>
      </c>
      <c r="K888" s="58">
        <f>IFERROR(__xludf.DUMMYFUNCTION("""COMPUTED_VALUE"""),45974.0)</f>
        <v>45974</v>
      </c>
      <c r="L888" s="6">
        <v>30.0</v>
      </c>
      <c r="M888" s="52">
        <v>46004.0</v>
      </c>
      <c r="N888" s="53" t="s">
        <v>711</v>
      </c>
      <c r="O888" s="19" t="s">
        <v>669</v>
      </c>
      <c r="P888" s="6"/>
      <c r="Q888" s="6" t="str">
        <f t="shared" si="1"/>
        <v>#N/A</v>
      </c>
      <c r="R888" s="6"/>
    </row>
    <row r="889">
      <c r="A889" s="31" t="str">
        <f>IFERROR(__xludf.DUMMYFUNCTION("""COMPUTED_VALUE"""),"845")</f>
        <v>845</v>
      </c>
      <c r="B889" s="14" t="str">
        <f>IFERROR(__xludf.DUMMYFUNCTION("""COMPUTED_VALUE"""),"РЕН-26")</f>
        <v>РЕН-26</v>
      </c>
      <c r="C889" s="14" t="str">
        <f>IFERROR(__xludf.DUMMYFUNCTION("""COMPUTED_VALUE"""),"ОКС")</f>
        <v>ОКС</v>
      </c>
      <c r="D889" s="6"/>
      <c r="E889" s="14" t="str">
        <f>IFERROR(__xludf.DUMMYFUNCTION("""COMPUTED_VALUE"""),"Кусковская ул., вл. 21 район Новогиреево, Кусковская ул., вл. 21")</f>
        <v>Кусковская ул., вл. 21 район Новогиреево, Кусковская ул., вл. 21</v>
      </c>
      <c r="F889" s="25" t="str">
        <f>IFERROR(__xludf.DUMMYFUNCTION("""COMPUTED_VALUE"""),"55.739422")</f>
        <v>55.739422</v>
      </c>
      <c r="G889" s="6" t="str">
        <f>IFERROR(__xludf.DUMMYFUNCTION("""COMPUTED_VALUE"""),"37.778923")</f>
        <v>37.778923</v>
      </c>
      <c r="H889" s="18" t="str">
        <f>IFERROR(__xludf.DUMMYFUNCTION("""COMPUTED_VALUE"""),"https://docs.google.com/spreadsheets/d/1rbCD10ySi4YZEkJW2_Slmn9z7AI1WEsGsZaIJmnnT18/edit?gid=1340012708#gid=1340012708")</f>
        <v>https://docs.google.com/spreadsheets/d/1rbCD10ySi4YZEkJW2_Slmn9z7AI1WEsGsZaIJmnnT18/edit?gid=1340012708#gid=1340012708</v>
      </c>
      <c r="I889" s="19" t="str">
        <f>IFERROR(__xludf.DUMMYFUNCTION("""COMPUTED_VALUE"""),"https://disk.yandex.ru/client/disk/Осмотры%20объектов%20АНО%20СМГ/845%20ВАО%20ул.%20Кусковская%20вл.%2021")</f>
        <v>https://disk.yandex.ru/client/disk/Осмотры%20объектов%20АНО%20СМГ/845%20ВАО%20ул.%20Кусковская%20вл.%2021</v>
      </c>
      <c r="J889" s="50">
        <f>IFERROR(__xludf.DUMMYFUNCTION("""COMPUTED_VALUE"""),0.0)</f>
        <v>0</v>
      </c>
      <c r="K889" s="58">
        <f>IFERROR(__xludf.DUMMYFUNCTION("""COMPUTED_VALUE"""),45973.0)</f>
        <v>45973</v>
      </c>
      <c r="L889" s="6">
        <v>30.0</v>
      </c>
      <c r="M889" s="52">
        <v>46003.0</v>
      </c>
      <c r="N889" s="53" t="s">
        <v>711</v>
      </c>
      <c r="O889" s="19" t="s">
        <v>1165</v>
      </c>
      <c r="P889" s="6"/>
      <c r="Q889" s="6" t="str">
        <f t="shared" si="1"/>
        <v>845</v>
      </c>
      <c r="R889" s="6"/>
    </row>
    <row r="890">
      <c r="A890" s="31" t="str">
        <f>IFERROR(__xludf.DUMMYFUNCTION("""COMPUTED_VALUE"""),"846")</f>
        <v>846</v>
      </c>
      <c r="B890" s="14" t="str">
        <f>IFERROR(__xludf.DUMMYFUNCTION("""COMPUTED_VALUE"""),"РЕН-26")</f>
        <v>РЕН-26</v>
      </c>
      <c r="C890" s="14" t="str">
        <f>IFERROR(__xludf.DUMMYFUNCTION("""COMPUTED_VALUE"""),"ОКС")</f>
        <v>ОКС</v>
      </c>
      <c r="D890" s="6"/>
      <c r="E890" s="14" t="str">
        <f>IFERROR(__xludf.DUMMYFUNCTION("""COMPUTED_VALUE"""),"Кусковская ул., вл. 23 район Новогиреево, Кусковская ул., вл. 23")</f>
        <v>Кусковская ул., вл. 23 район Новогиреево, Кусковская ул., вл. 23</v>
      </c>
      <c r="F890" s="25" t="str">
        <f>IFERROR(__xludf.DUMMYFUNCTION("""COMPUTED_VALUE"""),"55.739990")</f>
        <v>55.739990</v>
      </c>
      <c r="G890" s="6" t="str">
        <f>IFERROR(__xludf.DUMMYFUNCTION("""COMPUTED_VALUE"""),"37.780264")</f>
        <v>37.780264</v>
      </c>
      <c r="H890" s="18" t="str">
        <f>IFERROR(__xludf.DUMMYFUNCTION("""COMPUTED_VALUE"""),"https://docs.google.com/spreadsheets/d/1rbCD10ySi4YZEkJW2_Slmn9z7AI1WEsGsZaIJmnnT18/edit?gid=771281495#gid=771281495")</f>
        <v>https://docs.google.com/spreadsheets/d/1rbCD10ySi4YZEkJW2_Slmn9z7AI1WEsGsZaIJmnnT18/edit?gid=771281495#gid=771281495</v>
      </c>
      <c r="I890" s="19" t="str">
        <f>IFERROR(__xludf.DUMMYFUNCTION("""COMPUTED_VALUE"""),"https://disk.yandex.ru/client/disk/Осмотры%20объектов%20АНО%20СМГ/846%20ВАО%09%20Кусковская%20ул.%2C%20вл.%2023")</f>
        <v>https://disk.yandex.ru/client/disk/Осмотры%20объектов%20АНО%20СМГ/846%20ВАО%09%20Кусковская%20ул.%2C%20вл.%2023</v>
      </c>
      <c r="J890" s="50">
        <f>IFERROR(__xludf.DUMMYFUNCTION("""COMPUTED_VALUE"""),0.0)</f>
        <v>0</v>
      </c>
      <c r="K890" s="58">
        <f>IFERROR(__xludf.DUMMYFUNCTION("""COMPUTED_VALUE"""),45973.0)</f>
        <v>45973</v>
      </c>
      <c r="L890" s="6">
        <v>30.0</v>
      </c>
      <c r="M890" s="52">
        <v>46003.0</v>
      </c>
      <c r="N890" s="53" t="s">
        <v>711</v>
      </c>
      <c r="O890" s="19" t="s">
        <v>1165</v>
      </c>
      <c r="P890" s="6"/>
      <c r="Q890" s="6" t="str">
        <f t="shared" si="1"/>
        <v>846</v>
      </c>
      <c r="R890" s="6"/>
    </row>
    <row r="891" hidden="1">
      <c r="A891" s="31" t="str">
        <f>IFERROR(__xludf.DUMMYFUNCTION("""COMPUTED_VALUE"""),"847")</f>
        <v>847</v>
      </c>
      <c r="B891" s="14" t="str">
        <f>IFERROR(__xludf.DUMMYFUNCTION("""COMPUTED_VALUE"""),"РЕН-26")</f>
        <v>РЕН-26</v>
      </c>
      <c r="C891" s="14" t="str">
        <f>IFERROR(__xludf.DUMMYFUNCTION("""COMPUTED_VALUE"""),"ОКС")</f>
        <v>ОКС</v>
      </c>
      <c r="D891" s="6"/>
      <c r="E891" s="14" t="str">
        <f>IFERROR(__xludf.DUMMYFUNCTION("""COMPUTED_VALUE"""),"3-я Прядильная ул., вл. 1 3-я Прядильная ул., вл. 1")</f>
        <v>3-я Прядильная ул., вл. 1 3-я Прядильная ул., вл. 1</v>
      </c>
      <c r="F891" s="25" t="str">
        <f>IFERROR(__xludf.DUMMYFUNCTION("""COMPUTED_VALUE"""),"55.798743")</f>
        <v>55.798743</v>
      </c>
      <c r="G891" s="6" t="str">
        <f>IFERROR(__xludf.DUMMYFUNCTION("""COMPUTED_VALUE"""),"37.770187")</f>
        <v>37.770187</v>
      </c>
      <c r="H891" s="18" t="str">
        <f>IFERROR(__xludf.DUMMYFUNCTION("""COMPUTED_VALUE"""),"https://docs.google.com/spreadsheets/d/1rbCD10ySi4YZEkJW2_Slmn9z7AI1WEsGsZaIJmnnT18/edit?gid=187611865#gid=187611865")</f>
        <v>https://docs.google.com/spreadsheets/d/1rbCD10ySi4YZEkJW2_Slmn9z7AI1WEsGsZaIJmnnT18/edit?gid=187611865#gid=187611865</v>
      </c>
      <c r="I891" s="21" t="str">
        <f>IFERROR(__xludf.DUMMYFUNCTION("""COMPUTED_VALUE"""),"https://disk.yandex.ru/client/disk/%D0%9E%D1%81%D0%BC%D0%BE%D1%82%D1%80%D1%8B%20%D0%BE%D0%B1%D1%8A%D0%B5%D0%BA%D1%82%D0%BE%D0%B2%20%D0%90%D0%9D%D0%9E%20%D0%A1%D0%9C%D0%93/847.%203-%D1%8F%20%D0%9F%D1%80%D1%8F%D0%B4%D0%B8%D0%BB%D1%8C%D0%BD%D0%B0%D1%8F%20%D1"&amp;"%83%D0%BB.%2C%20%D0%B7%D1%83%201")</f>
        <v>https://disk.yandex.ru/client/disk/%D0%9E%D1%81%D0%BC%D0%BE%D1%82%D1%80%D1%8B%20%D0%BE%D0%B1%D1%8A%D0%B5%D0%BA%D1%82%D0%BE%D0%B2%20%D0%90%D0%9D%D0%9E%20%D0%A1%D0%9C%D0%93/847.%203-%D1%8F%20%D0%9F%D1%80%D1%8F%D0%B4%D0%B8%D0%BB%D1%8C%D0%BD%D0%B0%D1%8F%20%D1%83%D0%BB.%2C%20%D0%B7%D1%83%201</v>
      </c>
      <c r="J891" s="50">
        <f>IFERROR(__xludf.DUMMYFUNCTION("""COMPUTED_VALUE"""),0.0)</f>
        <v>0</v>
      </c>
      <c r="K891" s="58">
        <f>IFERROR(__xludf.DUMMYFUNCTION("""COMPUTED_VALUE"""),45968.0)</f>
        <v>45968</v>
      </c>
      <c r="L891" s="6">
        <v>30.0</v>
      </c>
      <c r="M891" s="52">
        <v>45998.0</v>
      </c>
      <c r="N891" s="53" t="s">
        <v>711</v>
      </c>
      <c r="O891" s="19" t="s">
        <v>1166</v>
      </c>
      <c r="P891" s="6"/>
      <c r="Q891" s="6" t="str">
        <f t="shared" si="1"/>
        <v>#N/A</v>
      </c>
      <c r="R891" s="6"/>
    </row>
    <row r="892" hidden="1">
      <c r="A892" s="31" t="str">
        <f>IFERROR(__xludf.DUMMYFUNCTION("""COMPUTED_VALUE"""),"849")</f>
        <v>849</v>
      </c>
      <c r="B892" s="14" t="str">
        <f>IFERROR(__xludf.DUMMYFUNCTION("""COMPUTED_VALUE"""),"РЕН-26")</f>
        <v>РЕН-26</v>
      </c>
      <c r="C892" s="14" t="str">
        <f>IFERROR(__xludf.DUMMYFUNCTION("""COMPUTED_VALUE"""),"ОКС")</f>
        <v>ОКС</v>
      </c>
      <c r="D892" s="6"/>
      <c r="E892" s="14" t="str">
        <f>IFERROR(__xludf.DUMMYFUNCTION("""COMPUTED_VALUE"""),"Волгоградский проспект, земельный участок 138/14/4 ЮВАО	Волгоградский проспект, земельный участок 138/14/4")</f>
        <v>Волгоградский проспект, земельный участок 138/14/4 ЮВАО	Волгоградский проспект, земельный участок 138/14/4</v>
      </c>
      <c r="F892" s="25" t="str">
        <f>IFERROR(__xludf.DUMMYFUNCTION("""COMPUTED_VALUE"""),"55.701894")</f>
        <v>55.701894</v>
      </c>
      <c r="G892" s="6" t="str">
        <f>IFERROR(__xludf.DUMMYFUNCTION("""COMPUTED_VALUE"""),"37.786266")</f>
        <v>37.786266</v>
      </c>
      <c r="H892" s="18" t="str">
        <f>IFERROR(__xludf.DUMMYFUNCTION("""COMPUTED_VALUE"""),"https://docs.google.com/spreadsheets/d/1rbCD10ySi4YZEkJW2_Slmn9z7AI1WEsGsZaIJmnnT18/edit?gid=113121864#gid=113121864")</f>
        <v>https://docs.google.com/spreadsheets/d/1rbCD10ySi4YZEkJW2_Slmn9z7AI1WEsGsZaIJmnnT18/edit?gid=113121864#gid=113121864</v>
      </c>
      <c r="I892" s="19" t="str">
        <f>IFERROR(__xludf.DUMMYFUNCTION("""COMPUTED_VALUE"""),"https://disk.yandex.ru/client/disk/Осмотры%20объектов%20АНО%20СМГ/849.%20Волгоградский%20пр-т%2C%20з-у%20138-14-4.%20Жилой%20дом")</f>
        <v>https://disk.yandex.ru/client/disk/Осмотры%20объектов%20АНО%20СМГ/849.%20Волгоградский%20пр-т%2C%20з-у%20138-14-4.%20Жилой%20дом</v>
      </c>
      <c r="J892" s="50">
        <f>IFERROR(__xludf.DUMMYFUNCTION("""COMPUTED_VALUE"""),10.529999999999998)</f>
        <v>10.53</v>
      </c>
      <c r="K892" s="58">
        <f>IFERROR(__xludf.DUMMYFUNCTION("""COMPUTED_VALUE"""),45974.0)</f>
        <v>45974</v>
      </c>
      <c r="L892" s="6">
        <v>30.0</v>
      </c>
      <c r="M892" s="52">
        <v>46004.0</v>
      </c>
      <c r="N892" s="53" t="s">
        <v>711</v>
      </c>
      <c r="O892" s="19" t="s">
        <v>669</v>
      </c>
      <c r="P892" s="6"/>
      <c r="Q892" s="6" t="str">
        <f t="shared" si="1"/>
        <v>#N/A</v>
      </c>
      <c r="R892" s="6"/>
    </row>
    <row r="893" hidden="1">
      <c r="A893" s="31" t="str">
        <f>IFERROR(__xludf.DUMMYFUNCTION("""COMPUTED_VALUE"""),"853")</f>
        <v>853</v>
      </c>
      <c r="B893" s="14" t="str">
        <f>IFERROR(__xludf.DUMMYFUNCTION("""COMPUTED_VALUE"""),"РЕН-26")</f>
        <v>РЕН-26</v>
      </c>
      <c r="C893" s="14" t="str">
        <f>IFERROR(__xludf.DUMMYFUNCTION("""COMPUTED_VALUE"""),"ОКС")</f>
        <v>ОКС</v>
      </c>
      <c r="D893" s="6"/>
      <c r="E893" s="14" t="str">
        <f>IFERROR(__xludf.DUMMYFUNCTION("""COMPUTED_VALUE"""),"кв.40, зона 1.5 (Зюзино) район Зюзино, кв. 40 (зона 1.5) каховка зу 21/3")</f>
        <v>кв.40, зона 1.5 (Зюзино) район Зюзино, кв. 40 (зона 1.5) каховка зу 21/3</v>
      </c>
      <c r="F893" s="25" t="str">
        <f>IFERROR(__xludf.DUMMYFUNCTION("""COMPUTED_VALUE"""),"55.651927")</f>
        <v>55.651927</v>
      </c>
      <c r="G893" s="6" t="str">
        <f>IFERROR(__xludf.DUMMYFUNCTION("""COMPUTED_VALUE"""),"37.571869")</f>
        <v>37.571869</v>
      </c>
      <c r="H893" s="18" t="str">
        <f>IFERROR(__xludf.DUMMYFUNCTION("""COMPUTED_VALUE"""),"https://docs.google.com/spreadsheets/d/1rbCD10ySi4YZEkJW2_Slmn9z7AI1WEsGsZaIJmnnT18/edit?gid=864849570#gid=864849570")</f>
        <v>https://docs.google.com/spreadsheets/d/1rbCD10ySi4YZEkJW2_Slmn9z7AI1WEsGsZaIJmnnT18/edit?gid=864849570#gid=864849570</v>
      </c>
      <c r="I893" s="19" t="str">
        <f>IFERROR(__xludf.DUMMYFUNCTION("""COMPUTED_VALUE"""),"https://disk.yandex.ru/client/disk/Осмотры%20объектов%20АНО%20СМГ/853.%20Объезд.%20Зюзино%20кв%2040%20(зона%201.5)")</f>
        <v>https://disk.yandex.ru/client/disk/Осмотры%20объектов%20АНО%20СМГ/853.%20Объезд.%20Зюзино%20кв%2040%20(зона%201.5)</v>
      </c>
      <c r="J893" s="50">
        <f>IFERROR(__xludf.DUMMYFUNCTION("""COMPUTED_VALUE"""),0.0)</f>
        <v>0</v>
      </c>
      <c r="K893" s="58">
        <f>IFERROR(__xludf.DUMMYFUNCTION("""COMPUTED_VALUE"""),45962.0)</f>
        <v>45962</v>
      </c>
      <c r="L893" s="6">
        <v>30.0</v>
      </c>
      <c r="M893" s="52">
        <v>45992.0</v>
      </c>
      <c r="N893" s="53" t="s">
        <v>692</v>
      </c>
      <c r="O893" s="19" t="s">
        <v>1167</v>
      </c>
      <c r="P893" s="6"/>
      <c r="Q893" s="6" t="str">
        <f t="shared" si="1"/>
        <v>#N/A</v>
      </c>
      <c r="R893" s="6"/>
    </row>
    <row r="894">
      <c r="A894" s="31" t="str">
        <f>IFERROR(__xludf.DUMMYFUNCTION("""COMPUTED_VALUE"""),"727")</f>
        <v>727</v>
      </c>
      <c r="B894" s="14" t="str">
        <f>IFERROR(__xludf.DUMMYFUNCTION("""COMPUTED_VALUE"""),"РЕН-26")</f>
        <v>РЕН-26</v>
      </c>
      <c r="C894" s="14" t="str">
        <f>IFERROR(__xludf.DUMMYFUNCTION("""COMPUTED_VALUE"""),"ОКС")</f>
        <v>ОКС</v>
      </c>
      <c r="D894" s="6"/>
      <c r="E894" s="14" t="str">
        <f>IFERROR(__xludf.DUMMYFUNCTION("""COMPUTED_VALUE"""),"3-я Парковая улица, земельный участок 39 (3-я Парковая улица, вл. 39) ВАО, район Измайлово, 3-я Парковая ул., вл.39")</f>
        <v>3-я Парковая улица, земельный участок 39 (3-я Парковая улица, вл. 39) ВАО, район Измайлово, 3-я Парковая ул., вл.39</v>
      </c>
      <c r="F894" s="25" t="str">
        <f>IFERROR(__xludf.DUMMYFUNCTION("""COMPUTED_VALUE"""),"55.798756")</f>
        <v>55.798756</v>
      </c>
      <c r="G894" s="6" t="str">
        <f>IFERROR(__xludf.DUMMYFUNCTION("""COMPUTED_VALUE"""),"37.780507")</f>
        <v>37.780507</v>
      </c>
      <c r="H894" s="18" t="str">
        <f>IFERROR(__xludf.DUMMYFUNCTION("""COMPUTED_VALUE"""),"https://docs.google.com/spreadsheets/d/1rbCD10ySi4YZEkJW2_Slmn9z7AI1WEsGsZaIJmnnT18/edit?gid=1493713747#gid=1493713747")</f>
        <v>https://docs.google.com/spreadsheets/d/1rbCD10ySi4YZEkJW2_Slmn9z7AI1WEsGsZaIJmnnT18/edit?gid=1493713747#gid=1493713747</v>
      </c>
      <c r="I894" s="19" t="str">
        <f>IFERROR(__xludf.DUMMYFUNCTION("""COMPUTED_VALUE"""),"https://disk.yandex.ru/client/disk/Осмотры%20объектов%20АНО%20СМГ/727%203-я%20Парковая%20ул.%2C%20вл.%2039")</f>
        <v>https://disk.yandex.ru/client/disk/Осмотры%20объектов%20АНО%20СМГ/727%203-я%20Парковая%20ул.%2C%20вл.%2039</v>
      </c>
      <c r="J894" s="50">
        <f>IFERROR(__xludf.DUMMYFUNCTION("""COMPUTED_VALUE"""),0.0)</f>
        <v>0</v>
      </c>
      <c r="K894" s="58">
        <f>IFERROR(__xludf.DUMMYFUNCTION("""COMPUTED_VALUE"""),45973.0)</f>
        <v>45973</v>
      </c>
      <c r="L894" s="6">
        <v>30.0</v>
      </c>
      <c r="M894" s="52">
        <v>46003.0</v>
      </c>
      <c r="N894" s="53" t="s">
        <v>711</v>
      </c>
      <c r="O894" s="19" t="s">
        <v>1168</v>
      </c>
      <c r="P894" s="6"/>
      <c r="Q894" s="6" t="str">
        <f t="shared" si="1"/>
        <v>727</v>
      </c>
      <c r="R894" s="6"/>
    </row>
    <row r="895" hidden="1">
      <c r="A895" s="31" t="str">
        <f>IFERROR(__xludf.DUMMYFUNCTION("""COMPUTED_VALUE"""),"855")</f>
        <v>855</v>
      </c>
      <c r="B895" s="14" t="str">
        <f>IFERROR(__xludf.DUMMYFUNCTION("""COMPUTED_VALUE"""),"РЕН-26")</f>
        <v>РЕН-26</v>
      </c>
      <c r="C895" s="14" t="str">
        <f>IFERROR(__xludf.DUMMYFUNCTION("""COMPUTED_VALUE"""),"ОКС")</f>
        <v>ОКС</v>
      </c>
      <c r="D895" s="6"/>
      <c r="E895" s="14" t="str">
        <f>IFERROR(__xludf.DUMMYFUNCTION("""COMPUTED_VALUE"""),"Балаклавский пр-т, вл. 34А (Приобретение объектов недвижимости) Балаклавский пр-т, вл. 34А (Приобретение объектов недвижимости)")</f>
        <v>Балаклавский пр-т, вл. 34А (Приобретение объектов недвижимости) Балаклавский пр-т, вл. 34А (Приобретение объектов недвижимости)</v>
      </c>
      <c r="F895" s="25" t="str">
        <f>IFERROR(__xludf.DUMMYFUNCTION("""COMPUTED_VALUE"""),"55.646402")</f>
        <v>55.646402</v>
      </c>
      <c r="G895" s="6" t="str">
        <f>IFERROR(__xludf.DUMMYFUNCTION("""COMPUTED_VALUE"""),"37.583135")</f>
        <v>37.583135</v>
      </c>
      <c r="H895" s="18" t="str">
        <f>IFERROR(__xludf.DUMMYFUNCTION("""COMPUTED_VALUE"""),"https://docs.google.com/spreadsheets/d/1rbCD10ySi4YZEkJW2_Slmn9z7AI1WEsGsZaIJmnnT18/edit?gid=590422305#gid=590422305")</f>
        <v>https://docs.google.com/spreadsheets/d/1rbCD10ySi4YZEkJW2_Slmn9z7AI1WEsGsZaIJmnnT18/edit?gid=590422305#gid=590422305</v>
      </c>
      <c r="I895" s="19" t="str">
        <f>IFERROR(__xludf.DUMMYFUNCTION("""COMPUTED_VALUE"""),"https://disk.yandex.ru/client/disk/Осмотры%20объектов%20АНО%20СМГ/855.%20Балаклавский%20проспект%2034А")</f>
        <v>https://disk.yandex.ru/client/disk/Осмотры%20объектов%20АНО%20СМГ/855.%20Балаклавский%20проспект%2034А</v>
      </c>
      <c r="J895" s="50">
        <f>IFERROR(__xludf.DUMMYFUNCTION("""COMPUTED_VALUE"""),0.0)</f>
        <v>0</v>
      </c>
      <c r="K895" s="58">
        <f>IFERROR(__xludf.DUMMYFUNCTION("""COMPUTED_VALUE"""),45962.0)</f>
        <v>45962</v>
      </c>
      <c r="L895" s="6">
        <v>30.0</v>
      </c>
      <c r="M895" s="52">
        <v>45992.0</v>
      </c>
      <c r="N895" s="53" t="s">
        <v>692</v>
      </c>
      <c r="O895" s="19" t="s">
        <v>1169</v>
      </c>
      <c r="P895" s="6"/>
      <c r="Q895" s="6" t="str">
        <f t="shared" si="1"/>
        <v>#N/A</v>
      </c>
      <c r="R895" s="6"/>
    </row>
    <row r="896">
      <c r="A896" s="31" t="str">
        <f>IFERROR(__xludf.DUMMYFUNCTION("""COMPUTED_VALUE"""),"667")</f>
        <v>667</v>
      </c>
      <c r="B896" s="14" t="str">
        <f>IFERROR(__xludf.DUMMYFUNCTION("""COMPUTED_VALUE"""),"РЕН-26")</f>
        <v>РЕН-26</v>
      </c>
      <c r="C896" s="14" t="str">
        <f>IFERROR(__xludf.DUMMYFUNCTION("""COMPUTED_VALUE"""),"ОКС")</f>
        <v>ОКС</v>
      </c>
      <c r="D896" s="6"/>
      <c r="E896" s="14" t="str">
        <f>IFERROR(__xludf.DUMMYFUNCTION("""COMPUTED_VALUE"""),"16-я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"&amp;"корпуса 1, 2)")</f>
        <v>16-я Парковая улица, земельный участок 29А (16-я Парковая ул., вл. 29, корп. 1, 2) ВАО, район Восточное Измайлово, 16-я Парковая улица, земельный участок 29А (16-я Парковая ул., вл. 29, корп. 1, 2) (со сносом жилых зданий по адресам: 16-я Парковая, д. 29 корпуса 1, 2)</v>
      </c>
      <c r="F896" s="25" t="str">
        <f>IFERROR(__xludf.DUMMYFUNCTION("""COMPUTED_VALUE"""),"55.802208")</f>
        <v>55.802208</v>
      </c>
      <c r="G896" s="6" t="str">
        <f>IFERROR(__xludf.DUMMYFUNCTION("""COMPUTED_VALUE"""),"37.828432")</f>
        <v>37.828432</v>
      </c>
      <c r="H896" s="18" t="str">
        <f>IFERROR(__xludf.DUMMYFUNCTION("""COMPUTED_VALUE"""),"https://docs.google.com/spreadsheets/d/1rbCD10ySi4YZEkJW2_Slmn9z7AI1WEsGsZaIJmnnT18/edit?gid=1285905712#gid=1285905712")</f>
        <v>https://docs.google.com/spreadsheets/d/1rbCD10ySi4YZEkJW2_Slmn9z7AI1WEsGsZaIJmnnT18/edit?gid=1285905712#gid=1285905712</v>
      </c>
      <c r="I896" s="21" t="str">
        <f>IFERROR(__xludf.DUMMYFUNCTION("""COMPUTED_VALUE"""),"https://disk.yandex.ru/client/disk/%D0%9E%D1%81%D0%BC%D0%BE%D1%82%D1%80%D1%8B%20%D0%BE%D0%B1%D1%8A%D0%B5%D0%BA%D1%82%D0%BE%D0%B2%20%D0%90%D0%9D%D0%9E%20%D0%A1%D0%9C%D0%93/667%2016-%D1%8F%20%D0%9F%D0%B0%D1%80%D0%BA%D0%BE%D0%B2%D0%B0%D1%8F%20%D0%B7%D1%83%20"&amp;"29%20%D0%90%20%D0%BA1%2C2%20")</f>
        <v>https://disk.yandex.ru/client/disk/%D0%9E%D1%81%D0%BC%D0%BE%D1%82%D1%80%D1%8B%20%D0%BE%D0%B1%D1%8A%D0%B5%D0%BA%D1%82%D0%BE%D0%B2%20%D0%90%D0%9D%D0%9E%20%D0%A1%D0%9C%D0%93/667%2016-%D1%8F%20%D0%9F%D0%B0%D1%80%D0%BA%D0%BE%D0%B2%D0%B0%D1%8F%20%D0%B7%D1%83%2029%20%D0%90%20%D0%BA1%2C2%20</v>
      </c>
      <c r="J896" s="50">
        <f>IFERROR(__xludf.DUMMYFUNCTION("""COMPUTED_VALUE"""),0.0)</f>
        <v>0</v>
      </c>
      <c r="K896" s="58">
        <f>IFERROR(__xludf.DUMMYFUNCTION("""COMPUTED_VALUE"""),45973.0)</f>
        <v>45973</v>
      </c>
      <c r="L896" s="6">
        <v>30.0</v>
      </c>
      <c r="M896" s="52">
        <v>46003.0</v>
      </c>
      <c r="N896" s="53" t="s">
        <v>711</v>
      </c>
      <c r="O896" s="19" t="s">
        <v>1170</v>
      </c>
      <c r="P896" s="6"/>
      <c r="Q896" s="6" t="str">
        <f t="shared" si="1"/>
        <v>667</v>
      </c>
      <c r="R896" s="6"/>
    </row>
    <row r="897" hidden="1">
      <c r="A897" s="31" t="str">
        <f>IFERROR(__xludf.DUMMYFUNCTION("""COMPUTED_VALUE"""),"859")</f>
        <v>859</v>
      </c>
      <c r="B897" s="14" t="str">
        <f>IFERROR(__xludf.DUMMYFUNCTION("""COMPUTED_VALUE"""),"РЕН-26")</f>
        <v>РЕН-26</v>
      </c>
      <c r="C897" s="14" t="str">
        <f>IFERROR(__xludf.DUMMYFUNCTION("""COMPUTED_VALUE"""),"ОКС")</f>
        <v>ОКС</v>
      </c>
      <c r="D897" s="6"/>
      <c r="E897" s="14" t="str">
        <f>IFERROR(__xludf.DUMMYFUNCTION("""COMPUTED_VALUE"""),"Сиреневый бульвар, земельный участок 29 Северное Измайлово, Сиреневый бульвар, земельный участок 29")</f>
        <v>Сиреневый бульвар, земельный участок 29 Северное Измайлово, Сиреневый бульвар, земельный участок 29</v>
      </c>
      <c r="F897" s="25" t="str">
        <f>IFERROR(__xludf.DUMMYFUNCTION("""COMPUTED_VALUE"""),"55.803459")</f>
        <v>55.803459</v>
      </c>
      <c r="G897" s="6" t="str">
        <f>IFERROR(__xludf.DUMMYFUNCTION("""COMPUTED_VALUE"""),"37.797244")</f>
        <v>37.797244</v>
      </c>
      <c r="H897" s="18" t="str">
        <f>IFERROR(__xludf.DUMMYFUNCTION("""COMPUTED_VALUE"""),"https://docs.google.com/spreadsheets/d/1rbCD10ySi4YZEkJW2_Slmn9z7AI1WEsGsZaIJmnnT18/edit?gid=575728674#gid=575728674")</f>
        <v>https://docs.google.com/spreadsheets/d/1rbCD10ySi4YZEkJW2_Slmn9z7AI1WEsGsZaIJmnnT18/edit?gid=575728674#gid=575728674</v>
      </c>
      <c r="I897" s="21" t="str">
        <f>IFERROR(__xludf.DUMMYFUNCTION("""COMPUTED_VALUE"""),"https://disk.yandex.ru/client/disk/%D0%9E%D1%81%D0%BC%D0%BE%D1%82%D1%80%D1%8B%20%D0%BE%D0%B1%D1%8A%D0%B5%D0%BA%D1%82%D0%BE%D0%B2%20%D0%90%D0%9D%D0%9E%20%D0%A1%D0%9C%D0%93/859%20%D0%A1%D0%B8%D1%80%D0%B5%D0%BD%D0%B5%D0%B2%D1%8B%D0%B9%20%D0%B1%D1%83%D0%BB%D1"&amp;"%8C%D0%B2%D0%B0%D1%80%2029%20%D0%BA1%20")</f>
        <v>https://disk.yandex.ru/client/disk/%D0%9E%D1%81%D0%BC%D0%BE%D1%82%D1%80%D1%8B%20%D0%BE%D0%B1%D1%8A%D0%B5%D0%BA%D1%82%D0%BE%D0%B2%20%D0%90%D0%9D%D0%9E%20%D0%A1%D0%9C%D0%93/859%20%D0%A1%D0%B8%D1%80%D0%B5%D0%BD%D0%B5%D0%B2%D1%8B%D0%B9%20%D0%B1%D1%83%D0%BB%D1%8C%D0%B2%D0%B0%D1%80%2029%20%D0%BA1%20</v>
      </c>
      <c r="J897" s="50">
        <f>IFERROR(__xludf.DUMMYFUNCTION("""COMPUTED_VALUE"""),0.00798)</f>
        <v>0.00798</v>
      </c>
      <c r="K897" s="58">
        <f>IFERROR(__xludf.DUMMYFUNCTION("""COMPUTED_VALUE"""),45947.0)</f>
        <v>45947</v>
      </c>
      <c r="L897" s="6">
        <v>30.0</v>
      </c>
      <c r="M897" s="52">
        <v>45977.0</v>
      </c>
      <c r="N897" s="53" t="s">
        <v>701</v>
      </c>
      <c r="O897" s="19" t="s">
        <v>669</v>
      </c>
      <c r="P897" s="6"/>
      <c r="Q897" s="6" t="str">
        <f t="shared" si="1"/>
        <v>#N/A</v>
      </c>
      <c r="R897" s="6"/>
    </row>
    <row r="898" hidden="1">
      <c r="A898" s="31" t="str">
        <f>IFERROR(__xludf.DUMMYFUNCTION("""COMPUTED_VALUE"""),"860")</f>
        <v>860</v>
      </c>
      <c r="B898" s="14" t="str">
        <f>IFERROR(__xludf.DUMMYFUNCTION("""COMPUTED_VALUE"""),"РЕН-26")</f>
        <v>РЕН-26</v>
      </c>
      <c r="C898" s="14" t="str">
        <f>IFERROR(__xludf.DUMMYFUNCTION("""COMPUTED_VALUE"""),"ОКС")</f>
        <v>ОКС</v>
      </c>
      <c r="D898" s="6"/>
      <c r="E898" s="14" t="str">
        <f>IFERROR(__xludf.DUMMYFUNCTION("""COMPUTED_VALUE"""),"проспект 40 лет Октября, земельный участок 18/13 (участки 7.1 и 7.2) ЮВАО, район Люблино, проспект 40 лет Октября, з/у 18/13 (участки 7.1 и 7.2)")</f>
        <v>проспект 40 лет Октября, земельный участок 18/13 (участки 7.1 и 7.2) ЮВАО, район Люблино, проспект 40 лет Октября, з/у 18/13 (участки 7.1 и 7.2)</v>
      </c>
      <c r="F898" s="25" t="str">
        <f>IFERROR(__xludf.DUMMYFUNCTION("""COMPUTED_VALUE"""),"55.677859")</f>
        <v>55.677859</v>
      </c>
      <c r="G898" s="6" t="str">
        <f>IFERROR(__xludf.DUMMYFUNCTION("""COMPUTED_VALUE"""),"37.744810")</f>
        <v>37.744810</v>
      </c>
      <c r="H898" s="18" t="str">
        <f>IFERROR(__xludf.DUMMYFUNCTION("""COMPUTED_VALUE"""),"https://docs.google.com/spreadsheets/d/1rbCD10ySi4YZEkJW2_Slmn9z7AI1WEsGsZaIJmnnT18/edit?gid=282401999#gid=282401999")</f>
        <v>https://docs.google.com/spreadsheets/d/1rbCD10ySi4YZEkJW2_Slmn9z7AI1WEsGsZaIJmnnT18/edit?gid=282401999#gid=282401999</v>
      </c>
      <c r="I898" s="19" t="str">
        <f>IFERROR(__xludf.DUMMYFUNCTION("""COMPUTED_VALUE"""),"https://disk.yandex.ru/client/disk/Осмотры%20объектов%20АНО%20СМГ/860.%20Пр-т%2040%20лет%20Октября%2C%20з!у%2018!13%20(уч.%207.1%20и%207.2)")</f>
        <v>https://disk.yandex.ru/client/disk/Осмотры%20объектов%20АНО%20СМГ/860.%20Пр-т%2040%20лет%20Октября%2C%20з!у%2018!13%20(уч.%207.1%20и%207.2)</v>
      </c>
      <c r="J898" s="50">
        <f>IFERROR(__xludf.DUMMYFUNCTION("""COMPUTED_VALUE"""),7.604999999999999)</f>
        <v>7.605</v>
      </c>
      <c r="K898" s="58">
        <f>IFERROR(__xludf.DUMMYFUNCTION("""COMPUTED_VALUE"""),45954.0)</f>
        <v>45954</v>
      </c>
      <c r="L898" s="6">
        <v>30.0</v>
      </c>
      <c r="M898" s="52">
        <v>45984.0</v>
      </c>
      <c r="N898" s="53" t="s">
        <v>741</v>
      </c>
      <c r="O898" s="19" t="s">
        <v>669</v>
      </c>
      <c r="P898" s="6"/>
      <c r="Q898" s="6" t="str">
        <f t="shared" si="1"/>
        <v>#N/A</v>
      </c>
      <c r="R898" s="6"/>
    </row>
    <row r="899" hidden="1">
      <c r="A899" s="31" t="str">
        <f>IFERROR(__xludf.DUMMYFUNCTION("""COMPUTED_VALUE"""),"861")</f>
        <v>861</v>
      </c>
      <c r="B899" s="14" t="str">
        <f>IFERROR(__xludf.DUMMYFUNCTION("""COMPUTED_VALUE"""),"РЕН-26")</f>
        <v>РЕН-26</v>
      </c>
      <c r="C899" s="14" t="str">
        <f>IFERROR(__xludf.DUMMYFUNCTION("""COMPUTED_VALUE"""),"ОКС")</f>
        <v>ОКС</v>
      </c>
      <c r="D899" s="6"/>
      <c r="E899" s="14" t="str">
        <f>IFERROR(__xludf.DUMMYFUNCTION("""COMPUTED_VALUE"""),"кв.40, зона 1.6 (Зюзино) район Зюзино, кв.40, зона 1.6 Каховка зу 21/4")</f>
        <v>кв.40, зона 1.6 (Зюзино) район Зюзино, кв.40, зона 1.6 Каховка зу 21/4</v>
      </c>
      <c r="F899" s="25" t="str">
        <f>IFERROR(__xludf.DUMMYFUNCTION("""COMPUTED_VALUE"""),"55.651477")</f>
        <v>55.651477</v>
      </c>
      <c r="G899" s="6" t="str">
        <f>IFERROR(__xludf.DUMMYFUNCTION("""COMPUTED_VALUE"""),"37.571163")</f>
        <v>37.571163</v>
      </c>
      <c r="H899" s="18" t="str">
        <f>IFERROR(__xludf.DUMMYFUNCTION("""COMPUTED_VALUE"""),"https://docs.google.com/spreadsheets/d/1rbCD10ySi4YZEkJW2_Slmn9z7AI1WEsGsZaIJmnnT18/edit?gid=641183458#gid=641183458")</f>
        <v>https://docs.google.com/spreadsheets/d/1rbCD10ySi4YZEkJW2_Slmn9z7AI1WEsGsZaIJmnnT18/edit?gid=641183458#gid=641183458</v>
      </c>
      <c r="I899" s="19" t="str">
        <f>IFERROR(__xludf.DUMMYFUNCTION("""COMPUTED_VALUE"""),"https://disk.yandex.ru/client/disk/Осмотры%20объектов%20АНО%20СМГ/861.%20Объезд.%20район%20Зюзино%2C%20кв.%2040%20(зона%201.6)")</f>
        <v>https://disk.yandex.ru/client/disk/Осмотры%20объектов%20АНО%20СМГ/861.%20Объезд.%20район%20Зюзино%2C%20кв.%2040%20(зона%201.6)</v>
      </c>
      <c r="J899" s="50">
        <f>IFERROR(__xludf.DUMMYFUNCTION("""COMPUTED_VALUE"""),0.0)</f>
        <v>0</v>
      </c>
      <c r="K899" s="58">
        <f>IFERROR(__xludf.DUMMYFUNCTION("""COMPUTED_VALUE"""),45962.0)</f>
        <v>45962</v>
      </c>
      <c r="L899" s="6">
        <v>30.0</v>
      </c>
      <c r="M899" s="52">
        <v>45992.0</v>
      </c>
      <c r="N899" s="53" t="s">
        <v>692</v>
      </c>
      <c r="O899" s="19" t="s">
        <v>1171</v>
      </c>
      <c r="P899" s="6"/>
      <c r="Q899" s="6" t="str">
        <f t="shared" si="1"/>
        <v>#N/A</v>
      </c>
      <c r="R899" s="6"/>
    </row>
    <row r="900" hidden="1">
      <c r="A900" s="31" t="str">
        <f>IFERROR(__xludf.DUMMYFUNCTION("""COMPUTED_VALUE"""),"958")</f>
        <v>958</v>
      </c>
      <c r="B900" s="14" t="str">
        <f>IFERROR(__xludf.DUMMYFUNCTION("""COMPUTED_VALUE"""),"РЕН-26")</f>
        <v>РЕН-26</v>
      </c>
      <c r="C900" s="14" t="str">
        <f>IFERROR(__xludf.DUMMYFUNCTION("""COMPUTED_VALUE"""),"ОКС")</f>
        <v>ОКС</v>
      </c>
      <c r="D900" s="6"/>
      <c r="E900" s="14" t="str">
        <f>IFERROR(__xludf.DUMMYFUNCTION("""COMPUTED_VALUE"""),"9-го Мая ул., вл. 18-24 район Восточный, 9-го Мая ул., вл. 18-24")</f>
        <v>9-го Мая ул., вл. 18-24 район Восточный, 9-го Мая ул., вл. 18-24</v>
      </c>
      <c r="F900" s="25" t="str">
        <f>IFERROR(__xludf.DUMMYFUNCTION("""COMPUTED_VALUE"""),"55.818960")</f>
        <v>55.818960</v>
      </c>
      <c r="G900" s="6" t="str">
        <f>IFERROR(__xludf.DUMMYFUNCTION("""COMPUTED_VALUE"""),"37.871653")</f>
        <v>37.871653</v>
      </c>
      <c r="H900" s="18" t="str">
        <f>IFERROR(__xludf.DUMMYFUNCTION("""COMPUTED_VALUE"""),"https://docs.google.com/spreadsheets/d/1rbCD10ySi4YZEkJW2_Slmn9z7AI1WEsGsZaIJmnnT18/edit?gid=598456710#gid=598456710")</f>
        <v>https://docs.google.com/spreadsheets/d/1rbCD10ySi4YZEkJW2_Slmn9z7AI1WEsGsZaIJmnnT18/edit?gid=598456710#gid=598456710</v>
      </c>
      <c r="I900" s="21" t="str">
        <f>IFERROR(__xludf.DUMMYFUNCTION("""COMPUTED_VALUE"""),"https://disk.yandex.ru/client/disk/%D0%9E%D1%81%D0%BC%D0%BE%D1%82%D1%80%D1%8B%20%D0%BE%D0%B1%D1%8A%D0%B5%D0%BA%D1%82%D0%BE%D0%B2%20%D0%90%D0%9D%D0%9E%20%D0%A1%D0%9C%D0%93/958.%20%D1%80%D0%B0%D0%B9%D0%BE%D0%BD%20%D0%92%D0%BE%D1%81%D1%82%D0%BE%D1%87%D0%BD%D"&amp;"1%8B%D0%B9%2C%209-%D0%B3%D0%BE%20%D0%BC%D0%B0%D1%8F%2C%20%D0%B2%D0%BB%2018-24")</f>
        <v>https://disk.yandex.ru/client/disk/%D0%9E%D1%81%D0%BC%D0%BE%D1%82%D1%80%D1%8B%20%D0%BE%D0%B1%D1%8A%D0%B5%D0%BA%D1%82%D0%BE%D0%B2%20%D0%90%D0%9D%D0%9E%20%D0%A1%D0%9C%D0%93/958.%20%D1%80%D0%B0%D0%B9%D0%BE%D0%BD%20%D0%92%D0%BE%D1%81%D1%82%D0%BE%D1%87%D0%BD%D1%8B%D0%B9%2C%209-%D0%B3%D0%BE%20%D0%BC%D0%B0%D1%8F%2C%20%D0%B2%D0%BB%2018-24</v>
      </c>
      <c r="J900" s="50">
        <f>IFERROR(__xludf.DUMMYFUNCTION("""COMPUTED_VALUE"""),0.0)</f>
        <v>0</v>
      </c>
      <c r="K900" s="58">
        <f>IFERROR(__xludf.DUMMYFUNCTION("""COMPUTED_VALUE"""),45947.0)</f>
        <v>45947</v>
      </c>
      <c r="L900" s="6">
        <v>30.0</v>
      </c>
      <c r="M900" s="52">
        <v>45977.0</v>
      </c>
      <c r="N900" s="53" t="s">
        <v>701</v>
      </c>
      <c r="O900" s="19" t="s">
        <v>893</v>
      </c>
      <c r="P900" s="6"/>
      <c r="Q900" s="6" t="str">
        <f t="shared" si="1"/>
        <v>#N/A</v>
      </c>
      <c r="R900" s="6"/>
    </row>
    <row r="901" hidden="1">
      <c r="A901" s="31" t="str">
        <f>IFERROR(__xludf.DUMMYFUNCTION("""COMPUTED_VALUE"""),"871")</f>
        <v>871</v>
      </c>
      <c r="B901" s="14" t="str">
        <f>IFERROR(__xludf.DUMMYFUNCTION("""COMPUTED_VALUE"""),"РЕН-26")</f>
        <v>РЕН-26</v>
      </c>
      <c r="C901" s="14" t="str">
        <f>IFERROR(__xludf.DUMMYFUNCTION("""COMPUTED_VALUE"""),"ОКС")</f>
        <v>ОКС</v>
      </c>
      <c r="D901" s="6"/>
      <c r="E901" s="14" t="str">
        <f>IFERROR(__xludf.DUMMYFUNCTION("""COMPUTED_VALUE"""),"улица Кусковская, земельный участок 35 (Кусковская ул., вл. 35) район Новогиреево, улица Кусковская, земельный участок 35  (Кусковская ул., вл. 35)")</f>
        <v>улица Кусковская, земельный участок 35 (Кусковская ул., вл. 35) район Новогиреево, улица Кусковская, земельный участок 35  (Кусковская ул., вл. 35)</v>
      </c>
      <c r="F901" s="25" t="str">
        <f>IFERROR(__xludf.DUMMYFUNCTION("""COMPUTED_VALUE"""),"55.743535")</f>
        <v>55.743535</v>
      </c>
      <c r="G901" s="6" t="str">
        <f>IFERROR(__xludf.DUMMYFUNCTION("""COMPUTED_VALUE"""),"37.786830")</f>
        <v>37.786830</v>
      </c>
      <c r="H901" s="18" t="str">
        <f>IFERROR(__xludf.DUMMYFUNCTION("""COMPUTED_VALUE"""),"https://docs.google.com/spreadsheets/d/1rbCD10ySi4YZEkJW2_Slmn9z7AI1WEsGsZaIJmnnT18/edit?gid=2017311436#gid=2017311436")</f>
        <v>https://docs.google.com/spreadsheets/d/1rbCD10ySi4YZEkJW2_Slmn9z7AI1WEsGsZaIJmnnT18/edit?gid=2017311436#gid=2017311436</v>
      </c>
      <c r="I901" s="21" t="str">
        <f>IFERROR(__xludf.DUMMYFUNCTION("""COMPUTED_VALUE"""),"https://disk.yandex.ru/client/disk/%D0%9E%D1%81%D0%BC%D0%BE%D1%82%D1%80%D1%8B%20%D0%BE%D0%B1%D1%8A%D0%B5%D0%BA%D1%82%D0%BE%D0%B2%20%D0%90%D0%9D%D0%9E%20%D0%A1%D0%9C%D0%93/871%20%D0%A3%D0%BB.%20%D0%9A%D1%83%D1%81%D0%BA%D0%BE%D0%B2%D1%81%D0%BA%D0%B0%D1%8F%2"&amp;"0%D0%B2%D0%BB%2035%20")</f>
        <v>https://disk.yandex.ru/client/disk/%D0%9E%D1%81%D0%BC%D0%BE%D1%82%D1%80%D1%8B%20%D0%BE%D0%B1%D1%8A%D0%B5%D0%BA%D1%82%D0%BE%D0%B2%20%D0%90%D0%9D%D0%9E%20%D0%A1%D0%9C%D0%93/871%20%D0%A3%D0%BB.%20%D0%9A%D1%83%D1%81%D0%BA%D0%BE%D0%B2%D1%81%D0%BA%D0%B0%D1%8F%20%D0%B2%D0%BB%2035%20</v>
      </c>
      <c r="J901" s="50">
        <f>IFERROR(__xludf.DUMMYFUNCTION("""COMPUTED_VALUE"""),0.0)</f>
        <v>0</v>
      </c>
      <c r="K901" s="58">
        <f>IFERROR(__xludf.DUMMYFUNCTION("""COMPUTED_VALUE"""),45962.0)</f>
        <v>45962</v>
      </c>
      <c r="L901" s="6">
        <v>30.0</v>
      </c>
      <c r="M901" s="52">
        <v>45992.0</v>
      </c>
      <c r="N901" s="53" t="s">
        <v>692</v>
      </c>
      <c r="O901" s="19" t="s">
        <v>1172</v>
      </c>
      <c r="P901" s="6"/>
      <c r="Q901" s="6" t="str">
        <f t="shared" si="1"/>
        <v>#N/A</v>
      </c>
      <c r="R901" s="6"/>
    </row>
    <row r="902">
      <c r="A902" s="31" t="str">
        <f>IFERROR(__xludf.DUMMYFUNCTION("""COMPUTED_VALUE"""),"874")</f>
        <v>874</v>
      </c>
      <c r="B902" s="14" t="str">
        <f>IFERROR(__xludf.DUMMYFUNCTION("""COMPUTED_VALUE"""),"РЕН-26")</f>
        <v>РЕН-26</v>
      </c>
      <c r="C902" s="14" t="str">
        <f>IFERROR(__xludf.DUMMYFUNCTION("""COMPUTED_VALUE"""),"ОКС")</f>
        <v>ОКС</v>
      </c>
      <c r="D902" s="6"/>
      <c r="E902" s="14" t="str">
        <f>IFERROR(__xludf.DUMMYFUNCTION("""COMPUTED_VALUE"""),"5-я Парковая улица, земельный участок 39/3 (5-я Парковая ул., вл. 39, корп. 3 район Измайлово, 5-я Парковая ул., вл. 39, корп. 3")</f>
        <v>5-я Парковая улица, земельный участок 39/3 (5-я Парковая ул., вл. 39, корп. 3 район Измайлово, 5-я Парковая ул., вл. 39, корп. 3</v>
      </c>
      <c r="F902" s="25" t="str">
        <f>IFERROR(__xludf.DUMMYFUNCTION("""COMPUTED_VALUE"""),"55.800869")</f>
        <v>55.800869</v>
      </c>
      <c r="G902" s="6" t="str">
        <f>IFERROR(__xludf.DUMMYFUNCTION("""COMPUTED_VALUE"""),"37.786025")</f>
        <v>37.786025</v>
      </c>
      <c r="H902" s="18" t="str">
        <f>IFERROR(__xludf.DUMMYFUNCTION("""COMPUTED_VALUE"""),"https://docs.google.com/spreadsheets/d/1rbCD10ySi4YZEkJW2_Slmn9z7AI1WEsGsZaIJmnnT18/edit?gid=1439077148#gid=1439077148")</f>
        <v>https://docs.google.com/spreadsheets/d/1rbCD10ySi4YZEkJW2_Slmn9z7AI1WEsGsZaIJmnnT18/edit?gid=1439077148#gid=1439077148</v>
      </c>
      <c r="I902" s="21" t="str">
        <f>IFERROR(__xludf.DUMMYFUNCTION("""COMPUTED_VALUE"""),"https://disk.yandex.ru/client/disk/%D0%9E%D1%81%D0%BC%D0%BE%D1%82%D1%80%D1%8B%20%D0%BE%D0%B1%D1%8A%D0%B5%D0%BA%D1%82%D0%BE%D0%B2%20%D0%90%D0%9D%D0%9E%20%D0%A1%D0%9C%D0%93/874%20%D1%83%D0%BB%205-%D1%8F%20%D0%BF%D0%B0%D1%80%D0%BA%D0%BE%D0%B2%D0%B0%D1%8F%203"&amp;"9.3%20")</f>
        <v>https://disk.yandex.ru/client/disk/%D0%9E%D1%81%D0%BC%D0%BE%D1%82%D1%80%D1%8B%20%D0%BE%D0%B1%D1%8A%D0%B5%D0%BA%D1%82%D0%BE%D0%B2%20%D0%90%D0%9D%D0%9E%20%D0%A1%D0%9C%D0%93/874%20%D1%83%D0%BB%205-%D1%8F%20%D0%BF%D0%B0%D1%80%D0%BA%D0%BE%D0%B2%D0%B0%D1%8F%2039.3%20</v>
      </c>
      <c r="J902" s="50">
        <f>IFERROR(__xludf.DUMMYFUNCTION("""COMPUTED_VALUE"""),0.0)</f>
        <v>0</v>
      </c>
      <c r="K902" s="58">
        <f>IFERROR(__xludf.DUMMYFUNCTION("""COMPUTED_VALUE"""),45973.0)</f>
        <v>45973</v>
      </c>
      <c r="L902" s="6">
        <v>30.0</v>
      </c>
      <c r="M902" s="52">
        <v>46003.0</v>
      </c>
      <c r="N902" s="53" t="s">
        <v>711</v>
      </c>
      <c r="O902" s="19" t="s">
        <v>893</v>
      </c>
      <c r="P902" s="6"/>
      <c r="Q902" s="6" t="str">
        <f t="shared" si="1"/>
        <v>874</v>
      </c>
      <c r="R902" s="6"/>
    </row>
    <row r="903">
      <c r="A903" s="31" t="str">
        <f>IFERROR(__xludf.DUMMYFUNCTION("""COMPUTED_VALUE"""),"875")</f>
        <v>875</v>
      </c>
      <c r="B903" s="14" t="str">
        <f>IFERROR(__xludf.DUMMYFUNCTION("""COMPUTED_VALUE"""),"РЕН-26")</f>
        <v>РЕН-26</v>
      </c>
      <c r="C903" s="14" t="str">
        <f>IFERROR(__xludf.DUMMYFUNCTION("""COMPUTED_VALUE"""),"ОКС")</f>
        <v>ОКС</v>
      </c>
      <c r="D903" s="6"/>
      <c r="E903" s="14" t="str">
        <f>IFERROR(__xludf.DUMMYFUNCTION("""COMPUTED_VALUE"""),"9-я Парковая улица, земельный участок 50/2 (9-я Парковая ул., вл. 50, корп. 2) ВАО        9-я Парковая улица, з/у 50/2 (9-я Парковая ул., вл. 50, корп. 2)")</f>
        <v>9-я Парковая улица, земельный участок 50/2 (9-я Парковая ул., вл. 50, корп. 2) ВАО        9-я Парковая улица, з/у 50/2 (9-я Парковая ул., вл. 50, корп. 2)</v>
      </c>
      <c r="F903" s="25" t="str">
        <f>IFERROR(__xludf.DUMMYFUNCTION("""COMPUTED_VALUE"""),"55.800494")</f>
        <v>55.800494</v>
      </c>
      <c r="G903" s="6" t="str">
        <f>IFERROR(__xludf.DUMMYFUNCTION("""COMPUTED_VALUE"""),"37.800640")</f>
        <v>37.800640</v>
      </c>
      <c r="H903" s="18" t="str">
        <f>IFERROR(__xludf.DUMMYFUNCTION("""COMPUTED_VALUE"""),"https://docs.google.com/spreadsheets/d/1rbCD10ySi4YZEkJW2_Slmn9z7AI1WEsGsZaIJmnnT18/edit?gid=1846163124#gid=1846163124")</f>
        <v>https://docs.google.com/spreadsheets/d/1rbCD10ySi4YZEkJW2_Slmn9z7AI1WEsGsZaIJmnnT18/edit?gid=1846163124#gid=1846163124</v>
      </c>
      <c r="I903" s="19" t="str">
        <f>IFERROR(__xludf.DUMMYFUNCTION("""COMPUTED_VALUE"""),"https://disk.yandex.ru/client/disk/Осмотры%20объектов%20АНО%20СМГ/875%209-я%20Парковая%20ул.%2C%20вл.%2050%2C%20корп.%202")</f>
        <v>https://disk.yandex.ru/client/disk/Осмотры%20объектов%20АНО%20СМГ/875%209-я%20Парковая%20ул.%2C%20вл.%2050%2C%20корп.%202</v>
      </c>
      <c r="J903" s="50">
        <f>IFERROR(__xludf.DUMMYFUNCTION("""COMPUTED_VALUE"""),0.4788)</f>
        <v>0.4788</v>
      </c>
      <c r="K903" s="58">
        <f>IFERROR(__xludf.DUMMYFUNCTION("""COMPUTED_VALUE"""),45973.0)</f>
        <v>45973</v>
      </c>
      <c r="L903" s="6">
        <v>30.0</v>
      </c>
      <c r="M903" s="52">
        <v>46003.0</v>
      </c>
      <c r="N903" s="53" t="s">
        <v>711</v>
      </c>
      <c r="O903" s="19" t="s">
        <v>893</v>
      </c>
      <c r="P903" s="6"/>
      <c r="Q903" s="6" t="str">
        <f t="shared" si="1"/>
        <v>875</v>
      </c>
      <c r="R903" s="6"/>
    </row>
    <row r="904">
      <c r="A904" s="31" t="str">
        <f>IFERROR(__xludf.DUMMYFUNCTION("""COMPUTED_VALUE"""),"876")</f>
        <v>876</v>
      </c>
      <c r="B904" s="14" t="str">
        <f>IFERROR(__xludf.DUMMYFUNCTION("""COMPUTED_VALUE"""),"РЕН-26")</f>
        <v>РЕН-26</v>
      </c>
      <c r="C904" s="14" t="str">
        <f>IFERROR(__xludf.DUMMYFUNCTION("""COMPUTED_VALUE"""),"ОКС")</f>
        <v>ОКС</v>
      </c>
      <c r="D904" s="6"/>
      <c r="E904" s="14" t="str">
        <f>IFERROR(__xludf.DUMMYFUNCTION("""COMPUTED_VALUE"""),"9-я Парковая улица, земельный участок 52/1 (9-я Парковая ул., вл. 52, корп. 1) ВАО        9-я Парковая улица, з/у 52/1 (9-я Парковая ул., вл. 52, корп. 1)")</f>
        <v>9-я Парковая улица, земельный участок 52/1 (9-я Парковая ул., вл. 52, корп. 1) ВАО        9-я Парковая улица, з/у 52/1 (9-я Парковая ул., вл. 52, корп. 1)</v>
      </c>
      <c r="F904" s="25" t="str">
        <f>IFERROR(__xludf.DUMMYFUNCTION("""COMPUTED_VALUE"""),"55.801268")</f>
        <v>55.801268</v>
      </c>
      <c r="G904" s="6" t="str">
        <f>IFERROR(__xludf.DUMMYFUNCTION("""COMPUTED_VALUE"""),"37.799688")</f>
        <v>37.799688</v>
      </c>
      <c r="H904" s="18" t="str">
        <f>IFERROR(__xludf.DUMMYFUNCTION("""COMPUTED_VALUE"""),"https://docs.google.com/spreadsheets/d/1rbCD10ySi4YZEkJW2_Slmn9z7AI1WEsGsZaIJmnnT18/edit?gid=1451563730#gid=1451563730")</f>
        <v>https://docs.google.com/spreadsheets/d/1rbCD10ySi4YZEkJW2_Slmn9z7AI1WEsGsZaIJmnnT18/edit?gid=1451563730#gid=1451563730</v>
      </c>
      <c r="I904" s="19" t="str">
        <f>IFERROR(__xludf.DUMMYFUNCTION("""COMPUTED_VALUE"""),"https://disk.yandex.ru/client/disk/Осмотры%20объектов%20АНО%20СМГ/876%209-я%20Парковая%20ул.%2C%20вл.%2052%2C%20корп.%201")</f>
        <v>https://disk.yandex.ru/client/disk/Осмотры%20объектов%20АНО%20СМГ/876%209-я%20Парковая%20ул.%2C%20вл.%2052%2C%20корп.%201</v>
      </c>
      <c r="J904" s="50">
        <f>IFERROR(__xludf.DUMMYFUNCTION("""COMPUTED_VALUE"""),0.0)</f>
        <v>0</v>
      </c>
      <c r="K904" s="58">
        <f>IFERROR(__xludf.DUMMYFUNCTION("""COMPUTED_VALUE"""),45973.0)</f>
        <v>45973</v>
      </c>
      <c r="L904" s="6">
        <v>30.0</v>
      </c>
      <c r="M904" s="52">
        <v>46003.0</v>
      </c>
      <c r="N904" s="53" t="s">
        <v>711</v>
      </c>
      <c r="O904" s="19" t="s">
        <v>893</v>
      </c>
      <c r="P904" s="6"/>
      <c r="Q904" s="6" t="str">
        <f t="shared" si="1"/>
        <v>876</v>
      </c>
      <c r="R904" s="6"/>
    </row>
    <row r="905">
      <c r="A905" s="31" t="str">
        <f>IFERROR(__xludf.DUMMYFUNCTION("""COMPUTED_VALUE"""),"878")</f>
        <v>878</v>
      </c>
      <c r="B905" s="14" t="str">
        <f>IFERROR(__xludf.DUMMYFUNCTION("""COMPUTED_VALUE"""),"РЕН-26")</f>
        <v>РЕН-26</v>
      </c>
      <c r="C905" s="14" t="str">
        <f>IFERROR(__xludf.DUMMYFUNCTION("""COMPUTED_VALUE"""),"ОКС")</f>
        <v>ОКС</v>
      </c>
      <c r="D905" s="6"/>
      <c r="E905" s="14" t="str">
        <f>IFERROR(__xludf.DUMMYFUNCTION("""COMPUTED_VALUE"""),"улица Азовская, земельный участок 39 ЮЗАО        улица Азовская, земельный участок 39")</f>
        <v>улица Азовская, земельный участок 39 ЮЗАО        улица Азовская, земельный участок 39</v>
      </c>
      <c r="F905" s="25" t="str">
        <f>IFERROR(__xludf.DUMMYFUNCTION("""COMPUTED_VALUE"""),"55.644814")</f>
        <v>55.644814</v>
      </c>
      <c r="G905" s="6" t="str">
        <f>IFERROR(__xludf.DUMMYFUNCTION("""COMPUTED_VALUE"""),"37.595841")</f>
        <v>37.595841</v>
      </c>
      <c r="H905" s="18" t="str">
        <f>IFERROR(__xludf.DUMMYFUNCTION("""COMPUTED_VALUE"""),"https://docs.google.com/spreadsheets/d/1rbCD10ySi4YZEkJW2_Slmn9z7AI1WEsGsZaIJmnnT18/edit?gid=672785947#gid=672785947")</f>
        <v>https://docs.google.com/spreadsheets/d/1rbCD10ySi4YZEkJW2_Slmn9z7AI1WEsGsZaIJmnnT18/edit?gid=672785947#gid=672785947</v>
      </c>
      <c r="I905" s="19" t="str">
        <f>IFERROR(__xludf.DUMMYFUNCTION("""COMPUTED_VALUE"""),"https://disk.yandex.ru/client/disk/Осмотры%20объектов%20АНО%20СМГ/878.%20Азовская%20улица%2C%20зу%2039")</f>
        <v>https://disk.yandex.ru/client/disk/Осмотры%20объектов%20АНО%20СМГ/878.%20Азовская%20улица%2C%20зу%2039</v>
      </c>
      <c r="J905" s="50">
        <f>IFERROR(__xludf.DUMMYFUNCTION("""COMPUTED_VALUE"""),0.0)</f>
        <v>0</v>
      </c>
      <c r="K905" s="58">
        <f>IFERROR(__xludf.DUMMYFUNCTION("""COMPUTED_VALUE"""),45973.0)</f>
        <v>45973</v>
      </c>
      <c r="L905" s="6">
        <v>30.0</v>
      </c>
      <c r="M905" s="52">
        <v>46003.0</v>
      </c>
      <c r="N905" s="53" t="s">
        <v>711</v>
      </c>
      <c r="O905" s="19" t="s">
        <v>1173</v>
      </c>
      <c r="P905" s="6"/>
      <c r="Q905" s="6" t="str">
        <f t="shared" si="1"/>
        <v>878</v>
      </c>
      <c r="R905" s="6"/>
    </row>
    <row r="906" hidden="1">
      <c r="A906" s="31" t="str">
        <f>IFERROR(__xludf.DUMMYFUNCTION("""COMPUTED_VALUE"""),"717")</f>
        <v>717</v>
      </c>
      <c r="B906" s="14" t="str">
        <f>IFERROR(__xludf.DUMMYFUNCTION("""COMPUTED_VALUE"""),"РЕН-26")</f>
        <v>РЕН-26</v>
      </c>
      <c r="C906" s="14" t="str">
        <f>IFERROR(__xludf.DUMMYFUNCTION("""COMPUTED_VALUE"""),"ОКС")</f>
        <v>ОКС</v>
      </c>
      <c r="D906" s="6"/>
      <c r="E906" s="14" t="str">
        <f>IFERROR(__xludf.DUMMYFUNCTION("""COMPUTED_VALUE"""),"Даниловская набережная, земельный участок 8 (вл. 8) ЮАО, район Даниловский, Даниловская набережная, земельный участок 8 (Даниловская наб., вл. 8) 	")</f>
        <v>Даниловская набережная, земельный участок 8 (вл. 8) ЮАО, район Даниловский, Даниловская набережная, земельный участок 8 (Даниловская наб., вл. 8) 	</v>
      </c>
      <c r="F906" s="25" t="str">
        <f>IFERROR(__xludf.DUMMYFUNCTION("""COMPUTED_VALUE"""),"55.709430")</f>
        <v>55.709430</v>
      </c>
      <c r="G906" s="6" t="str">
        <f>IFERROR(__xludf.DUMMYFUNCTION("""COMPUTED_VALUE"""),"37.636083")</f>
        <v>37.636083</v>
      </c>
      <c r="H906" s="18" t="str">
        <f>IFERROR(__xludf.DUMMYFUNCTION("""COMPUTED_VALUE"""),"https://docs.google.com/spreadsheets/d/1rbCD10ySi4YZEkJW2_Slmn9z7AI1WEsGsZaIJmnnT18/edit?gid=756416994#gid=756416994")</f>
        <v>https://docs.google.com/spreadsheets/d/1rbCD10ySi4YZEkJW2_Slmn9z7AI1WEsGsZaIJmnnT18/edit?gid=756416994#gid=756416994</v>
      </c>
      <c r="I906" s="19" t="str">
        <f>IFERROR(__xludf.DUMMYFUNCTION("""COMPUTED_VALUE"""),"https://disk.yandex.ru/client/disk/Осмотры%20объектов%20АНО%20СМГ/717.%20Даниловская%20набережная%2C%20вл.%208")</f>
        <v>https://disk.yandex.ru/client/disk/Осмотры%20объектов%20АНО%20СМГ/717.%20Даниловская%20набережная%2C%20вл.%208</v>
      </c>
      <c r="J906" s="50">
        <f>IFERROR(__xludf.DUMMYFUNCTION("""COMPUTED_VALUE"""),3.2099999999999995)</f>
        <v>3.21</v>
      </c>
      <c r="K906" s="58">
        <f>IFERROR(__xludf.DUMMYFUNCTION("""COMPUTED_VALUE"""),45946.0)</f>
        <v>45946</v>
      </c>
      <c r="L906" s="6">
        <v>30.0</v>
      </c>
      <c r="M906" s="52">
        <v>45976.0</v>
      </c>
      <c r="N906" s="53" t="s">
        <v>701</v>
      </c>
      <c r="O906" s="19" t="s">
        <v>669</v>
      </c>
      <c r="P906" s="6"/>
      <c r="Q906" s="6" t="str">
        <f t="shared" si="1"/>
        <v>#N/A</v>
      </c>
      <c r="R906" s="6"/>
    </row>
    <row r="907" hidden="1">
      <c r="A907" s="31" t="str">
        <f>IFERROR(__xludf.DUMMYFUNCTION("""COMPUTED_VALUE"""),"1156")</f>
        <v>1156</v>
      </c>
      <c r="B907" s="14" t="str">
        <f>IFERROR(__xludf.DUMMYFUNCTION("""COMPUTED_VALUE"""),"РЕН-26")</f>
        <v>РЕН-26</v>
      </c>
      <c r="C907" s="14" t="str">
        <f>IFERROR(__xludf.DUMMYFUNCTION("""COMPUTED_VALUE"""),"ОКС")</f>
        <v>ОКС</v>
      </c>
      <c r="D907" s="6"/>
      <c r="E907" s="14" t="str">
        <f>IFERROR(__xludf.DUMMYFUNCTION("""COMPUTED_VALUE"""),"улица Леснорядская, земельный участок 7 ЦАО, район Красносельский, Леснорядская ул., вл. 7, 2-я Леснорядская ул., д. 10-12, стр. 1")</f>
        <v>улица Леснорядская, земельный участок 7 ЦАО, район Красносельский, Леснорядская ул., вл. 7, 2-я Леснорядская ул., д. 10-12, стр. 1</v>
      </c>
      <c r="F907" s="25" t="str">
        <f>IFERROR(__xludf.DUMMYFUNCTION("""COMPUTED_VALUE"""),"55.782122")</f>
        <v>55.782122</v>
      </c>
      <c r="G907" s="6" t="str">
        <f>IFERROR(__xludf.DUMMYFUNCTION("""COMPUTED_VALUE"""),"37.676403")</f>
        <v>37.676403</v>
      </c>
      <c r="H907" s="18" t="str">
        <f>IFERROR(__xludf.DUMMYFUNCTION("""COMPUTED_VALUE"""),"https://docs.google.com/spreadsheets/d/1rbCD10ySi4YZEkJW2_Slmn9z7AI1WEsGsZaIJmnnT18/edit?gid=2030780082#gid=2030780082")</f>
        <v>https://docs.google.com/spreadsheets/d/1rbCD10ySi4YZEkJW2_Slmn9z7AI1WEsGsZaIJmnnT18/edit?gid=2030780082#gid=2030780082</v>
      </c>
      <c r="I907" s="19" t="str">
        <f>IFERROR(__xludf.DUMMYFUNCTION("""COMPUTED_VALUE"""),"https://disk.yandex.ru/client/disk/Осмотры%20объектов%20АНО%20СМГ/1156.%20Леснорядская%20улица%20земельный%20участок%207")</f>
        <v>https://disk.yandex.ru/client/disk/Осмотры%20объектов%20АНО%20СМГ/1156.%20Леснорядская%20улица%20земельный%20участок%207</v>
      </c>
      <c r="J907" s="50">
        <f>IFERROR(__xludf.DUMMYFUNCTION("""COMPUTED_VALUE"""),29.814374999999995)</f>
        <v>29.814375</v>
      </c>
      <c r="K907" s="58">
        <f>IFERROR(__xludf.DUMMYFUNCTION("""COMPUTED_VALUE"""),45961.0)</f>
        <v>45961</v>
      </c>
      <c r="L907" s="6">
        <v>30.0</v>
      </c>
      <c r="M907" s="52">
        <v>45991.0</v>
      </c>
      <c r="N907" s="53" t="s">
        <v>692</v>
      </c>
      <c r="O907" s="19" t="s">
        <v>669</v>
      </c>
      <c r="P907" s="6"/>
      <c r="Q907" s="6" t="str">
        <f t="shared" si="1"/>
        <v>#N/A</v>
      </c>
      <c r="R907" s="6"/>
    </row>
    <row r="908" hidden="1">
      <c r="A908" s="31" t="str">
        <f>IFERROR(__xludf.DUMMYFUNCTION("""COMPUTED_VALUE"""),"742")</f>
        <v>742</v>
      </c>
      <c r="B908" s="14" t="str">
        <f>IFERROR(__xludf.DUMMYFUNCTION("""COMPUTED_VALUE"""),"РЕН-26")</f>
        <v>РЕН-26</v>
      </c>
      <c r="C908" s="14" t="str">
        <f>IFERROR(__xludf.DUMMYFUNCTION("""COMPUTED_VALUE"""),"ОКС")</f>
        <v>ОКС</v>
      </c>
      <c r="D908" s="6"/>
      <c r="E908" s="14" t="str">
        <f>IFERROR(__xludf.DUMMYFUNCTION("""COMPUTED_VALUE"""),"7-я Кожуховская улица, земельный участок 8 (7-я Кожуховская ул. вл. 8) 7-я Кожуховская улица, земельный участок 8 (7-я Кожуховская ул. вл. 8)")</f>
        <v>7-я Кожуховская улица, земельный участок 8 (7-я Кожуховская ул. вл. 8) 7-я Кожуховская улица, земельный участок 8 (7-я Кожуховская ул. вл. 8)</v>
      </c>
      <c r="F908" s="25" t="str">
        <f>IFERROR(__xludf.DUMMYFUNCTION("""COMPUTED_VALUE"""),"55.708858")</f>
        <v>55.708858</v>
      </c>
      <c r="G908" s="6" t="str">
        <f>IFERROR(__xludf.DUMMYFUNCTION("""COMPUTED_VALUE"""),"37.671896")</f>
        <v>37.671896</v>
      </c>
      <c r="H908" s="18" t="str">
        <f>IFERROR(__xludf.DUMMYFUNCTION("""COMPUTED_VALUE"""),"https://docs.google.com/spreadsheets/d/1rbCD10ySi4YZEkJW2_Slmn9z7AI1WEsGsZaIJmnnT18/edit?gid=1207675584#gid=1207675584")</f>
        <v>https://docs.google.com/spreadsheets/d/1rbCD10ySi4YZEkJW2_Slmn9z7AI1WEsGsZaIJmnnT18/edit?gid=1207675584#gid=1207675584</v>
      </c>
      <c r="I908" s="19" t="str">
        <f>IFERROR(__xludf.DUMMYFUNCTION("""COMPUTED_VALUE"""),"https://disk.yandex.ru/client/disk/Осмотры%20объектов%20АНО%20СМГ/742.%207-я%20Кожуховская%20ул.%2C%20вл.%208%2C%20уч.%208")</f>
        <v>https://disk.yandex.ru/client/disk/Осмотры%20объектов%20АНО%20СМГ/742.%207-я%20Кожуховская%20ул.%2C%20вл.%208%2C%20уч.%208</v>
      </c>
      <c r="J908" s="50">
        <f>IFERROR(__xludf.DUMMYFUNCTION("""COMPUTED_VALUE"""),0.03)</f>
        <v>0.03</v>
      </c>
      <c r="K908" s="58">
        <f>IFERROR(__xludf.DUMMYFUNCTION("""COMPUTED_VALUE"""),45953.0)</f>
        <v>45953</v>
      </c>
      <c r="L908" s="6">
        <v>30.0</v>
      </c>
      <c r="M908" s="52">
        <v>45983.0</v>
      </c>
      <c r="N908" s="53" t="s">
        <v>741</v>
      </c>
      <c r="O908" s="19" t="s">
        <v>1174</v>
      </c>
      <c r="P908" s="6"/>
      <c r="Q908" s="6" t="str">
        <f t="shared" si="1"/>
        <v>#N/A</v>
      </c>
      <c r="R908" s="6"/>
    </row>
    <row r="909" hidden="1">
      <c r="A909" s="31" t="str">
        <f>IFERROR(__xludf.DUMMYFUNCTION("""COMPUTED_VALUE"""),"743")</f>
        <v>743</v>
      </c>
      <c r="B909" s="14" t="str">
        <f>IFERROR(__xludf.DUMMYFUNCTION("""COMPUTED_VALUE"""),"РЕН-26")</f>
        <v>РЕН-26</v>
      </c>
      <c r="C909" s="14" t="str">
        <f>IFERROR(__xludf.DUMMYFUNCTION("""COMPUTED_VALUE"""),"ОКС")</f>
        <v>ОКС</v>
      </c>
      <c r="D909" s="6"/>
      <c r="E909" s="14" t="str">
        <f>IFERROR(__xludf.DUMMYFUNCTION("""COMPUTED_VALUE"""),"Касимовская ул., вл. 33 Москва, Касимовская ул, 33")</f>
        <v>Касимовская ул., вл. 33 Москва, Касимовская ул, 33</v>
      </c>
      <c r="F909" s="25" t="str">
        <f>IFERROR(__xludf.DUMMYFUNCTION("""COMPUTED_VALUE"""),"55.592836")</f>
        <v>55.592836</v>
      </c>
      <c r="G909" s="6" t="str">
        <f>IFERROR(__xludf.DUMMYFUNCTION("""COMPUTED_VALUE"""),"37.658536")</f>
        <v>37.658536</v>
      </c>
      <c r="H909" s="18" t="str">
        <f>IFERROR(__xludf.DUMMYFUNCTION("""COMPUTED_VALUE"""),"https://docs.google.com/spreadsheets/d/1rbCD10ySi4YZEkJW2_Slmn9z7AI1WEsGsZaIJmnnT18/edit?gid=383847574#gid=383847574")</f>
        <v>https://docs.google.com/spreadsheets/d/1rbCD10ySi4YZEkJW2_Slmn9z7AI1WEsGsZaIJmnnT18/edit?gid=383847574#gid=383847574</v>
      </c>
      <c r="I909" s="19" t="str">
        <f>IFERROR(__xludf.DUMMYFUNCTION("""COMPUTED_VALUE"""),"https://disk.yandex.ru/client/disk/Осмотры%20объектов%20АНО%20СМГ/743.%20Касимовская%2033")</f>
        <v>https://disk.yandex.ru/client/disk/Осмотры%20объектов%20АНО%20СМГ/743.%20Касимовская%2033</v>
      </c>
      <c r="J909" s="50">
        <f>IFERROR(__xludf.DUMMYFUNCTION("""COMPUTED_VALUE"""),0.0)</f>
        <v>0</v>
      </c>
      <c r="K909" s="58">
        <f>IFERROR(__xludf.DUMMYFUNCTION("""COMPUTED_VALUE"""),45953.0)</f>
        <v>45953</v>
      </c>
      <c r="L909" s="6">
        <v>30.0</v>
      </c>
      <c r="M909" s="52">
        <v>45983.0</v>
      </c>
      <c r="N909" s="53" t="s">
        <v>741</v>
      </c>
      <c r="O909" s="19" t="s">
        <v>1175</v>
      </c>
      <c r="P909" s="6"/>
      <c r="Q909" s="6" t="str">
        <f t="shared" si="1"/>
        <v>#N/A</v>
      </c>
      <c r="R909" s="6"/>
    </row>
    <row r="910" hidden="1">
      <c r="A910" s="31" t="str">
        <f>IFERROR(__xludf.DUMMYFUNCTION("""COMPUTED_VALUE"""),"744")</f>
        <v>744</v>
      </c>
      <c r="B910" s="14" t="str">
        <f>IFERROR(__xludf.DUMMYFUNCTION("""COMPUTED_VALUE"""),"РЕН-26")</f>
        <v>РЕН-26</v>
      </c>
      <c r="C910" s="14" t="str">
        <f>IFERROR(__xludf.DUMMYFUNCTION("""COMPUTED_VALUE"""),"ОКС")</f>
        <v>ОКС</v>
      </c>
      <c r="D910" s="6"/>
      <c r="E910" s="14" t="str">
        <f>IFERROR(__xludf.DUMMYFUNCTION("""COMPUTED_VALUE"""),"Касимовская ул., вл. 35 Москва, Касимовская ул, 35")</f>
        <v>Касимовская ул., вл. 35 Москва, Касимовская ул, 35</v>
      </c>
      <c r="F910" s="25" t="str">
        <f>IFERROR(__xludf.DUMMYFUNCTION("""COMPUTED_VALUE"""),"55.592359")</f>
        <v>55.592359</v>
      </c>
      <c r="G910" s="6" t="str">
        <f>IFERROR(__xludf.DUMMYFUNCTION("""COMPUTED_VALUE"""),"37.658772")</f>
        <v>37.658772</v>
      </c>
      <c r="H910" s="18" t="str">
        <f>IFERROR(__xludf.DUMMYFUNCTION("""COMPUTED_VALUE"""),"https://docs.google.com/spreadsheets/d/1rbCD10ySi4YZEkJW2_Slmn9z7AI1WEsGsZaIJmnnT18/edit?gid=1949661648#gid=1949661648")</f>
        <v>https://docs.google.com/spreadsheets/d/1rbCD10ySi4YZEkJW2_Slmn9z7AI1WEsGsZaIJmnnT18/edit?gid=1949661648#gid=1949661648</v>
      </c>
      <c r="I910" s="19" t="str">
        <f>IFERROR(__xludf.DUMMYFUNCTION("""COMPUTED_VALUE"""),"https://disk.yandex.ru/client/disk/Осмотры%20объектов%20АНО%20СМГ/744.%20Касимовская%2035")</f>
        <v>https://disk.yandex.ru/client/disk/Осмотры%20объектов%20АНО%20СМГ/744.%20Касимовская%2035</v>
      </c>
      <c r="J910" s="50">
        <f>IFERROR(__xludf.DUMMYFUNCTION("""COMPUTED_VALUE"""),0.0)</f>
        <v>0</v>
      </c>
      <c r="K910" s="58">
        <f>IFERROR(__xludf.DUMMYFUNCTION("""COMPUTED_VALUE"""),45953.0)</f>
        <v>45953</v>
      </c>
      <c r="L910" s="6">
        <v>30.0</v>
      </c>
      <c r="M910" s="52">
        <v>45983.0</v>
      </c>
      <c r="N910" s="53" t="s">
        <v>741</v>
      </c>
      <c r="O910" s="19" t="s">
        <v>1175</v>
      </c>
      <c r="P910" s="6"/>
      <c r="Q910" s="6" t="str">
        <f t="shared" si="1"/>
        <v>#N/A</v>
      </c>
      <c r="R910" s="6"/>
    </row>
    <row r="911" hidden="1">
      <c r="A911" s="31" t="str">
        <f>IFERROR(__xludf.DUMMYFUNCTION("""COMPUTED_VALUE"""),"747")</f>
        <v>747</v>
      </c>
      <c r="B911" s="14" t="str">
        <f>IFERROR(__xludf.DUMMYFUNCTION("""COMPUTED_VALUE"""),"РЕН-26")</f>
        <v>РЕН-26</v>
      </c>
      <c r="C911" s="14" t="str">
        <f>IFERROR(__xludf.DUMMYFUNCTION("""COMPUTED_VALUE"""),"ОКС")</f>
        <v>ОКС</v>
      </c>
      <c r="D911" s="6"/>
      <c r="E911" s="14" t="str">
        <f>IFERROR(__xludf.DUMMYFUNCTION("""COMPUTED_VALUE"""),"Касимовская ул., вл. 31, корп. 2 (Приобретение объектов недвижимости) Москва, Касимовская ул, 31")</f>
        <v>Касимовская ул., вл. 31, корп. 2 (Приобретение объектов недвижимости) Москва, Касимовская ул, 31</v>
      </c>
      <c r="F911" s="25" t="str">
        <f>IFERROR(__xludf.DUMMYFUNCTION("""COMPUTED_VALUE"""),"55.593660")</f>
        <v>55.593660</v>
      </c>
      <c r="G911" s="6" t="str">
        <f>IFERROR(__xludf.DUMMYFUNCTION("""COMPUTED_VALUE"""),"37.658122")</f>
        <v>37.658122</v>
      </c>
      <c r="H911" s="18" t="str">
        <f>IFERROR(__xludf.DUMMYFUNCTION("""COMPUTED_VALUE"""),"https://docs.google.com/spreadsheets/d/1rbCD10ySi4YZEkJW2_Slmn9z7AI1WEsGsZaIJmnnT18/edit?gid=829836669#gid=829836669")</f>
        <v>https://docs.google.com/spreadsheets/d/1rbCD10ySi4YZEkJW2_Slmn9z7AI1WEsGsZaIJmnnT18/edit?gid=829836669#gid=829836669</v>
      </c>
      <c r="I911" s="19" t="str">
        <f>IFERROR(__xludf.DUMMYFUNCTION("""COMPUTED_VALUE"""),"https://disk.yandex.ru/client/disk/Осмотры%20объектов%20АНО%20СМГ/747.%20Касимовская%2031к2")</f>
        <v>https://disk.yandex.ru/client/disk/Осмотры%20объектов%20АНО%20СМГ/747.%20Касимовская%2031к2</v>
      </c>
      <c r="J911" s="50">
        <f>IFERROR(__xludf.DUMMYFUNCTION("""COMPUTED_VALUE"""),0.0)</f>
        <v>0</v>
      </c>
      <c r="K911" s="58">
        <f>IFERROR(__xludf.DUMMYFUNCTION("""COMPUTED_VALUE"""),45953.0)</f>
        <v>45953</v>
      </c>
      <c r="L911" s="6">
        <v>30.0</v>
      </c>
      <c r="M911" s="52">
        <v>45983.0</v>
      </c>
      <c r="N911" s="53" t="s">
        <v>741</v>
      </c>
      <c r="O911" s="19" t="s">
        <v>1175</v>
      </c>
      <c r="P911" s="6"/>
      <c r="Q911" s="6" t="str">
        <f t="shared" si="1"/>
        <v>#N/A</v>
      </c>
      <c r="R911" s="6"/>
    </row>
    <row r="912" hidden="1">
      <c r="A912" s="31" t="str">
        <f>IFERROR(__xludf.DUMMYFUNCTION("""COMPUTED_VALUE"""),"760")</f>
        <v>760</v>
      </c>
      <c r="B912" s="14" t="str">
        <f>IFERROR(__xludf.DUMMYFUNCTION("""COMPUTED_VALUE"""),"РЕН-26")</f>
        <v>РЕН-26</v>
      </c>
      <c r="C912" s="14" t="str">
        <f>IFERROR(__xludf.DUMMYFUNCTION("""COMPUTED_VALUE"""),"ОКС")</f>
        <v>ОКС</v>
      </c>
      <c r="D912" s="6"/>
      <c r="E912" s="14" t="str">
        <f>IFERROR(__xludf.DUMMYFUNCTION("""COMPUTED_VALUE"""),"Свободный пр-т, вл. 12 район Новогиреево, Свободный пр-т, вл. 12")</f>
        <v>Свободный пр-т, вл. 12 район Новогиреево, Свободный пр-т, вл. 12</v>
      </c>
      <c r="F912" s="25" t="str">
        <f>IFERROR(__xludf.DUMMYFUNCTION("""COMPUTED_VALUE"""),"55.755177")</f>
        <v>55.755177</v>
      </c>
      <c r="G912" s="6" t="str">
        <f>IFERROR(__xludf.DUMMYFUNCTION("""COMPUTED_VALUE"""),"37.817813")</f>
        <v>37.817813</v>
      </c>
      <c r="H912" s="18" t="str">
        <f>IFERROR(__xludf.DUMMYFUNCTION("""COMPUTED_VALUE"""),"https://docs.google.com/spreadsheets/d/1rbCD10ySi4YZEkJW2_Slmn9z7AI1WEsGsZaIJmnnT18/edit?gid=39049871#gid=39049871")</f>
        <v>https://docs.google.com/spreadsheets/d/1rbCD10ySi4YZEkJW2_Slmn9z7AI1WEsGsZaIJmnnT18/edit?gid=39049871#gid=39049871</v>
      </c>
      <c r="I912" s="19" t="str">
        <f>IFERROR(__xludf.DUMMYFUNCTION("""COMPUTED_VALUE"""),"https://disk.yandex.ru/client/disk/Осмотры%20объектов%20АНО%20СМГ/760.%20Свободный%20проспект%20вл%2012")</f>
        <v>https://disk.yandex.ru/client/disk/Осмотры%20объектов%20АНО%20СМГ/760.%20Свободный%20проспект%20вл%2012</v>
      </c>
      <c r="J912" s="50">
        <f>IFERROR(__xludf.DUMMYFUNCTION("""COMPUTED_VALUE"""),24.796860000000002)</f>
        <v>24.79686</v>
      </c>
      <c r="K912" s="58">
        <f>IFERROR(__xludf.DUMMYFUNCTION("""COMPUTED_VALUE"""),45974.0)</f>
        <v>45974</v>
      </c>
      <c r="L912" s="6">
        <v>30.0</v>
      </c>
      <c r="M912" s="52">
        <v>46004.0</v>
      </c>
      <c r="N912" s="53" t="s">
        <v>711</v>
      </c>
      <c r="O912" s="19" t="s">
        <v>1176</v>
      </c>
      <c r="P912" s="6"/>
      <c r="Q912" s="6" t="str">
        <f t="shared" si="1"/>
        <v>#N/A</v>
      </c>
      <c r="R912" s="6"/>
    </row>
    <row r="913" hidden="1">
      <c r="A913" s="31" t="str">
        <f>IFERROR(__xludf.DUMMYFUNCTION("""COMPUTED_VALUE"""),"622")</f>
        <v>622</v>
      </c>
      <c r="B913" s="14" t="str">
        <f>IFERROR(__xludf.DUMMYFUNCTION("""COMPUTED_VALUE"""),"РЕН-26")</f>
        <v>РЕН-26</v>
      </c>
      <c r="C913" s="14" t="str">
        <f>IFERROR(__xludf.DUMMYFUNCTION("""COMPUTED_VALUE"""),"ОКС")</f>
        <v>ОКС</v>
      </c>
      <c r="D913" s="6"/>
      <c r="E913" s="14" t="str">
        <f>IFERROR(__xludf.DUMMYFUNCTION("""COMPUTED_VALUE"""),"Новохорошёвский пр-д, влд. 6/1 (вл. 6) СЗАО	Новохорошёвский пр-д, влд. 6/1 (вл. 6)")</f>
        <v>Новохорошёвский пр-д, влд. 6/1 (вл. 6) СЗАО	Новохорошёвский пр-д, влд. 6/1 (вл. 6)</v>
      </c>
      <c r="F913" s="25" t="str">
        <f>IFERROR(__xludf.DUMMYFUNCTION("""COMPUTED_VALUE"""),"55.778451")</f>
        <v>55.778451</v>
      </c>
      <c r="G913" s="6" t="str">
        <f>IFERROR(__xludf.DUMMYFUNCTION("""COMPUTED_VALUE"""),"37.498935")</f>
        <v>37.498935</v>
      </c>
      <c r="H913" s="18" t="str">
        <f>IFERROR(__xludf.DUMMYFUNCTION("""COMPUTED_VALUE"""),"https://docs.google.com/spreadsheets/d/1rbCD10ySi4YZEkJW2_Slmn9z7AI1WEsGsZaIJmnnT18/edit?gid=808253211#gid=808253211")</f>
        <v>https://docs.google.com/spreadsheets/d/1rbCD10ySi4YZEkJW2_Slmn9z7AI1WEsGsZaIJmnnT18/edit?gid=808253211#gid=808253211</v>
      </c>
      <c r="I913" s="19" t="str">
        <f>IFERROR(__xludf.DUMMYFUNCTION("""COMPUTED_VALUE"""),"https://disk.yandex.ru/client/disk/Осмотры%20объектов%20АНО%20СМГ/622.%20Новохорошевский%20пр-д.%2C%20вл.%206.1")</f>
        <v>https://disk.yandex.ru/client/disk/Осмотры%20объектов%20АНО%20СМГ/622.%20Новохорошевский%20пр-д.%2C%20вл.%206.1</v>
      </c>
      <c r="J913" s="50">
        <f>IFERROR(__xludf.DUMMYFUNCTION("""COMPUTED_VALUE"""),7.89)</f>
        <v>7.89</v>
      </c>
      <c r="K913" s="58">
        <f>IFERROR(__xludf.DUMMYFUNCTION("""COMPUTED_VALUE"""),45959.0)</f>
        <v>45959</v>
      </c>
      <c r="L913" s="6">
        <v>30.0</v>
      </c>
      <c r="M913" s="52">
        <v>45989.0</v>
      </c>
      <c r="N913" s="53" t="s">
        <v>692</v>
      </c>
      <c r="O913" s="19" t="s">
        <v>669</v>
      </c>
      <c r="P913" s="6"/>
      <c r="Q913" s="6" t="str">
        <f t="shared" si="1"/>
        <v>#N/A</v>
      </c>
      <c r="R913" s="6"/>
    </row>
    <row r="914" hidden="1">
      <c r="A914" s="31" t="str">
        <f>IFERROR(__xludf.DUMMYFUNCTION("""COMPUTED_VALUE"""),"634")</f>
        <v>634</v>
      </c>
      <c r="B914" s="14" t="str">
        <f>IFERROR(__xludf.DUMMYFUNCTION("""COMPUTED_VALUE"""),"РЕН-26")</f>
        <v>РЕН-26</v>
      </c>
      <c r="C914" s="14" t="str">
        <f>IFERROR(__xludf.DUMMYFUNCTION("""COMPUTED_VALUE"""),"ОКС")</f>
        <v>ОКС</v>
      </c>
      <c r="D914" s="6"/>
      <c r="E914" s="14" t="str">
        <f>IFERROR(__xludf.DUMMYFUNCTION("""COMPUTED_VALUE"""),"Новохорошёвский пр-д, влд. 24/3/1 (вл. 24, к. 3) СЗАО, район Хорошево-Мневники, Новохорошевский проезд, вл. 24/3/1")</f>
        <v>Новохорошёвский пр-д, влд. 24/3/1 (вл. 24, к. 3) СЗАО, район Хорошево-Мневники, Новохорошевский проезд, вл. 24/3/1</v>
      </c>
      <c r="F914" s="25" t="str">
        <f>IFERROR(__xludf.DUMMYFUNCTION("""COMPUTED_VALUE"""),"55.779797")</f>
        <v>55.779797</v>
      </c>
      <c r="G914" s="6" t="str">
        <f>IFERROR(__xludf.DUMMYFUNCTION("""COMPUTED_VALUE"""),"37.492350")</f>
        <v>37.492350</v>
      </c>
      <c r="H914" s="18" t="str">
        <f>IFERROR(__xludf.DUMMYFUNCTION("""COMPUTED_VALUE"""),"https://docs.google.com/spreadsheets/d/1rbCD10ySi4YZEkJW2_Slmn9z7AI1WEsGsZaIJmnnT18/edit?gid=326389439#gid=326389439")</f>
        <v>https://docs.google.com/spreadsheets/d/1rbCD10ySi4YZEkJW2_Slmn9z7AI1WEsGsZaIJmnnT18/edit?gid=326389439#gid=326389439</v>
      </c>
      <c r="I914" s="19" t="str">
        <f>IFERROR(__xludf.DUMMYFUNCTION("""COMPUTED_VALUE"""),"https://disk.yandex.ru/client/disk/Осмотры%20объектов%20АНО%20СМГ/634.%20Новохорошевский%20пр-д.%2C%20вл.%2024.3.1")</f>
        <v>https://disk.yandex.ru/client/disk/Осмотры%20объектов%20АНО%20СМГ/634.%20Новохорошевский%20пр-д.%2C%20вл.%2024.3.1</v>
      </c>
      <c r="J914" s="50">
        <f>IFERROR(__xludf.DUMMYFUNCTION("""COMPUTED_VALUE"""),8.1)</f>
        <v>8.1</v>
      </c>
      <c r="K914" s="58">
        <f>IFERROR(__xludf.DUMMYFUNCTION("""COMPUTED_VALUE"""),45962.0)</f>
        <v>45962</v>
      </c>
      <c r="L914" s="6">
        <v>30.0</v>
      </c>
      <c r="M914" s="52">
        <v>45992.0</v>
      </c>
      <c r="N914" s="53" t="s">
        <v>692</v>
      </c>
      <c r="O914" s="19" t="s">
        <v>669</v>
      </c>
      <c r="P914" s="6"/>
      <c r="Q914" s="6" t="str">
        <f t="shared" si="1"/>
        <v>#N/A</v>
      </c>
      <c r="R914" s="6"/>
    </row>
    <row r="915" hidden="1">
      <c r="A915" s="31" t="str">
        <f>IFERROR(__xludf.DUMMYFUNCTION("""COMPUTED_VALUE"""),"621")</f>
        <v>621</v>
      </c>
      <c r="B915" s="14" t="str">
        <f>IFERROR(__xludf.DUMMYFUNCTION("""COMPUTED_VALUE"""),"РЕН-26")</f>
        <v>РЕН-26</v>
      </c>
      <c r="C915" s="14" t="str">
        <f>IFERROR(__xludf.DUMMYFUNCTION("""COMPUTED_VALUE"""),"ОКС")</f>
        <v>ОКС</v>
      </c>
      <c r="D915" s="6"/>
      <c r="E915" s="14" t="str">
        <f>IFERROR(__xludf.DUMMYFUNCTION("""COMPUTED_VALUE"""),"Жилой дом с инженерными сетями и благоустройством территории, САО, район Коптево, Генерала Рычагова ул., вл. 14 САО, район Коптево, Генерала Рычагова ул., вл. 14")</f>
        <v>Жилой дом с инженерными сетями и благоустройством территории, САО, район Коптево, Генерала Рычагова ул., вл. 14 САО, район Коптево, Генерала Рычагова ул., вл. 14</v>
      </c>
      <c r="F915" s="25" t="str">
        <f>IFERROR(__xludf.DUMMYFUNCTION("""COMPUTED_VALUE"""),"55.840465")</f>
        <v>55.840465</v>
      </c>
      <c r="G915" s="6" t="str">
        <f>IFERROR(__xludf.DUMMYFUNCTION("""COMPUTED_VALUE"""),"37.536380")</f>
        <v>37.536380</v>
      </c>
      <c r="H915" s="18" t="str">
        <f>IFERROR(__xludf.DUMMYFUNCTION("""COMPUTED_VALUE"""),"https://docs.google.com/spreadsheets/d/1rbCD10ySi4YZEkJW2_Slmn9z7AI1WEsGsZaIJmnnT18/edit?gid=1726616701#gid=1726616701")</f>
        <v>https://docs.google.com/spreadsheets/d/1rbCD10ySi4YZEkJW2_Slmn9z7AI1WEsGsZaIJmnnT18/edit?gid=1726616701#gid=1726616701</v>
      </c>
      <c r="I915" s="19" t="str">
        <f>IFERROR(__xludf.DUMMYFUNCTION("""COMPUTED_VALUE"""),"https://disk.yandex.ru/client/disk/Осмотры%20объектов%20АНО%20СМГ/621.%20Район%20Коптево%2C%20Генерала%20Рычагова%20ул.%2C%20вл.14")</f>
        <v>https://disk.yandex.ru/client/disk/Осмотры%20объектов%20АНО%20СМГ/621.%20Район%20Коптево%2C%20Генерала%20Рычагова%20ул.%2C%20вл.14</v>
      </c>
      <c r="J915" s="50">
        <f>IFERROR(__xludf.DUMMYFUNCTION("""COMPUTED_VALUE"""),3.3695999999999997)</f>
        <v>3.3696</v>
      </c>
      <c r="K915" s="58">
        <f>IFERROR(__xludf.DUMMYFUNCTION("""COMPUTED_VALUE"""),45960.0)</f>
        <v>45960</v>
      </c>
      <c r="L915" s="6">
        <v>30.0</v>
      </c>
      <c r="M915" s="52">
        <v>45990.0</v>
      </c>
      <c r="N915" s="53" t="s">
        <v>692</v>
      </c>
      <c r="O915" s="19" t="s">
        <v>1177</v>
      </c>
      <c r="P915" s="6"/>
      <c r="Q915" s="6" t="str">
        <f t="shared" si="1"/>
        <v>#N/A</v>
      </c>
      <c r="R915" s="6"/>
    </row>
    <row r="916" hidden="1">
      <c r="A916" s="31" t="str">
        <f>IFERROR(__xludf.DUMMYFUNCTION("""COMPUTED_VALUE"""),"774")</f>
        <v>774</v>
      </c>
      <c r="B916" s="14" t="str">
        <f>IFERROR(__xludf.DUMMYFUNCTION("""COMPUTED_VALUE"""),"РЕН-26")</f>
        <v>РЕН-26</v>
      </c>
      <c r="C916" s="14" t="str">
        <f>IFERROR(__xludf.DUMMYFUNCTION("""COMPUTED_VALUE"""),"ОКС")</f>
        <v>ОКС</v>
      </c>
      <c r="D916" s="6"/>
      <c r="E916" s="14" t="str">
        <f>IFERROR(__xludf.DUMMYFUNCTION("""COMPUTED_VALUE"""),"Бакинская ул., вл. 31 г. Москва, ЮАО, район Царицыно, Бакинская ул., вл. 31")</f>
        <v>Бакинская ул., вл. 31 г. Москва, ЮАО, район Царицыно, Бакинская ул., вл. 31</v>
      </c>
      <c r="F916" s="25" t="str">
        <f>IFERROR(__xludf.DUMMYFUNCTION("""COMPUTED_VALUE"""),"55.617219")</f>
        <v>55.617219</v>
      </c>
      <c r="G916" s="6" t="str">
        <f>IFERROR(__xludf.DUMMYFUNCTION("""COMPUTED_VALUE"""),"37.661780")</f>
        <v>37.661780</v>
      </c>
      <c r="H916" s="18" t="str">
        <f>IFERROR(__xludf.DUMMYFUNCTION("""COMPUTED_VALUE"""),"https://docs.google.com/spreadsheets/d/1rbCD10ySi4YZEkJW2_Slmn9z7AI1WEsGsZaIJmnnT18/edit?gid=3373357#gid=3373357")</f>
        <v>https://docs.google.com/spreadsheets/d/1rbCD10ySi4YZEkJW2_Slmn9z7AI1WEsGsZaIJmnnT18/edit?gid=3373357#gid=3373357</v>
      </c>
      <c r="I916" s="19" t="str">
        <f>IFERROR(__xludf.DUMMYFUNCTION("""COMPUTED_VALUE"""),"https://disk.yandex.ru/client/disk/Осмотры%20объектов%20АНО%20СМГ/774.%20Бакинская%2031")</f>
        <v>https://disk.yandex.ru/client/disk/Осмотры%20объектов%20АНО%20СМГ/774.%20Бакинская%2031</v>
      </c>
      <c r="J916" s="50">
        <f>IFERROR(__xludf.DUMMYFUNCTION("""COMPUTED_VALUE"""),1.5)</f>
        <v>1.5</v>
      </c>
      <c r="K916" s="58">
        <f>IFERROR(__xludf.DUMMYFUNCTION("""COMPUTED_VALUE"""),45953.0)</f>
        <v>45953</v>
      </c>
      <c r="L916" s="6">
        <v>30.0</v>
      </c>
      <c r="M916" s="52">
        <v>45983.0</v>
      </c>
      <c r="N916" s="53" t="s">
        <v>741</v>
      </c>
      <c r="O916" s="19" t="s">
        <v>669</v>
      </c>
      <c r="P916" s="6"/>
      <c r="Q916" s="6" t="str">
        <f t="shared" si="1"/>
        <v>#N/A</v>
      </c>
      <c r="R916" s="6"/>
    </row>
    <row r="917" hidden="1">
      <c r="A917" s="31" t="str">
        <f>IFERROR(__xludf.DUMMYFUNCTION("""COMPUTED_VALUE"""),"619")</f>
        <v>619</v>
      </c>
      <c r="B917" s="14" t="str">
        <f>IFERROR(__xludf.DUMMYFUNCTION("""COMPUTED_VALUE"""),"РЕН-26")</f>
        <v>РЕН-26</v>
      </c>
      <c r="C917" s="14" t="str">
        <f>IFERROR(__xludf.DUMMYFUNCTION("""COMPUTED_VALUE"""),"ОКС")</f>
        <v>ОКС</v>
      </c>
      <c r="D917" s="6"/>
      <c r="E917" s="14" t="str">
        <f>IFERROR(__xludf.DUMMYFUNCTION("""COMPUTED_VALUE"""),"Кутузовский проспект, земельный участок 78 ЗАО, район Фили-Давыдково, Кутузовский пр-т, зу 78")</f>
        <v>Кутузовский проспект, земельный участок 78 ЗАО, район Фили-Давыдково, Кутузовский пр-т, зу 78</v>
      </c>
      <c r="F917" s="25" t="str">
        <f>IFERROR(__xludf.DUMMYFUNCTION("""COMPUTED_VALUE"""),"55.725985")</f>
        <v>55.725985</v>
      </c>
      <c r="G917" s="6" t="str">
        <f>IFERROR(__xludf.DUMMYFUNCTION("""COMPUTED_VALUE"""),"37.456835")</f>
        <v>37.456835</v>
      </c>
      <c r="H917" s="18" t="str">
        <f>IFERROR(__xludf.DUMMYFUNCTION("""COMPUTED_VALUE"""),"https://docs.google.com/spreadsheets/d/1rbCD10ySi4YZEkJW2_Slmn9z7AI1WEsGsZaIJmnnT18/edit?gid=226411409#gid=226411409")</f>
        <v>https://docs.google.com/spreadsheets/d/1rbCD10ySi4YZEkJW2_Slmn9z7AI1WEsGsZaIJmnnT18/edit?gid=226411409#gid=226411409</v>
      </c>
      <c r="I917" s="19" t="str">
        <f>IFERROR(__xludf.DUMMYFUNCTION("""COMPUTED_VALUE"""),"https://disk.yandex.ru/client/disk/Осмотры%20объектов%20АНО%20СМГ/619.%20Жилой%20дом%20Кутузовский%20вл78")</f>
        <v>https://disk.yandex.ru/client/disk/Осмотры%20объектов%20АНО%20СМГ/619.%20Жилой%20дом%20Кутузовский%20вл78</v>
      </c>
      <c r="J917" s="50">
        <f>IFERROR(__xludf.DUMMYFUNCTION("""COMPUTED_VALUE"""),10.65)</f>
        <v>10.65</v>
      </c>
      <c r="K917" s="58">
        <f>IFERROR(__xludf.DUMMYFUNCTION("""COMPUTED_VALUE"""),45973.0)</f>
        <v>45973</v>
      </c>
      <c r="L917" s="6">
        <v>30.0</v>
      </c>
      <c r="M917" s="52">
        <v>46003.0</v>
      </c>
      <c r="N917" s="53" t="s">
        <v>711</v>
      </c>
      <c r="O917" s="19" t="s">
        <v>1178</v>
      </c>
      <c r="P917" s="6"/>
      <c r="Q917" s="6" t="str">
        <f t="shared" si="1"/>
        <v>#N/A</v>
      </c>
      <c r="R917" s="6"/>
    </row>
    <row r="918" hidden="1">
      <c r="A918" s="31" t="str">
        <f>IFERROR(__xludf.DUMMYFUNCTION("""COMPUTED_VALUE"""),"730")</f>
        <v>730</v>
      </c>
      <c r="B918" s="14" t="str">
        <f>IFERROR(__xludf.DUMMYFUNCTION("""COMPUTED_VALUE"""),"РЕН-26")</f>
        <v>РЕН-26</v>
      </c>
      <c r="C918" s="14" t="str">
        <f>IFERROR(__xludf.DUMMYFUNCTION("""COMPUTED_VALUE"""),"ОКС")</f>
        <v>ОКС</v>
      </c>
      <c r="D918" s="6"/>
      <c r="E918" s="14" t="str">
        <f>IFERROR(__xludf.DUMMYFUNCTION("""COMPUTED_VALUE"""),"Дмитровское шоссе, д.36 корп.2 САО, район Тимирязевский, Дмитровское шоссе,
земельный участок 36/2 (Зоны 2.1, 2.2, 2.3) (со сносом жилого здания по адресу: Дмитровское шоссе, д.36 корп.2)")</f>
        <v>Дмитровское шоссе, д.36 корп.2 САО, район Тимирязевский, Дмитровское шоссе,
земельный участок 36/2 (Зоны 2.1, 2.2, 2.3) (со сносом жилого здания по адресу: Дмитровское шоссе, д.36 корп.2)</v>
      </c>
      <c r="F918" s="25" t="str">
        <f>IFERROR(__xludf.DUMMYFUNCTION("""COMPUTED_VALUE"""),"55.840684")</f>
        <v>55.840684</v>
      </c>
      <c r="G918" s="6" t="str">
        <f>IFERROR(__xludf.DUMMYFUNCTION("""COMPUTED_VALUE"""),"37.573356")</f>
        <v>37.573356</v>
      </c>
      <c r="H918" s="18" t="str">
        <f>IFERROR(__xludf.DUMMYFUNCTION("""COMPUTED_VALUE"""),"https://docs.google.com/spreadsheets/d/1rbCD10ySi4YZEkJW2_Slmn9z7AI1WEsGsZaIJmnnT18/edit?gid=1127937852#gid=1127937852")</f>
        <v>https://docs.google.com/spreadsheets/d/1rbCD10ySi4YZEkJW2_Slmn9z7AI1WEsGsZaIJmnnT18/edit?gid=1127937852#gid=1127937852</v>
      </c>
      <c r="I918" s="19" t="str">
        <f>IFERROR(__xludf.DUMMYFUNCTION("""COMPUTED_VALUE"""),"https://disk.yandex.ru/client/disk/Осмотры%20объектов%20АНО%20СМГ/730.%20Дмитровское%20шоссе%20зу%2036!2%20(зоны%202.1%2C%202.2%2C%202.3)")</f>
        <v>https://disk.yandex.ru/client/disk/Осмотры%20объектов%20АНО%20СМГ/730.%20Дмитровское%20шоссе%20зу%2036!2%20(зоны%202.1%2C%202.2%2C%202.3)</v>
      </c>
      <c r="J918" s="50">
        <f>IFERROR(__xludf.DUMMYFUNCTION("""COMPUTED_VALUE"""),0.0)</f>
        <v>0</v>
      </c>
      <c r="K918" s="58">
        <f>IFERROR(__xludf.DUMMYFUNCTION("""COMPUTED_VALUE"""),45961.0)</f>
        <v>45961</v>
      </c>
      <c r="L918" s="6">
        <v>30.0</v>
      </c>
      <c r="M918" s="52">
        <v>45991.0</v>
      </c>
      <c r="N918" s="53" t="s">
        <v>692</v>
      </c>
      <c r="O918" s="19" t="s">
        <v>669</v>
      </c>
      <c r="P918" s="6"/>
      <c r="Q918" s="6" t="str">
        <f t="shared" si="1"/>
        <v>#N/A</v>
      </c>
      <c r="R918" s="6"/>
    </row>
    <row r="919" hidden="1">
      <c r="A919" s="31" t="str">
        <f>IFERROR(__xludf.DUMMYFUNCTION("""COMPUTED_VALUE"""),"788")</f>
        <v>788</v>
      </c>
      <c r="B919" s="14" t="str">
        <f>IFERROR(__xludf.DUMMYFUNCTION("""COMPUTED_VALUE"""),"РЕН-26")</f>
        <v>РЕН-26</v>
      </c>
      <c r="C919" s="14" t="str">
        <f>IFERROR(__xludf.DUMMYFUNCTION("""COMPUTED_VALUE"""),"ОКС")</f>
        <v>ОКС</v>
      </c>
      <c r="D919" s="6"/>
      <c r="E919" s="14" t="str">
        <f>IFERROR(__xludf.DUMMYFUNCTION("""COMPUTED_VALUE"""),"улица Авиамоторная, земельный участок 5 (ул. Авиамоторная, вл. 5) улица Авиамоторная, земельный участок 5 (ул. Авиамоторная, вл. 5)")</f>
        <v>улица Авиамоторная, земельный участок 5 (ул. Авиамоторная, вл. 5) улица Авиамоторная, земельный участок 5 (ул. Авиамоторная, вл. 5)</v>
      </c>
      <c r="F919" s="25" t="str">
        <f>IFERROR(__xludf.DUMMYFUNCTION("""COMPUTED_VALUE"""),"55.762551")</f>
        <v>55.762551</v>
      </c>
      <c r="G919" s="6" t="str">
        <f>IFERROR(__xludf.DUMMYFUNCTION("""COMPUTED_VALUE"""),"37.709784")</f>
        <v>37.709784</v>
      </c>
      <c r="H919" s="18" t="str">
        <f>IFERROR(__xludf.DUMMYFUNCTION("""COMPUTED_VALUE"""),"https://docs.google.com/spreadsheets/d/1rbCD10ySi4YZEkJW2_Slmn9z7AI1WEsGsZaIJmnnT18/edit?gid=602775546#gid=602775546")</f>
        <v>https://docs.google.com/spreadsheets/d/1rbCD10ySi4YZEkJW2_Slmn9z7AI1WEsGsZaIJmnnT18/edit?gid=602775546#gid=602775546</v>
      </c>
      <c r="I919" s="21" t="str">
        <f>IFERROR(__xludf.DUMMYFUNCTION("""COMPUTED_VALUE"""),"https://disk.yandex.ru/client/disk/%D0%9E%D1%81%D0%BC%D0%BE%D1%82%D1%80%D1%8B%20%D0%BE%D0%B1%D1%8A%D0%B5%D0%BA%D1%82%D0%BE%D0%B2%20%D0%90%D0%9D%D0%9E%20%D0%A1%D0%9C%D0%93/788.%20%D1%83%D0%BB%20%D0%90%D0%B2%D0%B8%D0%B0%D0%BC%D0%BE%D1%82%D0%BE%D1%80%D0%BD%D"&amp;"0%B0%D1%8F%20%D0%B2%D0%BB%205%20")</f>
        <v>https://disk.yandex.ru/client/disk/%D0%9E%D1%81%D0%BC%D0%BE%D1%82%D1%80%D1%8B%20%D0%BE%D0%B1%D1%8A%D0%B5%D0%BA%D1%82%D0%BE%D0%B2%20%D0%90%D0%9D%D0%9E%20%D0%A1%D0%9C%D0%93/788.%20%D1%83%D0%BB%20%D0%90%D0%B2%D0%B8%D0%B0%D0%BC%D0%BE%D1%82%D0%BE%D1%80%D0%BD%D0%B0%D1%8F%20%D0%B2%D0%BB%205%20</v>
      </c>
      <c r="J919" s="50">
        <f>IFERROR(__xludf.DUMMYFUNCTION("""COMPUTED_VALUE"""),0.0)</f>
        <v>0</v>
      </c>
      <c r="K919" s="58">
        <f>IFERROR(__xludf.DUMMYFUNCTION("""COMPUTED_VALUE"""),45961.0)</f>
        <v>45961</v>
      </c>
      <c r="L919" s="6">
        <v>30.0</v>
      </c>
      <c r="M919" s="52">
        <v>45991.0</v>
      </c>
      <c r="N919" s="53" t="s">
        <v>692</v>
      </c>
      <c r="O919" s="19" t="s">
        <v>1179</v>
      </c>
      <c r="P919" s="6"/>
      <c r="Q919" s="6" t="str">
        <f t="shared" si="1"/>
        <v>#N/A</v>
      </c>
      <c r="R919" s="6"/>
    </row>
    <row r="920" hidden="1">
      <c r="A920" s="31" t="str">
        <f>IFERROR(__xludf.DUMMYFUNCTION("""COMPUTED_VALUE"""),"789")</f>
        <v>789</v>
      </c>
      <c r="B920" s="14" t="str">
        <f>IFERROR(__xludf.DUMMYFUNCTION("""COMPUTED_VALUE"""),"РЕН-26")</f>
        <v>РЕН-26</v>
      </c>
      <c r="C920" s="14" t="str">
        <f>IFERROR(__xludf.DUMMYFUNCTION("""COMPUTED_VALUE"""),"ОКС")</f>
        <v>ОКС</v>
      </c>
      <c r="D920" s="6"/>
      <c r="E920" s="14" t="str">
        <f>IFERROR(__xludf.DUMMYFUNCTION("""COMPUTED_VALUE"""),"ул. Никитинская, вл. 15 (Приобретение объектов недвижимости) ВАО	ул. Никитинская, вл. 15 (Приобретение объектов недвижимости)")</f>
        <v>ул. Никитинская, вл. 15 (Приобретение объектов недвижимости) ВАО	ул. Никитинская, вл. 15 (Приобретение объектов недвижимости)</v>
      </c>
      <c r="F920" s="25" t="str">
        <f>IFERROR(__xludf.DUMMYFUNCTION("""COMPUTED_VALUE"""),"55.799413")</f>
        <v>55.799413</v>
      </c>
      <c r="G920" s="6" t="str">
        <f>IFERROR(__xludf.DUMMYFUNCTION("""COMPUTED_VALUE"""),"37.774249")</f>
        <v>37.774249</v>
      </c>
      <c r="H920" s="18" t="str">
        <f>IFERROR(__xludf.DUMMYFUNCTION("""COMPUTED_VALUE"""),"https://docs.google.com/spreadsheets/d/1rbCD10ySi4YZEkJW2_Slmn9z7AI1WEsGsZaIJmnnT18/edit?gid=1734112233#gid=1734112233")</f>
        <v>https://docs.google.com/spreadsheets/d/1rbCD10ySi4YZEkJW2_Slmn9z7AI1WEsGsZaIJmnnT18/edit?gid=1734112233#gid=1734112233</v>
      </c>
      <c r="I920" s="21" t="str">
        <f>IFERROR(__xludf.DUMMYFUNCTION("""COMPUTED_VALUE"""),"https://disk.yandex.ru/client/disk/%D0%9E%D1%81%D0%BC%D0%BE%D1%82%D1%80%D1%8B%20%D0%BE%D0%B1%D1%8A%D0%B5%D0%BA%D1%82%D0%BE%D0%B2%20%D0%90%D0%9D%D0%9E%20%D0%A1%D0%9C%D0%93/789.%20%D1%83%D0%BB%20%D0%9D%D0%B8%D0%BA%D0%B8%D1%82%D0%B8%D0%BD%D1%81%D0%BA%D0%B0%D"&amp;"1%8F%20%D0%B2%D0%BB%2015%20")</f>
        <v>https://disk.yandex.ru/client/disk/%D0%9E%D1%81%D0%BC%D0%BE%D1%82%D1%80%D1%8B%20%D0%BE%D0%B1%D1%8A%D0%B5%D0%BA%D1%82%D0%BE%D0%B2%20%D0%90%D0%9D%D0%9E%20%D0%A1%D0%9C%D0%93/789.%20%D1%83%D0%BB%20%D0%9D%D0%B8%D0%BA%D0%B8%D1%82%D0%B8%D0%BD%D1%81%D0%BA%D0%B0%D1%8F%20%D0%B2%D0%BB%2015%20</v>
      </c>
      <c r="J920" s="50">
        <f>IFERROR(__xludf.DUMMYFUNCTION("""COMPUTED_VALUE"""),0.0)</f>
        <v>0</v>
      </c>
      <c r="K920" s="58">
        <f>IFERROR(__xludf.DUMMYFUNCTION("""COMPUTED_VALUE"""),45968.0)</f>
        <v>45968</v>
      </c>
      <c r="L920" s="6">
        <v>30.0</v>
      </c>
      <c r="M920" s="52">
        <v>45998.0</v>
      </c>
      <c r="N920" s="53" t="s">
        <v>711</v>
      </c>
      <c r="O920" s="19" t="s">
        <v>893</v>
      </c>
      <c r="P920" s="6"/>
      <c r="Q920" s="6" t="str">
        <f t="shared" si="1"/>
        <v>#N/A</v>
      </c>
      <c r="R920" s="6"/>
    </row>
    <row r="921" hidden="1">
      <c r="A921" s="31" t="str">
        <f>IFERROR(__xludf.DUMMYFUNCTION("""COMPUTED_VALUE"""),"790")</f>
        <v>790</v>
      </c>
      <c r="B921" s="14" t="str">
        <f>IFERROR(__xludf.DUMMYFUNCTION("""COMPUTED_VALUE"""),"РЕН-26")</f>
        <v>РЕН-26</v>
      </c>
      <c r="C921" s="14" t="str">
        <f>IFERROR(__xludf.DUMMYFUNCTION("""COMPUTED_VALUE"""),"ОКС")</f>
        <v>ОКС</v>
      </c>
      <c r="D921" s="6"/>
      <c r="E921" s="14" t="str">
        <f>IFERROR(__xludf.DUMMYFUNCTION("""COMPUTED_VALUE"""),"Линейный проезд, земельный участок 1 внутригородское муниципальное образование Тимирязевское, Линейный проезд, земельный участок 1")</f>
        <v>Линейный проезд, земельный участок 1 внутригородское муниципальное образование Тимирязевское, Линейный проезд, земельный участок 1</v>
      </c>
      <c r="F921" s="25" t="str">
        <f>IFERROR(__xludf.DUMMYFUNCTION("""COMPUTED_VALUE"""),"55.841620")</f>
        <v>55.841620</v>
      </c>
      <c r="G921" s="6" t="str">
        <f>IFERROR(__xludf.DUMMYFUNCTION("""COMPUTED_VALUE"""),"37.567366")</f>
        <v>37.567366</v>
      </c>
      <c r="H921" s="18" t="str">
        <f>IFERROR(__xludf.DUMMYFUNCTION("""COMPUTED_VALUE"""),"https://docs.google.com/spreadsheets/d/1rbCD10ySi4YZEkJW2_Slmn9z7AI1WEsGsZaIJmnnT18/edit?gid=1949585083#gid=1949585083")</f>
        <v>https://docs.google.com/spreadsheets/d/1rbCD10ySi4YZEkJW2_Slmn9z7AI1WEsGsZaIJmnnT18/edit?gid=1949585083#gid=1949585083</v>
      </c>
      <c r="I921" s="19" t="str">
        <f>IFERROR(__xludf.DUMMYFUNCTION("""COMPUTED_VALUE"""),"https://disk.yandex.ru/client/disk/Осмотры%20объектов%20АНО%20СМГ/790.%20Линейный%20пооезд%20уч%201")</f>
        <v>https://disk.yandex.ru/client/disk/Осмотры%20объектов%20АНО%20СМГ/790.%20Линейный%20пооезд%20уч%201</v>
      </c>
      <c r="J921" s="50">
        <f>IFERROR(__xludf.DUMMYFUNCTION("""COMPUTED_VALUE"""),0.0)</f>
        <v>0</v>
      </c>
      <c r="K921" s="58">
        <f>IFERROR(__xludf.DUMMYFUNCTION("""COMPUTED_VALUE"""),45961.0)</f>
        <v>45961</v>
      </c>
      <c r="L921" s="6">
        <v>30.0</v>
      </c>
      <c r="M921" s="52">
        <v>45991.0</v>
      </c>
      <c r="N921" s="53" t="s">
        <v>692</v>
      </c>
      <c r="O921" s="19" t="s">
        <v>1180</v>
      </c>
      <c r="P921" s="6"/>
      <c r="Q921" s="6" t="str">
        <f t="shared" si="1"/>
        <v>#N/A</v>
      </c>
      <c r="R921" s="6"/>
    </row>
    <row r="922" hidden="1">
      <c r="A922" s="31" t="str">
        <f>IFERROR(__xludf.DUMMYFUNCTION("""COMPUTED_VALUE"""),"798")</f>
        <v>798</v>
      </c>
      <c r="B922" s="14" t="str">
        <f>IFERROR(__xludf.DUMMYFUNCTION("""COMPUTED_VALUE"""),"РЕН-26")</f>
        <v>РЕН-26</v>
      </c>
      <c r="C922" s="14" t="str">
        <f>IFERROR(__xludf.DUMMYFUNCTION("""COMPUTED_VALUE"""),"ОКС")</f>
        <v>ОКС</v>
      </c>
      <c r="D922" s="6"/>
      <c r="E922" s="14" t="str">
        <f>IFERROR(__xludf.DUMMYFUNCTION("""COMPUTED_VALUE"""),"улица Бронницкая, земельный участок 10 (Бронницкая ул., вл. 10) район Нижегородское, Бронницкая ул., вл. 10")</f>
        <v>улица Бронницкая, земельный участок 10 (Бронницкая ул., вл. 10) район Нижегородское, Бронницкая ул., вл. 10</v>
      </c>
      <c r="F922" s="25" t="str">
        <f>IFERROR(__xludf.DUMMYFUNCTION("""COMPUTED_VALUE"""),"55.731105")</f>
        <v>55.731105</v>
      </c>
      <c r="G922" s="6" t="str">
        <f>IFERROR(__xludf.DUMMYFUNCTION("""COMPUTED_VALUE"""),"37.758208")</f>
        <v>37.758208</v>
      </c>
      <c r="H922" s="18" t="str">
        <f>IFERROR(__xludf.DUMMYFUNCTION("""COMPUTED_VALUE"""),"https://docs.google.com/spreadsheets/d/1rbCD10ySi4YZEkJW2_Slmn9z7AI1WEsGsZaIJmnnT18/edit?gid=1530580258#gid=1530580258")</f>
        <v>https://docs.google.com/spreadsheets/d/1rbCD10ySi4YZEkJW2_Slmn9z7AI1WEsGsZaIJmnnT18/edit?gid=1530580258#gid=1530580258</v>
      </c>
      <c r="I922" s="19" t="str">
        <f>IFERROR(__xludf.DUMMYFUNCTION("""COMPUTED_VALUE"""),"https://disk.yandex.ru/client/disk/Осмотры%20объектов%20АНО%20СМГ/798.%20ул.%20Бронницкая%20зем.уч.%2010(гостиница)")</f>
        <v>https://disk.yandex.ru/client/disk/Осмотры%20объектов%20АНО%20СМГ/798.%20ул.%20Бронницкая%20зем.уч.%2010(гостиница)</v>
      </c>
      <c r="J922" s="50">
        <f>IFERROR(__xludf.DUMMYFUNCTION("""COMPUTED_VALUE"""),0.0)</f>
        <v>0</v>
      </c>
      <c r="K922" s="58">
        <f>IFERROR(__xludf.DUMMYFUNCTION("""COMPUTED_VALUE"""),45973.0)</f>
        <v>45973</v>
      </c>
      <c r="L922" s="6">
        <v>30.0</v>
      </c>
      <c r="M922" s="52">
        <v>46003.0</v>
      </c>
      <c r="N922" s="53" t="s">
        <v>711</v>
      </c>
      <c r="O922" s="19" t="s">
        <v>893</v>
      </c>
      <c r="P922" s="6"/>
      <c r="Q922" s="6" t="str">
        <f t="shared" si="1"/>
        <v>#N/A</v>
      </c>
      <c r="R922" s="6"/>
    </row>
    <row r="923" hidden="1">
      <c r="A923" s="31" t="str">
        <f>IFERROR(__xludf.DUMMYFUNCTION("""COMPUTED_VALUE"""),"799")</f>
        <v>799</v>
      </c>
      <c r="B923" s="14" t="str">
        <f>IFERROR(__xludf.DUMMYFUNCTION("""COMPUTED_VALUE"""),"РЕН-26")</f>
        <v>РЕН-26</v>
      </c>
      <c r="C923" s="14" t="str">
        <f>IFERROR(__xludf.DUMMYFUNCTION("""COMPUTED_VALUE"""),"ОКС")</f>
        <v>ОКС</v>
      </c>
      <c r="D923" s="6"/>
      <c r="E923" s="14" t="str">
        <f>IFERROR(__xludf.DUMMYFUNCTION("""COMPUTED_VALUE"""),"Бескудниковский бул-р з/у 46, зона 3.3 САО	Бескудниковский бул-р з/у 46, зона 3.3")</f>
        <v>Бескудниковский бул-р з/у 46, зона 3.3 САО	Бескудниковский бул-р з/у 46, зона 3.3</v>
      </c>
      <c r="F923" s="25" t="str">
        <f>IFERROR(__xludf.DUMMYFUNCTION("""COMPUTED_VALUE"""),"55.873819")</f>
        <v>55.873819</v>
      </c>
      <c r="G923" s="6" t="str">
        <f>IFERROR(__xludf.DUMMYFUNCTION("""COMPUTED_VALUE"""),"37.543839")</f>
        <v>37.543839</v>
      </c>
      <c r="H923" s="18" t="str">
        <f>IFERROR(__xludf.DUMMYFUNCTION("""COMPUTED_VALUE"""),"https://docs.google.com/spreadsheets/d/1rbCD10ySi4YZEkJW2_Slmn9z7AI1WEsGsZaIJmnnT18/edit?gid=2130356176#gid=2130356176")</f>
        <v>https://docs.google.com/spreadsheets/d/1rbCD10ySi4YZEkJW2_Slmn9z7AI1WEsGsZaIJmnnT18/edit?gid=2130356176#gid=2130356176</v>
      </c>
      <c r="I923" s="19" t="str">
        <f>IFERROR(__xludf.DUMMYFUNCTION("""COMPUTED_VALUE"""),"https://disk.yandex.ru/client/disk/Осмотры%20объектов%20АНО%20СМГ/799.%20Бескудниковский%20бульвар%2046")</f>
        <v>https://disk.yandex.ru/client/disk/Осмотры%20объектов%20АНО%20СМГ/799.%20Бескудниковский%20бульвар%2046</v>
      </c>
      <c r="J923" s="50">
        <f>IFERROR(__xludf.DUMMYFUNCTION("""COMPUTED_VALUE"""),0.21000000000000002)</f>
        <v>0.21</v>
      </c>
      <c r="K923" s="58">
        <f>IFERROR(__xludf.DUMMYFUNCTION("""COMPUTED_VALUE"""),45962.0)</f>
        <v>45962</v>
      </c>
      <c r="L923" s="6">
        <v>30.0</v>
      </c>
      <c r="M923" s="52">
        <v>45992.0</v>
      </c>
      <c r="N923" s="53" t="s">
        <v>692</v>
      </c>
      <c r="O923" s="19" t="s">
        <v>1181</v>
      </c>
      <c r="P923" s="6"/>
      <c r="Q923" s="6" t="str">
        <f t="shared" si="1"/>
        <v>#N/A</v>
      </c>
      <c r="R923" s="6"/>
    </row>
    <row r="924" hidden="1">
      <c r="A924" s="31" t="str">
        <f>IFERROR(__xludf.DUMMYFUNCTION("""COMPUTED_VALUE"""),"647")</f>
        <v>647</v>
      </c>
      <c r="B924" s="14" t="str">
        <f>IFERROR(__xludf.DUMMYFUNCTION("""COMPUTED_VALUE"""),"РЕН-26")</f>
        <v>РЕН-26</v>
      </c>
      <c r="C924" s="14" t="str">
        <f>IFERROR(__xludf.DUMMYFUNCTION("""COMPUTED_VALUE"""),"ОКС")</f>
        <v>ОКС</v>
      </c>
      <c r="D924" s="6"/>
      <c r="E924" s="14" t="str">
        <f>IFERROR(__xludf.DUMMYFUNCTION("""COMPUTED_VALUE"""),"ул. Давыдковская, вл.16 ЗАО, район Фили-Давыдково, Давыдковская ул., вл. 16 (рефинансирование)")</f>
        <v>ул. Давыдковская, вл.16 ЗАО, район Фили-Давыдково, Давыдковская ул., вл. 16 (рефинансирование)</v>
      </c>
      <c r="F924" s="25" t="str">
        <f>IFERROR(__xludf.DUMMYFUNCTION("""COMPUTED_VALUE"""),"55.719924")</f>
        <v>55.719924</v>
      </c>
      <c r="G924" s="6" t="str">
        <f>IFERROR(__xludf.DUMMYFUNCTION("""COMPUTED_VALUE"""),"37.466579")</f>
        <v>37.466579</v>
      </c>
      <c r="H924" s="18" t="str">
        <f>IFERROR(__xludf.DUMMYFUNCTION("""COMPUTED_VALUE"""),"https://docs.google.com/spreadsheets/d/1rbCD10ySi4YZEkJW2_Slmn9z7AI1WEsGsZaIJmnnT18/edit?gid=676192549#gid=676192549")</f>
        <v>https://docs.google.com/spreadsheets/d/1rbCD10ySi4YZEkJW2_Slmn9z7AI1WEsGsZaIJmnnT18/edit?gid=676192549#gid=676192549</v>
      </c>
      <c r="I924" s="19" t="str">
        <f>IFERROR(__xludf.DUMMYFUNCTION("""COMPUTED_VALUE"""),"https://disk.yandex.ru/client/disk/Осмотры%20объектов%20АНО%20СМГ/647.%20Жилой%20дом%20ул.%20Давыдковская%20вл16")</f>
        <v>https://disk.yandex.ru/client/disk/Осмотры%20объектов%20АНО%20СМГ/647.%20Жилой%20дом%20ул.%20Давыдковская%20вл16</v>
      </c>
      <c r="J924" s="50">
        <f>IFERROR(__xludf.DUMMYFUNCTION("""COMPUTED_VALUE"""),3.87)</f>
        <v>3.87</v>
      </c>
      <c r="K924" s="58">
        <f>IFERROR(__xludf.DUMMYFUNCTION("""COMPUTED_VALUE"""),45944.0)</f>
        <v>45944</v>
      </c>
      <c r="L924" s="6">
        <v>30.0</v>
      </c>
      <c r="M924" s="52">
        <v>45974.0</v>
      </c>
      <c r="N924" s="53" t="s">
        <v>668</v>
      </c>
      <c r="O924" s="19" t="s">
        <v>669</v>
      </c>
      <c r="P924" s="6"/>
      <c r="Q924" s="6" t="str">
        <f t="shared" si="1"/>
        <v>#N/A</v>
      </c>
      <c r="R924" s="6"/>
    </row>
    <row r="925" hidden="1">
      <c r="A925" s="31" t="str">
        <f>IFERROR(__xludf.DUMMYFUNCTION("""COMPUTED_VALUE"""),"630")</f>
        <v>630</v>
      </c>
      <c r="B925" s="14" t="str">
        <f>IFERROR(__xludf.DUMMYFUNCTION("""COMPUTED_VALUE"""),"РЕН-26")</f>
        <v>РЕН-26</v>
      </c>
      <c r="C925" s="14" t="str">
        <f>IFERROR(__xludf.DUMMYFUNCTION("""COMPUTED_VALUE"""),"ОКС")</f>
        <v>ОКС</v>
      </c>
      <c r="D925" s="6"/>
      <c r="E925" s="14" t="str">
        <f>IFERROR(__xludf.DUMMYFUNCTION("""COMPUTED_VALUE"""),"улица Новохохловская, земельный участок 5А (Зона 2.1, 2.5) ЮВАО , Нижегородский район кв. 78, 79, 80, Новохохловская ул., з.у. 5 А (зона 2.1, 2.5)
(рефинансирование)")</f>
        <v>улица Новохохловская, земельный участок 5А (Зона 2.1, 2.5) ЮВАО , Нижегородский район кв. 78, 79, 80, Новохохловская ул., з.у. 5 А (зона 2.1, 2.5)
(рефинансирование)</v>
      </c>
      <c r="F925" s="25" t="str">
        <f>IFERROR(__xludf.DUMMYFUNCTION("""COMPUTED_VALUE"""),"55.731038")</f>
        <v>55.731038</v>
      </c>
      <c r="G925" s="6" t="str">
        <f>IFERROR(__xludf.DUMMYFUNCTION("""COMPUTED_VALUE"""),"37.712932")</f>
        <v>37.712932</v>
      </c>
      <c r="H925" s="18" t="str">
        <f>IFERROR(__xludf.DUMMYFUNCTION("""COMPUTED_VALUE"""),"https://docs.google.com/spreadsheets/d/1rbCD10ySi4YZEkJW2_Slmn9z7AI1WEsGsZaIJmnnT18/edit?gid=1937947971#gid=1937947971")</f>
        <v>https://docs.google.com/spreadsheets/d/1rbCD10ySi4YZEkJW2_Slmn9z7AI1WEsGsZaIJmnnT18/edit?gid=1937947971#gid=1937947971</v>
      </c>
      <c r="I925" s="19" t="str">
        <f>IFERROR(__xludf.DUMMYFUNCTION("""COMPUTED_VALUE"""),"https://disk.yandex.ru/client/disk/Осмотры%20объектов%20АНО%20СМГ/630.%20ул.%20Новохохловская%20з.%20у.%205А%20(рефинансирование)")</f>
        <v>https://disk.yandex.ru/client/disk/Осмотры%20объектов%20АНО%20СМГ/630.%20ул.%20Новохохловская%20з.%20у.%205А%20(рефинансирование)</v>
      </c>
      <c r="J925" s="50">
        <f>IFERROR(__xludf.DUMMYFUNCTION("""COMPUTED_VALUE"""),0.0)</f>
        <v>0</v>
      </c>
      <c r="K925" s="58">
        <f>IFERROR(__xludf.DUMMYFUNCTION("""COMPUTED_VALUE"""),45952.0)</f>
        <v>45952</v>
      </c>
      <c r="L925" s="6">
        <v>30.0</v>
      </c>
      <c r="M925" s="52">
        <v>45982.0</v>
      </c>
      <c r="N925" s="53" t="s">
        <v>741</v>
      </c>
      <c r="O925" s="19" t="s">
        <v>669</v>
      </c>
      <c r="P925" s="6"/>
      <c r="Q925" s="6" t="str">
        <f t="shared" si="1"/>
        <v>#N/A</v>
      </c>
      <c r="R925" s="6"/>
    </row>
    <row r="926" hidden="1">
      <c r="A926" s="31" t="str">
        <f>IFERROR(__xludf.DUMMYFUNCTION("""COMPUTED_VALUE"""),"573")</f>
        <v>573</v>
      </c>
      <c r="B926" s="14" t="str">
        <f>IFERROR(__xludf.DUMMYFUNCTION("""COMPUTED_VALUE"""),"РЕН-26")</f>
        <v>РЕН-26</v>
      </c>
      <c r="C926" s="14" t="str">
        <f>IFERROR(__xludf.DUMMYFUNCTION("""COMPUTED_VALUE"""),"ОКС")</f>
        <v>ОКС</v>
      </c>
      <c r="D926" s="6"/>
      <c r="E926" s="14" t="str">
        <f>IFERROR(__xludf.DUMMYFUNCTION("""COMPUTED_VALUE"""),"Б.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f>
        <v>Б. Черемушкинская ул., вл. 25Б) за границами ППТ, микрорайонов 67,68, кв-лов 103,104,105,106 ЮЗАО, район Котловка, микрорайонов 67,68, кварталов 103,104,105,106, Б.Черемушкинская ул. (Б. Черемушкинская ул., вл. 25Б)</v>
      </c>
      <c r="F926" s="25" t="str">
        <f>IFERROR(__xludf.DUMMYFUNCTION("""COMPUTED_VALUE"""),"55.677745")</f>
        <v>55.677745</v>
      </c>
      <c r="G926" s="6" t="str">
        <f>IFERROR(__xludf.DUMMYFUNCTION("""COMPUTED_VALUE"""),"37.592998")</f>
        <v>37.592998</v>
      </c>
      <c r="H926" s="18" t="str">
        <f>IFERROR(__xludf.DUMMYFUNCTION("""COMPUTED_VALUE"""),"https://docs.google.com/spreadsheets/d/1rbCD10ySi4YZEkJW2_Slmn9z7AI1WEsGsZaIJmnnT18/edit?gid=2138822298#gid=2138822298")</f>
        <v>https://docs.google.com/spreadsheets/d/1rbCD10ySi4YZEkJW2_Slmn9z7AI1WEsGsZaIJmnnT18/edit?gid=2138822298#gid=2138822298</v>
      </c>
      <c r="I926" s="19" t="str">
        <f>IFERROR(__xludf.DUMMYFUNCTION("""COMPUTED_VALUE"""),"https://disk.yandex.ru/client/disk/Осмотры%20объектов%20АНО%20СМГ/573.%20Б.Черемушкинская%2025Б%20Жилой%20дом")</f>
        <v>https://disk.yandex.ru/client/disk/Осмотры%20объектов%20АНО%20СМГ/573.%20Б.Черемушкинская%2025Б%20Жилой%20дом</v>
      </c>
      <c r="J926" s="50">
        <f>IFERROR(__xludf.DUMMYFUNCTION("""COMPUTED_VALUE"""),27.9)</f>
        <v>27.9</v>
      </c>
      <c r="K926" s="58">
        <f>IFERROR(__xludf.DUMMYFUNCTION("""COMPUTED_VALUE"""),45953.0)</f>
        <v>45953</v>
      </c>
      <c r="L926" s="6">
        <v>30.0</v>
      </c>
      <c r="M926" s="52">
        <v>45983.0</v>
      </c>
      <c r="N926" s="53" t="s">
        <v>741</v>
      </c>
      <c r="O926" s="19" t="s">
        <v>669</v>
      </c>
      <c r="P926" s="6"/>
      <c r="Q926" s="6" t="str">
        <f t="shared" si="1"/>
        <v>#N/A</v>
      </c>
      <c r="R926" s="6"/>
    </row>
    <row r="927" hidden="1">
      <c r="A927" s="31" t="str">
        <f>IFERROR(__xludf.DUMMYFUNCTION("""COMPUTED_VALUE"""),"618")</f>
        <v>618</v>
      </c>
      <c r="B927" s="14" t="str">
        <f>IFERROR(__xludf.DUMMYFUNCTION("""COMPUTED_VALUE"""),"РЕН-26")</f>
        <v>РЕН-26</v>
      </c>
      <c r="C927" s="14" t="str">
        <f>IFERROR(__xludf.DUMMYFUNCTION("""COMPUTED_VALUE"""),"ОКС")</f>
        <v>ОКС</v>
      </c>
      <c r="D927" s="6"/>
      <c r="E927" s="14" t="str">
        <f>IFERROR(__xludf.DUMMYFUNCTION("""COMPUTED_VALUE"""),"ул. Подвойского, з/у 12/15 (зона 1.1) ЦАО, район Пресненский,кв. 804, 798 зона 1.1 Подвойского ул., вл. 12/15")</f>
        <v>ул. Подвойского, з/у 12/15 (зона 1.1) ЦАО, район Пресненский,кв. 804, 798 зона 1.1 Подвойского ул., вл. 12/15</v>
      </c>
      <c r="F927" s="25" t="str">
        <f>IFERROR(__xludf.DUMMYFUNCTION("""COMPUTED_VALUE"""),"55.761833")</f>
        <v>55.761833</v>
      </c>
      <c r="G927" s="6" t="str">
        <f>IFERROR(__xludf.DUMMYFUNCTION("""COMPUTED_VALUE"""),"37.537364")</f>
        <v>37.537364</v>
      </c>
      <c r="H927" s="18" t="str">
        <f>IFERROR(__xludf.DUMMYFUNCTION("""COMPUTED_VALUE"""),"https://docs.google.com/spreadsheets/d/1rbCD10ySi4YZEkJW2_Slmn9z7AI1WEsGsZaIJmnnT18/edit?gid=188482008#gid=188482008")</f>
        <v>https://docs.google.com/spreadsheets/d/1rbCD10ySi4YZEkJW2_Slmn9z7AI1WEsGsZaIJmnnT18/edit?gid=188482008#gid=188482008</v>
      </c>
      <c r="I927" s="19" t="str">
        <f>IFERROR(__xludf.DUMMYFUNCTION("""COMPUTED_VALUE"""),"https://disk.yandex.ru/client/disk/Осмотры%20объектов%20АНО%20СМГ/618.%20Подвойского%20вл%2012%5C15")</f>
        <v>https://disk.yandex.ru/client/disk/Осмотры%20объектов%20АНО%20СМГ/618.%20Подвойского%20вл%2012%5C15</v>
      </c>
      <c r="J927" s="50">
        <f>IFERROR(__xludf.DUMMYFUNCTION("""COMPUTED_VALUE"""),31.75746)</f>
        <v>31.75746</v>
      </c>
      <c r="K927" s="58">
        <f>IFERROR(__xludf.DUMMYFUNCTION("""COMPUTED_VALUE"""),45962.0)</f>
        <v>45962</v>
      </c>
      <c r="L927" s="6">
        <v>30.0</v>
      </c>
      <c r="M927" s="52">
        <v>45992.0</v>
      </c>
      <c r="N927" s="53" t="s">
        <v>692</v>
      </c>
      <c r="O927" s="19" t="s">
        <v>669</v>
      </c>
      <c r="P927" s="6"/>
      <c r="Q927" s="6" t="str">
        <f t="shared" si="1"/>
        <v>#N/A</v>
      </c>
      <c r="R927" s="6"/>
    </row>
    <row r="928" hidden="1">
      <c r="A928" s="31" t="str">
        <f>IFERROR(__xludf.DUMMYFUNCTION("""COMPUTED_VALUE"""),"668")</f>
        <v>668</v>
      </c>
      <c r="B928" s="14" t="str">
        <f>IFERROR(__xludf.DUMMYFUNCTION("""COMPUTED_VALUE"""),"РЕН-26")</f>
        <v>РЕН-26</v>
      </c>
      <c r="C928" s="14" t="str">
        <f>IFERROR(__xludf.DUMMYFUNCTION("""COMPUTED_VALUE"""),"ОКС")</f>
        <v>ОКС</v>
      </c>
      <c r="D928" s="6"/>
      <c r="E928" s="14" t="str">
        <f>IFERROR(__xludf.DUMMYFUNCTION("""COMPUTED_VALUE"""),"2-я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f>
        <v>2-я Владимирская ул., з/у 28/30 (2-я Владимирская ул., вл. 28-30) (подзона № 2) ВАО, район Перово, 2-я Владимирская ул., з/у 28/30 подзона 2 мкр. 11-12, 21-22, 23-24, 29, 68, зона № 3.2 (со сносом жилого здания по адресу: 2-я Владимирская ул., д.30, к.1)</v>
      </c>
      <c r="F928" s="25" t="str">
        <f>IFERROR(__xludf.DUMMYFUNCTION("""COMPUTED_VALUE"""),"55.752857")</f>
        <v>55.752857</v>
      </c>
      <c r="G928" s="6" t="str">
        <f>IFERROR(__xludf.DUMMYFUNCTION("""COMPUTED_VALUE"""),"37.782952")</f>
        <v>37.782952</v>
      </c>
      <c r="H928" s="18" t="str">
        <f>IFERROR(__xludf.DUMMYFUNCTION("""COMPUTED_VALUE"""),"https://docs.google.com/spreadsheets/d/1rbCD10ySi4YZEkJW2_Slmn9z7AI1WEsGsZaIJmnnT18/edit?gid=1984267459#gid=1984267459")</f>
        <v>https://docs.google.com/spreadsheets/d/1rbCD10ySi4YZEkJW2_Slmn9z7AI1WEsGsZaIJmnnT18/edit?gid=1984267459#gid=1984267459</v>
      </c>
      <c r="I928" s="19" t="str">
        <f>IFERROR(__xludf.DUMMYFUNCTION("""COMPUTED_VALUE"""),"https://disk.yandex.ru/client/disk/Осмотры%20объектов%20АНО%20СМГ/668%20ВАО%2C%20район%20Перово%2C%202-я%20Владимирская%20ул.%2C%20з.у%2028.30%20подзона%202%20мкр.%2011-12%2C%2021-22%2C%2023-24%2C%2029%2C%2068%2C%20зона%20№%203.2")</f>
        <v>https://disk.yandex.ru/client/disk/Осмотры%20объектов%20АНО%20СМГ/668%20ВАО%2C%20район%20Перово%2C%202-я%20Владимирская%20ул.%2C%20з.у%2028.30%20подзона%202%20мкр.%2011-12%2C%2021-22%2C%2023-24%2C%2029%2C%2068%2C%20зона%20№%203.2</v>
      </c>
      <c r="J928" s="50">
        <f>IFERROR(__xludf.DUMMYFUNCTION("""COMPUTED_VALUE"""),31.80465)</f>
        <v>31.80465</v>
      </c>
      <c r="K928" s="58">
        <f>IFERROR(__xludf.DUMMYFUNCTION("""COMPUTED_VALUE"""),45974.0)</f>
        <v>45974</v>
      </c>
      <c r="L928" s="6">
        <v>30.0</v>
      </c>
      <c r="M928" s="52">
        <v>46004.0</v>
      </c>
      <c r="N928" s="53" t="s">
        <v>711</v>
      </c>
      <c r="O928" s="19" t="s">
        <v>669</v>
      </c>
      <c r="P928" s="6"/>
      <c r="Q928" s="6" t="str">
        <f t="shared" si="1"/>
        <v>#N/A</v>
      </c>
      <c r="R928" s="6"/>
    </row>
    <row r="929" hidden="1">
      <c r="A929" s="31" t="str">
        <f>IFERROR(__xludf.DUMMYFUNCTION("""COMPUTED_VALUE"""),"674")</f>
        <v>674</v>
      </c>
      <c r="B929" s="14" t="str">
        <f>IFERROR(__xludf.DUMMYFUNCTION("""COMPUTED_VALUE"""),"РЕН-26")</f>
        <v>РЕН-26</v>
      </c>
      <c r="C929" s="14" t="str">
        <f>IFERROR(__xludf.DUMMYFUNCTION("""COMPUTED_VALUE"""),"ОКС")</f>
        <v>ОКС</v>
      </c>
      <c r="D929" s="6"/>
      <c r="E929" s="14" t="str">
        <f>IFERROR(__xludf.DUMMYFUNCTION("""COMPUTED_VALUE"""),"2-я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f>
        <v>2-я Владимирская ул., з/у 28/30 (2-я Владимирская ул., вл. 28-30) (подзона №1) ВАО, район Перово, 2-я Владимирская ул., з/у 28/30 подзона 1 мкр. 11-12, 21-22, 23-24, 29, 68, зона № 3.1 (со сносом жилого здания по адресу: 2-я Владимирская ул., д.28, к.1)</v>
      </c>
      <c r="F929" s="25" t="str">
        <f>IFERROR(__xludf.DUMMYFUNCTION("""COMPUTED_VALUE"""),"55.753812")</f>
        <v>55.753812</v>
      </c>
      <c r="G929" s="6" t="str">
        <f>IFERROR(__xludf.DUMMYFUNCTION("""COMPUTED_VALUE"""),"37.782387")</f>
        <v>37.782387</v>
      </c>
      <c r="H929" s="18" t="str">
        <f>IFERROR(__xludf.DUMMYFUNCTION("""COMPUTED_VALUE"""),"https://docs.google.com/spreadsheets/d/1rbCD10ySi4YZEkJW2_Slmn9z7AI1WEsGsZaIJmnnT18/edit?gid=1480745629#gid=1480745629")</f>
        <v>https://docs.google.com/spreadsheets/d/1rbCD10ySi4YZEkJW2_Slmn9z7AI1WEsGsZaIJmnnT18/edit?gid=1480745629#gid=1480745629</v>
      </c>
      <c r="I929" s="19" t="str">
        <f>IFERROR(__xludf.DUMMYFUNCTION("""COMPUTED_VALUE"""),"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amp;"0здания%20по%20адресу%3A%202-я%20Владимирская%20ул.%2C%20д.28%2C%20к.1)")</f>
        <v>https://disk.yandex.ru/client/disk/Осмотры%20объектов%20АНО%20СМГ/674%20ВАО%2C%20район%20Перово%2C%202-я%20Владимирская%20ул.%2C%20з.у%2028-30%20подзона%201%20мкр.%2011-12%2C%2021-22%2C%2023-24%2C%2029%2C%2068%2C%20зона%20№%203.1%20(со%20сносом%20жилого%20здания%20по%20адресу%3A%202-я%20Владимирская%20ул.%2C%20д.28%2C%20к.1)</v>
      </c>
      <c r="J929" s="50">
        <f>IFERROR(__xludf.DUMMYFUNCTION("""COMPUTED_VALUE"""),3.63)</f>
        <v>3.63</v>
      </c>
      <c r="K929" s="58">
        <f>IFERROR(__xludf.DUMMYFUNCTION("""COMPUTED_VALUE"""),45974.0)</f>
        <v>45974</v>
      </c>
      <c r="L929" s="6">
        <v>30.0</v>
      </c>
      <c r="M929" s="52">
        <v>46004.0</v>
      </c>
      <c r="N929" s="53" t="s">
        <v>711</v>
      </c>
      <c r="O929" s="19" t="s">
        <v>1182</v>
      </c>
      <c r="P929" s="6"/>
      <c r="Q929" s="6" t="str">
        <f t="shared" si="1"/>
        <v>#N/A</v>
      </c>
      <c r="R929" s="6"/>
    </row>
    <row r="930" hidden="1">
      <c r="A930" s="31" t="str">
        <f>IFERROR(__xludf.DUMMYFUNCTION("""COMPUTED_VALUE"""),"637")</f>
        <v>637</v>
      </c>
      <c r="B930" s="14" t="str">
        <f>IFERROR(__xludf.DUMMYFUNCTION("""COMPUTED_VALUE"""),"РЕН-26")</f>
        <v>РЕН-26</v>
      </c>
      <c r="C930" s="14" t="str">
        <f>IFERROR(__xludf.DUMMYFUNCTION("""COMPUTED_VALUE"""),"ОКС")</f>
        <v>ОКС</v>
      </c>
      <c r="D930" s="6"/>
      <c r="E930" s="14" t="str">
        <f>IFERROR(__xludf.DUMMYFUNCTION("""COMPUTED_VALUE"""),"Хорошево-Мневники,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f>
        <v>Хорошево-Мневники, мкр. 83, 84-85, 86, зона № 9.1 район Хорошево-Мневники,Новикова Прибоя, зу 6/2, мкр. 83, 84-85, 86, зона № 9.1 (со сносом жилых зданий по адресам: наб. Новикова-Прибоя, д. 6, корп. 2; наб. Новикова-Прибоя, д. 6, корп. 3)</v>
      </c>
      <c r="F930" s="25" t="str">
        <f>IFERROR(__xludf.DUMMYFUNCTION("""COMPUTED_VALUE"""),"55.782351")</f>
        <v>55.782351</v>
      </c>
      <c r="G930" s="6" t="str">
        <f>IFERROR(__xludf.DUMMYFUNCTION("""COMPUTED_VALUE"""),"37.448956")</f>
        <v>37.448956</v>
      </c>
      <c r="H930" s="18" t="str">
        <f>IFERROR(__xludf.DUMMYFUNCTION("""COMPUTED_VALUE"""),"https://docs.google.com/spreadsheets/d/1rbCD10ySi4YZEkJW2_Slmn9z7AI1WEsGsZaIJmnnT18/edit?gid=370993780#gid=370993780")</f>
        <v>https://docs.google.com/spreadsheets/d/1rbCD10ySi4YZEkJW2_Slmn9z7AI1WEsGsZaIJmnnT18/edit?gid=370993780#gid=370993780</v>
      </c>
      <c r="I930" s="19" t="str">
        <f>IFERROR(__xludf.DUMMYFUNCTION("""COMPUTED_VALUE"""),"https://disk.yandex.ru/client/disk/Осмотры%20объектов%20АНО%20СМГ/637.%20Хорошево-Мневники%2CНовикова%20Прибоя%2C%20зу%206.2")</f>
        <v>https://disk.yandex.ru/client/disk/Осмотры%20объектов%20АНО%20СМГ/637.%20Хорошево-Мневники%2CНовикова%20Прибоя%2C%20зу%206.2</v>
      </c>
      <c r="J930" s="50">
        <f>IFERROR(__xludf.DUMMYFUNCTION("""COMPUTED_VALUE"""),5.894399999999999)</f>
        <v>5.8944</v>
      </c>
      <c r="K930" s="58">
        <f>IFERROR(__xludf.DUMMYFUNCTION("""COMPUTED_VALUE"""),45954.0)</f>
        <v>45954</v>
      </c>
      <c r="L930" s="6">
        <v>30.0</v>
      </c>
      <c r="M930" s="52">
        <v>45984.0</v>
      </c>
      <c r="N930" s="53" t="s">
        <v>741</v>
      </c>
      <c r="O930" s="19" t="s">
        <v>669</v>
      </c>
      <c r="P930" s="6"/>
      <c r="Q930" s="6" t="str">
        <f t="shared" si="1"/>
        <v>#N/A</v>
      </c>
      <c r="R930" s="6"/>
    </row>
    <row r="931" hidden="1">
      <c r="A931" s="31" t="str">
        <f>IFERROR(__xludf.DUMMYFUNCTION("""COMPUTED_VALUE"""),"940")</f>
        <v>940</v>
      </c>
      <c r="B931" s="14" t="str">
        <f>IFERROR(__xludf.DUMMYFUNCTION("""COMPUTED_VALUE"""),"РЕН-26")</f>
        <v>РЕН-26</v>
      </c>
      <c r="C931" s="14" t="str">
        <f>IFERROR(__xludf.DUMMYFUNCTION("""COMPUTED_VALUE"""),"ОКС")</f>
        <v>ОКС</v>
      </c>
      <c r="D931" s="6"/>
      <c r="E931" s="14" t="str">
        <f>IFERROR(__xludf.DUMMYFUNCTION("""COMPUTED_VALUE"""),"ул. Плющева, з/у 9А ул. Плющева, з/у 9А")</f>
        <v>ул. Плющева, з/у 9А ул. Плющева, з/у 9А</v>
      </c>
      <c r="F931" s="25" t="str">
        <f>IFERROR(__xludf.DUMMYFUNCTION("""COMPUTED_VALUE"""),"55.743878")</f>
        <v>55.743878</v>
      </c>
      <c r="G931" s="6" t="str">
        <f>IFERROR(__xludf.DUMMYFUNCTION("""COMPUTED_VALUE"""),"37.762332")</f>
        <v>37.762332</v>
      </c>
      <c r="H931" s="18" t="str">
        <f>IFERROR(__xludf.DUMMYFUNCTION("""COMPUTED_VALUE"""),"https://docs.google.com/spreadsheets/d/1rbCD10ySi4YZEkJW2_Slmn9z7AI1WEsGsZaIJmnnT18/edit?gid=1071202217#gid=1071202217")</f>
        <v>https://docs.google.com/spreadsheets/d/1rbCD10ySi4YZEkJW2_Slmn9z7AI1WEsGsZaIJmnnT18/edit?gid=1071202217#gid=1071202217</v>
      </c>
      <c r="I931" s="19" t="str">
        <f>IFERROR(__xludf.DUMMYFUNCTION("""COMPUTED_VALUE"""),"https://disk.yandex.ru/client/disk/Осмотры%20объектов%20АНО%20СМГ/940%20р-н%20Перово%2C%20ул.%20Плющева%2C%209%20А")</f>
        <v>https://disk.yandex.ru/client/disk/Осмотры%20объектов%20АНО%20СМГ/940%20р-н%20Перово%2C%20ул.%20Плющева%2C%209%20А</v>
      </c>
      <c r="J931" s="50">
        <f>IFERROR(__xludf.DUMMYFUNCTION("""COMPUTED_VALUE"""),0.27)</f>
        <v>0.27</v>
      </c>
      <c r="K931" s="58">
        <f>IFERROR(__xludf.DUMMYFUNCTION("""COMPUTED_VALUE"""),45968.0)</f>
        <v>45968</v>
      </c>
      <c r="L931" s="6">
        <v>30.0</v>
      </c>
      <c r="M931" s="52">
        <v>45998.0</v>
      </c>
      <c r="N931" s="53" t="s">
        <v>711</v>
      </c>
      <c r="O931" s="19" t="s">
        <v>1183</v>
      </c>
      <c r="P931" s="6"/>
      <c r="Q931" s="6" t="str">
        <f t="shared" si="1"/>
        <v>#N/A</v>
      </c>
      <c r="R931" s="6"/>
    </row>
    <row r="932" hidden="1">
      <c r="A932" s="31" t="str">
        <f>IFERROR(__xludf.DUMMYFUNCTION("""COMPUTED_VALUE"""),"620")</f>
        <v>620</v>
      </c>
      <c r="B932" s="14" t="str">
        <f>IFERROR(__xludf.DUMMYFUNCTION("""COMPUTED_VALUE"""),"РЕН-26")</f>
        <v>РЕН-26</v>
      </c>
      <c r="C932" s="14" t="str">
        <f>IFERROR(__xludf.DUMMYFUNCTION("""COMPUTED_VALUE"""),"ОКС")</f>
        <v>ОКС</v>
      </c>
      <c r="D932" s="6"/>
      <c r="E932" s="14" t="str">
        <f>IFERROR(__xludf.DUMMYFUNCTION("""COMPUTED_VALUE"""),"ул.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f>
        <v>ул. Долгопрудная, з/у 6 САО, район Дмитровский, улица Долгопрудная, з/у 6,  мкр. 15, 16, 17, 18 (Зона 10.5)  (со сносом жилых зданий по адресам: Долгопрудная ул., д.6, к.1; Дмитровское шоссе, д.143, к.1)</v>
      </c>
      <c r="F932" s="25" t="str">
        <f>IFERROR(__xludf.DUMMYFUNCTION("""COMPUTED_VALUE"""),"55.893782")</f>
        <v>55.893782</v>
      </c>
      <c r="G932" s="6" t="str">
        <f>IFERROR(__xludf.DUMMYFUNCTION("""COMPUTED_VALUE"""),"37.540875")</f>
        <v>37.540875</v>
      </c>
      <c r="H932" s="18" t="str">
        <f>IFERROR(__xludf.DUMMYFUNCTION("""COMPUTED_VALUE"""),"https://docs.google.com/spreadsheets/d/1rbCD10ySi4YZEkJW2_Slmn9z7AI1WEsGsZaIJmnnT18/edit?gid=953902791#gid=953902791")</f>
        <v>https://docs.google.com/spreadsheets/d/1rbCD10ySi4YZEkJW2_Slmn9z7AI1WEsGsZaIJmnnT18/edit?gid=953902791#gid=953902791</v>
      </c>
      <c r="I932" s="19" t="str">
        <f>IFERROR(__xludf.DUMMYFUNCTION("""COMPUTED_VALUE"""),"https://disk.yandex.ru/client/disk/Осмотры%20объектов%20АНО%20СМГ/620.%20%20ул.%20Долгопрудная%20з.у.%206")</f>
        <v>https://disk.yandex.ru/client/disk/Осмотры%20объектов%20АНО%20СМГ/620.%20%20ул.%20Долгопрудная%20з.у.%206</v>
      </c>
      <c r="J932" s="50">
        <f>IFERROR(__xludf.DUMMYFUNCTION("""COMPUTED_VALUE"""),28.71)</f>
        <v>28.71</v>
      </c>
      <c r="K932" s="58">
        <f>IFERROR(__xludf.DUMMYFUNCTION("""COMPUTED_VALUE"""),45968.0)</f>
        <v>45968</v>
      </c>
      <c r="L932" s="6">
        <v>30.0</v>
      </c>
      <c r="M932" s="52">
        <v>45998.0</v>
      </c>
      <c r="N932" s="53" t="s">
        <v>711</v>
      </c>
      <c r="O932" s="19" t="s">
        <v>669</v>
      </c>
      <c r="P932" s="6"/>
      <c r="Q932" s="6" t="str">
        <f t="shared" si="1"/>
        <v>#N/A</v>
      </c>
      <c r="R932" s="6"/>
    </row>
    <row r="933" hidden="1">
      <c r="A933" s="31" t="str">
        <f>IFERROR(__xludf.DUMMYFUNCTION("""COMPUTED_VALUE"""),"933")</f>
        <v>933</v>
      </c>
      <c r="B933" s="14" t="str">
        <f>IFERROR(__xludf.DUMMYFUNCTION("""COMPUTED_VALUE"""),"РЕН-26")</f>
        <v>РЕН-26</v>
      </c>
      <c r="C933" s="14" t="str">
        <f>IFERROR(__xludf.DUMMYFUNCTION("""COMPUTED_VALUE"""),"ОКС")</f>
        <v>ОКС</v>
      </c>
      <c r="D933" s="6"/>
      <c r="E933" s="14" t="str">
        <f>IFERROR(__xludf.DUMMYFUNCTION("""COMPUTED_VALUE"""),"Жилой дом с подземным гаражом, инженерными сетями и благоустройством территории (со сносом жилых зданий по адресу: Клязьминская ул., д.26; Карельский бульвар, д.3, к.3) по адресу: района Дмитровский Клязьминская ул., К.16 (зона 8.1) района Дмитровский Кля"&amp;"зьминская ул., К.16 (зона 8.1) ЗУ 26")</f>
        <v>Жилой дом с подземным гаражом, инженерными сетями и благоустройством территории (со сносом жилых зданий по адресу: Клязьминская ул., д.26; Карельский бульвар, д.3, к.3) по адресу: района Дмитровский Клязьминская ул., К.16 (зона 8.1) района Дмитровский Клязьминская ул., К.16 (зона 8.1) ЗУ 26</v>
      </c>
      <c r="F933" s="25" t="str">
        <f>IFERROR(__xludf.DUMMYFUNCTION("""COMPUTED_VALUE"""),"55.892945")</f>
        <v>55.892945</v>
      </c>
      <c r="G933" s="6" t="str">
        <f>IFERROR(__xludf.DUMMYFUNCTION("""COMPUTED_VALUE"""),"37.530867")</f>
        <v>37.530867</v>
      </c>
      <c r="H933" s="18" t="str">
        <f>IFERROR(__xludf.DUMMYFUNCTION("""COMPUTED_VALUE"""),"https://docs.google.com/spreadsheets/d/1rbCD10ySi4YZEkJW2_Slmn9z7AI1WEsGsZaIJmnnT18/edit?gid=263399188#gid=263399188")</f>
        <v>https://docs.google.com/spreadsheets/d/1rbCD10ySi4YZEkJW2_Slmn9z7AI1WEsGsZaIJmnnT18/edit?gid=263399188#gid=263399188</v>
      </c>
      <c r="I933" s="19" t="str">
        <f>IFERROR(__xludf.DUMMYFUNCTION("""COMPUTED_VALUE"""),"https://disk.yandex.ru/client/disk/Осмотры%20объектов%20АНО%20СМГ/933.%20Клязьминская%20ул.%2C%20К.16%20(зона%208.1)")</f>
        <v>https://disk.yandex.ru/client/disk/Осмотры%20объектов%20АНО%20СМГ/933.%20Клязьминская%20ул.%2C%20К.16%20(зона%208.1)</v>
      </c>
      <c r="J933" s="50">
        <f>IFERROR(__xludf.DUMMYFUNCTION("""COMPUTED_VALUE"""),0.0)</f>
        <v>0</v>
      </c>
      <c r="K933" s="58">
        <f>IFERROR(__xludf.DUMMYFUNCTION("""COMPUTED_VALUE"""),45961.0)</f>
        <v>45961</v>
      </c>
      <c r="L933" s="6">
        <v>30.0</v>
      </c>
      <c r="M933" s="52">
        <v>45991.0</v>
      </c>
      <c r="N933" s="53" t="s">
        <v>692</v>
      </c>
      <c r="O933" s="19" t="s">
        <v>669</v>
      </c>
      <c r="P933" s="6"/>
      <c r="Q933" s="6" t="str">
        <f t="shared" si="1"/>
        <v>#N/A</v>
      </c>
      <c r="R933" s="6"/>
    </row>
    <row r="934" hidden="1">
      <c r="A934" s="31" t="str">
        <f>IFERROR(__xludf.DUMMYFUNCTION("""COMPUTED_VALUE"""),"932")</f>
        <v>932</v>
      </c>
      <c r="B934" s="14" t="str">
        <f>IFERROR(__xludf.DUMMYFUNCTION("""COMPUTED_VALUE"""),"РЕН-26")</f>
        <v>РЕН-26</v>
      </c>
      <c r="C934" s="14" t="str">
        <f>IFERROR(__xludf.DUMMYFUNCTION("""COMPUTED_VALUE"""),"ОКС")</f>
        <v>ОКС</v>
      </c>
      <c r="D934" s="6"/>
      <c r="E934" s="14" t="str">
        <f>IFERROR(__xludf.DUMMYFUNCTION("""COMPUTED_VALUE"""),"Жилой дом с инженерными сетями и благоустройством территории (со сносом жилого здания, по адресу: пр. Буденного, д.49) по адресу: вн. тер. г. Соколиная гора, проспект Буденного, земельный участок 49 (зона №13.1) просп. Буденного, з/у 49")</f>
        <v>Жилой дом с инженерными сетями и благоустройством территории (со сносом жилого здания, по адресу: пр. Буденного, д.49) по адресу: вн. тер. г. Соколиная гора, проспект Буденного, земельный участок 49 (зона №13.1) просп. Буденного, з/у 49</v>
      </c>
      <c r="F934" s="25" t="str">
        <f>IFERROR(__xludf.DUMMYFUNCTION("""COMPUTED_VALUE"""),"55.761171")</f>
        <v>55.761171</v>
      </c>
      <c r="G934" s="6" t="str">
        <f>IFERROR(__xludf.DUMMYFUNCTION("""COMPUTED_VALUE"""),"37.736978")</f>
        <v>37.736978</v>
      </c>
      <c r="H934" s="18" t="str">
        <f>IFERROR(__xludf.DUMMYFUNCTION("""COMPUTED_VALUE"""),"https://docs.google.com/spreadsheets/d/1rbCD10ySi4YZEkJW2_Slmn9z7AI1WEsGsZaIJmnnT18/edit?gid=889119319#gid=889119319")</f>
        <v>https://docs.google.com/spreadsheets/d/1rbCD10ySi4YZEkJW2_Slmn9z7AI1WEsGsZaIJmnnT18/edit?gid=889119319#gid=889119319</v>
      </c>
      <c r="I934" s="19" t="str">
        <f>IFERROR(__xludf.DUMMYFUNCTION("""COMPUTED_VALUE"""),"https://disk.yandex.ru/client/disk/Осмотры%20объектов%20АНО%20СМГ/932.%20просп.%20Буденного%2C%20з.у%2049")</f>
        <v>https://disk.yandex.ru/client/disk/Осмотры%20объектов%20АНО%20СМГ/932.%20просп.%20Буденного%2C%20з.у%2049</v>
      </c>
      <c r="J934" s="50">
        <f>IFERROR(__xludf.DUMMYFUNCTION("""COMPUTED_VALUE"""),0.010639999999999998)</f>
        <v>0.01064</v>
      </c>
      <c r="K934" s="58">
        <f>IFERROR(__xludf.DUMMYFUNCTION("""COMPUTED_VALUE"""),45962.0)</f>
        <v>45962</v>
      </c>
      <c r="L934" s="6">
        <v>30.0</v>
      </c>
      <c r="M934" s="52">
        <v>45992.0</v>
      </c>
      <c r="N934" s="53" t="s">
        <v>692</v>
      </c>
      <c r="O934" s="19" t="s">
        <v>893</v>
      </c>
      <c r="P934" s="6"/>
      <c r="Q934" s="6" t="str">
        <f t="shared" si="1"/>
        <v>#N/A</v>
      </c>
      <c r="R934" s="6"/>
    </row>
    <row r="935" hidden="1">
      <c r="A935" s="31" t="str">
        <f>IFERROR(__xludf.DUMMYFUNCTION("""COMPUTED_VALUE"""),"930")</f>
        <v>930</v>
      </c>
      <c r="B935" s="14" t="str">
        <f>IFERROR(__xludf.DUMMYFUNCTION("""COMPUTED_VALUE"""),"РЕН-26")</f>
        <v>РЕН-26</v>
      </c>
      <c r="C935" s="14" t="str">
        <f>IFERROR(__xludf.DUMMYFUNCTION("""COMPUTED_VALUE"""),"ОКС")</f>
        <v>ОКС</v>
      </c>
      <c r="D935" s="6"/>
      <c r="E935"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внутригоро"&amp;"дское муниципальное образование Лосиноостровское, Изумрудная улица, земельный участок 12А Лосиноостровское, Изумрудная улица, земельный участок 12А")</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д. 12) по адресу: г. Москва, внутригородское муниципальное образование Лосиноостровское, Изумрудная улица, земельный участок 12А Лосиноостровское, Изумрудная улица, земельный участок 12А</v>
      </c>
      <c r="F935" s="25" t="str">
        <f>IFERROR(__xludf.DUMMYFUNCTION("""COMPUTED_VALUE"""),"55.869268")</f>
        <v>55.869268</v>
      </c>
      <c r="G935" s="6" t="str">
        <f>IFERROR(__xludf.DUMMYFUNCTION("""COMPUTED_VALUE"""),"37.680814")</f>
        <v>37.680814</v>
      </c>
      <c r="H935" s="18" t="str">
        <f>IFERROR(__xludf.DUMMYFUNCTION("""COMPUTED_VALUE"""),"https://docs.google.com/spreadsheets/d/1rbCD10ySi4YZEkJW2_Slmn9z7AI1WEsGsZaIJmnnT18/edit?gid=1131436691#gid=1131436691")</f>
        <v>https://docs.google.com/spreadsheets/d/1rbCD10ySi4YZEkJW2_Slmn9z7AI1WEsGsZaIJmnnT18/edit?gid=1131436691#gid=1131436691</v>
      </c>
      <c r="I935" s="19" t="str">
        <f>IFERROR(__xludf.DUMMYFUNCTION("""COMPUTED_VALUE"""),"https://disk.yandex.ru/client/disk/Осмотры%20объектов%20АНО%20СМГ/930%20Изумрудная%20ул.%2C%20зу%2012А")</f>
        <v>https://disk.yandex.ru/client/disk/Осмотры%20объектов%20АНО%20СМГ/930%20Изумрудная%20ул.%2C%20зу%2012А</v>
      </c>
      <c r="J935" s="50">
        <f>IFERROR(__xludf.DUMMYFUNCTION("""COMPUTED_VALUE"""),3.9)</f>
        <v>3.9</v>
      </c>
      <c r="K935" s="58">
        <f>IFERROR(__xludf.DUMMYFUNCTION("""COMPUTED_VALUE"""),45962.0)</f>
        <v>45962</v>
      </c>
      <c r="L935" s="6">
        <v>30.0</v>
      </c>
      <c r="M935" s="52">
        <v>45992.0</v>
      </c>
      <c r="N935" s="53" t="s">
        <v>692</v>
      </c>
      <c r="O935" s="19" t="s">
        <v>1184</v>
      </c>
      <c r="P935" s="6"/>
      <c r="Q935" s="6" t="str">
        <f t="shared" si="1"/>
        <v>#N/A</v>
      </c>
      <c r="R935" s="6"/>
    </row>
    <row r="936" hidden="1">
      <c r="A936" s="31" t="str">
        <f>IFERROR(__xludf.DUMMYFUNCTION("""COMPUTED_VALUE"""),"929")</f>
        <v>929</v>
      </c>
      <c r="B936" s="14" t="str">
        <f>IFERROR(__xludf.DUMMYFUNCTION("""COMPUTED_VALUE"""),"РЕН-26")</f>
        <v>РЕН-26</v>
      </c>
      <c r="C936" s="14" t="str">
        <f>IFERROR(__xludf.DUMMYFUNCTION("""COMPUTED_VALUE"""),"ОКС")</f>
        <v>ОКС</v>
      </c>
      <c r="D936" s="6"/>
      <c r="E936"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28, к.2) по адресу: район Лосиноостровс"&amp;"кий, Изумрудная ул., земельный участок 28А (Зона 3.3) Изумрудная ул., з/у 28А (Зона 3.3)")</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здания по адресу: ул. Изумрудная, 28, к.2) по адресу: район Лосиноостровский, Изумрудная ул., земельный участок 28А (Зона 3.3) Изумрудная ул., з/у 28А (Зона 3.3)</v>
      </c>
      <c r="F936" s="25" t="str">
        <f>IFERROR(__xludf.DUMMYFUNCTION("""COMPUTED_VALUE"""),"55.873298")</f>
        <v>55.873298</v>
      </c>
      <c r="G936" s="6" t="str">
        <f>IFERROR(__xludf.DUMMYFUNCTION("""COMPUTED_VALUE"""),"37.686594")</f>
        <v>37.686594</v>
      </c>
      <c r="H936" s="18" t="str">
        <f>IFERROR(__xludf.DUMMYFUNCTION("""COMPUTED_VALUE"""),"https://docs.google.com/spreadsheets/d/1rbCD10ySi4YZEkJW2_Slmn9z7AI1WEsGsZaIJmnnT18/edit?gid=581565940#gid=581565940")</f>
        <v>https://docs.google.com/spreadsheets/d/1rbCD10ySi4YZEkJW2_Slmn9z7AI1WEsGsZaIJmnnT18/edit?gid=581565940#gid=581565940</v>
      </c>
      <c r="I936" s="19" t="str">
        <f>IFERROR(__xludf.DUMMYFUNCTION("""COMPUTED_VALUE"""),"https://disk.yandex.ru/client/disk/Осмотры%20объектов%20АНО%20СМГ/929%20Изумрудная%2C%20зу%2028А")</f>
        <v>https://disk.yandex.ru/client/disk/Осмотры%20объектов%20АНО%20СМГ/929%20Изумрудная%2C%20зу%2028А</v>
      </c>
      <c r="J936" s="50">
        <f>IFERROR(__xludf.DUMMYFUNCTION("""COMPUTED_VALUE"""),0.66)</f>
        <v>0.66</v>
      </c>
      <c r="K936" s="58">
        <f>IFERROR(__xludf.DUMMYFUNCTION("""COMPUTED_VALUE"""),45962.0)</f>
        <v>45962</v>
      </c>
      <c r="L936" s="6">
        <v>30.0</v>
      </c>
      <c r="M936" s="52">
        <v>45992.0</v>
      </c>
      <c r="N936" s="53" t="s">
        <v>692</v>
      </c>
      <c r="O936" s="19" t="s">
        <v>1185</v>
      </c>
      <c r="P936" s="6"/>
      <c r="Q936" s="6" t="str">
        <f t="shared" si="1"/>
        <v>#N/A</v>
      </c>
      <c r="R936" s="6"/>
    </row>
    <row r="937" hidden="1">
      <c r="A937" s="31" t="str">
        <f>IFERROR(__xludf.DUMMYFUNCTION("""COMPUTED_VALUE"""),"923")</f>
        <v>923</v>
      </c>
      <c r="B937" s="14" t="str">
        <f>IFERROR(__xludf.DUMMYFUNCTION("""COMPUTED_VALUE"""),"РЕН-26")</f>
        <v>РЕН-26</v>
      </c>
      <c r="C937" s="14" t="str">
        <f>IFERROR(__xludf.DUMMYFUNCTION("""COMPUTED_VALUE"""),"ОКС")</f>
        <v>ОКС</v>
      </c>
      <c r="D937" s="6"/>
      <c r="E937" s="14" t="str">
        <f>IFERROR(__xludf.DUMMYFUNCTION("""COMPUTED_VALUE"""),"Жилой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f>
        <v>Жилой дом с инженерными сетями и благоустройством территории (со сносом жилых домов по адресам: г. Москва, ул. Бахтерева, д. 3, к. 1, ул. Бахтерева, д. 3, к. 2, ул. Бахтерева, д. 5), ЮАО, район Царицыно, Бехтерева ул., вл. 3/5 ул. Бехтерева, з/у 3/5</v>
      </c>
      <c r="F937" s="25" t="str">
        <f>IFERROR(__xludf.DUMMYFUNCTION("""COMPUTED_VALUE"""),"55.635583")</f>
        <v>55.635583</v>
      </c>
      <c r="G937" s="6" t="str">
        <f>IFERROR(__xludf.DUMMYFUNCTION("""COMPUTED_VALUE"""),"37.649688")</f>
        <v>37.649688</v>
      </c>
      <c r="H937" s="18" t="str">
        <f>IFERROR(__xludf.DUMMYFUNCTION("""COMPUTED_VALUE"""),"https://docs.google.com/spreadsheets/d/1rbCD10ySi4YZEkJW2_Slmn9z7AI1WEsGsZaIJmnnT18/edit?gid=657849366#gid=657849366")</f>
        <v>https://docs.google.com/spreadsheets/d/1rbCD10ySi4YZEkJW2_Slmn9z7AI1WEsGsZaIJmnnT18/edit?gid=657849366#gid=657849366</v>
      </c>
      <c r="I937" s="19" t="str">
        <f>IFERROR(__xludf.DUMMYFUNCTION("""COMPUTED_VALUE"""),"https://disk.yandex.ru/client/disk/Осмотры%20объектов%20АНО%20СМГ/923.%20Бехтерева%20ул.%2C%20з-у%203-5.%20Жилой%20дом")</f>
        <v>https://disk.yandex.ru/client/disk/Осмотры%20объектов%20АНО%20СМГ/923.%20Бехтерева%20ул.%2C%20з-у%203-5.%20Жилой%20дом</v>
      </c>
      <c r="J937" s="50">
        <f>IFERROR(__xludf.DUMMYFUNCTION("""COMPUTED_VALUE"""),3.3)</f>
        <v>3.3</v>
      </c>
      <c r="K937" s="58">
        <f>IFERROR(__xludf.DUMMYFUNCTION("""COMPUTED_VALUE"""),45953.0)</f>
        <v>45953</v>
      </c>
      <c r="L937" s="6">
        <v>30.0</v>
      </c>
      <c r="M937" s="52">
        <v>45983.0</v>
      </c>
      <c r="N937" s="53" t="s">
        <v>741</v>
      </c>
      <c r="O937" s="19" t="s">
        <v>669</v>
      </c>
      <c r="P937" s="6"/>
      <c r="Q937" s="6" t="str">
        <f t="shared" si="1"/>
        <v>#N/A</v>
      </c>
      <c r="R937" s="6"/>
    </row>
    <row r="938" hidden="1">
      <c r="A938" s="31" t="str">
        <f>IFERROR(__xludf.DUMMYFUNCTION("""COMPUTED_VALUE"""),"919")</f>
        <v>919</v>
      </c>
      <c r="B938" s="14" t="str">
        <f>IFERROR(__xludf.DUMMYFUNCTION("""COMPUTED_VALUE"""),"РЕН-26")</f>
        <v>РЕН-26</v>
      </c>
      <c r="C938" s="14" t="str">
        <f>IFERROR(__xludf.DUMMYFUNCTION("""COMPUTED_VALUE"""),"ОКС")</f>
        <v>ОКС</v>
      </c>
      <c r="D938" s="6"/>
      <c r="E93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27"&amp;",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зем"&amp;"ельный участок 27 (участок 3.1)")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Перекопская улица, дом 29; Перекопская улица, дом 27, корпус 1; Перекопская улица, дом 27, корпус 2) по адресу: г. Москва, внутригородское муниципальное образование Черемушки, улица Перекопская, земельный участок 27 (участок 3.1)
 внутригородское муниципальное образование Черемушки, улица Перекопская, земельный участок 27 (участок 3.1)</v>
      </c>
      <c r="F938" s="25" t="str">
        <f>IFERROR(__xludf.DUMMYFUNCTION("""COMPUTED_VALUE"""),"55.660140")</f>
        <v>55.660140</v>
      </c>
      <c r="G938" s="6" t="str">
        <f>IFERROR(__xludf.DUMMYFUNCTION("""COMPUTED_VALUE"""),"37.564538")</f>
        <v>37.564538</v>
      </c>
      <c r="H938" s="18" t="str">
        <f>IFERROR(__xludf.DUMMYFUNCTION("""COMPUTED_VALUE"""),"https://docs.google.com/spreadsheets/d/1rbCD10ySi4YZEkJW2_Slmn9z7AI1WEsGsZaIJmnnT18/edit?gid=733134081#gid=733134081")</f>
        <v>https://docs.google.com/spreadsheets/d/1rbCD10ySi4YZEkJW2_Slmn9z7AI1WEsGsZaIJmnnT18/edit?gid=733134081#gid=733134081</v>
      </c>
      <c r="I938" s="19" t="str">
        <f>IFERROR(__xludf.DUMMYFUNCTION("""COMPUTED_VALUE"""),"https://disk.yandex.ru/client/disk/Осмотры%20объектов%20АНО%20СМГ/919.%20Перекопская%20зу%2027(участок%203.1)")</f>
        <v>https://disk.yandex.ru/client/disk/Осмотры%20объектов%20АНО%20СМГ/919.%20Перекопская%20зу%2027(участок%203.1)</v>
      </c>
      <c r="J938" s="50">
        <f>IFERROR(__xludf.DUMMYFUNCTION("""COMPUTED_VALUE"""),1.3800000000000001)</f>
        <v>1.38</v>
      </c>
      <c r="K938" s="58">
        <f>IFERROR(__xludf.DUMMYFUNCTION("""COMPUTED_VALUE"""),45974.0)</f>
        <v>45974</v>
      </c>
      <c r="L938" s="6">
        <v>30.0</v>
      </c>
      <c r="M938" s="52">
        <v>46004.0</v>
      </c>
      <c r="N938" s="53" t="s">
        <v>711</v>
      </c>
      <c r="O938" s="19" t="s">
        <v>1186</v>
      </c>
      <c r="P938" s="6"/>
      <c r="Q938" s="6" t="str">
        <f t="shared" si="1"/>
        <v>#N/A</v>
      </c>
      <c r="R938" s="6"/>
    </row>
    <row r="939" hidden="1">
      <c r="A939" s="31" t="str">
        <f>IFERROR(__xludf.DUMMYFUNCTION("""COMPUTED_VALUE"""),"699")</f>
        <v>699</v>
      </c>
      <c r="B939" s="14" t="str">
        <f>IFERROR(__xludf.DUMMYFUNCTION("""COMPUTED_VALUE"""),"РЕН-26")</f>
        <v>РЕН-26</v>
      </c>
      <c r="C939" s="14" t="str">
        <f>IFERROR(__xludf.DUMMYFUNCTION("""COMPUTED_VALUE"""),"ОКС")</f>
        <v>ОКС</v>
      </c>
      <c r="D939" s="6"/>
      <c r="E939" s="14" t="str">
        <f>IFERROR(__xludf.DUMMYFUNCTION("""COMPUTED_VALUE"""),"Жилой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Варшавское"&amp;" шоссе, земельный участок 90/1 (участок 5.1)")</f>
        <v>Жилой дом с инженерными сетями и благоустройством территории (со сносом многоквартирных жилых домов по адресам: Варшавское шоссе, д.90, к.1; д.92) по адресу: Нагорный район, Варшавское шоссе, земельный участок 90/1 (участок 5.1) Нагорный район, Варшавское шоссе, земельный участок 90/1 (участок 5.1)</v>
      </c>
      <c r="F939" s="25" t="str">
        <f>IFERROR(__xludf.DUMMYFUNCTION("""COMPUTED_VALUE"""),"55.648059")</f>
        <v>55.648059</v>
      </c>
      <c r="G939" s="6" t="str">
        <f>IFERROR(__xludf.DUMMYFUNCTION("""COMPUTED_VALUE"""),"37.618870")</f>
        <v>37.618870</v>
      </c>
      <c r="H939" s="18" t="str">
        <f>IFERROR(__xludf.DUMMYFUNCTION("""COMPUTED_VALUE"""),"https://docs.google.com/spreadsheets/d/1rbCD10ySi4YZEkJW2_Slmn9z7AI1WEsGsZaIJmnnT18/edit?gid=1868311876#gid=1868311876")</f>
        <v>https://docs.google.com/spreadsheets/d/1rbCD10ySi4YZEkJW2_Slmn9z7AI1WEsGsZaIJmnnT18/edit?gid=1868311876#gid=1868311876</v>
      </c>
      <c r="I939" s="21" t="str">
        <f>IFERROR(__xludf.DUMMYFUNCTION("""COMPUTED_VALUE"""),"https://disk.yandex.ru/client/disk/%D0%9E%D1%81%D0%BC%D0%BE%D1%82%D1%80%D1%8B%20%D0%BE%D0%B1%D1%8A%D0%B5%D0%BA%D1%82%D0%BE%D0%B2%20%D0%90%D0%9D%D0%9E%20%D0%A1%D0%9C%D0%93/699.%20%D0%92%D0%B0%D1%80%D1%88%D0%B0%D0%B2%D1%81%D0%BA%D0%BE%D0%B5%20%D1%88.%20%D0%"&amp;"B7.%D1%83.%2090.1%20(%D1%83%D1%87%D0%B0%D1%81%D1%82%D0%BE%D0%BA%205.1)")</f>
        <v>https://disk.yandex.ru/client/disk/%D0%9E%D1%81%D0%BC%D0%BE%D1%82%D1%80%D1%8B%20%D0%BE%D0%B1%D1%8A%D0%B5%D0%BA%D1%82%D0%BE%D0%B2%20%D0%90%D0%9D%D0%9E%20%D0%A1%D0%9C%D0%93/699.%20%D0%92%D0%B0%D1%80%D1%88%D0%B0%D0%B2%D1%81%D0%BA%D0%BE%D0%B5%20%D1%88.%20%D0%B7.%D1%83.%2090.1%20(%D1%83%D1%87%D0%B0%D1%81%D1%82%D0%BE%D0%BA%205.1)</v>
      </c>
      <c r="J939" s="50">
        <f>IFERROR(__xludf.DUMMYFUNCTION("""COMPUTED_VALUE"""),4.591799999999999)</f>
        <v>4.5918</v>
      </c>
      <c r="K939" s="58">
        <f>IFERROR(__xludf.DUMMYFUNCTION("""COMPUTED_VALUE"""),45945.0)</f>
        <v>45945</v>
      </c>
      <c r="L939" s="6">
        <v>30.0</v>
      </c>
      <c r="M939" s="52">
        <v>45975.0</v>
      </c>
      <c r="N939" s="53" t="s">
        <v>701</v>
      </c>
      <c r="O939" s="19" t="s">
        <v>669</v>
      </c>
      <c r="P939" s="6"/>
      <c r="Q939" s="6" t="str">
        <f t="shared" si="1"/>
        <v>#N/A</v>
      </c>
      <c r="R939" s="6"/>
    </row>
    <row r="940" hidden="1">
      <c r="A940" s="31" t="str">
        <f>IFERROR(__xludf.DUMMYFUNCTION("""COMPUTED_VALUE"""),"906")</f>
        <v>906</v>
      </c>
      <c r="B940" s="14" t="str">
        <f>IFERROR(__xludf.DUMMYFUNCTION("""COMPUTED_VALUE"""),"РЕН-26")</f>
        <v>РЕН-26</v>
      </c>
      <c r="C940" s="14" t="str">
        <f>IFERROR(__xludf.DUMMYFUNCTION("""COMPUTED_VALUE"""),"ОКС")</f>
        <v>ОКС</v>
      </c>
      <c r="D940" s="6"/>
      <c r="E94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ул."&amp;", д.7 к.5; д.7 к.6) по адресу: Нагорный район, ул. Артековская, земельный участок 7/6 (зона 2.4) ул. Артековская, з/у 7/6 (зона 2.4)")</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многоквартирных жилых домов по адресам: Варшавское шоссе, д.88; Артековская ул., д.7 к.5; д.7 к.6) по адресу: Нагорный район, ул. Артековская, земельный участок 7/6 (зона 2.4) ул. Артековская, з/у 7/6 (зона 2.4)</v>
      </c>
      <c r="F940" s="25" t="str">
        <f>IFERROR(__xludf.DUMMYFUNCTION("""COMPUTED_VALUE"""),"55.649428")</f>
        <v>55.649428</v>
      </c>
      <c r="G940" s="6" t="str">
        <f>IFERROR(__xludf.DUMMYFUNCTION("""COMPUTED_VALUE"""),"37.618333")</f>
        <v>37.618333</v>
      </c>
      <c r="H940" s="18" t="str">
        <f>IFERROR(__xludf.DUMMYFUNCTION("""COMPUTED_VALUE"""),"https://docs.google.com/spreadsheets/d/1rbCD10ySi4YZEkJW2_Slmn9z7AI1WEsGsZaIJmnnT18/edit?gid=1509093390#gid=1509093390")</f>
        <v>https://docs.google.com/spreadsheets/d/1rbCD10ySi4YZEkJW2_Slmn9z7AI1WEsGsZaIJmnnT18/edit?gid=1509093390#gid=1509093390</v>
      </c>
      <c r="I940" s="19" t="str">
        <f>IFERROR(__xludf.DUMMYFUNCTION("""COMPUTED_VALUE"""),"https://disk.yandex.ru/client/disk/Осмотры%20объектов%20АНО%20СМГ/906.%20ул.%20Артековская%2C%20з.у.%2076%20(зона2.4)")</f>
        <v>https://disk.yandex.ru/client/disk/Осмотры%20объектов%20АНО%20СМГ/906.%20ул.%20Артековская%2C%20з.у.%2076%20(зона2.4)</v>
      </c>
      <c r="J940" s="50">
        <f>IFERROR(__xludf.DUMMYFUNCTION("""COMPUTED_VALUE"""),3.4499999999999997)</f>
        <v>3.45</v>
      </c>
      <c r="K940" s="58">
        <f>IFERROR(__xludf.DUMMYFUNCTION("""COMPUTED_VALUE"""),45968.0)</f>
        <v>45968</v>
      </c>
      <c r="L940" s="6">
        <v>30.0</v>
      </c>
      <c r="M940" s="52">
        <v>45998.0</v>
      </c>
      <c r="N940" s="53" t="s">
        <v>711</v>
      </c>
      <c r="O940" s="19" t="s">
        <v>669</v>
      </c>
      <c r="P940" s="6"/>
      <c r="Q940" s="6" t="str">
        <f t="shared" si="1"/>
        <v>#N/A</v>
      </c>
      <c r="R940" s="6"/>
    </row>
    <row r="941" hidden="1">
      <c r="A941" s="31" t="str">
        <f>IFERROR(__xludf.DUMMYFUNCTION("""COMPUTED_VALUE"""),"903")</f>
        <v>903</v>
      </c>
      <c r="B941" s="14" t="str">
        <f>IFERROR(__xludf.DUMMYFUNCTION("""COMPUTED_VALUE"""),"РЕН-26")</f>
        <v>РЕН-26</v>
      </c>
      <c r="C941" s="14" t="str">
        <f>IFERROR(__xludf.DUMMYFUNCTION("""COMPUTED_VALUE"""),"ОКС")</f>
        <v>ОКС</v>
      </c>
      <c r="D941" s="6"/>
      <c r="E941" s="14" t="str">
        <f>IFERROR(__xludf.DUMMYFUNCTION("""COMPUTED_VALUE"""),"Жилой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Краснодарс"&amp;"кая,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Краснодарск"&amp;"ая ул., з/у 18 (Краснодарская ул., вл. 18)")</f>
        <v>Жилой дом с инженерными сетями и благоустройством территории (со сносом зданий по адресу: ул. Краснодарская, д.16, ул. Краснодонская, д.18/18, ул. Краснодонская, д.20) по адресу: г. Москва, внутригородское муниципальное образование Люблино, ул. Краснодарская, вл.16 (улица Краснодарская, земельный участок 18), ул. Краснодонская, вл.18/18 (улица Краснодарская, земельный участок 18), ул. Краснодонская, вл. 20 (улица Краснодарская, земельный участок 18), ул. Краснодарская, земельный участок 18 ул. Краснодарская ул., з/у 18 (Краснодарская ул., вл. 18)</v>
      </c>
      <c r="F941" s="25" t="str">
        <f>IFERROR(__xludf.DUMMYFUNCTION("""COMPUTED_VALUE"""),"55.676382")</f>
        <v>55.676382</v>
      </c>
      <c r="G941" s="6" t="str">
        <f>IFERROR(__xludf.DUMMYFUNCTION("""COMPUTED_VALUE"""),"37.748418")</f>
        <v>37.748418</v>
      </c>
      <c r="H941" s="18" t="str">
        <f>IFERROR(__xludf.DUMMYFUNCTION("""COMPUTED_VALUE"""),"https://docs.google.com/spreadsheets/d/1rbCD10ySi4YZEkJW2_Slmn9z7AI1WEsGsZaIJmnnT18/edit?gid=2115012790#gid=2115012790")</f>
        <v>https://docs.google.com/spreadsheets/d/1rbCD10ySi4YZEkJW2_Slmn9z7AI1WEsGsZaIJmnnT18/edit?gid=2115012790#gid=2115012790</v>
      </c>
      <c r="I941" s="19" t="str">
        <f>IFERROR(__xludf.DUMMYFUNCTION("""COMPUTED_VALUE"""),"https://disk.yandex.ru/client/disk/Осмотры%20объектов%20АНО%20СМГ/903%20ул.%20Краснодарская%20ул.%2C%20зу%2018%20(Краснодарская%20ул.%2C%20вл.%2018)")</f>
        <v>https://disk.yandex.ru/client/disk/Осмотры%20объектов%20АНО%20СМГ/903%20ул.%20Краснодарская%20ул.%2C%20зу%2018%20(Краснодарская%20ул.%2C%20вл.%2018)</v>
      </c>
      <c r="J941" s="50">
        <f>IFERROR(__xludf.DUMMYFUNCTION("""COMPUTED_VALUE"""),62.477549999999994)</f>
        <v>62.47755</v>
      </c>
      <c r="K941" s="58">
        <f>IFERROR(__xludf.DUMMYFUNCTION("""COMPUTED_VALUE"""),45974.0)</f>
        <v>45974</v>
      </c>
      <c r="L941" s="6">
        <v>14.0</v>
      </c>
      <c r="M941" s="52">
        <v>45988.0</v>
      </c>
      <c r="N941" s="53" t="s">
        <v>711</v>
      </c>
      <c r="O941" s="19" t="s">
        <v>669</v>
      </c>
      <c r="P941" s="6"/>
      <c r="Q941" s="6" t="str">
        <f t="shared" si="1"/>
        <v>#N/A</v>
      </c>
      <c r="R941" s="6"/>
    </row>
    <row r="942" hidden="1">
      <c r="A942" s="31" t="str">
        <f>IFERROR(__xludf.DUMMYFUNCTION("""COMPUTED_VALUE"""),"611")</f>
        <v>611</v>
      </c>
      <c r="B942" s="14" t="str">
        <f>IFERROR(__xludf.DUMMYFUNCTION("""COMPUTED_VALUE"""),"РЕН-26")</f>
        <v>РЕН-26</v>
      </c>
      <c r="C942" s="14" t="str">
        <f>IFERROR(__xludf.DUMMYFUNCTION("""COMPUTED_VALUE"""),"ОКС")</f>
        <v>ОКС</v>
      </c>
      <c r="D942" s="6"/>
      <c r="E942" s="14" t="str">
        <f>IFERROR(__xludf.DUMMYFUNCTION("""COMPUTED_VALUE"""),"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f>
        <v> Жилой дом с подземной автостоянкой, инженерными сетями и благоустройством территории по адресу: г. Москва, район Дмитровский, Карельский бульвар, вл. 1/24 (Клязьминская ул., вл.26) район Дмитровский, Карельский бульвар, вл. 1/24 (Клязьминская ул., вл.26)</v>
      </c>
      <c r="F942" s="25" t="str">
        <f>IFERROR(__xludf.DUMMYFUNCTION("""COMPUTED_VALUE"""),"55.892306")</f>
        <v>55.892306</v>
      </c>
      <c r="G942" s="6" t="str">
        <f>IFERROR(__xludf.DUMMYFUNCTION("""COMPUTED_VALUE"""),"37.530438")</f>
        <v>37.530438</v>
      </c>
      <c r="H942" s="18" t="str">
        <f>IFERROR(__xludf.DUMMYFUNCTION("""COMPUTED_VALUE"""),"https://docs.google.com/spreadsheets/d/1rbCD10ySi4YZEkJW2_Slmn9z7AI1WEsGsZaIJmnnT18/edit?gid=44169429#gid=44169429")</f>
        <v>https://docs.google.com/spreadsheets/d/1rbCD10ySi4YZEkJW2_Slmn9z7AI1WEsGsZaIJmnnT18/edit?gid=44169429#gid=44169429</v>
      </c>
      <c r="I942" s="19" t="str">
        <f>IFERROR(__xludf.DUMMYFUNCTION("""COMPUTED_VALUE"""),"https://disk.yandex.ru/client/disk/Осмотры%20объектов%20АНО%20СМГ/611.%20Карельский%20бульвар%2C%20вл.%201.24")</f>
        <v>https://disk.yandex.ru/client/disk/Осмотры%20объектов%20АНО%20СМГ/611.%20Карельский%20бульвар%2C%20вл.%201.24</v>
      </c>
      <c r="J942" s="50">
        <f>IFERROR(__xludf.DUMMYFUNCTION("""COMPUTED_VALUE"""),5.55)</f>
        <v>5.55</v>
      </c>
      <c r="K942" s="58">
        <f>IFERROR(__xludf.DUMMYFUNCTION("""COMPUTED_VALUE"""),45961.0)</f>
        <v>45961</v>
      </c>
      <c r="L942" s="6">
        <v>30.0</v>
      </c>
      <c r="M942" s="52">
        <v>45991.0</v>
      </c>
      <c r="N942" s="53" t="s">
        <v>692</v>
      </c>
      <c r="O942" s="19" t="s">
        <v>1187</v>
      </c>
      <c r="P942" s="6"/>
      <c r="Q942" s="6" t="str">
        <f t="shared" si="1"/>
        <v>#N/A</v>
      </c>
      <c r="R942" s="6"/>
    </row>
    <row r="943" hidden="1">
      <c r="A943" s="31" t="str">
        <f>IFERROR(__xludf.DUMMYFUNCTION("""COMPUTED_VALUE"""),"899")</f>
        <v>899</v>
      </c>
      <c r="B943" s="14" t="str">
        <f>IFERROR(__xludf.DUMMYFUNCTION("""COMPUTED_VALUE"""),"РЕН-26")</f>
        <v>РЕН-26</v>
      </c>
      <c r="C943" s="14" t="str">
        <f>IFERROR(__xludf.DUMMYFUNCTION("""COMPUTED_VALUE"""),"ОКС")</f>
        <v>ОКС</v>
      </c>
      <c r="D943" s="6"/>
      <c r="E943" s="14" t="str">
        <f>IFERROR(__xludf.DUMMYFUNCTION("""COMPUTED_VALUE"""),"Жилой дом с подземной автостоянкой, с инженерными сетями и благоустройством территории (со сносом жилых домов по адресам: ул. Нижегородская, д.18, д.20, д.24, д.26) по адресу: г. Москва, внутригородское муниципальное образование Таганское, улица Нижегород"&amp;"ская, земельный участок 18 вн. мун. обр. Таганское, улица Нижегородская, земельный участок 18")</f>
        <v>Жилой дом с подземной автостоянкой, с инженерными сетями и благоустройством территории (со сносом жилых домов по адресам: ул. Нижегородская, д.18, д.20, д.24, д.26) по адресу: г. Москва, внутригородское муниципальное образование Таганское, улица Нижегородская, земельный участок 18 вн. мун. обр. Таганское, улица Нижегородская, земельный участок 18</v>
      </c>
      <c r="F943" s="25" t="str">
        <f>IFERROR(__xludf.DUMMYFUNCTION("""COMPUTED_VALUE"""),"55.737291")</f>
        <v>55.737291</v>
      </c>
      <c r="G943" s="6" t="str">
        <f>IFERROR(__xludf.DUMMYFUNCTION("""COMPUTED_VALUE"""),"37.684320")</f>
        <v>37.684320</v>
      </c>
      <c r="H943" s="18" t="str">
        <f>IFERROR(__xludf.DUMMYFUNCTION("""COMPUTED_VALUE"""),"https://docs.google.com/spreadsheets/d/1rbCD10ySi4YZEkJW2_Slmn9z7AI1WEsGsZaIJmnnT18/edit?gid=303416269#gid=303416269")</f>
        <v>https://docs.google.com/spreadsheets/d/1rbCD10ySi4YZEkJW2_Slmn9z7AI1WEsGsZaIJmnnT18/edit?gid=303416269#gid=303416269</v>
      </c>
      <c r="I943" s="19" t="str">
        <f>IFERROR(__xludf.DUMMYFUNCTION("""COMPUTED_VALUE"""),"https://disk.yandex.ru/client/disk/Осмотры%20объектов%20АНО%20СМГ/899.%20Нижегородская%20д.18")</f>
        <v>https://disk.yandex.ru/client/disk/Осмотры%20объектов%20АНО%20СМГ/899.%20Нижегородская%20д.18</v>
      </c>
      <c r="J943" s="50">
        <f>IFERROR(__xludf.DUMMYFUNCTION("""COMPUTED_VALUE"""),0.0)</f>
        <v>0</v>
      </c>
      <c r="K943" s="58">
        <f>IFERROR(__xludf.DUMMYFUNCTION("""COMPUTED_VALUE"""),45952.0)</f>
        <v>45952</v>
      </c>
      <c r="L943" s="6">
        <v>30.0</v>
      </c>
      <c r="M943" s="52">
        <v>45982.0</v>
      </c>
      <c r="N943" s="53" t="s">
        <v>741</v>
      </c>
      <c r="O943" s="19" t="s">
        <v>1188</v>
      </c>
      <c r="P943" s="6"/>
      <c r="Q943" s="6" t="str">
        <f t="shared" si="1"/>
        <v>#N/A</v>
      </c>
      <c r="R943" s="6"/>
    </row>
    <row r="944" hidden="1">
      <c r="A944" s="31" t="str">
        <f>IFERROR(__xludf.DUMMYFUNCTION("""COMPUTED_VALUE"""),"719")</f>
        <v>719</v>
      </c>
      <c r="B944" s="14" t="str">
        <f>IFERROR(__xludf.DUMMYFUNCTION("""COMPUTED_VALUE"""),"РЕН-26")</f>
        <v>РЕН-26</v>
      </c>
      <c r="C944" s="14" t="str">
        <f>IFERROR(__xludf.DUMMYFUNCTION("""COMPUTED_VALUE"""),"ОКС")</f>
        <v>ОКС</v>
      </c>
      <c r="D944" s="6"/>
      <c r="E944" s="14" t="str">
        <f>IFERROR(__xludf.DUMMYFUNCTION("""COMPUTED_VALUE"""),"ул.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f>
        <v>ул. Гарибальди, вл. 25, корп. 1 (6.1) (Профсоюзная ул., з/у 37 (зоны 6.1 и 6.2) (со сносом: ул. Профсоюзная д. 37)) ЮЗАО, Черемушки, ул. Гарибальди, вл. 25, жилых зданий по адресам: ул. Профсоюзная д.39; ул. Гарибальди д.25 к.1; Гарибильди д.25 стр.2)</v>
      </c>
      <c r="F944" s="25" t="str">
        <f>IFERROR(__xludf.DUMMYFUNCTION("""COMPUTED_VALUE"""),"55.670546")</f>
        <v>55.670546</v>
      </c>
      <c r="G944" s="6" t="str">
        <f>IFERROR(__xludf.DUMMYFUNCTION("""COMPUTED_VALUE"""),"37.556150")</f>
        <v>37.556150</v>
      </c>
      <c r="H944" s="18" t="str">
        <f>IFERROR(__xludf.DUMMYFUNCTION("""COMPUTED_VALUE"""),"https://docs.google.com/spreadsheets/d/1rbCD10ySi4YZEkJW2_Slmn9z7AI1WEsGsZaIJmnnT18/edit?gid=1797830857#gid=1797830857")</f>
        <v>https://docs.google.com/spreadsheets/d/1rbCD10ySi4YZEkJW2_Slmn9z7AI1WEsGsZaIJmnnT18/edit?gid=1797830857#gid=1797830857</v>
      </c>
      <c r="I944" s="19" t="str">
        <f>IFERROR(__xludf.DUMMYFUNCTION("""COMPUTED_VALUE"""),"https://disk.yandex.ru/client/disk/Осмотры%20объектов%20АНО%20СМГ/719.%20ул.%20Грибальди%20вл25%2C%20Профсоюзная%20д39%20(Гарибальди%20д25%20к1%2C%20д25%20стр2)")</f>
        <v>https://disk.yandex.ru/client/disk/Осмотры%20объектов%20АНО%20СМГ/719.%20ул.%20Грибальди%20вл25%2C%20Профсоюзная%20д39%20(Гарибальди%20д25%20к1%2C%20д25%20стр2)</v>
      </c>
      <c r="J944" s="50">
        <f>IFERROR(__xludf.DUMMYFUNCTION("""COMPUTED_VALUE"""),6.72)</f>
        <v>6.72</v>
      </c>
      <c r="K944" s="58">
        <f>IFERROR(__xludf.DUMMYFUNCTION("""COMPUTED_VALUE"""),45960.0)</f>
        <v>45960</v>
      </c>
      <c r="L944" s="6">
        <v>30.0</v>
      </c>
      <c r="M944" s="52">
        <v>45990.0</v>
      </c>
      <c r="N944" s="53" t="s">
        <v>692</v>
      </c>
      <c r="O944" s="19" t="s">
        <v>1189</v>
      </c>
      <c r="P944" s="6"/>
      <c r="Q944" s="6" t="str">
        <f t="shared" si="1"/>
        <v>#N/A</v>
      </c>
      <c r="R944" s="6"/>
    </row>
    <row r="945" hidden="1">
      <c r="A945" s="31" t="str">
        <f>IFERROR(__xludf.DUMMYFUNCTION("""COMPUTED_VALUE"""),"680")</f>
        <v>680</v>
      </c>
      <c r="B945" s="14" t="str">
        <f>IFERROR(__xludf.DUMMYFUNCTION("""COMPUTED_VALUE"""),"РЕН-26")</f>
        <v>РЕН-26</v>
      </c>
      <c r="C945" s="14" t="str">
        <f>IFERROR(__xludf.DUMMYFUNCTION("""COMPUTED_VALUE"""),"ОКС")</f>
        <v>ОКС</v>
      </c>
      <c r="D945" s="6"/>
      <c r="E945" s="14" t="str">
        <f>IFERROR(__xludf.DUMMYFUNCTION("""COMPUTED_VALUE"""),"ул. Гарибальди, з/у 31/1/1 ЮЗАО, Черемушки,  ул. Гарибальди, зу 31/1/1, кв. 20-21, 22-23, зона № 6.8 (со сносом жилых и нежилых зданий по адресам: ул. Гарибальди д.31 стр.1; Гарибальди ул., д.31 к.2)")</f>
        <v>ул. Гарибальди, з/у 31/1/1 ЮЗАО, Черемушки,  ул. Гарибальди, зу 31/1/1, кв. 20-21, 22-23, зона № 6.8 (со сносом жилых и нежилых зданий по адресам: ул. Гарибальди д.31 стр.1; Гарибальди ул., д.31 к.2)</v>
      </c>
      <c r="F945" s="25" t="str">
        <f>IFERROR(__xludf.DUMMYFUNCTION("""COMPUTED_VALUE"""),"55.668855")</f>
        <v>55.668855</v>
      </c>
      <c r="G945" s="6" t="str">
        <f>IFERROR(__xludf.DUMMYFUNCTION("""COMPUTED_VALUE"""),"37.562356")</f>
        <v>37.562356</v>
      </c>
      <c r="H945" s="18" t="str">
        <f>IFERROR(__xludf.DUMMYFUNCTION("""COMPUTED_VALUE"""),"https://docs.google.com/spreadsheets/d/1rbCD10ySi4YZEkJW2_Slmn9z7AI1WEsGsZaIJmnnT18/edit?gid=989193180#gid=989193180")</f>
        <v>https://docs.google.com/spreadsheets/d/1rbCD10ySi4YZEkJW2_Slmn9z7AI1WEsGsZaIJmnnT18/edit?gid=989193180#gid=989193180</v>
      </c>
      <c r="I945" s="19" t="str">
        <f>IFERROR(__xludf.DUMMYFUNCTION("""COMPUTED_VALUE"""),"https://disk.yandex.ru/client/disk/Осмотры%20объектов%20АНО%20СМГ/680.%20Гарибальди%20зу%2031%2C1%2C1%20кв%2020-21%2C%2022-23%20зона%20N6.8%20Гарибальди%2031%20с1%2C%20д31%20к2")</f>
        <v>https://disk.yandex.ru/client/disk/Осмотры%20объектов%20АНО%20СМГ/680.%20Гарибальди%20зу%2031%2C1%2C1%20кв%2020-21%2C%2022-23%20зона%20N6.8%20Гарибальди%2031%20с1%2C%20д31%20к2</v>
      </c>
      <c r="J945" s="50">
        <f>IFERROR(__xludf.DUMMYFUNCTION("""COMPUTED_VALUE"""),58.197894999999995)</f>
        <v>58.197895</v>
      </c>
      <c r="K945" s="58">
        <f>IFERROR(__xludf.DUMMYFUNCTION("""COMPUTED_VALUE"""),45971.0)</f>
        <v>45971</v>
      </c>
      <c r="L945" s="6">
        <v>14.0</v>
      </c>
      <c r="M945" s="52">
        <v>45985.0</v>
      </c>
      <c r="N945" s="53" t="s">
        <v>711</v>
      </c>
      <c r="O945" s="19" t="s">
        <v>1190</v>
      </c>
      <c r="P945" s="6"/>
      <c r="Q945" s="6" t="str">
        <f t="shared" si="1"/>
        <v>#N/A</v>
      </c>
      <c r="R945" s="6"/>
    </row>
    <row r="946" hidden="1">
      <c r="A946" s="31" t="str">
        <f>IFERROR(__xludf.DUMMYFUNCTION("""COMPUTED_VALUE"""),"687")</f>
        <v>687</v>
      </c>
      <c r="B946" s="14" t="str">
        <f>IFERROR(__xludf.DUMMYFUNCTION("""COMPUTED_VALUE"""),"РЕН-26")</f>
        <v>РЕН-26</v>
      </c>
      <c r="C946" s="14" t="str">
        <f>IFERROR(__xludf.DUMMYFUNCTION("""COMPUTED_VALUE"""),"ОКС")</f>
        <v>ОКС</v>
      </c>
      <c r="D946" s="6"/>
      <c r="E946" s="14" t="str">
        <f>IFERROR(__xludf.DUMMYFUNCTION("""COMPUTED_VALUE"""),"Жилой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f>
        <v>Жилой дом с инженерными сетями и благоустройством территории (со сносом жилых зданий по адресам: ул. Восточная д.1, корп. 1 и Пересветов пер., д.1, корп.2), ЮАО, район Даниловский, Восточная ул., 1 ЮАО, район Даниловский, Восточная ул., 1</v>
      </c>
      <c r="F946" s="25" t="str">
        <f>IFERROR(__xludf.DUMMYFUNCTION("""COMPUTED_VALUE"""),"55.716559")</f>
        <v>55.716559</v>
      </c>
      <c r="G946" s="6" t="str">
        <f>IFERROR(__xludf.DUMMYFUNCTION("""COMPUTED_VALUE"""),"37.662180")</f>
        <v>37.662180</v>
      </c>
      <c r="H946" s="18" t="str">
        <f>IFERROR(__xludf.DUMMYFUNCTION("""COMPUTED_VALUE"""),"https://docs.google.com/spreadsheets/d/1rbCD10ySi4YZEkJW2_Slmn9z7AI1WEsGsZaIJmnnT18/edit?gid=1343620006#gid=1343620006")</f>
        <v>https://docs.google.com/spreadsheets/d/1rbCD10ySi4YZEkJW2_Slmn9z7AI1WEsGsZaIJmnnT18/edit?gid=1343620006#gid=1343620006</v>
      </c>
      <c r="I946" s="19" t="str">
        <f>IFERROR(__xludf.DUMMYFUNCTION("""COMPUTED_VALUE"""),"https://disk.yandex.ru/client/disk/Осмотры%20объектов%20АНО%20СМГ/687.%20Даниловский%2C%20Восточная%20ул%201")</f>
        <v>https://disk.yandex.ru/client/disk/Осмотры%20объектов%20АНО%20СМГ/687.%20Даниловский%2C%20Восточная%20ул%201</v>
      </c>
      <c r="J946" s="50">
        <f>IFERROR(__xludf.DUMMYFUNCTION("""COMPUTED_VALUE"""),10.62)</f>
        <v>10.62</v>
      </c>
      <c r="K946" s="58">
        <f>IFERROR(__xludf.DUMMYFUNCTION("""COMPUTED_VALUE"""),45954.0)</f>
        <v>45954</v>
      </c>
      <c r="L946" s="6">
        <v>30.0</v>
      </c>
      <c r="M946" s="52">
        <v>45984.0</v>
      </c>
      <c r="N946" s="53" t="s">
        <v>741</v>
      </c>
      <c r="O946" s="19" t="s">
        <v>669</v>
      </c>
      <c r="P946" s="6"/>
      <c r="Q946" s="6" t="str">
        <f t="shared" si="1"/>
        <v>#N/A</v>
      </c>
      <c r="R946" s="6"/>
    </row>
    <row r="947" hidden="1">
      <c r="A947" s="31" t="str">
        <f>IFERROR(__xludf.DUMMYFUNCTION("""COMPUTED_VALUE"""),"731")</f>
        <v>731</v>
      </c>
      <c r="B947" s="14" t="str">
        <f>IFERROR(__xludf.DUMMYFUNCTION("""COMPUTED_VALUE"""),"РЕН-26")</f>
        <v>РЕН-26</v>
      </c>
      <c r="C947" s="14" t="str">
        <f>IFERROR(__xludf.DUMMYFUNCTION("""COMPUTED_VALUE"""),"ОКС")</f>
        <v>ОКС</v>
      </c>
      <c r="D947" s="6"/>
      <c r="E947" s="14" t="str">
        <f>IFERROR(__xludf.DUMMYFUNCTION("""COMPUTED_VALUE"""),"ул.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f>
        <v>ул. Циолковского, вл. 3 район Покровское-Стрешнево, ул. Циолковского, вл. 3 (со сносом нежилых зданий по адресам: г. Москва, район Покровское-Стрешнево, улица Циолковского, д. 3 стр. 1, д. 3 стр. 2, д. 3 стр. 3)</v>
      </c>
      <c r="F947" s="25" t="str">
        <f>IFERROR(__xludf.DUMMYFUNCTION("""COMPUTED_VALUE"""),"55.828250")</f>
        <v>55.828250</v>
      </c>
      <c r="G947" s="6" t="str">
        <f>IFERROR(__xludf.DUMMYFUNCTION("""COMPUTED_VALUE"""),"37.450018")</f>
        <v>37.450018</v>
      </c>
      <c r="H947" s="18" t="str">
        <f>IFERROR(__xludf.DUMMYFUNCTION("""COMPUTED_VALUE"""),"https://docs.google.com/spreadsheets/d/1rbCD10ySi4YZEkJW2_Slmn9z7AI1WEsGsZaIJmnnT18/edit?gid=24415394#gid=24415394")</f>
        <v>https://docs.google.com/spreadsheets/d/1rbCD10ySi4YZEkJW2_Slmn9z7AI1WEsGsZaIJmnnT18/edit?gid=24415394#gid=24415394</v>
      </c>
      <c r="I947" s="19" t="str">
        <f>IFERROR(__xludf.DUMMYFUNCTION("""COMPUTED_VALUE"""),"https://disk.yandex.ru/client/disk/Осмотры%20объектов%20АНО%20СМГ/731.%20ул.%20Циолковского%2C%20вл.%203")</f>
        <v>https://disk.yandex.ru/client/disk/Осмотры%20объектов%20АНО%20СМГ/731.%20ул.%20Циолковского%2C%20вл.%203</v>
      </c>
      <c r="J947" s="50">
        <f>IFERROR(__xludf.DUMMYFUNCTION("""COMPUTED_VALUE"""),1.3499999999999999)</f>
        <v>1.35</v>
      </c>
      <c r="K947" s="58">
        <f>IFERROR(__xludf.DUMMYFUNCTION("""COMPUTED_VALUE"""),45954.0)</f>
        <v>45954</v>
      </c>
      <c r="L947" s="6">
        <v>30.0</v>
      </c>
      <c r="M947" s="52">
        <v>45984.0</v>
      </c>
      <c r="N947" s="53" t="s">
        <v>741</v>
      </c>
      <c r="O947" s="19" t="s">
        <v>1191</v>
      </c>
      <c r="P947" s="6"/>
      <c r="Q947" s="6" t="str">
        <f t="shared" si="1"/>
        <v>#N/A</v>
      </c>
      <c r="R947" s="6"/>
    </row>
    <row r="948" hidden="1">
      <c r="A948" s="31" t="str">
        <f>IFERROR(__xludf.DUMMYFUNCTION("""COMPUTED_VALUE"""),"688")</f>
        <v>688</v>
      </c>
      <c r="B948" s="14" t="str">
        <f>IFERROR(__xludf.DUMMYFUNCTION("""COMPUTED_VALUE"""),"РЕН-26")</f>
        <v>РЕН-26</v>
      </c>
      <c r="C948" s="14" t="str">
        <f>IFERROR(__xludf.DUMMYFUNCTION("""COMPUTED_VALUE"""),"ОКС")</f>
        <v>ОКС</v>
      </c>
      <c r="D948" s="6"/>
      <c r="E948" s="14" t="str">
        <f>IFERROR(__xludf.DUMMYFUNCTION("""COMPUTED_VALUE"""),"Рязанский просп., з/у 6А (Рязанский пр-т, вл. 6А) ЮВАО, район Рязанский, Рязанский проспект, земельный участок 6А (Рязанский пр-т, вл.6А)")</f>
        <v>Рязанский просп., з/у 6А (Рязанский пр-т, вл. 6А) ЮВАО, район Рязанский, Рязанский проспект, земельный участок 6А (Рязанский пр-т, вл.6А)</v>
      </c>
      <c r="F948" s="25" t="str">
        <f>IFERROR(__xludf.DUMMYFUNCTION("""COMPUTED_VALUE"""),"55.723657")</f>
        <v>55.723657</v>
      </c>
      <c r="G948" s="6" t="str">
        <f>IFERROR(__xludf.DUMMYFUNCTION("""COMPUTED_VALUE"""),"37.742319")</f>
        <v>37.742319</v>
      </c>
      <c r="H948" s="18" t="str">
        <f>IFERROR(__xludf.DUMMYFUNCTION("""COMPUTED_VALUE"""),"https://docs.google.com/spreadsheets/d/1rbCD10ySi4YZEkJW2_Slmn9z7AI1WEsGsZaIJmnnT18/edit?gid=1617286788#gid=1617286788")</f>
        <v>https://docs.google.com/spreadsheets/d/1rbCD10ySi4YZEkJW2_Slmn9z7AI1WEsGsZaIJmnnT18/edit?gid=1617286788#gid=1617286788</v>
      </c>
      <c r="I948" s="19" t="str">
        <f>IFERROR(__xludf.DUMMYFUNCTION("""COMPUTED_VALUE"""),"https://disk.yandex.ru/client/disk/Осмотры%20объектов%20АНО%20СМГ/688.%20ЮВАО%2C%20район%20Рязанский%2C%20Рязанский%20проспект%2C%20земельный%20участок%206А%20(Рязанский%20пр-т%2C%20вл.6А)")</f>
        <v>https://disk.yandex.ru/client/disk/Осмотры%20объектов%20АНО%20СМГ/688.%20ЮВАО%2C%20район%20Рязанский%2C%20Рязанский%20проспект%2C%20земельный%20участок%206А%20(Рязанский%20пр-т%2C%20вл.6А)</v>
      </c>
      <c r="J948" s="50">
        <f>IFERROR(__xludf.DUMMYFUNCTION("""COMPUTED_VALUE"""),29.24544)</f>
        <v>29.24544</v>
      </c>
      <c r="K948" s="58">
        <f>IFERROR(__xludf.DUMMYFUNCTION("""COMPUTED_VALUE"""),45975.0)</f>
        <v>45975</v>
      </c>
      <c r="L948" s="6">
        <v>30.0</v>
      </c>
      <c r="M948" s="52">
        <v>46005.0</v>
      </c>
      <c r="N948" s="53" t="s">
        <v>711</v>
      </c>
      <c r="O948" s="19" t="s">
        <v>669</v>
      </c>
      <c r="P948" s="6"/>
      <c r="Q948" s="6" t="str">
        <f t="shared" si="1"/>
        <v>#N/A</v>
      </c>
      <c r="R948" s="6"/>
    </row>
    <row r="949" hidden="1">
      <c r="A949" s="31" t="str">
        <f>IFERROR(__xludf.DUMMYFUNCTION("""COMPUTED_VALUE"""),"992")</f>
        <v>992</v>
      </c>
      <c r="B949" s="14" t="str">
        <f>IFERROR(__xludf.DUMMYFUNCTION("""COMPUTED_VALUE"""),"РЕН-26")</f>
        <v>РЕН-26</v>
      </c>
      <c r="C949" s="14" t="str">
        <f>IFERROR(__xludf.DUMMYFUNCTION("""COMPUTED_VALUE"""),"ОКС")</f>
        <v>ОКС</v>
      </c>
      <c r="D949" s="6"/>
      <c r="E949" s="14" t="str">
        <f>IFERROR(__xludf.DUMMYFUNCTION("""COMPUTED_VALUE"""),"ул. Лётчика Бабушкина, з/у 35А (Зоны 4.3, 4.5) ул. Лётчика Бабушкина, з/у 35А (Зоны 4.3, 4.5)")</f>
        <v>ул. Лётчика Бабушкина, з/у 35А (Зоны 4.3, 4.5) ул. Лётчика Бабушкина, з/у 35А (Зоны 4.3, 4.5)</v>
      </c>
      <c r="F949" s="25" t="str">
        <f>IFERROR(__xludf.DUMMYFUNCTION("""COMPUTED_VALUE"""),"55.872506")</f>
        <v>55.872506</v>
      </c>
      <c r="G949" s="6" t="str">
        <f>IFERROR(__xludf.DUMMYFUNCTION("""COMPUTED_VALUE"""),"37.675542")</f>
        <v>37.675542</v>
      </c>
      <c r="H949" s="18" t="str">
        <f>IFERROR(__xludf.DUMMYFUNCTION("""COMPUTED_VALUE"""),"https://docs.google.com/spreadsheets/d/1rbCD10ySi4YZEkJW2_Slmn9z7AI1WEsGsZaIJmnnT18/edit?gid=1885071932#gid=1885071932")</f>
        <v>https://docs.google.com/spreadsheets/d/1rbCD10ySi4YZEkJW2_Slmn9z7AI1WEsGsZaIJmnnT18/edit?gid=1885071932#gid=1885071932</v>
      </c>
      <c r="I949" s="19" t="str">
        <f>IFERROR(__xludf.DUMMYFUNCTION("""COMPUTED_VALUE"""),"https://disk.yandex.ru/client/disk/Осмотры%20объектов%20АНО%20СМГ/992.%20Лётчика%20Бабушкина%2C%20зу%2035А%20(Зоны%204.3%2C%204.5)")</f>
        <v>https://disk.yandex.ru/client/disk/Осмотры%20объектов%20АНО%20СМГ/992.%20Лётчика%20Бабушкина%2C%20зу%2035А%20(Зоны%204.3%2C%204.5)</v>
      </c>
      <c r="J949" s="50">
        <f>IFERROR(__xludf.DUMMYFUNCTION("""COMPUTED_VALUE"""),0.0)</f>
        <v>0</v>
      </c>
      <c r="K949" s="58">
        <f>IFERROR(__xludf.DUMMYFUNCTION("""COMPUTED_VALUE"""),45961.0)</f>
        <v>45961</v>
      </c>
      <c r="L949" s="6">
        <v>30.0</v>
      </c>
      <c r="M949" s="52">
        <v>45991.0</v>
      </c>
      <c r="N949" s="53" t="s">
        <v>692</v>
      </c>
      <c r="O949" s="19" t="s">
        <v>669</v>
      </c>
      <c r="P949" s="6"/>
      <c r="Q949" s="6" t="str">
        <f t="shared" si="1"/>
        <v>#N/A</v>
      </c>
      <c r="R949" s="6"/>
    </row>
    <row r="950" hidden="1">
      <c r="A950" s="31" t="str">
        <f>IFERROR(__xludf.DUMMYFUNCTION("""COMPUTED_VALUE"""),"675")</f>
        <v>675</v>
      </c>
      <c r="B950" s="14" t="str">
        <f>IFERROR(__xludf.DUMMYFUNCTION("""COMPUTED_VALUE"""),"РЕН-26")</f>
        <v>РЕН-26</v>
      </c>
      <c r="C950" s="14" t="str">
        <f>IFERROR(__xludf.DUMMYFUNCTION("""COMPUTED_VALUE"""),"ОКС")</f>
        <v>ОКС</v>
      </c>
      <c r="D950" s="6"/>
      <c r="E950" s="14" t="str">
        <f>IFERROR(__xludf.DUMMYFUNCTION("""COMPUTED_VALUE"""),"ул. Байкальская, з/у 28/3 (ул. Байкалькая, влд.28) ВАО, район Гольяново, ул. Байкальская, з/у. 28/3, мкр. 3, 4, 5, зона 8.1 (со сносом зданий по адресу: ул. Байкальская, д. 28, к. 3)")</f>
        <v>ул. Байкальская, з/у 28/3 (ул. Байкалькая, влд.28) ВАО, район Гольяново, ул. Байкальская, з/у. 28/3, мкр. 3, 4, 5, зона 8.1 (со сносом зданий по адресу: ул. Байкальская, д. 28, к. 3)</v>
      </c>
      <c r="F950" s="25" t="str">
        <f>IFERROR(__xludf.DUMMYFUNCTION("""COMPUTED_VALUE"""),"55.814913")</f>
        <v>55.814913</v>
      </c>
      <c r="G950" s="6" t="str">
        <f>IFERROR(__xludf.DUMMYFUNCTION("""COMPUTED_VALUE"""),"37.802368")</f>
        <v>37.802368</v>
      </c>
      <c r="H950" s="18" t="str">
        <f>IFERROR(__xludf.DUMMYFUNCTION("""COMPUTED_VALUE"""),"https://docs.google.com/spreadsheets/d/1rbCD10ySi4YZEkJW2_Slmn9z7AI1WEsGsZaIJmnnT18/edit?gid=1349297378#gid=1349297378")</f>
        <v>https://docs.google.com/spreadsheets/d/1rbCD10ySi4YZEkJW2_Slmn9z7AI1WEsGsZaIJmnnT18/edit?gid=1349297378#gid=1349297378</v>
      </c>
      <c r="I950" s="19" t="str">
        <f>IFERROR(__xludf.DUMMYFUNCTION("""COMPUTED_VALUE"""),"https://disk.yandex.ru/client/disk/Осмотры%20объектов%20АНО%20СМГ/675%20Гольяново%2C%20ул%20Байкальская%20зу%2028.3%20мкрн%203%2C4%2C5%20зона%208.1%20со%20сносом%20здания")</f>
        <v>https://disk.yandex.ru/client/disk/Осмотры%20объектов%20АНО%20СМГ/675%20Гольяново%2C%20ул%20Байкальская%20зу%2028.3%20мкрн%203%2C4%2C5%20зона%208.1%20со%20сносом%20здания</v>
      </c>
      <c r="J950" s="50">
        <f>IFERROR(__xludf.DUMMYFUNCTION("""COMPUTED_VALUE"""),19.26684)</f>
        <v>19.26684</v>
      </c>
      <c r="K950" s="58">
        <f>IFERROR(__xludf.DUMMYFUNCTION("""COMPUTED_VALUE"""),45960.0)</f>
        <v>45960</v>
      </c>
      <c r="L950" s="6">
        <v>30.0</v>
      </c>
      <c r="M950" s="52">
        <v>45990.0</v>
      </c>
      <c r="N950" s="53" t="s">
        <v>692</v>
      </c>
      <c r="O950" s="19" t="s">
        <v>669</v>
      </c>
      <c r="P950" s="6"/>
      <c r="Q950" s="6" t="str">
        <f t="shared" si="1"/>
        <v>#N/A</v>
      </c>
      <c r="R950" s="6"/>
    </row>
    <row r="951" hidden="1">
      <c r="A951" s="31" t="str">
        <f>IFERROR(__xludf.DUMMYFUNCTION("""COMPUTED_VALUE"""),"664")</f>
        <v>664</v>
      </c>
      <c r="B951" s="14" t="str">
        <f>IFERROR(__xludf.DUMMYFUNCTION("""COMPUTED_VALUE"""),"РЕН-26")</f>
        <v>РЕН-26</v>
      </c>
      <c r="C951" s="14" t="str">
        <f>IFERROR(__xludf.DUMMYFUNCTION("""COMPUTED_VALUE"""),"ОКС")</f>
        <v>ОКС</v>
      </c>
      <c r="D951" s="6"/>
      <c r="E951" s="14" t="str">
        <f>IFERROR(__xludf.DUMMYFUNCTION("""COMPUTED_VALUE"""),"поселок Щапово, земельный участок 60 (пос. Щапово, вблизи д 57 и 59) ТАО, поселение Щапово, пос. Щапово, з/у 60 (пос. Щапово, вблизи д. 57 и 59)")</f>
        <v>поселок Щапово, земельный участок 60 (пос. Щапово, вблизи д 57 и 59) ТАО, поселение Щапово, пос. Щапово, з/у 60 (пос. Щапово, вблизи д. 57 и 59)</v>
      </c>
      <c r="F951" s="25" t="str">
        <f>IFERROR(__xludf.DUMMYFUNCTION("""COMPUTED_VALUE"""),"55.420283")</f>
        <v>55.420283</v>
      </c>
      <c r="G951" s="6" t="str">
        <f>IFERROR(__xludf.DUMMYFUNCTION("""COMPUTED_VALUE"""),"37.413182")</f>
        <v>37.413182</v>
      </c>
      <c r="H951" s="18" t="str">
        <f>IFERROR(__xludf.DUMMYFUNCTION("""COMPUTED_VALUE"""),"https://docs.google.com/spreadsheets/d/1rbCD10ySi4YZEkJW2_Slmn9z7AI1WEsGsZaIJmnnT18/edit?gid=521259843#gid=521259843")</f>
        <v>https://docs.google.com/spreadsheets/d/1rbCD10ySi4YZEkJW2_Slmn9z7AI1WEsGsZaIJmnnT18/edit?gid=521259843#gid=521259843</v>
      </c>
      <c r="I951" s="19" t="str">
        <f>IFERROR(__xludf.DUMMYFUNCTION("""COMPUTED_VALUE"""),"https://disk.yandex.ru/client/disk/Осмотры%20объектов%20АНО%20СМГ/664.%20Щапово%20пос.%2C%20з!у%2060%20(вблизи%20д.%2057%20и%20д.%2059)")</f>
        <v>https://disk.yandex.ru/client/disk/Осмотры%20объектов%20АНО%20СМГ/664.%20Щапово%20пос.%2C%20з!у%2060%20(вблизи%20д.%2057%20и%20д.%2059)</v>
      </c>
      <c r="J951" s="50">
        <f>IFERROR(__xludf.DUMMYFUNCTION("""COMPUTED_VALUE"""),0.8999999999999999)</f>
        <v>0.9</v>
      </c>
      <c r="K951" s="58">
        <f>IFERROR(__xludf.DUMMYFUNCTION("""COMPUTED_VALUE"""),45961.0)</f>
        <v>45961</v>
      </c>
      <c r="L951" s="6">
        <v>30.0</v>
      </c>
      <c r="M951" s="52">
        <v>45991.0</v>
      </c>
      <c r="N951" s="53" t="s">
        <v>692</v>
      </c>
      <c r="O951" s="19" t="s">
        <v>669</v>
      </c>
      <c r="P951" s="6"/>
      <c r="Q951" s="6" t="str">
        <f t="shared" si="1"/>
        <v>#N/A</v>
      </c>
      <c r="R951" s="6"/>
    </row>
    <row r="952">
      <c r="A952" s="31" t="str">
        <f>IFERROR(__xludf.DUMMYFUNCTION("""COMPUTED_VALUE"""),"806")</f>
        <v>806</v>
      </c>
      <c r="B952" s="14" t="str">
        <f>IFERROR(__xludf.DUMMYFUNCTION("""COMPUTED_VALUE"""),"РЕН-26")</f>
        <v>РЕН-26</v>
      </c>
      <c r="C952" s="14" t="str">
        <f>IFERROR(__xludf.DUMMYFUNCTION("""COMPUTED_VALUE"""),"ОКС")</f>
        <v>ОКС</v>
      </c>
      <c r="D952" s="6"/>
      <c r="E952" s="14" t="str">
        <f>IFERROR(__xludf.DUMMYFUNCTION("""COMPUTED_VALUE"""),"Нижегородская ул., з/у 92А (зона №2.3) ЮВАО	Нижегородская ул., з/у 92А (зона № 2.3)")</f>
        <v>Нижегородская ул., з/у 92А (зона №2.3) ЮВАО	Нижегородская ул., з/у 92А (зона № 2.3)</v>
      </c>
      <c r="F952" s="25" t="str">
        <f>IFERROR(__xludf.DUMMYFUNCTION("""COMPUTED_VALUE"""),"55.730676")</f>
        <v>55.730676</v>
      </c>
      <c r="G952" s="6" t="str">
        <f>IFERROR(__xludf.DUMMYFUNCTION("""COMPUTED_VALUE"""),"37.721182")</f>
        <v>37.721182</v>
      </c>
      <c r="H952" s="18" t="str">
        <f>IFERROR(__xludf.DUMMYFUNCTION("""COMPUTED_VALUE"""),"https://docs.google.com/spreadsheets/d/1rbCD10ySi4YZEkJW2_Slmn9z7AI1WEsGsZaIJmnnT18/edit?gid=1611612481#gid=1611612481")</f>
        <v>https://docs.google.com/spreadsheets/d/1rbCD10ySi4YZEkJW2_Slmn9z7AI1WEsGsZaIJmnnT18/edit?gid=1611612481#gid=1611612481</v>
      </c>
      <c r="I952" s="19" t="str">
        <f>IFERROR(__xludf.DUMMYFUNCTION("""COMPUTED_VALUE"""),"https://disk.yandex.ru/client/disk/Осмотры%20объектов%20АНО%20СМГ/806.%20Нижегородская%20ул.%2C%20з-у%2092А%2C%20зона%202.3")</f>
        <v>https://disk.yandex.ru/client/disk/Осмотры%20объектов%20АНО%20СМГ/806.%20Нижегородская%20ул.%2C%20з-у%2092А%2C%20зона%202.3</v>
      </c>
      <c r="J952" s="50">
        <f>IFERROR(__xludf.DUMMYFUNCTION("""COMPUTED_VALUE"""),0.0)</f>
        <v>0</v>
      </c>
      <c r="K952" s="58">
        <f>IFERROR(__xludf.DUMMYFUNCTION("""COMPUTED_VALUE"""),45973.0)</f>
        <v>45973</v>
      </c>
      <c r="L952" s="6">
        <v>30.0</v>
      </c>
      <c r="M952" s="52">
        <v>46003.0</v>
      </c>
      <c r="N952" s="53" t="s">
        <v>711</v>
      </c>
      <c r="O952" s="19" t="s">
        <v>669</v>
      </c>
      <c r="P952" s="6"/>
      <c r="Q952" s="6" t="str">
        <f t="shared" si="1"/>
        <v>806</v>
      </c>
      <c r="R952" s="6"/>
    </row>
    <row r="953" hidden="1">
      <c r="A953" s="31" t="str">
        <f>IFERROR(__xludf.DUMMYFUNCTION("""COMPUTED_VALUE"""),"729")</f>
        <v>729</v>
      </c>
      <c r="B953" s="14" t="str">
        <f>IFERROR(__xludf.DUMMYFUNCTION("""COMPUTED_VALUE"""),"РЕН-26")</f>
        <v>РЕН-26</v>
      </c>
      <c r="C953" s="14" t="str">
        <f>IFERROR(__xludf.DUMMYFUNCTION("""COMPUTED_VALUE"""),"ОКС")</f>
        <v>ОКС</v>
      </c>
      <c r="D953" s="6"/>
      <c r="E953" s="14" t="str">
        <f>IFERROR(__xludf.DUMMYFUNCTION("""COMPUTED_VALUE"""),"ул.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Ря"&amp;"занский проспект д. 91, корп. 4)")</f>
        <v>ул. Хлобыстова, земельныйучасток 16/2/1 (Зоны 1.1, 1.2, 1.3) ЮВАО, мкр. 128 Б-В, район Выхино-Жулебино зона 1.1, 1.2, 1.3 Хлобыстова ул., зу 16/2/1 (со сносом жилых домов по адресам: Рязанский проспект д. 95, корп. 3; Рязанский проспект д. 95, корп. 4, Рязанский проспект д. 91, корп. 4)</v>
      </c>
      <c r="F953" s="25" t="str">
        <f>IFERROR(__xludf.DUMMYFUNCTION("""COMPUTED_VALUE"""),"55.716129")</f>
        <v>55.716129</v>
      </c>
      <c r="G953" s="6" t="str">
        <f>IFERROR(__xludf.DUMMYFUNCTION("""COMPUTED_VALUE"""),"37.807696")</f>
        <v>37.807696</v>
      </c>
      <c r="H953" s="18" t="str">
        <f>IFERROR(__xludf.DUMMYFUNCTION("""COMPUTED_VALUE"""),"https://docs.google.com/spreadsheets/d/1rbCD10ySi4YZEkJW2_Slmn9z7AI1WEsGsZaIJmnnT18/edit?gid=1910790925#gid=1910790925")</f>
        <v>https://docs.google.com/spreadsheets/d/1rbCD10ySi4YZEkJW2_Slmn9z7AI1WEsGsZaIJmnnT18/edit?gid=1910790925#gid=1910790925</v>
      </c>
      <c r="I953" s="19" t="str">
        <f>IFERROR(__xludf.DUMMYFUNCTION("""COMPUTED_VALUE"""),"https://disk.yandex.ru/client/disk/Осмотры%20объектов%20АНО%20СМГ/729%20ЮВАО%2C%20мкр.%20128%20Б-В%2C%20район%20Выхино-Жулебино%20зона%201.1%2C%201.2%2C%201.3%20Хлобыстова%20ул.%2C%20зу%2016.2.1")</f>
        <v>https://disk.yandex.ru/client/disk/Осмотры%20объектов%20АНО%20СМГ/729%20ЮВАО%2C%20мкр.%20128%20Б-В%2C%20район%20Выхино-Жулебино%20зона%201.1%2C%201.2%2C%201.3%20Хлобыстова%20ул.%2C%20зу%2016.2.1</v>
      </c>
      <c r="J953" s="50">
        <f>IFERROR(__xludf.DUMMYFUNCTION("""COMPUTED_VALUE"""),14.837625)</f>
        <v>14.837625</v>
      </c>
      <c r="K953" s="58">
        <f>IFERROR(__xludf.DUMMYFUNCTION("""COMPUTED_VALUE"""),45967.0)</f>
        <v>45967</v>
      </c>
      <c r="L953" s="6">
        <v>30.0</v>
      </c>
      <c r="M953" s="52">
        <v>45997.0</v>
      </c>
      <c r="N953" s="53" t="s">
        <v>711</v>
      </c>
      <c r="O953" s="19" t="s">
        <v>669</v>
      </c>
      <c r="P953" s="6"/>
      <c r="Q953" s="6" t="str">
        <f t="shared" si="1"/>
        <v>#N/A</v>
      </c>
      <c r="R953" s="6"/>
    </row>
    <row r="954" hidden="1">
      <c r="A954" s="31" t="str">
        <f>IFERROR(__xludf.DUMMYFUNCTION("""COMPUTED_VALUE"""),"690")</f>
        <v>690</v>
      </c>
      <c r="B954" s="14" t="str">
        <f>IFERROR(__xludf.DUMMYFUNCTION("""COMPUTED_VALUE"""),"РЕН-26")</f>
        <v>РЕН-26</v>
      </c>
      <c r="C954" s="14" t="str">
        <f>IFERROR(__xludf.DUMMYFUNCTION("""COMPUTED_VALUE"""),"ОКС")</f>
        <v>ОКС</v>
      </c>
      <c r="D954" s="6"/>
      <c r="E954" s="14" t="str">
        <f>IFERROR(__xludf.DUMMYFUNCTION("""COMPUTED_VALUE"""),"Ломоносовский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f>
        <v>Ломоносовский район, микрорайон 15, номер зоны 1.2 ЮЗАО, район Ломоносовский, ул. Вавилова ул., 76, микрорайон 15, зона 1.2, (со сносом жилых зданий по адресам: ул. Вавилова, д.76; ул. Панферова, д.16 корп.2)</v>
      </c>
      <c r="F954" s="25" t="str">
        <f>IFERROR(__xludf.DUMMYFUNCTION("""COMPUTED_VALUE"""),"55.680083")</f>
        <v>55.680083</v>
      </c>
      <c r="G954" s="6" t="str">
        <f>IFERROR(__xludf.DUMMYFUNCTION("""COMPUTED_VALUE"""),"37.544428")</f>
        <v>37.544428</v>
      </c>
      <c r="H954" s="18" t="str">
        <f>IFERROR(__xludf.DUMMYFUNCTION("""COMPUTED_VALUE"""),"https://docs.google.com/spreadsheets/d/1rbCD10ySi4YZEkJW2_Slmn9z7AI1WEsGsZaIJmnnT18/edit?gid=1573037531#gid=1573037531")</f>
        <v>https://docs.google.com/spreadsheets/d/1rbCD10ySi4YZEkJW2_Slmn9z7AI1WEsGsZaIJmnnT18/edit?gid=1573037531#gid=1573037531</v>
      </c>
      <c r="I954" s="19" t="str">
        <f>IFERROR(__xludf.DUMMYFUNCTION("""COMPUTED_VALUE"""),"https://disk.yandex.ru/client/disk/Осмотры%20объектов%20АНО%20СМГ/690.%20район%20Ломоносовский%2C%20ул.%20Вавилова%20ул.%2C%2076%2C%20микрорайон%2015%2C%20зона%201.2%2C")</f>
        <v>https://disk.yandex.ru/client/disk/Осмотры%20объектов%20АНО%20СМГ/690.%20район%20Ломоносовский%2C%20ул.%20Вавилова%20ул.%2C%2076%2C%20микрорайон%2015%2C%20зона%201.2%2C</v>
      </c>
      <c r="J954" s="50">
        <f>IFERROR(__xludf.DUMMYFUNCTION("""COMPUTED_VALUE"""),1.26)</f>
        <v>1.26</v>
      </c>
      <c r="K954" s="58">
        <f>IFERROR(__xludf.DUMMYFUNCTION("""COMPUTED_VALUE"""),45960.0)</f>
        <v>45960</v>
      </c>
      <c r="L954" s="6">
        <v>30.0</v>
      </c>
      <c r="M954" s="52">
        <v>45990.0</v>
      </c>
      <c r="N954" s="53" t="s">
        <v>692</v>
      </c>
      <c r="O954" s="19" t="s">
        <v>1192</v>
      </c>
      <c r="P954" s="6"/>
      <c r="Q954" s="6" t="str">
        <f t="shared" si="1"/>
        <v>#N/A</v>
      </c>
      <c r="R954" s="6"/>
    </row>
    <row r="955" hidden="1">
      <c r="A955" s="31" t="str">
        <f>IFERROR(__xludf.DUMMYFUNCTION("""COMPUTED_VALUE"""),"977")</f>
        <v>977</v>
      </c>
      <c r="B955" s="14" t="str">
        <f>IFERROR(__xludf.DUMMYFUNCTION("""COMPUTED_VALUE"""),"РЕН-26")</f>
        <v>РЕН-26</v>
      </c>
      <c r="C955" s="14" t="str">
        <f>IFERROR(__xludf.DUMMYFUNCTION("""COMPUTED_VALUE"""),"ОКС")</f>
        <v>ОКС</v>
      </c>
      <c r="D955" s="6"/>
      <c r="E955" s="14" t="str">
        <f>IFERROR(__xludf.DUMMYFUNCTION("""COMPUTED_VALUE"""),"Дежнева пр-д, вл. 24 Дежнева пр-д, вл. 24")</f>
        <v>Дежнева пр-д, вл. 24 Дежнева пр-д, вл. 24</v>
      </c>
      <c r="F955" s="25" t="str">
        <f>IFERROR(__xludf.DUMMYFUNCTION("""COMPUTED_VALUE"""),"55.871173")</f>
        <v>55.871173</v>
      </c>
      <c r="G955" s="6" t="str">
        <f>IFERROR(__xludf.DUMMYFUNCTION("""COMPUTED_VALUE"""),"37.635449")</f>
        <v>37.635449</v>
      </c>
      <c r="H955" s="18" t="str">
        <f>IFERROR(__xludf.DUMMYFUNCTION("""COMPUTED_VALUE"""),"https://docs.google.com/spreadsheets/d/1rbCD10ySi4YZEkJW2_Slmn9z7AI1WEsGsZaIJmnnT18/edit?gid=1863257249#gid=1863257249")</f>
        <v>https://docs.google.com/spreadsheets/d/1rbCD10ySi4YZEkJW2_Slmn9z7AI1WEsGsZaIJmnnT18/edit?gid=1863257249#gid=1863257249</v>
      </c>
      <c r="I955" s="19" t="str">
        <f>IFERROR(__xludf.DUMMYFUNCTION("""COMPUTED_VALUE"""),"https://disk.yandex.ru/client/disk/Осмотры%20объектов%20АНО%20СМГ/977.%20Дежнева%20пр-д%2C%20вл.%2024")</f>
        <v>https://disk.yandex.ru/client/disk/Осмотры%20объектов%20АНО%20СМГ/977.%20Дежнева%20пр-д%2C%20вл.%2024</v>
      </c>
      <c r="J955" s="50">
        <f>IFERROR(__xludf.DUMMYFUNCTION("""COMPUTED_VALUE"""),0.0)</f>
        <v>0</v>
      </c>
      <c r="K955" s="58">
        <f>IFERROR(__xludf.DUMMYFUNCTION("""COMPUTED_VALUE"""),45961.0)</f>
        <v>45961</v>
      </c>
      <c r="L955" s="6">
        <v>30.0</v>
      </c>
      <c r="M955" s="52">
        <v>45991.0</v>
      </c>
      <c r="N955" s="53" t="s">
        <v>692</v>
      </c>
      <c r="O955" s="19" t="s">
        <v>1193</v>
      </c>
      <c r="P955" s="6"/>
      <c r="Q955" s="6" t="str">
        <f t="shared" si="1"/>
        <v>#N/A</v>
      </c>
      <c r="R955" s="6"/>
    </row>
    <row r="956" hidden="1">
      <c r="A956" s="31" t="str">
        <f>IFERROR(__xludf.DUMMYFUNCTION("""COMPUTED_VALUE"""),"978")</f>
        <v>978</v>
      </c>
      <c r="B956" s="14" t="str">
        <f>IFERROR(__xludf.DUMMYFUNCTION("""COMPUTED_VALUE"""),"РЕН-26")</f>
        <v>РЕН-26</v>
      </c>
      <c r="C956" s="14" t="str">
        <f>IFERROR(__xludf.DUMMYFUNCTION("""COMPUTED_VALUE"""),"ОКС")</f>
        <v>ОКС</v>
      </c>
      <c r="D956" s="6"/>
      <c r="E956" s="14" t="str">
        <f>IFERROR(__xludf.DUMMYFUNCTION("""COMPUTED_VALUE"""),"пр-д Дежнева, з/у 20 (Дежнева пр-д, вл. 20) пр-д Дежнева, з/у 20 (Дежнева пр-д, вл. 20)			")</f>
        <v>пр-д Дежнева, з/у 20 (Дежнева пр-д, вл. 20) пр-д Дежнева, з/у 20 (Дежнева пр-д, вл. 20)			</v>
      </c>
      <c r="F956" s="25" t="str">
        <f>IFERROR(__xludf.DUMMYFUNCTION("""COMPUTED_VALUE"""),"55.871309")</f>
        <v>55.871309</v>
      </c>
      <c r="G956" s="6" t="str">
        <f>IFERROR(__xludf.DUMMYFUNCTION("""COMPUTED_VALUE"""),"37.636940")</f>
        <v>37.636940</v>
      </c>
      <c r="H956" s="18" t="str">
        <f>IFERROR(__xludf.DUMMYFUNCTION("""COMPUTED_VALUE"""),"https://docs.google.com/spreadsheets/d/1rbCD10ySi4YZEkJW2_Slmn9z7AI1WEsGsZaIJmnnT18/edit?gid=231842022#gid=231842022")</f>
        <v>https://docs.google.com/spreadsheets/d/1rbCD10ySi4YZEkJW2_Slmn9z7AI1WEsGsZaIJmnnT18/edit?gid=231842022#gid=231842022</v>
      </c>
      <c r="I956" s="19" t="str">
        <f>IFERROR(__xludf.DUMMYFUNCTION("""COMPUTED_VALUE"""),"https://disk.yandex.ru/client/disk/Осмотры%20объектов%20АНО%20СМГ/978.%20пр-д%20Дежнева%2C%20з.у.%2020%20(Дежнева%20пр-д%2C%20вл.%2020)")</f>
        <v>https://disk.yandex.ru/client/disk/Осмотры%20объектов%20АНО%20СМГ/978.%20пр-д%20Дежнева%2C%20з.у.%2020%20(Дежнева%20пр-д%2C%20вл.%2020)</v>
      </c>
      <c r="J956" s="50">
        <f>IFERROR(__xludf.DUMMYFUNCTION("""COMPUTED_VALUE"""),0.0)</f>
        <v>0</v>
      </c>
      <c r="K956" s="58">
        <f>IFERROR(__xludf.DUMMYFUNCTION("""COMPUTED_VALUE"""),45961.0)</f>
        <v>45961</v>
      </c>
      <c r="L956" s="6">
        <v>30.0</v>
      </c>
      <c r="M956" s="52">
        <v>45991.0</v>
      </c>
      <c r="N956" s="53" t="s">
        <v>692</v>
      </c>
      <c r="O956" s="19" t="s">
        <v>1193</v>
      </c>
      <c r="P956" s="6"/>
      <c r="Q956" s="6" t="str">
        <f t="shared" si="1"/>
        <v>#N/A</v>
      </c>
      <c r="R956" s="6"/>
    </row>
    <row r="957" hidden="1">
      <c r="A957" s="31" t="str">
        <f>IFERROR(__xludf.DUMMYFUNCTION("""COMPUTED_VALUE"""),"964")</f>
        <v>964</v>
      </c>
      <c r="B957" s="14" t="str">
        <f>IFERROR(__xludf.DUMMYFUNCTION("""COMPUTED_VALUE"""),"РЕН-26")</f>
        <v>РЕН-26</v>
      </c>
      <c r="C957" s="14" t="str">
        <f>IFERROR(__xludf.DUMMYFUNCTION("""COMPUTED_VALUE"""),"ОКС")</f>
        <v>ОКС</v>
      </c>
      <c r="D957" s="6"/>
      <c r="E957" s="14" t="str">
        <f>IFERROR(__xludf.DUMMYFUNCTION("""COMPUTED_VALUE"""),"Каширское ш., з/у 9/2 (Каширское ш., вл.9, к.2.) Каширское ш., з/у 9/2 (Каширское ш., вл. 9, к.2)")</f>
        <v>Каширское ш., з/у 9/2 (Каширское ш., вл.9, к.2.) Каширское ш., з/у 9/2 (Каширское ш., вл. 9, к.2)</v>
      </c>
      <c r="F957" s="25" t="str">
        <f>IFERROR(__xludf.DUMMYFUNCTION("""COMPUTED_VALUE"""),"55.668222")</f>
        <v>55.668222</v>
      </c>
      <c r="G957" s="6" t="str">
        <f>IFERROR(__xludf.DUMMYFUNCTION("""COMPUTED_VALUE"""),"37.631081")</f>
        <v>37.631081</v>
      </c>
      <c r="H957" s="18" t="str">
        <f>IFERROR(__xludf.DUMMYFUNCTION("""COMPUTED_VALUE"""),"https://docs.google.com/spreadsheets/d/1rbCD10ySi4YZEkJW2_Slmn9z7AI1WEsGsZaIJmnnT18/edit?gid=601045685#gid=601045685")</f>
        <v>https://docs.google.com/spreadsheets/d/1rbCD10ySi4YZEkJW2_Slmn9z7AI1WEsGsZaIJmnnT18/edit?gid=601045685#gid=601045685</v>
      </c>
      <c r="I957" s="19" t="str">
        <f>IFERROR(__xludf.DUMMYFUNCTION("""COMPUTED_VALUE"""),"https://disk.yandex.ru/client/disk/Осмотры%20объектов%20АНО%20СМГ/964.%20Каширское%20ш.%2C%20вл.%209%2C%20Корп.%202.%20Жилой%20дом")</f>
        <v>https://disk.yandex.ru/client/disk/Осмотры%20объектов%20АНО%20СМГ/964.%20Каширское%20ш.%2C%20вл.%209%2C%20Корп.%202.%20Жилой%20дом</v>
      </c>
      <c r="J957" s="50">
        <f>IFERROR(__xludf.DUMMYFUNCTION("""COMPUTED_VALUE"""),0.0)</f>
        <v>0</v>
      </c>
      <c r="K957" s="58">
        <f>IFERROR(__xludf.DUMMYFUNCTION("""COMPUTED_VALUE"""),45960.0)</f>
        <v>45960</v>
      </c>
      <c r="L957" s="6">
        <v>30.0</v>
      </c>
      <c r="M957" s="52">
        <v>45990.0</v>
      </c>
      <c r="N957" s="53" t="s">
        <v>692</v>
      </c>
      <c r="O957" s="19" t="s">
        <v>1193</v>
      </c>
      <c r="P957" s="6"/>
      <c r="Q957" s="6" t="str">
        <f t="shared" si="1"/>
        <v>#N/A</v>
      </c>
      <c r="R957" s="6"/>
    </row>
    <row r="958" hidden="1">
      <c r="A958" s="31" t="str">
        <f>IFERROR(__xludf.DUMMYFUNCTION("""COMPUTED_VALUE"""),"654")</f>
        <v>654</v>
      </c>
      <c r="B958" s="14" t="str">
        <f>IFERROR(__xludf.DUMMYFUNCTION("""COMPUTED_VALUE"""),"РЕН-26")</f>
        <v>РЕН-26</v>
      </c>
      <c r="C958" s="14" t="str">
        <f>IFERROR(__xludf.DUMMYFUNCTION("""COMPUTED_VALUE"""),"ОКС")</f>
        <v>ОКС</v>
      </c>
      <c r="D958" s="6"/>
      <c r="E958" s="14" t="str">
        <f>IFERROR(__xludf.DUMMYFUNCTION("""COMPUTED_VALUE"""),"Полярная ул., з/у 16 (Полярная ул., вл. 16) СВАО, район Южное Медведково, ул. Полярная, з/у 16 (со сносом жилого здания по адресу: ул. Полярная д.16, корп.1) (рефинансирование)")</f>
        <v>Полярная ул., з/у 16 (Полярная ул., вл. 16) СВАО, район Южное Медведково, ул. Полярная, з/у 16 (со сносом жилого здания по адресу: ул. Полярная д.16, корп.1) (рефинансирование)</v>
      </c>
      <c r="F958" s="25" t="str">
        <f>IFERROR(__xludf.DUMMYFUNCTION("""COMPUTED_VALUE"""),"55.876612")</f>
        <v>55.876612</v>
      </c>
      <c r="G958" s="6" t="str">
        <f>IFERROR(__xludf.DUMMYFUNCTION("""COMPUTED_VALUE"""),"37.637299")</f>
        <v>37.637299</v>
      </c>
      <c r="H958" s="18" t="str">
        <f>IFERROR(__xludf.DUMMYFUNCTION("""COMPUTED_VALUE"""),"https://docs.google.com/spreadsheets/d/1rbCD10ySi4YZEkJW2_Slmn9z7AI1WEsGsZaIJmnnT18/edit?gid=877224124#gid=877224124")</f>
        <v>https://docs.google.com/spreadsheets/d/1rbCD10ySi4YZEkJW2_Slmn9z7AI1WEsGsZaIJmnnT18/edit?gid=877224124#gid=877224124</v>
      </c>
      <c r="I958" s="19" t="str">
        <f>IFERROR(__xludf.DUMMYFUNCTION("""COMPUTED_VALUE"""),"https://disk.yandex.ru/client/disk/Осмотры%20объектов%20АНО%20СМГ/654.%20ул.%20Полярная%2C%20з.у.%2016")</f>
        <v>https://disk.yandex.ru/client/disk/Осмотры%20объектов%20АНО%20СМГ/654.%20ул.%20Полярная%2C%20з.у.%2016</v>
      </c>
      <c r="J958" s="50">
        <f>IFERROR(__xludf.DUMMYFUNCTION("""COMPUTED_VALUE"""),43.18702499999999)</f>
        <v>43.187025</v>
      </c>
      <c r="K958" s="58">
        <f>IFERROR(__xludf.DUMMYFUNCTION("""COMPUTED_VALUE"""),45961.0)</f>
        <v>45961</v>
      </c>
      <c r="L958" s="6">
        <v>30.0</v>
      </c>
      <c r="M958" s="52">
        <v>45991.0</v>
      </c>
      <c r="N958" s="53" t="s">
        <v>692</v>
      </c>
      <c r="O958" s="19" t="s">
        <v>669</v>
      </c>
      <c r="P958" s="6"/>
      <c r="Q958" s="6" t="str">
        <f t="shared" si="1"/>
        <v>#N/A</v>
      </c>
      <c r="R958" s="6"/>
    </row>
    <row r="959" hidden="1">
      <c r="A959" s="31" t="str">
        <f>IFERROR(__xludf.DUMMYFUNCTION("""COMPUTED_VALUE"""),"969")</f>
        <v>969</v>
      </c>
      <c r="B959" s="14" t="str">
        <f>IFERROR(__xludf.DUMMYFUNCTION("""COMPUTED_VALUE"""),"РЕН-26")</f>
        <v>РЕН-26</v>
      </c>
      <c r="C959" s="14" t="str">
        <f>IFERROR(__xludf.DUMMYFUNCTION("""COMPUTED_VALUE"""),"ОКС")</f>
        <v>ОКС</v>
      </c>
      <c r="D959" s="6"/>
      <c r="E959" s="14" t="str">
        <f>IFERROR(__xludf.DUMMYFUNCTION("""COMPUTED_VALUE"""),"ул. Авиамоторная, з/у 27 (ул. Авиамоторная, вл. 27) ул. Авиамоторная, з/у 27 (Авиамоторная, вл. 27)")</f>
        <v>ул. Авиамоторная, з/у 27 (ул. Авиамоторная, вл. 27) ул. Авиамоторная, з/у 27 (Авиамоторная, вл. 27)</v>
      </c>
      <c r="F959" s="25" t="str">
        <f>IFERROR(__xludf.DUMMYFUNCTION("""COMPUTED_VALUE"""),"55.757886")</f>
        <v>55.757886</v>
      </c>
      <c r="G959" s="6" t="str">
        <f>IFERROR(__xludf.DUMMYFUNCTION("""COMPUTED_VALUE"""),"37.716567")</f>
        <v>37.716567</v>
      </c>
      <c r="H959" s="18" t="str">
        <f>IFERROR(__xludf.DUMMYFUNCTION("""COMPUTED_VALUE"""),"https://docs.google.com/spreadsheets/d/1rbCD10ySi4YZEkJW2_Slmn9z7AI1WEsGsZaIJmnnT18/edit?gid=1353187353#gid=1353187353")</f>
        <v>https://docs.google.com/spreadsheets/d/1rbCD10ySi4YZEkJW2_Slmn9z7AI1WEsGsZaIJmnnT18/edit?gid=1353187353#gid=1353187353</v>
      </c>
      <c r="I959" s="19" t="str">
        <f>IFERROR(__xludf.DUMMYFUNCTION("""COMPUTED_VALUE"""),"#ERROR!")</f>
        <v>#ERROR!</v>
      </c>
      <c r="J959" s="50">
        <f>IFERROR(__xludf.DUMMYFUNCTION("""COMPUTED_VALUE"""),0.0)</f>
        <v>0</v>
      </c>
      <c r="K959" s="58">
        <f>IFERROR(__xludf.DUMMYFUNCTION("""COMPUTED_VALUE"""),45960.0)</f>
        <v>45960</v>
      </c>
      <c r="L959" s="6">
        <v>30.0</v>
      </c>
      <c r="M959" s="52">
        <v>45990.0</v>
      </c>
      <c r="N959" s="53" t="s">
        <v>692</v>
      </c>
      <c r="O959" s="19" t="s">
        <v>1193</v>
      </c>
      <c r="P959" s="6"/>
      <c r="Q959" s="6" t="str">
        <f t="shared" si="1"/>
        <v>#N/A</v>
      </c>
      <c r="R959" s="6"/>
    </row>
    <row r="960">
      <c r="A960" s="31" t="str">
        <f>IFERROR(__xludf.DUMMYFUNCTION("""COMPUTED_VALUE"""),"848")</f>
        <v>848</v>
      </c>
      <c r="B960" s="14" t="str">
        <f>IFERROR(__xludf.DUMMYFUNCTION("""COMPUTED_VALUE"""),"РЕН-26")</f>
        <v>РЕН-26</v>
      </c>
      <c r="C960" s="14" t="str">
        <f>IFERROR(__xludf.DUMMYFUNCTION("""COMPUTED_VALUE"""),"ОКС")</f>
        <v>ОКС</v>
      </c>
      <c r="D960" s="6"/>
      <c r="E960"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 Одесская, вл. 6 (зона 1.2 и 1.3) район Зюзино, ул. Одесска"&amp;"я, вл. 6 (зона 1.2 и 1.3)")</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ЮЗАО, район Зюзино, ул. Одесская, вл. 6 (зона 1.2 и 1.3) район Зюзино, ул. Одесская, вл. 6 (зона 1.2 и 1.3)</v>
      </c>
      <c r="F960" s="25" t="str">
        <f>IFERROR(__xludf.DUMMYFUNCTION("""COMPUTED_VALUE"""),"55.662516")</f>
        <v>55.662516</v>
      </c>
      <c r="G960" s="6" t="str">
        <f>IFERROR(__xludf.DUMMYFUNCTION("""COMPUTED_VALUE"""),"37.596020")</f>
        <v>37.596020</v>
      </c>
      <c r="H960" s="18" t="str">
        <f>IFERROR(__xludf.DUMMYFUNCTION("""COMPUTED_VALUE"""),"https://docs.google.com/spreadsheets/d/1rbCD10ySi4YZEkJW2_Slmn9z7AI1WEsGsZaIJmnnT18/edit?gid=509147488#gid=509147488")</f>
        <v>https://docs.google.com/spreadsheets/d/1rbCD10ySi4YZEkJW2_Slmn9z7AI1WEsGsZaIJmnnT18/edit?gid=509147488#gid=509147488</v>
      </c>
      <c r="I960" s="19" t="str">
        <f>IFERROR(__xludf.DUMMYFUNCTION("""COMPUTED_VALUE"""),"https://disk.yandex.ru/client/disk/Осмотры%20объектов%20АНО%20СМГ/848.%20Одесская%20д.6%20ул.%20Одесская%2C%20вл.%206%20(зона%201.2%20и%201.3)%20(Приобретение%20объектов%20недвижимости)")</f>
        <v>https://disk.yandex.ru/client/disk/Осмотры%20объектов%20АНО%20СМГ/848.%20Одесская%20д.6%20ул.%20Одесская%2C%20вл.%206%20(зона%201.2%20и%201.3)%20(Приобретение%20объектов%20недвижимости)</v>
      </c>
      <c r="J960" s="50">
        <f>IFERROR(__xludf.DUMMYFUNCTION("""COMPUTED_VALUE"""),24.592185)</f>
        <v>24.592185</v>
      </c>
      <c r="K960" s="58">
        <f>IFERROR(__xludf.DUMMYFUNCTION("""COMPUTED_VALUE"""),45971.0)</f>
        <v>45971</v>
      </c>
      <c r="L960" s="6">
        <v>30.0</v>
      </c>
      <c r="M960" s="52">
        <v>46001.0</v>
      </c>
      <c r="N960" s="53" t="s">
        <v>711</v>
      </c>
      <c r="O960" s="19" t="s">
        <v>1194</v>
      </c>
      <c r="P960" s="6"/>
      <c r="Q960" s="6" t="str">
        <f t="shared" si="1"/>
        <v>848</v>
      </c>
      <c r="R960" s="6"/>
    </row>
    <row r="961" hidden="1">
      <c r="A961" s="31" t="str">
        <f>IFERROR(__xludf.DUMMYFUNCTION("""COMPUTED_VALUE"""),"907")</f>
        <v>907</v>
      </c>
      <c r="B961" s="14" t="str">
        <f>IFERROR(__xludf.DUMMYFUNCTION("""COMPUTED_VALUE"""),"РЕН-26")</f>
        <v>РЕН-26</v>
      </c>
      <c r="C961" s="14" t="str">
        <f>IFERROR(__xludf.DUMMYFUNCTION("""COMPUTED_VALUE"""),"ОКС")</f>
        <v>ОКС</v>
      </c>
      <c r="D961" s="6"/>
      <c r="E961" s="14" t="str">
        <f>IFERROR(__xludf.DUMMYFUNCTION("""COMPUTED_VALUE"""),"ул. Нарвская, з/у 1(Нарвская ул., вл. 1-3) ул. Нарвская, з/у 1 (Нарвская ул., вл. 1-3)")</f>
        <v>ул. Нарвская, з/у 1(Нарвская ул., вл. 1-3) ул. Нарвская, з/у 1 (Нарвская ул., вл. 1-3)</v>
      </c>
      <c r="F961" s="25" t="str">
        <f>IFERROR(__xludf.DUMMYFUNCTION("""COMPUTED_VALUE"""),"55.832089")</f>
        <v>55.832089</v>
      </c>
      <c r="G961" s="6" t="str">
        <f>IFERROR(__xludf.DUMMYFUNCTION("""COMPUTED_VALUE"""),"37.506937")</f>
        <v>37.506937</v>
      </c>
      <c r="H961" s="18" t="str">
        <f>IFERROR(__xludf.DUMMYFUNCTION("""COMPUTED_VALUE"""),"https://docs.google.com/spreadsheets/d/1rbCD10ySi4YZEkJW2_Slmn9z7AI1WEsGsZaIJmnnT18/edit?gid=1534601072#gid=1534601072")</f>
        <v>https://docs.google.com/spreadsheets/d/1rbCD10ySi4YZEkJW2_Slmn9z7AI1WEsGsZaIJmnnT18/edit?gid=1534601072#gid=1534601072</v>
      </c>
      <c r="I961" s="19" t="str">
        <f>IFERROR(__xludf.DUMMYFUNCTION("""COMPUTED_VALUE"""),"https://disk.yandex.ru/client/disk/Осмотры%20объектов%20АНО%20СМГ/907.%20Нарвская%20зу%201")</f>
        <v>https://disk.yandex.ru/client/disk/Осмотры%20объектов%20АНО%20СМГ/907.%20Нарвская%20зу%201</v>
      </c>
      <c r="J961" s="50">
        <f>IFERROR(__xludf.DUMMYFUNCTION("""COMPUTED_VALUE"""),0.0)</f>
        <v>0</v>
      </c>
      <c r="K961" s="58">
        <f>IFERROR(__xludf.DUMMYFUNCTION("""COMPUTED_VALUE"""),45961.0)</f>
        <v>45961</v>
      </c>
      <c r="L961" s="6">
        <v>30.0</v>
      </c>
      <c r="M961" s="52">
        <v>45991.0</v>
      </c>
      <c r="N961" s="53" t="s">
        <v>692</v>
      </c>
      <c r="O961" s="19" t="s">
        <v>1195</v>
      </c>
      <c r="P961" s="6"/>
      <c r="Q961" s="6" t="str">
        <f t="shared" si="1"/>
        <v>#N/A</v>
      </c>
      <c r="R961" s="6"/>
    </row>
    <row r="962" hidden="1">
      <c r="A962" s="31" t="str">
        <f>IFERROR(__xludf.DUMMYFUNCTION("""COMPUTED_VALUE"""),"665")</f>
        <v>665</v>
      </c>
      <c r="B962" s="14" t="str">
        <f>IFERROR(__xludf.DUMMYFUNCTION("""COMPUTED_VALUE"""),"РЕН-26")</f>
        <v>РЕН-26</v>
      </c>
      <c r="C962" s="14" t="str">
        <f>IFERROR(__xludf.DUMMYFUNCTION("""COMPUTED_VALUE"""),"ОКС")</f>
        <v>ОКС</v>
      </c>
      <c r="D962" s="6"/>
      <c r="E962" s="14" t="str">
        <f>IFERROR(__xludf.DUMMYFUNCTION("""COMPUTED_VALUE"""),"Шереметьевская ул., вл. 17, корп. 1, корп. 2 СВАО, Шереметьевская ул. вл. 17  корп. 1 и корп. 2, 
район Марьина Роща")</f>
        <v>Шереметьевская ул., вл. 17, корп. 1, корп. 2 СВАО, Шереметьевская ул. вл. 17  корп. 1 и корп. 2, 
район Марьина Роща</v>
      </c>
      <c r="F962" s="25" t="str">
        <f>IFERROR(__xludf.DUMMYFUNCTION("""COMPUTED_VALUE"""),"55.798156")</f>
        <v>55.798156</v>
      </c>
      <c r="G962" s="6" t="str">
        <f>IFERROR(__xludf.DUMMYFUNCTION("""COMPUTED_VALUE"""),"37.614859")</f>
        <v>37.614859</v>
      </c>
      <c r="H962" s="18" t="str">
        <f>IFERROR(__xludf.DUMMYFUNCTION("""COMPUTED_VALUE"""),"https://docs.google.com/spreadsheets/d/1rbCD10ySi4YZEkJW2_Slmn9z7AI1WEsGsZaIJmnnT18/edit?gid=49686517#gid=49686517")</f>
        <v>https://docs.google.com/spreadsheets/d/1rbCD10ySi4YZEkJW2_Slmn9z7AI1WEsGsZaIJmnnT18/edit?gid=49686517#gid=49686517</v>
      </c>
      <c r="I962" s="19" t="str">
        <f>IFERROR(__xludf.DUMMYFUNCTION("""COMPUTED_VALUE"""),"https://disk.yandex.ru/client/disk/Осмотры%20объектов%20АНО%20СМГ/665.%20Шереметьевская%20ул.%2C%20вл.%2017%2C%20Корп.%201%2C2")</f>
        <v>https://disk.yandex.ru/client/disk/Осмотры%20объектов%20АНО%20СМГ/665.%20Шереметьевская%20ул.%2C%20вл.%2017%2C%20Корп.%201%2C2</v>
      </c>
      <c r="J962" s="50">
        <f>IFERROR(__xludf.DUMMYFUNCTION("""COMPUTED_VALUE"""),0.0)</f>
        <v>0</v>
      </c>
      <c r="K962" s="58">
        <f>IFERROR(__xludf.DUMMYFUNCTION("""COMPUTED_VALUE"""),45967.0)</f>
        <v>45967</v>
      </c>
      <c r="L962" s="6">
        <v>30.0</v>
      </c>
      <c r="M962" s="52">
        <v>45997.0</v>
      </c>
      <c r="N962" s="53" t="s">
        <v>711</v>
      </c>
      <c r="O962" s="19" t="s">
        <v>1196</v>
      </c>
      <c r="P962" s="6"/>
      <c r="Q962" s="6" t="str">
        <f t="shared" si="1"/>
        <v>#N/A</v>
      </c>
      <c r="R962" s="6"/>
    </row>
    <row r="963" hidden="1">
      <c r="A963" s="31" t="str">
        <f>IFERROR(__xludf.DUMMYFUNCTION("""COMPUTED_VALUE"""),"649")</f>
        <v>649</v>
      </c>
      <c r="B963" s="14" t="str">
        <f>IFERROR(__xludf.DUMMYFUNCTION("""COMPUTED_VALUE"""),"РЕН-26")</f>
        <v>РЕН-26</v>
      </c>
      <c r="C963" s="14" t="str">
        <f>IFERROR(__xludf.DUMMYFUNCTION("""COMPUTED_VALUE"""),"ОКС")</f>
        <v>ОКС</v>
      </c>
      <c r="D963" s="6"/>
      <c r="E963" s="14" t="str">
        <f>IFERROR(__xludf.DUMMYFUNCTION("""COMPUTED_VALUE"""),"3-я Прядильная ул., з/у 4 (3-я Прядильная ул. вл.4) ВАО, район Измайлово, 3-я Прядильная ул., зу 4  (рефинансирование)")</f>
        <v>3-я Прядильная ул., з/у 4 (3-я Прядильная ул. вл.4) ВАО, район Измайлово, 3-я Прядильная ул., зу 4  (рефинансирование)</v>
      </c>
      <c r="F963" s="25" t="str">
        <f>IFERROR(__xludf.DUMMYFUNCTION("""COMPUTED_VALUE"""),"55.797134")</f>
        <v>55.797134</v>
      </c>
      <c r="G963" s="6" t="str">
        <f>IFERROR(__xludf.DUMMYFUNCTION("""COMPUTED_VALUE"""),"37.771091")</f>
        <v>37.771091</v>
      </c>
      <c r="H963" s="18" t="str">
        <f>IFERROR(__xludf.DUMMYFUNCTION("""COMPUTED_VALUE"""),"https://docs.google.com/spreadsheets/d/1rbCD10ySi4YZEkJW2_Slmn9z7AI1WEsGsZaIJmnnT18/edit?gid=9074212#gid=9074212")</f>
        <v>https://docs.google.com/spreadsheets/d/1rbCD10ySi4YZEkJW2_Slmn9z7AI1WEsGsZaIJmnnT18/edit?gid=9074212#gid=9074212</v>
      </c>
      <c r="I963" s="19" t="str">
        <f>IFERROR(__xludf.DUMMYFUNCTION("""COMPUTED_VALUE"""),"https://disk.yandex.ru/client/disk/Осмотры%20объектов%20АНО%20СМГ/649%203-я%20Прядильная%20ул.%2C%20зу%204")</f>
        <v>https://disk.yandex.ru/client/disk/Осмотры%20объектов%20АНО%20СМГ/649%203-я%20Прядильная%20ул.%2C%20зу%204</v>
      </c>
      <c r="J963" s="50">
        <f>IFERROR(__xludf.DUMMYFUNCTION("""COMPUTED_VALUE"""),0.0)</f>
        <v>0</v>
      </c>
      <c r="K963" s="58">
        <f>IFERROR(__xludf.DUMMYFUNCTION("""COMPUTED_VALUE"""),45975.0)</f>
        <v>45975</v>
      </c>
      <c r="L963" s="6">
        <v>30.0</v>
      </c>
      <c r="M963" s="52">
        <v>46005.0</v>
      </c>
      <c r="N963" s="53" t="s">
        <v>711</v>
      </c>
      <c r="O963" s="19" t="s">
        <v>669</v>
      </c>
      <c r="P963" s="6"/>
      <c r="Q963" s="6" t="str">
        <f t="shared" si="1"/>
        <v>#N/A</v>
      </c>
      <c r="R963" s="6"/>
    </row>
    <row r="964" hidden="1">
      <c r="A964" s="31" t="str">
        <f>IFERROR(__xludf.DUMMYFUNCTION("""COMPUTED_VALUE"""),"971")</f>
        <v>971</v>
      </c>
      <c r="B964" s="14" t="str">
        <f>IFERROR(__xludf.DUMMYFUNCTION("""COMPUTED_VALUE"""),"РЕН-26")</f>
        <v>РЕН-26</v>
      </c>
      <c r="C964" s="14" t="str">
        <f>IFERROR(__xludf.DUMMYFUNCTION("""COMPUTED_VALUE"""),"ОКС")</f>
        <v>ОКС</v>
      </c>
      <c r="D964" s="6"/>
      <c r="E964" s="14" t="str">
        <f>IFERROR(__xludf.DUMMYFUNCTION("""COMPUTED_VALUE"""),"ул. Судакова, з/у 5 (Судакова ул., влд. 5) ул. Судакова, з/у 5 (судакова ул., влд. 5)")</f>
        <v>ул. Судакова, з/у 5 (Судакова ул., влд. 5) ул. Судакова, з/у 5 (судакова ул., влд. 5)</v>
      </c>
      <c r="F964" s="25" t="str">
        <f>IFERROR(__xludf.DUMMYFUNCTION("""COMPUTED_VALUE"""),"55.672750")</f>
        <v>55.672750</v>
      </c>
      <c r="G964" s="6" t="str">
        <f>IFERROR(__xludf.DUMMYFUNCTION("""COMPUTED_VALUE"""),"37.742580")</f>
        <v>37.742580</v>
      </c>
      <c r="H964" s="18" t="str">
        <f>IFERROR(__xludf.DUMMYFUNCTION("""COMPUTED_VALUE"""),"https://docs.google.com/spreadsheets/d/1rbCD10ySi4YZEkJW2_Slmn9z7AI1WEsGsZaIJmnnT18/edit?gid=1956094116#gid=1956094116")</f>
        <v>https://docs.google.com/spreadsheets/d/1rbCD10ySi4YZEkJW2_Slmn9z7AI1WEsGsZaIJmnnT18/edit?gid=1956094116#gid=1956094116</v>
      </c>
      <c r="I964" s="19" t="str">
        <f>IFERROR(__xludf.DUMMYFUNCTION("""COMPUTED_VALUE"""),"https://disk.yandex.ru/client/disk/Осмотры%20объектов%20АНО%20СМГ/971.%20ул.%20Судакова%2C%20з.у%205%20(Судакова%20ул.%2C%20влд.%205)")</f>
        <v>https://disk.yandex.ru/client/disk/Осмотры%20объектов%20АНО%20СМГ/971.%20ул.%20Судакова%2C%20з.у%205%20(Судакова%20ул.%2C%20влд.%205)</v>
      </c>
      <c r="J964" s="50">
        <f>IFERROR(__xludf.DUMMYFUNCTION("""COMPUTED_VALUE"""),23.61489)</f>
        <v>23.61489</v>
      </c>
      <c r="K964" s="58">
        <f>IFERROR(__xludf.DUMMYFUNCTION("""COMPUTED_VALUE"""),45975.0)</f>
        <v>45975</v>
      </c>
      <c r="L964" s="6">
        <v>30.0</v>
      </c>
      <c r="M964" s="52">
        <v>46005.0</v>
      </c>
      <c r="N964" s="53" t="s">
        <v>711</v>
      </c>
      <c r="O964" s="19" t="s">
        <v>669</v>
      </c>
      <c r="P964" s="6"/>
      <c r="Q964" s="6" t="str">
        <f t="shared" si="1"/>
        <v>#N/A</v>
      </c>
      <c r="R964" s="6"/>
    </row>
    <row r="965" hidden="1">
      <c r="A965" s="31" t="str">
        <f>IFERROR(__xludf.DUMMYFUNCTION("""COMPUTED_VALUE"""),"975")</f>
        <v>975</v>
      </c>
      <c r="B965" s="14" t="str">
        <f>IFERROR(__xludf.DUMMYFUNCTION("""COMPUTED_VALUE"""),"РЕН-26")</f>
        <v>РЕН-26</v>
      </c>
      <c r="C965" s="14" t="str">
        <f>IFERROR(__xludf.DUMMYFUNCTION("""COMPUTED_VALUE"""),"ОКС")</f>
        <v>ОКС</v>
      </c>
      <c r="D965" s="6"/>
      <c r="E965" s="14" t="str">
        <f>IFERROR(__xludf.DUMMYFUNCTION("""COMPUTED_VALUE"""),"ул. Труда, з/у 1 (ул. Труда, вл. 1, 2, 3, 4) ул. Труда, з/у 1 (ул. Труда, вл. 1, 2, 3, 4)")</f>
        <v>ул. Труда, з/у 1 (ул. Труда, вл. 1, 2, 3, 4) ул. Труда, з/у 1 (ул. Труда, вл. 1, 2, 3, 4)</v>
      </c>
      <c r="F965" s="25" t="str">
        <f>IFERROR(__xludf.DUMMYFUNCTION("""COMPUTED_VALUE"""),"55.602327")</f>
        <v>55.602327</v>
      </c>
      <c r="G965" s="6" t="str">
        <f>IFERROR(__xludf.DUMMYFUNCTION("""COMPUTED_VALUE"""),"37.171928")</f>
        <v>37.171928</v>
      </c>
      <c r="H965" s="18" t="str">
        <f>IFERROR(__xludf.DUMMYFUNCTION("""COMPUTED_VALUE"""),"https://docs.google.com/spreadsheets/d/1rbCD10ySi4YZEkJW2_Slmn9z7AI1WEsGsZaIJmnnT18/edit?gid=1886195207#gid=1886195207")</f>
        <v>https://docs.google.com/spreadsheets/d/1rbCD10ySi4YZEkJW2_Slmn9z7AI1WEsGsZaIJmnnT18/edit?gid=1886195207#gid=1886195207</v>
      </c>
      <c r="I965" s="19" t="str">
        <f>IFERROR(__xludf.DUMMYFUNCTION("""COMPUTED_VALUE"""),"https://disk.yandex.ru/client/disk/Осмотры%20объектов%20АНО%20СМГ/975.%20жилой%20дом%20ул%2C%20Труда%20зу1")</f>
        <v>https://disk.yandex.ru/client/disk/Осмотры%20объектов%20АНО%20СМГ/975.%20жилой%20дом%20ул%2C%20Труда%20зу1</v>
      </c>
      <c r="J965" s="50">
        <f>IFERROR(__xludf.DUMMYFUNCTION("""COMPUTED_VALUE"""),0.0)</f>
        <v>0</v>
      </c>
      <c r="K965" s="58">
        <f>IFERROR(__xludf.DUMMYFUNCTION("""COMPUTED_VALUE"""),45967.0)</f>
        <v>45967</v>
      </c>
      <c r="L965" s="6">
        <v>30.0</v>
      </c>
      <c r="M965" s="52">
        <v>45997.0</v>
      </c>
      <c r="N965" s="53" t="s">
        <v>711</v>
      </c>
      <c r="O965" s="19" t="s">
        <v>1197</v>
      </c>
      <c r="P965" s="6"/>
      <c r="Q965" s="6" t="str">
        <f t="shared" si="1"/>
        <v>#N/A</v>
      </c>
      <c r="R965" s="6"/>
    </row>
    <row r="966" hidden="1">
      <c r="A966" s="31" t="str">
        <f>IFERROR(__xludf.DUMMYFUNCTION("""COMPUTED_VALUE"""),"1016")</f>
        <v>1016</v>
      </c>
      <c r="B966" s="14" t="str">
        <f>IFERROR(__xludf.DUMMYFUNCTION("""COMPUTED_VALUE"""),"РЕН-26")</f>
        <v>РЕН-26</v>
      </c>
      <c r="C966" s="14" t="str">
        <f>IFERROR(__xludf.DUMMYFUNCTION("""COMPUTED_VALUE"""),"ОКС")</f>
        <v>ОКС</v>
      </c>
      <c r="D966" s="6"/>
      <c r="E966" s="14" t="str">
        <f>IFERROR(__xludf.DUMMYFUNCTION("""COMPUTED_VALUE"""),"Жилой дом с инженерными сетями и благоустройством территории, СВАО, район Останкинский, Годовикова ул., вл. 12, корп. 1, 2 Годовикова ул., вл.12, к.1, 2")</f>
        <v>Жилой дом с инженерными сетями и благоустройством территории, СВАО, район Останкинский, Годовикова ул., вл. 12, корп. 1, 2 Годовикова ул., вл.12, к.1, 2</v>
      </c>
      <c r="F966" s="25" t="str">
        <f>IFERROR(__xludf.DUMMYFUNCTION("""COMPUTED_VALUE"""),"55.807462")</f>
        <v>55.807462</v>
      </c>
      <c r="G966" s="6" t="str">
        <f>IFERROR(__xludf.DUMMYFUNCTION("""COMPUTED_VALUE"""),"37.631985")</f>
        <v>37.631985</v>
      </c>
      <c r="H966" s="18" t="str">
        <f>IFERROR(__xludf.DUMMYFUNCTION("""COMPUTED_VALUE"""),"https://docs.google.com/spreadsheets/d/1rbCD10ySi4YZEkJW2_Slmn9z7AI1WEsGsZaIJmnnT18/edit?gid=1347270596#gid=1347270596")</f>
        <v>https://docs.google.com/spreadsheets/d/1rbCD10ySi4YZEkJW2_Slmn9z7AI1WEsGsZaIJmnnT18/edit?gid=1347270596#gid=1347270596</v>
      </c>
      <c r="I966" s="19" t="str">
        <f>IFERROR(__xludf.DUMMYFUNCTION("""COMPUTED_VALUE"""),"https://disk.yandex.ru/client/disk/Осмотры%20объектов%20АНО%20СМГ/1016%20ул.%20Годикова%2C%20вл.%2012%2C%20кор.%201%2C2")</f>
        <v>https://disk.yandex.ru/client/disk/Осмотры%20объектов%20АНО%20СМГ/1016%20ул.%20Годикова%2C%20вл.%2012%2C%20кор.%201%2C2</v>
      </c>
      <c r="J966" s="50">
        <f>IFERROR(__xludf.DUMMYFUNCTION("""COMPUTED_VALUE"""),0.0)</f>
        <v>0</v>
      </c>
      <c r="K966" s="58">
        <f>IFERROR(__xludf.DUMMYFUNCTION("""COMPUTED_VALUE"""),45954.0)</f>
        <v>45954</v>
      </c>
      <c r="L966" s="6">
        <v>30.0</v>
      </c>
      <c r="M966" s="52">
        <v>45984.0</v>
      </c>
      <c r="N966" s="53" t="s">
        <v>741</v>
      </c>
      <c r="O966" s="19" t="s">
        <v>669</v>
      </c>
      <c r="P966" s="6"/>
      <c r="Q966" s="6" t="str">
        <f t="shared" si="1"/>
        <v>#N/A</v>
      </c>
      <c r="R966" s="6"/>
    </row>
    <row r="967">
      <c r="A967" s="31" t="str">
        <f>IFERROR(__xludf.DUMMYFUNCTION("""COMPUTED_VALUE"""),"708")</f>
        <v>708</v>
      </c>
      <c r="B967" s="14" t="str">
        <f>IFERROR(__xludf.DUMMYFUNCTION("""COMPUTED_VALUE"""),"РЕН-26")</f>
        <v>РЕН-26</v>
      </c>
      <c r="C967" s="14" t="str">
        <f>IFERROR(__xludf.DUMMYFUNCTION("""COMPUTED_VALUE"""),"ОКС")</f>
        <v>ОКС</v>
      </c>
      <c r="D967" s="6"/>
      <c r="E967" s="14" t="str">
        <f>IFERROR(__xludf.DUMMYFUNCTION("""COMPUTED_VALUE"""),"улица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f>
        <v>улица Байкальская, земельный участок 16/11 (зона 10.1) ВАО, район Гольяново, улица Байкальская, земельный участок 16/11 (участки 10.1, 10.2 и 10.3) (со сносом жилых домов по адресам: ул. Байкальская, д. 14, к. 1; д. 16, к. 1; д. 16, к. 2; д. 16, к. 4)</v>
      </c>
      <c r="F967" s="25" t="str">
        <f>IFERROR(__xludf.DUMMYFUNCTION("""COMPUTED_VALUE"""),"55.816341")</f>
        <v>55.816341</v>
      </c>
      <c r="G967" s="6" t="str">
        <f>IFERROR(__xludf.DUMMYFUNCTION("""COMPUTED_VALUE"""),"37.792496")</f>
        <v>37.792496</v>
      </c>
      <c r="H967" s="18" t="str">
        <f>IFERROR(__xludf.DUMMYFUNCTION("""COMPUTED_VALUE"""),"https://docs.google.com/spreadsheets/d/1rbCD10ySi4YZEkJW2_Slmn9z7AI1WEsGsZaIJmnnT18/edit?gid=1294085884#gid=1294085884")</f>
        <v>https://docs.google.com/spreadsheets/d/1rbCD10ySi4YZEkJW2_Slmn9z7AI1WEsGsZaIJmnnT18/edit?gid=1294085884#gid=1294085884</v>
      </c>
      <c r="I967" s="21" t="str">
        <f>IFERROR(__xludf.DUMMYFUNCTION("""COMPUTED_VALUE"""),"https://disk.yandex.ru/client/disk/%D0%9E%D1%81%D0%BC%D0%BE%D1%82%D1%80%D1%8B%20%D0%BE%D0%B1%D1%8A%D0%B5%D0%BA%D1%82%D0%BE%D0%B2%20%D0%90%D0%9D%D0%9E%20%D0%A1%D0%9C%D0%93/708%20%D0%93%D0%BE%D0%BB%D1%8C%D1%8F%D0%BD%D0%BE%D0%B2%D0%BE%2C%20%D1%83%D0%BB%20%D0"&amp;"%91%D0%B0%D0%B9%D0%BA%D0%B0%D0%BB%D1%8C%D1%81%D0%BA%D0%B0%D1%8F%20%D0%B7%D1%83%2016.11%20%D1%83%D1%87%D0%B0%D1%81%D1%82%D0%BA%D0%B8%2010.1%2C%2010.2%20%2C%2010.3%20")</f>
        <v>https://disk.yandex.ru/client/disk/%D0%9E%D1%81%D0%BC%D0%BE%D1%82%D1%80%D1%8B%20%D0%BE%D0%B1%D1%8A%D0%B5%D0%BA%D1%82%D0%BE%D0%B2%20%D0%90%D0%9D%D0%9E%20%D0%A1%D0%9C%D0%93/708%20%D0%93%D0%BE%D0%BB%D1%8C%D1%8F%D0%BD%D0%BE%D0%B2%D0%BE%2C%20%D1%83%D0%BB%20%D0%91%D0%B0%D0%B9%D0%BA%D0%B0%D0%BB%D1%8C%D1%81%D0%BA%D0%B0%D1%8F%20%D0%B7%D1%83%2016.11%20%D1%83%D1%87%D0%B0%D1%81%D1%82%D0%BA%D0%B8%2010.1%2C%2010.2%20%2C%2010.3%20</v>
      </c>
      <c r="J967" s="50">
        <f>IFERROR(__xludf.DUMMYFUNCTION("""COMPUTED_VALUE"""),5.2452)</f>
        <v>5.2452</v>
      </c>
      <c r="K967" s="58">
        <f>IFERROR(__xludf.DUMMYFUNCTION("""COMPUTED_VALUE"""),45974.0)</f>
        <v>45974</v>
      </c>
      <c r="L967" s="6">
        <v>30.0</v>
      </c>
      <c r="M967" s="52">
        <v>46004.0</v>
      </c>
      <c r="N967" s="53" t="s">
        <v>711</v>
      </c>
      <c r="O967" s="19" t="s">
        <v>669</v>
      </c>
      <c r="P967" s="6"/>
      <c r="Q967" s="6" t="str">
        <f t="shared" si="1"/>
        <v>708</v>
      </c>
      <c r="R967" s="6"/>
    </row>
    <row r="968">
      <c r="A968" s="31" t="str">
        <f>IFERROR(__xludf.DUMMYFUNCTION("""COMPUTED_VALUE"""),"837")</f>
        <v>837</v>
      </c>
      <c r="B968" s="14" t="str">
        <f>IFERROR(__xludf.DUMMYFUNCTION("""COMPUTED_VALUE"""),"РЕН-26")</f>
        <v>РЕН-26</v>
      </c>
      <c r="C968" s="14" t="str">
        <f>IFERROR(__xludf.DUMMYFUNCTION("""COMPUTED_VALUE"""),"ОКС")</f>
        <v>ОКС</v>
      </c>
      <c r="D968" s="6"/>
      <c r="E968" s="14" t="str">
        <f>IFERROR(__xludf.DUMMYFUNCTION("""COMPUTED_VALUE"""),"улица Жигулевская, земельный участок 3/3/1 ЮВАО        улица Жигулёвская, земельный участок 3/3/1")</f>
        <v>улица Жигулевская, земельный участок 3/3/1 ЮВАО        улица Жигулёвская, земельный участок 3/3/1</v>
      </c>
      <c r="F968" s="25" t="str">
        <f>IFERROR(__xludf.DUMMYFUNCTION("""COMPUTED_VALUE"""),"55.712834")</f>
        <v>55.712834</v>
      </c>
      <c r="G968" s="6" t="str">
        <f>IFERROR(__xludf.DUMMYFUNCTION("""COMPUTED_VALUE"""),"37.762931")</f>
        <v>37.762931</v>
      </c>
      <c r="H968" s="18" t="str">
        <f>IFERROR(__xludf.DUMMYFUNCTION("""COMPUTED_VALUE"""),"https://docs.google.com/spreadsheets/d/1rbCD10ySi4YZEkJW2_Slmn9z7AI1WEsGsZaIJmnnT18/edit?gid=858056712#gid=858056712")</f>
        <v>https://docs.google.com/spreadsheets/d/1rbCD10ySi4YZEkJW2_Slmn9z7AI1WEsGsZaIJmnnT18/edit?gid=858056712#gid=858056712</v>
      </c>
      <c r="I968" s="19" t="str">
        <f>IFERROR(__xludf.DUMMYFUNCTION("""COMPUTED_VALUE"""),"https://disk.yandex.ru/client/disk/Осмотры%20объектов%20АНО%20СМГ/837.%20Жигулевская%20ул.%2C%20з-у%203-3-1.%20Жилой%20дом")</f>
        <v>https://disk.yandex.ru/client/disk/Осмотры%20объектов%20АНО%20СМГ/837.%20Жигулевская%20ул.%2C%20з-у%203-3-1.%20Жилой%20дом</v>
      </c>
      <c r="J968" s="50">
        <f>IFERROR(__xludf.DUMMYFUNCTION("""COMPUTED_VALUE"""),0.0)</f>
        <v>0</v>
      </c>
      <c r="K968" s="58">
        <f>IFERROR(__xludf.DUMMYFUNCTION("""COMPUTED_VALUE"""),45973.0)</f>
        <v>45973</v>
      </c>
      <c r="L968" s="6">
        <v>30.0</v>
      </c>
      <c r="M968" s="52">
        <v>46003.0</v>
      </c>
      <c r="N968" s="53" t="s">
        <v>711</v>
      </c>
      <c r="O968" s="19" t="s">
        <v>669</v>
      </c>
      <c r="P968" s="6"/>
      <c r="Q968" s="6" t="str">
        <f t="shared" si="1"/>
        <v>837</v>
      </c>
      <c r="R968" s="6"/>
    </row>
    <row r="969">
      <c r="A969" s="31" t="str">
        <f>IFERROR(__xludf.DUMMYFUNCTION("""COMPUTED_VALUE"""),"850")</f>
        <v>850</v>
      </c>
      <c r="B969" s="14" t="str">
        <f>IFERROR(__xludf.DUMMYFUNCTION("""COMPUTED_VALUE"""),"РЕН-26")</f>
        <v>РЕН-26</v>
      </c>
      <c r="C969" s="14" t="str">
        <f>IFERROR(__xludf.DUMMYFUNCTION("""COMPUTED_VALUE"""),"ОКС")</f>
        <v>ОКС</v>
      </c>
      <c r="D969" s="6"/>
      <c r="E969" s="14" t="str">
        <f>IFERROR(__xludf.DUMMYFUNCTION("""COMPUTED_VALUE"""),"Жилой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f>
        <v>Жилой дом с инженерными сетями и благоустройством территории (со сносом жилого здания по адресу: Сосновая аллея, д.4) по адресу: район Покровское-Стрешнево, мкр. 2 (Северо-Западный административный округ) Сосновая аллея, мкр. 2</v>
      </c>
      <c r="F969" s="25" t="str">
        <f>IFERROR(__xludf.DUMMYFUNCTION("""COMPUTED_VALUE"""),"55.818731")</f>
        <v>55.818731</v>
      </c>
      <c r="G969" s="6" t="str">
        <f>IFERROR(__xludf.DUMMYFUNCTION("""COMPUTED_VALUE"""),"37.463457")</f>
        <v>37.463457</v>
      </c>
      <c r="H969" s="18" t="str">
        <f>IFERROR(__xludf.DUMMYFUNCTION("""COMPUTED_VALUE"""),"https://docs.google.com/spreadsheets/d/1rbCD10ySi4YZEkJW2_Slmn9z7AI1WEsGsZaIJmnnT18/edit?gid=625147630#gid=625147630")</f>
        <v>https://docs.google.com/spreadsheets/d/1rbCD10ySi4YZEkJW2_Slmn9z7AI1WEsGsZaIJmnnT18/edit?gid=625147630#gid=625147630</v>
      </c>
      <c r="I969" s="19" t="str">
        <f>IFERROR(__xludf.DUMMYFUNCTION("""COMPUTED_VALUE"""),"https://disk.yandex.ru/client/disk/Осмотры%20объектов%20АНО%20СМГ/850.%20Сосновая%20аллея.%2C%20влд.%204")</f>
        <v>https://disk.yandex.ru/client/disk/Осмотры%20объектов%20АНО%20СМГ/850.%20Сосновая%20аллея.%2C%20влд.%204</v>
      </c>
      <c r="J969" s="50">
        <f>IFERROR(__xludf.DUMMYFUNCTION("""COMPUTED_VALUE"""),0.0)</f>
        <v>0</v>
      </c>
      <c r="K969" s="58">
        <f>IFERROR(__xludf.DUMMYFUNCTION("""COMPUTED_VALUE"""),45974.0)</f>
        <v>45974</v>
      </c>
      <c r="L969" s="6">
        <v>30.0</v>
      </c>
      <c r="M969" s="52">
        <v>46004.0</v>
      </c>
      <c r="N969" s="53" t="s">
        <v>711</v>
      </c>
      <c r="O969" s="19" t="s">
        <v>893</v>
      </c>
      <c r="P969" s="6"/>
      <c r="Q969" s="6" t="str">
        <f t="shared" si="1"/>
        <v>850</v>
      </c>
      <c r="R969" s="6"/>
    </row>
    <row r="970">
      <c r="A970" s="31" t="str">
        <f>IFERROR(__xludf.DUMMYFUNCTION("""COMPUTED_VALUE"""),"851")</f>
        <v>851</v>
      </c>
      <c r="B970" s="14" t="str">
        <f>IFERROR(__xludf.DUMMYFUNCTION("""COMPUTED_VALUE"""),"РЕН-26")</f>
        <v>РЕН-26</v>
      </c>
      <c r="C970" s="14" t="str">
        <f>IFERROR(__xludf.DUMMYFUNCTION("""COMPUTED_VALUE"""),"ОКС")</f>
        <v>ОКС</v>
      </c>
      <c r="D970" s="6"/>
      <c r="E970" s="14" t="str">
        <f>IFERROR(__xludf.DUMMYFUNCTION("""COMPUTED_VALUE"""),"улица Верхние Поля, земельный участок 17 (зоны 4.1 и 4.3) улица Верхние Поля, земельный участок 17 (зоны 4.1 и 4.3)")</f>
        <v>улица Верхние Поля, земельный участок 17 (зоны 4.1 и 4.3) улица Верхние Поля, земельный участок 17 (зоны 4.1 и 4.3)</v>
      </c>
      <c r="F970" s="25" t="str">
        <f>IFERROR(__xludf.DUMMYFUNCTION("""COMPUTED_VALUE"""),"55.666430")</f>
        <v>55.666430</v>
      </c>
      <c r="G970" s="6" t="str">
        <f>IFERROR(__xludf.DUMMYFUNCTION("""COMPUTED_VALUE"""),"37.749082")</f>
        <v>37.749082</v>
      </c>
      <c r="H970" s="18" t="str">
        <f>IFERROR(__xludf.DUMMYFUNCTION("""COMPUTED_VALUE"""),"https://docs.google.com/spreadsheets/d/1rbCD10ySi4YZEkJW2_Slmn9z7AI1WEsGsZaIJmnnT18/edit?gid=632308495#gid=632308495")</f>
        <v>https://docs.google.com/spreadsheets/d/1rbCD10ySi4YZEkJW2_Slmn9z7AI1WEsGsZaIJmnnT18/edit?gid=632308495#gid=632308495</v>
      </c>
      <c r="I970" s="19" t="str">
        <f>IFERROR(__xludf.DUMMYFUNCTION("""COMPUTED_VALUE"""),"https://disk.yandex.ru/client/disk/Осмотры%20объектов%20АНО%20СМГ/851.%20жилой%20дом%20Верхние%20поля%20зу17")</f>
        <v>https://disk.yandex.ru/client/disk/Осмотры%20объектов%20АНО%20СМГ/851.%20жилой%20дом%20Верхние%20поля%20зу17</v>
      </c>
      <c r="J970" s="50">
        <f>IFERROR(__xludf.DUMMYFUNCTION("""COMPUTED_VALUE"""),0.0)</f>
        <v>0</v>
      </c>
      <c r="K970" s="58">
        <f>IFERROR(__xludf.DUMMYFUNCTION("""COMPUTED_VALUE"""),45973.0)</f>
        <v>45973</v>
      </c>
      <c r="L970" s="6">
        <v>30.0</v>
      </c>
      <c r="M970" s="52">
        <v>46003.0</v>
      </c>
      <c r="N970" s="53" t="s">
        <v>711</v>
      </c>
      <c r="O970" s="19" t="s">
        <v>669</v>
      </c>
      <c r="P970" s="6"/>
      <c r="Q970" s="6" t="str">
        <f t="shared" si="1"/>
        <v>851</v>
      </c>
      <c r="R970" s="6"/>
    </row>
    <row r="971">
      <c r="A971" s="31" t="str">
        <f>IFERROR(__xludf.DUMMYFUNCTION("""COMPUTED_VALUE"""),"852")</f>
        <v>852</v>
      </c>
      <c r="B971" s="14" t="str">
        <f>IFERROR(__xludf.DUMMYFUNCTION("""COMPUTED_VALUE"""),"РЕН-26")</f>
        <v>РЕН-26</v>
      </c>
      <c r="C971" s="14" t="str">
        <f>IFERROR(__xludf.DUMMYFUNCTION("""COMPUTED_VALUE"""),"ОКС")</f>
        <v>ОКС</v>
      </c>
      <c r="D971" s="6"/>
      <c r="E971" s="14" t="str">
        <f>IFERROR(__xludf.DUMMYFUNCTION("""COMPUTED_VALUE"""),"улица Таганрогская, земельный участок 8 улица Таганрогская, земельный участок 8")</f>
        <v>улица Таганрогская, земельный участок 8 улица Таганрогская, земельный участок 8</v>
      </c>
      <c r="F971" s="25" t="str">
        <f>IFERROR(__xludf.DUMMYFUNCTION("""COMPUTED_VALUE"""),"55.683838")</f>
        <v>55.683838</v>
      </c>
      <c r="G971" s="6" t="str">
        <f>IFERROR(__xludf.DUMMYFUNCTION("""COMPUTED_VALUE"""),"37.755823")</f>
        <v>37.755823</v>
      </c>
      <c r="H971" s="18" t="str">
        <f>IFERROR(__xludf.DUMMYFUNCTION("""COMPUTED_VALUE"""),"https://docs.google.com/spreadsheets/d/1rbCD10ySi4YZEkJW2_Slmn9z7AI1WEsGsZaIJmnnT18/edit?gid=918222638#gid=918222638")</f>
        <v>https://docs.google.com/spreadsheets/d/1rbCD10ySi4YZEkJW2_Slmn9z7AI1WEsGsZaIJmnnT18/edit?gid=918222638#gid=918222638</v>
      </c>
      <c r="I971" s="19" t="str">
        <f>IFERROR(__xludf.DUMMYFUNCTION("""COMPUTED_VALUE"""),"https://disk.yandex.ru/client/disk/Осмотры%20объектов%20АНО%20СМГ/852.%20Таганрогская%20ул.%2C%20з!у%208")</f>
        <v>https://disk.yandex.ru/client/disk/Осмотры%20объектов%20АНО%20СМГ/852.%20Таганрогская%20ул.%2C%20з!у%208</v>
      </c>
      <c r="J971" s="50">
        <f>IFERROR(__xludf.DUMMYFUNCTION("""COMPUTED_VALUE"""),0.06)</f>
        <v>0.06</v>
      </c>
      <c r="K971" s="58">
        <f>IFERROR(__xludf.DUMMYFUNCTION("""COMPUTED_VALUE"""),45973.0)</f>
        <v>45973</v>
      </c>
      <c r="L971" s="6">
        <v>30.0</v>
      </c>
      <c r="M971" s="52">
        <v>46003.0</v>
      </c>
      <c r="N971" s="53" t="s">
        <v>711</v>
      </c>
      <c r="O971" s="19" t="s">
        <v>893</v>
      </c>
      <c r="P971" s="6"/>
      <c r="Q971" s="6" t="str">
        <f t="shared" si="1"/>
        <v>852</v>
      </c>
      <c r="R971" s="6"/>
    </row>
    <row r="972">
      <c r="A972" s="31" t="str">
        <f>IFERROR(__xludf.DUMMYFUNCTION("""COMPUTED_VALUE"""),"854")</f>
        <v>854</v>
      </c>
      <c r="B972" s="14" t="str">
        <f>IFERROR(__xludf.DUMMYFUNCTION("""COMPUTED_VALUE"""),"РЕН-26")</f>
        <v>РЕН-26</v>
      </c>
      <c r="C972" s="14" t="str">
        <f>IFERROR(__xludf.DUMMYFUNCTION("""COMPUTED_VALUE"""),"ОКС")</f>
        <v>ОКС</v>
      </c>
      <c r="D972" s="6"/>
      <c r="E972" s="14" t="str">
        <f>IFERROR(__xludf.DUMMYFUNCTION("""COMPUTED_VALUE"""),"2-я Прядильная ул., вл.9 (Приобретение объектов недвижимости) ВАО	2-я Прядильная ул., вл.9 (Приобретение объектов недвижимости)")</f>
        <v>2-я Прядильная ул., вл.9 (Приобретение объектов недвижимости) ВАО	2-я Прядильная ул., вл.9 (Приобретение объектов недвижимости)</v>
      </c>
      <c r="F972" s="25" t="str">
        <f>IFERROR(__xludf.DUMMYFUNCTION("""COMPUTED_VALUE"""),"55.796355")</f>
        <v>55.796355</v>
      </c>
      <c r="G972" s="6" t="str">
        <f>IFERROR(__xludf.DUMMYFUNCTION("""COMPUTED_VALUE"""),"37.780896")</f>
        <v>37.780896</v>
      </c>
      <c r="H972" s="18" t="str">
        <f>IFERROR(__xludf.DUMMYFUNCTION("""COMPUTED_VALUE"""),"https://docs.google.com/spreadsheets/d/1rbCD10ySi4YZEkJW2_Slmn9z7AI1WEsGsZaIJmnnT18/edit?gid=1108501275#gid=1108501275")</f>
        <v>https://docs.google.com/spreadsheets/d/1rbCD10ySi4YZEkJW2_Slmn9z7AI1WEsGsZaIJmnnT18/edit?gid=1108501275#gid=1108501275</v>
      </c>
      <c r="I972" s="19" t="str">
        <f>IFERROR(__xludf.DUMMYFUNCTION("""COMPUTED_VALUE"""),"https://disk.yandex.ru/client/disk/Осмотры%20объектов%20АНО%20СМГ/854%202-я%20Прядильная%20ул%2C%20зу%209")</f>
        <v>https://disk.yandex.ru/client/disk/Осмотры%20объектов%20АНО%20СМГ/854%202-я%20Прядильная%20ул%2C%20зу%209</v>
      </c>
      <c r="J972" s="50">
        <f>IFERROR(__xludf.DUMMYFUNCTION("""COMPUTED_VALUE"""),0.0)</f>
        <v>0</v>
      </c>
      <c r="K972" s="58">
        <f>IFERROR(__xludf.DUMMYFUNCTION("""COMPUTED_VALUE"""),45973.0)</f>
        <v>45973</v>
      </c>
      <c r="L972" s="6">
        <v>30.0</v>
      </c>
      <c r="M972" s="52">
        <v>46003.0</v>
      </c>
      <c r="N972" s="53" t="s">
        <v>711</v>
      </c>
      <c r="O972" s="19" t="s">
        <v>893</v>
      </c>
      <c r="P972" s="6"/>
      <c r="Q972" s="6" t="str">
        <f t="shared" si="1"/>
        <v>854</v>
      </c>
      <c r="R972" s="6"/>
    </row>
    <row r="973">
      <c r="A973" s="31" t="str">
        <f>IFERROR(__xludf.DUMMYFUNCTION("""COMPUTED_VALUE"""),"863")</f>
        <v>863</v>
      </c>
      <c r="B973" s="14" t="str">
        <f>IFERROR(__xludf.DUMMYFUNCTION("""COMPUTED_VALUE"""),"РЕН-26")</f>
        <v>РЕН-26</v>
      </c>
      <c r="C973" s="14" t="str">
        <f>IFERROR(__xludf.DUMMYFUNCTION("""COMPUTED_VALUE"""),"ОКС")</f>
        <v>ОКС</v>
      </c>
      <c r="D973" s="6"/>
      <c r="E973" s="14" t="str">
        <f>IFERROR(__xludf.DUMMYFUNCTION("""COMPUTED_VALUE"""),"ул. Каховка, земельный участок 14/2  ул. Каховка, земельный участок 14/2")</f>
        <v>ул. Каховка, земельный участок 14/2  ул. Каховка, земельный участок 14/2</v>
      </c>
      <c r="F973" s="25" t="str">
        <f>IFERROR(__xludf.DUMMYFUNCTION("""COMPUTED_VALUE"""),"55.655884")</f>
        <v>55.655884</v>
      </c>
      <c r="G973" s="6" t="str">
        <f>IFERROR(__xludf.DUMMYFUNCTION("""COMPUTED_VALUE"""),"37.576879")</f>
        <v>37.576879</v>
      </c>
      <c r="H973" s="18" t="str">
        <f>IFERROR(__xludf.DUMMYFUNCTION("""COMPUTED_VALUE"""),"https://docs.google.com/spreadsheets/d/1rbCD10ySi4YZEkJW2_Slmn9z7AI1WEsGsZaIJmnnT18/edit?gid=900983135#gid=900983135")</f>
        <v>https://docs.google.com/spreadsheets/d/1rbCD10ySi4YZEkJW2_Slmn9z7AI1WEsGsZaIJmnnT18/edit?gid=900983135#gid=900983135</v>
      </c>
      <c r="I973" s="19" t="str">
        <f>IFERROR(__xludf.DUMMYFUNCTION("""COMPUTED_VALUE"""),"https://disk.yandex.ru/client/disk/Осмотры%20объектов%20АНО%20СМГ/863.%20ул.%20Каховка%2C%20земельный%20участок%2014-2")</f>
        <v>https://disk.yandex.ru/client/disk/Осмотры%20объектов%20АНО%20СМГ/863.%20ул.%20Каховка%2C%20земельный%20участок%2014-2</v>
      </c>
      <c r="J973" s="50">
        <f>IFERROR(__xludf.DUMMYFUNCTION("""COMPUTED_VALUE"""),7.56)</f>
        <v>7.56</v>
      </c>
      <c r="K973" s="58">
        <f>IFERROR(__xludf.DUMMYFUNCTION("""COMPUTED_VALUE"""),45973.0)</f>
        <v>45973</v>
      </c>
      <c r="L973" s="6">
        <v>30.0</v>
      </c>
      <c r="M973" s="52">
        <v>46003.0</v>
      </c>
      <c r="N973" s="53" t="s">
        <v>711</v>
      </c>
      <c r="O973" s="19" t="s">
        <v>1198</v>
      </c>
      <c r="P973" s="6"/>
      <c r="Q973" s="6" t="str">
        <f t="shared" si="1"/>
        <v>863</v>
      </c>
      <c r="R973" s="6"/>
    </row>
    <row r="974">
      <c r="A974" s="31" t="str">
        <f>IFERROR(__xludf.DUMMYFUNCTION("""COMPUTED_VALUE"""),"1158")</f>
        <v>1158</v>
      </c>
      <c r="B974" s="14" t="str">
        <f>IFERROR(__xludf.DUMMYFUNCTION("""COMPUTED_VALUE"""),"РЕН-26")</f>
        <v>РЕН-26</v>
      </c>
      <c r="C974" s="14" t="str">
        <f>IFERROR(__xludf.DUMMYFUNCTION("""COMPUTED_VALUE"""),"ОКС")</f>
        <v>ОКС</v>
      </c>
      <c r="D974" s="6"/>
      <c r="E974" s="14" t="str">
        <f>IFERROR(__xludf.DUMMYFUNCTION("""COMPUTED_VALUE"""),"Волоколамское шоссе, мкр.16, зона №1.2 (2 очередь) район Покровское-Стрешнево, мкр.16, зона №1.2 (2 очередь) зу 108")</f>
        <v>Волоколамское шоссе, мкр.16, зона №1.2 (2 очередь) район Покровское-Стрешнево, мкр.16, зона №1.2 (2 очередь) зу 108</v>
      </c>
      <c r="F974" s="25" t="str">
        <f>IFERROR(__xludf.DUMMYFUNCTION("""COMPUTED_VALUE"""),"55.827311")</f>
        <v>55.827311</v>
      </c>
      <c r="G974" s="6" t="str">
        <f>IFERROR(__xludf.DUMMYFUNCTION("""COMPUTED_VALUE"""),"37.427854")</f>
        <v>37.427854</v>
      </c>
      <c r="H974" s="18" t="str">
        <f>IFERROR(__xludf.DUMMYFUNCTION("""COMPUTED_VALUE"""),"https://docs.google.com/spreadsheets/d/1rbCD10ySi4YZEkJW2_Slmn9z7AI1WEsGsZaIJmnnT18/edit?gid=679741287#gid=679741287")</f>
        <v>https://docs.google.com/spreadsheets/d/1rbCD10ySi4YZEkJW2_Slmn9z7AI1WEsGsZaIJmnnT18/edit?gid=679741287#gid=679741287</v>
      </c>
      <c r="I974" s="19" t="str">
        <f>IFERROR(__xludf.DUMMYFUNCTION("""COMPUTED_VALUE"""),"https://disk.yandex.ru/client/disk/Осмотры%20объектов%20АНО%20СМГ/1158%20Волоколамское%20шоссе%2Cмкр.%2016%20зона%201.2%20(2я%20очередь)")</f>
        <v>https://disk.yandex.ru/client/disk/Осмотры%20объектов%20АНО%20СМГ/1158%20Волоколамское%20шоссе%2Cмкр.%2016%20зона%201.2%20(2я%20очередь)</v>
      </c>
      <c r="J974" s="50">
        <f>IFERROR(__xludf.DUMMYFUNCTION("""COMPUTED_VALUE"""),0.0)</f>
        <v>0</v>
      </c>
      <c r="K974" s="58">
        <f>IFERROR(__xludf.DUMMYFUNCTION("""COMPUTED_VALUE"""),45974.0)</f>
        <v>45974</v>
      </c>
      <c r="L974" s="6">
        <v>30.0</v>
      </c>
      <c r="M974" s="52">
        <v>46004.0</v>
      </c>
      <c r="N974" s="53" t="s">
        <v>711</v>
      </c>
      <c r="O974" s="19" t="s">
        <v>893</v>
      </c>
      <c r="P974" s="6"/>
      <c r="Q974" s="6" t="str">
        <f t="shared" si="1"/>
        <v>1158</v>
      </c>
      <c r="R974" s="6"/>
    </row>
    <row r="975" hidden="1">
      <c r="A975" s="31" t="str">
        <f>IFERROR(__xludf.DUMMYFUNCTION("""COMPUTED_VALUE"""),"нд")</f>
        <v>нд</v>
      </c>
      <c r="B975" s="14" t="str">
        <f>IFERROR(__xludf.DUMMYFUNCTION("""COMPUTED_VALUE"""),"РЕН-27")</f>
        <v>РЕН-27</v>
      </c>
      <c r="C975" s="14" t="str">
        <f>IFERROR(__xludf.DUMMYFUNCTION("""COMPUTED_VALUE"""),"ОКС")</f>
        <v>ОКС</v>
      </c>
      <c r="D975" s="6"/>
      <c r="E975" s="14" t="str">
        <f>IFERROR(__xludf.DUMMYFUNCTION("""COMPUTED_VALUE"""),"Покровское-Стрешнево, мкр. 3, зона №2.1 г. Москва, внутригородское муниципальное образование Покровское-Стрешнево, улица Габричевского, земельный участок 3/2 (Северо-Западный административный округ)»")</f>
        <v>Покровское-Стрешнево, мкр. 3, зона №2.1 г. Москва, внутригородское муниципальное образование Покровское-Стрешнево, улица Габричевского, земельный участок 3/2 (Северо-Западный административный округ)»</v>
      </c>
      <c r="F975" s="25" t="str">
        <f>IFERROR(__xludf.DUMMYFUNCTION("""COMPUTED_VALUE"""),"#N/A")</f>
        <v>#N/A</v>
      </c>
      <c r="G975" s="6" t="str">
        <f>IFERROR(__xludf.DUMMYFUNCTION("""COMPUTED_VALUE"""),"#N/A")</f>
        <v>#N/A</v>
      </c>
      <c r="H975" s="6"/>
      <c r="I975" s="19"/>
      <c r="J975" s="50"/>
      <c r="K975" s="58"/>
      <c r="L975" s="6">
        <v>30.0</v>
      </c>
      <c r="M975" s="52" t="s">
        <v>655</v>
      </c>
      <c r="N975" s="53" t="s">
        <v>698</v>
      </c>
      <c r="O975" s="19" t="s">
        <v>893</v>
      </c>
      <c r="P975" s="6"/>
      <c r="Q975" s="6" t="str">
        <f t="shared" si="1"/>
        <v>#N/A</v>
      </c>
      <c r="R975" s="6"/>
    </row>
    <row r="976">
      <c r="A976" s="31" t="str">
        <f>IFERROR(__xludf.DUMMYFUNCTION("""COMPUTED_VALUE"""),"864")</f>
        <v>864</v>
      </c>
      <c r="B976" s="14" t="str">
        <f>IFERROR(__xludf.DUMMYFUNCTION("""COMPUTED_VALUE"""),"РЕН-26")</f>
        <v>РЕН-26</v>
      </c>
      <c r="C976" s="14" t="str">
        <f>IFERROR(__xludf.DUMMYFUNCTION("""COMPUTED_VALUE"""),"ОКС")</f>
        <v>ОКС</v>
      </c>
      <c r="D976" s="6"/>
      <c r="E976" s="14" t="str">
        <f>IFERROR(__xludf.DUMMYFUNCTION("""COMPUTED_VALUE"""),"ул. Свободы, мкр. 14  ул. Свободы, мкр. 14")</f>
        <v>ул. Свободы, мкр. 14  ул. Свободы, мкр. 14</v>
      </c>
      <c r="F976" s="25" t="str">
        <f>IFERROR(__xludf.DUMMYFUNCTION("""COMPUTED_VALUE"""),"55.824283")</f>
        <v>55.824283</v>
      </c>
      <c r="G976" s="6" t="str">
        <f>IFERROR(__xludf.DUMMYFUNCTION("""COMPUTED_VALUE"""),"37.449138")</f>
        <v>37.449138</v>
      </c>
      <c r="H976" s="18" t="str">
        <f>IFERROR(__xludf.DUMMYFUNCTION("""COMPUTED_VALUE"""),"https://docs.google.com/spreadsheets/d/1rbCD10ySi4YZEkJW2_Slmn9z7AI1WEsGsZaIJmnnT18/edit?gid=1315766169#gid=1315766169")</f>
        <v>https://docs.google.com/spreadsheets/d/1rbCD10ySi4YZEkJW2_Slmn9z7AI1WEsGsZaIJmnnT18/edit?gid=1315766169#gid=1315766169</v>
      </c>
      <c r="I976" s="19" t="str">
        <f>IFERROR(__xludf.DUMMYFUNCTION("""COMPUTED_VALUE"""),"https://disk.yandex.ru/client/disk/Осмотры%20объектов%20АНО%20СМГ/864.%20Москва%2C%20улица%20Свободы%2C%20(мкр%2014)%20д.1%20к.4")</f>
        <v>https://disk.yandex.ru/client/disk/Осмотры%20объектов%20АНО%20СМГ/864.%20Москва%2C%20улица%20Свободы%2C%20(мкр%2014)%20д.1%20к.4</v>
      </c>
      <c r="J976" s="50">
        <f>IFERROR(__xludf.DUMMYFUNCTION("""COMPUTED_VALUE"""),0.0)</f>
        <v>0</v>
      </c>
      <c r="K976" s="58">
        <f>IFERROR(__xludf.DUMMYFUNCTION("""COMPUTED_VALUE"""),45974.0)</f>
        <v>45974</v>
      </c>
      <c r="L976" s="6">
        <v>30.0</v>
      </c>
      <c r="M976" s="52">
        <v>46004.0</v>
      </c>
      <c r="N976" s="53" t="s">
        <v>711</v>
      </c>
      <c r="O976" s="19" t="s">
        <v>893</v>
      </c>
      <c r="P976" s="6"/>
      <c r="Q976" s="6" t="str">
        <f t="shared" si="1"/>
        <v>864</v>
      </c>
      <c r="R976" s="6"/>
    </row>
    <row r="977">
      <c r="A977" s="31" t="str">
        <f>IFERROR(__xludf.DUMMYFUNCTION("""COMPUTED_VALUE"""),"865")</f>
        <v>865</v>
      </c>
      <c r="B977" s="14" t="str">
        <f>IFERROR(__xludf.DUMMYFUNCTION("""COMPUTED_VALUE"""),"РЕН-26")</f>
        <v>РЕН-26</v>
      </c>
      <c r="C977" s="14" t="str">
        <f>IFERROR(__xludf.DUMMYFUNCTION("""COMPUTED_VALUE"""),"ОКС")</f>
        <v>ОКС</v>
      </c>
      <c r="D977" s="6"/>
      <c r="E977" s="14" t="str">
        <f>IFERROR(__xludf.DUMMYFUNCTION("""COMPUTED_VALUE"""),"Путевой проезд, микрорайон 3, зона №1.1 микрорайон 3 района Алтуфьевский, зона №1.1 ЗУ 34/2")</f>
        <v>Путевой проезд, микрорайон 3, зона №1.1 микрорайон 3 района Алтуфьевский, зона №1.1 ЗУ 34/2</v>
      </c>
      <c r="F977" s="25" t="str">
        <f>IFERROR(__xludf.DUMMYFUNCTION("""COMPUTED_VALUE"""),"55.876438")</f>
        <v>55.876438</v>
      </c>
      <c r="G977" s="6" t="str">
        <f>IFERROR(__xludf.DUMMYFUNCTION("""COMPUTED_VALUE"""),"37.572267")</f>
        <v>37.572267</v>
      </c>
      <c r="H977" s="18" t="str">
        <f>IFERROR(__xludf.DUMMYFUNCTION("""COMPUTED_VALUE"""),"https://docs.google.com/spreadsheets/d/1rbCD10ySi4YZEkJW2_Slmn9z7AI1WEsGsZaIJmnnT18/edit?gid=667094303#gid=667094303")</f>
        <v>https://docs.google.com/spreadsheets/d/1rbCD10ySi4YZEkJW2_Slmn9z7AI1WEsGsZaIJmnnT18/edit?gid=667094303#gid=667094303</v>
      </c>
      <c r="I977"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7" s="50">
        <f>IFERROR(__xludf.DUMMYFUNCTION("""COMPUTED_VALUE"""),0.0)</f>
        <v>0</v>
      </c>
      <c r="K977" s="58">
        <f>IFERROR(__xludf.DUMMYFUNCTION("""COMPUTED_VALUE"""),45973.0)</f>
        <v>45973</v>
      </c>
      <c r="L977" s="6">
        <v>30.0</v>
      </c>
      <c r="M977" s="52">
        <v>46003.0</v>
      </c>
      <c r="N977" s="53" t="s">
        <v>711</v>
      </c>
      <c r="O977" s="19" t="s">
        <v>893</v>
      </c>
      <c r="P977" s="6"/>
      <c r="Q977" s="6" t="str">
        <f t="shared" si="1"/>
        <v>865</v>
      </c>
      <c r="R977" s="6"/>
    </row>
    <row r="978">
      <c r="A978" s="31" t="str">
        <f>IFERROR(__xludf.DUMMYFUNCTION("""COMPUTED_VALUE"""),"865")</f>
        <v>865</v>
      </c>
      <c r="B978" s="14" t="str">
        <f>IFERROR(__xludf.DUMMYFUNCTION("""COMPUTED_VALUE"""),"РЕН-26")</f>
        <v>РЕН-26</v>
      </c>
      <c r="C978" s="14" t="str">
        <f>IFERROR(__xludf.DUMMYFUNCTION("""COMPUTED_VALUE"""),"ОКС")</f>
        <v>ОКС</v>
      </c>
      <c r="D978" s="6"/>
      <c r="E978" s="14" t="str">
        <f>IFERROR(__xludf.DUMMYFUNCTION("""COMPUTED_VALUE"""),"Путевой проезд, микрорайон 3, зона №1.3 Путевый проезд, д. 30) по адресу: микрорайон 3 района Алтуфьевский, зона №1.3 ЗУ30")</f>
        <v>Путевой проезд, микрорайон 3, зона №1.3 Путевый проезд, д. 30) по адресу: микрорайон 3 района Алтуфьевский, зона №1.3 ЗУ30</v>
      </c>
      <c r="F978" s="25" t="str">
        <f>IFERROR(__xludf.DUMMYFUNCTION("""COMPUTED_VALUE"""),"55.876438")</f>
        <v>55.876438</v>
      </c>
      <c r="G978" s="6" t="str">
        <f>IFERROR(__xludf.DUMMYFUNCTION("""COMPUTED_VALUE"""),"37.572267")</f>
        <v>37.572267</v>
      </c>
      <c r="H978" s="18" t="str">
        <f>IFERROR(__xludf.DUMMYFUNCTION("""COMPUTED_VALUE"""),"https://docs.google.com/spreadsheets/d/1rbCD10ySi4YZEkJW2_Slmn9z7AI1WEsGsZaIJmnnT18/edit?gid=667094303#gid=667094303")</f>
        <v>https://docs.google.com/spreadsheets/d/1rbCD10ySi4YZEkJW2_Slmn9z7AI1WEsGsZaIJmnnT18/edit?gid=667094303#gid=667094303</v>
      </c>
      <c r="I978"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8" s="50">
        <f>IFERROR(__xludf.DUMMYFUNCTION("""COMPUTED_VALUE"""),0.0)</f>
        <v>0</v>
      </c>
      <c r="K978" s="58">
        <f>IFERROR(__xludf.DUMMYFUNCTION("""COMPUTED_VALUE"""),45973.0)</f>
        <v>45973</v>
      </c>
      <c r="L978" s="6">
        <v>30.0</v>
      </c>
      <c r="M978" s="52">
        <v>46003.0</v>
      </c>
      <c r="N978" s="53" t="s">
        <v>711</v>
      </c>
      <c r="O978" s="19" t="s">
        <v>893</v>
      </c>
      <c r="P978" s="6"/>
      <c r="Q978" s="6" t="str">
        <f t="shared" si="1"/>
        <v>865</v>
      </c>
      <c r="R978" s="6"/>
    </row>
    <row r="979">
      <c r="A979" s="31" t="str">
        <f>IFERROR(__xludf.DUMMYFUNCTION("""COMPUTED_VALUE"""),"865")</f>
        <v>865</v>
      </c>
      <c r="B979" s="14" t="str">
        <f>IFERROR(__xludf.DUMMYFUNCTION("""COMPUTED_VALUE"""),"РЕН-26")</f>
        <v>РЕН-26</v>
      </c>
      <c r="C979" s="14" t="str">
        <f>IFERROR(__xludf.DUMMYFUNCTION("""COMPUTED_VALUE"""),"ОКС")</f>
        <v>ОКС</v>
      </c>
      <c r="D979" s="6"/>
      <c r="E979" s="14" t="str">
        <f>IFERROR(__xludf.DUMMYFUNCTION("""COMPUTED_VALUE"""),"Путевой проезд, микрорайон 3, зона №1.2 микрорайон 3 района Алтуфьевский, зона №1.2")</f>
        <v>Путевой проезд, микрорайон 3, зона №1.2 микрорайон 3 района Алтуфьевский, зона №1.2</v>
      </c>
      <c r="F979" s="25" t="str">
        <f>IFERROR(__xludf.DUMMYFUNCTION("""COMPUTED_VALUE"""),"55.876438")</f>
        <v>55.876438</v>
      </c>
      <c r="G979" s="6" t="str">
        <f>IFERROR(__xludf.DUMMYFUNCTION("""COMPUTED_VALUE"""),"37.572267")</f>
        <v>37.572267</v>
      </c>
      <c r="H979" s="18" t="str">
        <f>IFERROR(__xludf.DUMMYFUNCTION("""COMPUTED_VALUE"""),"https://docs.google.com/spreadsheets/d/1rbCD10ySi4YZEkJW2_Slmn9z7AI1WEsGsZaIJmnnT18/edit?gid=667094303#gid=667094303")</f>
        <v>https://docs.google.com/spreadsheets/d/1rbCD10ySi4YZEkJW2_Slmn9z7AI1WEsGsZaIJmnnT18/edit?gid=667094303#gid=667094303</v>
      </c>
      <c r="I979" s="19" t="str">
        <f>IFERROR(__xludf.DUMMYFUNCTION("""COMPUTED_VALUE"""),"https://disk.yandex.ru/client/disk/Осмотры%20объектов%20АНО%20СМГ/865%20Путевой%20проезд%20микрорайон%203%2C%20(зоны%201.1%2C%201.2%2C%201.3)")</f>
        <v>https://disk.yandex.ru/client/disk/Осмотры%20объектов%20АНО%20СМГ/865%20Путевой%20проезд%20микрорайон%203%2C%20(зоны%201.1%2C%201.2%2C%201.3)</v>
      </c>
      <c r="J979" s="50">
        <f>IFERROR(__xludf.DUMMYFUNCTION("""COMPUTED_VALUE"""),0.0)</f>
        <v>0</v>
      </c>
      <c r="K979" s="58">
        <f>IFERROR(__xludf.DUMMYFUNCTION("""COMPUTED_VALUE"""),45973.0)</f>
        <v>45973</v>
      </c>
      <c r="L979" s="6">
        <v>30.0</v>
      </c>
      <c r="M979" s="52">
        <v>46003.0</v>
      </c>
      <c r="N979" s="53" t="s">
        <v>711</v>
      </c>
      <c r="O979" s="19" t="s">
        <v>893</v>
      </c>
      <c r="P979" s="6"/>
      <c r="Q979" s="6" t="str">
        <f t="shared" si="1"/>
        <v>865</v>
      </c>
      <c r="R979" s="6"/>
    </row>
    <row r="980">
      <c r="A980" s="31" t="str">
        <f>IFERROR(__xludf.DUMMYFUNCTION("""COMPUTED_VALUE"""),"867")</f>
        <v>867</v>
      </c>
      <c r="B980" s="14" t="str">
        <f>IFERROR(__xludf.DUMMYFUNCTION("""COMPUTED_VALUE"""),"РЕН-26")</f>
        <v>РЕН-26</v>
      </c>
      <c r="C980" s="14" t="str">
        <f>IFERROR(__xludf.DUMMYFUNCTION("""COMPUTED_VALUE"""),"ОКС")</f>
        <v>ОКС</v>
      </c>
      <c r="D980" s="6"/>
      <c r="E980" s="14" t="str">
        <f>IFERROR(__xludf.DUMMYFUNCTION("""COMPUTED_VALUE"""),"Алтуфьевский район, микрорайон 1-2, зона №24.1 Алтуфьевский район, микрорайон 1-2, зона №24.1 (Инженерная улица, д.10. корп. 2)")</f>
        <v>Алтуфьевский район, микрорайон 1-2, зона №24.1 Алтуфьевский район, микрорайон 1-2, зона №24.1 (Инженерная улица, д.10. корп. 2)</v>
      </c>
      <c r="F980" s="25" t="str">
        <f>IFERROR(__xludf.DUMMYFUNCTION("""COMPUTED_VALUE"""),"55.880778")</f>
        <v>55.880778</v>
      </c>
      <c r="G980" s="6" t="str">
        <f>IFERROR(__xludf.DUMMYFUNCTION("""COMPUTED_VALUE"""),"37.581837")</f>
        <v>37.581837</v>
      </c>
      <c r="H980" s="18" t="str">
        <f>IFERROR(__xludf.DUMMYFUNCTION("""COMPUTED_VALUE"""),"https://docs.google.com/spreadsheets/d/1rbCD10ySi4YZEkJW2_Slmn9z7AI1WEsGsZaIJmnnT18/edit?gid=151666570#gid=151666570")</f>
        <v>https://docs.google.com/spreadsheets/d/1rbCD10ySi4YZEkJW2_Slmn9z7AI1WEsGsZaIJmnnT18/edit?gid=151666570#gid=151666570</v>
      </c>
      <c r="I980" s="19" t="str">
        <f>IFERROR(__xludf.DUMMYFUNCTION("""COMPUTED_VALUE"""),"https://disk.yandex.ru/client/disk/Осмотры%20объектов%20АНО%20СМГ/867%20Алтуфьевский%20район%20микрорайон%201-2%2C%20зона%20№24.1")</f>
        <v>https://disk.yandex.ru/client/disk/Осмотры%20объектов%20АНО%20СМГ/867%20Алтуфьевский%20район%20микрорайон%201-2%2C%20зона%20№24.1</v>
      </c>
      <c r="J980" s="50">
        <f>IFERROR(__xludf.DUMMYFUNCTION("""COMPUTED_VALUE"""),0.0)</f>
        <v>0</v>
      </c>
      <c r="K980" s="58">
        <f>IFERROR(__xludf.DUMMYFUNCTION("""COMPUTED_VALUE"""),45973.0)</f>
        <v>45973</v>
      </c>
      <c r="L980" s="6">
        <v>30.0</v>
      </c>
      <c r="M980" s="52">
        <v>46003.0</v>
      </c>
      <c r="N980" s="53" t="s">
        <v>711</v>
      </c>
      <c r="O980" s="19" t="s">
        <v>893</v>
      </c>
      <c r="P980" s="6"/>
      <c r="Q980" s="6" t="str">
        <f t="shared" si="1"/>
        <v>867</v>
      </c>
      <c r="R980" s="6"/>
    </row>
    <row r="981">
      <c r="A981" s="31" t="str">
        <f>IFERROR(__xludf.DUMMYFUNCTION("""COMPUTED_VALUE"""),"868")</f>
        <v>868</v>
      </c>
      <c r="B981" s="14" t="str">
        <f>IFERROR(__xludf.DUMMYFUNCTION("""COMPUTED_VALUE"""),"РЕН-26")</f>
        <v>РЕН-26</v>
      </c>
      <c r="C981" s="14" t="str">
        <f>IFERROR(__xludf.DUMMYFUNCTION("""COMPUTED_VALUE"""),"ОКС")</f>
        <v>ОКС</v>
      </c>
      <c r="D981" s="6"/>
      <c r="E981" s="14" t="str">
        <f>IFERROR(__xludf.DUMMYFUNCTION("""COMPUTED_VALUE"""),"3-я Парковая ул.,  зона 4.2 (к.4) 3-я Парковая ул.,  зона 4.2 (к.4) ЗУ 46/1")</f>
        <v>3-я Парковая ул.,  зона 4.2 (к.4) 3-я Парковая ул.,  зона 4.2 (к.4) ЗУ 46/1</v>
      </c>
      <c r="F981" s="25" t="str">
        <f>IFERROR(__xludf.DUMMYFUNCTION("""COMPUTED_VALUE"""),"55.805665")</f>
        <v>55.805665</v>
      </c>
      <c r="G981" s="6" t="str">
        <f>IFERROR(__xludf.DUMMYFUNCTION("""COMPUTED_VALUE"""),"37.783050")</f>
        <v>37.783050</v>
      </c>
      <c r="H981" s="18" t="str">
        <f>IFERROR(__xludf.DUMMYFUNCTION("""COMPUTED_VALUE"""),"https://docs.google.com/spreadsheets/d/1rbCD10ySi4YZEkJW2_Slmn9z7AI1WEsGsZaIJmnnT18/edit?gid=1853936778#gid=1853936778")</f>
        <v>https://docs.google.com/spreadsheets/d/1rbCD10ySi4YZEkJW2_Slmn9z7AI1WEsGsZaIJmnnT18/edit?gid=1853936778#gid=1853936778</v>
      </c>
      <c r="I981" s="19" t="str">
        <f>IFERROR(__xludf.DUMMYFUNCTION("""COMPUTED_VALUE"""),"https://disk.yandex.ru/client/disk/Осмотры%20объектов%20АНО%20СМГ/868%203-я%20Парковая%20зона%204.2")</f>
        <v>https://disk.yandex.ru/client/disk/Осмотры%20объектов%20АНО%20СМГ/868%203-я%20Парковая%20зона%204.2</v>
      </c>
      <c r="J981" s="50">
        <f>IFERROR(__xludf.DUMMYFUNCTION("""COMPUTED_VALUE"""),0.0)</f>
        <v>0</v>
      </c>
      <c r="K981" s="58">
        <f>IFERROR(__xludf.DUMMYFUNCTION("""COMPUTED_VALUE"""),45973.0)</f>
        <v>45973</v>
      </c>
      <c r="L981" s="6">
        <v>30.0</v>
      </c>
      <c r="M981" s="52">
        <v>46003.0</v>
      </c>
      <c r="N981" s="53" t="s">
        <v>711</v>
      </c>
      <c r="O981" s="19" t="s">
        <v>893</v>
      </c>
      <c r="P981" s="6"/>
      <c r="Q981" s="6" t="str">
        <f t="shared" si="1"/>
        <v>868</v>
      </c>
      <c r="R981" s="6"/>
    </row>
    <row r="982">
      <c r="A982" s="31" t="str">
        <f>IFERROR(__xludf.DUMMYFUNCTION("""COMPUTED_VALUE"""),"872")</f>
        <v>872</v>
      </c>
      <c r="B982" s="14" t="str">
        <f>IFERROR(__xludf.DUMMYFUNCTION("""COMPUTED_VALUE"""),"РЕН-26")</f>
        <v>РЕН-26</v>
      </c>
      <c r="C982" s="14" t="str">
        <f>IFERROR(__xludf.DUMMYFUNCTION("""COMPUTED_VALUE"""),"ОКС")</f>
        <v>ОКС</v>
      </c>
      <c r="D982" s="6"/>
      <c r="E982" s="14" t="str">
        <f>IFERROR(__xludf.DUMMYFUNCTION("""COMPUTED_VALUE"""),"улица Перовская, земельный участок 46/48 (Перовская ул., вл. 46/48) улица Перовская, земельный участок 46/48(Перовская ул., вл. 46)")</f>
        <v>улица Перовская, земельный участок 46/48 (Перовская ул., вл. 46/48) улица Перовская, земельный участок 46/48(Перовская ул., вл. 46)</v>
      </c>
      <c r="F982" s="25" t="str">
        <f>IFERROR(__xludf.DUMMYFUNCTION("""COMPUTED_VALUE"""),"55.745179")</f>
        <v>55.745179</v>
      </c>
      <c r="G982" s="6" t="str">
        <f>IFERROR(__xludf.DUMMYFUNCTION("""COMPUTED_VALUE"""),"37.783815")</f>
        <v>37.783815</v>
      </c>
      <c r="H982" s="18" t="str">
        <f>IFERROR(__xludf.DUMMYFUNCTION("""COMPUTED_VALUE"""),"https://docs.google.com/spreadsheets/d/1rbCD10ySi4YZEkJW2_Slmn9z7AI1WEsGsZaIJmnnT18/edit?gid=590835051#gid=590835051")</f>
        <v>https://docs.google.com/spreadsheets/d/1rbCD10ySi4YZEkJW2_Slmn9z7AI1WEsGsZaIJmnnT18/edit?gid=590835051#gid=590835051</v>
      </c>
      <c r="I982" s="19" t="str">
        <f>IFERROR(__xludf.DUMMYFUNCTION("""COMPUTED_VALUE"""),"https://disk.yandex.ru/client/disk/Осмотры%20объектов%20АНО%20СМГ/872%20ул.%20Перовская%20зем.%20уч.%2046-48")</f>
        <v>https://disk.yandex.ru/client/disk/Осмотры%20объектов%20АНО%20СМГ/872%20ул.%20Перовская%20зем.%20уч.%2046-48</v>
      </c>
      <c r="J982" s="50">
        <f>IFERROR(__xludf.DUMMYFUNCTION("""COMPUTED_VALUE"""),0.0)</f>
        <v>0</v>
      </c>
      <c r="K982" s="58">
        <f>IFERROR(__xludf.DUMMYFUNCTION("""COMPUTED_VALUE"""),45973.0)</f>
        <v>45973</v>
      </c>
      <c r="L982" s="6">
        <v>30.0</v>
      </c>
      <c r="M982" s="52">
        <v>46003.0</v>
      </c>
      <c r="N982" s="53" t="s">
        <v>711</v>
      </c>
      <c r="O982" s="19" t="s">
        <v>893</v>
      </c>
      <c r="P982" s="6"/>
      <c r="Q982" s="6" t="str">
        <f t="shared" si="1"/>
        <v>872</v>
      </c>
      <c r="R982" s="6"/>
    </row>
    <row r="983">
      <c r="A983" s="31" t="str">
        <f>IFERROR(__xludf.DUMMYFUNCTION("""COMPUTED_VALUE"""),"948")</f>
        <v>948</v>
      </c>
      <c r="B983" s="14" t="str">
        <f>IFERROR(__xludf.DUMMYFUNCTION("""COMPUTED_VALUE"""),"РЕН-26")</f>
        <v>РЕН-26</v>
      </c>
      <c r="C983" s="14" t="str">
        <f>IFERROR(__xludf.DUMMYFUNCTION("""COMPUTED_VALUE"""),"ОКС")</f>
        <v>ОКС</v>
      </c>
      <c r="D983" s="6"/>
      <c r="E983" s="14" t="str">
        <f>IFERROR(__xludf.DUMMYFUNCTION("""COMPUTED_VALUE"""),"улица Братская, земельный участок 23 (Братская ул., вл. 23) Братская ул., вл. 23")</f>
        <v>улица Братская, земельный участок 23 (Братская ул., вл. 23) Братская ул., вл. 23</v>
      </c>
      <c r="F983" s="25" t="str">
        <f>IFERROR(__xludf.DUMMYFUNCTION("""COMPUTED_VALUE"""),"55.749281")</f>
        <v>55.749281</v>
      </c>
      <c r="G983" s="6" t="str">
        <f>IFERROR(__xludf.DUMMYFUNCTION("""COMPUTED_VALUE"""),"37.795311")</f>
        <v>37.795311</v>
      </c>
      <c r="H983" s="18" t="str">
        <f>IFERROR(__xludf.DUMMYFUNCTION("""COMPUTED_VALUE"""),"https://docs.google.com/spreadsheets/d/1rbCD10ySi4YZEkJW2_Slmn9z7AI1WEsGsZaIJmnnT18/edit?gid=238290316#gid=238290316")</f>
        <v>https://docs.google.com/spreadsheets/d/1rbCD10ySi4YZEkJW2_Slmn9z7AI1WEsGsZaIJmnnT18/edit?gid=238290316#gid=238290316</v>
      </c>
      <c r="I983" s="19" t="str">
        <f>IFERROR(__xludf.DUMMYFUNCTION("""COMPUTED_VALUE"""),"https://disk.yandex.ru/client/disk/Осмотры%20объектов%20АНО%20СМГ/948%20ул.%20Братская%2C%20вл.23")</f>
        <v>https://disk.yandex.ru/client/disk/Осмотры%20объектов%20АНО%20СМГ/948%20ул.%20Братская%2C%20вл.23</v>
      </c>
      <c r="J983" s="50">
        <f>IFERROR(__xludf.DUMMYFUNCTION("""COMPUTED_VALUE"""),0.0)</f>
        <v>0</v>
      </c>
      <c r="K983" s="58">
        <f>IFERROR(__xludf.DUMMYFUNCTION("""COMPUTED_VALUE"""),45973.0)</f>
        <v>45973</v>
      </c>
      <c r="L983" s="6">
        <v>30.0</v>
      </c>
      <c r="M983" s="52">
        <v>46003.0</v>
      </c>
      <c r="N983" s="53" t="s">
        <v>711</v>
      </c>
      <c r="O983" s="19" t="s">
        <v>1172</v>
      </c>
      <c r="P983" s="6"/>
      <c r="Q983" s="6" t="str">
        <f t="shared" si="1"/>
        <v>948</v>
      </c>
      <c r="R983" s="6"/>
    </row>
    <row r="984" hidden="1">
      <c r="A984" s="31" t="str">
        <f>IFERROR(__xludf.DUMMYFUNCTION("""COMPUTED_VALUE"""),"792")</f>
        <v>792</v>
      </c>
      <c r="B984" s="14" t="str">
        <f>IFERROR(__xludf.DUMMYFUNCTION("""COMPUTED_VALUE"""),"РЕН-26")</f>
        <v>РЕН-26</v>
      </c>
      <c r="C984" s="14" t="str">
        <f>IFERROR(__xludf.DUMMYFUNCTION("""COMPUTED_VALUE"""),"ОКС")</f>
        <v>ОКС</v>
      </c>
      <c r="D984" s="6"/>
      <c r="E984" s="14" t="str">
        <f>IFERROR(__xludf.DUMMYFUNCTION("""COMPUTED_VALUE"""),"Бескудниковский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f>
        <v>Бескудниковский бульвар, земельный участок 48 (Зоны 3.2, 3.4) (Приобретение объектов недвижимости) Бескудниковский бульвар, земельный участок 48 (Зоны 3.2, 3.4) (Приобретение объектов недвижимости)</v>
      </c>
      <c r="F984" s="25" t="str">
        <f>IFERROR(__xludf.DUMMYFUNCTION("""COMPUTED_VALUE"""),"55.873961")</f>
        <v>55.873961</v>
      </c>
      <c r="G984" s="6" t="str">
        <f>IFERROR(__xludf.DUMMYFUNCTION("""COMPUTED_VALUE"""),"37.542338")</f>
        <v>37.542338</v>
      </c>
      <c r="H984" s="18" t="str">
        <f>IFERROR(__xludf.DUMMYFUNCTION("""COMPUTED_VALUE"""),"https://docs.google.com/spreadsheets/d/1rbCD10ySi4YZEkJW2_Slmn9z7AI1WEsGsZaIJmnnT18/edit?gid=105663629#gid=105663629")</f>
        <v>https://docs.google.com/spreadsheets/d/1rbCD10ySi4YZEkJW2_Slmn9z7AI1WEsGsZaIJmnnT18/edit?gid=105663629#gid=105663629</v>
      </c>
      <c r="I984" s="19" t="str">
        <f>IFERROR(__xludf.DUMMYFUNCTION("""COMPUTED_VALUE"""),"https://disk.yandex.ru/client/disk/Осмотры%20объектов%20АНО%20СМГ/792.%20Бескудниковский%20бульвар%2048")</f>
        <v>https://disk.yandex.ru/client/disk/Осмотры%20объектов%20АНО%20СМГ/792.%20Бескудниковский%20бульвар%2048</v>
      </c>
      <c r="J984" s="50">
        <f>IFERROR(__xludf.DUMMYFUNCTION("""COMPUTED_VALUE"""),3.87)</f>
        <v>3.87</v>
      </c>
      <c r="K984" s="58">
        <f>IFERROR(__xludf.DUMMYFUNCTION("""COMPUTED_VALUE"""),45960.0)</f>
        <v>45960</v>
      </c>
      <c r="L984" s="6">
        <v>30.0</v>
      </c>
      <c r="M984" s="52">
        <v>45990.0</v>
      </c>
      <c r="N984" s="53" t="s">
        <v>692</v>
      </c>
      <c r="O984" s="19" t="s">
        <v>1199</v>
      </c>
      <c r="P984" s="6"/>
      <c r="Q984" s="6" t="str">
        <f t="shared" si="1"/>
        <v>#N/A</v>
      </c>
      <c r="R984" s="6"/>
    </row>
    <row r="985" hidden="1">
      <c r="A985" s="31" t="str">
        <f>IFERROR(__xludf.DUMMYFUNCTION("""COMPUTED_VALUE"""),"793")</f>
        <v>793</v>
      </c>
      <c r="B985" s="14" t="str">
        <f>IFERROR(__xludf.DUMMYFUNCTION("""COMPUTED_VALUE"""),"РЕН-26")</f>
        <v>РЕН-26</v>
      </c>
      <c r="C985" s="14" t="str">
        <f>IFERROR(__xludf.DUMMYFUNCTION("""COMPUTED_VALUE"""),"ОКС")</f>
        <v>ОКС</v>
      </c>
      <c r="D985" s="6"/>
      <c r="E985" s="14" t="str">
        <f>IFERROR(__xludf.DUMMYFUNCTION("""COMPUTED_VALUE"""),"Коровинское шоссе, земельный участок 4/6 (зона 14.1) САО	Коровинское шоссе, земельный участок 4/6 (зона 14.1)")</f>
        <v>Коровинское шоссе, земельный участок 4/6 (зона 14.1) САО	Коровинское шоссе, земельный участок 4/6 (зона 14.1)</v>
      </c>
      <c r="F985" s="25" t="str">
        <f>IFERROR(__xludf.DUMMYFUNCTION("""COMPUTED_VALUE"""),"55.867821")</f>
        <v>55.867821</v>
      </c>
      <c r="G985" s="6" t="str">
        <f>IFERROR(__xludf.DUMMYFUNCTION("""COMPUTED_VALUE"""),"37.540333")</f>
        <v>37.540333</v>
      </c>
      <c r="H985" s="18" t="str">
        <f>IFERROR(__xludf.DUMMYFUNCTION("""COMPUTED_VALUE"""),"https://docs.google.com/spreadsheets/d/1rbCD10ySi4YZEkJW2_Slmn9z7AI1WEsGsZaIJmnnT18/edit?gid=583489484#gid=583489484")</f>
        <v>https://docs.google.com/spreadsheets/d/1rbCD10ySi4YZEkJW2_Slmn9z7AI1WEsGsZaIJmnnT18/edit?gid=583489484#gid=583489484</v>
      </c>
      <c r="I985" s="19" t="str">
        <f>IFERROR(__xludf.DUMMYFUNCTION("""COMPUTED_VALUE"""),"https://disk.yandex.ru/client/disk/Осмотры%20объектов%20АНО%20СМГ/793.%20Коровинское%20шоссе%204%5C6")</f>
        <v>https://disk.yandex.ru/client/disk/Осмотры%20объектов%20АНО%20СМГ/793.%20Коровинское%20шоссе%204%5C6</v>
      </c>
      <c r="J985" s="50">
        <f>IFERROR(__xludf.DUMMYFUNCTION("""COMPUTED_VALUE"""),0.0)</f>
        <v>0</v>
      </c>
      <c r="K985" s="58">
        <f>IFERROR(__xludf.DUMMYFUNCTION("""COMPUTED_VALUE"""),45974.0)</f>
        <v>45974</v>
      </c>
      <c r="L985" s="6">
        <v>30.0</v>
      </c>
      <c r="M985" s="52">
        <v>46004.0</v>
      </c>
      <c r="N985" s="53" t="s">
        <v>711</v>
      </c>
      <c r="O985" s="19" t="s">
        <v>893</v>
      </c>
      <c r="P985" s="6"/>
      <c r="Q985" s="6" t="str">
        <f t="shared" si="1"/>
        <v>#N/A</v>
      </c>
      <c r="R985" s="6"/>
    </row>
    <row r="986" hidden="1">
      <c r="A986" s="31" t="str">
        <f>IFERROR(__xludf.DUMMYFUNCTION("""COMPUTED_VALUE"""),"797")</f>
        <v>797</v>
      </c>
      <c r="B986" s="14" t="str">
        <f>IFERROR(__xludf.DUMMYFUNCTION("""COMPUTED_VALUE"""),"РЕН-26")</f>
        <v>РЕН-26</v>
      </c>
      <c r="C986" s="14" t="str">
        <f>IFERROR(__xludf.DUMMYFUNCTION("""COMPUTED_VALUE"""),"ОКС")</f>
        <v>ОКС</v>
      </c>
      <c r="D986" s="6"/>
      <c r="E986" s="14" t="str">
        <f>IFERROR(__xludf.DUMMYFUNCTION("""COMPUTED_VALUE"""),"Коровинское шоссе, земельный участок 2/4 (Зоны 11.1 и 11.2) Коровинское шоссе, земельный участок 2/4 (Зоны 11.1 и 11.2)")</f>
        <v>Коровинское шоссе, земельный участок 2/4 (Зоны 11.1 и 11.2) Коровинское шоссе, земельный участок 2/4 (Зоны 11.1 и 11.2)</v>
      </c>
      <c r="F986" s="25" t="str">
        <f>IFERROR(__xludf.DUMMYFUNCTION("""COMPUTED_VALUE"""),"55.86764")</f>
        <v>55.86764</v>
      </c>
      <c r="G986" s="6" t="str">
        <f>IFERROR(__xludf.DUMMYFUNCTION("""COMPUTED_VALUE"""),"37.541669")</f>
        <v>37.541669</v>
      </c>
      <c r="H986" s="18" t="str">
        <f>IFERROR(__xludf.DUMMYFUNCTION("""COMPUTED_VALUE"""),"https://docs.google.com/spreadsheets/d/1rbCD10ySi4YZEkJW2_Slmn9z7AI1WEsGsZaIJmnnT18/edit?gid=783421015#gid=783421015")</f>
        <v>https://docs.google.com/spreadsheets/d/1rbCD10ySi4YZEkJW2_Slmn9z7AI1WEsGsZaIJmnnT18/edit?gid=783421015#gid=783421015</v>
      </c>
      <c r="I986" s="19" t="str">
        <f>IFERROR(__xludf.DUMMYFUNCTION("""COMPUTED_VALUE"""),"https://disk.yandex.ru/client/disk/Осмотры%20объектов%20АНО%20СМГ/797.%20Коровинское%20шоссе%20зу%202%5C4")</f>
        <v>https://disk.yandex.ru/client/disk/Осмотры%20объектов%20АНО%20СМГ/797.%20Коровинское%20шоссе%20зу%202%5C4</v>
      </c>
      <c r="J986" s="50">
        <f>IFERROR(__xludf.DUMMYFUNCTION("""COMPUTED_VALUE"""),0.0)</f>
        <v>0</v>
      </c>
      <c r="K986" s="58">
        <f>IFERROR(__xludf.DUMMYFUNCTION("""COMPUTED_VALUE"""),45974.0)</f>
        <v>45974</v>
      </c>
      <c r="L986" s="6">
        <v>30.0</v>
      </c>
      <c r="M986" s="52">
        <v>46004.0</v>
      </c>
      <c r="N986" s="53" t="s">
        <v>711</v>
      </c>
      <c r="O986" s="19" t="s">
        <v>1200</v>
      </c>
      <c r="P986" s="6"/>
      <c r="Q986" s="6" t="str">
        <f t="shared" si="1"/>
        <v>#N/A</v>
      </c>
      <c r="R986" s="6"/>
    </row>
    <row r="987" hidden="1">
      <c r="A987" s="31" t="str">
        <f>IFERROR(__xludf.DUMMYFUNCTION("""COMPUTED_VALUE"""),"583")</f>
        <v>583</v>
      </c>
      <c r="B987" s="14" t="str">
        <f>IFERROR(__xludf.DUMMYFUNCTION("""COMPUTED_VALUE"""),"РЕН-26")</f>
        <v>РЕН-26</v>
      </c>
      <c r="C987" s="14" t="str">
        <f>IFERROR(__xludf.DUMMYFUNCTION("""COMPUTED_VALUE"""),"ОКС")</f>
        <v>ОКС</v>
      </c>
      <c r="D987" s="6"/>
      <c r="E987" s="14" t="str">
        <f>IFERROR(__xludf.DUMMYFUNCTION("""COMPUTED_VALUE"""),"ул. Кубинка, з/у 16/1 (ул. Кубинка вл. 16-1) ЗАО, Можайский район, ул. Кубинка, земельный участок 16/1  (со сносом жилых зданий по адресу: ул. Кубинка, д.16 к.1) (кв. 71-72, 75 зона 4.1)")</f>
        <v>ул. Кубинка, з/у 16/1 (ул. Кубинка вл. 16-1) ЗАО, Можайский район, ул. Кубинка, земельный участок 16/1  (со сносом жилых зданий по адресу: ул. Кубинка, д.16 к.1) (кв. 71-72, 75 зона 4.1)</v>
      </c>
      <c r="F987" s="25" t="str">
        <f>IFERROR(__xludf.DUMMYFUNCTION("""COMPUTED_VALUE"""),"55.721179")</f>
        <v>55.721179</v>
      </c>
      <c r="G987" s="6" t="str">
        <f>IFERROR(__xludf.DUMMYFUNCTION("""COMPUTED_VALUE"""),"37.407834")</f>
        <v>37.407834</v>
      </c>
      <c r="H987" s="18" t="str">
        <f>IFERROR(__xludf.DUMMYFUNCTION("""COMPUTED_VALUE"""),"https://docs.google.com/spreadsheets/d/1rbCD10ySi4YZEkJW2_Slmn9z7AI1WEsGsZaIJmnnT18/edit?gid=795869723#gid=795869723")</f>
        <v>https://docs.google.com/spreadsheets/d/1rbCD10ySi4YZEkJW2_Slmn9z7AI1WEsGsZaIJmnnT18/edit?gid=795869723#gid=795869723</v>
      </c>
      <c r="I987" s="19" t="str">
        <f>IFERROR(__xludf.DUMMYFUNCTION("""COMPUTED_VALUE"""),"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amp;"075%20зона%204.1)")</f>
        <v>https://disk.yandex.ru/client/disk/Осмотры%20объектов%20АНО%20СМГ/583.%20ЗАО%2C%20Можайский%20район%2C%20ул.%20Кубинка%2C%20земельный%20участок%2016-1%20%20(со%20сносом%20жилых%20зданий%20по%20адресу%3A%20ул.%20Кубинка%2C%20д.16%20к.1)%20(кв.%2071-72%2C%2075%20зона%204.1)</v>
      </c>
      <c r="J987" s="50">
        <f>IFERROR(__xludf.DUMMYFUNCTION("""COMPUTED_VALUE"""),11.7924)</f>
        <v>11.7924</v>
      </c>
      <c r="K987" s="58">
        <f>IFERROR(__xludf.DUMMYFUNCTION("""COMPUTED_VALUE"""),45962.0)</f>
        <v>45962</v>
      </c>
      <c r="L987" s="6">
        <v>30.0</v>
      </c>
      <c r="M987" s="52">
        <v>45992.0</v>
      </c>
      <c r="N987" s="53" t="s">
        <v>692</v>
      </c>
      <c r="O987" s="19" t="s">
        <v>669</v>
      </c>
      <c r="P987" s="6"/>
      <c r="Q987" s="6" t="str">
        <f t="shared" si="1"/>
        <v>#N/A</v>
      </c>
      <c r="R987" s="6"/>
    </row>
    <row r="988" hidden="1">
      <c r="A988" s="31" t="str">
        <f>IFERROR(__xludf.DUMMYFUNCTION("""COMPUTED_VALUE"""),"942")</f>
        <v>942</v>
      </c>
      <c r="B988" s="14" t="str">
        <f>IFERROR(__xludf.DUMMYFUNCTION("""COMPUTED_VALUE"""),"РЕН-26")</f>
        <v>РЕН-26</v>
      </c>
      <c r="C988" s="14" t="str">
        <f>IFERROR(__xludf.DUMMYFUNCTION("""COMPUTED_VALUE"""),"ОКС")</f>
        <v>ОКС</v>
      </c>
      <c r="D988" s="6"/>
      <c r="E988" s="14" t="str">
        <f>IFERROR(__xludf.DUMMYFUNCTION("""COMPUTED_VALUE"""),"ул. Петра Алексеева, з/у 3 (зоны 6.1 и 6.2) ул. Петра Алексеева, з/у 3 (зоны 6.1 и 6.2)")</f>
        <v>ул. Петра Алексеева, з/у 3 (зоны 6.1 и 6.2) ул. Петра Алексеева, з/у 3 (зоны 6.1 и 6.2)</v>
      </c>
      <c r="F988" s="25" t="str">
        <f>IFERROR(__xludf.DUMMYFUNCTION("""COMPUTED_VALUE"""),"55.719531")</f>
        <v>55.719531</v>
      </c>
      <c r="G988" s="6" t="str">
        <f>IFERROR(__xludf.DUMMYFUNCTION("""COMPUTED_VALUE"""),"37.429591")</f>
        <v>37.429591</v>
      </c>
      <c r="H988" s="18" t="str">
        <f>IFERROR(__xludf.DUMMYFUNCTION("""COMPUTED_VALUE"""),"https://docs.google.com/spreadsheets/d/1rbCD10ySi4YZEkJW2_Slmn9z7AI1WEsGsZaIJmnnT18/edit?gid=1715786875#gid=1715786875")</f>
        <v>https://docs.google.com/spreadsheets/d/1rbCD10ySi4YZEkJW2_Slmn9z7AI1WEsGsZaIJmnnT18/edit?gid=1715786875#gid=1715786875</v>
      </c>
      <c r="I988" s="19" t="str">
        <f>IFERROR(__xludf.DUMMYFUNCTION("""COMPUTED_VALUE"""),"https://disk.yandex.ru/client/disk/Осмотры%20объектов%20АНО%20СМГ/942.%20Дом%20ул%20Петра%20Алексеева%20зу%203")</f>
        <v>https://disk.yandex.ru/client/disk/Осмотры%20объектов%20АНО%20СМГ/942.%20Дом%20ул%20Петра%20Алексеева%20зу%203</v>
      </c>
      <c r="J988" s="50">
        <f>IFERROR(__xludf.DUMMYFUNCTION("""COMPUTED_VALUE"""),0.0)</f>
        <v>0</v>
      </c>
      <c r="K988" s="58">
        <f>IFERROR(__xludf.DUMMYFUNCTION("""COMPUTED_VALUE"""),45962.0)</f>
        <v>45962</v>
      </c>
      <c r="L988" s="6">
        <v>30.0</v>
      </c>
      <c r="M988" s="52">
        <v>45992.0</v>
      </c>
      <c r="N988" s="53" t="s">
        <v>692</v>
      </c>
      <c r="O988" s="19" t="s">
        <v>669</v>
      </c>
      <c r="P988" s="6"/>
      <c r="Q988" s="6" t="str">
        <f t="shared" si="1"/>
        <v>#N/A</v>
      </c>
      <c r="R988" s="6"/>
    </row>
    <row r="989" hidden="1">
      <c r="A989" s="31" t="str">
        <f>IFERROR(__xludf.DUMMYFUNCTION("""COMPUTED_VALUE"""),"941")</f>
        <v>941</v>
      </c>
      <c r="B989" s="14" t="str">
        <f>IFERROR(__xludf.DUMMYFUNCTION("""COMPUTED_VALUE"""),"РЕН-26")</f>
        <v>РЕН-26</v>
      </c>
      <c r="C989" s="14" t="str">
        <f>IFERROR(__xludf.DUMMYFUNCTION("""COMPUTED_VALUE"""),"ОКС")</f>
        <v>ОКС</v>
      </c>
      <c r="D989" s="6"/>
      <c r="E989" s="14" t="str">
        <f>IFERROR(__xludf.DUMMYFUNCTION("""COMPUTED_VALUE"""),"ул. Пржевальского, з/у 12 ул. Пржевальского, з/у 12")</f>
        <v>ул. Пржевальского, з/у 12 ул. Пржевальского, з/у 12</v>
      </c>
      <c r="F989" s="25" t="str">
        <f>IFERROR(__xludf.DUMMYFUNCTION("""COMPUTED_VALUE"""),"55.680057")</f>
        <v>55.680057</v>
      </c>
      <c r="G989" s="6" t="str">
        <f>IFERROR(__xludf.DUMMYFUNCTION("""COMPUTED_VALUE"""),"37.456064")</f>
        <v>37.456064</v>
      </c>
      <c r="H989" s="18" t="str">
        <f>IFERROR(__xludf.DUMMYFUNCTION("""COMPUTED_VALUE"""),"https://docs.google.com/spreadsheets/d/1rbCD10ySi4YZEkJW2_Slmn9z7AI1WEsGsZaIJmnnT18/edit?gid=1956863227#gid=1956863227")</f>
        <v>https://docs.google.com/spreadsheets/d/1rbCD10ySi4YZEkJW2_Slmn9z7AI1WEsGsZaIJmnnT18/edit?gid=1956863227#gid=1956863227</v>
      </c>
      <c r="I989" s="19" t="str">
        <f>IFERROR(__xludf.DUMMYFUNCTION("""COMPUTED_VALUE"""),"https://disk.yandex.ru/client/disk/Осмотры%20объектов%20АНО%20СМГ/941.%20ул.%20Пржевальского%2C%20зу%2012")</f>
        <v>https://disk.yandex.ru/client/disk/Осмотры%20объектов%20АНО%20СМГ/941.%20ул.%20Пржевальского%2C%20зу%2012</v>
      </c>
      <c r="J989" s="50">
        <f>IFERROR(__xludf.DUMMYFUNCTION("""COMPUTED_VALUE"""),0.0)</f>
        <v>0</v>
      </c>
      <c r="K989" s="58">
        <f>IFERROR(__xludf.DUMMYFUNCTION("""COMPUTED_VALUE"""),45962.0)</f>
        <v>45962</v>
      </c>
      <c r="L989" s="6">
        <v>30.0</v>
      </c>
      <c r="M989" s="52">
        <v>45992.0</v>
      </c>
      <c r="N989" s="53" t="s">
        <v>692</v>
      </c>
      <c r="O989" s="19" t="s">
        <v>669</v>
      </c>
      <c r="P989" s="6"/>
      <c r="Q989" s="6" t="str">
        <f t="shared" si="1"/>
        <v>#N/A</v>
      </c>
      <c r="R989" s="6"/>
    </row>
    <row r="990">
      <c r="A990" s="31" t="str">
        <f>IFERROR(__xludf.DUMMYFUNCTION("""COMPUTED_VALUE"""),"657")</f>
        <v>657</v>
      </c>
      <c r="B990" s="14" t="str">
        <f>IFERROR(__xludf.DUMMYFUNCTION("""COMPUTED_VALUE"""),"РЕН-26")</f>
        <v>РЕН-26</v>
      </c>
      <c r="C990" s="14" t="str">
        <f>IFERROR(__xludf.DUMMYFUNCTION("""COMPUTED_VALUE"""),"ОКС")</f>
        <v>ОКС</v>
      </c>
      <c r="D990" s="6"/>
      <c r="E990" s="14" t="str">
        <f>IFERROR(__xludf.DUMMYFUNCTION("""COMPUTED_VALUE"""),"Кольская ул., з/у 7 СВАО, Кольская ул. земельный участок 7 (Кольская вл. 7), район Свиблово")</f>
        <v>Кольская ул., з/у 7 СВАО, Кольская ул. земельный участок 7 (Кольская вл. 7), район Свиблово</v>
      </c>
      <c r="F990" s="25" t="str">
        <f>IFERROR(__xludf.DUMMYFUNCTION("""COMPUTED_VALUE"""),"55.859232")</f>
        <v>55.859232</v>
      </c>
      <c r="G990" s="6" t="str">
        <f>IFERROR(__xludf.DUMMYFUNCTION("""COMPUTED_VALUE"""),"37.649228")</f>
        <v>37.649228</v>
      </c>
      <c r="H990" s="18" t="str">
        <f>IFERROR(__xludf.DUMMYFUNCTION("""COMPUTED_VALUE"""),"https://docs.google.com/spreadsheets/d/1rbCD10ySi4YZEkJW2_Slmn9z7AI1WEsGsZaIJmnnT18/edit?gid=1068599727#gid=1068599727")</f>
        <v>https://docs.google.com/spreadsheets/d/1rbCD10ySi4YZEkJW2_Slmn9z7AI1WEsGsZaIJmnnT18/edit?gid=1068599727#gid=1068599727</v>
      </c>
      <c r="I990" s="19" t="str">
        <f>IFERROR(__xludf.DUMMYFUNCTION("""COMPUTED_VALUE"""),"https://disk.yandex.ru/client/disk/Осмотры%20объектов%20АНО%20СМГ/657%20Кольская%20ул.%2C%20зу%207")</f>
        <v>https://disk.yandex.ru/client/disk/Осмотры%20объектов%20АНО%20СМГ/657%20Кольская%20ул.%2C%20зу%207</v>
      </c>
      <c r="J990" s="50">
        <f>IFERROR(__xludf.DUMMYFUNCTION("""COMPUTED_VALUE"""),52.57548)</f>
        <v>52.57548</v>
      </c>
      <c r="K990" s="58">
        <f>IFERROR(__xludf.DUMMYFUNCTION("""COMPUTED_VALUE"""),45974.0)</f>
        <v>45974</v>
      </c>
      <c r="L990" s="6">
        <v>14.0</v>
      </c>
      <c r="M990" s="52">
        <v>45988.0</v>
      </c>
      <c r="N990" s="53" t="s">
        <v>711</v>
      </c>
      <c r="O990" s="19" t="s">
        <v>669</v>
      </c>
      <c r="P990" s="6"/>
      <c r="Q990" s="6" t="str">
        <f t="shared" si="1"/>
        <v>657</v>
      </c>
      <c r="R990" s="6"/>
    </row>
    <row r="991">
      <c r="A991" s="31" t="str">
        <f>IFERROR(__xludf.DUMMYFUNCTION("""COMPUTED_VALUE"""),"723")</f>
        <v>723</v>
      </c>
      <c r="B991" s="14" t="str">
        <f>IFERROR(__xludf.DUMMYFUNCTION("""COMPUTED_VALUE"""),"РЕН-26")</f>
        <v>РЕН-26</v>
      </c>
      <c r="C991" s="14" t="str">
        <f>IFERROR(__xludf.DUMMYFUNCTION("""COMPUTED_VALUE"""),"ОКС")</f>
        <v>ОКС</v>
      </c>
      <c r="D991" s="6"/>
      <c r="E991" s="14" t="str">
        <f>IFERROR(__xludf.DUMMYFUNCTION("""COMPUTED_VALUE"""),"ул.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f>
        <v>ул. Кременчугская, вл. 11-17 ЗАО, район Фили-Давыдково, внутригородское муниципальное образование ул. Кременчугская, вл. 11-17 (со сносом нежилого здания по адресу: б-р Славянский, д. 7, корп.2)</v>
      </c>
      <c r="F991" s="25" t="str">
        <f>IFERROR(__xludf.DUMMYFUNCTION("""COMPUTED_VALUE"""),"55.725574")</f>
        <v>55.725574</v>
      </c>
      <c r="G991" s="6" t="str">
        <f>IFERROR(__xludf.DUMMYFUNCTION("""COMPUTED_VALUE"""),"37.471004")</f>
        <v>37.471004</v>
      </c>
      <c r="H991" s="18" t="str">
        <f>IFERROR(__xludf.DUMMYFUNCTION("""COMPUTED_VALUE"""),"https://docs.google.com/spreadsheets/d/1rbCD10ySi4YZEkJW2_Slmn9z7AI1WEsGsZaIJmnnT18/edit?gid=1407510683#gid=1407510683")</f>
        <v>https://docs.google.com/spreadsheets/d/1rbCD10ySi4YZEkJW2_Slmn9z7AI1WEsGsZaIJmnnT18/edit?gid=1407510683#gid=1407510683</v>
      </c>
      <c r="I991" s="19" t="str">
        <f>IFERROR(__xludf.DUMMYFUNCTION("""COMPUTED_VALUE"""),"https://disk.yandex.ru/client/disk/Осмотры%20объектов%20АНО%20СМГ/723.%20дом%20Ул.%20Кремчугская%2011-17")</f>
        <v>https://disk.yandex.ru/client/disk/Осмотры%20объектов%20АНО%20СМГ/723.%20дом%20Ул.%20Кремчугская%2011-17</v>
      </c>
      <c r="J991" s="50">
        <f>IFERROR(__xludf.DUMMYFUNCTION("""COMPUTED_VALUE"""),34.37917499999999)</f>
        <v>34.379175</v>
      </c>
      <c r="K991" s="58">
        <f>IFERROR(__xludf.DUMMYFUNCTION("""COMPUTED_VALUE"""),45973.0)</f>
        <v>45973</v>
      </c>
      <c r="L991" s="6">
        <v>30.0</v>
      </c>
      <c r="M991" s="52">
        <v>46003.0</v>
      </c>
      <c r="N991" s="53" t="s">
        <v>711</v>
      </c>
      <c r="O991" s="19" t="s">
        <v>669</v>
      </c>
      <c r="P991" s="6"/>
      <c r="Q991" s="6" t="str">
        <f t="shared" si="1"/>
        <v>723</v>
      </c>
      <c r="R991" s="6"/>
    </row>
    <row r="992">
      <c r="A992" s="31" t="str">
        <f>IFERROR(__xludf.DUMMYFUNCTION("""COMPUTED_VALUE"""),"685")</f>
        <v>685</v>
      </c>
      <c r="B992" s="14" t="str">
        <f>IFERROR(__xludf.DUMMYFUNCTION("""COMPUTED_VALUE"""),"РЕН-26")</f>
        <v>РЕН-26</v>
      </c>
      <c r="C992" s="14" t="str">
        <f>IFERROR(__xludf.DUMMYFUNCTION("""COMPUTED_VALUE"""),"ОКС")</f>
        <v>ОКС</v>
      </c>
      <c r="D992" s="6"/>
      <c r="E992" s="14" t="str">
        <f>IFERROR(__xludf.DUMMYFUNCTION("""COMPUTED_VALUE"""),"Вагоноремонтная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f>
        <v>Вагоноремонтная ул., з/у 9/11 (Зона 5.1) САО, район Дмитровский, Вагоноремонтная ул., зу 9/11, мкр. 15, 16, 17, 18  (зона 5.1) (со сносом жилых зданий по адресам: Вагоноремонтная улица, д.11; Вагоноремонтная ул., д.9/25)</v>
      </c>
      <c r="F992" s="25" t="str">
        <f>IFERROR(__xludf.DUMMYFUNCTION("""COMPUTED_VALUE"""),"55.897462")</f>
        <v>55.897462</v>
      </c>
      <c r="G992" s="6" t="str">
        <f>IFERROR(__xludf.DUMMYFUNCTION("""COMPUTED_VALUE"""),"37.534452")</f>
        <v>37.534452</v>
      </c>
      <c r="H992" s="18" t="str">
        <f>IFERROR(__xludf.DUMMYFUNCTION("""COMPUTED_VALUE"""),"https://docs.google.com/spreadsheets/d/1rbCD10ySi4YZEkJW2_Slmn9z7AI1WEsGsZaIJmnnT18/edit?gid=1084360480#gid=1084360480")</f>
        <v>https://docs.google.com/spreadsheets/d/1rbCD10ySi4YZEkJW2_Slmn9z7AI1WEsGsZaIJmnnT18/edit?gid=1084360480#gid=1084360480</v>
      </c>
      <c r="I992" s="19" t="str">
        <f>IFERROR(__xludf.DUMMYFUNCTION("""COMPUTED_VALUE"""),"https://disk.yandex.ru/client/disk/Осмотры%20объектов%20АНО%20СМГ/946.%20ФОК%20ул.%20Истринская%202-8")</f>
        <v>https://disk.yandex.ru/client/disk/Осмотры%20объектов%20АНО%20СМГ/946.%20ФОК%20ул.%20Истринская%202-8</v>
      </c>
      <c r="J992" s="50">
        <f>IFERROR(__xludf.DUMMYFUNCTION("""COMPUTED_VALUE"""),0.0)</f>
        <v>0</v>
      </c>
      <c r="K992" s="58">
        <f>IFERROR(__xludf.DUMMYFUNCTION("""COMPUTED_VALUE"""),45973.0)</f>
        <v>45973</v>
      </c>
      <c r="L992" s="6">
        <v>30.0</v>
      </c>
      <c r="M992" s="52">
        <v>46003.0</v>
      </c>
      <c r="N992" s="53" t="s">
        <v>711</v>
      </c>
      <c r="O992" s="19" t="s">
        <v>669</v>
      </c>
      <c r="P992" s="6"/>
      <c r="Q992" s="6" t="str">
        <f t="shared" si="1"/>
        <v>685</v>
      </c>
      <c r="R992" s="6"/>
    </row>
    <row r="993">
      <c r="A993" s="31" t="str">
        <f>IFERROR(__xludf.DUMMYFUNCTION("""COMPUTED_VALUE"""),"663")</f>
        <v>663</v>
      </c>
      <c r="B993" s="14" t="str">
        <f>IFERROR(__xludf.DUMMYFUNCTION("""COMPUTED_VALUE"""),"РЕН-26")</f>
        <v>РЕН-26</v>
      </c>
      <c r="C993" s="14" t="str">
        <f>IFERROR(__xludf.DUMMYFUNCTION("""COMPUTED_VALUE"""),"ОКС")</f>
        <v>ОКС</v>
      </c>
      <c r="D993" s="6"/>
      <c r="E993" s="14" t="str">
        <f>IFERROR(__xludf.DUMMYFUNCTION("""COMPUTED_VALUE"""),"ул. Долгопрудная, з/у 8 р-н Дмитровский мкр. 15, 16, 17, 18. улица Долгопрудная, з/у 8 (Зона 10.4)   (со сносом жилых домов по адресу: ул. Долгопрудная, д.8, к.2 и ул. Долгопрудная, д.8, к.1)")</f>
        <v>ул. Долгопрудная, з/у 8 р-н Дмитровский мкр. 15, 16, 17, 18. улица Долгопрудная, з/у 8 (Зона 10.4)   (со сносом жилых домов по адресу: ул. Долгопрудная, д.8, к.2 и ул. Долгопрудная, д.8, к.1)</v>
      </c>
      <c r="F993" s="25" t="str">
        <f>IFERROR(__xludf.DUMMYFUNCTION("""COMPUTED_VALUE"""),"55.894542")</f>
        <v>55.894542</v>
      </c>
      <c r="G993" s="6" t="str">
        <f>IFERROR(__xludf.DUMMYFUNCTION("""COMPUTED_VALUE"""),"37.539888")</f>
        <v>37.539888</v>
      </c>
      <c r="H993" s="18" t="str">
        <f>IFERROR(__xludf.DUMMYFUNCTION("""COMPUTED_VALUE"""),"https://docs.google.com/spreadsheets/d/1rbCD10ySi4YZEkJW2_Slmn9z7AI1WEsGsZaIJmnnT18/edit?gid=43981398#gid=43981398")</f>
        <v>https://docs.google.com/spreadsheets/d/1rbCD10ySi4YZEkJW2_Slmn9z7AI1WEsGsZaIJmnnT18/edit?gid=43981398#gid=43981398</v>
      </c>
      <c r="I993" s="19" t="str">
        <f>IFERROR(__xludf.DUMMYFUNCTION("""COMPUTED_VALUE"""),"https://disk.yandex.ru/client/disk/Осмотры%20объектов%20АНО%20СМГ/663.%20ул.%20Долгопрудная%20з.у.%208")</f>
        <v>https://disk.yandex.ru/client/disk/Осмотры%20объектов%20АНО%20СМГ/663.%20ул.%20Долгопрудная%20з.у.%208</v>
      </c>
      <c r="J993" s="50">
        <f>IFERROR(__xludf.DUMMYFUNCTION("""COMPUTED_VALUE"""),1.3199999999999998)</f>
        <v>1.32</v>
      </c>
      <c r="K993" s="58">
        <f>IFERROR(__xludf.DUMMYFUNCTION("""COMPUTED_VALUE"""),45974.0)</f>
        <v>45974</v>
      </c>
      <c r="L993" s="6">
        <v>30.0</v>
      </c>
      <c r="M993" s="52">
        <v>46004.0</v>
      </c>
      <c r="N993" s="53" t="s">
        <v>711</v>
      </c>
      <c r="O993" s="19" t="s">
        <v>669</v>
      </c>
      <c r="P993" s="6"/>
      <c r="Q993" s="6" t="str">
        <f t="shared" si="1"/>
        <v>663</v>
      </c>
      <c r="R993" s="6"/>
    </row>
    <row r="994">
      <c r="A994" s="31" t="str">
        <f>IFERROR(__xludf.DUMMYFUNCTION("""COMPUTED_VALUE"""),"931")</f>
        <v>931</v>
      </c>
      <c r="B994" s="14" t="str">
        <f>IFERROR(__xludf.DUMMYFUNCTION("""COMPUTED_VALUE"""),"РЕН-26")</f>
        <v>РЕН-26</v>
      </c>
      <c r="C994" s="14" t="str">
        <f>IFERROR(__xludf.DUMMYFUNCTION("""COMPUTED_VALUE"""),"ОКС")</f>
        <v>ОКС</v>
      </c>
      <c r="D994" s="6"/>
      <c r="E994" s="14" t="str">
        <f>IFERROR(__xludf.DUMMYFUNCTION("""COMPUTED_VALUE"""),"ул. Уткина, з/у 44 ул. Уткина, з/у 44")</f>
        <v>ул. Уткина, з/у 44 ул. Уткина, з/у 44</v>
      </c>
      <c r="F994" s="25" t="str">
        <f>IFERROR(__xludf.DUMMYFUNCTION("""COMPUTED_VALUE"""),"55.761811")</f>
        <v>55.761811</v>
      </c>
      <c r="G994" s="6" t="str">
        <f>IFERROR(__xludf.DUMMYFUNCTION("""COMPUTED_VALUE"""),"37.744226")</f>
        <v>37.744226</v>
      </c>
      <c r="H994" s="18" t="str">
        <f>IFERROR(__xludf.DUMMYFUNCTION("""COMPUTED_VALUE"""),"https://docs.google.com/spreadsheets/d/1rbCD10ySi4YZEkJW2_Slmn9z7AI1WEsGsZaIJmnnT18/edit?gid=1877394014#gid=1877394014")</f>
        <v>https://docs.google.com/spreadsheets/d/1rbCD10ySi4YZEkJW2_Slmn9z7AI1WEsGsZaIJmnnT18/edit?gid=1877394014#gid=1877394014</v>
      </c>
      <c r="I994" s="19" t="str">
        <f>IFERROR(__xludf.DUMMYFUNCTION("""COMPUTED_VALUE"""),"https://disk.yandex.ru/client/disk/Осмотры%20объектов%20АНО%20СМГ/931.%20ул.%20Уткина%2C%20з.у%2044")</f>
        <v>https://disk.yandex.ru/client/disk/Осмотры%20объектов%20АНО%20СМГ/931.%20ул.%20Уткина%2C%20з.у%2044</v>
      </c>
      <c r="J994" s="50">
        <f>IFERROR(__xludf.DUMMYFUNCTION("""COMPUTED_VALUE"""),0.0)</f>
        <v>0</v>
      </c>
      <c r="K994" s="58">
        <f>IFERROR(__xludf.DUMMYFUNCTION("""COMPUTED_VALUE"""),45973.0)</f>
        <v>45973</v>
      </c>
      <c r="L994" s="6">
        <v>30.0</v>
      </c>
      <c r="M994" s="52">
        <v>46003.0</v>
      </c>
      <c r="N994" s="53" t="s">
        <v>711</v>
      </c>
      <c r="O994" s="19" t="s">
        <v>893</v>
      </c>
      <c r="P994" s="6"/>
      <c r="Q994" s="6" t="str">
        <f t="shared" si="1"/>
        <v>931</v>
      </c>
      <c r="R994" s="6"/>
    </row>
    <row r="995" hidden="1">
      <c r="A995" s="31" t="str">
        <f>IFERROR(__xludf.DUMMYFUNCTION("""COMPUTED_VALUE"""),"921")</f>
        <v>921</v>
      </c>
      <c r="B995" s="14" t="str">
        <f>IFERROR(__xludf.DUMMYFUNCTION("""COMPUTED_VALUE"""),"РЕН-26")</f>
        <v>РЕН-26</v>
      </c>
      <c r="C995" s="14" t="str">
        <f>IFERROR(__xludf.DUMMYFUNCTION("""COMPUTED_VALUE"""),"ОКС")</f>
        <v>ОКС</v>
      </c>
      <c r="D995" s="6"/>
      <c r="E995" s="14" t="str">
        <f>IFERROR(__xludf.DUMMYFUNCTION("""COMPUTED_VALUE"""),"ул. Камова, з/у 1 ул. Камова, з/у 1")</f>
        <v>ул. Камова, з/у 1 ул. Камова, з/у 1</v>
      </c>
      <c r="F995" s="25" t="str">
        <f>IFERROR(__xludf.DUMMYFUNCTION("""COMPUTED_VALUE"""),"55.705367")</f>
        <v>55.705367</v>
      </c>
      <c r="G995" s="6" t="str">
        <f>IFERROR(__xludf.DUMMYFUNCTION("""COMPUTED_VALUE"""),"37.871187")</f>
        <v>37.871187</v>
      </c>
      <c r="H995" s="18" t="str">
        <f>IFERROR(__xludf.DUMMYFUNCTION("""COMPUTED_VALUE"""),"https://docs.google.com/spreadsheets/d/1rbCD10ySi4YZEkJW2_Slmn9z7AI1WEsGsZaIJmnnT18/edit?gid=482146990#gid=482146990")</f>
        <v>https://docs.google.com/spreadsheets/d/1rbCD10ySi4YZEkJW2_Slmn9z7AI1WEsGsZaIJmnnT18/edit?gid=482146990#gid=482146990</v>
      </c>
      <c r="I995" s="19" t="str">
        <f>IFERROR(__xludf.DUMMYFUNCTION("""COMPUTED_VALUE"""),"https://disk.yandex.ru/client/disk/Осмотры%20объектов%20АНО%20СМГ/921%20ул.%20Камова%2C%20з.у%201")</f>
        <v>https://disk.yandex.ru/client/disk/Осмотры%20объектов%20АНО%20СМГ/921%20ул.%20Камова%2C%20з.у%201</v>
      </c>
      <c r="J995" s="50">
        <f>IFERROR(__xludf.DUMMYFUNCTION("""COMPUTED_VALUE"""),0.0)</f>
        <v>0</v>
      </c>
      <c r="K995" s="58">
        <f>IFERROR(__xludf.DUMMYFUNCTION("""COMPUTED_VALUE"""),45960.0)</f>
        <v>45960</v>
      </c>
      <c r="L995" s="6">
        <v>30.0</v>
      </c>
      <c r="M995" s="52">
        <v>45990.0</v>
      </c>
      <c r="N995" s="53" t="s">
        <v>692</v>
      </c>
      <c r="O995" s="19" t="s">
        <v>1201</v>
      </c>
      <c r="P995" s="6"/>
      <c r="Q995" s="6" t="str">
        <f t="shared" si="1"/>
        <v>#N/A</v>
      </c>
      <c r="R995" s="6"/>
    </row>
    <row r="996" hidden="1">
      <c r="A996" s="31" t="str">
        <f>IFERROR(__xludf.DUMMYFUNCTION("""COMPUTED_VALUE"""),"889")</f>
        <v>889</v>
      </c>
      <c r="B996" s="14" t="str">
        <f>IFERROR(__xludf.DUMMYFUNCTION("""COMPUTED_VALUE"""),"РЕН-26")</f>
        <v>РЕН-26</v>
      </c>
      <c r="C996" s="14" t="str">
        <f>IFERROR(__xludf.DUMMYFUNCTION("""COMPUTED_VALUE"""),"ОКС")</f>
        <v>ОКС</v>
      </c>
      <c r="D996" s="6"/>
      <c r="E996" s="14" t="str">
        <f>IFERROR(__xludf.DUMMYFUNCTION("""COMPUTED_VALUE"""),"Винокурова ул., з/у 22/1 (зона 2.1) улица Винокурова, зу 22_1 зона 2.1")</f>
        <v>Винокурова ул., з/у 22/1 (зона 2.1) улица Винокурова, зу 22_1 зона 2.1</v>
      </c>
      <c r="F996" s="25" t="str">
        <f>IFERROR(__xludf.DUMMYFUNCTION("""COMPUTED_VALUE"""),"55.684600")</f>
        <v>55.684600</v>
      </c>
      <c r="G996" s="6" t="str">
        <f>IFERROR(__xludf.DUMMYFUNCTION("""COMPUTED_VALUE"""),"37.595579")</f>
        <v>37.595579</v>
      </c>
      <c r="H996" s="18" t="str">
        <f>IFERROR(__xludf.DUMMYFUNCTION("""COMPUTED_VALUE"""),"https://docs.google.com/spreadsheets/d/1rbCD10ySi4YZEkJW2_Slmn9z7AI1WEsGsZaIJmnnT18/edit?gid=814332945#gid=814332945")</f>
        <v>https://docs.google.com/spreadsheets/d/1rbCD10ySi4YZEkJW2_Slmn9z7AI1WEsGsZaIJmnnT18/edit?gid=814332945#gid=814332945</v>
      </c>
      <c r="I996" s="19" t="str">
        <f>IFERROR(__xludf.DUMMYFUNCTION("""COMPUTED_VALUE"""),"https://disk.yandex.ru/client/disk/Осмотры%20объектов%20АНО%20СМГ/889.%20улица%20Винокурова%2C%20зу%2022_1%20зона%202.1")</f>
        <v>https://disk.yandex.ru/client/disk/Осмотры%20объектов%20АНО%20СМГ/889.%20улица%20Винокурова%2C%20зу%2022_1%20зона%202.1</v>
      </c>
      <c r="J996" s="50">
        <f>IFERROR(__xludf.DUMMYFUNCTION("""COMPUTED_VALUE"""),0.09000000000000001)</f>
        <v>0.09</v>
      </c>
      <c r="K996" s="58">
        <f>IFERROR(__xludf.DUMMYFUNCTION("""COMPUTED_VALUE"""),45967.0)</f>
        <v>45967</v>
      </c>
      <c r="L996" s="6">
        <v>30.0</v>
      </c>
      <c r="M996" s="52">
        <v>45997.0</v>
      </c>
      <c r="N996" s="53" t="s">
        <v>711</v>
      </c>
      <c r="O996" s="19" t="s">
        <v>669</v>
      </c>
      <c r="P996" s="6"/>
      <c r="Q996" s="6" t="str">
        <f t="shared" si="1"/>
        <v>#N/A</v>
      </c>
      <c r="R996" s="6"/>
    </row>
    <row r="997" hidden="1">
      <c r="A997" s="31" t="str">
        <f>IFERROR(__xludf.DUMMYFUNCTION("""COMPUTED_VALUE"""),"913")</f>
        <v>913</v>
      </c>
      <c r="B997" s="14" t="str">
        <f>IFERROR(__xludf.DUMMYFUNCTION("""COMPUTED_VALUE"""),"РЕН-26")</f>
        <v>РЕН-26</v>
      </c>
      <c r="C997" s="14" t="str">
        <f>IFERROR(__xludf.DUMMYFUNCTION("""COMPUTED_VALUE"""),"ОКС")</f>
        <v>ОКС</v>
      </c>
      <c r="D997" s="6"/>
      <c r="E997" s="14" t="str">
        <f>IFERROR(__xludf.DUMMYFUNCTION("""COMPUTED_VALUE"""),"Посещение объекта, построенного в рамках проекта КРТ «Маршала Жукова пр-т вл. 4, 6»: многоквартирного дома для целей программы реновации  р-н Хорошёво-Мнёвники, пр-т Маршала Жукова вл.4-6")</f>
        <v>Посещение объекта, построенного в рамках проекта КРТ «Маршала Жукова пр-т вл. 4, 6»: многоквартирного дома для целей программы реновации  р-н Хорошёво-Мнёвники, пр-т Маршала Жукова вл.4-6</v>
      </c>
      <c r="F997" s="25" t="str">
        <f>IFERROR(__xludf.DUMMYFUNCTION("""COMPUTED_VALUE"""),"55.777475")</f>
        <v>55.777475</v>
      </c>
      <c r="G997" s="6" t="str">
        <f>IFERROR(__xludf.DUMMYFUNCTION("""COMPUTED_VALUE"""),"37.499081")</f>
        <v>37.499081</v>
      </c>
      <c r="H997" s="18" t="str">
        <f>IFERROR(__xludf.DUMMYFUNCTION("""COMPUTED_VALUE"""),"https://docs.google.com/spreadsheets/d/1rbCD10ySi4YZEkJW2_Slmn9z7AI1WEsGsZaIJmnnT18/edit?gid=1920719356#gid=1920719356")</f>
        <v>https://docs.google.com/spreadsheets/d/1rbCD10ySi4YZEkJW2_Slmn9z7AI1WEsGsZaIJmnnT18/edit?gid=1920719356#gid=1920719356</v>
      </c>
      <c r="I997" s="19" t="str">
        <f>IFERROR(__xludf.DUMMYFUNCTION("""COMPUTED_VALUE"""),"https://disk.yandex.ru/client/disk/Осмотры%20объектов%20АНО%20СМГ/913.%20Дом%20ул.%20Маршала%20Жукова%20зу%206")</f>
        <v>https://disk.yandex.ru/client/disk/Осмотры%20объектов%20АНО%20СМГ/913.%20Дом%20ул.%20Маршала%20Жукова%20зу%206</v>
      </c>
      <c r="J997" s="50">
        <f>IFERROR(__xludf.DUMMYFUNCTION("""COMPUTED_VALUE"""),0.0)</f>
        <v>0</v>
      </c>
      <c r="K997" s="58">
        <f>IFERROR(__xludf.DUMMYFUNCTION("""COMPUTED_VALUE"""),45959.0)</f>
        <v>45959</v>
      </c>
      <c r="L997" s="6">
        <v>30.0</v>
      </c>
      <c r="M997" s="52">
        <v>45989.0</v>
      </c>
      <c r="N997" s="53" t="s">
        <v>692</v>
      </c>
      <c r="O997" s="19" t="s">
        <v>1202</v>
      </c>
      <c r="P997" s="6"/>
      <c r="Q997" s="6" t="str">
        <f t="shared" si="1"/>
        <v>#N/A</v>
      </c>
      <c r="R997" s="6"/>
    </row>
    <row r="998" hidden="1">
      <c r="A998" s="31" t="str">
        <f>IFERROR(__xludf.DUMMYFUNCTION("""COMPUTED_VALUE"""),"888")</f>
        <v>888</v>
      </c>
      <c r="B998" s="14" t="str">
        <f>IFERROR(__xludf.DUMMYFUNCTION("""COMPUTED_VALUE"""),"РЕН-26")</f>
        <v>РЕН-26</v>
      </c>
      <c r="C998" s="14" t="str">
        <f>IFERROR(__xludf.DUMMYFUNCTION("""COMPUTED_VALUE"""),"ОКС")</f>
        <v>ОКС</v>
      </c>
      <c r="D998" s="6"/>
      <c r="E998" s="14" t="str">
        <f>IFERROR(__xludf.DUMMYFUNCTION("""COMPUTED_VALUE"""),"ул. Родниковая, з/у 6/1 родниковая ул., влд. 6/1")</f>
        <v>ул. Родниковая, з/у 6/1 родниковая ул., влд. 6/1</v>
      </c>
      <c r="F998" s="25" t="str">
        <f>IFERROR(__xludf.DUMMYFUNCTION("""COMPUTED_VALUE"""),"55.638436")</f>
        <v>55.638436</v>
      </c>
      <c r="G998" s="6" t="str">
        <f>IFERROR(__xludf.DUMMYFUNCTION("""COMPUTED_VALUE"""),"37.380471")</f>
        <v>37.380471</v>
      </c>
      <c r="H998" s="18" t="str">
        <f>IFERROR(__xludf.DUMMYFUNCTION("""COMPUTED_VALUE"""),"https://docs.google.com/spreadsheets/d/1rbCD10ySi4YZEkJW2_Slmn9z7AI1WEsGsZaIJmnnT18/edit?gid=1792641255#gid=1792641255")</f>
        <v>https://docs.google.com/spreadsheets/d/1rbCD10ySi4YZEkJW2_Slmn9z7AI1WEsGsZaIJmnnT18/edit?gid=1792641255#gid=1792641255</v>
      </c>
      <c r="I998" s="19" t="str">
        <f>IFERROR(__xludf.DUMMYFUNCTION("""COMPUTED_VALUE"""),"https://disk.yandex.ru/client/disk/Осмотры%20объектов%20АНО%20СМГ/888.%20родниковая%20ул.%206")</f>
        <v>https://disk.yandex.ru/client/disk/Осмотры%20объектов%20АНО%20СМГ/888.%20родниковая%20ул.%206</v>
      </c>
      <c r="J998" s="50">
        <f>IFERROR(__xludf.DUMMYFUNCTION("""COMPUTED_VALUE"""),0.3)</f>
        <v>0.3</v>
      </c>
      <c r="K998" s="58">
        <f>IFERROR(__xludf.DUMMYFUNCTION("""COMPUTED_VALUE"""),45967.0)</f>
        <v>45967</v>
      </c>
      <c r="L998" s="6">
        <v>30.0</v>
      </c>
      <c r="M998" s="52">
        <v>45997.0</v>
      </c>
      <c r="N998" s="53" t="s">
        <v>711</v>
      </c>
      <c r="O998" s="19" t="s">
        <v>669</v>
      </c>
      <c r="P998" s="6"/>
      <c r="Q998" s="6" t="str">
        <f t="shared" si="1"/>
        <v>#N/A</v>
      </c>
      <c r="R998" s="6"/>
    </row>
    <row r="999" hidden="1">
      <c r="A999" s="31" t="str">
        <f>IFERROR(__xludf.DUMMYFUNCTION("""COMPUTED_VALUE"""),"900")</f>
        <v>900</v>
      </c>
      <c r="B999" s="14" t="str">
        <f>IFERROR(__xludf.DUMMYFUNCTION("""COMPUTED_VALUE"""),"РЕН-26")</f>
        <v>РЕН-26</v>
      </c>
      <c r="C999" s="14" t="str">
        <f>IFERROR(__xludf.DUMMYFUNCTION("""COMPUTED_VALUE"""),"ОКС")</f>
        <v>ОКС</v>
      </c>
      <c r="D999" s="6"/>
      <c r="E999" s="14" t="str">
        <f>IFERROR(__xludf.DUMMYFUNCTION("""COMPUTED_VALUE"""),"кв-л 9 района Академический, зона № 2.1 кв-л 9 района Академический, зона № 2.1")</f>
        <v>кв-л 9 района Академический, зона № 2.1 кв-л 9 района Академический, зона № 2.1</v>
      </c>
      <c r="F999" s="25" t="str">
        <f>IFERROR(__xludf.DUMMYFUNCTION("""COMPUTED_VALUE"""),"55.675145")</f>
        <v>55.675145</v>
      </c>
      <c r="G999" s="6" t="str">
        <f>IFERROR(__xludf.DUMMYFUNCTION("""COMPUTED_VALUE"""),"37.574192")</f>
        <v>37.574192</v>
      </c>
      <c r="H999" s="18" t="str">
        <f>IFERROR(__xludf.DUMMYFUNCTION("""COMPUTED_VALUE"""),"https://docs.google.com/spreadsheets/d/1rbCD10ySi4YZEkJW2_Slmn9z7AI1WEsGsZaIJmnnT18/edit?gid=1264505014#gid=1264505014")</f>
        <v>https://docs.google.com/spreadsheets/d/1rbCD10ySi4YZEkJW2_Slmn9z7AI1WEsGsZaIJmnnT18/edit?gid=1264505014#gid=1264505014</v>
      </c>
      <c r="I999" s="19" t="str">
        <f>IFERROR(__xludf.DUMMYFUNCTION("""COMPUTED_VALUE"""),"https://disk.yandex.ru/client/disk/Осмотры%20объектов%20АНО%20СМГ/900.%20кв-л%209%20района%20Академический%2C%20зона%20№%202.1")</f>
        <v>https://disk.yandex.ru/client/disk/Осмотры%20объектов%20АНО%20СМГ/900.%20кв-л%209%20района%20Академический%2C%20зона%20№%202.1</v>
      </c>
      <c r="J999" s="50">
        <f>IFERROR(__xludf.DUMMYFUNCTION("""COMPUTED_VALUE"""),9.5526)</f>
        <v>9.5526</v>
      </c>
      <c r="K999" s="58">
        <f>IFERROR(__xludf.DUMMYFUNCTION("""COMPUTED_VALUE"""),45960.0)</f>
        <v>45960</v>
      </c>
      <c r="L999" s="6">
        <v>30.0</v>
      </c>
      <c r="M999" s="52">
        <v>45990.0</v>
      </c>
      <c r="N999" s="53" t="s">
        <v>692</v>
      </c>
      <c r="O999" s="19" t="s">
        <v>669</v>
      </c>
      <c r="P999" s="6"/>
      <c r="Q999" s="6" t="str">
        <f t="shared" si="1"/>
        <v>#N/A</v>
      </c>
      <c r="R999" s="6"/>
    </row>
    <row r="1000" hidden="1">
      <c r="A1000" s="31" t="str">
        <f>IFERROR(__xludf.DUMMYFUNCTION("""COMPUTED_VALUE"""),"652")</f>
        <v>652</v>
      </c>
      <c r="B1000" s="14" t="str">
        <f>IFERROR(__xludf.DUMMYFUNCTION("""COMPUTED_VALUE"""),"РЕН-26")</f>
        <v>РЕН-26</v>
      </c>
      <c r="C1000" s="14" t="str">
        <f>IFERROR(__xludf.DUMMYFUNCTION("""COMPUTED_VALUE"""),"ОКС")</f>
        <v>ОКС</v>
      </c>
      <c r="D1000" s="6"/>
      <c r="E1000" s="14" t="str">
        <f>IFERROR(__xludf.DUMMYFUNCTION("""COMPUTED_VALUE"""),"Никитинская ул., з/у 19А (Никитинская ул., з/у 19/1/2) район Измайлово, Никитинская ул., зу 19/1/2 (рефинансирование)")</f>
        <v>Никитинская ул., з/у 19А (Никитинская ул., з/у 19/1/2) район Измайлово, Никитинская ул., зу 19/1/2 (рефинансирование)</v>
      </c>
      <c r="F1000" s="25" t="str">
        <f>IFERROR(__xludf.DUMMYFUNCTION("""COMPUTED_VALUE"""),"55.800556")</f>
        <v>55.800556</v>
      </c>
      <c r="G1000" s="6" t="str">
        <f>IFERROR(__xludf.DUMMYFUNCTION("""COMPUTED_VALUE"""),"37.773920")</f>
        <v>37.773920</v>
      </c>
      <c r="H1000" s="18" t="str">
        <f>IFERROR(__xludf.DUMMYFUNCTION("""COMPUTED_VALUE"""),"https://docs.google.com/spreadsheets/d/1rbCD10ySi4YZEkJW2_Slmn9z7AI1WEsGsZaIJmnnT18/edit?gid=445422518#gid=445422518")</f>
        <v>https://docs.google.com/spreadsheets/d/1rbCD10ySi4YZEkJW2_Slmn9z7AI1WEsGsZaIJmnnT18/edit?gid=445422518#gid=445422518</v>
      </c>
      <c r="I1000" s="19" t="str">
        <f>IFERROR(__xludf.DUMMYFUNCTION("""COMPUTED_VALUE"""),"https://disk.yandex.ru/client/disk/Осмотры%20объектов%20АНО%20СМГ/652.%20%20Никитинская%20ул.%2C%20зу%2019.1.2%20(рефинансирование)")</f>
        <v>https://disk.yandex.ru/client/disk/Осмотры%20объектов%20АНО%20СМГ/652.%20%20Никитинская%20ул.%2C%20зу%2019.1.2%20(рефинансирование)</v>
      </c>
      <c r="J1000" s="50">
        <f>IFERROR(__xludf.DUMMYFUNCTION("""COMPUTED_VALUE"""),0.0)</f>
        <v>0</v>
      </c>
      <c r="K1000" s="58">
        <f>IFERROR(__xludf.DUMMYFUNCTION("""COMPUTED_VALUE"""),45961.0)</f>
        <v>45961</v>
      </c>
      <c r="L1000" s="6">
        <v>30.0</v>
      </c>
      <c r="M1000" s="52">
        <v>45991.0</v>
      </c>
      <c r="N1000" s="53" t="s">
        <v>692</v>
      </c>
      <c r="O1000" s="19" t="s">
        <v>1193</v>
      </c>
      <c r="P1000" s="6"/>
      <c r="Q1000" s="6" t="str">
        <f t="shared" si="1"/>
        <v>#N/A</v>
      </c>
      <c r="R1000" s="6"/>
    </row>
    <row r="1001" hidden="1">
      <c r="A1001" s="31" t="str">
        <f>IFERROR(__xludf.DUMMYFUNCTION("""COMPUTED_VALUE"""),"1332")</f>
        <v>1332</v>
      </c>
      <c r="B1001" s="14" t="str">
        <f>IFERROR(__xludf.DUMMYFUNCTION("""COMPUTED_VALUE"""),"РЕН-26")</f>
        <v>РЕН-26</v>
      </c>
      <c r="C1001" s="14" t="str">
        <f>IFERROR(__xludf.DUMMYFUNCTION("""COMPUTED_VALUE"""),"ОКС")</f>
        <v>ОКС</v>
      </c>
      <c r="D1001" s="6"/>
      <c r="E1001" s="14" t="str">
        <f>IFERROR(__xludf.DUMMYFUNCTION("""COMPUTED_VALUE"""),"Жилой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шо"&amp;"ссе, вл.8А-10А")</f>
        <v>Жилой дом с инженерными сетями и благоустройством территории (со сносом нежилых зданий по адресам: Варшавское шоссе, д.8А; Варшавское шоссе, д.10А), ЮАО, район Донской, Варшавское шоссе, земельный участок 8/10 (Варшавское шоссе, вл.8А-10А)
 Варшавское шоссе, вл.8А-10А</v>
      </c>
      <c r="F1001" s="25" t="str">
        <f>IFERROR(__xludf.DUMMYFUNCTION("""COMPUTED_VALUE"""),"55.699085")</f>
        <v>55.699085</v>
      </c>
      <c r="G1001" s="6" t="str">
        <f>IFERROR(__xludf.DUMMYFUNCTION("""COMPUTED_VALUE""")," 37.617942")</f>
        <v> 37.617942</v>
      </c>
      <c r="H1001" s="18" t="str">
        <f>IFERROR(__xludf.DUMMYFUNCTION("""COMPUTED_VALUE"""),"https://docs.google.com/spreadsheets/d/1rbCD10ySi4YZEkJW2_Slmn9z7AI1WEsGsZaIJmnnT18/edit?gid=1676819339#gid=1676819339")</f>
        <v>https://docs.google.com/spreadsheets/d/1rbCD10ySi4YZEkJW2_Slmn9z7AI1WEsGsZaIJmnnT18/edit?gid=1676819339#gid=1676819339</v>
      </c>
      <c r="I1001" s="19"/>
      <c r="J1001" s="50">
        <f>IFERROR(__xludf.DUMMYFUNCTION("""COMPUTED_VALUE"""),7.68)</f>
        <v>7.68</v>
      </c>
      <c r="K1001" s="58">
        <f>IFERROR(__xludf.DUMMYFUNCTION("""COMPUTED_VALUE"""),45961.0)</f>
        <v>45961</v>
      </c>
      <c r="L1001" s="6">
        <v>30.0</v>
      </c>
      <c r="M1001" s="52">
        <v>45991.0</v>
      </c>
      <c r="N1001" s="53" t="s">
        <v>692</v>
      </c>
      <c r="O1001" s="19" t="s">
        <v>669</v>
      </c>
      <c r="P1001" s="6"/>
      <c r="Q1001" s="6" t="str">
        <f t="shared" si="1"/>
        <v>#N/A</v>
      </c>
      <c r="R1001" s="6"/>
    </row>
    <row r="1002" hidden="1">
      <c r="A1002" s="31" t="str">
        <f>IFERROR(__xludf.DUMMYFUNCTION("""COMPUTED_VALUE"""),"989")</f>
        <v>989</v>
      </c>
      <c r="B1002" s="14" t="str">
        <f>IFERROR(__xludf.DUMMYFUNCTION("""COMPUTED_VALUE"""),"РЕН-26")</f>
        <v>РЕН-26</v>
      </c>
      <c r="C1002" s="14" t="str">
        <f>IFERROR(__xludf.DUMMYFUNCTION("""COMPUTED_VALUE"""),"ОКС")</f>
        <v>ОКС</v>
      </c>
      <c r="D1002" s="6"/>
      <c r="E1002" s="14" t="str">
        <f>IFERROR(__xludf.DUMMYFUNCTION("""COMPUTED_VALUE"""),"ул. Плющева, з/у 17/3 ул. Плющева, з/у 17/3")</f>
        <v>ул. Плющева, з/у 17/3 ул. Плющева, з/у 17/3</v>
      </c>
      <c r="F1002" s="25" t="str">
        <f>IFERROR(__xludf.DUMMYFUNCTION("""COMPUTED_VALUE"""),"55.739250")</f>
        <v>55.739250</v>
      </c>
      <c r="G1002" s="6" t="str">
        <f>IFERROR(__xludf.DUMMYFUNCTION("""COMPUTED_VALUE"""),"37.763432")</f>
        <v>37.763432</v>
      </c>
      <c r="H1002" s="18" t="str">
        <f>IFERROR(__xludf.DUMMYFUNCTION("""COMPUTED_VALUE"""),"https://docs.google.com/spreadsheets/d/1rbCD10ySi4YZEkJW2_Slmn9z7AI1WEsGsZaIJmnnT18/edit?gid=1262206675#gid=1262206675")</f>
        <v>https://docs.google.com/spreadsheets/d/1rbCD10ySi4YZEkJW2_Slmn9z7AI1WEsGsZaIJmnnT18/edit?gid=1262206675#gid=1262206675</v>
      </c>
      <c r="I1002" s="19" t="str">
        <f>IFERROR(__xludf.DUMMYFUNCTION("""COMPUTED_VALUE"""),"https://disk.yandex.ru/client/disk/Осмотры%20объектов%20АНО%20СМГ/989.%20Плющева%20ЗУ%2017.3")</f>
        <v>https://disk.yandex.ru/client/disk/Осмотры%20объектов%20АНО%20СМГ/989.%20Плющева%20ЗУ%2017.3</v>
      </c>
      <c r="J1002" s="50">
        <f>IFERROR(__xludf.DUMMYFUNCTION("""COMPUTED_VALUE"""),0.0)</f>
        <v>0</v>
      </c>
      <c r="K1002" s="58">
        <f>IFERROR(__xludf.DUMMYFUNCTION("""COMPUTED_VALUE"""),45967.0)</f>
        <v>45967</v>
      </c>
      <c r="L1002" s="6">
        <v>30.0</v>
      </c>
      <c r="M1002" s="52">
        <v>45997.0</v>
      </c>
      <c r="N1002" s="53" t="s">
        <v>711</v>
      </c>
      <c r="O1002" s="19" t="s">
        <v>1203</v>
      </c>
      <c r="P1002" s="6"/>
      <c r="Q1002" s="6" t="str">
        <f t="shared" si="1"/>
        <v>#N/A</v>
      </c>
      <c r="R1002" s="6"/>
    </row>
    <row r="1003" hidden="1">
      <c r="A1003" s="31" t="str">
        <f>IFERROR(__xludf.DUMMYFUNCTION("""COMPUTED_VALUE"""),"976")</f>
        <v>976</v>
      </c>
      <c r="B1003" s="14" t="str">
        <f>IFERROR(__xludf.DUMMYFUNCTION("""COMPUTED_VALUE"""),"РЕН-26")</f>
        <v>РЕН-26</v>
      </c>
      <c r="C1003" s="14" t="str">
        <f>IFERROR(__xludf.DUMMYFUNCTION("""COMPUTED_VALUE"""),"ОКС")</f>
        <v>ОКС</v>
      </c>
      <c r="D1003" s="6"/>
      <c r="E1003" s="14" t="str">
        <f>IFERROR(__xludf.DUMMYFUNCTION("""COMPUTED_VALUE"""),"Центральная ул., з/у 3А (Центральная ул., вблизи д.3) Центральная ул., з/у 3А (Центральная ул., вблизи д.3)")</f>
        <v>Центральная ул., з/у 3А (Центральная ул., вблизи д.3) Центральная ул., з/у 3А (Центральная ул., вблизи д.3)</v>
      </c>
      <c r="F1003" s="25" t="str">
        <f>IFERROR(__xludf.DUMMYFUNCTION("""COMPUTED_VALUE"""),"55.515549")</f>
        <v>55.515549</v>
      </c>
      <c r="G1003" s="6" t="str">
        <f>IFERROR(__xludf.DUMMYFUNCTION("""COMPUTED_VALUE"""),"37.224560")</f>
        <v>37.224560</v>
      </c>
      <c r="H1003" s="18" t="str">
        <f>IFERROR(__xludf.DUMMYFUNCTION("""COMPUTED_VALUE"""),"https://docs.google.com/spreadsheets/d/1rbCD10ySi4YZEkJW2_Slmn9z7AI1WEsGsZaIJmnnT18/edit?gid=2057992272#gid=2057992272")</f>
        <v>https://docs.google.com/spreadsheets/d/1rbCD10ySi4YZEkJW2_Slmn9z7AI1WEsGsZaIJmnnT18/edit?gid=2057992272#gid=2057992272</v>
      </c>
      <c r="I1003" s="19" t="str">
        <f>IFERROR(__xludf.DUMMYFUNCTION("""COMPUTED_VALUE"""),"https://disk.yandex.ru/client/disk/Осмотры%20объектов%20АНО%20СМГ/976.%20жилой%20дом%20ул.%20Центрральная%203А")</f>
        <v>https://disk.yandex.ru/client/disk/Осмотры%20объектов%20АНО%20СМГ/976.%20жилой%20дом%20ул.%20Центрральная%203А</v>
      </c>
      <c r="J1003" s="50">
        <f>IFERROR(__xludf.DUMMYFUNCTION("""COMPUTED_VALUE"""),0.0)</f>
        <v>0</v>
      </c>
      <c r="K1003" s="58">
        <f>IFERROR(__xludf.DUMMYFUNCTION("""COMPUTED_VALUE"""),45961.0)</f>
        <v>45961</v>
      </c>
      <c r="L1003" s="6">
        <v>30.0</v>
      </c>
      <c r="M1003" s="52">
        <v>45991.0</v>
      </c>
      <c r="N1003" s="53" t="s">
        <v>692</v>
      </c>
      <c r="O1003" s="19" t="s">
        <v>1204</v>
      </c>
      <c r="P1003" s="6"/>
      <c r="Q1003" s="6" t="str">
        <f t="shared" si="1"/>
        <v>#N/A</v>
      </c>
      <c r="R1003" s="6"/>
    </row>
    <row r="1004" hidden="1">
      <c r="A1004" s="31" t="str">
        <f>IFERROR(__xludf.DUMMYFUNCTION("""COMPUTED_VALUE"""),"662")</f>
        <v>662</v>
      </c>
      <c r="B1004" s="14" t="str">
        <f>IFERROR(__xludf.DUMMYFUNCTION("""COMPUTED_VALUE"""),"РЕН-26")</f>
        <v>РЕН-26</v>
      </c>
      <c r="C1004" s="14" t="str">
        <f>IFERROR(__xludf.DUMMYFUNCTION("""COMPUTED_VALUE"""),"ОКС")</f>
        <v>ОКС</v>
      </c>
      <c r="D1004" s="6"/>
      <c r="E1004" s="14" t="str">
        <f>IFERROR(__xludf.DUMMYFUNCTION("""COMPUTED_VALUE"""),"Свободный просп., вл. 6 (Свободный пр-т, вл. 6) ВАО, район Новогиреево, Свободный пр-кт, вл. 6 (со сносом жилого дома по адресу: Свободный пр-кт, д. 6, к. 1)")</f>
        <v>Свободный просп., вл. 6 (Свободный пр-т, вл. 6) ВАО, район Новогиреево, Свободный пр-кт, вл. 6 (со сносом жилого дома по адресу: Свободный пр-кт, д. 6, к. 1)</v>
      </c>
      <c r="F1004" s="25" t="str">
        <f>IFERROR(__xludf.DUMMYFUNCTION("""COMPUTED_VALUE"""),"55.756972")</f>
        <v>55.756972</v>
      </c>
      <c r="G1004" s="6" t="str">
        <f>IFERROR(__xludf.DUMMYFUNCTION("""COMPUTED_VALUE"""),"37.818630")</f>
        <v>37.818630</v>
      </c>
      <c r="H1004" s="18" t="str">
        <f>IFERROR(__xludf.DUMMYFUNCTION("""COMPUTED_VALUE"""),"https://docs.google.com/spreadsheets/d/1rbCD10ySi4YZEkJW2_Slmn9z7AI1WEsGsZaIJmnnT18/edit?gid=1007518382#gid=1007518382")</f>
        <v>https://docs.google.com/spreadsheets/d/1rbCD10ySi4YZEkJW2_Slmn9z7AI1WEsGsZaIJmnnT18/edit?gid=1007518382#gid=1007518382</v>
      </c>
      <c r="I1004" s="21" t="str">
        <f>IFERROR(__xludf.DUMMYFUNCTION("""COMPUTED_VALUE"""),"https://disk.yandex.ru/client/disk/%D0%9E%D1%81%D0%BC%D0%BE%D1%82%D1%80%D1%8B%20%D0%BE%D0%B1%D1%8A%D0%B5%D0%BA%D1%82%D0%BE%D0%B2%20%D0%90%D0%9D%D0%9E%20%D0%A1%D0%9C%D0%93/662%20%D0%A1%D0%B2%D0%BE%D0%B1%D0%BE%D0%B4%D0%BD%D1%8B%D0%B9%20%D0%BF%D1%80-%D0%BA%D"&amp;"1%82%2C%20%D0%B2%D0%BB.%206%20%D0%BA1%20")</f>
        <v>https://disk.yandex.ru/client/disk/%D0%9E%D1%81%D0%BC%D0%BE%D1%82%D1%80%D1%8B%20%D0%BE%D0%B1%D1%8A%D0%B5%D0%BA%D1%82%D0%BE%D0%B2%20%D0%90%D0%9D%D0%9E%20%D0%A1%D0%9C%D0%93/662%20%D0%A1%D0%B2%D0%BE%D0%B1%D0%BE%D0%B4%D0%BD%D1%8B%D0%B9%20%D0%BF%D1%80-%D0%BA%D1%82%2C%20%D0%B2%D0%BB.%206%20%D0%BA1%20</v>
      </c>
      <c r="J1004" s="50">
        <f>IFERROR(__xludf.DUMMYFUNCTION("""COMPUTED_VALUE"""),0.0)</f>
        <v>0</v>
      </c>
      <c r="K1004" s="58">
        <f>IFERROR(__xludf.DUMMYFUNCTION("""COMPUTED_VALUE"""),45968.0)</f>
        <v>45968</v>
      </c>
      <c r="L1004" s="6">
        <v>30.0</v>
      </c>
      <c r="M1004" s="52">
        <v>45998.0</v>
      </c>
      <c r="N1004" s="53" t="s">
        <v>711</v>
      </c>
      <c r="O1004" s="19" t="s">
        <v>893</v>
      </c>
      <c r="P1004" s="6"/>
      <c r="Q1004" s="6" t="str">
        <f t="shared" si="1"/>
        <v>#N/A</v>
      </c>
      <c r="R1004" s="6"/>
    </row>
    <row r="1005" hidden="1">
      <c r="A1005" s="31" t="str">
        <f>IFERROR(__xludf.DUMMYFUNCTION("""COMPUTED_VALUE"""),"820")</f>
        <v>820</v>
      </c>
      <c r="B1005" s="14" t="str">
        <f>IFERROR(__xludf.DUMMYFUNCTION("""COMPUTED_VALUE"""),"РЕН-26")</f>
        <v>РЕН-26</v>
      </c>
      <c r="C1005" s="14" t="str">
        <f>IFERROR(__xludf.DUMMYFUNCTION("""COMPUTED_VALUE"""),"ОКС")</f>
        <v>ОКС</v>
      </c>
      <c r="D1005" s="6"/>
      <c r="E1005" s="14" t="str">
        <f>IFERROR(__xludf.DUMMYFUNCTION("""COMPUTED_VALUE"""),"Коровинское шоссе, земельный участок 6 (Коровинское ш., вл.6) район Бескудниковский, Коровинское ш., земельный участок 6 (Коровинское ш., вл.6)")</f>
        <v>Коровинское шоссе, земельный участок 6 (Коровинское ш., вл.6) район Бескудниковский, Коровинское ш., земельный участок 6 (Коровинское ш., вл.6)</v>
      </c>
      <c r="F1005" s="25" t="str">
        <f>IFERROR(__xludf.DUMMYFUNCTION("""COMPUTED_VALUE"""),"55.868364")</f>
        <v>55.868364</v>
      </c>
      <c r="G1005" s="6" t="str">
        <f>IFERROR(__xludf.DUMMYFUNCTION("""COMPUTED_VALUE"""),"37.539159")</f>
        <v>37.539159</v>
      </c>
      <c r="H1005" s="18" t="str">
        <f>IFERROR(__xludf.DUMMYFUNCTION("""COMPUTED_VALUE"""),"https://docs.google.com/spreadsheets/d/1rbCD10ySi4YZEkJW2_Slmn9z7AI1WEsGsZaIJmnnT18/edit?gid=558650933#gid=558650933")</f>
        <v>https://docs.google.com/spreadsheets/d/1rbCD10ySi4YZEkJW2_Slmn9z7AI1WEsGsZaIJmnnT18/edit?gid=558650933#gid=558650933</v>
      </c>
      <c r="I1005" s="19" t="str">
        <f>IFERROR(__xludf.DUMMYFUNCTION("""COMPUTED_VALUE"""),"https://disk.yandex.ru/client/disk/Осмотры%20объектов%20АНО%20СМГ/820.%20Коровинское%20шоссе%2C%20земельный%20участок%206%20(Коровинское%20ш.%2C%20вл.6)%09")</f>
        <v>https://disk.yandex.ru/client/disk/Осмотры%20объектов%20АНО%20СМГ/820.%20Коровинское%20шоссе%2C%20земельный%20участок%206%20(Коровинское%20ш.%2C%20вл.6)%09</v>
      </c>
      <c r="J1005" s="50">
        <f>IFERROR(__xludf.DUMMYFUNCTION("""COMPUTED_VALUE"""),0.0)</f>
        <v>0</v>
      </c>
      <c r="K1005" s="58">
        <f>IFERROR(__xludf.DUMMYFUNCTION("""COMPUTED_VALUE"""),45961.0)</f>
        <v>45961</v>
      </c>
      <c r="L1005" s="6">
        <v>30.0</v>
      </c>
      <c r="M1005" s="52">
        <v>45991.0</v>
      </c>
      <c r="N1005" s="53" t="s">
        <v>692</v>
      </c>
      <c r="O1005" s="19" t="s">
        <v>1205</v>
      </c>
      <c r="P1005" s="6"/>
      <c r="Q1005" s="6" t="str">
        <f t="shared" si="1"/>
        <v>#N/A</v>
      </c>
      <c r="R1005" s="6"/>
    </row>
    <row r="1006" hidden="1">
      <c r="A1006" s="31" t="str">
        <f>IFERROR(__xludf.DUMMYFUNCTION("""COMPUTED_VALUE"""),"938")</f>
        <v>938</v>
      </c>
      <c r="B1006" s="14" t="str">
        <f>IFERROR(__xludf.DUMMYFUNCTION("""COMPUTED_VALUE"""),"РЕН-26")</f>
        <v>РЕН-26</v>
      </c>
      <c r="C1006" s="14" t="str">
        <f>IFERROR(__xludf.DUMMYFUNCTION("""COMPUTED_VALUE"""),"ОКС")</f>
        <v>ОКС</v>
      </c>
      <c r="D1006" s="6"/>
      <c r="E1006" s="14" t="str">
        <f>IFERROR(__xludf.DUMMYFUNCTION("""COMPUTED_VALUE"""),"Жилой дом с подземной автостоянкой, инженерными сетями и благоустройством территории (со сносом жилых зданий по адресам: ул. Герасима Курина, д.12, к.1, ул. Герасима Курина, д.12, к.2, ул. Герасима Курина, д.12, к.3, ул. Пивченкова, д.2, ул. Пивченкова, д"&amp;".4) по адресу: зона 5.2 кварталов 58, 59 ул. Пивченкова, з/у 2")</f>
        <v>Жилой дом с подземной автостоянкой, инженерными сетями и благоустройством территории (со сносом жилых зданий по адресам: ул. Герасима Курина, д.12, к.1, ул. Герасима Курина, д.12, к.2, ул. Герасима Курина, д.12, к.3, ул. Пивченкова, д.2, ул. Пивченкова, д.4) по адресу: зона 5.2 кварталов 58, 59 ул. Пивченкова, з/у 2</v>
      </c>
      <c r="F1006" s="25" t="str">
        <f>IFERROR(__xludf.DUMMYFUNCTION("""COMPUTED_VALUE"""),"55.732631")</f>
        <v>55.732631</v>
      </c>
      <c r="G1006" s="6" t="str">
        <f>IFERROR(__xludf.DUMMYFUNCTION("""COMPUTED_VALUE"""),"37.478504")</f>
        <v>37.478504</v>
      </c>
      <c r="H1006" s="18" t="str">
        <f>IFERROR(__xludf.DUMMYFUNCTION("""COMPUTED_VALUE"""),"https://docs.google.com/spreadsheets/d/1rbCD10ySi4YZEkJW2_Slmn9z7AI1WEsGsZaIJmnnT18/edit?gid=1009116353#gid=1009116353")</f>
        <v>https://docs.google.com/spreadsheets/d/1rbCD10ySi4YZEkJW2_Slmn9z7AI1WEsGsZaIJmnnT18/edit?gid=1009116353#gid=1009116353</v>
      </c>
      <c r="I1006" s="19" t="str">
        <f>IFERROR(__xludf.DUMMYFUNCTION("""COMPUTED_VALUE"""),"https://disk.yandex.ru/client/disk/Осмотры%20объектов%20АНО%20СМГ/938.%20Дом%20ул.%20Пивченкова%20зу2")</f>
        <v>https://disk.yandex.ru/client/disk/Осмотры%20объектов%20АНО%20СМГ/938.%20Дом%20ул.%20Пивченкова%20зу2</v>
      </c>
      <c r="J1006" s="50">
        <f>IFERROR(__xludf.DUMMYFUNCTION("""COMPUTED_VALUE"""),0.0)</f>
        <v>0</v>
      </c>
      <c r="K1006" s="58">
        <f>IFERROR(__xludf.DUMMYFUNCTION("""COMPUTED_VALUE"""),45947.0)</f>
        <v>45947</v>
      </c>
      <c r="L1006" s="6">
        <v>30.0</v>
      </c>
      <c r="M1006" s="52">
        <v>45977.0</v>
      </c>
      <c r="N1006" s="53" t="s">
        <v>701</v>
      </c>
      <c r="O1006" s="19" t="s">
        <v>1206</v>
      </c>
      <c r="P1006" s="6"/>
      <c r="Q1006" s="6" t="str">
        <f t="shared" si="1"/>
        <v>#N/A</v>
      </c>
      <c r="R1006" s="6"/>
    </row>
    <row r="1007" hidden="1">
      <c r="A1007" s="31" t="str">
        <f>IFERROR(__xludf.DUMMYFUNCTION("""COMPUTED_VALUE"""),"937")</f>
        <v>937</v>
      </c>
      <c r="B1007" s="14" t="str">
        <f>IFERROR(__xludf.DUMMYFUNCTION("""COMPUTED_VALUE"""),"РЕН-26")</f>
        <v>РЕН-26</v>
      </c>
      <c r="C1007" s="14" t="str">
        <f>IFERROR(__xludf.DUMMYFUNCTION("""COMPUTED_VALUE"""),"ОКС")</f>
        <v>ОКС</v>
      </c>
      <c r="D1007" s="6"/>
      <c r="E1007" s="14" t="str">
        <f>IFERROR(__xludf.DUMMYFUNCTION("""COMPUTED_VALUE"""),"Пресненский район, кв-лы 798, 800, зона 2.1 Пресненский район, кв-лы 798, 800, зона 2.1 зу 10")</f>
        <v>Пресненский район, кв-лы 798, 800, зона 2.1 Пресненский район, кв-лы 798, 800, зона 2.1 зу 10</v>
      </c>
      <c r="F1007" s="25" t="str">
        <f>IFERROR(__xludf.DUMMYFUNCTION("""COMPUTED_VALUE"""),"55.762587")</f>
        <v>55.762587</v>
      </c>
      <c r="G1007" s="6" t="str">
        <f>IFERROR(__xludf.DUMMYFUNCTION("""COMPUTED_VALUE"""),"37.537118")</f>
        <v>37.537118</v>
      </c>
      <c r="H1007" s="18" t="str">
        <f>IFERROR(__xludf.DUMMYFUNCTION("""COMPUTED_VALUE"""),"https://docs.google.com/spreadsheets/d/1rbCD10ySi4YZEkJW2_Slmn9z7AI1WEsGsZaIJmnnT18/edit?gid=865770584#gid=865770584")</f>
        <v>https://docs.google.com/spreadsheets/d/1rbCD10ySi4YZEkJW2_Slmn9z7AI1WEsGsZaIJmnnT18/edit?gid=865770584#gid=865770584</v>
      </c>
      <c r="I1007" s="19" t="str">
        <f>IFERROR(__xludf.DUMMYFUNCTION("""COMPUTED_VALUE"""),"https://disk.yandex.ru/client/disk/Осмотры%20объектов%20АНО%20СМГ/937.%20Дом%20Пресненский%20район%20кв798")</f>
        <v>https://disk.yandex.ru/client/disk/Осмотры%20объектов%20АНО%20СМГ/937.%20Дом%20Пресненский%20район%20кв798</v>
      </c>
      <c r="J1007" s="50">
        <f>IFERROR(__xludf.DUMMYFUNCTION("""COMPUTED_VALUE"""),0.0)</f>
        <v>0</v>
      </c>
      <c r="K1007" s="58">
        <f>IFERROR(__xludf.DUMMYFUNCTION("""COMPUTED_VALUE"""),45962.0)</f>
        <v>45962</v>
      </c>
      <c r="L1007" s="6">
        <v>30.0</v>
      </c>
      <c r="M1007" s="52">
        <v>45992.0</v>
      </c>
      <c r="N1007" s="53" t="s">
        <v>692</v>
      </c>
      <c r="O1007" s="19" t="s">
        <v>1207</v>
      </c>
      <c r="P1007" s="6"/>
      <c r="Q1007" s="6" t="str">
        <f t="shared" si="1"/>
        <v>#N/A</v>
      </c>
      <c r="R1007" s="6"/>
    </row>
    <row r="1008" hidden="1">
      <c r="A1008" s="31" t="str">
        <f>IFERROR(__xludf.DUMMYFUNCTION("""COMPUTED_VALUE"""),"935")</f>
        <v>935</v>
      </c>
      <c r="B1008" s="14" t="str">
        <f>IFERROR(__xludf.DUMMYFUNCTION("""COMPUTED_VALUE"""),"РЕН-26")</f>
        <v>РЕН-26</v>
      </c>
      <c r="C1008" s="14" t="str">
        <f>IFERROR(__xludf.DUMMYFUNCTION("""COMPUTED_VALUE"""),"ОКС")</f>
        <v>ОКС</v>
      </c>
      <c r="D1008" s="6"/>
      <c r="E1008" s="14" t="str">
        <f>IFERROR(__xludf.DUMMYFUNCTION("""COMPUTED_VALUE"""),"ул. Марии Поливановой, з/у 4 ул. Марии Поливановой, з/у 4")</f>
        <v>ул. Марии Поливановой, з/у 4 ул. Марии Поливановой, з/у 4</v>
      </c>
      <c r="F1008" s="25" t="str">
        <f>IFERROR(__xludf.DUMMYFUNCTION("""COMPUTED_VALUE"""),"55.679549")</f>
        <v>55.679549</v>
      </c>
      <c r="G1008" s="6" t="str">
        <f>IFERROR(__xludf.DUMMYFUNCTION("""COMPUTED_VALUE"""),"37.450162")</f>
        <v>37.450162</v>
      </c>
      <c r="H1008" s="18" t="str">
        <f>IFERROR(__xludf.DUMMYFUNCTION("""COMPUTED_VALUE"""),"https://docs.google.com/spreadsheets/d/1rbCD10ySi4YZEkJW2_Slmn9z7AI1WEsGsZaIJmnnT18/edit?gid=1832052773#gid=1832052773")</f>
        <v>https://docs.google.com/spreadsheets/d/1rbCD10ySi4YZEkJW2_Slmn9z7AI1WEsGsZaIJmnnT18/edit?gid=1832052773#gid=1832052773</v>
      </c>
      <c r="I1008" s="19" t="str">
        <f>IFERROR(__xludf.DUMMYFUNCTION("""COMPUTED_VALUE"""),"https://disk.yandex.ru/client/disk/Осмотры%20объектов%20АНО%20СМГ/935.%20ул.%20Марии%20Поливановой%2C%20зу%204")</f>
        <v>https://disk.yandex.ru/client/disk/Осмотры%20объектов%20АНО%20СМГ/935.%20ул.%20Марии%20Поливановой%2C%20зу%204</v>
      </c>
      <c r="J1008" s="50">
        <f>IFERROR(__xludf.DUMMYFUNCTION("""COMPUTED_VALUE"""),0.0)</f>
        <v>0</v>
      </c>
      <c r="K1008" s="58">
        <f>IFERROR(__xludf.DUMMYFUNCTION("""COMPUTED_VALUE"""),45962.0)</f>
        <v>45962</v>
      </c>
      <c r="L1008" s="6">
        <v>30.0</v>
      </c>
      <c r="M1008" s="52">
        <v>45992.0</v>
      </c>
      <c r="N1008" s="53" t="s">
        <v>692</v>
      </c>
      <c r="O1008" s="19" t="s">
        <v>1208</v>
      </c>
      <c r="P1008" s="6"/>
      <c r="Q1008" s="6" t="str">
        <f t="shared" si="1"/>
        <v>#N/A</v>
      </c>
      <c r="R1008" s="6"/>
    </row>
    <row r="1009" hidden="1">
      <c r="A1009" s="31" t="str">
        <f>IFERROR(__xludf.DUMMYFUNCTION("""COMPUTED_VALUE"""),"926")</f>
        <v>926</v>
      </c>
      <c r="B1009" s="14" t="str">
        <f>IFERROR(__xludf.DUMMYFUNCTION("""COMPUTED_VALUE"""),"РЕН-26")</f>
        <v>РЕН-26</v>
      </c>
      <c r="C1009" s="14" t="str">
        <f>IFERROR(__xludf.DUMMYFUNCTION("""COMPUTED_VALUE"""),"ОКС")</f>
        <v>ОКС</v>
      </c>
      <c r="D1009" s="6"/>
      <c r="E1009" s="14" t="str">
        <f>IFERROR(__xludf.DUMMYFUNCTION("""COMPUTED_VALUE"""),"Жилой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Минус"&amp;"инская, вл. 12-14) Минусинская ул., з/у 14А (ул. Минусинская, вл. 12-14)")</f>
        <v>Жилой дом с инженерными сетями и благоустройством территории (со сносом жилых зданий по адресам: ул. Минусинская, д. 10, ул. Минусинская, д. 12, ул. Минусинская, д. 14) по адресу: район Лосиноостровский, Минусинская улица, земельный участок 14А (ул. Минусинская, вл. 12-14) Минусинская ул., з/у 14А (ул. Минусинская, вл. 12-14)</v>
      </c>
      <c r="F1009" s="25" t="str">
        <f>IFERROR(__xludf.DUMMYFUNCTION("""COMPUTED_VALUE"""),"55.874321")</f>
        <v>55.874321</v>
      </c>
      <c r="G1009" s="6" t="str">
        <f>IFERROR(__xludf.DUMMYFUNCTION("""COMPUTED_VALUE"""),"37.692214")</f>
        <v>37.692214</v>
      </c>
      <c r="H1009" s="18" t="str">
        <f>IFERROR(__xludf.DUMMYFUNCTION("""COMPUTED_VALUE"""),"https://docs.google.com/spreadsheets/d/1rbCD10ySi4YZEkJW2_Slmn9z7AI1WEsGsZaIJmnnT18/edit?gid=1472127211#gid=1472127211")</f>
        <v>https://docs.google.com/spreadsheets/d/1rbCD10ySi4YZEkJW2_Slmn9z7AI1WEsGsZaIJmnnT18/edit?gid=1472127211#gid=1472127211</v>
      </c>
      <c r="I1009" s="19" t="str">
        <f>IFERROR(__xludf.DUMMYFUNCTION("""COMPUTED_VALUE"""),"https://disk.yandex.ru/client/disk/Осмотры%20объектов%20АНО%20СМГ/926%20Минусинская%2C%20зу%2014%20А")</f>
        <v>https://disk.yandex.ru/client/disk/Осмотры%20объектов%20АНО%20СМГ/926%20Минусинская%2C%20зу%2014%20А</v>
      </c>
      <c r="J1009" s="50">
        <f>IFERROR(__xludf.DUMMYFUNCTION("""COMPUTED_VALUE"""),2.6999999999999997)</f>
        <v>2.7</v>
      </c>
      <c r="K1009" s="58">
        <f>IFERROR(__xludf.DUMMYFUNCTION("""COMPUTED_VALUE"""),45962.0)</f>
        <v>45962</v>
      </c>
      <c r="L1009" s="6">
        <v>30.0</v>
      </c>
      <c r="M1009" s="52">
        <v>45992.0</v>
      </c>
      <c r="N1009" s="53" t="s">
        <v>692</v>
      </c>
      <c r="O1009" s="19" t="s">
        <v>669</v>
      </c>
      <c r="P1009" s="6"/>
      <c r="Q1009" s="6" t="str">
        <f t="shared" si="1"/>
        <v>#N/A</v>
      </c>
      <c r="R1009" s="6"/>
    </row>
    <row r="1010" hidden="1">
      <c r="A1010" s="31" t="str">
        <f>IFERROR(__xludf.DUMMYFUNCTION("""COMPUTED_VALUE"""),"918")</f>
        <v>918</v>
      </c>
      <c r="B1010" s="14" t="str">
        <f>IFERROR(__xludf.DUMMYFUNCTION("""COMPUTED_VALUE"""),"РЕН-26")</f>
        <v>РЕН-26</v>
      </c>
      <c r="C1010" s="14" t="str">
        <f>IFERROR(__xludf.DUMMYFUNCTION("""COMPUTED_VALUE"""),"ОКС")</f>
        <v>ОКС</v>
      </c>
      <c r="D1010" s="6"/>
      <c r="E1010" s="14" t="str">
        <f>IFERROR(__xludf.DUMMYFUNCTION("""COMPUTED_VALUE"""),"Жилой дом с инженерными сетями и благоустройством территории (со сносом жилого здания по адресам: г. Москва, пос. Загорье, д. 8 и пос. Загорье д. 9) по адресу: г. Москва, район Бирюлево Восточное, 3-й микрорайон Загорье, зона 1.3 ул. Загорьевская, з/у 2/5")</f>
        <v>Жилой дом с инженерными сетями и благоустройством территории (со сносом жилого здания по адресам: г. Москва, пос. Загорье, д. 8 и пос. Загорье д. 9) по адресу: г. Москва, район Бирюлево Восточное, 3-й микрорайон Загорье, зона 1.3 ул. Загорьевская, з/у 2/5</v>
      </c>
      <c r="F1010" s="25" t="str">
        <f>IFERROR(__xludf.DUMMYFUNCTION("""COMPUTED_VALUE"""),"55.580326")</f>
        <v>55.580326</v>
      </c>
      <c r="G1010" s="6" t="str">
        <f>IFERROR(__xludf.DUMMYFUNCTION("""COMPUTED_VALUE"""),"37.674947")</f>
        <v>37.674947</v>
      </c>
      <c r="H1010" s="18" t="str">
        <f>IFERROR(__xludf.DUMMYFUNCTION("""COMPUTED_VALUE"""),"https://docs.google.com/spreadsheets/d/1rbCD10ySi4YZEkJW2_Slmn9z7AI1WEsGsZaIJmnnT18/edit?gid=1242332740#gid=1242332740")</f>
        <v>https://docs.google.com/spreadsheets/d/1rbCD10ySi4YZEkJW2_Slmn9z7AI1WEsGsZaIJmnnT18/edit?gid=1242332740#gid=1242332740</v>
      </c>
      <c r="I1010" s="19" t="str">
        <f>IFERROR(__xludf.DUMMYFUNCTION("""COMPUTED_VALUE"""),"https://disk.yandex.ru/client/disk/Осмотры%20объектов%20АНО%20СМГ/918.%20ул.%20Загорьевская%2C%20з.у%202.5")</f>
        <v>https://disk.yandex.ru/client/disk/Осмотры%20объектов%20АНО%20СМГ/918.%20ул.%20Загорьевская%2C%20з.у%202.5</v>
      </c>
      <c r="J1010" s="50">
        <f>IFERROR(__xludf.DUMMYFUNCTION("""COMPUTED_VALUE"""),0.0)</f>
        <v>0</v>
      </c>
      <c r="K1010" s="58">
        <f>IFERROR(__xludf.DUMMYFUNCTION("""COMPUTED_VALUE"""),45968.0)</f>
        <v>45968</v>
      </c>
      <c r="L1010" s="6">
        <v>30.0</v>
      </c>
      <c r="M1010" s="52">
        <v>45998.0</v>
      </c>
      <c r="N1010" s="53" t="s">
        <v>711</v>
      </c>
      <c r="O1010" s="19" t="s">
        <v>914</v>
      </c>
      <c r="P1010" s="6"/>
      <c r="Q1010" s="6" t="str">
        <f t="shared" si="1"/>
        <v>#N/A</v>
      </c>
      <c r="R1010" s="6"/>
    </row>
    <row r="1011" hidden="1">
      <c r="A1011" s="31" t="str">
        <f>IFERROR(__xludf.DUMMYFUNCTION("""COMPUTED_VALUE"""),"908")</f>
        <v>908</v>
      </c>
      <c r="B1011" s="14" t="str">
        <f>IFERROR(__xludf.DUMMYFUNCTION("""COMPUTED_VALUE"""),"РЕН-26")</f>
        <v>РЕН-26</v>
      </c>
      <c r="C1011" s="14" t="str">
        <f>IFERROR(__xludf.DUMMYFUNCTION("""COMPUTED_VALUE"""),"ОКС")</f>
        <v>ОКС</v>
      </c>
      <c r="D1011" s="6"/>
      <c r="E1011" s="14" t="str">
        <f>IFERROR(__xludf.DUMMYFUNCTION("""COMPUTED_VALUE"""),"Жилой дом с инженерными сетями и благоустройством территории по адресу: г. Москва, внутригородское муниципальное образование Западное Дегунино, улица Пяловская, земельный участок 5А (Пяловская ул., вл.5А) (Северный административный округ) Пяловская ул., в"&amp;"л. 5А")</f>
        <v>Жилой дом с инженерными сетями и благоустройством территории по адресу: г. Москва, внутригородское муниципальное образование Западное Дегунино, улица Пяловская, земельный участок 5А (Пяловская ул., вл.5А) (Северный административный округ) Пяловская ул., вл. 5А</v>
      </c>
      <c r="F1011" s="25" t="str">
        <f>IFERROR(__xludf.DUMMYFUNCTION("""COMPUTED_VALUE"""),"55.861629")</f>
        <v>55.861629</v>
      </c>
      <c r="G1011" s="6" t="str">
        <f>IFERROR(__xludf.DUMMYFUNCTION("""COMPUTED_VALUE"""),"37.538103")</f>
        <v>37.538103</v>
      </c>
      <c r="H1011" s="18" t="str">
        <f>IFERROR(__xludf.DUMMYFUNCTION("""COMPUTED_VALUE"""),"https://docs.google.com/spreadsheets/d/1rbCD10ySi4YZEkJW2_Slmn9z7AI1WEsGsZaIJmnnT18/edit?gid=1234676505#gid=1234676505")</f>
        <v>https://docs.google.com/spreadsheets/d/1rbCD10ySi4YZEkJW2_Slmn9z7AI1WEsGsZaIJmnnT18/edit?gid=1234676505#gid=1234676505</v>
      </c>
      <c r="I1011" s="19" t="str">
        <f>IFERROR(__xludf.DUMMYFUNCTION("""COMPUTED_VALUE"""),"https://disk.yandex.ru/client/disk/Осмотры%20объектов%20АНО%20СМГ/908.%20Пяловская%20ул.%2C%20вл.%205А")</f>
        <v>https://disk.yandex.ru/client/disk/Осмотры%20объектов%20АНО%20СМГ/908.%20Пяловская%20ул.%2C%20вл.%205А</v>
      </c>
      <c r="J1011" s="50">
        <f>IFERROR(__xludf.DUMMYFUNCTION("""COMPUTED_VALUE"""),0.0)</f>
        <v>0</v>
      </c>
      <c r="K1011" s="58">
        <f>IFERROR(__xludf.DUMMYFUNCTION("""COMPUTED_VALUE"""),45961.0)</f>
        <v>45961</v>
      </c>
      <c r="L1011" s="6">
        <v>30.0</v>
      </c>
      <c r="M1011" s="52">
        <v>45991.0</v>
      </c>
      <c r="N1011" s="53" t="s">
        <v>692</v>
      </c>
      <c r="O1011" s="19" t="s">
        <v>914</v>
      </c>
      <c r="P1011" s="6"/>
      <c r="Q1011" s="6" t="str">
        <f t="shared" si="1"/>
        <v>#N/A</v>
      </c>
      <c r="R1011" s="6"/>
    </row>
    <row r="1012" hidden="1">
      <c r="A1012" s="31" t="str">
        <f>IFERROR(__xludf.DUMMYFUNCTION("""COMPUTED_VALUE"""),"890")</f>
        <v>890</v>
      </c>
      <c r="B1012" s="14" t="str">
        <f>IFERROR(__xludf.DUMMYFUNCTION("""COMPUTED_VALUE"""),"РЕН-26")</f>
        <v>РЕН-26</v>
      </c>
      <c r="C1012" s="14" t="str">
        <f>IFERROR(__xludf.DUMMYFUNCTION("""COMPUTED_VALUE"""),"ОКС")</f>
        <v>ОКС</v>
      </c>
      <c r="D1012" s="6"/>
      <c r="E1012" s="14" t="str">
        <f>IFERROR(__xludf.DUMMYFUNCTION("""COMPUTED_VALUE"""),"ул. Синичкина 2-я, уч. Владение 15, ул. Синичкина 2-я, уч. Владение 17 (ул. 2-я Синичкина, вл. 15, 17) 2-я ул. Синичкина, влд. 15, 17")</f>
        <v>ул. Синичкина 2-я, уч. Владение 15, ул. Синичкина 2-я, уч. Владение 17 (ул. 2-я Синичкина, вл. 15, 17) 2-я ул. Синичкина, влд. 15, 17</v>
      </c>
      <c r="F1012" s="25" t="str">
        <f>IFERROR(__xludf.DUMMYFUNCTION("""COMPUTED_VALUE"""),"55.762186")</f>
        <v>55.762186</v>
      </c>
      <c r="G1012" s="6" t="str">
        <f>IFERROR(__xludf.DUMMYFUNCTION("""COMPUTED_VALUE"""),"37.715381")</f>
        <v>37.715381</v>
      </c>
      <c r="H1012" s="18" t="str">
        <f>IFERROR(__xludf.DUMMYFUNCTION("""COMPUTED_VALUE"""),"https://docs.google.com/spreadsheets/d/1rbCD10ySi4YZEkJW2_Slmn9z7AI1WEsGsZaIJmnnT18/edit?gid=138432593#gid=138432593")</f>
        <v>https://docs.google.com/spreadsheets/d/1rbCD10ySi4YZEkJW2_Slmn9z7AI1WEsGsZaIJmnnT18/edit?gid=138432593#gid=138432593</v>
      </c>
      <c r="I1012" s="19" t="str">
        <f>IFERROR(__xludf.DUMMYFUNCTION("""COMPUTED_VALUE"""),"https://disk.yandex.ru/client/disk/Осмотры%20объектов%20АНО%20СМГ/890.%202-я%20ул.%20Синичкина%2C%20влд.%2015%2C%2017")</f>
        <v>https://disk.yandex.ru/client/disk/Осмотры%20объектов%20АНО%20СМГ/890.%202-я%20ул.%20Синичкина%2C%20влд.%2015%2C%2017</v>
      </c>
      <c r="J1012" s="50">
        <f>IFERROR(__xludf.DUMMYFUNCTION("""COMPUTED_VALUE"""),0.75)</f>
        <v>0.75</v>
      </c>
      <c r="K1012" s="58">
        <f>IFERROR(__xludf.DUMMYFUNCTION("""COMPUTED_VALUE"""),45961.0)</f>
        <v>45961</v>
      </c>
      <c r="L1012" s="6">
        <v>30.0</v>
      </c>
      <c r="M1012" s="52">
        <v>45991.0</v>
      </c>
      <c r="N1012" s="53" t="s">
        <v>692</v>
      </c>
      <c r="O1012" s="19" t="s">
        <v>669</v>
      </c>
      <c r="P1012" s="6"/>
      <c r="Q1012" s="6" t="str">
        <f t="shared" si="1"/>
        <v>#N/A</v>
      </c>
      <c r="R1012" s="6"/>
    </row>
    <row r="1013" hidden="1">
      <c r="A1013" s="31" t="str">
        <f>IFERROR(__xludf.DUMMYFUNCTION("""COMPUTED_VALUE"""),"886")</f>
        <v>886</v>
      </c>
      <c r="B1013" s="14" t="str">
        <f>IFERROR(__xludf.DUMMYFUNCTION("""COMPUTED_VALUE"""),"РЕН-26")</f>
        <v>РЕН-26</v>
      </c>
      <c r="C1013" s="14" t="str">
        <f>IFERROR(__xludf.DUMMYFUNCTION("""COMPUTED_VALUE"""),"ОКС")</f>
        <v>ОКС</v>
      </c>
      <c r="D1013" s="6"/>
      <c r="E1013" s="14" t="str">
        <f>IFERROR(__xludf.DUMMYFUNCTION("""COMPUTED_VALUE"""),"Приобретение объектов недвижимости по адресу: г. Москва, ВАО, район Богородское, Бойцовая ул., вл. 13, стр. 1 Бойцовая 13 стр 1")</f>
        <v>Приобретение объектов недвижимости по адресу: г. Москва, ВАО, район Богородское, Бойцовая ул., вл. 13, стр. 1 Бойцовая 13 стр 1</v>
      </c>
      <c r="F1013" s="25" t="str">
        <f>IFERROR(__xludf.DUMMYFUNCTION("""COMPUTED_VALUE"""),"55.811712")</f>
        <v>55.811712</v>
      </c>
      <c r="G1013" s="6" t="str">
        <f>IFERROR(__xludf.DUMMYFUNCTION("""COMPUTED_VALUE"""),"37.716401")</f>
        <v>37.716401</v>
      </c>
      <c r="H1013" s="18" t="str">
        <f>IFERROR(__xludf.DUMMYFUNCTION("""COMPUTED_VALUE"""),"https://docs.google.com/spreadsheets/d/1rbCD10ySi4YZEkJW2_Slmn9z7AI1WEsGsZaIJmnnT18/edit?gid=80972844#gid=80972844")</f>
        <v>https://docs.google.com/spreadsheets/d/1rbCD10ySi4YZEkJW2_Slmn9z7AI1WEsGsZaIJmnnT18/edit?gid=80972844#gid=80972844</v>
      </c>
      <c r="I1013" s="19" t="str">
        <f>IFERROR(__xludf.DUMMYFUNCTION("""COMPUTED_VALUE"""),"https://disk.yandex.ru/client/disk/Осмотры%20объектов%20АНО%20СМГ/886%20ул.%20Бойцовая%2013%20стр1")</f>
        <v>https://disk.yandex.ru/client/disk/Осмотры%20объектов%20АНО%20СМГ/886%20ул.%20Бойцовая%2013%20стр1</v>
      </c>
      <c r="J1013" s="50">
        <f>IFERROR(__xludf.DUMMYFUNCTION("""COMPUTED_VALUE"""),0.0)</f>
        <v>0</v>
      </c>
      <c r="K1013" s="58">
        <f>IFERROR(__xludf.DUMMYFUNCTION("""COMPUTED_VALUE"""),45953.0)</f>
        <v>45953</v>
      </c>
      <c r="L1013" s="6">
        <v>30.0</v>
      </c>
      <c r="M1013" s="52">
        <v>45983.0</v>
      </c>
      <c r="N1013" s="53" t="s">
        <v>741</v>
      </c>
      <c r="O1013" s="19" t="s">
        <v>914</v>
      </c>
      <c r="P1013" s="6"/>
      <c r="Q1013" s="6" t="str">
        <f t="shared" si="1"/>
        <v>#N/A</v>
      </c>
      <c r="R1013" s="6"/>
    </row>
    <row r="1014" hidden="1">
      <c r="A1014" s="31" t="str">
        <f>IFERROR(__xludf.DUMMYFUNCTION("""COMPUTED_VALUE"""),"988")</f>
        <v>988</v>
      </c>
      <c r="B1014" s="14" t="str">
        <f>IFERROR(__xludf.DUMMYFUNCTION("""COMPUTED_VALUE"""),"РЕН-26")</f>
        <v>РЕН-26</v>
      </c>
      <c r="C1014" s="14" t="str">
        <f>IFERROR(__xludf.DUMMYFUNCTION("""COMPUTED_VALUE"""),"ОКС")</f>
        <v>ОКС</v>
      </c>
      <c r="D1014" s="6"/>
      <c r="E1014" s="14" t="str">
        <f>IFERROR(__xludf.DUMMYFUNCTION("""COMPUTED_VALUE"""),"Жилой дом с подземной автостоянкой, с инженерными сетями и благоустройством территории (со сносом жилых домов по адресам: ул. Вяземская, д. 9, корп.1; ул. Вяземская, д. 9, корп.2), ЗАО, район Можайский, Вяземская ул., вл. 9, корп. 1, 2 Вяземская ул., вл. "&amp;"9, корп. 1, 2")</f>
        <v>Жилой дом с подземной автостоянкой, с инженерными сетями и благоустройством территории (со сносом жилых домов по адресам: ул. Вяземская, д. 9, корп.1; ул. Вяземская, д. 9, корп.2), ЗАО, район Можайский, Вяземская ул., вл. 9, корп. 1, 2 Вяземская ул., вл. 9, корп. 1, 2</v>
      </c>
      <c r="F1014" s="25" t="str">
        <f>IFERROR(__xludf.DUMMYFUNCTION("""COMPUTED_VALUE"""),"55.711850")</f>
        <v>55.711850</v>
      </c>
      <c r="G1014" s="6" t="str">
        <f>IFERROR(__xludf.DUMMYFUNCTION("""COMPUTED_VALUE"""),"37.405337")</f>
        <v>37.405337</v>
      </c>
      <c r="H1014" s="18" t="str">
        <f>IFERROR(__xludf.DUMMYFUNCTION("""COMPUTED_VALUE"""),"https://docs.google.com/spreadsheets/d/1rbCD10ySi4YZEkJW2_Slmn9z7AI1WEsGsZaIJmnnT18/edit?gid=2108967906#gid=2108967906")</f>
        <v>https://docs.google.com/spreadsheets/d/1rbCD10ySi4YZEkJW2_Slmn9z7AI1WEsGsZaIJmnnT18/edit?gid=2108967906#gid=2108967906</v>
      </c>
      <c r="I1014" s="19" t="str">
        <f>IFERROR(__xludf.DUMMYFUNCTION("""COMPUTED_VALUE"""),"https://disk.yandex.ru/client/disk/Осмотры%20объектов%20АНО%20СМГ/988.%20Жилой%20дом%20ул.%20Вяземская%209")</f>
        <v>https://disk.yandex.ru/client/disk/Осмотры%20объектов%20АНО%20СМГ/988.%20Жилой%20дом%20ул.%20Вяземская%209</v>
      </c>
      <c r="J1014" s="50">
        <f>IFERROR(__xludf.DUMMYFUNCTION("""COMPUTED_VALUE"""),0.0)</f>
        <v>0</v>
      </c>
      <c r="K1014" s="58">
        <f>IFERROR(__xludf.DUMMYFUNCTION("""COMPUTED_VALUE"""),45962.0)</f>
        <v>45962</v>
      </c>
      <c r="L1014" s="6">
        <v>30.0</v>
      </c>
      <c r="M1014" s="52">
        <v>45992.0</v>
      </c>
      <c r="N1014" s="53" t="s">
        <v>692</v>
      </c>
      <c r="O1014" s="19" t="s">
        <v>669</v>
      </c>
      <c r="P1014" s="6"/>
      <c r="Q1014" s="6" t="str">
        <f t="shared" si="1"/>
        <v>#N/A</v>
      </c>
      <c r="R1014" s="6"/>
    </row>
    <row r="1015" hidden="1">
      <c r="A1015" s="31" t="str">
        <f>IFERROR(__xludf.DUMMYFUNCTION("""COMPUTED_VALUE"""),"965")</f>
        <v>965</v>
      </c>
      <c r="B1015" s="14" t="str">
        <f>IFERROR(__xludf.DUMMYFUNCTION("""COMPUTED_VALUE"""),"РЕН-26")</f>
        <v>РЕН-26</v>
      </c>
      <c r="C1015" s="14" t="str">
        <f>IFERROR(__xludf.DUMMYFUNCTION("""COMPUTED_VALUE"""),"ОКС")</f>
        <v>ОКС</v>
      </c>
      <c r="D1015" s="6"/>
      <c r="E1015"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Горбунова ул., влд. 27, стр 1, корп. 1")</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Горбунова ул., влд. 27, стр 1, корп. 1</v>
      </c>
      <c r="F1015" s="25" t="str">
        <f>IFERROR(__xludf.DUMMYFUNCTION("""COMPUTED_VALUE"""),"55.721244")</f>
        <v>55.721244</v>
      </c>
      <c r="G1015" s="6" t="str">
        <f>IFERROR(__xludf.DUMMYFUNCTION("""COMPUTED_VALUE"""),"37.383523")</f>
        <v>37.383523</v>
      </c>
      <c r="H1015" s="18" t="str">
        <f>IFERROR(__xludf.DUMMYFUNCTION("""COMPUTED_VALUE"""),"https://docs.google.com/spreadsheets/d/1rbCD10ySi4YZEkJW2_Slmn9z7AI1WEsGsZaIJmnnT18/edit?gid=196703328#gid=196703328")</f>
        <v>https://docs.google.com/spreadsheets/d/1rbCD10ySi4YZEkJW2_Slmn9z7AI1WEsGsZaIJmnnT18/edit?gid=196703328#gid=196703328</v>
      </c>
      <c r="I1015" s="19" t="str">
        <f>IFERROR(__xludf.DUMMYFUNCTION("""COMPUTED_VALUE"""),"https://disk.yandex.ru/client/disk/Осмотры%20объектов%20АНО%20СМГ/965.%20Жилой%20дом%20ул%20Горбунова%2027к1")</f>
        <v>https://disk.yandex.ru/client/disk/Осмотры%20объектов%20АНО%20СМГ/965.%20Жилой%20дом%20ул%20Горбунова%2027к1</v>
      </c>
      <c r="J1015" s="50">
        <f>IFERROR(__xludf.DUMMYFUNCTION("""COMPUTED_VALUE"""),0.0)</f>
        <v>0</v>
      </c>
      <c r="K1015" s="58">
        <f>IFERROR(__xludf.DUMMYFUNCTION("""COMPUTED_VALUE"""),45962.0)</f>
        <v>45962</v>
      </c>
      <c r="L1015" s="6">
        <v>30.0</v>
      </c>
      <c r="M1015" s="52">
        <v>45992.0</v>
      </c>
      <c r="N1015" s="53" t="s">
        <v>692</v>
      </c>
      <c r="O1015" s="19" t="s">
        <v>669</v>
      </c>
      <c r="P1015" s="6"/>
      <c r="Q1015" s="6" t="str">
        <f t="shared" si="1"/>
        <v>#N/A</v>
      </c>
      <c r="R1015" s="6"/>
    </row>
    <row r="1016" hidden="1">
      <c r="A1016" s="31" t="str">
        <f>IFERROR(__xludf.DUMMYFUNCTION("""COMPUTED_VALUE"""),"959")</f>
        <v>959</v>
      </c>
      <c r="B1016" s="14" t="str">
        <f>IFERROR(__xludf.DUMMYFUNCTION("""COMPUTED_VALUE"""),"РЕН-26")</f>
        <v>РЕН-26</v>
      </c>
      <c r="C1016" s="14" t="str">
        <f>IFERROR(__xludf.DUMMYFUNCTION("""COMPUTED_VALUE"""),"ОКС")</f>
        <v>ОКС</v>
      </c>
      <c r="D1016" s="6"/>
      <c r="E1016"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район Хорошевский, 3-й Хорошевский пр-д, вл. 5, корпус 1</v>
      </c>
      <c r="F1016" s="25" t="str">
        <f>IFERROR(__xludf.DUMMYFUNCTION("""COMPUTED_VALUE"""),"55.773687")</f>
        <v>55.773687</v>
      </c>
      <c r="G1016" s="6" t="str">
        <f>IFERROR(__xludf.DUMMYFUNCTION("""COMPUTED_VALUE"""),"37.533742")</f>
        <v>37.533742</v>
      </c>
      <c r="H1016" s="18" t="str">
        <f>IFERROR(__xludf.DUMMYFUNCTION("""COMPUTED_VALUE"""),"https://docs.google.com/spreadsheets/d/1rbCD10ySi4YZEkJW2_Slmn9z7AI1WEsGsZaIJmnnT18/edit?gid=868904483#gid=868904483")</f>
        <v>https://docs.google.com/spreadsheets/d/1rbCD10ySi4YZEkJW2_Slmn9z7AI1WEsGsZaIJmnnT18/edit?gid=868904483#gid=868904483</v>
      </c>
      <c r="I1016" s="19" t="str">
        <f>IFERROR(__xludf.DUMMYFUNCTION("""COMPUTED_VALUE"""),"https://disk.yandex.ru/client/disk/Осмотры%20объектов%20АНО%20СМГ/959.%203-й%20Хорошевский%20пр-д%2C%20вл.%205%2C%20корп.%201")</f>
        <v>https://disk.yandex.ru/client/disk/Осмотры%20объектов%20АНО%20СМГ/959.%203-й%20Хорошевский%20пр-д%2C%20вл.%205%2C%20корп.%201</v>
      </c>
      <c r="J1016" s="50">
        <f>IFERROR(__xludf.DUMMYFUNCTION("""COMPUTED_VALUE"""),3.75)</f>
        <v>3.75</v>
      </c>
      <c r="K1016" s="58">
        <f>IFERROR(__xludf.DUMMYFUNCTION("""COMPUTED_VALUE"""),45962.0)</f>
        <v>45962</v>
      </c>
      <c r="L1016" s="6">
        <v>30.0</v>
      </c>
      <c r="M1016" s="52">
        <v>45992.0</v>
      </c>
      <c r="N1016" s="53" t="s">
        <v>692</v>
      </c>
      <c r="O1016" s="19" t="s">
        <v>669</v>
      </c>
      <c r="P1016" s="6"/>
      <c r="Q1016" s="6" t="str">
        <f t="shared" si="1"/>
        <v>#N/A</v>
      </c>
      <c r="R1016" s="6"/>
    </row>
    <row r="1017" hidden="1">
      <c r="A1017" s="31" t="str">
        <f>IFERROR(__xludf.DUMMYFUNCTION("""COMPUTED_VALUE"""),"709")</f>
        <v>709</v>
      </c>
      <c r="B1017" s="14" t="str">
        <f>IFERROR(__xludf.DUMMYFUNCTION("""COMPUTED_VALUE"""),"РЕН-26")</f>
        <v>РЕН-26</v>
      </c>
      <c r="C1017" s="14" t="str">
        <f>IFERROR(__xludf.DUMMYFUNCTION("""COMPUTED_VALUE"""),"ОКС")</f>
        <v>ОКС</v>
      </c>
      <c r="D1017" s="6"/>
      <c r="E1017" s="14" t="str">
        <f>IFERROR(__xludf.DUMMYFUNCTION("""COMPUTED_VALUE"""),"Жилой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(с"&amp;"о сносом жилых домов по адресам: 1-й квартал Капотня, дом 3; 1-й квартал Капотня, дом 4; 1-й квартал Капотня, дом 5; 1-й квартал Капотня, дом 12)")</f>
        <v>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ЮВАО, район Капотня, 1-й кв-л Капотни, зу 4 (со сносом жилых домов по адресам: 1-й квартал Капотня, дом 3; 1-й квартал Капотня, дом 4; 1-й квартал Капотня, дом 5; 1-й квартал Капотня, дом 12)</v>
      </c>
      <c r="F1017" s="25" t="str">
        <f>IFERROR(__xludf.DUMMYFUNCTION("""COMPUTED_VALUE"""),"55.641518")</f>
        <v>55.641518</v>
      </c>
      <c r="G1017" s="6" t="str">
        <f>IFERROR(__xludf.DUMMYFUNCTION("""COMPUTED_VALUE"""),"37.789049")</f>
        <v>37.789049</v>
      </c>
      <c r="H1017" s="18" t="str">
        <f>IFERROR(__xludf.DUMMYFUNCTION("""COMPUTED_VALUE"""),"https://docs.google.com/spreadsheets/d/1rbCD10ySi4YZEkJW2_Slmn9z7AI1WEsGsZaIJmnnT18/edit?gid=482221305#gid=482221305")</f>
        <v>https://docs.google.com/spreadsheets/d/1rbCD10ySi4YZEkJW2_Slmn9z7AI1WEsGsZaIJmnnT18/edit?gid=482221305#gid=482221305</v>
      </c>
      <c r="I1017" s="19" t="str">
        <f>IFERROR(__xludf.DUMMYFUNCTION("""COMPUTED_VALUE"""),"https://disk.yandex.ru/client/disk/Осмотры%20объектов%20АНО%20СМГ/709.%201-й%20Квартал%20Капотни%2C%20з!у%204%2C%20д.3%2C%204%2C%205%2C%2012.%20Жилой%20дом")</f>
        <v>https://disk.yandex.ru/client/disk/Осмотры%20объектов%20АНО%20СМГ/709.%201-й%20Квартал%20Капотни%2C%20з!у%204%2C%20д.3%2C%204%2C%205%2C%2012.%20Жилой%20дом</v>
      </c>
      <c r="J1017" s="50">
        <f>IFERROR(__xludf.DUMMYFUNCTION("""COMPUTED_VALUE"""),8.368500000000001)</f>
        <v>8.3685</v>
      </c>
      <c r="K1017" s="58">
        <f>IFERROR(__xludf.DUMMYFUNCTION("""COMPUTED_VALUE"""),45962.0)</f>
        <v>45962</v>
      </c>
      <c r="L1017" s="6">
        <v>30.0</v>
      </c>
      <c r="M1017" s="52">
        <v>45992.0</v>
      </c>
      <c r="N1017" s="53" t="s">
        <v>692</v>
      </c>
      <c r="O1017" s="19" t="s">
        <v>669</v>
      </c>
      <c r="P1017" s="6"/>
      <c r="Q1017" s="6" t="str">
        <f t="shared" si="1"/>
        <v>#N/A</v>
      </c>
      <c r="R1017" s="6"/>
    </row>
    <row r="1018" hidden="1">
      <c r="A1018" s="31" t="str">
        <f>IFERROR(__xludf.DUMMYFUNCTION("""COMPUTED_VALUE"""),"968")</f>
        <v>968</v>
      </c>
      <c r="B1018" s="14" t="str">
        <f>IFERROR(__xludf.DUMMYFUNCTION("""COMPUTED_VALUE"""),"РЕН-26")</f>
        <v>РЕН-26</v>
      </c>
      <c r="C1018" s="14" t="str">
        <f>IFERROR(__xludf.DUMMYFUNCTION("""COMPUTED_VALUE"""),"ОКС")</f>
        <v>ОКС</v>
      </c>
      <c r="D1018" s="6"/>
      <c r="E1018"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адресам: г. Москва, ЮВАО, район Лефортово, ул. Авиамоторная, вл. 21, 23 ул. Авиамоторная, вл. 21, 23")</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адресам: г. Москва, ЮВАО, район Лефортово, ул. Авиамоторная, вл. 21, 23 ул. Авиамоторная, вл. 21, 23</v>
      </c>
      <c r="F1018" s="25" t="str">
        <f>IFERROR(__xludf.DUMMYFUNCTION("""COMPUTED_VALUE"""),"55.759270")</f>
        <v>55.759270</v>
      </c>
      <c r="G1018" s="6" t="str">
        <f>IFERROR(__xludf.DUMMYFUNCTION("""COMPUTED_VALUE"""),"37.716896")</f>
        <v>37.716896</v>
      </c>
      <c r="H1018" s="18" t="str">
        <f>IFERROR(__xludf.DUMMYFUNCTION("""COMPUTED_VALUE"""),"https://docs.google.com/spreadsheets/d/1rbCD10ySi4YZEkJW2_Slmn9z7AI1WEsGsZaIJmnnT18/edit?gid=199700122#gid=199700122")</f>
        <v>https://docs.google.com/spreadsheets/d/1rbCD10ySi4YZEkJW2_Slmn9z7AI1WEsGsZaIJmnnT18/edit?gid=199700122#gid=199700122</v>
      </c>
      <c r="I1018" s="19" t="str">
        <f>IFERROR(__xludf.DUMMYFUNCTION("""COMPUTED_VALUE"""),"https://disk.yandex.ru/client/disk/Осмотры%20объектов%20АНО%20СМГ/968%20ул.%20Авиамоторная%20влд.%2021%3B%2023")</f>
        <v>https://disk.yandex.ru/client/disk/Осмотры%20объектов%20АНО%20СМГ/968%20ул.%20Авиамоторная%20влд.%2021%3B%2023</v>
      </c>
      <c r="J1018" s="50">
        <f>IFERROR(__xludf.DUMMYFUNCTION("""COMPUTED_VALUE"""),0.0)</f>
        <v>0</v>
      </c>
      <c r="K1018" s="58">
        <f>IFERROR(__xludf.DUMMYFUNCTION("""COMPUTED_VALUE"""),45961.0)</f>
        <v>45961</v>
      </c>
      <c r="L1018" s="6">
        <v>30.0</v>
      </c>
      <c r="M1018" s="52">
        <v>45991.0</v>
      </c>
      <c r="N1018" s="53" t="s">
        <v>692</v>
      </c>
      <c r="O1018" s="19" t="s">
        <v>669</v>
      </c>
      <c r="P1018" s="6"/>
      <c r="Q1018" s="6" t="str">
        <f t="shared" si="1"/>
        <v>#N/A</v>
      </c>
      <c r="R1018" s="6"/>
    </row>
    <row r="1019" hidden="1">
      <c r="A1019" s="31" t="str">
        <f>IFERROR(__xludf.DUMMYFUNCTION("""COMPUTED_VALUE"""),"640")</f>
        <v>640</v>
      </c>
      <c r="B1019" s="14" t="str">
        <f>IFERROR(__xludf.DUMMYFUNCTION("""COMPUTED_VALUE"""),"РЕН-26")</f>
        <v>РЕН-26</v>
      </c>
      <c r="C1019" s="14" t="str">
        <f>IFERROR(__xludf.DUMMYFUNCTION("""COMPUTED_VALUE"""),"ОКС")</f>
        <v>ОКС</v>
      </c>
      <c r="D1019" s="6"/>
      <c r="E1019" s="14" t="str">
        <f>IFERROR(__xludf.DUMMYFUNCTION("""COMPUTED_VALUE"""),"Суворовская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"&amp;"2/1, корп. 4; ул. Суворовская, д. 2/1, корп. 3)")</f>
        <v>Суворовская ул., з/у 2А/1 (ул. Суворовская, вл. 2/1, корп. 3,4) район Преображенское, Суворовская улица, земельный участок 2А/1 (ул. Суворовская, вл. 2/1, корп. 3, 4) (со сносом жилых домов по адресам: г. Москва, район Преображенское, ул. Суворовская, д. 2/1, корп. 4; ул. Суворовская, д. 2/1, корп. 3)</v>
      </c>
      <c r="F1019" s="25" t="str">
        <f>IFERROR(__xludf.DUMMYFUNCTION("""COMPUTED_VALUE"""),"55.787566")</f>
        <v>55.787566</v>
      </c>
      <c r="G1019" s="6" t="str">
        <f>IFERROR(__xludf.DUMMYFUNCTION("""COMPUTED_VALUE"""),"37.710284")</f>
        <v>37.710284</v>
      </c>
      <c r="H1019" s="18" t="str">
        <f>IFERROR(__xludf.DUMMYFUNCTION("""COMPUTED_VALUE"""),"https://docs.google.com/spreadsheets/d/1rbCD10ySi4YZEkJW2_Slmn9z7AI1WEsGsZaIJmnnT18/edit?gid=1703617430#gid=1703617430")</f>
        <v>https://docs.google.com/spreadsheets/d/1rbCD10ySi4YZEkJW2_Slmn9z7AI1WEsGsZaIJmnnT18/edit?gid=1703617430#gid=1703617430</v>
      </c>
      <c r="I1019" s="19" t="str">
        <f>IFERROR(__xludf.DUMMYFUNCTION("""COMPUTED_VALUE"""),"https://disk.yandex.ru/client/disk/Осмотры%20объектов%20АНО%20СМГ/640.%20Суворовская%20ул.%2C%20зу%202А-1")</f>
        <v>https://disk.yandex.ru/client/disk/Осмотры%20объектов%20АНО%20СМГ/640.%20Суворовская%20ул.%2C%20зу%202А-1</v>
      </c>
      <c r="J1019" s="50">
        <f>IFERROR(__xludf.DUMMYFUNCTION("""COMPUTED_VALUE"""),21.0753)</f>
        <v>21.0753</v>
      </c>
      <c r="K1019" s="58">
        <f>IFERROR(__xludf.DUMMYFUNCTION("""COMPUTED_VALUE"""),45947.0)</f>
        <v>45947</v>
      </c>
      <c r="L1019" s="6">
        <v>30.0</v>
      </c>
      <c r="M1019" s="52">
        <v>45977.0</v>
      </c>
      <c r="N1019" s="53" t="s">
        <v>701</v>
      </c>
      <c r="O1019" s="19" t="s">
        <v>669</v>
      </c>
      <c r="P1019" s="6"/>
      <c r="Q1019" s="6" t="str">
        <f t="shared" si="1"/>
        <v>#N/A</v>
      </c>
      <c r="R1019" s="6"/>
    </row>
    <row r="1020" hidden="1">
      <c r="A1020" s="31" t="str">
        <f>IFERROR(__xludf.DUMMYFUNCTION("""COMPUTED_VALUE"""),"993")</f>
        <v>993</v>
      </c>
      <c r="B1020" s="14" t="str">
        <f>IFERROR(__xludf.DUMMYFUNCTION("""COMPUTED_VALUE"""),"РЕН-26")</f>
        <v>РЕН-26</v>
      </c>
      <c r="C1020" s="14" t="str">
        <f>IFERROR(__xludf.DUMMYFUNCTION("""COMPUTED_VALUE"""),"ОКС")</f>
        <v>ОКС</v>
      </c>
      <c r="D1020" s="6"/>
      <c r="E1020" s="14" t="str">
        <f>IFERROR(__xludf.DUMMYFUNCTION("""COMPUTED_VALUE"""),"ул. Лётчика Бабушкина, з/у 39/1/1 (зона 5.1) ул. Лётчика Бабушкина, з/у 39/1/1 (зона 5.1)")</f>
        <v>ул. Лётчика Бабушкина, з/у 39/1/1 (зона 5.1) ул. Лётчика Бабушкина, з/у 39/1/1 (зона 5.1)</v>
      </c>
      <c r="F1020" s="25" t="str">
        <f>IFERROR(__xludf.DUMMYFUNCTION("""COMPUTED_VALUE"""),"55.874707")</f>
        <v>55.874707</v>
      </c>
      <c r="G1020" s="6" t="str">
        <f>IFERROR(__xludf.DUMMYFUNCTION("""COMPUTED_VALUE"""),"37.676915")</f>
        <v>37.676915</v>
      </c>
      <c r="H1020" s="18" t="str">
        <f>IFERROR(__xludf.DUMMYFUNCTION("""COMPUTED_VALUE"""),"https://docs.google.com/spreadsheets/d/1rbCD10ySi4YZEkJW2_Slmn9z7AI1WEsGsZaIJmnnT18/edit?gid=1943180572#gid=1943180572")</f>
        <v>https://docs.google.com/spreadsheets/d/1rbCD10ySi4YZEkJW2_Slmn9z7AI1WEsGsZaIJmnnT18/edit?gid=1943180572#gid=1943180572</v>
      </c>
      <c r="I1020" s="19" t="str">
        <f>IFERROR(__xludf.DUMMYFUNCTION("""COMPUTED_VALUE"""),"https://disk.yandex.ru/client/disk/Осмотры%20объектов%20АНО%20СМГ/993.%20Лётчика%20Бабушкина%2C%20зу%2039(зона%205.1)")</f>
        <v>https://disk.yandex.ru/client/disk/Осмотры%20объектов%20АНО%20СМГ/993.%20Лётчика%20Бабушкина%2C%20зу%2039(зона%205.1)</v>
      </c>
      <c r="J1020" s="50">
        <f>IFERROR(__xludf.DUMMYFUNCTION("""COMPUTED_VALUE"""),0.0)</f>
        <v>0</v>
      </c>
      <c r="K1020" s="58">
        <f>IFERROR(__xludf.DUMMYFUNCTION("""COMPUTED_VALUE"""),45961.0)</f>
        <v>45961</v>
      </c>
      <c r="L1020" s="6">
        <v>30.0</v>
      </c>
      <c r="M1020" s="52">
        <v>45991.0</v>
      </c>
      <c r="N1020" s="53" t="s">
        <v>692</v>
      </c>
      <c r="O1020" s="19" t="s">
        <v>1209</v>
      </c>
      <c r="P1020" s="6"/>
      <c r="Q1020" s="6" t="str">
        <f t="shared" si="1"/>
        <v>#N/A</v>
      </c>
      <c r="R1020" s="6"/>
    </row>
    <row r="1021" hidden="1">
      <c r="A1021" s="31" t="str">
        <f>IFERROR(__xludf.DUMMYFUNCTION("""COMPUTED_VALUE"""),"677")</f>
        <v>677</v>
      </c>
      <c r="B1021" s="14" t="str">
        <f>IFERROR(__xludf.DUMMYFUNCTION("""COMPUTED_VALUE"""),"РЕН-26")</f>
        <v>РЕН-26</v>
      </c>
      <c r="C1021" s="14" t="str">
        <f>IFERROR(__xludf.DUMMYFUNCTION("""COMPUTED_VALUE"""),"ОКС")</f>
        <v>ОКС</v>
      </c>
      <c r="D1021" s="6"/>
      <c r="E1021" s="14" t="str">
        <f>IFERROR(__xludf.DUMMYFUNCTION("""COMPUTED_VALUE"""),"ул. Искры, з/у 13А (зоны 13.1 и 13.2) СВАО, район Бабушкинский, : район Бабушкинский, ул. Искры, земельный участок 13А,  кв.1,14,18, зона 13.1 (со сносом жилого здания по адресу: Искры ул., д. 13, корп. 3)")</f>
        <v>ул. Искры, з/у 13А (зоны 13.1 и 13.2) СВАО, район Бабушкинский, : район Бабушкинский, ул. Искры, земельный участок 13А,  кв.1,14,18, зона 13.1 (со сносом жилого здания по адресу: Искры ул., д. 13, корп. 3)</v>
      </c>
      <c r="F1021" s="25" t="str">
        <f>IFERROR(__xludf.DUMMYFUNCTION("""COMPUTED_VALUE"""),"55.861771")</f>
        <v>55.861771</v>
      </c>
      <c r="G1021" s="6" t="str">
        <f>IFERROR(__xludf.DUMMYFUNCTION("""COMPUTED_VALUE"""),"37.663351")</f>
        <v>37.663351</v>
      </c>
      <c r="H1021" s="18" t="str">
        <f>IFERROR(__xludf.DUMMYFUNCTION("""COMPUTED_VALUE"""),"https://docs.google.com/spreadsheets/d/1rbCD10ySi4YZEkJW2_Slmn9z7AI1WEsGsZaIJmnnT18/edit?gid=465508892#gid=465508892")</f>
        <v>https://docs.google.com/spreadsheets/d/1rbCD10ySi4YZEkJW2_Slmn9z7AI1WEsGsZaIJmnnT18/edit?gid=465508892#gid=465508892</v>
      </c>
      <c r="I1021" s="19" t="str">
        <f>IFERROR(__xludf.DUMMYFUNCTION("""COMPUTED_VALUE"""),"https://disk.yandex.ru/client/disk/Осмотры%20объектов%20АНО%20СМГ/677.%20ул.%20Искры%2C%20земельный%20участок%2013А")</f>
        <v>https://disk.yandex.ru/client/disk/Осмотры%20объектов%20АНО%20СМГ/677.%20ул.%20Искры%2C%20земельный%20участок%2013А</v>
      </c>
      <c r="J1021" s="50">
        <f>IFERROR(__xludf.DUMMYFUNCTION("""COMPUTED_VALUE"""),0.0)</f>
        <v>0</v>
      </c>
      <c r="K1021" s="58">
        <f>IFERROR(__xludf.DUMMYFUNCTION("""COMPUTED_VALUE"""),45962.0)</f>
        <v>45962</v>
      </c>
      <c r="L1021" s="6">
        <v>30.0</v>
      </c>
      <c r="M1021" s="52">
        <v>45992.0</v>
      </c>
      <c r="N1021" s="53" t="s">
        <v>692</v>
      </c>
      <c r="O1021" s="19" t="s">
        <v>1210</v>
      </c>
      <c r="P1021" s="6"/>
      <c r="Q1021" s="6" t="str">
        <f t="shared" si="1"/>
        <v>#N/A</v>
      </c>
      <c r="R1021" s="6"/>
    </row>
    <row r="1022" hidden="1">
      <c r="A1022" s="31" t="str">
        <f>IFERROR(__xludf.DUMMYFUNCTION("""COMPUTED_VALUE"""),"995")</f>
        <v>995</v>
      </c>
      <c r="B1022" s="14" t="str">
        <f>IFERROR(__xludf.DUMMYFUNCTION("""COMPUTED_VALUE"""),"РЕН-26")</f>
        <v>РЕН-26</v>
      </c>
      <c r="C1022" s="14" t="str">
        <f>IFERROR(__xludf.DUMMYFUNCTION("""COMPUTED_VALUE"""),"ОКС")</f>
        <v>ОКС</v>
      </c>
      <c r="D1022" s="6"/>
      <c r="E1022" s="14" t="str">
        <f>IFERROR(__xludf.DUMMYFUNCTION("""COMPUTED_VALUE"""),"Радужная ул., з/у 17 (Зона 8.1) Радужная ул., з/у 17 (Зона 8.1)")</f>
        <v>Радужная ул., з/у 17 (Зона 8.1) Радужная ул., з/у 17 (Зона 8.1)</v>
      </c>
      <c r="F1022" s="25" t="str">
        <f>IFERROR(__xludf.DUMMYFUNCTION("""COMPUTED_VALUE"""),"55.859160")</f>
        <v>55.859160</v>
      </c>
      <c r="G1022" s="6" t="str">
        <f>IFERROR(__xludf.DUMMYFUNCTION("""COMPUTED_VALUE"""),"37.662533")</f>
        <v>37.662533</v>
      </c>
      <c r="H1022" s="18" t="str">
        <f>IFERROR(__xludf.DUMMYFUNCTION("""COMPUTED_VALUE"""),"https://docs.google.com/spreadsheets/d/1rbCD10ySi4YZEkJW2_Slmn9z7AI1WEsGsZaIJmnnT18/edit?gid=919062062#gid=919062062")</f>
        <v>https://docs.google.com/spreadsheets/d/1rbCD10ySi4YZEkJW2_Slmn9z7AI1WEsGsZaIJmnnT18/edit?gid=919062062#gid=919062062</v>
      </c>
      <c r="I1022" s="19" t="str">
        <f>IFERROR(__xludf.DUMMYFUNCTION("""COMPUTED_VALUE"""),"https://disk.yandex.ru/client/disk/Осмотры%20объектов%20АНО%20СМГ/995.%20Радужная%20ул.%2C%20зу%2017%20(Зона%208.1)")</f>
        <v>https://disk.yandex.ru/client/disk/Осмотры%20объектов%20АНО%20СМГ/995.%20Радужная%20ул.%2C%20зу%2017%20(Зона%208.1)</v>
      </c>
      <c r="J1022" s="50">
        <f>IFERROR(__xludf.DUMMYFUNCTION("""COMPUTED_VALUE"""),0.0)</f>
        <v>0</v>
      </c>
      <c r="K1022" s="58">
        <f>IFERROR(__xludf.DUMMYFUNCTION("""COMPUTED_VALUE"""),45961.0)</f>
        <v>45961</v>
      </c>
      <c r="L1022" s="6">
        <v>30.0</v>
      </c>
      <c r="M1022" s="52">
        <v>45991.0</v>
      </c>
      <c r="N1022" s="53" t="s">
        <v>692</v>
      </c>
      <c r="O1022" s="19" t="s">
        <v>1211</v>
      </c>
      <c r="P1022" s="6"/>
      <c r="Q1022" s="6" t="str">
        <f t="shared" si="1"/>
        <v>#N/A</v>
      </c>
      <c r="R1022" s="6"/>
    </row>
    <row r="1023" hidden="1">
      <c r="A1023" s="31" t="str">
        <f>IFERROR(__xludf.DUMMYFUNCTION("""COMPUTED_VALUE"""),"985")</f>
        <v>985</v>
      </c>
      <c r="B1023" s="14" t="str">
        <f>IFERROR(__xludf.DUMMYFUNCTION("""COMPUTED_VALUE"""),"РЕН-26")</f>
        <v>РЕН-26</v>
      </c>
      <c r="C1023" s="14" t="str">
        <f>IFERROR(__xludf.DUMMYFUNCTION("""COMPUTED_VALUE"""),"ОКС")</f>
        <v>ОКС</v>
      </c>
      <c r="D1023" s="6"/>
      <c r="E1023" s="14" t="str">
        <f>IFERROR(__xludf.DUMMYFUNCTION("""COMPUTED_VALUE"""),"ул. Ивантеевская, з/у 1/3 (зона 2.1) ул. Ивантеевская, з/у 1/3 (зона 2.1)")</f>
        <v>ул. Ивантеевская, з/у 1/3 (зона 2.1) ул. Ивантеевская, з/у 1/3 (зона 2.1)</v>
      </c>
      <c r="F1023" s="25" t="str">
        <f>IFERROR(__xludf.DUMMYFUNCTION("""COMPUTED_VALUE"""),"55.822994")</f>
        <v>55.822994</v>
      </c>
      <c r="G1023" s="6" t="str">
        <f>IFERROR(__xludf.DUMMYFUNCTION("""COMPUTED_VALUE"""),"37.714860")</f>
        <v>37.714860</v>
      </c>
      <c r="H1023" s="18" t="str">
        <f>IFERROR(__xludf.DUMMYFUNCTION("""COMPUTED_VALUE"""),"https://docs.google.com/spreadsheets/d/1rbCD10ySi4YZEkJW2_Slmn9z7AI1WEsGsZaIJmnnT18/edit?gid=1222438904#gid=1222438904")</f>
        <v>https://docs.google.com/spreadsheets/d/1rbCD10ySi4YZEkJW2_Slmn9z7AI1WEsGsZaIJmnnT18/edit?gid=1222438904#gid=1222438904</v>
      </c>
      <c r="I1023" s="19" t="str">
        <f>IFERROR(__xludf.DUMMYFUNCTION("""COMPUTED_VALUE"""),"https://disk.yandex.ru/client/disk/Осмотры%20объектов%20АНО%20СМГ/985%20ул.%20Ивантеевская%2C%20зу%201%203")</f>
        <v>https://disk.yandex.ru/client/disk/Осмотры%20объектов%20АНО%20СМГ/985%20ул.%20Ивантеевская%2C%20зу%201%203</v>
      </c>
      <c r="J1023" s="50">
        <f>IFERROR(__xludf.DUMMYFUNCTION("""COMPUTED_VALUE"""),0.0)</f>
        <v>0</v>
      </c>
      <c r="K1023" s="58">
        <f>IFERROR(__xludf.DUMMYFUNCTION("""COMPUTED_VALUE"""),45953.0)</f>
        <v>45953</v>
      </c>
      <c r="L1023" s="6">
        <v>30.0</v>
      </c>
      <c r="M1023" s="52">
        <v>45983.0</v>
      </c>
      <c r="N1023" s="53" t="s">
        <v>741</v>
      </c>
      <c r="O1023" s="19" t="s">
        <v>914</v>
      </c>
      <c r="P1023" s="6"/>
      <c r="Q1023" s="6" t="str">
        <f t="shared" si="1"/>
        <v>#N/A</v>
      </c>
      <c r="R1023" s="6"/>
    </row>
    <row r="1024" hidden="1">
      <c r="A1024" s="31" t="str">
        <f>IFERROR(__xludf.DUMMYFUNCTION("""COMPUTED_VALUE"""),"676")</f>
        <v>676</v>
      </c>
      <c r="B1024" s="14" t="str">
        <f>IFERROR(__xludf.DUMMYFUNCTION("""COMPUTED_VALUE"""),"РЕН-26")</f>
        <v>РЕН-26</v>
      </c>
      <c r="C1024" s="14" t="str">
        <f>IFERROR(__xludf.DUMMYFUNCTION("""COMPUTED_VALUE"""),"ОКС")</f>
        <v>ОКС</v>
      </c>
      <c r="D1024" s="6"/>
      <c r="E1024" s="14" t="str">
        <f>IFERROR(__xludf.DUMMYFUNCTION("""COMPUTED_VALUE"""),"Дмитровское ш., влд. 89 САО, район Бескудниковский, Дмитровское ш., вл. 89 (рефинансирование - 29,5 тыс.кв.м)")</f>
        <v>Дмитровское ш., влд. 89 САО, район Бескудниковский, Дмитровское ш., вл. 89 (рефинансирование - 29,5 тыс.кв.м)</v>
      </c>
      <c r="F1024" s="25" t="str">
        <f>IFERROR(__xludf.DUMMYFUNCTION("""COMPUTED_VALUE"""),"55.869208")</f>
        <v>55.869208</v>
      </c>
      <c r="G1024" s="6" t="str">
        <f>IFERROR(__xludf.DUMMYFUNCTION("""COMPUTED_VALUE"""),"37.545436")</f>
        <v>37.545436</v>
      </c>
      <c r="H1024" s="18" t="str">
        <f>IFERROR(__xludf.DUMMYFUNCTION("""COMPUTED_VALUE"""),"https://docs.google.com/spreadsheets/d/1rbCD10ySi4YZEkJW2_Slmn9z7AI1WEsGsZaIJmnnT18/edit?gid=915615615#gid=915615615")</f>
        <v>https://docs.google.com/spreadsheets/d/1rbCD10ySi4YZEkJW2_Slmn9z7AI1WEsGsZaIJmnnT18/edit?gid=915615615#gid=915615615</v>
      </c>
      <c r="I1024" s="19" t="str">
        <f>IFERROR(__xludf.DUMMYFUNCTION("""COMPUTED_VALUE"""),"https://disk.yandex.ru/client/disk/Осмотры%20объектов%20АНО%20СМГ/676%20Дмитровское%20шоссе%20вл%2089")</f>
        <v>https://disk.yandex.ru/client/disk/Осмотры%20объектов%20АНО%20СМГ/676%20Дмитровское%20шоссе%20вл%2089</v>
      </c>
      <c r="J1024" s="50">
        <f>IFERROR(__xludf.DUMMYFUNCTION("""COMPUTED_VALUE"""),51.03404999999999)</f>
        <v>51.03405</v>
      </c>
      <c r="K1024" s="58">
        <f>IFERROR(__xludf.DUMMYFUNCTION("""COMPUTED_VALUE"""),45962.0)</f>
        <v>45962</v>
      </c>
      <c r="L1024" s="6">
        <v>14.0</v>
      </c>
      <c r="M1024" s="52">
        <v>45976.0</v>
      </c>
      <c r="N1024" s="53" t="s">
        <v>701</v>
      </c>
      <c r="O1024" s="19" t="s">
        <v>669</v>
      </c>
      <c r="P1024" s="6"/>
      <c r="Q1024" s="6" t="str">
        <f t="shared" si="1"/>
        <v>#N/A</v>
      </c>
      <c r="R1024" s="6"/>
    </row>
    <row r="1025" hidden="1">
      <c r="A1025" s="31" t="str">
        <f>IFERROR(__xludf.DUMMYFUNCTION("""COMPUTED_VALUE"""),"843")</f>
        <v>843</v>
      </c>
      <c r="B1025" s="14" t="str">
        <f>IFERROR(__xludf.DUMMYFUNCTION("""COMPUTED_VALUE"""),"РЕН-26")</f>
        <v>РЕН-26</v>
      </c>
      <c r="C1025" s="14" t="str">
        <f>IFERROR(__xludf.DUMMYFUNCTION("""COMPUTED_VALUE"""),"ОКС")</f>
        <v>ОКС</v>
      </c>
      <c r="D1025" s="6"/>
      <c r="E1025" s="14" t="str">
        <f>IFERROR(__xludf.DUMMYFUNCTION("""COMPUTED_VALUE"""),"улица Верхние Поля, земельный участок 7/1 ЮВАО	улица Верхние Поля, земельный участок 7/1")</f>
        <v>улица Верхние Поля, земельный участок 7/1 ЮВАО	улица Верхние Поля, земельный участок 7/1</v>
      </c>
      <c r="F1025" s="25" t="str">
        <f>IFERROR(__xludf.DUMMYFUNCTION("""COMPUTED_VALUE"""),"55.665335")</f>
        <v>55.665335</v>
      </c>
      <c r="G1025" s="6" t="str">
        <f>IFERROR(__xludf.DUMMYFUNCTION("""COMPUTED_VALUE"""),"37.746418")</f>
        <v>37.746418</v>
      </c>
      <c r="H1025" s="18" t="str">
        <f>IFERROR(__xludf.DUMMYFUNCTION("""COMPUTED_VALUE"""),"https://docs.google.com/spreadsheets/d/1rbCD10ySi4YZEkJW2_Slmn9z7AI1WEsGsZaIJmnnT18/edit?gid=1583073307#gid=1583073307")</f>
        <v>https://docs.google.com/spreadsheets/d/1rbCD10ySi4YZEkJW2_Slmn9z7AI1WEsGsZaIJmnnT18/edit?gid=1583073307#gid=1583073307</v>
      </c>
      <c r="I1025" s="19" t="str">
        <f>IFERROR(__xludf.DUMMYFUNCTION("""COMPUTED_VALUE"""),"https://disk.yandex.ru/client/disk/Осмотры%20объектов%20АНО%20СМГ/843.%20жилой%20дом%20ул.%20Верхне%20поля%207к1")</f>
        <v>https://disk.yandex.ru/client/disk/Осмотры%20объектов%20АНО%20СМГ/843.%20жилой%20дом%20ул.%20Верхне%20поля%207к1</v>
      </c>
      <c r="J1025" s="50">
        <f>IFERROR(__xludf.DUMMYFUNCTION("""COMPUTED_VALUE"""),0.0)</f>
        <v>0</v>
      </c>
      <c r="K1025" s="58">
        <f>IFERROR(__xludf.DUMMYFUNCTION("""COMPUTED_VALUE"""),45952.0)</f>
        <v>45952</v>
      </c>
      <c r="L1025" s="6">
        <v>30.0</v>
      </c>
      <c r="M1025" s="52">
        <v>45982.0</v>
      </c>
      <c r="N1025" s="53" t="s">
        <v>741</v>
      </c>
      <c r="O1025" s="19" t="s">
        <v>893</v>
      </c>
      <c r="P1025" s="6"/>
      <c r="Q1025" s="6" t="str">
        <f t="shared" si="1"/>
        <v>#N/A</v>
      </c>
      <c r="R1025" s="6"/>
    </row>
    <row r="1026" hidden="1">
      <c r="A1026" s="31" t="str">
        <f>IFERROR(__xludf.DUMMYFUNCTION("""COMPUTED_VALUE"""),"739")</f>
        <v>739</v>
      </c>
      <c r="B1026" s="14" t="str">
        <f>IFERROR(__xludf.DUMMYFUNCTION("""COMPUTED_VALUE"""),"РЕН-26")</f>
        <v>РЕН-26</v>
      </c>
      <c r="C1026" s="14" t="str">
        <f>IFERROR(__xludf.DUMMYFUNCTION("""COMPUTED_VALUE"""),"ОКС")</f>
        <v>ОКС</v>
      </c>
      <c r="D1026" s="6"/>
      <c r="E1026" s="14" t="str">
        <f>IFERROR(__xludf.DUMMYFUNCTION("""COMPUTED_VALUE"""),"Сиреневый б-р, вл. 70 (Приобретение объектов недвижимости) ул. Сиреневый бульвар вл. 70 ")</f>
        <v>Сиреневый б-р, вл. 70 (Приобретение объектов недвижимости) ул. Сиреневый бульвар вл. 70 </v>
      </c>
      <c r="F1026" s="25" t="str">
        <f>IFERROR(__xludf.DUMMYFUNCTION("""COMPUTED_VALUE"""),"55.801611")</f>
        <v>55.801611</v>
      </c>
      <c r="G1026" s="6" t="str">
        <f>IFERROR(__xludf.DUMMYFUNCTION("""COMPUTED_VALUE"""),"37.833587")</f>
        <v>37.833587</v>
      </c>
      <c r="H1026" s="18" t="str">
        <f>IFERROR(__xludf.DUMMYFUNCTION("""COMPUTED_VALUE"""),"https://docs.google.com/spreadsheets/d/1rbCD10ySi4YZEkJW2_Slmn9z7AI1WEsGsZaIJmnnT18/edit?gid=64186922#gid=64186922")</f>
        <v>https://docs.google.com/spreadsheets/d/1rbCD10ySi4YZEkJW2_Slmn9z7AI1WEsGsZaIJmnnT18/edit?gid=64186922#gid=64186922</v>
      </c>
      <c r="I1026" s="19" t="str">
        <f>IFERROR(__xludf.DUMMYFUNCTION("""COMPUTED_VALUE"""),"https://disk.yandex.ru/client/disk/Осмотры%20объектов%20АНО%20СМГ/739.%20Сиреневый%20бульвар%20вл%2070")</f>
        <v>https://disk.yandex.ru/client/disk/Осмотры%20объектов%20АНО%20СМГ/739.%20Сиреневый%20бульвар%20вл%2070</v>
      </c>
      <c r="J1026" s="50">
        <f>IFERROR(__xludf.DUMMYFUNCTION("""COMPUTED_VALUE"""),3.4499999999999997)</f>
        <v>3.45</v>
      </c>
      <c r="K1026" s="58">
        <f>IFERROR(__xludf.DUMMYFUNCTION("""COMPUTED_VALUE"""),45947.0)</f>
        <v>45947</v>
      </c>
      <c r="L1026" s="6">
        <v>30.0</v>
      </c>
      <c r="M1026" s="52">
        <v>45977.0</v>
      </c>
      <c r="N1026" s="53" t="s">
        <v>701</v>
      </c>
      <c r="O1026" s="19" t="s">
        <v>893</v>
      </c>
      <c r="P1026" s="6"/>
      <c r="Q1026" s="6" t="str">
        <f t="shared" si="1"/>
        <v>#N/A</v>
      </c>
      <c r="R1026" s="6"/>
    </row>
    <row r="1027" hidden="1">
      <c r="A1027" s="31" t="str">
        <f>IFERROR(__xludf.DUMMYFUNCTION("""COMPUTED_VALUE"""),"745")</f>
        <v>745</v>
      </c>
      <c r="B1027" s="14" t="str">
        <f>IFERROR(__xludf.DUMMYFUNCTION("""COMPUTED_VALUE"""),"РЕН-26")</f>
        <v>РЕН-26</v>
      </c>
      <c r="C1027" s="14" t="str">
        <f>IFERROR(__xludf.DUMMYFUNCTION("""COMPUTED_VALUE"""),"ОКС")</f>
        <v>ОКС</v>
      </c>
      <c r="D1027" s="6"/>
      <c r="E1027" s="14" t="str">
        <f>IFERROR(__xludf.DUMMYFUNCTION("""COMPUTED_VALUE"""),"Жилой дом с инженерными сетями и благоустройством территории, ЦАО, район Басманный, ул. Бакунинская, вл. 77, стр.3 Москва, ул. Бакунинская, вл. 77, стр. 3	")</f>
        <v>Жилой дом с инженерными сетями и благоустройством территории, ЦАО, район Басманный, ул. Бакунинская, вл. 77, стр.3 Москва, ул. Бакунинская, вл. 77, стр. 3	</v>
      </c>
      <c r="F1027" s="25" t="str">
        <f>IFERROR(__xludf.DUMMYFUNCTION("""COMPUTED_VALUE"""),"55.780456")</f>
        <v>55.780456</v>
      </c>
      <c r="G1027" s="6" t="str">
        <f>IFERROR(__xludf.DUMMYFUNCTION("""COMPUTED_VALUE"""),"37.692815")</f>
        <v>37.692815</v>
      </c>
      <c r="H1027" s="18" t="str">
        <f>IFERROR(__xludf.DUMMYFUNCTION("""COMPUTED_VALUE"""),"https://docs.google.com/spreadsheets/d/1rbCD10ySi4YZEkJW2_Slmn9z7AI1WEsGsZaIJmnnT18/edit?gid=654604347#gid=654604347")</f>
        <v>https://docs.google.com/spreadsheets/d/1rbCD10ySi4YZEkJW2_Slmn9z7AI1WEsGsZaIJmnnT18/edit?gid=654604347#gid=654604347</v>
      </c>
      <c r="I1027" s="19" t="str">
        <f>IFERROR(__xludf.DUMMYFUNCTION("""COMPUTED_VALUE"""),"https://disk.yandex.ru/client/disk/Осмотры%20объектов%20АНО%20СМГ/745.%20Бакунинская%20ул.%2Cвл.%2077%2C%20стр.%203")</f>
        <v>https://disk.yandex.ru/client/disk/Осмотры%20объектов%20АНО%20СМГ/745.%20Бакунинская%20ул.%2Cвл.%2077%2C%20стр.%203</v>
      </c>
      <c r="J1027" s="50">
        <f>IFERROR(__xludf.DUMMYFUNCTION("""COMPUTED_VALUE"""),0.0)</f>
        <v>0</v>
      </c>
      <c r="K1027" s="58">
        <f>IFERROR(__xludf.DUMMYFUNCTION("""COMPUTED_VALUE"""),45961.0)</f>
        <v>45961</v>
      </c>
      <c r="L1027" s="6">
        <v>30.0</v>
      </c>
      <c r="M1027" s="52">
        <v>45991.0</v>
      </c>
      <c r="N1027" s="53" t="s">
        <v>692</v>
      </c>
      <c r="O1027" s="19" t="s">
        <v>914</v>
      </c>
      <c r="P1027" s="6"/>
      <c r="Q1027" s="6" t="str">
        <f t="shared" si="1"/>
        <v>#N/A</v>
      </c>
      <c r="R1027" s="6"/>
    </row>
    <row r="1028" hidden="1">
      <c r="A1028" s="31" t="str">
        <f>IFERROR(__xludf.DUMMYFUNCTION("""COMPUTED_VALUE"""),"746")</f>
        <v>746</v>
      </c>
      <c r="B1028" s="14" t="str">
        <f>IFERROR(__xludf.DUMMYFUNCTION("""COMPUTED_VALUE"""),"РЕН-26")</f>
        <v>РЕН-26</v>
      </c>
      <c r="C1028" s="14" t="str">
        <f>IFERROR(__xludf.DUMMYFUNCTION("""COMPUTED_VALUE"""),"ОКС")</f>
        <v>ОКС</v>
      </c>
      <c r="D1028" s="6"/>
      <c r="E1028" s="14" t="str">
        <f>IFERROR(__xludf.DUMMYFUNCTION("""COMPUTED_VALUE"""),"Жилой дом с приспособлением подземной автостоянки под защитное сооружение гражданской обороны – «укрепление» (СЗГО) с инженерными сетями и благоустройством территории (со сносом жилого здания по адресу: г. Москва, район Западное Дегунино, микрорайон 11,12"&amp;", Ангарская ул., д.23, к.3) по адресу: г. Москва, внутригородское образование Западное Дегунино, ул. Ангарская, земельный участок 23/3 (Зона 5.4, ЖУ11) (Северный административный округ) микрорайон 11, 12, Ангарская ул., К14.1 (Зона 5.4, ЖУ11) зу 23/3")</f>
        <v>Жилой дом с приспособлением подземной автостоянки под защитное сооружение гражданской обороны – «укрепление» (СЗГО) с инженерными сетями и благоустройством территории (со сносом жилого здания по адресу: г. Москва, район Западное Дегунино, микрорайон 11,12, Ангарская ул., д.23, к.3) по адресу: г. Москва, внутригородское образование Западное Дегунино, ул. Ангарская, земельный участок 23/3 (Зона 5.4, ЖУ11) (Северный административный округ) микрорайон 11, 12, Ангарская ул., К14.1 (Зона 5.4, ЖУ11) зу 23/3</v>
      </c>
      <c r="F1028" s="25" t="str">
        <f>IFERROR(__xludf.DUMMYFUNCTION("""COMPUTED_VALUE"""),"55.878041")</f>
        <v>55.878041</v>
      </c>
      <c r="G1028" s="6" t="str">
        <f>IFERROR(__xludf.DUMMYFUNCTION("""COMPUTED_VALUE"""),"37.517518")</f>
        <v>37.517518</v>
      </c>
      <c r="H1028" s="18" t="str">
        <f>IFERROR(__xludf.DUMMYFUNCTION("""COMPUTED_VALUE"""),"https://docs.google.com/spreadsheets/d/1rbCD10ySi4YZEkJW2_Slmn9z7AI1WEsGsZaIJmnnT18/edit?gid=501983142#gid=501983142")</f>
        <v>https://docs.google.com/spreadsheets/d/1rbCD10ySi4YZEkJW2_Slmn9z7AI1WEsGsZaIJmnnT18/edit?gid=501983142#gid=501983142</v>
      </c>
      <c r="I1028" s="19" t="str">
        <f>IFERROR(__xludf.DUMMYFUNCTION("""COMPUTED_VALUE"""),"https://disk.yandex.ru/client/disk/Осмотры%20объектов%20АНО%20СМГ/746.%20Ангарская%20ул.%2C%20к%2014.1%2C%20мкр.%2011%2C%2012")</f>
        <v>https://disk.yandex.ru/client/disk/Осмотры%20объектов%20АНО%20СМГ/746.%20Ангарская%20ул.%2C%20к%2014.1%2C%20мкр.%2011%2C%2012</v>
      </c>
      <c r="J1028" s="50">
        <f>IFERROR(__xludf.DUMMYFUNCTION("""COMPUTED_VALUE"""),0.0)</f>
        <v>0</v>
      </c>
      <c r="K1028" s="58">
        <f>IFERROR(__xludf.DUMMYFUNCTION("""COMPUTED_VALUE"""),45961.0)</f>
        <v>45961</v>
      </c>
      <c r="L1028" s="6">
        <v>30.0</v>
      </c>
      <c r="M1028" s="52">
        <v>45991.0</v>
      </c>
      <c r="N1028" s="53" t="s">
        <v>692</v>
      </c>
      <c r="O1028" s="19" t="s">
        <v>1212</v>
      </c>
      <c r="P1028" s="6"/>
      <c r="Q1028" s="6" t="str">
        <f t="shared" si="1"/>
        <v>#N/A</v>
      </c>
      <c r="R1028" s="6"/>
    </row>
    <row r="1029" hidden="1">
      <c r="A1029" s="31" t="str">
        <f>IFERROR(__xludf.DUMMYFUNCTION("""COMPUTED_VALUE"""),"748")</f>
        <v>748</v>
      </c>
      <c r="B1029" s="14" t="str">
        <f>IFERROR(__xludf.DUMMYFUNCTION("""COMPUTED_VALUE"""),"РЕН-26")</f>
        <v>РЕН-26</v>
      </c>
      <c r="C1029" s="14" t="str">
        <f>IFERROR(__xludf.DUMMYFUNCTION("""COMPUTED_VALUE"""),"ОКС")</f>
        <v>ОКС</v>
      </c>
      <c r="D1029" s="6"/>
      <c r="E1029" s="14" t="str">
        <f>IFERROR(__xludf.DUMMYFUNCTION("""COMPUTED_VALUE"""),"Жилой дом с инженерными сетями и благоустройством территории, ЦАО, район Басманный, Старокирочный пер., вл. 6 Москва, Старокирочный пер, вл. 6")</f>
        <v>Жилой дом с инженерными сетями и благоустройством территории, ЦАО, район Басманный, Старокирочный пер., вл. 6 Москва, Старокирочный пер, вл. 6</v>
      </c>
      <c r="F1029" s="25" t="str">
        <f>IFERROR(__xludf.DUMMYFUNCTION("""COMPUTED_VALUE"""),"55.768440")</f>
        <v>55.768440</v>
      </c>
      <c r="G1029" s="6" t="str">
        <f>IFERROR(__xludf.DUMMYFUNCTION("""COMPUTED_VALUE"""),"37.682438")</f>
        <v>37.682438</v>
      </c>
      <c r="H1029" s="18" t="str">
        <f>IFERROR(__xludf.DUMMYFUNCTION("""COMPUTED_VALUE"""),"https://docs.google.com/spreadsheets/d/1rbCD10ySi4YZEkJW2_Slmn9z7AI1WEsGsZaIJmnnT18/edit?gid=1287118524#gid=1287118524")</f>
        <v>https://docs.google.com/spreadsheets/d/1rbCD10ySi4YZEkJW2_Slmn9z7AI1WEsGsZaIJmnnT18/edit?gid=1287118524#gid=1287118524</v>
      </c>
      <c r="I1029" s="19" t="str">
        <f>IFERROR(__xludf.DUMMYFUNCTION("""COMPUTED_VALUE"""),"https://disk.yandex.ru/client/disk/Осмотры%20объектов%20АНО%20СМГ/748.%20Старокирочный%20пер.%2C%20вл.6")</f>
        <v>https://disk.yandex.ru/client/disk/Осмотры%20объектов%20АНО%20СМГ/748.%20Старокирочный%20пер.%2C%20вл.6</v>
      </c>
      <c r="J1029" s="50">
        <f>IFERROR(__xludf.DUMMYFUNCTION("""COMPUTED_VALUE"""),0.0)</f>
        <v>0</v>
      </c>
      <c r="K1029" s="58">
        <f>IFERROR(__xludf.DUMMYFUNCTION("""COMPUTED_VALUE"""),45953.0)</f>
        <v>45953</v>
      </c>
      <c r="L1029" s="6">
        <v>30.0</v>
      </c>
      <c r="M1029" s="52">
        <v>45983.0</v>
      </c>
      <c r="N1029" s="53" t="s">
        <v>741</v>
      </c>
      <c r="O1029" s="19" t="s">
        <v>1213</v>
      </c>
      <c r="P1029" s="6"/>
      <c r="Q1029" s="6" t="str">
        <f t="shared" si="1"/>
        <v>#N/A</v>
      </c>
      <c r="R1029" s="6"/>
    </row>
    <row r="1030" hidden="1">
      <c r="A1030" s="31" t="str">
        <f>IFERROR(__xludf.DUMMYFUNCTION("""COMPUTED_VALUE"""),"749")</f>
        <v>749</v>
      </c>
      <c r="B1030" s="14" t="str">
        <f>IFERROR(__xludf.DUMMYFUNCTION("""COMPUTED_VALUE"""),"РЕН-26")</f>
        <v>РЕН-26</v>
      </c>
      <c r="C1030" s="14" t="str">
        <f>IFERROR(__xludf.DUMMYFUNCTION("""COMPUTED_VALUE"""),"ОКС")</f>
        <v>ОКС</v>
      </c>
      <c r="D1030" s="6"/>
      <c r="E1030" s="14" t="str">
        <f>IFERROR(__xludf.DUMMYFUNCTION("""COMPUTED_VALUE"""),"Жилой дом с инженерными сетями и благоустройством территории по адресу: г. Москва, ЦАО, район Басманный, улица Доброслободская, земельный участок 16, к. 3 Москва, ул. Доброслободская, зу 16, к 3")</f>
        <v>Жилой дом с инженерными сетями и благоустройством территории по адресу: г. Москва, ЦАО, район Басманный, улица Доброслободская, земельный участок 16, к. 3 Москва, ул. Доброслободская, зу 16, к 3</v>
      </c>
      <c r="F1030" s="25" t="str">
        <f>IFERROR(__xludf.DUMMYFUNCTION("""COMPUTED_VALUE"""),"55.764926")</f>
        <v>55.764926</v>
      </c>
      <c r="G1030" s="6" t="str">
        <f>IFERROR(__xludf.DUMMYFUNCTION("""COMPUTED_VALUE"""),"37.674103")</f>
        <v>37.674103</v>
      </c>
      <c r="H1030" s="18" t="str">
        <f>IFERROR(__xludf.DUMMYFUNCTION("""COMPUTED_VALUE"""),"https://docs.google.com/spreadsheets/d/1rbCD10ySi4YZEkJW2_Slmn9z7AI1WEsGsZaIJmnnT18/edit?gid=439341807#gid=439341807")</f>
        <v>https://docs.google.com/spreadsheets/d/1rbCD10ySi4YZEkJW2_Slmn9z7AI1WEsGsZaIJmnnT18/edit?gid=439341807#gid=439341807</v>
      </c>
      <c r="I1030" s="19" t="str">
        <f>IFERROR(__xludf.DUMMYFUNCTION("""COMPUTED_VALUE"""),"https://disk.yandex.ru/client/disk/Осмотры%20объектов%20АНО%20СМГ/749.%20Доброслободская%2C%20зу%2016%2C%20к%203")</f>
        <v>https://disk.yandex.ru/client/disk/Осмотры%20объектов%20АНО%20СМГ/749.%20Доброслободская%2C%20зу%2016%2C%20к%203</v>
      </c>
      <c r="J1030" s="50">
        <f>IFERROR(__xludf.DUMMYFUNCTION("""COMPUTED_VALUE"""),0.0)</f>
        <v>0</v>
      </c>
      <c r="K1030" s="58">
        <f>IFERROR(__xludf.DUMMYFUNCTION("""COMPUTED_VALUE"""),45953.0)</f>
        <v>45953</v>
      </c>
      <c r="L1030" s="6">
        <v>30.0</v>
      </c>
      <c r="M1030" s="52">
        <v>45983.0</v>
      </c>
      <c r="N1030" s="53" t="s">
        <v>741</v>
      </c>
      <c r="O1030" s="19" t="s">
        <v>1214</v>
      </c>
      <c r="P1030" s="6"/>
      <c r="Q1030" s="6" t="str">
        <f t="shared" si="1"/>
        <v>#N/A</v>
      </c>
      <c r="R1030" s="6"/>
    </row>
    <row r="1031" hidden="1">
      <c r="A1031" s="31" t="str">
        <f>IFERROR(__xludf.DUMMYFUNCTION("""COMPUTED_VALUE"""),"751")</f>
        <v>751</v>
      </c>
      <c r="B1031" s="14" t="str">
        <f>IFERROR(__xludf.DUMMYFUNCTION("""COMPUTED_VALUE"""),"РЕН-26")</f>
        <v>РЕН-26</v>
      </c>
      <c r="C1031" s="14" t="str">
        <f>IFERROR(__xludf.DUMMYFUNCTION("""COMPUTED_VALUE"""),"ОКС")</f>
        <v>ОКС</v>
      </c>
      <c r="D1031" s="6"/>
      <c r="E1031" s="14" t="str">
        <f>IFERROR(__xludf.DUMMYFUNCTION("""COMPUTED_VALUE"""),"Жилой дом с инженерными сетями и благоустройством территории по адресу: г. Москва, ЗАО, район Филевский парк, 3-я Филевская ул., вл. 3 ЗАО, улица 3-я Филевская, земельный участок 10 (3-я Филевская ул., вл.3)")</f>
        <v>Жилой дом с инженерными сетями и благоустройством территории по адресу: г. Москва, ЗАО, район Филевский парк, 3-я Филевская ул., вл. 3 ЗАО, улица 3-я Филевская, земельный участок 10 (3-я Филевская ул., вл.3)</v>
      </c>
      <c r="F1031" s="25" t="str">
        <f>IFERROR(__xludf.DUMMYFUNCTION("""COMPUTED_VALUE"""),"55.739767")</f>
        <v>55.739767</v>
      </c>
      <c r="G1031" s="6" t="str">
        <f>IFERROR(__xludf.DUMMYFUNCTION("""COMPUTED_VALUE"""),"37.498016")</f>
        <v>37.498016</v>
      </c>
      <c r="H1031" s="18" t="str">
        <f>IFERROR(__xludf.DUMMYFUNCTION("""COMPUTED_VALUE"""),"https://docs.google.com/spreadsheets/d/1rbCD10ySi4YZEkJW2_Slmn9z7AI1WEsGsZaIJmnnT18/edit?gid=1598315264#gid=1598315264")</f>
        <v>https://docs.google.com/spreadsheets/d/1rbCD10ySi4YZEkJW2_Slmn9z7AI1WEsGsZaIJmnnT18/edit?gid=1598315264#gid=1598315264</v>
      </c>
      <c r="I1031" s="19" t="str">
        <f>IFERROR(__xludf.DUMMYFUNCTION("""COMPUTED_VALUE"""),"https://disk.yandex.ru/client/disk/Осмотры%20объектов%20АНО%20СМГ/751.%203я%20Филёвская%20дом%2010")</f>
        <v>https://disk.yandex.ru/client/disk/Осмотры%20объектов%20АНО%20СМГ/751.%203я%20Филёвская%20дом%2010</v>
      </c>
      <c r="J1031" s="50">
        <f>IFERROR(__xludf.DUMMYFUNCTION("""COMPUTED_VALUE"""),0.0)</f>
        <v>0</v>
      </c>
      <c r="K1031" s="58">
        <f>IFERROR(__xludf.DUMMYFUNCTION("""COMPUTED_VALUE"""),45961.0)</f>
        <v>45961</v>
      </c>
      <c r="L1031" s="6">
        <v>30.0</v>
      </c>
      <c r="M1031" s="52">
        <v>45991.0</v>
      </c>
      <c r="N1031" s="53" t="s">
        <v>692</v>
      </c>
      <c r="O1031" s="19" t="s">
        <v>914</v>
      </c>
      <c r="P1031" s="6"/>
      <c r="Q1031" s="6" t="str">
        <f t="shared" si="1"/>
        <v>#N/A</v>
      </c>
      <c r="R1031" s="6"/>
    </row>
    <row r="1032" hidden="1">
      <c r="A1032" s="31" t="str">
        <f>IFERROR(__xludf.DUMMYFUNCTION("""COMPUTED_VALUE"""),"752")</f>
        <v>752</v>
      </c>
      <c r="B1032" s="14" t="str">
        <f>IFERROR(__xludf.DUMMYFUNCTION("""COMPUTED_VALUE"""),"РЕН-26")</f>
        <v>РЕН-26</v>
      </c>
      <c r="C1032" s="14" t="str">
        <f>IFERROR(__xludf.DUMMYFUNCTION("""COMPUTED_VALUE"""),"ОКС")</f>
        <v>ОКС</v>
      </c>
      <c r="D1032" s="6"/>
      <c r="E1032" s="14" t="str">
        <f>IFERROR(__xludf.DUMMYFUNCTION("""COMPUTED_VALUE"""),"Жилой дом с инженерными сетями и благоустройством территории по адресу: г. Москва, ЗАО, район Филевский парк, ул. Василисы Кожиной вл. 8, корп. 1 улица Василисы Кожиной, земельный участок 8/1 (Василисы Кожиной ул., вл. 8, корп. 1)")</f>
        <v>Жилой дом с инженерными сетями и благоустройством территории по адресу: г. Москва, ЗАО, район Филевский парк, ул. Василисы Кожиной вл. 8, корп. 1 улица Василисы Кожиной, земельный участок 8/1 (Василисы Кожиной ул., вл. 8, корп. 1)</v>
      </c>
      <c r="F1032" s="25" t="str">
        <f>IFERROR(__xludf.DUMMYFUNCTION("""COMPUTED_VALUE"""),"55.737801")</f>
        <v>55.737801</v>
      </c>
      <c r="G1032" s="6" t="str">
        <f>IFERROR(__xludf.DUMMYFUNCTION("""COMPUTED_VALUE"""),"37.501600")</f>
        <v>37.501600</v>
      </c>
      <c r="H1032" s="18" t="str">
        <f>IFERROR(__xludf.DUMMYFUNCTION("""COMPUTED_VALUE"""),"https://docs.google.com/spreadsheets/d/1rbCD10ySi4YZEkJW2_Slmn9z7AI1WEsGsZaIJmnnT18/edit?gid=172452372#gid=172452372")</f>
        <v>https://docs.google.com/spreadsheets/d/1rbCD10ySi4YZEkJW2_Slmn9z7AI1WEsGsZaIJmnnT18/edit?gid=172452372#gid=172452372</v>
      </c>
      <c r="I1032" s="19" t="str">
        <f>IFERROR(__xludf.DUMMYFUNCTION("""COMPUTED_VALUE"""),"https://disk.yandex.ru/client/disk/Осмотры%20объектов%20АНО%20СМГ/752.%20ул.%20Василисы%20Кожинной%208к1")</f>
        <v>https://disk.yandex.ru/client/disk/Осмотры%20объектов%20АНО%20СМГ/752.%20ул.%20Василисы%20Кожинной%208к1</v>
      </c>
      <c r="J1032" s="50">
        <f>IFERROR(__xludf.DUMMYFUNCTION("""COMPUTED_VALUE"""),0.0)</f>
        <v>0</v>
      </c>
      <c r="K1032" s="58">
        <f>IFERROR(__xludf.DUMMYFUNCTION("""COMPUTED_VALUE"""),45961.0)</f>
        <v>45961</v>
      </c>
      <c r="L1032" s="6">
        <v>30.0</v>
      </c>
      <c r="M1032" s="52">
        <v>45991.0</v>
      </c>
      <c r="N1032" s="53" t="s">
        <v>692</v>
      </c>
      <c r="O1032" s="19" t="s">
        <v>914</v>
      </c>
      <c r="P1032" s="6"/>
      <c r="Q1032" s="6" t="str">
        <f t="shared" si="1"/>
        <v>#N/A</v>
      </c>
      <c r="R1032" s="6"/>
    </row>
    <row r="1033" hidden="1">
      <c r="A1033" s="31" t="str">
        <f>IFERROR(__xludf.DUMMYFUNCTION("""COMPUTED_VALUE"""),"726")</f>
        <v>726</v>
      </c>
      <c r="B1033" s="14" t="str">
        <f>IFERROR(__xludf.DUMMYFUNCTION("""COMPUTED_VALUE"""),"РЕН-26")</f>
        <v>РЕН-26</v>
      </c>
      <c r="C1033" s="14" t="str">
        <f>IFERROR(__xludf.DUMMYFUNCTION("""COMPUTED_VALUE"""),"ОКС")</f>
        <v>ОКС</v>
      </c>
      <c r="D1033" s="6"/>
      <c r="E1033"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внутригоро"&amp;"дское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к.5) по адресу: г. Москва, внутригородское муниципальное образование Выхино- Жулебино, Самаркандский бульвар, земельный участок 15/5 (зона 5.3) район Выхино-Жулебино, Самаркандский бульвар, земельный участок 15/5 (зона 5.3)</v>
      </c>
      <c r="F1033" s="25" t="str">
        <f>IFERROR(__xludf.DUMMYFUNCTION("""COMPUTED_VALUE"""),"55.697530")</f>
        <v>55.697530</v>
      </c>
      <c r="G1033" s="6" t="str">
        <f>IFERROR(__xludf.DUMMYFUNCTION("""COMPUTED_VALUE"""),"37.817079")</f>
        <v>37.817079</v>
      </c>
      <c r="H1033" s="18" t="str">
        <f>IFERROR(__xludf.DUMMYFUNCTION("""COMPUTED_VALUE"""),"https://docs.google.com/spreadsheets/d/1rbCD10ySi4YZEkJW2_Slmn9z7AI1WEsGsZaIJmnnT18/edit?gid=178347413#gid=178347413")</f>
        <v>https://docs.google.com/spreadsheets/d/1rbCD10ySi4YZEkJW2_Slmn9z7AI1WEsGsZaIJmnnT18/edit?gid=178347413#gid=178347413</v>
      </c>
      <c r="I1033" s="19" t="str">
        <f>IFERROR(__xludf.DUMMYFUNCTION("""COMPUTED_VALUE"""),"https://disk.yandex.ru/client/disk/Осмотры%20объектов%20АНО%20СМГ/726.%20Самаркандский%20б-р%2C%2015-5(реновация)")</f>
        <v>https://disk.yandex.ru/client/disk/Осмотры%20объектов%20АНО%20СМГ/726.%20Самаркандский%20б-р%2C%2015-5(реновация)</v>
      </c>
      <c r="J1033" s="50">
        <f>IFERROR(__xludf.DUMMYFUNCTION("""COMPUTED_VALUE"""),15.389999999999999)</f>
        <v>15.39</v>
      </c>
      <c r="K1033" s="58">
        <f>IFERROR(__xludf.DUMMYFUNCTION("""COMPUTED_VALUE"""),45975.0)</f>
        <v>45975</v>
      </c>
      <c r="L1033" s="6">
        <v>30.0</v>
      </c>
      <c r="M1033" s="52">
        <v>46005.0</v>
      </c>
      <c r="N1033" s="53" t="s">
        <v>711</v>
      </c>
      <c r="O1033" s="19" t="s">
        <v>669</v>
      </c>
      <c r="P1033" s="6"/>
      <c r="Q1033" s="6" t="str">
        <f t="shared" si="1"/>
        <v>#N/A</v>
      </c>
      <c r="R1033" s="6"/>
    </row>
    <row r="1034" hidden="1">
      <c r="A1034" s="31" t="str">
        <f>IFERROR(__xludf.DUMMYFUNCTION("""COMPUTED_VALUE"""),"761")</f>
        <v>761</v>
      </c>
      <c r="B1034" s="14" t="str">
        <f>IFERROR(__xludf.DUMMYFUNCTION("""COMPUTED_VALUE"""),"РЕН-26")</f>
        <v>РЕН-26</v>
      </c>
      <c r="C1034" s="14" t="str">
        <f>IFERROR(__xludf.DUMMYFUNCTION("""COMPUTED_VALUE"""),"ОКС")</f>
        <v>ОКС</v>
      </c>
      <c r="D1034" s="6"/>
      <c r="E1034" s="14" t="str">
        <f>IFERROR(__xludf.DUMMYFUNCTION("""COMPUTED_VALUE"""),"Жилой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бульва"&amp;"р, земельный участок 15/2 (участок 5.1) ЮВАО	Самаркандский бульвар, земельный участок 15/2 (участок 5.1) (ЮВАО)")</f>
        <v>Жилой дом с инженерными сетями и благоустройством территории (со сносом жилых домов по адресам: Самаркандский б-р. д.15 к.2 и Самаркандский б-р. д.15 к.3) по адресу: г.Москва, внутригородское муниципальное образование Выхино-Жулебино, Самаркандский бульвар, земельный участок 15/2 (участок 5.1) ЮВАО	Самаркандский бульвар, земельный участок 15/2 (участок 5.1) (ЮВАО)</v>
      </c>
      <c r="F1034" s="25" t="str">
        <f>IFERROR(__xludf.DUMMYFUNCTION("""COMPUTED_VALUE"""),"55.696783")</f>
        <v>55.696783</v>
      </c>
      <c r="G1034" s="6" t="str">
        <f>IFERROR(__xludf.DUMMYFUNCTION("""COMPUTED_VALUE"""),"37.816855")</f>
        <v>37.816855</v>
      </c>
      <c r="H1034" s="18" t="str">
        <f>IFERROR(__xludf.DUMMYFUNCTION("""COMPUTED_VALUE"""),"https://docs.google.com/spreadsheets/d/1rbCD10ySi4YZEkJW2_Slmn9z7AI1WEsGsZaIJmnnT18/edit?gid=607897783#gid=607897783")</f>
        <v>https://docs.google.com/spreadsheets/d/1rbCD10ySi4YZEkJW2_Slmn9z7AI1WEsGsZaIJmnnT18/edit?gid=607897783#gid=607897783</v>
      </c>
      <c r="I1034" s="19" t="str">
        <f>IFERROR(__xludf.DUMMYFUNCTION("""COMPUTED_VALUE"""),"https://disk.yandex.ru/client/disk/Осмотры%20объектов%20АНО%20СМГ/761.%20Самаркандский%20б-р%2C%20уч.%2015-2")</f>
        <v>https://disk.yandex.ru/client/disk/Осмотры%20объектов%20АНО%20СМГ/761.%20Самаркандский%20б-р%2C%20уч.%2015-2</v>
      </c>
      <c r="J1034" s="50">
        <f>IFERROR(__xludf.DUMMYFUNCTION("""COMPUTED_VALUE"""),14.52)</f>
        <v>14.52</v>
      </c>
      <c r="K1034" s="58">
        <f>IFERROR(__xludf.DUMMYFUNCTION("""COMPUTED_VALUE"""),45975.0)</f>
        <v>45975</v>
      </c>
      <c r="L1034" s="6">
        <v>30.0</v>
      </c>
      <c r="M1034" s="52">
        <v>46005.0</v>
      </c>
      <c r="N1034" s="53" t="s">
        <v>711</v>
      </c>
      <c r="O1034" s="19" t="s">
        <v>669</v>
      </c>
      <c r="P1034" s="6"/>
      <c r="Q1034" s="6" t="str">
        <f t="shared" si="1"/>
        <v>#N/A</v>
      </c>
      <c r="R1034" s="6"/>
    </row>
    <row r="1035" hidden="1">
      <c r="A1035" s="31" t="str">
        <f>IFERROR(__xludf.DUMMYFUNCTION("""COMPUTED_VALUE"""),"763")</f>
        <v>763</v>
      </c>
      <c r="B1035" s="14" t="str">
        <f>IFERROR(__xludf.DUMMYFUNCTION("""COMPUTED_VALUE"""),"РЕН-26")</f>
        <v>РЕН-26</v>
      </c>
      <c r="C1035" s="14" t="str">
        <f>IFERROR(__xludf.DUMMYFUNCTION("""COMPUTED_VALUE"""),"ОКС")</f>
        <v>ОКС</v>
      </c>
      <c r="D1035" s="6"/>
      <c r="E1035"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внутригоро"&amp;"дское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дома по адресу: Самаркандский б-р. д.15 к.4) по адресу: г. Москва, внутригородское муниципальное образование Выхино- Жулебино, Самаркандский бульвар, земельный участок 15/4 (участок 5.2) ЮВАО	Самаркандский бульвар, земельный участок 15/4 (участок 5.2)</v>
      </c>
      <c r="F1035" s="25" t="str">
        <f>IFERROR(__xludf.DUMMYFUNCTION("""COMPUTED_VALUE"""),"55.696051")</f>
        <v>55.696051</v>
      </c>
      <c r="G1035" s="6" t="str">
        <f>IFERROR(__xludf.DUMMYFUNCTION("""COMPUTED_VALUE"""),"37.818209")</f>
        <v>37.818209</v>
      </c>
      <c r="H1035" s="18" t="str">
        <f>IFERROR(__xludf.DUMMYFUNCTION("""COMPUTED_VALUE"""),"https://docs.google.com/spreadsheets/d/1rbCD10ySi4YZEkJW2_Slmn9z7AI1WEsGsZaIJmnnT18/edit?gid=829089146#gid=829089146")</f>
        <v>https://docs.google.com/spreadsheets/d/1rbCD10ySi4YZEkJW2_Slmn9z7AI1WEsGsZaIJmnnT18/edit?gid=829089146#gid=829089146</v>
      </c>
      <c r="I1035" s="19" t="str">
        <f>IFERROR(__xludf.DUMMYFUNCTION("""COMPUTED_VALUE"""),"https://disk.yandex.ru/client/disk/Осмотры%20объектов%20АНО%20СМГ/763.%20Самаркандский%2015-4%20(Фонд%20реновации)")</f>
        <v>https://disk.yandex.ru/client/disk/Осмотры%20объектов%20АНО%20СМГ/763.%20Самаркандский%2015-4%20(Фонд%20реновации)</v>
      </c>
      <c r="J1035" s="50">
        <f>IFERROR(__xludf.DUMMYFUNCTION("""COMPUTED_VALUE"""),8.52)</f>
        <v>8.52</v>
      </c>
      <c r="K1035" s="58">
        <f>IFERROR(__xludf.DUMMYFUNCTION("""COMPUTED_VALUE"""),45975.0)</f>
        <v>45975</v>
      </c>
      <c r="L1035" s="6">
        <v>30.0</v>
      </c>
      <c r="M1035" s="52">
        <v>46005.0</v>
      </c>
      <c r="N1035" s="53" t="s">
        <v>711</v>
      </c>
      <c r="O1035" s="19" t="s">
        <v>669</v>
      </c>
      <c r="P1035" s="6"/>
      <c r="Q1035" s="6" t="str">
        <f t="shared" si="1"/>
        <v>#N/A</v>
      </c>
      <c r="R1035" s="6"/>
    </row>
    <row r="1036" hidden="1">
      <c r="A1036" s="31" t="str">
        <f>IFERROR(__xludf.DUMMYFUNCTION("""COMPUTED_VALUE"""),"775")</f>
        <v>775</v>
      </c>
      <c r="B1036" s="14" t="str">
        <f>IFERROR(__xludf.DUMMYFUNCTION("""COMPUTED_VALUE"""),"РЕН-26")</f>
        <v>РЕН-26</v>
      </c>
      <c r="C1036" s="14" t="str">
        <f>IFERROR(__xludf.DUMMYFUNCTION("""COMPUTED_VALUE"""),"ОКС")</f>
        <v>ОКС</v>
      </c>
      <c r="D1036" s="6"/>
      <c r="E1036"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проезд Черепановых, д. 52А), по адресу: район Коптево, кв."&amp;" 101, зона № 12.2 проезд Черепановых, д. 52А), по адресу: район Коптево, кв. 101, зона № 12.2")</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проезд Черепановых, д. 52А), по адресу: район Коптево, кв. 101, зона № 12.2 проезд Черепановых, д. 52А), по адресу: район Коптево, кв. 101, зона № 12.2</v>
      </c>
      <c r="F1036" s="25" t="str">
        <f>IFERROR(__xludf.DUMMYFUNCTION("""COMPUTED_VALUE"""),"55.842676")</f>
        <v>55.842676</v>
      </c>
      <c r="G1036" s="6" t="str">
        <f>IFERROR(__xludf.DUMMYFUNCTION("""COMPUTED_VALUE"""),"37.536697")</f>
        <v>37.536697</v>
      </c>
      <c r="H1036" s="18" t="str">
        <f>IFERROR(__xludf.DUMMYFUNCTION("""COMPUTED_VALUE"""),"https://docs.google.com/spreadsheets/d/1rbCD10ySi4YZEkJW2_Slmn9z7AI1WEsGsZaIJmnnT18/edit?gid=1528623731#gid=1528623731")</f>
        <v>https://docs.google.com/spreadsheets/d/1rbCD10ySi4YZEkJW2_Slmn9z7AI1WEsGsZaIJmnnT18/edit?gid=1528623731#gid=1528623731</v>
      </c>
      <c r="I1036" s="19" t="str">
        <f>IFERROR(__xludf.DUMMYFUNCTION("""COMPUTED_VALUE"""),"https://disk.yandex.ru/client/disk/Осмотры%20объектов%20АНО%20СМГ/775.%20проезд%20Черепановых%2052А")</f>
        <v>https://disk.yandex.ru/client/disk/Осмотры%20объектов%20АНО%20СМГ/775.%20проезд%20Черепановых%2052А</v>
      </c>
      <c r="J1036" s="50">
        <f>IFERROR(__xludf.DUMMYFUNCTION("""COMPUTED_VALUE"""),0.0)</f>
        <v>0</v>
      </c>
      <c r="K1036" s="58">
        <f>IFERROR(__xludf.DUMMYFUNCTION("""COMPUTED_VALUE"""),45962.0)</f>
        <v>45962</v>
      </c>
      <c r="L1036" s="6">
        <v>30.0</v>
      </c>
      <c r="M1036" s="52">
        <v>45992.0</v>
      </c>
      <c r="N1036" s="53" t="s">
        <v>692</v>
      </c>
      <c r="O1036" s="19" t="s">
        <v>1215</v>
      </c>
      <c r="P1036" s="6"/>
      <c r="Q1036" s="6" t="str">
        <f t="shared" si="1"/>
        <v>#N/A</v>
      </c>
      <c r="R1036" s="6"/>
    </row>
    <row r="1037" hidden="1">
      <c r="A1037" s="31" t="str">
        <f>IFERROR(__xludf.DUMMYFUNCTION("""COMPUTED_VALUE"""),"778")</f>
        <v>778</v>
      </c>
      <c r="B1037" s="14" t="str">
        <f>IFERROR(__xludf.DUMMYFUNCTION("""COMPUTED_VALUE"""),"РЕН-26")</f>
        <v>РЕН-26</v>
      </c>
      <c r="C1037" s="14" t="str">
        <f>IFERROR(__xludf.DUMMYFUNCTION("""COMPUTED_VALUE"""),"ОКС")</f>
        <v>ОКС</v>
      </c>
      <c r="D1037" s="6"/>
      <c r="E1037" s="14" t="str">
        <f>IFERROR(__xludf.DUMMYFUNCTION("""COMPUTED_VALUE"""),"Жилой дом с инженерными сетями, благоустройством территории и размещением на кровле электросирены оповещения (со сносом жилого здания по адресу: Ленинградское шоссе, д.62, корп.1) по адресу: внутригородское муниципальное образование Головинское, Ленинград"&amp;"ское шоссе, земельный участок 62/1 (зона 9.1) САО	Ленинградское шоссе, земельный участок 62/1 (зона 9.1)")</f>
        <v>Жилой дом с инженерными сетями, благоустройством территории и размещением на кровле электросирены оповещения (со сносом жилого здания по адресу: Ленинградское шоссе, д.62, корп.1) по адресу: внутригородское муниципальное образование Головинское, Ленинградское шоссе, земельный участок 62/1 (зона 9.1) САО	Ленинградское шоссе, земельный участок 62/1 (зона 9.1)</v>
      </c>
      <c r="F1037" s="25" t="str">
        <f>IFERROR(__xludf.DUMMYFUNCTION("""COMPUTED_VALUE"""),"55.844465")</f>
        <v>55.844465</v>
      </c>
      <c r="G1037" s="6" t="str">
        <f>IFERROR(__xludf.DUMMYFUNCTION("""COMPUTED_VALUE"""),"37.478801")</f>
        <v>37.478801</v>
      </c>
      <c r="H1037" s="18" t="str">
        <f>IFERROR(__xludf.DUMMYFUNCTION("""COMPUTED_VALUE"""),"https://docs.google.com/spreadsheets/d/1rbCD10ySi4YZEkJW2_Slmn9z7AI1WEsGsZaIJmnnT18/edit?gid=23356464#gid=23356464")</f>
        <v>https://docs.google.com/spreadsheets/d/1rbCD10ySi4YZEkJW2_Slmn9z7AI1WEsGsZaIJmnnT18/edit?gid=23356464#gid=23356464</v>
      </c>
      <c r="I1037" s="19" t="str">
        <f>IFERROR(__xludf.DUMMYFUNCTION("""COMPUTED_VALUE"""),"https://disk.yandex.ru/client/disk/Осмотры%20объектов%20АНО%20СМГ/778.%20Ленинградское%20шоссе%2C%20земельный%20участок%2062.1(зона%209.1)")</f>
        <v>https://disk.yandex.ru/client/disk/Осмотры%20объектов%20АНО%20СМГ/778.%20Ленинградское%20шоссе%2C%20земельный%20участок%2062.1(зона%209.1)</v>
      </c>
      <c r="J1037" s="50">
        <f>IFERROR(__xludf.DUMMYFUNCTION("""COMPUTED_VALUE"""),0.0)</f>
        <v>0</v>
      </c>
      <c r="K1037" s="58">
        <f>IFERROR(__xludf.DUMMYFUNCTION("""COMPUTED_VALUE"""),45953.0)</f>
        <v>45953</v>
      </c>
      <c r="L1037" s="6">
        <v>30.0</v>
      </c>
      <c r="M1037" s="52">
        <v>45983.0</v>
      </c>
      <c r="N1037" s="53" t="s">
        <v>741</v>
      </c>
      <c r="O1037" s="19" t="s">
        <v>1216</v>
      </c>
      <c r="P1037" s="6"/>
      <c r="Q1037" s="6" t="str">
        <f t="shared" si="1"/>
        <v>#N/A</v>
      </c>
      <c r="R1037" s="6"/>
    </row>
    <row r="1038" hidden="1">
      <c r="A1038" s="31" t="str">
        <f>IFERROR(__xludf.DUMMYFUNCTION("""COMPUTED_VALUE"""),"656")</f>
        <v>656</v>
      </c>
      <c r="B1038" s="14" t="str">
        <f>IFERROR(__xludf.DUMMYFUNCTION("""COMPUTED_VALUE"""),"РЕН-26")</f>
        <v>РЕН-26</v>
      </c>
      <c r="C1038" s="14" t="str">
        <f>IFERROR(__xludf.DUMMYFUNCTION("""COMPUTED_VALUE"""),"ОКС")</f>
        <v>ОКС</v>
      </c>
      <c r="D1038" s="6"/>
      <c r="E103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1-й Очаковский пер., д.4), ЗАО, район Очаково-Матвеевско"&amp;"е, ул. Наташи Ковшовой, земельный участок 1 ЗАО, район Очаково-Матвеевское, Наташи Ковшовой ул., вл.1")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1-й Очаковский пер., д.4), ЗАО, район Очаково-Матвеевское, ул. Наташи Ковшовой, земельный участок 1 ЗАО, район Очаково-Матвеевское, Наташи Ковшовой ул., вл.1</v>
      </c>
      <c r="F1038" s="25" t="str">
        <f>IFERROR(__xludf.DUMMYFUNCTION("""COMPUTED_VALUE"""),"55.685189")</f>
        <v>55.685189</v>
      </c>
      <c r="G1038" s="6" t="str">
        <f>IFERROR(__xludf.DUMMYFUNCTION("""COMPUTED_VALUE"""),"37.457136")</f>
        <v>37.457136</v>
      </c>
      <c r="H1038" s="18" t="str">
        <f>IFERROR(__xludf.DUMMYFUNCTION("""COMPUTED_VALUE"""),"https://docs.google.com/spreadsheets/d/1rbCD10ySi4YZEkJW2_Slmn9z7AI1WEsGsZaIJmnnT18/edit?gid=1103531360#gid=1103531360")</f>
        <v>https://docs.google.com/spreadsheets/d/1rbCD10ySi4YZEkJW2_Slmn9z7AI1WEsGsZaIJmnnT18/edit?gid=1103531360#gid=1103531360</v>
      </c>
      <c r="I1038" s="19" t="str">
        <f>IFERROR(__xludf.DUMMYFUNCTION("""COMPUTED_VALUE"""),"https://disk.yandex.ru/client/disk/Осмотры%20объектов%20АНО%20СМГ/656.%20район%20Очаково-Матвеевское%2C%20Наташи%20Ковшовой%20ул.%2C%20вл.1")</f>
        <v>https://disk.yandex.ru/client/disk/Осмотры%20объектов%20АНО%20СМГ/656.%20район%20Очаково-Матвеевское%2C%20Наташи%20Ковшовой%20ул.%2C%20вл.1</v>
      </c>
      <c r="J1038" s="50">
        <f>IFERROR(__xludf.DUMMYFUNCTION("""COMPUTED_VALUE"""),0.9113999999999999)</f>
        <v>0.9114</v>
      </c>
      <c r="K1038" s="58">
        <f>IFERROR(__xludf.DUMMYFUNCTION("""COMPUTED_VALUE"""),45962.0)</f>
        <v>45962</v>
      </c>
      <c r="L1038" s="6">
        <v>30.0</v>
      </c>
      <c r="M1038" s="52">
        <v>45992.0</v>
      </c>
      <c r="N1038" s="53" t="s">
        <v>692</v>
      </c>
      <c r="O1038" s="19" t="s">
        <v>1217</v>
      </c>
      <c r="P1038" s="6"/>
      <c r="Q1038" s="6" t="str">
        <f t="shared" si="1"/>
        <v>#N/A</v>
      </c>
      <c r="R1038" s="6"/>
    </row>
    <row r="1039" hidden="1">
      <c r="A1039" s="31" t="str">
        <f>IFERROR(__xludf.DUMMYFUNCTION("""COMPUTED_VALUE"""),"795")</f>
        <v>795</v>
      </c>
      <c r="B1039" s="14" t="str">
        <f>IFERROR(__xludf.DUMMYFUNCTION("""COMPUTED_VALUE"""),"РЕН-26")</f>
        <v>РЕН-26</v>
      </c>
      <c r="C1039" s="14" t="str">
        <f>IFERROR(__xludf.DUMMYFUNCTION("""COMPUTED_VALUE"""),"ОКС")</f>
        <v>ОКС</v>
      </c>
      <c r="D1039" s="6"/>
      <c r="E1039" s="14" t="str">
        <f>IFERROR(__xludf.DUMMYFUNCTION("""COMPUTED_VALUE"""),"Жилой дом с инженерными сетями и благоустройством территории (со сносом жилого дома по адресу: г. Москва, ул. Михайлова, д. 27)» по адресу: г. Москва, внутригородское муниципальное образование Рязанское, улица Михайлова, земельный участок 27 (Михайлова ул"&amp;"., вл. 27) ЮВАО	улица Михайлова, земельный участок 27 (Михайлова ул., вл. 27)")</f>
        <v>Жилой дом с инженерными сетями и благоустройством территории (со сносом жилого дома по адресу: г. Москва, ул. Михайлова, д. 27)» по адресу: г. Москва, внутригородское муниципальное образование Рязанское, улица Михайлова, земельный участок 27 (Михайлова ул., вл. 27) ЮВАО	улица Михайлова, земельный участок 27 (Михайлова ул., вл. 27)</v>
      </c>
      <c r="F1039" s="25" t="str">
        <f>IFERROR(__xludf.DUMMYFUNCTION("""COMPUTED_VALUE"""),"55.726994")</f>
        <v>55.726994</v>
      </c>
      <c r="G1039" s="6" t="str">
        <f>IFERROR(__xludf.DUMMYFUNCTION("""COMPUTED_VALUE"""),"37.770187")</f>
        <v>37.770187</v>
      </c>
      <c r="H1039" s="18" t="str">
        <f>IFERROR(__xludf.DUMMYFUNCTION("""COMPUTED_VALUE"""),"https://docs.google.com/spreadsheets/d/1rbCD10ySi4YZEkJW2_Slmn9z7AI1WEsGsZaIJmnnT18/edit?gid=622576410#gid=622576410")</f>
        <v>https://docs.google.com/spreadsheets/d/1rbCD10ySi4YZEkJW2_Slmn9z7AI1WEsGsZaIJmnnT18/edit?gid=622576410#gid=622576410</v>
      </c>
      <c r="I1039" s="19" t="str">
        <f>IFERROR(__xludf.DUMMYFUNCTION("""COMPUTED_VALUE"""),"https://disk.yandex.ru/client/disk/Осмотры%20объектов%20АНО%20СМГ/795.%20ул.%20Михайлова%20зум.уч.%2027(д.27)")</f>
        <v>https://disk.yandex.ru/client/disk/Осмотры%20объектов%20АНО%20СМГ/795.%20ул.%20Михайлова%20зум.уч.%2027(д.27)</v>
      </c>
      <c r="J1039" s="50">
        <f>IFERROR(__xludf.DUMMYFUNCTION("""COMPUTED_VALUE"""),0.0)</f>
        <v>0</v>
      </c>
      <c r="K1039" s="58">
        <f>IFERROR(__xludf.DUMMYFUNCTION("""COMPUTED_VALUE"""),45952.0)</f>
        <v>45952</v>
      </c>
      <c r="L1039" s="6">
        <v>30.0</v>
      </c>
      <c r="M1039" s="52">
        <v>45982.0</v>
      </c>
      <c r="N1039" s="53" t="s">
        <v>741</v>
      </c>
      <c r="O1039" s="19" t="s">
        <v>914</v>
      </c>
      <c r="P1039" s="6"/>
      <c r="Q1039" s="6" t="str">
        <f t="shared" si="1"/>
        <v>#N/A</v>
      </c>
      <c r="R1039" s="6"/>
    </row>
    <row r="1040" hidden="1">
      <c r="A1040" s="31" t="str">
        <f>IFERROR(__xludf.DUMMYFUNCTION("""COMPUTED_VALUE"""),"796")</f>
        <v>796</v>
      </c>
      <c r="B1040" s="14" t="str">
        <f>IFERROR(__xludf.DUMMYFUNCTION("""COMPUTED_VALUE"""),"РЕН-26")</f>
        <v>РЕН-26</v>
      </c>
      <c r="C1040" s="14" t="str">
        <f>IFERROR(__xludf.DUMMYFUNCTION("""COMPUTED_VALUE"""),"ОКС")</f>
        <v>ОКС</v>
      </c>
      <c r="D1040" s="6"/>
      <c r="E1040" s="14" t="str">
        <f>IFERROR(__xludf.DUMMYFUNCTION("""COMPUTED_VALUE"""),"Жилой дом с инженерными сетями и благоустройством территории (со сносом жилого дома по адресу: г. Москва, ул. Михайлова, д. 38)» по адресу: г. Москва, внутригородское муниципальное образование Рязанское, улица Михайлова, земельный участок 38 (Михайлова ул"&amp;"., вл. 38) ЮВАО	улица Михайлова, земельный участок 38 (Михайлова ул., вл. 38)")</f>
        <v>Жилой дом с инженерными сетями и благоустройством территории (со сносом жилого дома по адресу: г. Москва, ул. Михайлова, д. 38)» по адресу: г. Москва, внутригородское муниципальное образование Рязанское, улица Михайлова, земельный участок 38 (Михайлова ул., вл. 38) ЮВАО	улица Михайлова, земельный участок 38 (Михайлова ул., вл. 38)</v>
      </c>
      <c r="F1040" s="25" t="str">
        <f>IFERROR(__xludf.DUMMYFUNCTION("""COMPUTED_VALUE"""),"55.721341")</f>
        <v>55.721341</v>
      </c>
      <c r="G1040" s="6" t="str">
        <f>IFERROR(__xludf.DUMMYFUNCTION("""COMPUTED_VALUE"""),"37.785108")</f>
        <v>37.785108</v>
      </c>
      <c r="H1040" s="18" t="str">
        <f>IFERROR(__xludf.DUMMYFUNCTION("""COMPUTED_VALUE"""),"https://docs.google.com/spreadsheets/d/1rbCD10ySi4YZEkJW2_Slmn9z7AI1WEsGsZaIJmnnT18/edit?gid=1861315460#gid=1861315460")</f>
        <v>https://docs.google.com/spreadsheets/d/1rbCD10ySi4YZEkJW2_Slmn9z7AI1WEsGsZaIJmnnT18/edit?gid=1861315460#gid=1861315460</v>
      </c>
      <c r="I1040" s="19" t="str">
        <f>IFERROR(__xludf.DUMMYFUNCTION("""COMPUTED_VALUE"""),"https://disk.yandex.ru/client/disk/Осмотры%20объектов%20АНО%20СМГ/796.%20улица%20Михайлова%2C%20земельный%20участок%2038%20(Михайлова%20ул.%2C%20вл.%2038)")</f>
        <v>https://disk.yandex.ru/client/disk/Осмотры%20объектов%20АНО%20СМГ/796.%20улица%20Михайлова%2C%20земельный%20участок%2038%20(Михайлова%20ул.%2C%20вл.%2038)</v>
      </c>
      <c r="J1040" s="50">
        <f>IFERROR(__xludf.DUMMYFUNCTION("""COMPUTED_VALUE"""),0.0)</f>
        <v>0</v>
      </c>
      <c r="K1040" s="58">
        <f>IFERROR(__xludf.DUMMYFUNCTION("""COMPUTED_VALUE"""),45952.0)</f>
        <v>45952</v>
      </c>
      <c r="L1040" s="6">
        <v>30.0</v>
      </c>
      <c r="M1040" s="52">
        <v>45982.0</v>
      </c>
      <c r="N1040" s="53" t="s">
        <v>741</v>
      </c>
      <c r="O1040" s="19" t="s">
        <v>914</v>
      </c>
      <c r="P1040" s="6"/>
      <c r="Q1040" s="6" t="str">
        <f t="shared" si="1"/>
        <v>#N/A</v>
      </c>
      <c r="R1040" s="6"/>
    </row>
    <row r="1041" hidden="1">
      <c r="A1041" s="31" t="str">
        <f>IFERROR(__xludf.DUMMYFUNCTION("""COMPUTED_VALUE"""),"803")</f>
        <v>803</v>
      </c>
      <c r="B1041" s="14" t="str">
        <f>IFERROR(__xludf.DUMMYFUNCTION("""COMPUTED_VALUE"""),"РЕН-26")</f>
        <v>РЕН-26</v>
      </c>
      <c r="C1041" s="14" t="str">
        <f>IFERROR(__xludf.DUMMYFUNCTION("""COMPUTED_VALUE"""),"ОКС")</f>
        <v>ОКС</v>
      </c>
      <c r="D1041" s="6"/>
      <c r="E1041"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район Сокольники, ул. Сокольнический Вал, вл. 2а, корпус 2"&amp;" ВАО	ул. Сокольнический Вал, вл. 2а, корп. 2")</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район Сокольники, ул. Сокольнический Вал, вл. 2а, корпус 2 ВАО	ул. Сокольнический Вал, вл. 2а, корп. 2</v>
      </c>
      <c r="F1041" s="25" t="str">
        <f>IFERROR(__xludf.DUMMYFUNCTION("""COMPUTED_VALUE"""),"55.792754")</f>
        <v>55.792754</v>
      </c>
      <c r="G1041" s="6" t="str">
        <f>IFERROR(__xludf.DUMMYFUNCTION("""COMPUTED_VALUE"""),"37.655161")</f>
        <v>37.655161</v>
      </c>
      <c r="H1041" s="18" t="str">
        <f>IFERROR(__xludf.DUMMYFUNCTION("""COMPUTED_VALUE"""),"https://docs.google.com/spreadsheets/d/1rbCD10ySi4YZEkJW2_Slmn9z7AI1WEsGsZaIJmnnT18/edit?gid=641020956#gid=641020956")</f>
        <v>https://docs.google.com/spreadsheets/d/1rbCD10ySi4YZEkJW2_Slmn9z7AI1WEsGsZaIJmnnT18/edit?gid=641020956#gid=641020956</v>
      </c>
      <c r="I1041" s="19" t="str">
        <f>IFERROR(__xludf.DUMMYFUNCTION("""COMPUTED_VALUE"""),"https://disk.yandex.ru/client/disk/Осмотры%20объектов%20АНО%20СМГ/803.%20ул.%20Сокольнический%20Вал%2C%20вл.%202а%2C%20корп.%202")</f>
        <v>https://disk.yandex.ru/client/disk/Осмотры%20объектов%20АНО%20СМГ/803.%20ул.%20Сокольнический%20Вал%2C%20вл.%202а%2C%20корп.%202</v>
      </c>
      <c r="J1041" s="50">
        <f>IFERROR(__xludf.DUMMYFUNCTION("""COMPUTED_VALUE"""),0.8991600000000001)</f>
        <v>0.89916</v>
      </c>
      <c r="K1041" s="58">
        <f>IFERROR(__xludf.DUMMYFUNCTION("""COMPUTED_VALUE"""),45953.0)</f>
        <v>45953</v>
      </c>
      <c r="L1041" s="6">
        <v>30.0</v>
      </c>
      <c r="M1041" s="52">
        <v>45983.0</v>
      </c>
      <c r="N1041" s="53" t="s">
        <v>741</v>
      </c>
      <c r="O1041" s="19" t="s">
        <v>669</v>
      </c>
      <c r="P1041" s="6"/>
      <c r="Q1041" s="6" t="str">
        <f t="shared" si="1"/>
        <v>#N/A</v>
      </c>
      <c r="R1041" s="6"/>
    </row>
    <row r="1042" hidden="1">
      <c r="A1042" s="31" t="str">
        <f>IFERROR(__xludf.DUMMYFUNCTION("""COMPUTED_VALUE"""),"936")</f>
        <v>936</v>
      </c>
      <c r="B1042" s="14" t="str">
        <f>IFERROR(__xludf.DUMMYFUNCTION("""COMPUTED_VALUE"""),"РЕН-26")</f>
        <v>РЕН-26</v>
      </c>
      <c r="C1042" s="14" t="str">
        <f>IFERROR(__xludf.DUMMYFUNCTION("""COMPUTED_VALUE"""),"ОКС")</f>
        <v>ОКС</v>
      </c>
      <c r="D1042" s="6"/>
      <c r="E1042" s="14" t="str">
        <f>IFERROR(__xludf.DUMMYFUNCTION("""COMPUTED_VALUE"""),"Жилой дом с инженерными сетями и благоустройством территории с подземным гаражом (со сносом жилых зданий по адресам: ул. Перовская, д. 36 к. 1, ул. Перовская, д. 36 к. 2) по адресу: вн. тер. г. Перово, Перовская ул., земельный участок 36 Перовская ул., з/"&amp;"у 36")</f>
        <v>Жилой дом с инженерными сетями и благоустройством территории с подземным гаражом (со сносом жилых зданий по адресам: ул. Перовская, д. 36 к. 1, ул. Перовская, д. 36 к. 2) по адресу: вн. тер. г. Перово, Перовская ул., земельный участок 36 Перовская ул., з/у 36</v>
      </c>
      <c r="F1042" s="25" t="str">
        <f>IFERROR(__xludf.DUMMYFUNCTION("""COMPUTED_VALUE"""),"55.745696")</f>
        <v>55.745696</v>
      </c>
      <c r="G1042" s="6" t="str">
        <f>IFERROR(__xludf.DUMMYFUNCTION("""COMPUTED_VALUE"""),"37.778515")</f>
        <v>37.778515</v>
      </c>
      <c r="H1042" s="18" t="str">
        <f>IFERROR(__xludf.DUMMYFUNCTION("""COMPUTED_VALUE"""),"https://docs.google.com/spreadsheets/d/1rbCD10ySi4YZEkJW2_Slmn9z7AI1WEsGsZaIJmnnT18/edit?gid=1380549667#gid=1380549667")</f>
        <v>https://docs.google.com/spreadsheets/d/1rbCD10ySi4YZEkJW2_Slmn9z7AI1WEsGsZaIJmnnT18/edit?gid=1380549667#gid=1380549667</v>
      </c>
      <c r="I1042" s="19" t="str">
        <f>IFERROR(__xludf.DUMMYFUNCTION("""COMPUTED_VALUE"""),"https://disk.yandex.ru/client/disk/Осмотры%20объектов%20АНО%20СМГ/936%20Перовская%20ул.%2C%20з.у%2036")</f>
        <v>https://disk.yandex.ru/client/disk/Осмотры%20объектов%20АНО%20СМГ/936%20Перовская%20ул.%2C%20з.у%2036</v>
      </c>
      <c r="J1042" s="50">
        <f>IFERROR(__xludf.DUMMYFUNCTION("""COMPUTED_VALUE"""),0.0)</f>
        <v>0</v>
      </c>
      <c r="K1042" s="58">
        <f>IFERROR(__xludf.DUMMYFUNCTION("""COMPUTED_VALUE"""),45968.0)</f>
        <v>45968</v>
      </c>
      <c r="L1042" s="6">
        <v>30.0</v>
      </c>
      <c r="M1042" s="52">
        <v>45998.0</v>
      </c>
      <c r="N1042" s="53" t="s">
        <v>711</v>
      </c>
      <c r="O1042" s="19" t="s">
        <v>914</v>
      </c>
      <c r="P1042" s="6"/>
      <c r="Q1042" s="6" t="str">
        <f t="shared" si="1"/>
        <v>#N/A</v>
      </c>
      <c r="R1042" s="6"/>
    </row>
    <row r="1043" hidden="1">
      <c r="A1043" s="31" t="str">
        <f>IFERROR(__xludf.DUMMYFUNCTION("""COMPUTED_VALUE"""),"924")</f>
        <v>924</v>
      </c>
      <c r="B1043" s="14" t="str">
        <f>IFERROR(__xludf.DUMMYFUNCTION("""COMPUTED_VALUE"""),"РЕН-26")</f>
        <v>РЕН-26</v>
      </c>
      <c r="C1043" s="14" t="str">
        <f>IFERROR(__xludf.DUMMYFUNCTION("""COMPUTED_VALUE"""),"ОКС")</f>
        <v>ОКС</v>
      </c>
      <c r="D1043" s="6"/>
      <c r="E1043" s="14" t="str">
        <f>IFERROR(__xludf.DUMMYFUNCTION("""COMPUTED_VALUE"""),"Жилой дом с подземной автостоянкой, инженерными сетями, благоустройством территории (со сносом жилого здания, по адресу: 5-я ул. Соколиной Горы, д.20, к.1), ВАО, район Соколиная Гора, микрорайон 8с-13с, зона №7.1 5-я ул. Соколиной Горы, з/у 20/1 (участок "&amp;"7.1)")</f>
        <v>Жилой дом с подземной автостоянкой, инженерными сетями, благоустройством территории (со сносом жилого здания, по адресу: 5-я ул. Соколиной Горы, д.20, к.1), ВАО, район Соколиная Гора, микрорайон 8с-13с, зона №7.1 5-я ул. Соколиной Горы, з/у 20/1 (участок 7.1)</v>
      </c>
      <c r="F1043" s="25" t="str">
        <f>IFERROR(__xludf.DUMMYFUNCTION("""COMPUTED_VALUE"""),"55.764349")</f>
        <v>55.764349</v>
      </c>
      <c r="G1043" s="6" t="str">
        <f>IFERROR(__xludf.DUMMYFUNCTION("""COMPUTED_VALUE"""),"37.741118")</f>
        <v>37.741118</v>
      </c>
      <c r="H1043" s="18" t="str">
        <f>IFERROR(__xludf.DUMMYFUNCTION("""COMPUTED_VALUE"""),"https://docs.google.com/spreadsheets/d/1rbCD10ySi4YZEkJW2_Slmn9z7AI1WEsGsZaIJmnnT18/edit?gid=1226682620#gid=1226682620")</f>
        <v>https://docs.google.com/spreadsheets/d/1rbCD10ySi4YZEkJW2_Slmn9z7AI1WEsGsZaIJmnnT18/edit?gid=1226682620#gid=1226682620</v>
      </c>
      <c r="I1043" s="19" t="str">
        <f>IFERROR(__xludf.DUMMYFUNCTION("""COMPUTED_VALUE"""),"https://disk.yandex.ru/client/disk/Осмотры%20объектов%20АНО%20СМГ/924.%205-я%20ул.%20Соколиной%20Горы%2C%20з.у%2020.1%20(участок%207.1)")</f>
        <v>https://disk.yandex.ru/client/disk/Осмотры%20объектов%20АНО%20СМГ/924.%205-я%20ул.%20Соколиной%20Горы%2C%20з.у%2020.1%20(участок%207.1)</v>
      </c>
      <c r="J1043" s="50">
        <f>IFERROR(__xludf.DUMMYFUNCTION("""COMPUTED_VALUE"""),0.0)</f>
        <v>0</v>
      </c>
      <c r="K1043" s="58">
        <f>IFERROR(__xludf.DUMMYFUNCTION("""COMPUTED_VALUE"""),45962.0)</f>
        <v>45962</v>
      </c>
      <c r="L1043" s="6">
        <v>30.0</v>
      </c>
      <c r="M1043" s="52">
        <v>45992.0</v>
      </c>
      <c r="N1043" s="53" t="s">
        <v>692</v>
      </c>
      <c r="O1043" s="19" t="s">
        <v>1218</v>
      </c>
      <c r="P1043" s="6"/>
      <c r="Q1043" s="6" t="str">
        <f t="shared" si="1"/>
        <v>#N/A</v>
      </c>
      <c r="R1043" s="6"/>
    </row>
    <row r="1044" hidden="1">
      <c r="A1044" s="31" t="str">
        <f>IFERROR(__xludf.DUMMYFUNCTION("""COMPUTED_VALUE"""),"920")</f>
        <v>920</v>
      </c>
      <c r="B1044" s="14" t="str">
        <f>IFERROR(__xludf.DUMMYFUNCTION("""COMPUTED_VALUE"""),"РЕН-26")</f>
        <v>РЕН-26</v>
      </c>
      <c r="C1044" s="14" t="str">
        <f>IFERROR(__xludf.DUMMYFUNCTION("""COMPUTED_VALUE"""),"ОКС")</f>
        <v>ОКС</v>
      </c>
      <c r="D1044" s="6"/>
      <c r="E1044" s="14" t="str">
        <f>IFERROR(__xludf.DUMMYFUNCTION("""COMPUTED_VALUE"""),"Жилой дом с инженерными сетями и благоустройством территории, СЗАО, район Южное Тушино, Новопоселковая ул., вл.6 ул. Новопоселковая, вл. 6")</f>
        <v>Жилой дом с инженерными сетями и благоустройством территории, СЗАО, район Южное Тушино, Новопоселковая ул., вл.6 ул. Новопоселковая, вл. 6</v>
      </c>
      <c r="F1044" s="25" t="str">
        <f>IFERROR(__xludf.DUMMYFUNCTION("""COMPUTED_VALUE"""),"55.841008")</f>
        <v>55.841008</v>
      </c>
      <c r="G1044" s="6" t="str">
        <f>IFERROR(__xludf.DUMMYFUNCTION("""COMPUTED_VALUE"""),"37.443541")</f>
        <v>37.443541</v>
      </c>
      <c r="H1044" s="18" t="str">
        <f>IFERROR(__xludf.DUMMYFUNCTION("""COMPUTED_VALUE"""),"https://docs.google.com/spreadsheets/d/1rbCD10ySi4YZEkJW2_Slmn9z7AI1WEsGsZaIJmnnT18/edit?gid=402405412#gid=402405412")</f>
        <v>https://docs.google.com/spreadsheets/d/1rbCD10ySi4YZEkJW2_Slmn9z7AI1WEsGsZaIJmnnT18/edit?gid=402405412#gid=402405412</v>
      </c>
      <c r="I1044" s="19" t="str">
        <f>IFERROR(__xludf.DUMMYFUNCTION("""COMPUTED_VALUE"""),"https://disk.yandex.ru/client/disk/Осмотры%20объектов%20АНО%20СМГ/920.%20Новопоселковая%20вл.%206")</f>
        <v>https://disk.yandex.ru/client/disk/Осмотры%20объектов%20АНО%20СМГ/920.%20Новопоселковая%20вл.%206</v>
      </c>
      <c r="J1044" s="50">
        <f>IFERROR(__xludf.DUMMYFUNCTION("""COMPUTED_VALUE"""),1.65)</f>
        <v>1.65</v>
      </c>
      <c r="K1044" s="58">
        <f>IFERROR(__xludf.DUMMYFUNCTION("""COMPUTED_VALUE"""),45954.0)</f>
        <v>45954</v>
      </c>
      <c r="L1044" s="6">
        <v>30.0</v>
      </c>
      <c r="M1044" s="52">
        <v>45984.0</v>
      </c>
      <c r="N1044" s="53" t="s">
        <v>741</v>
      </c>
      <c r="O1044" s="19" t="s">
        <v>669</v>
      </c>
      <c r="P1044" s="6"/>
      <c r="Q1044" s="6" t="str">
        <f t="shared" si="1"/>
        <v>#N/A</v>
      </c>
      <c r="R1044" s="6"/>
    </row>
    <row r="1045" hidden="1">
      <c r="A1045" s="31" t="str">
        <f>IFERROR(__xludf.DUMMYFUNCTION("""COMPUTED_VALUE"""),"916")</f>
        <v>916</v>
      </c>
      <c r="B1045" s="14" t="str">
        <f>IFERROR(__xludf.DUMMYFUNCTION("""COMPUTED_VALUE"""),"РЕН-26")</f>
        <v>РЕН-26</v>
      </c>
      <c r="C1045" s="14" t="str">
        <f>IFERROR(__xludf.DUMMYFUNCTION("""COMPUTED_VALUE"""),"ОКС")</f>
        <v>ОКС</v>
      </c>
      <c r="D1045" s="6"/>
      <c r="E1045" s="14" t="str">
        <f>IFERROR(__xludf.DUMMYFUNCTION("""COMPUTED_VALUE"""),"Жилой дом с инженерными сетями и благоустройством территории, ЮАО, район Царицыно, Каспийская ул., вл. 24, корп. 4 Каспийская ул., вл. 24, корп. 4")</f>
        <v>Жилой дом с инженерными сетями и благоустройством территории, ЮАО, район Царицыно, Каспийская ул., вл. 24, корп. 4 Каспийская ул., вл. 24, корп. 4</v>
      </c>
      <c r="F1045" s="25" t="str">
        <f>IFERROR(__xludf.DUMMYFUNCTION("""COMPUTED_VALUE"""),"55.626253")</f>
        <v>55.626253</v>
      </c>
      <c r="G1045" s="6" t="str">
        <f>IFERROR(__xludf.DUMMYFUNCTION("""COMPUTED_VALUE"""),"37.672581")</f>
        <v>37.672581</v>
      </c>
      <c r="H1045" s="18" t="str">
        <f>IFERROR(__xludf.DUMMYFUNCTION("""COMPUTED_VALUE"""),"https://docs.google.com/spreadsheets/d/1rbCD10ySi4YZEkJW2_Slmn9z7AI1WEsGsZaIJmnnT18/edit?gid=223359966#gid=223359966")</f>
        <v>https://docs.google.com/spreadsheets/d/1rbCD10ySi4YZEkJW2_Slmn9z7AI1WEsGsZaIJmnnT18/edit?gid=223359966#gid=223359966</v>
      </c>
      <c r="I1045" s="19" t="str">
        <f>IFERROR(__xludf.DUMMYFUNCTION("""COMPUTED_VALUE"""),"https://disk.yandex.ru/client/disk/Осмотры%20объектов%20АНО%20СМГ/916.%20Жилой%20дом.%20Каспийская%20ул.%2C%20вл.%2024%2C%20Корп.%204")</f>
        <v>https://disk.yandex.ru/client/disk/Осмотры%20объектов%20АНО%20СМГ/916.%20Жилой%20дом.%20Каспийская%20ул.%2C%20вл.%2024%2C%20Корп.%204</v>
      </c>
      <c r="J1045" s="50">
        <f>IFERROR(__xludf.DUMMYFUNCTION("""COMPUTED_VALUE"""),0.0)</f>
        <v>0</v>
      </c>
      <c r="K1045" s="58">
        <f>IFERROR(__xludf.DUMMYFUNCTION("""COMPUTED_VALUE"""),45968.0)</f>
        <v>45968</v>
      </c>
      <c r="L1045" s="6">
        <v>30.0</v>
      </c>
      <c r="M1045" s="52">
        <v>45998.0</v>
      </c>
      <c r="N1045" s="53" t="s">
        <v>711</v>
      </c>
      <c r="O1045" s="19" t="s">
        <v>914</v>
      </c>
      <c r="P1045" s="6"/>
      <c r="Q1045" s="6" t="str">
        <f t="shared" si="1"/>
        <v>#N/A</v>
      </c>
      <c r="R1045" s="6"/>
    </row>
    <row r="1046" hidden="1">
      <c r="A1046" s="31" t="str">
        <f>IFERROR(__xludf.DUMMYFUNCTION("""COMPUTED_VALUE"""),"915")</f>
        <v>915</v>
      </c>
      <c r="B1046" s="14" t="str">
        <f>IFERROR(__xludf.DUMMYFUNCTION("""COMPUTED_VALUE"""),"РЕН-26")</f>
        <v>РЕН-26</v>
      </c>
      <c r="C1046" s="14" t="str">
        <f>IFERROR(__xludf.DUMMYFUNCTION("""COMPUTED_VALUE"""),"ОКС")</f>
        <v>ОКС</v>
      </c>
      <c r="D1046" s="6"/>
      <c r="E1046" s="14" t="str">
        <f>IFERROR(__xludf.DUMMYFUNCTION("""COMPUTED_VALUE"""),"Жилой дом с инженерными сетями и благоустройством по адресу: г. Москва, внутригородское муниципальное образование Москворечье-Сабурово, переулок 2-й Котляковский, земельный участок 5 (2-й Котляковский переулок, з/у 5/1, 6А) 2-й Котляковский переулок, з/у "&amp;"5 (2-й Котляковский переулок, з/у 5/1, 6А)")</f>
        <v>Жилой дом с инженерными сетями и благоустройством по адресу: г. Москва, внутригородское муниципальное образование Москворечье-Сабурово, переулок 2-й Котляковский, земельный участок 5 (2-й Котляковский переулок, з/у 5/1, 6А) 2-й Котляковский переулок, з/у 5 (2-й Котляковский переулок, з/у 5/1, 6А)</v>
      </c>
      <c r="F1046" s="25" t="str">
        <f>IFERROR(__xludf.DUMMYFUNCTION("""COMPUTED_VALUE"""),"55.644939")</f>
        <v>55.644939</v>
      </c>
      <c r="G1046" s="6" t="str">
        <f>IFERROR(__xludf.DUMMYFUNCTION("""COMPUTED_VALUE"""),"37.637156")</f>
        <v>37.637156</v>
      </c>
      <c r="H1046" s="18" t="str">
        <f>IFERROR(__xludf.DUMMYFUNCTION("""COMPUTED_VALUE"""),"https://docs.google.com/spreadsheets/d/1rbCD10ySi4YZEkJW2_Slmn9z7AI1WEsGsZaIJmnnT18/edit?gid=314292055#gid=314292055")</f>
        <v>https://docs.google.com/spreadsheets/d/1rbCD10ySi4YZEkJW2_Slmn9z7AI1WEsGsZaIJmnnT18/edit?gid=314292055#gid=314292055</v>
      </c>
      <c r="I1046" s="19" t="str">
        <f>IFERROR(__xludf.DUMMYFUNCTION("""COMPUTED_VALUE"""),"https://disk.yandex.ru/client/disk/Осмотры%20объектов%20АНО%20СМГ/915.%202-ой%20Котляковский%20переулок%2C%20з.у.%205.1%2C%206А")</f>
        <v>https://disk.yandex.ru/client/disk/Осмотры%20объектов%20АНО%20СМГ/915.%202-ой%20Котляковский%20переулок%2C%20з.у.%205.1%2C%206А</v>
      </c>
      <c r="J1046" s="50">
        <f>IFERROR(__xludf.DUMMYFUNCTION("""COMPUTED_VALUE"""),0.0)</f>
        <v>0</v>
      </c>
      <c r="K1046" s="58">
        <f>IFERROR(__xludf.DUMMYFUNCTION("""COMPUTED_VALUE"""),45953.0)</f>
        <v>45953</v>
      </c>
      <c r="L1046" s="6">
        <v>30.0</v>
      </c>
      <c r="M1046" s="52">
        <v>45983.0</v>
      </c>
      <c r="N1046" s="53" t="s">
        <v>741</v>
      </c>
      <c r="O1046" s="19" t="s">
        <v>669</v>
      </c>
      <c r="P1046" s="6"/>
      <c r="Q1046" s="6" t="str">
        <f t="shared" si="1"/>
        <v>#N/A</v>
      </c>
      <c r="R1046" s="6"/>
    </row>
    <row r="1047" hidden="1">
      <c r="A1047" s="31" t="str">
        <f>IFERROR(__xludf.DUMMYFUNCTION("""COMPUTED_VALUE"""),"904")</f>
        <v>904</v>
      </c>
      <c r="B1047" s="14" t="str">
        <f>IFERROR(__xludf.DUMMYFUNCTION("""COMPUTED_VALUE"""),"РЕН-26")</f>
        <v>РЕН-26</v>
      </c>
      <c r="C1047" s="14" t="str">
        <f>IFERROR(__xludf.DUMMYFUNCTION("""COMPUTED_VALUE"""),"ОКС")</f>
        <v>ОКС</v>
      </c>
      <c r="D1047" s="6"/>
      <c r="E1047" s="14" t="str">
        <f>IFERROR(__xludf.DUMMYFUNCTION("""COMPUTED_VALUE"""),"Жилой дом с инженерными сетями и благоустройством территории (со сносом жилых зданий по адресам: ул. Криворожская, д.1, ул. Криворожская, д.3, ул. Криворожская, д.5) по адресу: г. Москва, район Нагорный, кварталы 66, 87-88, зона 5.1 Нагорный, кв-лы 66, 87"&amp;"-88, зона 5.1")</f>
        <v>Жилой дом с инженерными сетями и благоустройством территории (со сносом жилых зданий по адресам: ул. Криворожская, д.1, ул. Криворожская, д.3, ул. Криворожская, д.5) по адресу: г. Москва, район Нагорный, кварталы 66, 87-88, зона 5.1 Нагорный, кв-лы 66, 87-88, зона 5.1</v>
      </c>
      <c r="F1047" s="25" t="str">
        <f>IFERROR(__xludf.DUMMYFUNCTION("""COMPUTED_VALUE"""),"55.668000")</f>
        <v>55.668000</v>
      </c>
      <c r="G1047" s="6" t="str">
        <f>IFERROR(__xludf.DUMMYFUNCTION("""COMPUTED_VALUE"""),"37.620447")</f>
        <v>37.620447</v>
      </c>
      <c r="H1047" s="18" t="str">
        <f>IFERROR(__xludf.DUMMYFUNCTION("""COMPUTED_VALUE"""),"https://docs.google.com/spreadsheets/d/1rbCD10ySi4YZEkJW2_Slmn9z7AI1WEsGsZaIJmnnT18/edit?gid=1044392559#gid=1044392559")</f>
        <v>https://docs.google.com/spreadsheets/d/1rbCD10ySi4YZEkJW2_Slmn9z7AI1WEsGsZaIJmnnT18/edit?gid=1044392559#gid=1044392559</v>
      </c>
      <c r="I1047" s="19" t="str">
        <f>IFERROR(__xludf.DUMMYFUNCTION("""COMPUTED_VALUE"""),"https://disk.yandex.ru/client/disk/Осмотры%20объектов%20АНО%20СМГ/904.%20Нагорный%20р-н%2C%20кв-лы%2066%2C%2087-88%2C%20зона%205.1")</f>
        <v>https://disk.yandex.ru/client/disk/Осмотры%20объектов%20АНО%20СМГ/904.%20Нагорный%20р-н%2C%20кв-лы%2066%2C%2087-88%2C%20зона%205.1</v>
      </c>
      <c r="J1047" s="50">
        <f>IFERROR(__xludf.DUMMYFUNCTION("""COMPUTED_VALUE"""),0.24)</f>
        <v>0.24</v>
      </c>
      <c r="K1047" s="58">
        <f>IFERROR(__xludf.DUMMYFUNCTION("""COMPUTED_VALUE"""),45961.0)</f>
        <v>45961</v>
      </c>
      <c r="L1047" s="6">
        <v>30.0</v>
      </c>
      <c r="M1047" s="52">
        <v>45991.0</v>
      </c>
      <c r="N1047" s="53" t="s">
        <v>692</v>
      </c>
      <c r="O1047" s="19" t="s">
        <v>669</v>
      </c>
      <c r="P1047" s="6"/>
      <c r="Q1047" s="6" t="str">
        <f t="shared" si="1"/>
        <v>#N/A</v>
      </c>
      <c r="R1047" s="6"/>
    </row>
    <row r="1048" hidden="1">
      <c r="A1048" s="31" t="str">
        <f>IFERROR(__xludf.DUMMYFUNCTION("""COMPUTED_VALUE"""),"893")</f>
        <v>893</v>
      </c>
      <c r="B1048" s="14" t="str">
        <f>IFERROR(__xludf.DUMMYFUNCTION("""COMPUTED_VALUE"""),"РЕН-26")</f>
        <v>РЕН-26</v>
      </c>
      <c r="C1048" s="14" t="str">
        <f>IFERROR(__xludf.DUMMYFUNCTION("""COMPUTED_VALUE"""),"ОКС")</f>
        <v>ОКС</v>
      </c>
      <c r="D1048" s="6"/>
      <c r="E1048" s="14" t="str">
        <f>IFERROR(__xludf.DUMMYFUNCTION("""COMPUTED_VALUE"""),"Жилой дом с инженерными сетями и благоустройством территории (со сносом жилых зданий по адресам: ул. 1 Мая, д.4; ул. Заводская, д.2; ул. Заводская, д.4; ул. Заводская, д.6; ул. Заводская, д. 4А), ЗелАО, район Крюково, микрорайон 19, зона № 4.3 ул Заводска"&amp;"я зу 2")</f>
        <v>Жилой дом с инженерными сетями и благоустройством территории (со сносом жилых зданий по адресам: ул. 1 Мая, д.4; ул. Заводская, д.2; ул. Заводская, д.4; ул. Заводская, д.6; ул. Заводская, д. 4А), ЗелАО, район Крюково, микрорайон 19, зона № 4.3 ул Заводская зу 2</v>
      </c>
      <c r="F1048" s="25" t="str">
        <f>IFERROR(__xludf.DUMMYFUNCTION("""COMPUTED_VALUE"""),"55.977808")</f>
        <v>55.977808</v>
      </c>
      <c r="G1048" s="6" t="str">
        <f>IFERROR(__xludf.DUMMYFUNCTION("""COMPUTED_VALUE"""),"37.174910")</f>
        <v>37.174910</v>
      </c>
      <c r="H1048" s="18" t="str">
        <f>IFERROR(__xludf.DUMMYFUNCTION("""COMPUTED_VALUE"""),"https://docs.google.com/spreadsheets/d/1rbCD10ySi4YZEkJW2_Slmn9z7AI1WEsGsZaIJmnnT18/edit?gid=1110910026#gid=1110910026")</f>
        <v>https://docs.google.com/spreadsheets/d/1rbCD10ySi4YZEkJW2_Slmn9z7AI1WEsGsZaIJmnnT18/edit?gid=1110910026#gid=1110910026</v>
      </c>
      <c r="I1048" s="19" t="str">
        <f>IFERROR(__xludf.DUMMYFUNCTION("""COMPUTED_VALUE"""),"https://disk.yandex.ru/client/disk/Осмотры%20объектов%20АНО%20СМГ/893.%20Заводская%20Зу%202")</f>
        <v>https://disk.yandex.ru/client/disk/Осмотры%20объектов%20АНО%20СМГ/893.%20Заводская%20Зу%202</v>
      </c>
      <c r="J1048" s="50">
        <f>IFERROR(__xludf.DUMMYFUNCTION("""COMPUTED_VALUE"""),0.0)</f>
        <v>0</v>
      </c>
      <c r="K1048" s="58">
        <f>IFERROR(__xludf.DUMMYFUNCTION("""COMPUTED_VALUE"""),45961.0)</f>
        <v>45961</v>
      </c>
      <c r="L1048" s="6">
        <v>30.0</v>
      </c>
      <c r="M1048" s="52">
        <v>45991.0</v>
      </c>
      <c r="N1048" s="53" t="s">
        <v>692</v>
      </c>
      <c r="O1048" s="19" t="s">
        <v>669</v>
      </c>
      <c r="P1048" s="6"/>
      <c r="Q1048" s="6" t="str">
        <f t="shared" si="1"/>
        <v>#N/A</v>
      </c>
      <c r="R1048" s="6"/>
    </row>
    <row r="1049" hidden="1">
      <c r="A1049" s="31" t="str">
        <f>IFERROR(__xludf.DUMMYFUNCTION("""COMPUTED_VALUE"""),"646")</f>
        <v>646</v>
      </c>
      <c r="B1049" s="14" t="str">
        <f>IFERROR(__xludf.DUMMYFUNCTION("""COMPUTED_VALUE"""),"РЕН-26")</f>
        <v>РЕН-26</v>
      </c>
      <c r="C1049" s="14" t="str">
        <f>IFERROR(__xludf.DUMMYFUNCTION("""COMPUTED_VALUE"""),"ОКС")</f>
        <v>ОКС</v>
      </c>
      <c r="D1049" s="6"/>
      <c r="E1049" s="14" t="str">
        <f>IFERROR(__xludf.DUMMYFUNCTION("""COMPUTED_VALUE"""),"Жилой дом с инженерными сетями и благоустройством территории (со сносом зданий по адресу: г. Москва, район Южное Бутово, ул. Ливенская, д. 1; ул. Ливенская, д. 2; ул. Ливенская, д. 3), ЮЗАО, район Южное Бутово, улица Ливенская, земельный участок 1 (Ливенс"&amp;"кая ул., вл. 1) ЮЗАО, район Южное Бутово, Ливенская ул., зу 1")</f>
        <v>Жилой дом с инженерными сетями и благоустройством территории (со сносом зданий по адресу: г. Москва, район Южное Бутово, ул. Ливенская, д. 1; ул. Ливенская, д. 2; ул. Ливенская, д. 3), ЮЗАО, район Южное Бутово, улица Ливенская, земельный участок 1 (Ливенская ул., вл. 1) ЮЗАО, район Южное Бутово, Ливенская ул., зу 1</v>
      </c>
      <c r="F1049" s="25" t="str">
        <f>IFERROR(__xludf.DUMMYFUNCTION("""COMPUTED_VALUE"""),"55.546041")</f>
        <v>55.546041</v>
      </c>
      <c r="G1049" s="6" t="str">
        <f>IFERROR(__xludf.DUMMYFUNCTION("""COMPUTED_VALUE"""),"37.561918")</f>
        <v>37.561918</v>
      </c>
      <c r="H1049" s="6" t="str">
        <f>IFERROR(__xludf.DUMMYFUNCTION("""COMPUTED_VALUE"""),"#ERROR!")</f>
        <v>#ERROR!</v>
      </c>
      <c r="I1049" s="19" t="str">
        <f>IFERROR(__xludf.DUMMYFUNCTION("""COMPUTED_VALUE"""),"https://disk.yandex.ru/client/disk/Осмотры%20объектов%20АНО%20СМГ/646.%20Южное%20Бутово%2C%20Ливенская%20ул.%20зу.%201")</f>
        <v>https://disk.yandex.ru/client/disk/Осмотры%20объектов%20АНО%20СМГ/646.%20Южное%20Бутово%2C%20Ливенская%20ул.%20зу.%201</v>
      </c>
      <c r="J1049" s="50">
        <f>IFERROR(__xludf.DUMMYFUNCTION("""COMPUTED_VALUE"""),0.0)</f>
        <v>0</v>
      </c>
      <c r="K1049" s="58">
        <f>IFERROR(__xludf.DUMMYFUNCTION("""COMPUTED_VALUE"""),45968.0)</f>
        <v>45968</v>
      </c>
      <c r="L1049" s="6">
        <v>30.0</v>
      </c>
      <c r="M1049" s="52">
        <v>45998.0</v>
      </c>
      <c r="N1049" s="53" t="s">
        <v>711</v>
      </c>
      <c r="O1049" s="19" t="s">
        <v>669</v>
      </c>
      <c r="P1049" s="6"/>
      <c r="Q1049" s="6" t="str">
        <f t="shared" si="1"/>
        <v>#N/A</v>
      </c>
      <c r="R1049" s="6"/>
    </row>
    <row r="1050" hidden="1">
      <c r="A1050" s="31" t="str">
        <f>IFERROR(__xludf.DUMMYFUNCTION("""COMPUTED_VALUE"""),"891")</f>
        <v>891</v>
      </c>
      <c r="B1050" s="14" t="str">
        <f>IFERROR(__xludf.DUMMYFUNCTION("""COMPUTED_VALUE"""),"РЕН-26")</f>
        <v>РЕН-26</v>
      </c>
      <c r="C1050" s="14" t="str">
        <f>IFERROR(__xludf.DUMMYFUNCTION("""COMPUTED_VALUE"""),"ОКС")</f>
        <v>ОКС</v>
      </c>
      <c r="D1050" s="6"/>
      <c r="E1050" s="14" t="str">
        <f>IFERROR(__xludf.DUMMYFUNCTION("""COMPUTED_VALUE"""),"ул. Дербеневская, з/у 22/1 (ул. Дербеневская, вл. 22) Дербеневская ул., зу 22_1")</f>
        <v>ул. Дербеневская, з/у 22/1 (ул. Дербеневская, вл. 22) Дербеневская ул., зу 22_1</v>
      </c>
      <c r="F1050" s="25" t="str">
        <f>IFERROR(__xludf.DUMMYFUNCTION("""COMPUTED_VALUE"""),"55.719191")</f>
        <v>55.719191</v>
      </c>
      <c r="G1050" s="6" t="str">
        <f>IFERROR(__xludf.DUMMYFUNCTION("""COMPUTED_VALUE"""),"37.646627")</f>
        <v>37.646627</v>
      </c>
      <c r="H1050" s="18" t="str">
        <f>IFERROR(__xludf.DUMMYFUNCTION("""COMPUTED_VALUE"""),"https://docs.google.com/spreadsheets/d/1rbCD10ySi4YZEkJW2_Slmn9z7AI1WEsGsZaIJmnnT18/edit?gid=1609219828#gid=1609219828")</f>
        <v>https://docs.google.com/spreadsheets/d/1rbCD10ySi4YZEkJW2_Slmn9z7AI1WEsGsZaIJmnnT18/edit?gid=1609219828#gid=1609219828</v>
      </c>
      <c r="I1050" s="19" t="str">
        <f>IFERROR(__xludf.DUMMYFUNCTION("""COMPUTED_VALUE"""),"https://disk.yandex.ru/client/disk/Осмотры%20объектов%20АНО%20СМГ/891.%20Дербеневская%20д.22")</f>
        <v>https://disk.yandex.ru/client/disk/Осмотры%20объектов%20АНО%20СМГ/891.%20Дербеневская%20д.22</v>
      </c>
      <c r="J1050" s="50">
        <f>IFERROR(__xludf.DUMMYFUNCTION("""COMPUTED_VALUE"""),0.0)</f>
        <v>0</v>
      </c>
      <c r="K1050" s="58">
        <f>IFERROR(__xludf.DUMMYFUNCTION("""COMPUTED_VALUE"""),45953.0)</f>
        <v>45953</v>
      </c>
      <c r="L1050" s="6">
        <v>30.0</v>
      </c>
      <c r="M1050" s="52">
        <v>45983.0</v>
      </c>
      <c r="N1050" s="53" t="s">
        <v>741</v>
      </c>
      <c r="O1050" s="19" t="s">
        <v>1219</v>
      </c>
      <c r="P1050" s="6"/>
      <c r="Q1050" s="6" t="str">
        <f t="shared" si="1"/>
        <v>#N/A</v>
      </c>
      <c r="R1050" s="6"/>
    </row>
    <row r="1051" hidden="1">
      <c r="A1051" s="31" t="str">
        <f>IFERROR(__xludf.DUMMYFUNCTION("""COMPUTED_VALUE"""),"994")</f>
        <v>994</v>
      </c>
      <c r="B1051" s="14" t="str">
        <f>IFERROR(__xludf.DUMMYFUNCTION("""COMPUTED_VALUE"""),"РЕН-26")</f>
        <v>РЕН-26</v>
      </c>
      <c r="C1051" s="14" t="str">
        <f>IFERROR(__xludf.DUMMYFUNCTION("""COMPUTED_VALUE"""),"ОКС")</f>
        <v>ОКС</v>
      </c>
      <c r="D1051" s="6"/>
      <c r="E1051" s="14" t="str">
        <f>IFERROR(__xludf.DUMMYFUNCTION("""COMPUTED_VALUE"""),"ул. Лётчика Бабушкина, з/у 33Б (участок 4.4) ул. Лётчика Бабушкина, з/у 33Б (участок 4.4)")</f>
        <v>ул. Лётчика Бабушкина, з/у 33Б (участок 4.4) ул. Лётчика Бабушкина, з/у 33Б (участок 4.4)</v>
      </c>
      <c r="F1051" s="25" t="str">
        <f>IFERROR(__xludf.DUMMYFUNCTION("""COMPUTED_VALUE"""),"55.872114")</f>
        <v>55.872114</v>
      </c>
      <c r="G1051" s="6" t="str">
        <f>IFERROR(__xludf.DUMMYFUNCTION("""COMPUTED_VALUE"""),"37.673621")</f>
        <v>37.673621</v>
      </c>
      <c r="H1051" s="18" t="str">
        <f>IFERROR(__xludf.DUMMYFUNCTION("""COMPUTED_VALUE"""),"https://docs.google.com/spreadsheets/d/1rbCD10ySi4YZEkJW2_Slmn9z7AI1WEsGsZaIJmnnT18/edit?gid=991695454#gid=991695454")</f>
        <v>https://docs.google.com/spreadsheets/d/1rbCD10ySi4YZEkJW2_Slmn9z7AI1WEsGsZaIJmnnT18/edit?gid=991695454#gid=991695454</v>
      </c>
      <c r="I1051" s="19" t="str">
        <f>IFERROR(__xludf.DUMMYFUNCTION("""COMPUTED_VALUE"""),"https://disk.yandex.ru/client/disk/Осмотры%20объектов%20АНО%20СМГ/994.%20Летчика%20Бабушкина%2C%20зу%2033.Б")</f>
        <v>https://disk.yandex.ru/client/disk/Осмотры%20объектов%20АНО%20СМГ/994.%20Летчика%20Бабушкина%2C%20зу%2033.Б</v>
      </c>
      <c r="J1051" s="50">
        <f>IFERROR(__xludf.DUMMYFUNCTION("""COMPUTED_VALUE"""),0.0)</f>
        <v>0</v>
      </c>
      <c r="K1051" s="58">
        <f>IFERROR(__xludf.DUMMYFUNCTION("""COMPUTED_VALUE"""),45961.0)</f>
        <v>45961</v>
      </c>
      <c r="L1051" s="6">
        <v>30.0</v>
      </c>
      <c r="M1051" s="52">
        <v>45991.0</v>
      </c>
      <c r="N1051" s="53" t="s">
        <v>692</v>
      </c>
      <c r="O1051" s="19" t="s">
        <v>1220</v>
      </c>
      <c r="P1051" s="6"/>
      <c r="Q1051" s="6" t="str">
        <f t="shared" si="1"/>
        <v>#N/A</v>
      </c>
      <c r="R1051" s="6"/>
    </row>
    <row r="1052" hidden="1">
      <c r="A1052" s="31" t="str">
        <f>IFERROR(__xludf.DUMMYFUNCTION("""COMPUTED_VALUE"""),"1350")</f>
        <v>1350</v>
      </c>
      <c r="B1052" s="14" t="str">
        <f>IFERROR(__xludf.DUMMYFUNCTION("""COMPUTED_VALUE"""),"РЕН-26")</f>
        <v>РЕН-26</v>
      </c>
      <c r="C1052" s="14" t="str">
        <f>IFERROR(__xludf.DUMMYFUNCTION("""COMPUTED_VALUE"""),"ОКС")</f>
        <v>ОКС</v>
      </c>
      <c r="D1052" s="6"/>
      <c r="E1052" s="14" t="str">
        <f>IFERROR(__xludf.DUMMYFUNCTION("""COMPUTED_VALUE"""),"ул. Новопоселковая, з/у 5А  ул. Новопоселковая, з/у 5А ")</f>
        <v>ул. Новопоселковая, з/у 5А  ул. Новопоселковая, з/у 5А </v>
      </c>
      <c r="F1052" s="25" t="str">
        <f>IFERROR(__xludf.DUMMYFUNCTION("""COMPUTED_VALUE"""),"55.838997")</f>
        <v>55.838997</v>
      </c>
      <c r="G1052" s="6" t="str">
        <f>IFERROR(__xludf.DUMMYFUNCTION("""COMPUTED_VALUE"""),"37.441140")</f>
        <v>37.441140</v>
      </c>
      <c r="H1052" s="18" t="str">
        <f>IFERROR(__xludf.DUMMYFUNCTION("""COMPUTED_VALUE"""),"https://docs.google.com/spreadsheets/d/1rbCD10ySi4YZEkJW2_Slmn9z7AI1WEsGsZaIJmnnT18/edit?gid=410405920#gid=410405920")</f>
        <v>https://docs.google.com/spreadsheets/d/1rbCD10ySi4YZEkJW2_Slmn9z7AI1WEsGsZaIJmnnT18/edit?gid=410405920#gid=410405920</v>
      </c>
      <c r="I1052" s="19"/>
      <c r="J1052" s="50">
        <f>IFERROR(__xludf.DUMMYFUNCTION("""COMPUTED_VALUE"""),0.15)</f>
        <v>0.15</v>
      </c>
      <c r="K1052" s="58">
        <f>IFERROR(__xludf.DUMMYFUNCTION("""COMPUTED_VALUE"""),45960.0)</f>
        <v>45960</v>
      </c>
      <c r="L1052" s="6">
        <v>30.0</v>
      </c>
      <c r="M1052" s="52">
        <v>45990.0</v>
      </c>
      <c r="N1052" s="53" t="s">
        <v>692</v>
      </c>
      <c r="O1052" s="19" t="s">
        <v>1221</v>
      </c>
      <c r="P1052" s="6"/>
      <c r="Q1052" s="6" t="str">
        <f t="shared" si="1"/>
        <v>#N/A</v>
      </c>
      <c r="R1052" s="6"/>
    </row>
    <row r="1053" hidden="1">
      <c r="A1053" s="31" t="str">
        <f>IFERROR(__xludf.DUMMYFUNCTION("""COMPUTED_VALUE"""),"1349")</f>
        <v>1349</v>
      </c>
      <c r="B1053" s="14" t="str">
        <f>IFERROR(__xludf.DUMMYFUNCTION("""COMPUTED_VALUE"""),"РЕН-26")</f>
        <v>РЕН-26</v>
      </c>
      <c r="C1053" s="14" t="str">
        <f>IFERROR(__xludf.DUMMYFUNCTION("""COMPUTED_VALUE"""),"ОКС")</f>
        <v>ОКС</v>
      </c>
      <c r="D1053" s="6"/>
      <c r="E1053" s="14" t="str">
        <f>IFERROR(__xludf.DUMMYFUNCTION("""COMPUTED_VALUE"""),"ул. Михалковская, вл. 52, стр. 22, 23 ул. Михалковская, вл. 52, стр. 22, 23")</f>
        <v>ул. Михалковская, вл. 52, стр. 22, 23 ул. Михалковская, вл. 52, стр. 22, 23</v>
      </c>
      <c r="F1053" s="25" t="str">
        <f>IFERROR(__xludf.DUMMYFUNCTION("""COMPUTED_VALUE"""),"#N/A")</f>
        <v>#N/A</v>
      </c>
      <c r="G1053" s="6" t="str">
        <f>IFERROR(__xludf.DUMMYFUNCTION("""COMPUTED_VALUE"""),"#N/A")</f>
        <v>#N/A</v>
      </c>
      <c r="H1053" s="18" t="str">
        <f>IFERROR(__xludf.DUMMYFUNCTION("""COMPUTED_VALUE"""),"https://docs.google.com/spreadsheets/d/1rbCD10ySi4YZEkJW2_Slmn9z7AI1WEsGsZaIJmnnT18/edit?gid=1209159022#gid=1209159022")</f>
        <v>https://docs.google.com/spreadsheets/d/1rbCD10ySi4YZEkJW2_Slmn9z7AI1WEsGsZaIJmnnT18/edit?gid=1209159022#gid=1209159022</v>
      </c>
      <c r="I1053" s="19"/>
      <c r="J1053" s="50">
        <f>IFERROR(__xludf.DUMMYFUNCTION("""COMPUTED_VALUE"""),0.0)</f>
        <v>0</v>
      </c>
      <c r="K1053" s="58">
        <f>IFERROR(__xludf.DUMMYFUNCTION("""COMPUTED_VALUE"""),45959.0)</f>
        <v>45959</v>
      </c>
      <c r="L1053" s="6">
        <v>30.0</v>
      </c>
      <c r="M1053" s="52">
        <v>45989.0</v>
      </c>
      <c r="N1053" s="53" t="s">
        <v>692</v>
      </c>
      <c r="O1053" s="19" t="s">
        <v>1222</v>
      </c>
      <c r="P1053" s="6"/>
      <c r="Q1053" s="6" t="str">
        <f t="shared" si="1"/>
        <v>#N/A</v>
      </c>
      <c r="R1053" s="6"/>
    </row>
    <row r="1054" hidden="1">
      <c r="A1054" s="31" t="str">
        <f>IFERROR(__xludf.DUMMYFUNCTION("""COMPUTED_VALUE"""),"877")</f>
        <v>877</v>
      </c>
      <c r="B1054" s="14" t="str">
        <f>IFERROR(__xludf.DUMMYFUNCTION("""COMPUTED_VALUE"""),"РЕН-26")</f>
        <v>РЕН-26</v>
      </c>
      <c r="C1054" s="14" t="str">
        <f>IFERROR(__xludf.DUMMYFUNCTION("""COMPUTED_VALUE"""),"ОКС")</f>
        <v>ОКС</v>
      </c>
      <c r="D1054" s="6"/>
      <c r="E1054" s="14" t="str">
        <f>IFERROR(__xludf.DUMMYFUNCTION("""COMPUTED_VALUE"""),"2-я Прядильная улица, земельный участок 8 (2-я Прядильная ул., вл. 8) ВАО        2-я Прядильная улица, земельный участок 8 (2-я Прядильная ул., вл. 8)")</f>
        <v>2-я Прядильная улица, земельный участок 8 (2-я Прядильная ул., вл. 8) ВАО        2-я Прядильная улица, земельный участок 8 (2-я Прядильная ул., вл. 8)</v>
      </c>
      <c r="F1054" s="25" t="str">
        <f>IFERROR(__xludf.DUMMYFUNCTION("""COMPUTED_VALUE"""),"55.795590")</f>
        <v>55.795590</v>
      </c>
      <c r="G1054" s="6" t="str">
        <f>IFERROR(__xludf.DUMMYFUNCTION("""COMPUTED_VALUE"""),"37.779467")</f>
        <v>37.779467</v>
      </c>
      <c r="H1054" s="18" t="str">
        <f>IFERROR(__xludf.DUMMYFUNCTION("""COMPUTED_VALUE"""),"https://docs.google.com/spreadsheets/d/1rbCD10ySi4YZEkJW2_Slmn9z7AI1WEsGsZaIJmnnT18/edit?gid=982286629#gid=982286629")</f>
        <v>https://docs.google.com/spreadsheets/d/1rbCD10ySi4YZEkJW2_Slmn9z7AI1WEsGsZaIJmnnT18/edit?gid=982286629#gid=982286629</v>
      </c>
      <c r="I1054" s="19" t="str">
        <f>IFERROR(__xludf.DUMMYFUNCTION("""COMPUTED_VALUE"""),"https://disk.yandex.ru/client/disk/Осмотры%20объектов%20АНО%20СМГ/877%202-я%20Прядильная%20ул.%2C%20зу%208")</f>
        <v>https://disk.yandex.ru/client/disk/Осмотры%20объектов%20АНО%20СМГ/877%202-я%20Прядильная%20ул.%2C%20зу%208</v>
      </c>
      <c r="J1054" s="50">
        <f>IFERROR(__xludf.DUMMYFUNCTION("""COMPUTED_VALUE"""),0.0)</f>
        <v>0</v>
      </c>
      <c r="K1054" s="58">
        <f>IFERROR(__xludf.DUMMYFUNCTION("""COMPUTED_VALUE"""),45953.0)</f>
        <v>45953</v>
      </c>
      <c r="L1054" s="6">
        <v>30.0</v>
      </c>
      <c r="M1054" s="52">
        <v>45983.0</v>
      </c>
      <c r="N1054" s="53" t="s">
        <v>741</v>
      </c>
      <c r="O1054" s="19" t="s">
        <v>914</v>
      </c>
      <c r="P1054" s="6"/>
      <c r="Q1054" s="6" t="str">
        <f t="shared" si="1"/>
        <v>#N/A</v>
      </c>
      <c r="R1054" s="6"/>
    </row>
    <row r="1055" hidden="1">
      <c r="A1055" s="31" t="str">
        <f>IFERROR(__xludf.DUMMYFUNCTION("""COMPUTED_VALUE"""),"821")</f>
        <v>821</v>
      </c>
      <c r="B1055" s="14" t="str">
        <f>IFERROR(__xludf.DUMMYFUNCTION("""COMPUTED_VALUE"""),"РЕН-26")</f>
        <v>РЕН-26</v>
      </c>
      <c r="C1055" s="14" t="str">
        <f>IFERROR(__xludf.DUMMYFUNCTION("""COMPUTED_VALUE"""),"ОКС")</f>
        <v>ОКС</v>
      </c>
      <c r="D1055" s="6"/>
      <c r="E1055" s="14" t="str">
        <f>IFERROR(__xludf.DUMMYFUNCTION("""COMPUTED_VALUE"""),"Жилой дом с инженерными сетями и благоустройством территории, ТиНАО, Вороновское, п. ЛМС, мкр. «Центральный», влд. 36 (поселение Вороновское, п. ЛМС, мкр. Центральный) Вороновское, п. ЛМС, мкр. «Центральный», влд. 36 (поселение Вороновское, п. ЛМС, мкр. Ц"&amp;"ентральный)")</f>
        <v>Жилой дом с инженерными сетями и благоустройством территории, ТиНАО, Вороновское, п. ЛМС, мкр. «Центральный», влд. 36 (поселение Вороновское, п. ЛМС, мкр. Центральный) Вороновское, п. ЛМС, мкр. «Центральный», влд. 36 (поселение Вороновское, п. ЛМС, мкр. Центральный)</v>
      </c>
      <c r="F1055" s="25" t="str">
        <f>IFERROR(__xludf.DUMMYFUNCTION("""COMPUTED_VALUE"""),"55.314743")</f>
        <v>55.314743</v>
      </c>
      <c r="G1055" s="6" t="str">
        <f>IFERROR(__xludf.DUMMYFUNCTION("""COMPUTED_VALUE"""),"37.184499")</f>
        <v>37.184499</v>
      </c>
      <c r="H1055" s="18" t="str">
        <f>IFERROR(__xludf.DUMMYFUNCTION("""COMPUTED_VALUE"""),"https://docs.google.com/spreadsheets/d/1rbCD10ySi4YZEkJW2_Slmn9z7AI1WEsGsZaIJmnnT18/edit?gid=867879144#gid=867879144")</f>
        <v>https://docs.google.com/spreadsheets/d/1rbCD10ySi4YZEkJW2_Slmn9z7AI1WEsGsZaIJmnnT18/edit?gid=867879144#gid=867879144</v>
      </c>
      <c r="I1055" s="19" t="str">
        <f>IFERROR(__xludf.DUMMYFUNCTION("""COMPUTED_VALUE"""),"https://disk.yandex.ru/client/disk/Осмотры%20объектов%20АНО%20СМГ/821.%20п.%20ЛМС%20мкр.%20центальный%2036")</f>
        <v>https://disk.yandex.ru/client/disk/Осмотры%20объектов%20АНО%20СМГ/821.%20п.%20ЛМС%20мкр.%20центальный%2036</v>
      </c>
      <c r="J1055" s="50">
        <f>IFERROR(__xludf.DUMMYFUNCTION("""COMPUTED_VALUE"""),0.0)</f>
        <v>0</v>
      </c>
      <c r="K1055" s="58">
        <f>IFERROR(__xludf.DUMMYFUNCTION("""COMPUTED_VALUE"""),45947.0)</f>
        <v>45947</v>
      </c>
      <c r="L1055" s="6">
        <v>30.0</v>
      </c>
      <c r="M1055" s="52">
        <v>45977.0</v>
      </c>
      <c r="N1055" s="53" t="s">
        <v>701</v>
      </c>
      <c r="O1055" s="19" t="s">
        <v>1223</v>
      </c>
      <c r="P1055" s="6"/>
      <c r="Q1055" s="6" t="str">
        <f t="shared" si="1"/>
        <v>#N/A</v>
      </c>
      <c r="R1055" s="6"/>
    </row>
    <row r="1056" hidden="1">
      <c r="A1056" s="31" t="str">
        <f>IFERROR(__xludf.DUMMYFUNCTION("""COMPUTED_VALUE"""),"833")</f>
        <v>833</v>
      </c>
      <c r="B1056" s="14" t="str">
        <f>IFERROR(__xludf.DUMMYFUNCTION("""COMPUTED_VALUE"""),"РЕН-26")</f>
        <v>РЕН-26</v>
      </c>
      <c r="C1056" s="14" t="str">
        <f>IFERROR(__xludf.DUMMYFUNCTION("""COMPUTED_VALUE"""),"ОКС")</f>
        <v>ОКС</v>
      </c>
      <c r="D1056" s="6"/>
      <c r="E1056" s="14" t="str">
        <f>IFERROR(__xludf.DUMMYFUNCTION("""COMPUTED_VALUE"""),"Жилой дом с инженерными сетями и благоустройством территории (со сносом жилого здания по адресу: ул. Краснодонская, д. 49/17) по адресу: вн. тер. г. Люблино, улица Совхозная, земельный участок 17/49 (зона № 1.1) ул. Краснодонская, 49/17")</f>
        <v>Жилой дом с инженерными сетями и благоустройством территории (со сносом жилого здания по адресу: ул. Краснодонская, д. 49/17) по адресу: вн. тер. г. Люблино, улица Совхозная, земельный участок 17/49 (зона № 1.1) ул. Краснодонская, 49/17</v>
      </c>
      <c r="F1056" s="25" t="str">
        <f>IFERROR(__xludf.DUMMYFUNCTION("""COMPUTED_VALUE"""),"55.671730")</f>
        <v>55.671730</v>
      </c>
      <c r="G1056" s="6" t="str">
        <f>IFERROR(__xludf.DUMMYFUNCTION("""COMPUTED_VALUE"""),"37.749247")</f>
        <v>37.749247</v>
      </c>
      <c r="H1056" s="18" t="str">
        <f>IFERROR(__xludf.DUMMYFUNCTION("""COMPUTED_VALUE"""),"https://docs.google.com/spreadsheets/d/1rbCD10ySi4YZEkJW2_Slmn9z7AI1WEsGsZaIJmnnT18/edit?gid=409879207#gid=409879207")</f>
        <v>https://docs.google.com/spreadsheets/d/1rbCD10ySi4YZEkJW2_Slmn9z7AI1WEsGsZaIJmnnT18/edit?gid=409879207#gid=409879207</v>
      </c>
      <c r="I1056" s="19" t="str">
        <f>IFERROR(__xludf.DUMMYFUNCTION("""COMPUTED_VALUE"""),"https://disk.yandex.ru/client/disk/Осмотры%20объектов%20АНО%20СМГ/833.%20Жилой%20дом%20ул.%20Краснодонская%20д%2049.17")</f>
        <v>https://disk.yandex.ru/client/disk/Осмотры%20объектов%20АНО%20СМГ/833.%20Жилой%20дом%20ул.%20Краснодонская%20д%2049.17</v>
      </c>
      <c r="J1056" s="50">
        <f>IFERROR(__xludf.DUMMYFUNCTION("""COMPUTED_VALUE"""),0.0)</f>
        <v>0</v>
      </c>
      <c r="K1056" s="58">
        <f>IFERROR(__xludf.DUMMYFUNCTION("""COMPUTED_VALUE"""),45961.0)</f>
        <v>45961</v>
      </c>
      <c r="L1056" s="6">
        <v>30.0</v>
      </c>
      <c r="M1056" s="52">
        <v>45991.0</v>
      </c>
      <c r="N1056" s="53" t="s">
        <v>692</v>
      </c>
      <c r="O1056" s="19" t="s">
        <v>914</v>
      </c>
      <c r="P1056" s="6"/>
      <c r="Q1056" s="6" t="str">
        <f t="shared" si="1"/>
        <v>#N/A</v>
      </c>
      <c r="R1056" s="6"/>
    </row>
    <row r="1057" hidden="1">
      <c r="A1057" s="31" t="str">
        <f>IFERROR(__xludf.DUMMYFUNCTION("""COMPUTED_VALUE"""),"834")</f>
        <v>834</v>
      </c>
      <c r="B1057" s="14" t="str">
        <f>IFERROR(__xludf.DUMMYFUNCTION("""COMPUTED_VALUE"""),"РЕН-26")</f>
        <v>РЕН-26</v>
      </c>
      <c r="C1057" s="14" t="str">
        <f>IFERROR(__xludf.DUMMYFUNCTION("""COMPUTED_VALUE"""),"ОКС")</f>
        <v>ОКС</v>
      </c>
      <c r="D1057" s="6"/>
      <c r="E1057" s="14" t="str">
        <f>IFERROR(__xludf.DUMMYFUNCTION("""COMPUTED_VALUE"""),"Жилой дом с инженерными сетями и благоустройством территории (со сносом жилого здания по адресу: ул. Армавирская, 27/23) по адресу: вн. тер. г. Люблино, ул. Армавирская, земельный участок 27/23 (зона 1.2) ул. Армавирская, 27/23")</f>
        <v>Жилой дом с инженерными сетями и благоустройством территории (со сносом жилого здания по адресу: ул. Армавирская, 27/23) по адресу: вн. тер. г. Люблино, ул. Армавирская, земельный участок 27/23 (зона 1.2) ул. Армавирская, 27/23</v>
      </c>
      <c r="F1057" s="25" t="str">
        <f>IFERROR(__xludf.DUMMYFUNCTION("""COMPUTED_VALUE"""),"55.671793")</f>
        <v>55.671793</v>
      </c>
      <c r="G1057" s="6" t="str">
        <f>IFERROR(__xludf.DUMMYFUNCTION("""COMPUTED_VALUE"""),"37.752796")</f>
        <v>37.752796</v>
      </c>
      <c r="H1057" s="18" t="str">
        <f>IFERROR(__xludf.DUMMYFUNCTION("""COMPUTED_VALUE"""),"https://docs.google.com/spreadsheets/d/1rbCD10ySi4YZEkJW2_Slmn9z7AI1WEsGsZaIJmnnT18/edit?gid=1472341941#gid=1472341941")</f>
        <v>https://docs.google.com/spreadsheets/d/1rbCD10ySi4YZEkJW2_Slmn9z7AI1WEsGsZaIJmnnT18/edit?gid=1472341941#gid=1472341941</v>
      </c>
      <c r="I1057" s="19" t="str">
        <f>IFERROR(__xludf.DUMMYFUNCTION("""COMPUTED_VALUE"""),"https://disk.yandex.ru/client/disk/Осмотры%20объектов%20АНО%20СМГ/834.%20Жилой%20дом%20ул.Армавирская%2027.23")</f>
        <v>https://disk.yandex.ru/client/disk/Осмотры%20объектов%20АНО%20СМГ/834.%20Жилой%20дом%20ул.Армавирская%2027.23</v>
      </c>
      <c r="J1057" s="50">
        <f>IFERROR(__xludf.DUMMYFUNCTION("""COMPUTED_VALUE"""),0.0)</f>
        <v>0</v>
      </c>
      <c r="K1057" s="58">
        <f>IFERROR(__xludf.DUMMYFUNCTION("""COMPUTED_VALUE"""),45947.0)</f>
        <v>45947</v>
      </c>
      <c r="L1057" s="6">
        <v>30.0</v>
      </c>
      <c r="M1057" s="52">
        <v>45977.0</v>
      </c>
      <c r="N1057" s="53" t="s">
        <v>701</v>
      </c>
      <c r="O1057" s="19" t="s">
        <v>914</v>
      </c>
      <c r="P1057" s="6"/>
      <c r="Q1057" s="6" t="str">
        <f t="shared" si="1"/>
        <v>#N/A</v>
      </c>
      <c r="R1057" s="6"/>
    </row>
    <row r="1058" hidden="1">
      <c r="A1058" s="31" t="str">
        <f>IFERROR(__xludf.DUMMYFUNCTION("""COMPUTED_VALUE"""),"856")</f>
        <v>856</v>
      </c>
      <c r="B1058" s="14" t="str">
        <f>IFERROR(__xludf.DUMMYFUNCTION("""COMPUTED_VALUE"""),"РЕН-26")</f>
        <v>РЕН-26</v>
      </c>
      <c r="C1058" s="14" t="str">
        <f>IFERROR(__xludf.DUMMYFUNCTION("""COMPUTED_VALUE"""),"ОКС")</f>
        <v>ОКС</v>
      </c>
      <c r="D1058" s="6"/>
      <c r="E1058" s="14" t="str">
        <f>IFERROR(__xludf.DUMMYFUNCTION("""COMPUTED_VALUE"""),"Жилой дом с подземной автостоянкой, инженерными сетями и благоустройством территории по адресу: район Зюзино, квартал 35, Зона 4.1 ЮЗАО	квартал 35, Зона 4.1 (Зюзино)")</f>
        <v>Жилой дом с подземной автостоянкой, инженерными сетями и благоустройством территории по адресу: район Зюзино, квартал 35, Зона 4.1 ЮЗАО	квартал 35, Зона 4.1 (Зюзино)</v>
      </c>
      <c r="F1058" s="25" t="str">
        <f>IFERROR(__xludf.DUMMYFUNCTION("""COMPUTED_VALUE"""),"55.646673")</f>
        <v>55.646673</v>
      </c>
      <c r="G1058" s="6" t="str">
        <f>IFERROR(__xludf.DUMMYFUNCTION("""COMPUTED_VALUE"""),"37.592962")</f>
        <v>37.592962</v>
      </c>
      <c r="H1058" s="18" t="str">
        <f>IFERROR(__xludf.DUMMYFUNCTION("""COMPUTED_VALUE"""),"https://docs.google.com/spreadsheets/d/1rbCD10ySi4YZEkJW2_Slmn9z7AI1WEsGsZaIJmnnT18/edit?gid=131438467#gid=131438467")</f>
        <v>https://docs.google.com/spreadsheets/d/1rbCD10ySi4YZEkJW2_Slmn9z7AI1WEsGsZaIJmnnT18/edit?gid=131438467#gid=131438467</v>
      </c>
      <c r="I1058"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58" s="50">
        <f>IFERROR(__xludf.DUMMYFUNCTION("""COMPUTED_VALUE"""),0.0)</f>
        <v>0</v>
      </c>
      <c r="K1058" s="58">
        <f>IFERROR(__xludf.DUMMYFUNCTION("""COMPUTED_VALUE"""),45962.0)</f>
        <v>45962</v>
      </c>
      <c r="L1058" s="6">
        <v>30.0</v>
      </c>
      <c r="M1058" s="52">
        <v>45992.0</v>
      </c>
      <c r="N1058" s="53" t="s">
        <v>692</v>
      </c>
      <c r="O1058" s="19" t="s">
        <v>1224</v>
      </c>
      <c r="P1058" s="6"/>
      <c r="Q1058" s="6" t="str">
        <f t="shared" si="1"/>
        <v>#N/A</v>
      </c>
      <c r="R1058" s="6"/>
    </row>
    <row r="1059" hidden="1">
      <c r="A1059" s="31" t="str">
        <f>IFERROR(__xludf.DUMMYFUNCTION("""COMPUTED_VALUE"""),"856")</f>
        <v>856</v>
      </c>
      <c r="B1059" s="14" t="str">
        <f>IFERROR(__xludf.DUMMYFUNCTION("""COMPUTED_VALUE"""),"РЕН-26")</f>
        <v>РЕН-26</v>
      </c>
      <c r="C1059" s="14" t="str">
        <f>IFERROR(__xludf.DUMMYFUNCTION("""COMPUTED_VALUE"""),"ОКС")</f>
        <v>ОКС</v>
      </c>
      <c r="D1059" s="6"/>
      <c r="E1059"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4.2 ЮЗАО        квартал 35, Зона 4.2 (Зюзино)")</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4.2 ЮЗАО        квартал 35, Зона 4.2 (Зюзино)</v>
      </c>
      <c r="F1059" s="25" t="str">
        <f>IFERROR(__xludf.DUMMYFUNCTION("""COMPUTED_VALUE"""),"55.646673")</f>
        <v>55.646673</v>
      </c>
      <c r="G1059" s="6" t="str">
        <f>IFERROR(__xludf.DUMMYFUNCTION("""COMPUTED_VALUE"""),"37.592962")</f>
        <v>37.592962</v>
      </c>
      <c r="H1059" s="18" t="str">
        <f>IFERROR(__xludf.DUMMYFUNCTION("""COMPUTED_VALUE"""),"https://docs.google.com/spreadsheets/d/1rbCD10ySi4YZEkJW2_Slmn9z7AI1WEsGsZaIJmnnT18/edit?gid=131438467#gid=131438467")</f>
        <v>https://docs.google.com/spreadsheets/d/1rbCD10ySi4YZEkJW2_Slmn9z7AI1WEsGsZaIJmnnT18/edit?gid=131438467#gid=131438467</v>
      </c>
      <c r="I1059"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59" s="50">
        <f>IFERROR(__xludf.DUMMYFUNCTION("""COMPUTED_VALUE"""),0.0)</f>
        <v>0</v>
      </c>
      <c r="K1059" s="58">
        <f>IFERROR(__xludf.DUMMYFUNCTION("""COMPUTED_VALUE"""),45962.0)</f>
        <v>45962</v>
      </c>
      <c r="L1059" s="6">
        <v>30.0</v>
      </c>
      <c r="M1059" s="52">
        <v>45992.0</v>
      </c>
      <c r="N1059" s="53" t="s">
        <v>692</v>
      </c>
      <c r="O1059" s="19" t="s">
        <v>1225</v>
      </c>
      <c r="P1059" s="6"/>
      <c r="Q1059" s="6" t="str">
        <f t="shared" si="1"/>
        <v>#N/A</v>
      </c>
      <c r="R1059" s="6"/>
    </row>
    <row r="1060" hidden="1">
      <c r="A1060" s="31" t="str">
        <f>IFERROR(__xludf.DUMMYFUNCTION("""COMPUTED_VALUE"""),"856")</f>
        <v>856</v>
      </c>
      <c r="B1060" s="14" t="str">
        <f>IFERROR(__xludf.DUMMYFUNCTION("""COMPUTED_VALUE"""),"РЕН-26")</f>
        <v>РЕН-26</v>
      </c>
      <c r="C1060" s="14" t="str">
        <f>IFERROR(__xludf.DUMMYFUNCTION("""COMPUTED_VALUE"""),"ОКС")</f>
        <v>ОКС</v>
      </c>
      <c r="D1060" s="6"/>
      <c r="E106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4.3 ЮЗАО        квартал 35, Зона 4.3 (Зюзино)")</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район Зюзино, квартал 35, Зона 4.3 ЮЗАО        квартал 35, Зона 4.3 (Зюзино)</v>
      </c>
      <c r="F1060" s="25" t="str">
        <f>IFERROR(__xludf.DUMMYFUNCTION("""COMPUTED_VALUE"""),"55.646673")</f>
        <v>55.646673</v>
      </c>
      <c r="G1060" s="6" t="str">
        <f>IFERROR(__xludf.DUMMYFUNCTION("""COMPUTED_VALUE"""),"37.592962")</f>
        <v>37.592962</v>
      </c>
      <c r="H1060" s="18" t="str">
        <f>IFERROR(__xludf.DUMMYFUNCTION("""COMPUTED_VALUE"""),"https://docs.google.com/spreadsheets/d/1rbCD10ySi4YZEkJW2_Slmn9z7AI1WEsGsZaIJmnnT18/edit?gid=131438467#gid=131438467")</f>
        <v>https://docs.google.com/spreadsheets/d/1rbCD10ySi4YZEkJW2_Slmn9z7AI1WEsGsZaIJmnnT18/edit?gid=131438467#gid=131438467</v>
      </c>
      <c r="I1060" s="19" t="str">
        <f>IFERROR(__xludf.DUMMYFUNCTION("""COMPUTED_VALUE"""),"https://disk.yandex.ru/client/disk/Осмотры%20объектов%20АНО%20СМГ/856.%20Объезд.%20Зюзино%20кв%2035%20(%20зоны%204.1%2C4.2%2C4.3)")</f>
        <v>https://disk.yandex.ru/client/disk/Осмотры%20объектов%20АНО%20СМГ/856.%20Объезд.%20Зюзино%20кв%2035%20(%20зоны%204.1%2C4.2%2C4.3)</v>
      </c>
      <c r="J1060" s="50">
        <f>IFERROR(__xludf.DUMMYFUNCTION("""COMPUTED_VALUE"""),0.0)</f>
        <v>0</v>
      </c>
      <c r="K1060" s="58">
        <f>IFERROR(__xludf.DUMMYFUNCTION("""COMPUTED_VALUE"""),45962.0)</f>
        <v>45962</v>
      </c>
      <c r="L1060" s="6">
        <v>30.0</v>
      </c>
      <c r="M1060" s="52">
        <v>45992.0</v>
      </c>
      <c r="N1060" s="53" t="s">
        <v>692</v>
      </c>
      <c r="O1060" s="19" t="s">
        <v>1226</v>
      </c>
      <c r="P1060" s="6"/>
      <c r="Q1060" s="6" t="str">
        <f t="shared" si="1"/>
        <v>#N/A</v>
      </c>
      <c r="R1060" s="6"/>
    </row>
    <row r="1061" hidden="1">
      <c r="A1061" s="31" t="str">
        <f>IFERROR(__xludf.DUMMYFUNCTION("""COMPUTED_VALUE"""),"869")</f>
        <v>869</v>
      </c>
      <c r="B1061" s="14" t="str">
        <f>IFERROR(__xludf.DUMMYFUNCTION("""COMPUTED_VALUE"""),"РЕН-26")</f>
        <v>РЕН-26</v>
      </c>
      <c r="C1061" s="14" t="str">
        <f>IFERROR(__xludf.DUMMYFUNCTION("""COMPUTED_VALUE"""),"ОКС")</f>
        <v>ОКС</v>
      </c>
      <c r="D1061" s="6"/>
      <c r="E1061" s="14" t="str">
        <f>IFERROR(__xludf.DUMMYFUNCTION("""COMPUTED_VALUE"""),"Жилой дом с инженерными сетями и благоустройством территории» (со сносом жилых домов по адресам: ул. Новогиреевская, д.49/28, д. 51, корп.1) по адресу: г. Москва, внутригородское муниципальное образование Новогиреево, улица Новогиреевская, земельный участ"&amp;"ок 49/51 (Новогиреевская ул., вл. 49-51) ВАО        улица Новогиреевская, з/у 49/51 (Новогиреевская ул., вл. 49-51)")</f>
        <v>Жилой дом с инженерными сетями и благоустройством территории» (со сносом жилых домов по адресам: ул. Новогиреевская, д.49/28, д. 51, корп.1) по адресу: г. Москва, внутригородское муниципальное образование Новогиреево, улица Новогиреевская, земельный участок 49/51 (Новогиреевская ул., вл. 49-51) ВАО        улица Новогиреевская, з/у 49/51 (Новогиреевская ул., вл. 49-51)</v>
      </c>
      <c r="F1061" s="25" t="str">
        <f>IFERROR(__xludf.DUMMYFUNCTION("""COMPUTED_VALUE"""),"55.748415")</f>
        <v>55.748415</v>
      </c>
      <c r="G1061" s="6" t="str">
        <f>IFERROR(__xludf.DUMMYFUNCTION("""COMPUTED_VALUE"""),"37.801643")</f>
        <v>37.801643</v>
      </c>
      <c r="H1061" s="18" t="str">
        <f>IFERROR(__xludf.DUMMYFUNCTION("""COMPUTED_VALUE"""),"https://docs.google.com/spreadsheets/d/1rbCD10ySi4YZEkJW2_Slmn9z7AI1WEsGsZaIJmnnT18/edit?gid=1195287561#gid=1195287561")</f>
        <v>https://docs.google.com/spreadsheets/d/1rbCD10ySi4YZEkJW2_Slmn9z7AI1WEsGsZaIJmnnT18/edit?gid=1195287561#gid=1195287561</v>
      </c>
      <c r="I1061" s="19" t="str">
        <f>IFERROR(__xludf.DUMMYFUNCTION("""COMPUTED_VALUE"""),"https://disk.yandex.ru/client/disk/Осмотры%20объектов%20АНО%20СМГ/869%20Новогиреевская%20ул.%20уч.%2049-51")</f>
        <v>https://disk.yandex.ru/client/disk/Осмотры%20объектов%20АНО%20СМГ/869%20Новогиреевская%20ул.%20уч.%2049-51</v>
      </c>
      <c r="J1061" s="50">
        <f>IFERROR(__xludf.DUMMYFUNCTION("""COMPUTED_VALUE"""),0.0)</f>
        <v>0</v>
      </c>
      <c r="K1061" s="58">
        <f>IFERROR(__xludf.DUMMYFUNCTION("""COMPUTED_VALUE"""),45968.0)</f>
        <v>45968</v>
      </c>
      <c r="L1061" s="6">
        <v>30.0</v>
      </c>
      <c r="M1061" s="52">
        <v>45998.0</v>
      </c>
      <c r="N1061" s="53" t="s">
        <v>711</v>
      </c>
      <c r="O1061" s="19" t="s">
        <v>1172</v>
      </c>
      <c r="P1061" s="6"/>
      <c r="Q1061" s="6" t="str">
        <f t="shared" si="1"/>
        <v>#N/A</v>
      </c>
      <c r="R1061" s="6"/>
    </row>
    <row r="1062" hidden="1">
      <c r="A1062" s="31" t="str">
        <f>IFERROR(__xludf.DUMMYFUNCTION("""COMPUTED_VALUE"""),"733")</f>
        <v>733</v>
      </c>
      <c r="B1062" s="14" t="str">
        <f>IFERROR(__xludf.DUMMYFUNCTION("""COMPUTED_VALUE"""),"РЕН-26")</f>
        <v>РЕН-26</v>
      </c>
      <c r="C1062" s="14" t="str">
        <f>IFERROR(__xludf.DUMMYFUNCTION("""COMPUTED_VALUE"""),"ОКС")</f>
        <v>ОКС</v>
      </c>
      <c r="D1062" s="6"/>
      <c r="E1062" s="14" t="str">
        <f>IFERROR(__xludf.DUMMYFUNCTION("""COMPUTED_VALUE"""),"Жилой дом с инженерными сетями и благоустройством территории (со сносом здания по адресу: г. Москва, район Красносельский, ул. Гаврикова, д. 3/1) по адресу: г. Москва, район Красносельский, ул. Гаврикова, земельный участок 3
 Москва, ул. Гаврикова, зу 3")</f>
        <v>Жилой дом с инженерными сетями и благоустройством территории (со сносом здания по адресу: г. Москва, район Красносельский, ул. Гаврикова, д. 3/1) по адресу: г. Москва, район Красносельский, ул. Гаврикова, земельный участок 3
 Москва, ул. Гаврикова, зу 3</v>
      </c>
      <c r="F1062" s="25" t="str">
        <f>IFERROR(__xludf.DUMMYFUNCTION("""COMPUTED_VALUE"""),"55.780816")</f>
        <v>55.780816</v>
      </c>
      <c r="G1062" s="6" t="str">
        <f>IFERROR(__xludf.DUMMYFUNCTION("""COMPUTED_VALUE"""),"37.672001")</f>
        <v>37.672001</v>
      </c>
      <c r="H1062" s="18" t="str">
        <f>IFERROR(__xludf.DUMMYFUNCTION("""COMPUTED_VALUE"""),"https://docs.google.com/spreadsheets/d/1rbCD10ySi4YZEkJW2_Slmn9z7AI1WEsGsZaIJmnnT18/edit?gid=584190358#gid=584190358")</f>
        <v>https://docs.google.com/spreadsheets/d/1rbCD10ySi4YZEkJW2_Slmn9z7AI1WEsGsZaIJmnnT18/edit?gid=584190358#gid=584190358</v>
      </c>
      <c r="I1062" s="19" t="str">
        <f>IFERROR(__xludf.DUMMYFUNCTION("""COMPUTED_VALUE"""),"https://disk.yandex.ru/client/disk/Осмотры%20объектов%20АНО%20СМГ/733.%20ул.%20Гаврикова%2C%20ЗУ%203")</f>
        <v>https://disk.yandex.ru/client/disk/Осмотры%20объектов%20АНО%20СМГ/733.%20ул.%20Гаврикова%2C%20ЗУ%203</v>
      </c>
      <c r="J1062" s="50">
        <f>IFERROR(__xludf.DUMMYFUNCTION("""COMPUTED_VALUE"""),0.0)</f>
        <v>0</v>
      </c>
      <c r="K1062" s="58">
        <f>IFERROR(__xludf.DUMMYFUNCTION("""COMPUTED_VALUE"""),45947.0)</f>
        <v>45947</v>
      </c>
      <c r="L1062" s="6">
        <v>30.0</v>
      </c>
      <c r="M1062" s="52">
        <v>45977.0</v>
      </c>
      <c r="N1062" s="53" t="s">
        <v>701</v>
      </c>
      <c r="O1062" s="19" t="s">
        <v>1227</v>
      </c>
      <c r="P1062" s="6"/>
      <c r="Q1062" s="6" t="str">
        <f t="shared" si="1"/>
        <v>#N/A</v>
      </c>
      <c r="R1062" s="6"/>
    </row>
    <row r="1063" hidden="1">
      <c r="A1063" s="31" t="str">
        <f>IFERROR(__xludf.DUMMYFUNCTION("""COMPUTED_VALUE"""),"783")</f>
        <v>783</v>
      </c>
      <c r="B1063" s="14" t="str">
        <f>IFERROR(__xludf.DUMMYFUNCTION("""COMPUTED_VALUE"""),"РЕН-26")</f>
        <v>РЕН-26</v>
      </c>
      <c r="C1063" s="14" t="str">
        <f>IFERROR(__xludf.DUMMYFUNCTION("""COMPUTED_VALUE"""),"ОКС")</f>
        <v>ОКС</v>
      </c>
      <c r="D1063" s="6"/>
      <c r="E1063"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Михалковский 3-й переулок, д. 21, ул. Коптевская, д. 28"&amp;"к3) по адресу: г. Москва, внутригородское муниципальное образование Коптево, Коптевская улица, земельный участок 28/3 (САО) Коптево, кв. 16, зона 7.1 ЗУ 28/3")</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Михалковский 3-й переулок, д. 21, ул. Коптевская, д. 28к3) по адресу: г. Москва, внутригородское муниципальное образование Коптево, Коптевская улица, земельный участок 28/3 (САО) Коптево, кв. 16, зона 7.1 ЗУ 28/3</v>
      </c>
      <c r="F1063" s="25" t="str">
        <f>IFERROR(__xludf.DUMMYFUNCTION("""COMPUTED_VALUE"""),"55.836499")</f>
        <v>55.836499</v>
      </c>
      <c r="G1063" s="6" t="str">
        <f>IFERROR(__xludf.DUMMYFUNCTION("""COMPUTED_VALUE"""),"37.523115")</f>
        <v>37.523115</v>
      </c>
      <c r="H1063" s="18" t="str">
        <f>IFERROR(__xludf.DUMMYFUNCTION("""COMPUTED_VALUE"""),"https://docs.google.com/spreadsheets/d/1rbCD10ySi4YZEkJW2_Slmn9z7AI1WEsGsZaIJmnnT18/edit?gid=1549482775#gid=1549482775")</f>
        <v>https://docs.google.com/spreadsheets/d/1rbCD10ySi4YZEkJW2_Slmn9z7AI1WEsGsZaIJmnnT18/edit?gid=1549482775#gid=1549482775</v>
      </c>
      <c r="I1063" s="19" t="str">
        <f>IFERROR(__xludf.DUMMYFUNCTION("""COMPUTED_VALUE"""),"https://disk.yandex.ru/client/disk/Осмотры%20объектов%20АНО%20СМГ/783.%20Коптево%2C%20кв.%2016%2C%20зона%207.1")</f>
        <v>https://disk.yandex.ru/client/disk/Осмотры%20объектов%20АНО%20СМГ/783.%20Коптево%2C%20кв.%2016%2C%20зона%207.1</v>
      </c>
      <c r="J1063" s="50">
        <f>IFERROR(__xludf.DUMMYFUNCTION("""COMPUTED_VALUE"""),0.0)</f>
        <v>0</v>
      </c>
      <c r="K1063" s="58">
        <f>IFERROR(__xludf.DUMMYFUNCTION("""COMPUTED_VALUE"""),45962.0)</f>
        <v>45962</v>
      </c>
      <c r="L1063" s="6">
        <v>30.0</v>
      </c>
      <c r="M1063" s="52">
        <v>45992.0</v>
      </c>
      <c r="N1063" s="53" t="s">
        <v>692</v>
      </c>
      <c r="O1063" s="19" t="s">
        <v>914</v>
      </c>
      <c r="P1063" s="6"/>
      <c r="Q1063" s="6" t="str">
        <f t="shared" si="1"/>
        <v>#N/A</v>
      </c>
      <c r="R1063" s="6"/>
    </row>
    <row r="1064" hidden="1">
      <c r="A1064" s="31" t="str">
        <f>IFERROR(__xludf.DUMMYFUNCTION("""COMPUTED_VALUE"""),"791")</f>
        <v>791</v>
      </c>
      <c r="B1064" s="14" t="str">
        <f>IFERROR(__xludf.DUMMYFUNCTION("""COMPUTED_VALUE"""),"РЕН-26")</f>
        <v>РЕН-26</v>
      </c>
      <c r="C1064" s="14" t="str">
        <f>IFERROR(__xludf.DUMMYFUNCTION("""COMPUTED_VALUE"""),"ОКС")</f>
        <v>ОКС</v>
      </c>
      <c r="D1064" s="6"/>
      <c r="E1064" s="14" t="str">
        <f>IFERROR(__xludf.DUMMYFUNCTION("""COMPUTED_VALUE"""),"Коровинское шоссе, земельный участок 8 (Зона 14.3) (Приобретение объектов недвижимости) САО	Коровинское шоссе, земельный участок 8 (Зона 14.3) (Приобретение объектов недвижимости)")</f>
        <v>Коровинское шоссе, земельный участок 8 (Зона 14.3) (Приобретение объектов недвижимости) САО	Коровинское шоссе, земельный участок 8 (Зона 14.3) (Приобретение объектов недвижимости)</v>
      </c>
      <c r="F1064" s="25" t="str">
        <f>IFERROR(__xludf.DUMMYFUNCTION("""COMPUTED_VALUE"""),"55.870746")</f>
        <v>55.870746</v>
      </c>
      <c r="G1064" s="6" t="str">
        <f>IFERROR(__xludf.DUMMYFUNCTION("""COMPUTED_VALUE"""),"37.538821")</f>
        <v>37.538821</v>
      </c>
      <c r="H1064" s="18" t="str">
        <f>IFERROR(__xludf.DUMMYFUNCTION("""COMPUTED_VALUE"""),"https://docs.google.com/spreadsheets/d/1rbCD10ySi4YZEkJW2_Slmn9z7AI1WEsGsZaIJmnnT18/edit?gid=911478854#gid=911478854")</f>
        <v>https://docs.google.com/spreadsheets/d/1rbCD10ySi4YZEkJW2_Slmn9z7AI1WEsGsZaIJmnnT18/edit?gid=911478854#gid=911478854</v>
      </c>
      <c r="I1064" s="19" t="str">
        <f>IFERROR(__xludf.DUMMYFUNCTION("""COMPUTED_VALUE"""),"https://disk.yandex.ru/client/disk/Осмотры%20объектов%20АНО%20СМГ/791.%20Коровинское%20шоссе%20зу%208")</f>
        <v>https://disk.yandex.ru/client/disk/Осмотры%20объектов%20АНО%20СМГ/791.%20Коровинское%20шоссе%20зу%208</v>
      </c>
      <c r="J1064" s="50">
        <f>IFERROR(__xludf.DUMMYFUNCTION("""COMPUTED_VALUE"""),0.0)</f>
        <v>0</v>
      </c>
      <c r="K1064" s="58">
        <f>IFERROR(__xludf.DUMMYFUNCTION("""COMPUTED_VALUE"""),45962.0)</f>
        <v>45962</v>
      </c>
      <c r="L1064" s="6">
        <v>30.0</v>
      </c>
      <c r="M1064" s="52">
        <v>45992.0</v>
      </c>
      <c r="N1064" s="53" t="s">
        <v>692</v>
      </c>
      <c r="O1064" s="19" t="s">
        <v>1228</v>
      </c>
      <c r="P1064" s="6"/>
      <c r="Q1064" s="6" t="str">
        <f t="shared" si="1"/>
        <v>#N/A</v>
      </c>
      <c r="R1064" s="6"/>
    </row>
    <row r="1065" hidden="1">
      <c r="A1065" s="31" t="str">
        <f>IFERROR(__xludf.DUMMYFUNCTION("""COMPUTED_VALUE"""),"800")</f>
        <v>800</v>
      </c>
      <c r="B1065" s="14" t="str">
        <f>IFERROR(__xludf.DUMMYFUNCTION("""COMPUTED_VALUE"""),"РЕН-26")</f>
        <v>РЕН-26</v>
      </c>
      <c r="C1065" s="14" t="str">
        <f>IFERROR(__xludf.DUMMYFUNCTION("""COMPUTED_VALUE"""),"ОКС")</f>
        <v>ОКС</v>
      </c>
      <c r="D1065" s="6"/>
      <c r="E1065" s="14" t="str">
        <f>IFERROR(__xludf.DUMMYFUNCTION("""COMPUTED_VALUE"""),"Жилой дом с подземной автостоянкой, инженерными сетями и благоустройством территории (со сносом жилого здания по адресу: ул. Яблочкова, д. 24, к.1) по адресу: район Бутырский, микрорайон 78, к.4 зона № 3.1 ул. Яблочкова, з/у 22 (участки 3.1, 3.2)")</f>
        <v>Жилой дом с подземной автостоянкой, инженерными сетями и благоустройством территории (со сносом жилого здания по адресу: ул. Яблочкова, д. 24, к.1) по адресу: район Бутырский, микрорайон 78, к.4 зона № 3.1 ул. Яблочкова, з/у 22 (участки 3.1, 3.2)</v>
      </c>
      <c r="F1065" s="25" t="str">
        <f>IFERROR(__xludf.DUMMYFUNCTION("""COMPUTED_VALUE"""),"55.823080")</f>
        <v>55.823080</v>
      </c>
      <c r="G1065" s="6" t="str">
        <f>IFERROR(__xludf.DUMMYFUNCTION("""COMPUTED_VALUE"""),"37.580472")</f>
        <v>37.580472</v>
      </c>
      <c r="H1065" s="18" t="str">
        <f>IFERROR(__xludf.DUMMYFUNCTION("""COMPUTED_VALUE"""),"https://docs.google.com/spreadsheets/d/1rbCD10ySi4YZEkJW2_Slmn9z7AI1WEsGsZaIJmnnT18/edit?gid=1807719464#gid=1807719464")</f>
        <v>https://docs.google.com/spreadsheets/d/1rbCD10ySi4YZEkJW2_Slmn9z7AI1WEsGsZaIJmnnT18/edit?gid=1807719464#gid=1807719464</v>
      </c>
      <c r="I1065" s="19" t="str">
        <f>IFERROR(__xludf.DUMMYFUNCTION("""COMPUTED_VALUE"""),"https://disk.yandex.ru/client/disk/Осмотры%20объектов%20АНО%20СМГ/800.%20ул.%20Яблочкова%2C%20з.у.%2022%20(%20участки%203.1%2C%203.2)")</f>
        <v>https://disk.yandex.ru/client/disk/Осмотры%20объектов%20АНО%20СМГ/800.%20ул.%20Яблочкова%2C%20з.у.%2022%20(%20участки%203.1%2C%203.2)</v>
      </c>
      <c r="J1065" s="50">
        <f>IFERROR(__xludf.DUMMYFUNCTION("""COMPUTED_VALUE"""),0.0)</f>
        <v>0</v>
      </c>
      <c r="K1065" s="58">
        <f>IFERROR(__xludf.DUMMYFUNCTION("""COMPUTED_VALUE"""),45961.0)</f>
        <v>45961</v>
      </c>
      <c r="L1065" s="6">
        <v>30.0</v>
      </c>
      <c r="M1065" s="52">
        <v>45991.0</v>
      </c>
      <c r="N1065" s="53" t="s">
        <v>692</v>
      </c>
      <c r="O1065" s="19" t="s">
        <v>1229</v>
      </c>
      <c r="P1065" s="6"/>
      <c r="Q1065" s="6" t="str">
        <f t="shared" si="1"/>
        <v>#N/A</v>
      </c>
      <c r="R1065" s="6"/>
    </row>
    <row r="1066" hidden="1">
      <c r="A1066" s="31" t="str">
        <f>IFERROR(__xludf.DUMMYFUNCTION("""COMPUTED_VALUE"""),"1159")</f>
        <v>1159</v>
      </c>
      <c r="B1066" s="14" t="str">
        <f>IFERROR(__xludf.DUMMYFUNCTION("""COMPUTED_VALUE"""),"РЕН-26")</f>
        <v>РЕН-26</v>
      </c>
      <c r="C1066" s="14" t="str">
        <f>IFERROR(__xludf.DUMMYFUNCTION("""COMPUTED_VALUE"""),"ОКС")</f>
        <v>ОКС</v>
      </c>
      <c r="D1066" s="6"/>
      <c r="E1066" s="14" t="str">
        <f>IFERROR(__xludf.DUMMYFUNCTION("""COMPUTED_VALUE"""),"Жилой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Яблочк"&amp;"ова ул, з/у 26А/1 (зона 2.1) СВАО, ул. Яблочкова 26к1, 26к2")</f>
        <v>Жилой дом с подземной автостоянкой, инженерными сетями и благоустройством территории (со сносом жилых зданий по адресам: ул. Яблочкова, д. 26 к.1; д. 26, к.2) по адресу: район Бутырский, микрорайон 78, к.3, зона № 2.1 СВАО, ул. Яблочкова 26к1, 26к2 Яблочкова ул, з/у 26А/1 (зона 2.1) СВАО, ул. Яблочкова 26к1, 26к2</v>
      </c>
      <c r="F1066" s="25" t="str">
        <f>IFERROR(__xludf.DUMMYFUNCTION("""COMPUTED_VALUE"""),"55.823864")</f>
        <v>55.823864</v>
      </c>
      <c r="G1066" s="6" t="str">
        <f>IFERROR(__xludf.DUMMYFUNCTION("""COMPUTED_VALUE"""),"37.580400")</f>
        <v>37.580400</v>
      </c>
      <c r="H1066" s="18" t="str">
        <f>IFERROR(__xludf.DUMMYFUNCTION("""COMPUTED_VALUE"""),"https://docs.google.com/spreadsheets/d/1rbCD10ySi4YZEkJW2_Slmn9z7AI1WEsGsZaIJmnnT18/edit?gid=2079091831#gid=2079091831")</f>
        <v>https://docs.google.com/spreadsheets/d/1rbCD10ySi4YZEkJW2_Slmn9z7AI1WEsGsZaIJmnnT18/edit?gid=2079091831#gid=2079091831</v>
      </c>
      <c r="I1066" s="19" t="str">
        <f>IFERROR(__xludf.DUMMYFUNCTION("""COMPUTED_VALUE"""),"https://disk.yandex.ru/client/disk/Осмотры%20объектов%20АНО%20СМГ/1159.%20Яблочкова%20ул.%2C%2026к1%2C%2026к2")</f>
        <v>https://disk.yandex.ru/client/disk/Осмотры%20объектов%20АНО%20СМГ/1159.%20Яблочкова%20ул.%2C%2026к1%2C%2026к2</v>
      </c>
      <c r="J1066" s="50">
        <f>IFERROR(__xludf.DUMMYFUNCTION("""COMPUTED_VALUE"""),0.0)</f>
        <v>0</v>
      </c>
      <c r="K1066" s="58">
        <f>IFERROR(__xludf.DUMMYFUNCTION("""COMPUTED_VALUE"""),45973.0)</f>
        <v>45973</v>
      </c>
      <c r="L1066" s="6">
        <v>30.0</v>
      </c>
      <c r="M1066" s="52">
        <v>46003.0</v>
      </c>
      <c r="N1066" s="53" t="s">
        <v>711</v>
      </c>
      <c r="O1066" s="19" t="s">
        <v>1230</v>
      </c>
      <c r="P1066" s="6"/>
      <c r="Q1066" s="6" t="str">
        <f t="shared" si="1"/>
        <v>#N/A</v>
      </c>
      <c r="R1066" s="6"/>
    </row>
    <row r="1067" hidden="1">
      <c r="A1067" s="31" t="str">
        <f>IFERROR(__xludf.DUMMYFUNCTION("""COMPUTED_VALUE"""),"807")</f>
        <v>807</v>
      </c>
      <c r="B1067" s="14" t="str">
        <f>IFERROR(__xludf.DUMMYFUNCTION("""COMPUTED_VALUE"""),"РЕН-26")</f>
        <v>РЕН-26</v>
      </c>
      <c r="C1067" s="14" t="str">
        <f>IFERROR(__xludf.DUMMYFUNCTION("""COMPUTED_VALUE"""),"ОКС")</f>
        <v>ОКС</v>
      </c>
      <c r="D1067" s="6"/>
      <c r="E1067" s="14" t="str">
        <f>IFERROR(__xludf.DUMMYFUNCTION("""COMPUTED_VALUE"""),"Котловка, микрорайонов 67,68 кв-лов 103,104,105,106, номер зоны 5.3 (Жилой дом с инженерными сетями и благоустройством территории (со сносом жилого здания по адресу: ул. Ремизова д. 11 корп. 1) по адресу: г. Москва, внутригородское муниципальное образован"&amp;"ие Котловка, улица Ремизова, земельный участок 11/1 (Зона 5.3) (Юго-Западный административный округ)) Котловка, микрорайонов 67,68 кв-лов 103,104,105,106, номер зоны 5.3")</f>
        <v>Котловка, микрорайонов 67,68 кв-лов 103,104,105,106, номер зоны 5.3 (Жилой дом с инженерными сетями и благоустройством территории (со сносом жилого здания по адресу: ул. Ремизова д. 11 корп. 1) по адресу: г. Москва, внутригородское муниципальное образование Котловка, улица Ремизова, земельный участок 11/1 (Зона 5.3) (Юго-Западный административный округ)) Котловка, микрорайонов 67,68 кв-лов 103,104,105,106, номер зоны 5.3</v>
      </c>
      <c r="F1067" s="25" t="str">
        <f>IFERROR(__xludf.DUMMYFUNCTION("""COMPUTED_VALUE"""),"55.676006")</f>
        <v>55.676006</v>
      </c>
      <c r="G1067" s="6" t="str">
        <f>IFERROR(__xludf.DUMMYFUNCTION("""COMPUTED_VALUE"""),"37.602436")</f>
        <v>37.602436</v>
      </c>
      <c r="H1067" s="18" t="str">
        <f>IFERROR(__xludf.DUMMYFUNCTION("""COMPUTED_VALUE"""),"https://docs.google.com/spreadsheets/d/1rbCD10ySi4YZEkJW2_Slmn9z7AI1WEsGsZaIJmnnT18/edit?gid=553643075#gid=553643075")</f>
        <v>https://docs.google.com/spreadsheets/d/1rbCD10ySi4YZEkJW2_Slmn9z7AI1WEsGsZaIJmnnT18/edit?gid=553643075#gid=553643075</v>
      </c>
      <c r="I1067" s="21" t="str">
        <f>IFERROR(__xludf.DUMMYFUNCTION("""COMPUTED_VALUE"""),"https://disk.yandex.ru/client/disk/%D0%9E%D1%81%D0%BC%D0%BE%D1%82%D1%80%D1%8B%20%D0%BE%D0%B1%D1%8A%D0%B5%D0%BA%D1%82%D0%BE%D0%B2%20%D0%90%D0%9D%D0%9E%20%D0%A1%D0%9C%D0%93/807.%20%D0%9A%D0%BE%D1%82%D0%BB%D0%BE%D0%B2%D0%BA%D0%B0%2C%20%D0%B7%D0%BE%D0%BD%D1%8"&amp;"B%204.1%20%D0%B8%205.3%20(%D0%A0%D0%B5%D0%BC%D0%B8%D0%B7%D0%BE%D0%B2%D0%B0%2011%D0%BA1%20%D0%B8%20%D0%9D%D0%B0%D0%B3%D0%BE%D1%80%D0%BD%D0%B0%D1%8F%20%D1%83%D0%BB.%2019%D0%BA1)")</f>
        <v>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v>
      </c>
      <c r="J1067" s="50">
        <f>IFERROR(__xludf.DUMMYFUNCTION("""COMPUTED_VALUE"""),0.0)</f>
        <v>0</v>
      </c>
      <c r="K1067" s="58">
        <f>IFERROR(__xludf.DUMMYFUNCTION("""COMPUTED_VALUE"""),45954.0)</f>
        <v>45954</v>
      </c>
      <c r="L1067" s="6">
        <v>30.0</v>
      </c>
      <c r="M1067" s="52">
        <v>45984.0</v>
      </c>
      <c r="N1067" s="53" t="s">
        <v>741</v>
      </c>
      <c r="O1067" s="19" t="s">
        <v>1231</v>
      </c>
      <c r="P1067" s="6"/>
      <c r="Q1067" s="6" t="str">
        <f t="shared" si="1"/>
        <v>#N/A</v>
      </c>
      <c r="R1067" s="6"/>
    </row>
    <row r="1068" hidden="1">
      <c r="A1068" s="31" t="str">
        <f>IFERROR(__xludf.DUMMYFUNCTION("""COMPUTED_VALUE"""),"807")</f>
        <v>807</v>
      </c>
      <c r="B1068" s="14" t="str">
        <f>IFERROR(__xludf.DUMMYFUNCTION("""COMPUTED_VALUE"""),"РЕН-26")</f>
        <v>РЕН-26</v>
      </c>
      <c r="C1068" s="14" t="str">
        <f>IFERROR(__xludf.DUMMYFUNCTION("""COMPUTED_VALUE"""),"ОКС")</f>
        <v>ОКС</v>
      </c>
      <c r="D1068" s="6"/>
      <c r="E1068" s="14" t="str">
        <f>IFERROR(__xludf.DUMMYFUNCTION("""COMPUTED_VALUE"""),"Котловка, микрорайонов 67,68 кв-лов 103,104,105,106, номер зоны 4.1 (Жилой дом с инженерными сетями и благоустройством территории (со сносом жилого здания по адресу: ул. Нагорная д. 19 корп. 1) по адресу: г. Москва, внутригородское муниципальное образован"&amp;"ие Котловка, улица Нагорная, земельный участок 19/1 (зона 4.1) (Юго-Западный административный округ)) ЮЗАО	Котловка, микрорайоны 67,68 кв-лов 103,104,105,106, номер зоны 4.1")</f>
        <v>Котловка, микрорайонов 67,68 кв-лов 103,104,105,106, номер зоны 4.1 (Жилой дом с инженерными сетями и благоустройством территории (со сносом жилого здания по адресу: ул. Нагорная д. 19 корп. 1) по адресу: г. Москва, внутригородское муниципальное образование Котловка, улица Нагорная, земельный участок 19/1 (зона 4.1) (Юго-Западный административный округ)) ЮЗАО	Котловка, микрорайоны 67,68 кв-лов 103,104,105,106, номер зоны 4.1</v>
      </c>
      <c r="F1068" s="25" t="str">
        <f>IFERROR(__xludf.DUMMYFUNCTION("""COMPUTED_VALUE"""),"55.676006")</f>
        <v>55.676006</v>
      </c>
      <c r="G1068" s="6" t="str">
        <f>IFERROR(__xludf.DUMMYFUNCTION("""COMPUTED_VALUE"""),"37.602436")</f>
        <v>37.602436</v>
      </c>
      <c r="H1068" s="18" t="str">
        <f>IFERROR(__xludf.DUMMYFUNCTION("""COMPUTED_VALUE"""),"https://docs.google.com/spreadsheets/d/1rbCD10ySi4YZEkJW2_Slmn9z7AI1WEsGsZaIJmnnT18/edit?gid=553643075#gid=553643075")</f>
        <v>https://docs.google.com/spreadsheets/d/1rbCD10ySi4YZEkJW2_Slmn9z7AI1WEsGsZaIJmnnT18/edit?gid=553643075#gid=553643075</v>
      </c>
      <c r="I1068" s="21" t="str">
        <f>IFERROR(__xludf.DUMMYFUNCTION("""COMPUTED_VALUE"""),"https://disk.yandex.ru/client/disk/%D0%9E%D1%81%D0%BC%D0%BE%D1%82%D1%80%D1%8B%20%D0%BE%D0%B1%D1%8A%D0%B5%D0%BA%D1%82%D0%BE%D0%B2%20%D0%90%D0%9D%D0%9E%20%D0%A1%D0%9C%D0%93/807.%20%D0%9A%D0%BE%D1%82%D0%BB%D0%BE%D0%B2%D0%BA%D0%B0%2C%20%D0%B7%D0%BE%D0%BD%D1%8"&amp;"B%204.1%20%D0%B8%205.3%20(%D0%A0%D0%B5%D0%BC%D0%B8%D0%B7%D0%BE%D0%B2%D0%B0%2011%D0%BA1%20%D0%B8%20%D0%9D%D0%B0%D0%B3%D0%BE%D1%80%D0%BD%D0%B0%D1%8F%20%D1%83%D0%BB.%2019%D0%BA1)")</f>
        <v>https://disk.yandex.ru/client/disk/%D0%9E%D1%81%D0%BC%D0%BE%D1%82%D1%80%D1%8B%20%D0%BE%D0%B1%D1%8A%D0%B5%D0%BA%D1%82%D0%BE%D0%B2%20%D0%90%D0%9D%D0%9E%20%D0%A1%D0%9C%D0%93/807.%20%D0%9A%D0%BE%D1%82%D0%BB%D0%BE%D0%B2%D0%BA%D0%B0%2C%20%D0%B7%D0%BE%D0%BD%D1%8B%204.1%20%D0%B8%205.3%20(%D0%A0%D0%B5%D0%BC%D0%B8%D0%B7%D0%BE%D0%B2%D0%B0%2011%D0%BA1%20%D0%B8%20%D0%9D%D0%B0%D0%B3%D0%BE%D1%80%D0%BD%D0%B0%D1%8F%20%D1%83%D0%BB.%2019%D0%BA1)</v>
      </c>
      <c r="J1068" s="50">
        <f>IFERROR(__xludf.DUMMYFUNCTION("""COMPUTED_VALUE"""),0.0)</f>
        <v>0</v>
      </c>
      <c r="K1068" s="58">
        <f>IFERROR(__xludf.DUMMYFUNCTION("""COMPUTED_VALUE"""),45954.0)</f>
        <v>45954</v>
      </c>
      <c r="L1068" s="6">
        <v>30.0</v>
      </c>
      <c r="M1068" s="52">
        <v>45984.0</v>
      </c>
      <c r="N1068" s="53" t="s">
        <v>741</v>
      </c>
      <c r="O1068" s="19" t="s">
        <v>1231</v>
      </c>
      <c r="P1068" s="6"/>
      <c r="Q1068" s="6" t="str">
        <f t="shared" si="1"/>
        <v>#N/A</v>
      </c>
      <c r="R1068" s="6"/>
    </row>
    <row r="1069" hidden="1">
      <c r="A1069" s="31" t="str">
        <f>IFERROR(__xludf.DUMMYFUNCTION("""COMPUTED_VALUE"""),"911")</f>
        <v>911</v>
      </c>
      <c r="B1069" s="14" t="str">
        <f>IFERROR(__xludf.DUMMYFUNCTION("""COMPUTED_VALUE"""),"РЕН-26")</f>
        <v>РЕН-26</v>
      </c>
      <c r="C1069" s="14" t="str">
        <f>IFERROR(__xludf.DUMMYFUNCTION("""COMPUTED_VALUE"""),"ОКС")</f>
        <v>ОКС</v>
      </c>
      <c r="D1069" s="6"/>
      <c r="E1069" s="14" t="str">
        <f>IFERROR(__xludf.DUMMYFUNCTION("""COMPUTED_VALUE"""),"Жилой дом с инженерными сетями и благоустройством территории по адресу: г. Москва, САО, район Головинский, улица Онежская, земельный участок 6 (Онежская ул., вл. 6) ул. Онежская, з/у 6 (Онежская ул., вл. 6)")</f>
        <v>Жилой дом с инженерными сетями и благоустройством территории по адресу: г. Москва, САО, район Головинский, улица Онежская, земельный участок 6 (Онежская ул., вл. 6) ул. Онежская, з/у 6 (Онежская ул., вл. 6)</v>
      </c>
      <c r="F1069" s="25" t="str">
        <f>IFERROR(__xludf.DUMMYFUNCTION("""COMPUTED_VALUE"""),"55.844470")</f>
        <v>55.844470</v>
      </c>
      <c r="G1069" s="6" t="str">
        <f>IFERROR(__xludf.DUMMYFUNCTION("""COMPUTED_VALUE"""),"37.522418")</f>
        <v>37.522418</v>
      </c>
      <c r="H1069" s="18" t="str">
        <f>IFERROR(__xludf.DUMMYFUNCTION("""COMPUTED_VALUE"""),"https://docs.google.com/spreadsheets/d/1rbCD10ySi4YZEkJW2_Slmn9z7AI1WEsGsZaIJmnnT18/edit?gid=382946439#gid=382946439")</f>
        <v>https://docs.google.com/spreadsheets/d/1rbCD10ySi4YZEkJW2_Slmn9z7AI1WEsGsZaIJmnnT18/edit?gid=382946439#gid=382946439</v>
      </c>
      <c r="I1069" s="19" t="str">
        <f>IFERROR(__xludf.DUMMYFUNCTION("""COMPUTED_VALUE"""),"https://disk.yandex.ru/client/disk/Осмотры%20объектов%20АНО%20СМГ/911.%20Онежская%20зу%206")</f>
        <v>https://disk.yandex.ru/client/disk/Осмотры%20объектов%20АНО%20СМГ/911.%20Онежская%20зу%206</v>
      </c>
      <c r="J1069" s="50">
        <f>IFERROR(__xludf.DUMMYFUNCTION("""COMPUTED_VALUE"""),0.0)</f>
        <v>0</v>
      </c>
      <c r="K1069" s="58">
        <f>IFERROR(__xludf.DUMMYFUNCTION("""COMPUTED_VALUE"""),45962.0)</f>
        <v>45962</v>
      </c>
      <c r="L1069" s="6">
        <v>30.0</v>
      </c>
      <c r="M1069" s="52">
        <v>45992.0</v>
      </c>
      <c r="N1069" s="53" t="s">
        <v>692</v>
      </c>
      <c r="O1069" s="19" t="s">
        <v>1232</v>
      </c>
      <c r="P1069" s="6"/>
      <c r="Q1069" s="6" t="str">
        <f t="shared" si="1"/>
        <v>#N/A</v>
      </c>
      <c r="R1069" s="6"/>
    </row>
    <row r="1070" hidden="1">
      <c r="A1070" s="31" t="str">
        <f>IFERROR(__xludf.DUMMYFUNCTION("""COMPUTED_VALUE"""),"909")</f>
        <v>909</v>
      </c>
      <c r="B1070" s="14" t="str">
        <f>IFERROR(__xludf.DUMMYFUNCTION("""COMPUTED_VALUE"""),"РЕН-26")</f>
        <v>РЕН-26</v>
      </c>
      <c r="C1070" s="14" t="str">
        <f>IFERROR(__xludf.DUMMYFUNCTION("""COMPUTED_VALUE"""),"ОКС")</f>
        <v>ОКС</v>
      </c>
      <c r="D1070" s="6"/>
      <c r="E1070" s="14" t="str">
        <f>IFERROR(__xludf.DUMMYFUNCTION("""COMPUTED_VALUE"""),"Жилой дом с инженерными сетями и благоустройством территории по адресу: г. Москва, САО, район Коптево, ул. Коптевская, влд. 36 (Северный административный округ) ул. Коптевская, влд. 36")</f>
        <v>Жилой дом с инженерными сетями и благоустройством территории по адресу: г. Москва, САО, район Коптево, ул. Коптевская, влд. 36 (Северный административный округ) ул. Коптевская, влд. 36</v>
      </c>
      <c r="F1070" s="25" t="str">
        <f>IFERROR(__xludf.DUMMYFUNCTION("""COMPUTED_VALUE"""),"55.839347")</f>
        <v>55.839347</v>
      </c>
      <c r="G1070" s="6" t="str">
        <f>IFERROR(__xludf.DUMMYFUNCTION("""COMPUTED_VALUE"""),"37.524014")</f>
        <v>37.524014</v>
      </c>
      <c r="H1070" s="18" t="str">
        <f>IFERROR(__xludf.DUMMYFUNCTION("""COMPUTED_VALUE"""),"https://docs.google.com/spreadsheets/d/1rbCD10ySi4YZEkJW2_Slmn9z7AI1WEsGsZaIJmnnT18/edit?gid=1182179184#gid=1182179184")</f>
        <v>https://docs.google.com/spreadsheets/d/1rbCD10ySi4YZEkJW2_Slmn9z7AI1WEsGsZaIJmnnT18/edit?gid=1182179184#gid=1182179184</v>
      </c>
      <c r="I1070" s="19" t="str">
        <f>IFERROR(__xludf.DUMMYFUNCTION("""COMPUTED_VALUE"""),"https://disk.yandex.ru/client/disk/Осмотры%20объектов%20АНО%20СМГ/909.%20Коптевская%20влд.%2036")</f>
        <v>https://disk.yandex.ru/client/disk/Осмотры%20объектов%20АНО%20СМГ/909.%20Коптевская%20влд.%2036</v>
      </c>
      <c r="J1070" s="50">
        <f>IFERROR(__xludf.DUMMYFUNCTION("""COMPUTED_VALUE"""),0.0)</f>
        <v>0</v>
      </c>
      <c r="K1070" s="58">
        <f>IFERROR(__xludf.DUMMYFUNCTION("""COMPUTED_VALUE"""),45962.0)</f>
        <v>45962</v>
      </c>
      <c r="L1070" s="6">
        <v>30.0</v>
      </c>
      <c r="M1070" s="52">
        <v>45992.0</v>
      </c>
      <c r="N1070" s="53" t="s">
        <v>692</v>
      </c>
      <c r="O1070" s="19" t="s">
        <v>1233</v>
      </c>
      <c r="P1070" s="6"/>
      <c r="Q1070" s="6" t="str">
        <f t="shared" si="1"/>
        <v>#N/A</v>
      </c>
      <c r="R1070" s="6"/>
    </row>
    <row r="1071" hidden="1">
      <c r="A1071" s="31" t="str">
        <f>IFERROR(__xludf.DUMMYFUNCTION("""COMPUTED_VALUE"""),"896")</f>
        <v>896</v>
      </c>
      <c r="B1071" s="14" t="str">
        <f>IFERROR(__xludf.DUMMYFUNCTION("""COMPUTED_VALUE"""),"РЕН-26")</f>
        <v>РЕН-26</v>
      </c>
      <c r="C1071" s="14" t="str">
        <f>IFERROR(__xludf.DUMMYFUNCTION("""COMPUTED_VALUE"""),"ОКС")</f>
        <v>ОКС</v>
      </c>
      <c r="D1071" s="6"/>
      <c r="E1071" s="14" t="str">
        <f>IFERROR(__xludf.DUMMYFUNCTION("""COMPUTED_VALUE"""),"Приобретение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ЮВАО, район Печатники, Шоссейная ул., вл. 90 Шоссейная вл "&amp;"90")</f>
        <v>Приобретение жилых помещений, создаваемых в многоквартирных домах, предназначенных для переселения граждан при реализации Программы реновации жилищного фонда в городе Москве, по адресу: г. Москва, ЮВАО, район Печатники, Шоссейная ул., вл. 90 Шоссейная вл 90</v>
      </c>
      <c r="F1071" s="25" t="str">
        <f>IFERROR(__xludf.DUMMYFUNCTION("""COMPUTED_VALUE"""),"55.664485")</f>
        <v>55.664485</v>
      </c>
      <c r="G1071" s="6" t="str">
        <f>IFERROR(__xludf.DUMMYFUNCTION("""COMPUTED_VALUE"""),"37.714179")</f>
        <v>37.714179</v>
      </c>
      <c r="H1071" s="18" t="str">
        <f>IFERROR(__xludf.DUMMYFUNCTION("""COMPUTED_VALUE"""),"https://docs.google.com/spreadsheets/d/1rbCD10ySi4YZEkJW2_Slmn9z7AI1WEsGsZaIJmnnT18/edit?gid=691407697#gid=691407697")</f>
        <v>https://docs.google.com/spreadsheets/d/1rbCD10ySi4YZEkJW2_Slmn9z7AI1WEsGsZaIJmnnT18/edit?gid=691407697#gid=691407697</v>
      </c>
      <c r="I1071" s="19" t="str">
        <f>IFERROR(__xludf.DUMMYFUNCTION("""COMPUTED_VALUE"""),"https://disk.yandex.ru/client/disk/Осмотры%20объектов%20АНО%20СМГ/896.%20Шоссейная%20вл.%2090")</f>
        <v>https://disk.yandex.ru/client/disk/Осмотры%20объектов%20АНО%20СМГ/896.%20Шоссейная%20вл.%2090</v>
      </c>
      <c r="J1071" s="50">
        <f>IFERROR(__xludf.DUMMYFUNCTION("""COMPUTED_VALUE"""),0.0)</f>
        <v>0</v>
      </c>
      <c r="K1071" s="58">
        <f>IFERROR(__xludf.DUMMYFUNCTION("""COMPUTED_VALUE"""),45953.0)</f>
        <v>45953</v>
      </c>
      <c r="L1071" s="6">
        <v>30.0</v>
      </c>
      <c r="M1071" s="52">
        <v>45983.0</v>
      </c>
      <c r="N1071" s="53" t="s">
        <v>741</v>
      </c>
      <c r="O1071" s="19" t="s">
        <v>1234</v>
      </c>
      <c r="P1071" s="6"/>
      <c r="Q1071" s="6" t="str">
        <f t="shared" si="1"/>
        <v>#N/A</v>
      </c>
      <c r="R1071" s="6"/>
    </row>
    <row r="1072" hidden="1">
      <c r="A1072" s="31" t="str">
        <f>IFERROR(__xludf.DUMMYFUNCTION("""COMPUTED_VALUE"""),"895")</f>
        <v>895</v>
      </c>
      <c r="B1072" s="14" t="str">
        <f>IFERROR(__xludf.DUMMYFUNCTION("""COMPUTED_VALUE"""),"РЕН-26")</f>
        <v>РЕН-26</v>
      </c>
      <c r="C1072" s="14" t="str">
        <f>IFERROR(__xludf.DUMMYFUNCTION("""COMPUTED_VALUE"""),"ОКС")</f>
        <v>ОКС</v>
      </c>
      <c r="D1072" s="6"/>
      <c r="E1072" s="14" t="str">
        <f>IFERROR(__xludf.DUMMYFUNCTION("""COMPUTED_VALUE"""),"Жилой дом с инженерными сетями и благоустройством территории по адресу: вн.тер.г.м.о. Царицыно, улица Ереванская, земельный участок 6/1 ул. Ереванская, з/у 6/1")</f>
        <v>Жилой дом с инженерными сетями и благоустройством территории по адресу: вн.тер.г.м.о. Царицыно, улица Ереванская, земельный участок 6/1 ул. Ереванская, з/у 6/1</v>
      </c>
      <c r="F1072" s="25" t="str">
        <f>IFERROR(__xludf.DUMMYFUNCTION("""COMPUTED_VALUE"""),"55.630564")</f>
        <v>55.630564</v>
      </c>
      <c r="G1072" s="6" t="str">
        <f>IFERROR(__xludf.DUMMYFUNCTION("""COMPUTED_VALUE"""),"37.669934")</f>
        <v>37.669934</v>
      </c>
      <c r="H1072" s="18" t="str">
        <f>IFERROR(__xludf.DUMMYFUNCTION("""COMPUTED_VALUE"""),"https://docs.google.com/spreadsheets/d/1rbCD10ySi4YZEkJW2_Slmn9z7AI1WEsGsZaIJmnnT18/edit?gid=1161001794#gid=1161001794")</f>
        <v>https://docs.google.com/spreadsheets/d/1rbCD10ySi4YZEkJW2_Slmn9z7AI1WEsGsZaIJmnnT18/edit?gid=1161001794#gid=1161001794</v>
      </c>
      <c r="I1072" s="19" t="str">
        <f>IFERROR(__xludf.DUMMYFUNCTION("""COMPUTED_VALUE"""),"https://disk.yandex.ru/client/disk/Осмотры%20объектов%20АНО%20СМГ/895.%20Ереванская%20ул.%2C%20з-у%206-1.%20Жилой%20дом")</f>
        <v>https://disk.yandex.ru/client/disk/Осмотры%20объектов%20АНО%20СМГ/895.%20Ереванская%20ул.%2C%20з-у%206-1.%20Жилой%20дом</v>
      </c>
      <c r="J1072" s="50">
        <f>IFERROR(__xludf.DUMMYFUNCTION("""COMPUTED_VALUE"""),0.0)</f>
        <v>0</v>
      </c>
      <c r="K1072" s="58">
        <f>IFERROR(__xludf.DUMMYFUNCTION("""COMPUTED_VALUE"""),45968.0)</f>
        <v>45968</v>
      </c>
      <c r="L1072" s="6">
        <v>30.0</v>
      </c>
      <c r="M1072" s="52">
        <v>45998.0</v>
      </c>
      <c r="N1072" s="53" t="s">
        <v>711</v>
      </c>
      <c r="O1072" s="19" t="s">
        <v>914</v>
      </c>
      <c r="P1072" s="6"/>
      <c r="Q1072" s="6" t="str">
        <f t="shared" si="1"/>
        <v>#N/A</v>
      </c>
      <c r="R1072" s="6"/>
    </row>
    <row r="1073" hidden="1">
      <c r="A1073" s="31" t="str">
        <f>IFERROR(__xludf.DUMMYFUNCTION("""COMPUTED_VALUE"""),"894")</f>
        <v>894</v>
      </c>
      <c r="B1073" s="14" t="str">
        <f>IFERROR(__xludf.DUMMYFUNCTION("""COMPUTED_VALUE"""),"РЕН-26")</f>
        <v>РЕН-26</v>
      </c>
      <c r="C1073" s="14" t="str">
        <f>IFERROR(__xludf.DUMMYFUNCTION("""COMPUTED_VALUE"""),"ОКС")</f>
        <v>ОКС</v>
      </c>
      <c r="D1073" s="6"/>
      <c r="E1073" s="14" t="str">
        <f>IFERROR(__xludf.DUMMYFUNCTION("""COMPUTED_VALUE"""),"Жилой дом с инженерными сетями и благоустройством территории (со сносом многоквартирных жилых домов по адресам: Ереванская ул., д. 6, к. 1; д. 4, к. 1; д.2, к. 1) по адресу: вн.тер.г.м.о. Царицыно, улица Ереванская, земельный участок 2/1 улица Ереванская,"&amp;" земельный участок 2/1 (зона 3.2)")</f>
        <v>Жилой дом с инженерными сетями и благоустройством территории (со сносом многоквартирных жилых домов по адресам: Ереванская ул., д. 6, к. 1; д. 4, к. 1; д.2, к. 1) по адресу: вн.тер.г.м.о. Царицыно, улица Ереванская, земельный участок 2/1 улица Ереванская, земельный участок 2/1 (зона 3.2)</v>
      </c>
      <c r="F1073" s="25" t="str">
        <f>IFERROR(__xludf.DUMMYFUNCTION("""COMPUTED_VALUE"""),"55.631183")</f>
        <v>55.631183</v>
      </c>
      <c r="G1073" s="6" t="str">
        <f>IFERROR(__xludf.DUMMYFUNCTION("""COMPUTED_VALUE"""),"37.668453")</f>
        <v>37.668453</v>
      </c>
      <c r="H1073" s="18" t="str">
        <f>IFERROR(__xludf.DUMMYFUNCTION("""COMPUTED_VALUE"""),"https://docs.google.com/spreadsheets/d/1rbCD10ySi4YZEkJW2_Slmn9z7AI1WEsGsZaIJmnnT18/edit?gid=1589688669#gid=1589688669")</f>
        <v>https://docs.google.com/spreadsheets/d/1rbCD10ySi4YZEkJW2_Slmn9z7AI1WEsGsZaIJmnnT18/edit?gid=1589688669#gid=1589688669</v>
      </c>
      <c r="I1073" s="19" t="str">
        <f>IFERROR(__xludf.DUMMYFUNCTION("""COMPUTED_VALUE"""),"https://disk.yandex.ru/client/disk/Осмотры%20объектов%20АНО%20СМГ/894.%20Ереванская%20ул.%2C%20з-у%202-1.%20Жилой%20дом")</f>
        <v>https://disk.yandex.ru/client/disk/Осмотры%20объектов%20АНО%20СМГ/894.%20Ереванская%20ул.%2C%20з-у%202-1.%20Жилой%20дом</v>
      </c>
      <c r="J1073" s="50">
        <f>IFERROR(__xludf.DUMMYFUNCTION("""COMPUTED_VALUE"""),0.0)</f>
        <v>0</v>
      </c>
      <c r="K1073" s="58">
        <f>IFERROR(__xludf.DUMMYFUNCTION("""COMPUTED_VALUE"""),45968.0)</f>
        <v>45968</v>
      </c>
      <c r="L1073" s="6">
        <v>30.0</v>
      </c>
      <c r="M1073" s="52">
        <v>45998.0</v>
      </c>
      <c r="N1073" s="53" t="s">
        <v>711</v>
      </c>
      <c r="O1073" s="19" t="s">
        <v>914</v>
      </c>
      <c r="P1073" s="6"/>
      <c r="Q1073" s="6" t="str">
        <f t="shared" si="1"/>
        <v>#N/A</v>
      </c>
      <c r="R1073" s="6"/>
    </row>
    <row r="1074" hidden="1">
      <c r="A1074" s="31" t="str">
        <f>IFERROR(__xludf.DUMMYFUNCTION("""COMPUTED_VALUE"""),"887")</f>
        <v>887</v>
      </c>
      <c r="B1074" s="14" t="str">
        <f>IFERROR(__xludf.DUMMYFUNCTION("""COMPUTED_VALUE"""),"РЕН-26")</f>
        <v>РЕН-26</v>
      </c>
      <c r="C1074" s="14" t="str">
        <f>IFERROR(__xludf.DUMMYFUNCTION("""COMPUTED_VALUE"""),"ОКС")</f>
        <v>ОКС</v>
      </c>
      <c r="D1074" s="6"/>
      <c r="E1074" s="14" t="str">
        <f>IFERROR(__xludf.DUMMYFUNCTION("""COMPUTED_VALUE"""),"Жилой дом с подземной автостоянкой, инженерными сетями и благоустройством территории (со сносом жилого здания по адресу: ул. Гарибальди д.25 к.3) по адресу: район Черемушки, кварталы 20-21; 22-23, зона № 6.9 район Черемушки, кварталы 20-21; 22-23, зона № "&amp;"6.9 ЗУ 25/3")</f>
        <v>Жилой дом с подземной автостоянкой, инженерными сетями и благоустройством территории (со сносом жилого здания по адресу: ул. Гарибальди д.25 к.3) по адресу: район Черемушки, кварталы 20-21; 22-23, зона № 6.9 район Черемушки, кварталы 20-21; 22-23, зона № 6.9 ЗУ 25/3</v>
      </c>
      <c r="F1074" s="25" t="str">
        <f>IFERROR(__xludf.DUMMYFUNCTION("""COMPUTED_VALUE"""),"55.670445")</f>
        <v>55.670445</v>
      </c>
      <c r="G1074" s="6" t="str">
        <f>IFERROR(__xludf.DUMMYFUNCTION("""COMPUTED_VALUE"""),"37.557518")</f>
        <v>37.557518</v>
      </c>
      <c r="H1074" s="18" t="str">
        <f>IFERROR(__xludf.DUMMYFUNCTION("""COMPUTED_VALUE"""),"https://docs.google.com/spreadsheets/d/1rbCD10ySi4YZEkJW2_Slmn9z7AI1WEsGsZaIJmnnT18/edit?gid=1281115522#gid=1281115522")</f>
        <v>https://docs.google.com/spreadsheets/d/1rbCD10ySi4YZEkJW2_Slmn9z7AI1WEsGsZaIJmnnT18/edit?gid=1281115522#gid=1281115522</v>
      </c>
      <c r="I1074" s="19" t="str">
        <f>IFERROR(__xludf.DUMMYFUNCTION("""COMPUTED_VALUE"""),"https://disk.yandex.ru/client/disk/Осмотры%20объектов%20АНО%20СМГ/887.%20черемушки%2C%20кварталы%2020-21_22-23%20зона%206.9")</f>
        <v>https://disk.yandex.ru/client/disk/Осмотры%20объектов%20АНО%20СМГ/887.%20черемушки%2C%20кварталы%2020-21_22-23%20зона%206.9</v>
      </c>
      <c r="J1074" s="50">
        <f>IFERROR(__xludf.DUMMYFUNCTION("""COMPUTED_VALUE"""),0.0)</f>
        <v>0</v>
      </c>
      <c r="K1074" s="58">
        <f>IFERROR(__xludf.DUMMYFUNCTION("""COMPUTED_VALUE"""),45961.0)</f>
        <v>45961</v>
      </c>
      <c r="L1074" s="6">
        <v>30.0</v>
      </c>
      <c r="M1074" s="52">
        <v>45991.0</v>
      </c>
      <c r="N1074" s="53" t="s">
        <v>692</v>
      </c>
      <c r="O1074" s="19" t="s">
        <v>914</v>
      </c>
      <c r="P1074" s="6"/>
      <c r="Q1074" s="6" t="str">
        <f t="shared" si="1"/>
        <v>#N/A</v>
      </c>
      <c r="R1074" s="6"/>
    </row>
    <row r="1075" hidden="1">
      <c r="A1075" s="31" t="str">
        <f>IFERROR(__xludf.DUMMYFUNCTION("""COMPUTED_VALUE"""),"711")</f>
        <v>711</v>
      </c>
      <c r="B1075" s="14" t="str">
        <f>IFERROR(__xludf.DUMMYFUNCTION("""COMPUTED_VALUE"""),"РЕН-26")</f>
        <v>РЕН-26</v>
      </c>
      <c r="C1075" s="14" t="str">
        <f>IFERROR(__xludf.DUMMYFUNCTION("""COMPUTED_VALUE"""),"ОКС")</f>
        <v>ОКС</v>
      </c>
      <c r="D1075" s="6"/>
      <c r="E1075" s="14" t="str">
        <f>IFERROR(__xludf.DUMMYFUNCTION("""COMPUTED_VALUE"""),"Жилые дома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домов по адресам: 3-я Прядильная ул., д. 13, к. 1; д. 13, к. 2; д. 13,"&amp;" к. 3; д. 11; ул. Никитинская, д. 8, к. 1; д. 8, к. 2) по адресу: г. Москва, район Измайлово, 3-я Прядильная ул., земельный участок 13 (3-я Прядильная ул., вл. 13)
 район Измайлово, 3-я Прядильная ул., земельный участок 13 (3-я Прядильная ул., вл. 13)")</f>
        <v>Жилые дома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домов по адресам: 3-я Прядильная ул., д. 13, к. 1; д. 13, к. 2; д. 13, к. 3; д. 11; ул. Никитинская, д. 8, к. 1; д. 8, к. 2) по адресу: г. Москва, район Измайлово, 3-я Прядильная ул., земельный участок 13 (3-я Прядильная ул., вл. 13)
 район Измайлово, 3-я Прядильная ул., земельный участок 13 (3-я Прядильная ул., вл. 13)</v>
      </c>
      <c r="F1075" s="25" t="str">
        <f>IFERROR(__xludf.DUMMYFUNCTION("""COMPUTED_VALUE"""),"55.798724")</f>
        <v>55.798724</v>
      </c>
      <c r="G1075" s="6" t="str">
        <f>IFERROR(__xludf.DUMMYFUNCTION("""COMPUTED_VALUE"""),"37.776426")</f>
        <v>37.776426</v>
      </c>
      <c r="H1075" s="18" t="str">
        <f>IFERROR(__xludf.DUMMYFUNCTION("""COMPUTED_VALUE"""),"https://docs.google.com/spreadsheets/d/1rbCD10ySi4YZEkJW2_Slmn9z7AI1WEsGsZaIJmnnT18/edit?gid=1127542232#gid=1127542232")</f>
        <v>https://docs.google.com/spreadsheets/d/1rbCD10ySi4YZEkJW2_Slmn9z7AI1WEsGsZaIJmnnT18/edit?gid=1127542232#gid=1127542232</v>
      </c>
      <c r="I1075" s="19" t="str">
        <f>IFERROR(__xludf.DUMMYFUNCTION("""COMPUTED_VALUE"""),"https://disk.yandex.ru/client/disk/Осмотры%20объектов%20АНО%20СМГ/711%203-я%20Прядильная%20ул.%2C%20зу%2013")</f>
        <v>https://disk.yandex.ru/client/disk/Осмотры%20объектов%20АНО%20СМГ/711%203-я%20Прядильная%20ул.%2C%20зу%2013</v>
      </c>
      <c r="J1075" s="50">
        <f>IFERROR(__xludf.DUMMYFUNCTION("""COMPUTED_VALUE"""),0.0)</f>
        <v>0</v>
      </c>
      <c r="K1075" s="58">
        <f>IFERROR(__xludf.DUMMYFUNCTION("""COMPUTED_VALUE"""),45968.0)</f>
        <v>45968</v>
      </c>
      <c r="L1075" s="6">
        <v>30.0</v>
      </c>
      <c r="M1075" s="52">
        <v>45998.0</v>
      </c>
      <c r="N1075" s="53" t="s">
        <v>711</v>
      </c>
      <c r="O1075" s="19" t="s">
        <v>669</v>
      </c>
      <c r="P1075" s="6"/>
      <c r="Q1075" s="6" t="str">
        <f t="shared" si="1"/>
        <v>#N/A</v>
      </c>
      <c r="R1075" s="6"/>
    </row>
    <row r="1076" hidden="1">
      <c r="A1076" s="31" t="str">
        <f>IFERROR(__xludf.DUMMYFUNCTION("""COMPUTED_VALUE"""),"1008")</f>
        <v>1008</v>
      </c>
      <c r="B1076" s="14" t="str">
        <f>IFERROR(__xludf.DUMMYFUNCTION("""COMPUTED_VALUE"""),"РЕН-26")</f>
        <v>РЕН-26</v>
      </c>
      <c r="C1076" s="14" t="str">
        <f>IFERROR(__xludf.DUMMYFUNCTION("""COMPUTED_VALUE"""),"ОКС")</f>
        <v>ОКС</v>
      </c>
      <c r="D1076" s="6"/>
      <c r="E1076" s="14" t="str">
        <f>IFERROR(__xludf.DUMMYFUNCTION("""COMPUTED_VALUE"""),"ул. Лётчика Бабушкина, з/у 41А, зона 5.2 район Бабушкинский, микрорайоны 10,13, зона № 5.2")</f>
        <v>ул. Лётчика Бабушкина, з/у 41А, зона 5.2 район Бабушкинский, микрорайоны 10,13, зона № 5.2</v>
      </c>
      <c r="F1076" s="25" t="str">
        <f>IFERROR(__xludf.DUMMYFUNCTION("""COMPUTED_VALUE"""),"55.875682")</f>
        <v>55.875682</v>
      </c>
      <c r="G1076" s="6" t="str">
        <f>IFERROR(__xludf.DUMMYFUNCTION("""COMPUTED_VALUE"""),"37.678788")</f>
        <v>37.678788</v>
      </c>
      <c r="H1076" s="18" t="str">
        <f>IFERROR(__xludf.DUMMYFUNCTION("""COMPUTED_VALUE"""),"https://docs.google.com/spreadsheets/d/1rbCD10ySi4YZEkJW2_Slmn9z7AI1WEsGsZaIJmnnT18/edit?gid=422760194#gid=422760194")</f>
        <v>https://docs.google.com/spreadsheets/d/1rbCD10ySi4YZEkJW2_Slmn9z7AI1WEsGsZaIJmnnT18/edit?gid=422760194#gid=422760194</v>
      </c>
      <c r="I1076" s="19" t="str">
        <f>IFERROR(__xludf.DUMMYFUNCTION("""COMPUTED_VALUE"""),"https://disk.yandex.ru/client/disk/Осмотры%20объектов%20АНО%20СМГ/1008.%20Лётчика%20Бабушкина%2C%20зу%2041А%2C%20зона%205.2")</f>
        <v>https://disk.yandex.ru/client/disk/Осмотры%20объектов%20АНО%20СМГ/1008.%20Лётчика%20Бабушкина%2C%20зу%2041А%2C%20зона%205.2</v>
      </c>
      <c r="J1076" s="50">
        <f>IFERROR(__xludf.DUMMYFUNCTION("""COMPUTED_VALUE"""),0.0)</f>
        <v>0</v>
      </c>
      <c r="K1076" s="58">
        <f>IFERROR(__xludf.DUMMYFUNCTION("""COMPUTED_VALUE"""),45961.0)</f>
        <v>45961</v>
      </c>
      <c r="L1076" s="6">
        <v>30.0</v>
      </c>
      <c r="M1076" s="52">
        <v>45991.0</v>
      </c>
      <c r="N1076" s="53" t="s">
        <v>692</v>
      </c>
      <c r="O1076" s="19" t="s">
        <v>1220</v>
      </c>
      <c r="P1076" s="6"/>
      <c r="Q1076" s="6" t="str">
        <f t="shared" si="1"/>
        <v>#N/A</v>
      </c>
      <c r="R1076" s="6"/>
    </row>
    <row r="1077" hidden="1">
      <c r="A1077" s="31" t="str">
        <f>IFERROR(__xludf.DUMMYFUNCTION("""COMPUTED_VALUE"""),"1351")</f>
        <v>1351</v>
      </c>
      <c r="B1077" s="14" t="str">
        <f>IFERROR(__xludf.DUMMYFUNCTION("""COMPUTED_VALUE"""),"РЕН-26")</f>
        <v>РЕН-26</v>
      </c>
      <c r="C1077" s="14" t="str">
        <f>IFERROR(__xludf.DUMMYFUNCTION("""COMPUTED_VALUE"""),"ОКС")</f>
        <v>ОКС</v>
      </c>
      <c r="D1077" s="6"/>
      <c r="E1077" s="14" t="str">
        <f>IFERROR(__xludf.DUMMYFUNCTION("""COMPUTED_VALUE"""),"Живописная ул., вл. 34, корп. 1 Живописная ул., вл. 34, корп. 1")</f>
        <v>Живописная ул., вл. 34, корп. 1 Живописная ул., вл. 34, корп. 1</v>
      </c>
      <c r="F1077" s="25" t="str">
        <f>IFERROR(__xludf.DUMMYFUNCTION("""COMPUTED_VALUE"""),"55.793682")</f>
        <v>55.793682</v>
      </c>
      <c r="G1077" s="6" t="str">
        <f>IFERROR(__xludf.DUMMYFUNCTION("""COMPUTED_VALUE"""),"37.455058")</f>
        <v>37.455058</v>
      </c>
      <c r="H1077" s="18" t="str">
        <f>IFERROR(__xludf.DUMMYFUNCTION("""COMPUTED_VALUE"""),"https://docs.google.com/spreadsheets/d/1rbCD10ySi4YZEkJW2_Slmn9z7AI1WEsGsZaIJmnnT18/edit?gid=1435558213#gid=1435558213")</f>
        <v>https://docs.google.com/spreadsheets/d/1rbCD10ySi4YZEkJW2_Slmn9z7AI1WEsGsZaIJmnnT18/edit?gid=1435558213#gid=1435558213</v>
      </c>
      <c r="I1077" s="19"/>
      <c r="J1077" s="50">
        <f>IFERROR(__xludf.DUMMYFUNCTION("""COMPUTED_VALUE"""),0.15)</f>
        <v>0.15</v>
      </c>
      <c r="K1077" s="58">
        <f>IFERROR(__xludf.DUMMYFUNCTION("""COMPUTED_VALUE"""),45960.0)</f>
        <v>45960</v>
      </c>
      <c r="L1077" s="6">
        <v>30.0</v>
      </c>
      <c r="M1077" s="52">
        <v>45990.0</v>
      </c>
      <c r="N1077" s="53" t="s">
        <v>692</v>
      </c>
      <c r="O1077" s="19" t="s">
        <v>914</v>
      </c>
      <c r="P1077" s="6"/>
      <c r="Q1077" s="6" t="str">
        <f t="shared" si="1"/>
        <v>#N/A</v>
      </c>
      <c r="R1077" s="6"/>
    </row>
    <row r="1078" hidden="1">
      <c r="A1078" s="31" t="str">
        <f>IFERROR(__xludf.DUMMYFUNCTION("""COMPUTED_VALUE"""),"979")</f>
        <v>979</v>
      </c>
      <c r="B1078" s="14" t="str">
        <f>IFERROR(__xludf.DUMMYFUNCTION("""COMPUTED_VALUE"""),"РЕН-27")</f>
        <v>РЕН-27</v>
      </c>
      <c r="C1078" s="14" t="str">
        <f>IFERROR(__xludf.DUMMYFUNCTION("""COMPUTED_VALUE"""),"ОКС")</f>
        <v>ОКС</v>
      </c>
      <c r="D1078" s="6"/>
      <c r="E1078" s="14" t="str">
        <f>IFERROR(__xludf.DUMMYFUNCTION("""COMPUTED_VALUE"""),"Жилой дом с инженерными сетями и благоустройством территории (со сносом жилого дома по адресу: ул. Судостроительная, д.7, корп.1), ЮАО, район Нагатинский затон, ул. Судостроительная, влд.7, корп.1 ул. Судостроительная, з/у 7/1/3 (ул. Судостроительная, вл."&amp;"7, корп.1)")</f>
        <v>Жилой дом с инженерными сетями и благоустройством территории (со сносом жилого дома по адресу: ул. Судостроительная, д.7, корп.1), ЮАО, район Нагатинский затон, ул. Судостроительная, влд.7, корп.1 ул. Судостроительная, з/у 7/1/3 (ул. Судостроительная, вл.7, корп.1)</v>
      </c>
      <c r="F1078" s="25" t="str">
        <f>IFERROR(__xludf.DUMMYFUNCTION("""COMPUTED_VALUE"""),"55.680208697843945")</f>
        <v>55.680208697843945</v>
      </c>
      <c r="G1078" s="6" t="str">
        <f>IFERROR(__xludf.DUMMYFUNCTION("""COMPUTED_VALUE"""),"37.669529982802665")</f>
        <v>37.669529982802665</v>
      </c>
      <c r="H1078" s="18" t="str">
        <f>IFERROR(__xludf.DUMMYFUNCTION("""COMPUTED_VALUE"""),"https://docs.google.com/spreadsheets/d/1lEcUd4exxkr5Za3IYZ0vdFNfMubnuMOOMXfmF3GYC9I/edit?gid=546209828#gid=546209828")</f>
        <v>https://docs.google.com/spreadsheets/d/1lEcUd4exxkr5Za3IYZ0vdFNfMubnuMOOMXfmF3GYC9I/edit?gid=546209828#gid=546209828</v>
      </c>
      <c r="I1078" s="19" t="str">
        <f>IFERROR(__xludf.DUMMYFUNCTION("""COMPUTED_VALUE"""),"https://disk.yandex.ru/client/disk/Осмотры%20объектов%20АНО%20СМГ/979.%20ул.%20Судостроительная%2C%20з.у%207.1.3%20(у")</f>
        <v>https://disk.yandex.ru/client/disk/Осмотры%20объектов%20АНО%20СМГ/979.%20ул.%20Судостроительная%2C%20з.у%207.1.3%20(у</v>
      </c>
      <c r="J1078" s="50">
        <f>IFERROR(__xludf.DUMMYFUNCTION("""COMPUTED_VALUE"""),0.0)</f>
        <v>0</v>
      </c>
      <c r="K1078" s="58">
        <f>IFERROR(__xludf.DUMMYFUNCTION("""COMPUTED_VALUE"""),45819.0)</f>
        <v>45819</v>
      </c>
      <c r="L1078" s="6">
        <v>30.0</v>
      </c>
      <c r="M1078" s="52">
        <v>45849.0</v>
      </c>
      <c r="N1078" s="53" t="s">
        <v>668</v>
      </c>
      <c r="O1078" s="19" t="s">
        <v>669</v>
      </c>
      <c r="P1078" s="6"/>
      <c r="Q1078" s="6" t="str">
        <f t="shared" si="1"/>
        <v>#N/A</v>
      </c>
      <c r="R1078" s="6"/>
    </row>
    <row r="1079" hidden="1">
      <c r="A1079" s="31" t="str">
        <f>IFERROR(__xludf.DUMMYFUNCTION("""COMPUTED_VALUE"""),"974")</f>
        <v>974</v>
      </c>
      <c r="B1079" s="14" t="str">
        <f>IFERROR(__xludf.DUMMYFUNCTION("""COMPUTED_VALUE"""),"РЕН-27")</f>
        <v>РЕН-27</v>
      </c>
      <c r="C1079" s="14" t="str">
        <f>IFERROR(__xludf.DUMMYFUNCTION("""COMPUTED_VALUE"""),"ОКС")</f>
        <v>ОКС</v>
      </c>
      <c r="D1079" s="6"/>
      <c r="E1079" s="14" t="str">
        <f>IFERROR(__xludf.DUMMYFUNCTION("""COMPUTED_VALUE"""),"Жилой дом с инженерными сетями и благоустройством территории, СВАО, район Марьина Роща, Анненская ул., вл. 5, 7, 9 Анненская ул., з/у 9 (Анненская ул., вл. 5, 7, 9)")</f>
        <v>Жилой дом с инженерными сетями и благоустройством территории, СВАО, район Марьина Роща, Анненская ул., вл. 5, 7, 9 Анненская ул., з/у 9 (Анненская ул., вл. 5, 7, 9)</v>
      </c>
      <c r="F1079" s="25" t="str">
        <f>IFERROR(__xludf.DUMMYFUNCTION("""COMPUTED_VALUE"""),"55.80511705712661")</f>
        <v>55.80511705712661</v>
      </c>
      <c r="G1079" s="6" t="str">
        <f>IFERROR(__xludf.DUMMYFUNCTION("""COMPUTED_VALUE"""),"37.60923981349092")</f>
        <v>37.60923981349092</v>
      </c>
      <c r="H1079" s="18" t="str">
        <f>IFERROR(__xludf.DUMMYFUNCTION("""COMPUTED_VALUE"""),"https://docs.google.com/spreadsheets/d/1lEcUd4exxkr5Za3IYZ0vdFNfMubnuMOOMXfmF3GYC9I/edit?gid=953512789#gid=953512789")</f>
        <v>https://docs.google.com/spreadsheets/d/1lEcUd4exxkr5Za3IYZ0vdFNfMubnuMOOMXfmF3GYC9I/edit?gid=953512789#gid=953512789</v>
      </c>
      <c r="I1079" s="19" t="str">
        <f>IFERROR(__xludf.DUMMYFUNCTION("""COMPUTED_VALUE"""),"https://disk.yandex.ru/client/disk/Осмотры%20объектов%20АНО%20СМГ/974.%20Анненская%20ул.%2C%20з.у.%209%20(Анненская%20ул.%2C%20вл.%205%2C%207%2C%209)")</f>
        <v>https://disk.yandex.ru/client/disk/Осмотры%20объектов%20АНО%20СМГ/974.%20Анненская%20ул.%2C%20з.у.%209%20(Анненская%20ул.%2C%20вл.%205%2C%207%2C%209)</v>
      </c>
      <c r="J1079" s="50">
        <f>IFERROR(__xludf.DUMMYFUNCTION("""COMPUTED_VALUE"""),0.44999999999999996)</f>
        <v>0.45</v>
      </c>
      <c r="K1079" s="58">
        <f>IFERROR(__xludf.DUMMYFUNCTION("""COMPUTED_VALUE"""),45905.0)</f>
        <v>45905</v>
      </c>
      <c r="L1079" s="6">
        <v>30.0</v>
      </c>
      <c r="M1079" s="52">
        <v>45935.0</v>
      </c>
      <c r="N1079" s="53" t="s">
        <v>668</v>
      </c>
      <c r="O1079" s="19" t="s">
        <v>669</v>
      </c>
      <c r="P1079" s="6"/>
      <c r="Q1079" s="6" t="str">
        <f t="shared" si="1"/>
        <v>#N/A</v>
      </c>
      <c r="R1079" s="6"/>
    </row>
    <row r="1080" hidden="1">
      <c r="A1080" s="31" t="str">
        <f>IFERROR(__xludf.DUMMYFUNCTION("""COMPUTED_VALUE"""),"741")</f>
        <v>741</v>
      </c>
      <c r="B1080" s="14" t="str">
        <f>IFERROR(__xludf.DUMMYFUNCTION("""COMPUTED_VALUE"""),"РЕН-27")</f>
        <v>РЕН-27</v>
      </c>
      <c r="C1080" s="14" t="str">
        <f>IFERROR(__xludf.DUMMYFUNCTION("""COMPUTED_VALUE"""),"ОКС")</f>
        <v>ОКС</v>
      </c>
      <c r="D1080" s="6"/>
      <c r="E1080" s="14" t="str">
        <f>IFERROR(__xludf.DUMMYFUNCTION("""COMPUTED_VALUE"""),"Жилой дом с подземной автостоянкой с инженерными сетями и благоустройством территории (со сносом жилых домов по адресам: ул. Матросова, д. 21, ул. Матросова, д. 23, ул. Матросова, д. 25, ул. Матросова, д. 27, ул. Матросова, д. 29), ЗАО, район Солнцево, ул"&amp;"/ Матросова, земельный участок 29/1 (Матросова ул., вл. 21-29) улица Матросова, земельный участок 29/1 (Матросова ул., вл. 21-29)")</f>
        <v>Жилой дом с подземной автостоянкой с инженерными сетями и благоустройством территории (со сносом жилых домов по адресам: ул. Матросова, д. 21, ул. Матросова, д. 23, ул. Матросова, д. 25, ул. Матросова, д. 27, ул. Матросова, д. 29), ЗАО, район Солнцево, ул/ Матросова, земельный участок 29/1 (Матросова ул., вл. 21-29) улица Матросова, земельный участок 29/1 (Матросова ул., вл. 21-29)</v>
      </c>
      <c r="F1080" s="25" t="str">
        <f>IFERROR(__xludf.DUMMYFUNCTION("""COMPUTED_VALUE"""),"55.6634893277771")</f>
        <v>55.6634893277771</v>
      </c>
      <c r="G1080" s="6" t="str">
        <f>IFERROR(__xludf.DUMMYFUNCTION("""COMPUTED_VALUE"""),"37.41668534987548")</f>
        <v>37.41668534987548</v>
      </c>
      <c r="H1080" s="18" t="str">
        <f>IFERROR(__xludf.DUMMYFUNCTION("""COMPUTED_VALUE"""),"https://docs.google.com/spreadsheets/d/1lEcUd4exxkr5Za3IYZ0vdFNfMubnuMOOMXfmF3GYC9I/edit?gid=1238624487#gid=1238624487")</f>
        <v>https://docs.google.com/spreadsheets/d/1lEcUd4exxkr5Za3IYZ0vdFNfMubnuMOOMXfmF3GYC9I/edit?gid=1238624487#gid=1238624487</v>
      </c>
      <c r="I1080" s="19" t="str">
        <f>IFERROR(__xludf.DUMMYFUNCTION("""COMPUTED_VALUE"""),"https://disk.yandex.ru/client/disk/Осмотры%20объектов%20АНО%20СМГ/741.%20улица%20Матросова%2C%20земельный%20участок%2029-1%20Матросова%20ул.%2C%20вл.%2021-29")</f>
        <v>https://disk.yandex.ru/client/disk/Осмотры%20объектов%20АНО%20СМГ/741.%20улица%20Матросова%2C%20земельный%20участок%2029-1%20Матросова%20ул.%2C%20вл.%2021-29</v>
      </c>
      <c r="J1080" s="50">
        <f>IFERROR(__xludf.DUMMYFUNCTION("""COMPUTED_VALUE"""),3.6000000000000005)</f>
        <v>3.6</v>
      </c>
      <c r="K1080" s="58">
        <f>IFERROR(__xludf.DUMMYFUNCTION("""COMPUTED_VALUE"""),45819.0)</f>
        <v>45819</v>
      </c>
      <c r="L1080" s="6">
        <v>30.0</v>
      </c>
      <c r="M1080" s="52">
        <v>45849.0</v>
      </c>
      <c r="N1080" s="53" t="s">
        <v>668</v>
      </c>
      <c r="O1080" s="19" t="s">
        <v>669</v>
      </c>
      <c r="P1080" s="6"/>
      <c r="Q1080" s="6" t="str">
        <f t="shared" si="1"/>
        <v>#N/A</v>
      </c>
      <c r="R1080" s="6"/>
    </row>
    <row r="1081" hidden="1">
      <c r="A1081" s="31" t="str">
        <f>IFERROR(__xludf.DUMMYFUNCTION("""COMPUTED_VALUE"""),"750")</f>
        <v>750</v>
      </c>
      <c r="B1081" s="14" t="str">
        <f>IFERROR(__xludf.DUMMYFUNCTION("""COMPUTED_VALUE"""),"РЕН-27")</f>
        <v>РЕН-27</v>
      </c>
      <c r="C1081" s="14" t="str">
        <f>IFERROR(__xludf.DUMMYFUNCTION("""COMPUTED_VALUE"""),"ОКС")</f>
        <v>ОКС</v>
      </c>
      <c r="D1081" s="6"/>
      <c r="E1081"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"&amp;"Коровинское ш., д. 29Б, Ангарская ул., д.31, д.29) по адресу: г. Москва, внутригородское муниципальное образование Западное Дегунино, улица Ангарская, земельный участок 29 (САО) ул. Ангарская, з/у 29")</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Коровинское ш., д. 29Б, Ангарская ул., д.31, д.29) по адресу: г. Москва, внутригородское муниципальное образование Западное Дегунино, улица Ангарская, земельный участок 29 (САО) ул. Ангарская, з/у 29</v>
      </c>
      <c r="F1081" s="25" t="str">
        <f>IFERROR(__xludf.DUMMYFUNCTION("""COMPUTED_VALUE"""),"55.878091")</f>
        <v>55.878091</v>
      </c>
      <c r="G1081" s="6" t="str">
        <f>IFERROR(__xludf.DUMMYFUNCTION("""COMPUTED_VALUE"""),"37.519755")</f>
        <v>37.519755</v>
      </c>
      <c r="H1081" s="18" t="str">
        <f>IFERROR(__xludf.DUMMYFUNCTION("""COMPUTED_VALUE"""),"https://docs.google.com/spreadsheets/d/1lEcUd4exxkr5Za3IYZ0vdFNfMubnuMOOMXfmF3GYC9I/edit?gid=1260602750#gid=1260602750")</f>
        <v>https://docs.google.com/spreadsheets/d/1lEcUd4exxkr5Za3IYZ0vdFNfMubnuMOOMXfmF3GYC9I/edit?gid=1260602750#gid=1260602750</v>
      </c>
      <c r="I1081" s="19" t="str">
        <f>IFERROR(__xludf.DUMMYFUNCTION("""COMPUTED_VALUE"""),"https://disk.yandex.ru/client/disk/Осмотры%20объектов%20АНО%20СМГ/750.%20Ангарская%2029")</f>
        <v>https://disk.yandex.ru/client/disk/Осмотры%20объектов%20АНО%20СМГ/750.%20Ангарская%2029</v>
      </c>
      <c r="J1081" s="50">
        <f>IFERROR(__xludf.DUMMYFUNCTION("""COMPUTED_VALUE"""),0.0)</f>
        <v>0</v>
      </c>
      <c r="K1081" s="58">
        <f>IFERROR(__xludf.DUMMYFUNCTION("""COMPUTED_VALUE"""),45679.0)</f>
        <v>45679</v>
      </c>
      <c r="L1081" s="6">
        <v>30.0</v>
      </c>
      <c r="M1081" s="52">
        <v>45709.0</v>
      </c>
      <c r="N1081" s="53" t="s">
        <v>668</v>
      </c>
      <c r="O1081" s="19" t="s">
        <v>914</v>
      </c>
      <c r="P1081" s="6"/>
      <c r="Q1081" s="6" t="str">
        <f t="shared" si="1"/>
        <v>#N/A</v>
      </c>
      <c r="R1081" s="6"/>
    </row>
    <row r="1082" hidden="1">
      <c r="A1082" s="31" t="str">
        <f>IFERROR(__xludf.DUMMYFUNCTION("""COMPUTED_VALUE"""),"753")</f>
        <v>753</v>
      </c>
      <c r="B1082" s="14" t="str">
        <f>IFERROR(__xludf.DUMMYFUNCTION("""COMPUTED_VALUE"""),"РЕН-27")</f>
        <v>РЕН-27</v>
      </c>
      <c r="C1082" s="14" t="str">
        <f>IFERROR(__xludf.DUMMYFUNCTION("""COMPUTED_VALUE"""),"ОКС")</f>
        <v>ОКС</v>
      </c>
      <c r="D1082" s="6"/>
      <c r="E1082"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"&amp;"Ангарская ул., д. 23 к.4, д. 27, д. 25) по адресу: район Западное Дегунино, ул. Ангарская, земельный участок 25 ул. Ангарская, К14 (Зона 5.5, ЖУ12)")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г. Москва, район Западное Дегунино, микрорайон 11, 12, Ангарская ул., д. 23 к.4, д. 27, д. 25) по адресу: район Западное Дегунино, ул. Ангарская, земельный участок 25 ул. Ангарская, К14 (Зона 5.5, ЖУ12)</v>
      </c>
      <c r="F1082" s="25" t="str">
        <f>IFERROR(__xludf.DUMMYFUNCTION("""COMPUTED_VALUE"""),"55.877228066032956")</f>
        <v>55.877228066032956</v>
      </c>
      <c r="G1082" s="6" t="str">
        <f>IFERROR(__xludf.DUMMYFUNCTION("""COMPUTED_VALUE"""),"37.5184728664093")</f>
        <v>37.5184728664093</v>
      </c>
      <c r="H1082" s="18" t="str">
        <f>IFERROR(__xludf.DUMMYFUNCTION("""COMPUTED_VALUE"""),"https://docs.google.com/spreadsheets/d/1lEcUd4exxkr5Za3IYZ0vdFNfMubnuMOOMXfmF3GYC9I/edit?gid=2065426247#gid=2065426247")</f>
        <v>https://docs.google.com/spreadsheets/d/1lEcUd4exxkr5Za3IYZ0vdFNfMubnuMOOMXfmF3GYC9I/edit?gid=2065426247#gid=2065426247</v>
      </c>
      <c r="I1082" s="19" t="str">
        <f>IFERROR(__xludf.DUMMYFUNCTION("""COMPUTED_VALUE"""),"https://disk.yandex.ru/client/disk/Осмотры%20объектов%20АНО%20СМГ/753.%20Ангарская%20ул.%2C%20к%2014")</f>
        <v>https://disk.yandex.ru/client/disk/Осмотры%20объектов%20АНО%20СМГ/753.%20Ангарская%20ул.%2C%20к%2014</v>
      </c>
      <c r="J1082" s="50">
        <f>IFERROR(__xludf.DUMMYFUNCTION("""COMPUTED_VALUE"""),0.0)</f>
        <v>0</v>
      </c>
      <c r="K1082" s="58">
        <f>IFERROR(__xludf.DUMMYFUNCTION("""COMPUTED_VALUE"""),45679.0)</f>
        <v>45679</v>
      </c>
      <c r="L1082" s="6">
        <v>30.0</v>
      </c>
      <c r="M1082" s="52">
        <v>45709.0</v>
      </c>
      <c r="N1082" s="53" t="s">
        <v>668</v>
      </c>
      <c r="O1082" s="19" t="s">
        <v>914</v>
      </c>
      <c r="P1082" s="6"/>
      <c r="Q1082" s="6" t="str">
        <f t="shared" si="1"/>
        <v>#N/A</v>
      </c>
      <c r="R1082" s="6"/>
    </row>
    <row r="1083" hidden="1">
      <c r="A1083" s="31" t="str">
        <f>IFERROR(__xludf.DUMMYFUNCTION("""COMPUTED_VALUE"""),"754")</f>
        <v>754</v>
      </c>
      <c r="B1083" s="14" t="str">
        <f>IFERROR(__xludf.DUMMYFUNCTION("""COMPUTED_VALUE"""),"РЕН-27")</f>
        <v>РЕН-27</v>
      </c>
      <c r="C1083" s="14" t="str">
        <f>IFERROR(__xludf.DUMMYFUNCTION("""COMPUTED_VALUE"""),"ОКС")</f>
        <v>ОКС</v>
      </c>
      <c r="D1083" s="6"/>
      <c r="E108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район Западное Дегунино, микрорайон 11, 12, Коровинское"&amp;" ш., д. 33, д. 31) по адресу: район Западное Дегунино, Коровинское шоссе, земельный участок 31/33 Коровинское ш., К8, К9, К10 (Зона 2.2, ЖУ5) ЗУ 31/33")</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район Западное Дегунино, микрорайон 11, 12, Коровинское ш., д. 33, д. 31) по адресу: район Западное Дегунино, Коровинское шоссе, земельный участок 31/33 Коровинское ш., К8, К9, К10 (Зона 2.2, ЖУ5) ЗУ 31/33</v>
      </c>
      <c r="F1083" s="25" t="str">
        <f>IFERROR(__xludf.DUMMYFUNCTION("""COMPUTED_VALUE"""),"55.881697")</f>
        <v>55.881697</v>
      </c>
      <c r="G1083" s="6" t="str">
        <f>IFERROR(__xludf.DUMMYFUNCTION("""COMPUTED_VALUE"""),"37.518928")</f>
        <v>37.518928</v>
      </c>
      <c r="H1083" s="18" t="str">
        <f>IFERROR(__xludf.DUMMYFUNCTION("""COMPUTED_VALUE"""),"https://docs.google.com/spreadsheets/d/1lEcUd4exxkr5Za3IYZ0vdFNfMubnuMOOMXfmF3GYC9I/edit?gid=1465150080#gid=1465150080")</f>
        <v>https://docs.google.com/spreadsheets/d/1lEcUd4exxkr5Za3IYZ0vdFNfMubnuMOOMXfmF3GYC9I/edit?gid=1465150080#gid=1465150080</v>
      </c>
      <c r="I1083" s="19" t="str">
        <f>IFERROR(__xludf.DUMMYFUNCTION("""COMPUTED_VALUE"""),"https://disk.yandex.ru/client/disk/Осмотры%20объектов%20АНО%20СМГ/754.%20Коровинское%20ш.%2C%20к%208%2C%20к%209%2C%20к%2010")</f>
        <v>https://disk.yandex.ru/client/disk/Осмотры%20объектов%20АНО%20СМГ/754.%20Коровинское%20ш.%2C%20к%208%2C%20к%209%2C%20к%2010</v>
      </c>
      <c r="J1083" s="50">
        <f>IFERROR(__xludf.DUMMYFUNCTION("""COMPUTED_VALUE"""),0.0)</f>
        <v>0</v>
      </c>
      <c r="K1083" s="58">
        <f>IFERROR(__xludf.DUMMYFUNCTION("""COMPUTED_VALUE"""),45679.0)</f>
        <v>45679</v>
      </c>
      <c r="L1083" s="6">
        <v>30.0</v>
      </c>
      <c r="M1083" s="52">
        <v>45709.0</v>
      </c>
      <c r="N1083" s="53" t="s">
        <v>668</v>
      </c>
      <c r="O1083" s="19" t="s">
        <v>914</v>
      </c>
      <c r="P1083" s="6"/>
      <c r="Q1083" s="6" t="str">
        <f t="shared" si="1"/>
        <v>#N/A</v>
      </c>
      <c r="R1083" s="6"/>
    </row>
    <row r="1084" hidden="1">
      <c r="A1084" s="31" t="str">
        <f>IFERROR(__xludf.DUMMYFUNCTION("""COMPUTED_VALUE"""),"755")</f>
        <v>755</v>
      </c>
      <c r="B1084" s="14" t="str">
        <f>IFERROR(__xludf.DUMMYFUNCTION("""COMPUTED_VALUE"""),"РЕН-27")</f>
        <v>РЕН-27</v>
      </c>
      <c r="C1084" s="14" t="str">
        <f>IFERROR(__xludf.DUMMYFUNCTION("""COMPUTED_VALUE"""),"ОКС")</f>
        <v>ОКС</v>
      </c>
      <c r="D1084" s="6"/>
      <c r="E1084" s="14" t="str">
        <f>IFERROR(__xludf.DUMMYFUNCTION("""COMPUTED_VALUE"""),"Жилой дом с инженерными сетями и благоустройством территории по адресу: г. Москва, ЗАО, район Очаково-Матвеевское, улица Большая Очаковская, вл. 20 (со сносом) Большая Очаковская ул., вл. 20")</f>
        <v>Жилой дом с инженерными сетями и благоустройством территории по адресу: г. Москва, ЗАО, район Очаково-Матвеевское, улица Большая Очаковская, вл. 20 (со сносом) Большая Очаковская ул., вл. 20</v>
      </c>
      <c r="F1084" s="25" t="str">
        <f>IFERROR(__xludf.DUMMYFUNCTION("""COMPUTED_VALUE"""),"55.674560725083026")</f>
        <v>55.674560725083026</v>
      </c>
      <c r="G1084" s="6" t="str">
        <f>IFERROR(__xludf.DUMMYFUNCTION("""COMPUTED_VALUE"""),"37.446576724790994")</f>
        <v>37.446576724790994</v>
      </c>
      <c r="H1084" s="18" t="str">
        <f>IFERROR(__xludf.DUMMYFUNCTION("""COMPUTED_VALUE"""),"https://docs.google.com/spreadsheets/d/1lEcUd4exxkr5Za3IYZ0vdFNfMubnuMOOMXfmF3GYC9I/edit?gid=2050581417#gid=2050581417")</f>
        <v>https://docs.google.com/spreadsheets/d/1lEcUd4exxkr5Za3IYZ0vdFNfMubnuMOOMXfmF3GYC9I/edit?gid=2050581417#gid=2050581417</v>
      </c>
      <c r="I1084" s="19" t="str">
        <f>IFERROR(__xludf.DUMMYFUNCTION("""COMPUTED_VALUE"""),"https://disk.yandex.ru/client/disk/Осмотры%20объектов%20АНО%20СМГ/755.%20Большая%20Очаковская%20ул.%2C%20вл.%2020")</f>
        <v>https://disk.yandex.ru/client/disk/Осмотры%20объектов%20АНО%20СМГ/755.%20Большая%20Очаковская%20ул.%2C%20вл.%2020</v>
      </c>
      <c r="J1084" s="50">
        <f>IFERROR(__xludf.DUMMYFUNCTION("""COMPUTED_VALUE"""),0.0)</f>
        <v>0</v>
      </c>
      <c r="K1084" s="58">
        <f>IFERROR(__xludf.DUMMYFUNCTION("""COMPUTED_VALUE"""),45819.0)</f>
        <v>45819</v>
      </c>
      <c r="L1084" s="6">
        <v>30.0</v>
      </c>
      <c r="M1084" s="52">
        <v>45849.0</v>
      </c>
      <c r="N1084" s="53" t="s">
        <v>668</v>
      </c>
      <c r="O1084" s="19" t="s">
        <v>914</v>
      </c>
      <c r="P1084" s="6"/>
      <c r="Q1084" s="6" t="str">
        <f t="shared" si="1"/>
        <v>#N/A</v>
      </c>
      <c r="R1084" s="6"/>
    </row>
    <row r="1085" hidden="1">
      <c r="A1085" s="31" t="str">
        <f>IFERROR(__xludf.DUMMYFUNCTION("""COMPUTED_VALUE"""),"756")</f>
        <v>756</v>
      </c>
      <c r="B1085" s="14" t="str">
        <f>IFERROR(__xludf.DUMMYFUNCTION("""COMPUTED_VALUE"""),"РЕН-27")</f>
        <v>РЕН-27</v>
      </c>
      <c r="C1085" s="14" t="str">
        <f>IFERROR(__xludf.DUMMYFUNCTION("""COMPUTED_VALUE"""),"ОКС")</f>
        <v>ОКС</v>
      </c>
      <c r="D1085" s="6"/>
      <c r="E1085" s="14" t="str">
        <f>IFERROR(__xludf.DUMMYFUNCTION("""COMPUTED_VALUE"""),"Жилой дом с инженерными сетями и благоустройством территории по адресу: г. Москва, ЗАО, район Очаково-Матвеевское, улица Озерная, вл. 6 Озерная ул., вл. 6")</f>
        <v>Жилой дом с инженерными сетями и благоустройством территории по адресу: г. Москва, ЗАО, район Очаково-Матвеевское, улица Озерная, вл. 6 Озерная ул., вл. 6</v>
      </c>
      <c r="F1085" s="25" t="str">
        <f>IFERROR(__xludf.DUMMYFUNCTION("""COMPUTED_VALUE"""),"55.682204")</f>
        <v>55.682204</v>
      </c>
      <c r="G1085" s="6" t="str">
        <f>IFERROR(__xludf.DUMMYFUNCTION("""COMPUTED_VALUE"""),"37.459658")</f>
        <v>37.459658</v>
      </c>
      <c r="H1085" s="18" t="str">
        <f>IFERROR(__xludf.DUMMYFUNCTION("""COMPUTED_VALUE"""),"https://docs.google.com/spreadsheets/d/1lEcUd4exxkr5Za3IYZ0vdFNfMubnuMOOMXfmF3GYC9I/edit?gid=661362059#gid=661362059")</f>
        <v>https://docs.google.com/spreadsheets/d/1lEcUd4exxkr5Za3IYZ0vdFNfMubnuMOOMXfmF3GYC9I/edit?gid=661362059#gid=661362059</v>
      </c>
      <c r="I1085" s="19" t="str">
        <f>IFERROR(__xludf.DUMMYFUNCTION("""COMPUTED_VALUE"""),"https://disk.yandex.ru/client/disk/Осмотры%20объектов%20АНО%20СМГ/756.%20Озерная%20ул.%2C%20вл.%206")</f>
        <v>https://disk.yandex.ru/client/disk/Осмотры%20объектов%20АНО%20СМГ/756.%20Озерная%20ул.%2C%20вл.%206</v>
      </c>
      <c r="J1085" s="50">
        <f>IFERROR(__xludf.DUMMYFUNCTION("""COMPUTED_VALUE"""),0.0)</f>
        <v>0</v>
      </c>
      <c r="K1085" s="58">
        <f>IFERROR(__xludf.DUMMYFUNCTION("""COMPUTED_VALUE"""),45819.0)</f>
        <v>45819</v>
      </c>
      <c r="L1085" s="6">
        <v>30.0</v>
      </c>
      <c r="M1085" s="52">
        <v>45849.0</v>
      </c>
      <c r="N1085" s="53" t="s">
        <v>668</v>
      </c>
      <c r="O1085" s="19" t="s">
        <v>914</v>
      </c>
      <c r="P1085" s="6"/>
      <c r="Q1085" s="6" t="str">
        <f t="shared" si="1"/>
        <v>#N/A</v>
      </c>
      <c r="R1085" s="6"/>
    </row>
    <row r="1086" hidden="1">
      <c r="A1086" s="31" t="str">
        <f>IFERROR(__xludf.DUMMYFUNCTION("""COMPUTED_VALUE"""),"757")</f>
        <v>757</v>
      </c>
      <c r="B1086" s="14" t="str">
        <f>IFERROR(__xludf.DUMMYFUNCTION("""COMPUTED_VALUE"""),"РЕН-27")</f>
        <v>РЕН-27</v>
      </c>
      <c r="C1086" s="14" t="str">
        <f>IFERROR(__xludf.DUMMYFUNCTION("""COMPUTED_VALUE"""),"ОКС")</f>
        <v>ОКС</v>
      </c>
      <c r="D1086" s="6"/>
      <c r="E1086" s="14" t="str">
        <f>IFERROR(__xludf.DUMMYFUNCTION("""COMPUTED_VALUE"""),"Жилой дом с инженерными сетями и благоустройством территории, ЗАО, район Кунцево, Молодогвардейская ул., вл. 54, 58 Молодогвардейская улица, 54 с.19 (Молодогвардейская ул., вл. 54,58")</f>
        <v>Жилой дом с инженерными сетями и благоустройством территории, ЗАО, район Кунцево, Молодогвардейская ул., вл. 54, 58 Молодогвардейская улица, 54 с.19 (Молодогвардейская ул., вл. 54,58</v>
      </c>
      <c r="F1086" s="25" t="str">
        <f>IFERROR(__xludf.DUMMYFUNCTION("""COMPUTED_VALUE"""),"55.736285")</f>
        <v>55.736285</v>
      </c>
      <c r="G1086" s="6" t="str">
        <f>IFERROR(__xludf.DUMMYFUNCTION("""COMPUTED_VALUE"""),"37.396084")</f>
        <v>37.396084</v>
      </c>
      <c r="H1086" s="18" t="str">
        <f>IFERROR(__xludf.DUMMYFUNCTION("""COMPUTED_VALUE"""),"https://docs.google.com/spreadsheets/d/1lEcUd4exxkr5Za3IYZ0vdFNfMubnuMOOMXfmF3GYC9I/edit?gid=1425191616#gid=1425191616")</f>
        <v>https://docs.google.com/spreadsheets/d/1lEcUd4exxkr5Za3IYZ0vdFNfMubnuMOOMXfmF3GYC9I/edit?gid=1425191616#gid=1425191616</v>
      </c>
      <c r="I1086" s="19" t="str">
        <f>IFERROR(__xludf.DUMMYFUNCTION("""COMPUTED_VALUE"""),"https://disk.yandex.ru/client/disk/Осмотры%20объектов%20АНО%20СМГ/757.%20Молодогвардейская%20улица%2C%2054с19")</f>
        <v>https://disk.yandex.ru/client/disk/Осмотры%20объектов%20АНО%20СМГ/757.%20Молодогвардейская%20улица%2C%2054с19</v>
      </c>
      <c r="J1086" s="50">
        <f>IFERROR(__xludf.DUMMYFUNCTION("""COMPUTED_VALUE"""),0.0)</f>
        <v>0</v>
      </c>
      <c r="K1086" s="58">
        <f>IFERROR(__xludf.DUMMYFUNCTION("""COMPUTED_VALUE"""),45824.0)</f>
        <v>45824</v>
      </c>
      <c r="L1086" s="6">
        <v>30.0</v>
      </c>
      <c r="M1086" s="52">
        <v>45854.0</v>
      </c>
      <c r="N1086" s="53" t="s">
        <v>668</v>
      </c>
      <c r="O1086" s="19" t="s">
        <v>914</v>
      </c>
      <c r="P1086" s="6"/>
      <c r="Q1086" s="6" t="str">
        <f t="shared" si="1"/>
        <v>#N/A</v>
      </c>
      <c r="R1086" s="6"/>
    </row>
    <row r="1087" hidden="1">
      <c r="A1087" s="31" t="str">
        <f>IFERROR(__xludf.DUMMYFUNCTION("""COMPUTED_VALUE"""),"765")</f>
        <v>765</v>
      </c>
      <c r="B1087" s="14" t="str">
        <f>IFERROR(__xludf.DUMMYFUNCTION("""COMPUTED_VALUE"""),"РЕН-27")</f>
        <v>РЕН-27</v>
      </c>
      <c r="C1087" s="14" t="str">
        <f>IFERROR(__xludf.DUMMYFUNCTION("""COMPUTED_VALUE"""),"ОКС")</f>
        <v>ОКС</v>
      </c>
      <c r="D1087" s="6"/>
      <c r="E1087"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д.20 к.2 и Самаркандский б-р. д.20 к.3) п"&amp;"о адресу: г. Москва, внутригородское муниципальное образование Выхино-Жулебино, Самаркандский бульвар, земельный участок 20/1/2 (Юго-Восточный административный округ) Самаркандский бульвар, земельный участок 20/1/2")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д.20 к.2 и Самаркандский б-р. д.20 к.3) по адресу: г. Москва, внутригородское муниципальное образование Выхино-Жулебино, Самаркандский бульвар, земельный участок 20/1/2 (Юго-Восточный административный округ) Самаркандский бульвар, земельный участок 20/1/2</v>
      </c>
      <c r="F1087" s="25" t="str">
        <f>IFERROR(__xludf.DUMMYFUNCTION("""COMPUTED_VALUE"""),"55.70277514939662")</f>
        <v>55.70277514939662</v>
      </c>
      <c r="G1087" s="6" t="str">
        <f>IFERROR(__xludf.DUMMYFUNCTION("""COMPUTED_VALUE"""),"37.820260957007655")</f>
        <v>37.820260957007655</v>
      </c>
      <c r="H1087" s="18" t="str">
        <f>IFERROR(__xludf.DUMMYFUNCTION("""COMPUTED_VALUE"""),"https://docs.google.com/spreadsheets/d/1lEcUd4exxkr5Za3IYZ0vdFNfMubnuMOOMXfmF3GYC9I/edit?gid=797603561#gid=797603561")</f>
        <v>https://docs.google.com/spreadsheets/d/1lEcUd4exxkr5Za3IYZ0vdFNfMubnuMOOMXfmF3GYC9I/edit?gid=797603561#gid=797603561</v>
      </c>
      <c r="I1087" s="19" t="str">
        <f>IFERROR(__xludf.DUMMYFUNCTION("""COMPUTED_VALUE"""),"https://disk.yandex.ru/client/disk/Осмотры%20объектов%20АНО%20СМГ/765.%20Самаркандский%20б-р%2020-1-2(реновация)")</f>
        <v>https://disk.yandex.ru/client/disk/Осмотры%20объектов%20АНО%20СМГ/765.%20Самаркандский%20б-р%2020-1-2(реновация)</v>
      </c>
      <c r="J1087" s="50">
        <f>IFERROR(__xludf.DUMMYFUNCTION("""COMPUTED_VALUE"""),0.0)</f>
        <v>0</v>
      </c>
      <c r="K1087" s="58">
        <f>IFERROR(__xludf.DUMMYFUNCTION("""COMPUTED_VALUE"""),45807.0)</f>
        <v>45807</v>
      </c>
      <c r="L1087" s="6">
        <v>30.0</v>
      </c>
      <c r="M1087" s="52">
        <v>45837.0</v>
      </c>
      <c r="N1087" s="53" t="s">
        <v>668</v>
      </c>
      <c r="O1087" s="19" t="s">
        <v>914</v>
      </c>
      <c r="P1087" s="6"/>
      <c r="Q1087" s="6" t="str">
        <f t="shared" si="1"/>
        <v>#N/A</v>
      </c>
      <c r="R1087" s="6"/>
    </row>
    <row r="1088" hidden="1">
      <c r="A1088" s="31" t="str">
        <f>IFERROR(__xludf.DUMMYFUNCTION("""COMPUTED_VALUE"""),"776")</f>
        <v>776</v>
      </c>
      <c r="B1088" s="14" t="str">
        <f>IFERROR(__xludf.DUMMYFUNCTION("""COMPUTED_VALUE"""),"РЕН-27")</f>
        <v>РЕН-27</v>
      </c>
      <c r="C1088" s="14" t="str">
        <f>IFERROR(__xludf.DUMMYFUNCTION("""COMPUTED_VALUE"""),"ОКС")</f>
        <v>ОКС</v>
      </c>
      <c r="D1088" s="6"/>
      <c r="E1088"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ул. Генерала Рычагова, дома: 20, 22, 24, 26), район Коп"&amp;"тево, ул. Генерала Рычагова, земельный участок 22 (Зоны 9.3, 9.5) ул. Генерала Рычагова, кв. 100, зона № 9.3")</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ул. Генерала Рычагова, дома: 20, 22, 24, 26), район Коптево, ул. Генерала Рычагова, земельный участок 22 (Зоны 9.3, 9.5) ул. Генерала Рычагова, кв. 100, зона № 9.3</v>
      </c>
      <c r="F1088" s="25" t="str">
        <f>IFERROR(__xludf.DUMMYFUNCTION("""COMPUTED_VALUE"""),"55.841291")</f>
        <v>55.841291</v>
      </c>
      <c r="G1088" s="6" t="str">
        <f>IFERROR(__xludf.DUMMYFUNCTION("""COMPUTED_VALUE"""),"37.539599")</f>
        <v>37.539599</v>
      </c>
      <c r="H1088" s="18" t="str">
        <f>IFERROR(__xludf.DUMMYFUNCTION("""COMPUTED_VALUE"""),"https://docs.google.com/spreadsheets/d/1lEcUd4exxkr5Za3IYZ0vdFNfMubnuMOOMXfmF3GYC9I/edit?gid=1117044536#gid=1117044536")</f>
        <v>https://docs.google.com/spreadsheets/d/1lEcUd4exxkr5Za3IYZ0vdFNfMubnuMOOMXfmF3GYC9I/edit?gid=1117044536#gid=1117044536</v>
      </c>
      <c r="I1088" s="19" t="str">
        <f>IFERROR(__xludf.DUMMYFUNCTION("""COMPUTED_VALUE"""),"https://disk.yandex.ru/client/disk/Осмотры%20объектов%20АНО%20СМГ/776.%20ул.%20Генерала%20Рычагова%2C%20кв.100")</f>
        <v>https://disk.yandex.ru/client/disk/Осмотры%20объектов%20АНО%20СМГ/776.%20ул.%20Генерала%20Рычагова%2C%20кв.100</v>
      </c>
      <c r="J1088" s="50">
        <f>IFERROR(__xludf.DUMMYFUNCTION("""COMPUTED_VALUE"""),0.0)</f>
        <v>0</v>
      </c>
      <c r="K1088" s="58">
        <f>IFERROR(__xludf.DUMMYFUNCTION("""COMPUTED_VALUE"""),45819.0)</f>
        <v>45819</v>
      </c>
      <c r="L1088" s="6">
        <v>30.0</v>
      </c>
      <c r="M1088" s="52">
        <v>45849.0</v>
      </c>
      <c r="N1088" s="53" t="s">
        <v>668</v>
      </c>
      <c r="O1088" s="19" t="s">
        <v>914</v>
      </c>
      <c r="P1088" s="6"/>
      <c r="Q1088" s="6" t="str">
        <f t="shared" si="1"/>
        <v>#N/A</v>
      </c>
      <c r="R1088" s="6"/>
    </row>
    <row r="1089" hidden="1">
      <c r="A1089" s="31" t="str">
        <f>IFERROR(__xludf.DUMMYFUNCTION("""COMPUTED_VALUE"""),"777")</f>
        <v>777</v>
      </c>
      <c r="B1089" s="14" t="str">
        <f>IFERROR(__xludf.DUMMYFUNCTION("""COMPUTED_VALUE"""),"РЕН-27")</f>
        <v>РЕН-27</v>
      </c>
      <c r="C1089" s="14" t="str">
        <f>IFERROR(__xludf.DUMMYFUNCTION("""COMPUTED_VALUE"""),"ОКС")</f>
        <v>ОКС</v>
      </c>
      <c r="D1089" s="6"/>
      <c r="E1089"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здания по адресу: ул. Героев Панфиловцев, д. 29, к. 2) по адресу: г. Москва, "&amp;"внутригородское муниципальное образование Северное Тушино, ул. Героев Панфиловцев, земельный участок 29 (Северо-Западный административный округ) ул. Героев Панфиловцев, земельный участок 29")</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жилого здания по адресу: ул. Героев Панфиловцев, д. 29, к. 2) по адресу: г. Москва, внутригородское муниципальное образование Северное Тушино, ул. Героев Панфиловцев, земельный участок 29 (Северо-Западный административный округ) ул. Героев Панфиловцев, земельный участок 29</v>
      </c>
      <c r="F1089" s="25" t="str">
        <f>IFERROR(__xludf.DUMMYFUNCTION("""COMPUTED_VALUE"""),"55.854941486576315")</f>
        <v>55.854941486576315</v>
      </c>
      <c r="G1089" s="6" t="str">
        <f>IFERROR(__xludf.DUMMYFUNCTION("""COMPUTED_VALUE"""),"37.41566127976043")</f>
        <v>37.41566127976043</v>
      </c>
      <c r="H1089" s="18" t="str">
        <f>IFERROR(__xludf.DUMMYFUNCTION("""COMPUTED_VALUE"""),"https://docs.google.com/spreadsheets/d/1lEcUd4exxkr5Za3IYZ0vdFNfMubnuMOOMXfmF3GYC9I/edit?gid=1435485307#gid=1435485307")</f>
        <v>https://docs.google.com/spreadsheets/d/1lEcUd4exxkr5Za3IYZ0vdFNfMubnuMOOMXfmF3GYC9I/edit?gid=1435485307#gid=1435485307</v>
      </c>
      <c r="I1089" s="19" t="str">
        <f>IFERROR(__xludf.DUMMYFUNCTION("""COMPUTED_VALUE"""),"https://disk.yandex.ru/client/disk/Осмотры%20объектов%20АНО%20СМГ/777.%20Ул%20Героев%20Панфиловцев%20уч%2029")</f>
        <v>https://disk.yandex.ru/client/disk/Осмотры%20объектов%20АНО%20СМГ/777.%20Ул%20Героев%20Панфиловцев%20уч%2029</v>
      </c>
      <c r="J1089" s="50">
        <f>IFERROR(__xludf.DUMMYFUNCTION("""COMPUTED_VALUE"""),0.0)</f>
        <v>0</v>
      </c>
      <c r="K1089" s="58">
        <f>IFERROR(__xludf.DUMMYFUNCTION("""COMPUTED_VALUE"""),45819.0)</f>
        <v>45819</v>
      </c>
      <c r="L1089" s="6">
        <v>30.0</v>
      </c>
      <c r="M1089" s="52">
        <v>45849.0</v>
      </c>
      <c r="N1089" s="53" t="s">
        <v>668</v>
      </c>
      <c r="O1089" s="19" t="s">
        <v>1235</v>
      </c>
      <c r="P1089" s="6"/>
      <c r="Q1089" s="6" t="str">
        <f t="shared" si="1"/>
        <v>#N/A</v>
      </c>
      <c r="R1089" s="6"/>
    </row>
    <row r="1090" hidden="1">
      <c r="A1090" s="31" t="str">
        <f>IFERROR(__xludf.DUMMYFUNCTION("""COMPUTED_VALUE"""),"704")</f>
        <v>704</v>
      </c>
      <c r="B1090" s="14" t="str">
        <f>IFERROR(__xludf.DUMMYFUNCTION("""COMPUTED_VALUE"""),"РЕН-27")</f>
        <v>РЕН-27</v>
      </c>
      <c r="C1090" s="14" t="str">
        <f>IFERROR(__xludf.DUMMYFUNCTION("""COMPUTED_VALUE"""),"ОКС")</f>
        <v>ОКС</v>
      </c>
      <c r="D1090" s="6"/>
      <c r="E1090" s="14" t="str">
        <f>IFERROR(__xludf.DUMMYFUNCTION("""COMPUTED_VALUE"""),"ТАО, пос. Михайлово-Ярцевское, п. Шишкин Лес, уч. 59, зона №  5.2	 Шишкин Лес, зона 5.2")</f>
        <v>ТАО, пос. Михайлово-Ярцевское, п. Шишкин Лес, уч. 59, зона №  5.2	 Шишкин Лес, зона 5.2</v>
      </c>
      <c r="F1090" s="25" t="str">
        <f>IFERROR(__xludf.DUMMYFUNCTION("""COMPUTED_VALUE"""),"55.41043726896454")</f>
        <v>55.41043726896454</v>
      </c>
      <c r="G1090" s="6" t="str">
        <f>IFERROR(__xludf.DUMMYFUNCTION("""COMPUTED_VALUE"""),"37.189467742743645")</f>
        <v>37.189467742743645</v>
      </c>
      <c r="H1090" s="18" t="str">
        <f>IFERROR(__xludf.DUMMYFUNCTION("""COMPUTED_VALUE"""),"https://docs.google.com/spreadsheets/d/1lEcUd4exxkr5Za3IYZ0vdFNfMubnuMOOMXfmF3GYC9I/edit?gid=679792885#gid=679792885")</f>
        <v>https://docs.google.com/spreadsheets/d/1lEcUd4exxkr5Za3IYZ0vdFNfMubnuMOOMXfmF3GYC9I/edit?gid=679792885#gid=679792885</v>
      </c>
      <c r="I1090" s="19" t="str">
        <f>IFERROR(__xludf.DUMMYFUNCTION("""COMPUTED_VALUE"""),"https://disk.yandex.ru/client/disk/Осмотры%20объектов%20АНО%20СМГ/704.%20пос.%20Михайлово-Ярцевское%2C%20п.%20Шишкин%20Лес%2C%20уч.%2059%2C%20зона%20№%205.2")</f>
        <v>https://disk.yandex.ru/client/disk/Осмотры%20объектов%20АНО%20СМГ/704.%20пос.%20Михайлово-Ярцевское%2C%20п.%20Шишкин%20Лес%2C%20уч.%2059%2C%20зона%20№%205.2</v>
      </c>
      <c r="J1090" s="50">
        <f>IFERROR(__xludf.DUMMYFUNCTION("""COMPUTED_VALUE"""),0.0)</f>
        <v>0</v>
      </c>
      <c r="K1090" s="58">
        <f>IFERROR(__xludf.DUMMYFUNCTION("""COMPUTED_VALUE"""),45905.0)</f>
        <v>45905</v>
      </c>
      <c r="L1090" s="6">
        <v>30.0</v>
      </c>
      <c r="M1090" s="52">
        <v>45935.0</v>
      </c>
      <c r="N1090" s="53" t="s">
        <v>668</v>
      </c>
      <c r="O1090" s="19" t="s">
        <v>914</v>
      </c>
      <c r="P1090" s="6"/>
      <c r="Q1090" s="6" t="str">
        <f t="shared" si="1"/>
        <v>#N/A</v>
      </c>
      <c r="R1090" s="6"/>
    </row>
    <row r="1091" hidden="1">
      <c r="A1091" s="31" t="str">
        <f>IFERROR(__xludf.DUMMYFUNCTION("""COMPUTED_VALUE"""),"701")</f>
        <v>701</v>
      </c>
      <c r="B1091" s="14" t="str">
        <f>IFERROR(__xludf.DUMMYFUNCTION("""COMPUTED_VALUE"""),"РЕН-27")</f>
        <v>РЕН-27</v>
      </c>
      <c r="C1091" s="14" t="str">
        <f>IFERROR(__xludf.DUMMYFUNCTION("""COMPUTED_VALUE"""),"ОКС")</f>
        <v>ОКС</v>
      </c>
      <c r="D1091" s="6"/>
      <c r="E1091" s="14" t="str">
        <f>IFERROR(__xludf.DUMMYFUNCTION("""COMPUTED_VALUE"""),"ТАО, пос. Михайлово-Ярцевское, п. Шишкин Лес, зу 23В, зона №  5.1	 Шишкин Лес, зона 5.1")</f>
        <v>ТАО, пос. Михайлово-Ярцевское, п. Шишкин Лес, зу 23В, зона №  5.1	 Шишкин Лес, зона 5.1</v>
      </c>
      <c r="F1091" s="25" t="str">
        <f>IFERROR(__xludf.DUMMYFUNCTION("""COMPUTED_VALUE"""),"55.40995505619883")</f>
        <v>55.40995505619883</v>
      </c>
      <c r="G1091" s="6" t="str">
        <f>IFERROR(__xludf.DUMMYFUNCTION("""COMPUTED_VALUE"""),"37.1879925277855")</f>
        <v>37.1879925277855</v>
      </c>
      <c r="H1091" s="18" t="str">
        <f>IFERROR(__xludf.DUMMYFUNCTION("""COMPUTED_VALUE"""),"https://docs.google.com/spreadsheets/d/1lEcUd4exxkr5Za3IYZ0vdFNfMubnuMOOMXfmF3GYC9I/edit?gid=282111024#gid=282111024")</f>
        <v>https://docs.google.com/spreadsheets/d/1lEcUd4exxkr5Za3IYZ0vdFNfMubnuMOOMXfmF3GYC9I/edit?gid=282111024#gid=282111024</v>
      </c>
      <c r="I1091" s="19" t="str">
        <f>IFERROR(__xludf.DUMMYFUNCTION("""COMPUTED_VALUE"""),"https://disk.yandex.ru/client/disk/Осмотры%20объектов%20АНО%20СМГ/701.%20пос.%20Михайлово-Ярцевское%2C%20п.%20Шишкин%20Лес%2C%20зу%2023В%2C%20зона%20№%205.1")</f>
        <v>https://disk.yandex.ru/client/disk/Осмотры%20объектов%20АНО%20СМГ/701.%20пос.%20Михайлово-Ярцевское%2C%20п.%20Шишкин%20Лес%2C%20зу%2023В%2C%20зона%20№%205.1</v>
      </c>
      <c r="J1091" s="50">
        <f>IFERROR(__xludf.DUMMYFUNCTION("""COMPUTED_VALUE"""),0.0)</f>
        <v>0</v>
      </c>
      <c r="K1091" s="58">
        <f>IFERROR(__xludf.DUMMYFUNCTION("""COMPUTED_VALUE"""),45819.0)</f>
        <v>45819</v>
      </c>
      <c r="L1091" s="6">
        <v>30.0</v>
      </c>
      <c r="M1091" s="52">
        <v>45849.0</v>
      </c>
      <c r="N1091" s="53" t="s">
        <v>668</v>
      </c>
      <c r="O1091" s="19" t="s">
        <v>914</v>
      </c>
      <c r="P1091" s="6"/>
      <c r="Q1091" s="6" t="str">
        <f t="shared" si="1"/>
        <v>#N/A</v>
      </c>
      <c r="R1091" s="6"/>
    </row>
    <row r="1092" hidden="1">
      <c r="A1092" s="31" t="str">
        <f>IFERROR(__xludf.DUMMYFUNCTION("""COMPUTED_VALUE"""),"914")</f>
        <v>914</v>
      </c>
      <c r="B1092" s="14" t="str">
        <f>IFERROR(__xludf.DUMMYFUNCTION("""COMPUTED_VALUE"""),"РЕН-27")</f>
        <v>РЕН-27</v>
      </c>
      <c r="C1092" s="14" t="str">
        <f>IFERROR(__xludf.DUMMYFUNCTION("""COMPUTED_VALUE"""),"ОКС")</f>
        <v>ОКС</v>
      </c>
      <c r="D1092" s="6"/>
      <c r="E1092" s="14" t="str">
        <f>IFERROR(__xludf.DUMMYFUNCTION("""COMPUTED_VALUE"""),"Булатниковская ул., вл.1, корп.1-3 Булатниковская ул., вл.1, корп.1-3")</f>
        <v>Булатниковская ул., вл.1, корп.1-3 Булатниковская ул., вл.1, корп.1-3</v>
      </c>
      <c r="F1092" s="25" t="str">
        <f>IFERROR(__xludf.DUMMYFUNCTION("""COMPUTED_VALUE"""),"55.57852821256863")</f>
        <v>55.57852821256863</v>
      </c>
      <c r="G1092" s="6" t="str">
        <f>IFERROR(__xludf.DUMMYFUNCTION("""COMPUTED_VALUE"""),"37.65703672883587")</f>
        <v>37.65703672883587</v>
      </c>
      <c r="H1092" s="18" t="str">
        <f>IFERROR(__xludf.DUMMYFUNCTION("""COMPUTED_VALUE"""),"https://docs.google.com/spreadsheets/d/1lEcUd4exxkr5Za3IYZ0vdFNfMubnuMOOMXfmF3GYC9I/edit?gid=815985378#gid=815985378")</f>
        <v>https://docs.google.com/spreadsheets/d/1lEcUd4exxkr5Za3IYZ0vdFNfMubnuMOOMXfmF3GYC9I/edit?gid=815985378#gid=815985378</v>
      </c>
      <c r="I1092" s="19" t="str">
        <f>IFERROR(__xludf.DUMMYFUNCTION("""COMPUTED_VALUE"""),"https://disk.yandex.ru/client/disk/Осмотры%20объектов%20АНО%20СМГ/914.%20Булатниковская%20ул.%2C%20вл.%201%2C%20корп.%201-3.%20Жилой%20дом")</f>
        <v>https://disk.yandex.ru/client/disk/Осмотры%20объектов%20АНО%20СМГ/914.%20Булатниковская%20ул.%2C%20вл.%201%2C%20корп.%201-3.%20Жилой%20дом</v>
      </c>
      <c r="J1092" s="50">
        <f>IFERROR(__xludf.DUMMYFUNCTION("""COMPUTED_VALUE"""),0.0)</f>
        <v>0</v>
      </c>
      <c r="K1092" s="58"/>
      <c r="L1092" s="6">
        <v>30.0</v>
      </c>
      <c r="M1092" s="52" t="s">
        <v>655</v>
      </c>
      <c r="N1092" s="53" t="s">
        <v>698</v>
      </c>
      <c r="O1092" s="19" t="s">
        <v>914</v>
      </c>
      <c r="P1092" s="6"/>
      <c r="Q1092" s="6" t="str">
        <f t="shared" si="1"/>
        <v>#N/A</v>
      </c>
      <c r="R1092" s="6"/>
    </row>
    <row r="1093" hidden="1">
      <c r="A1093" s="31" t="str">
        <f>IFERROR(__xludf.DUMMYFUNCTION("""COMPUTED_VALUE"""),"901")</f>
        <v>901</v>
      </c>
      <c r="B1093" s="14" t="str">
        <f>IFERROR(__xludf.DUMMYFUNCTION("""COMPUTED_VALUE"""),"РЕН-27")</f>
        <v>РЕН-27</v>
      </c>
      <c r="C1093" s="14" t="str">
        <f>IFERROR(__xludf.DUMMYFUNCTION("""COMPUTED_VALUE"""),"ОКС")</f>
        <v>ОКС</v>
      </c>
      <c r="D1093" s="6"/>
      <c r="E1093" s="14" t="str">
        <f>IFERROR(__xludf.DUMMYFUNCTION("""COMPUTED_VALUE"""),"Докукина ул., з/у 10/2			 Докукина ул., з/у 10/2")</f>
        <v>Докукина ул., з/у 10/2			 Докукина ул., з/у 10/2</v>
      </c>
      <c r="F1093" s="25" t="str">
        <f>IFERROR(__xludf.DUMMYFUNCTION("""COMPUTED_VALUE"""),"55.84024881390497")</f>
        <v>55.84024881390497</v>
      </c>
      <c r="G1093" s="6" t="str">
        <f>IFERROR(__xludf.DUMMYFUNCTION("""COMPUTED_VALUE"""),"37.65483762565504")</f>
        <v>37.65483762565504</v>
      </c>
      <c r="H1093" s="18" t="str">
        <f>IFERROR(__xludf.DUMMYFUNCTION("""COMPUTED_VALUE"""),"https://docs.google.com/spreadsheets/d/1lEcUd4exxkr5Za3IYZ0vdFNfMubnuMOOMXfmF3GYC9I/edit?gid=88187945#gid=88187945")</f>
        <v>https://docs.google.com/spreadsheets/d/1lEcUd4exxkr5Za3IYZ0vdFNfMubnuMOOMXfmF3GYC9I/edit?gid=88187945#gid=88187945</v>
      </c>
      <c r="I1093" s="19" t="str">
        <f>IFERROR(__xludf.DUMMYFUNCTION("""COMPUTED_VALUE"""),"https://disk.yandex.ru/client/disk/Осмотры%20объектов%20АНО%20СМГ/901%20ул.%20Докукина%2C%20зу%2010%202")</f>
        <v>https://disk.yandex.ru/client/disk/Осмотры%20объектов%20АНО%20СМГ/901%20ул.%20Докукина%2C%20зу%2010%202</v>
      </c>
      <c r="J1093" s="50">
        <f>IFERROR(__xludf.DUMMYFUNCTION("""COMPUTED_VALUE"""),0.0)</f>
        <v>0</v>
      </c>
      <c r="K1093" s="58">
        <f>IFERROR(__xludf.DUMMYFUNCTION("""COMPUTED_VALUE"""),45811.0)</f>
        <v>45811</v>
      </c>
      <c r="L1093" s="6">
        <v>30.0</v>
      </c>
      <c r="M1093" s="52">
        <v>45841.0</v>
      </c>
      <c r="N1093" s="53" t="s">
        <v>668</v>
      </c>
      <c r="O1093" s="19" t="s">
        <v>914</v>
      </c>
      <c r="P1093" s="6"/>
      <c r="Q1093" s="6" t="str">
        <f t="shared" si="1"/>
        <v>#N/A</v>
      </c>
      <c r="R1093" s="6"/>
    </row>
    <row r="1094" hidden="1">
      <c r="A1094" s="31" t="str">
        <f>IFERROR(__xludf.DUMMYFUNCTION("""COMPUTED_VALUE"""),"898")</f>
        <v>898</v>
      </c>
      <c r="B1094" s="14" t="str">
        <f>IFERROR(__xludf.DUMMYFUNCTION("""COMPUTED_VALUE"""),"РЕН-27")</f>
        <v>РЕН-27</v>
      </c>
      <c r="C1094" s="14" t="str">
        <f>IFERROR(__xludf.DUMMYFUNCTION("""COMPUTED_VALUE"""),"ОКС")</f>
        <v>ОКС</v>
      </c>
      <c r="D1094" s="6"/>
      <c r="E1094" s="14" t="str">
        <f>IFERROR(__xludf.DUMMYFUNCTION("""COMPUTED_VALUE"""),"Жилой дом с инженерными сетями и благоустройством территории, СВАО, район Марфино, Ботаническая ул., вл. 37А ул. Ботаническая, з/у 37А (Ботаническая ул., вл. 37А)")</f>
        <v>Жилой дом с инженерными сетями и благоустройством территории, СВАО, район Марфино, Ботаническая ул., вл. 37А ул. Ботаническая, з/у 37А (Ботаническая ул., вл. 37А)</v>
      </c>
      <c r="F1094" s="25" t="str">
        <f>IFERROR(__xludf.DUMMYFUNCTION("""COMPUTED_VALUE"""),"55.84409443461212")</f>
        <v>55.84409443461212</v>
      </c>
      <c r="G1094" s="6" t="str">
        <f>IFERROR(__xludf.DUMMYFUNCTION("""COMPUTED_VALUE"""),"37.58350936938004")</f>
        <v>37.58350936938004</v>
      </c>
      <c r="H1094" s="18" t="str">
        <f>IFERROR(__xludf.DUMMYFUNCTION("""COMPUTED_VALUE"""),"https://docs.google.com/spreadsheets/d/1lEcUd4exxkr5Za3IYZ0vdFNfMubnuMOOMXfmF3GYC9I/edit?gid=729528967#gid=729528967")</f>
        <v>https://docs.google.com/spreadsheets/d/1lEcUd4exxkr5Za3IYZ0vdFNfMubnuMOOMXfmF3GYC9I/edit?gid=729528967#gid=729528967</v>
      </c>
      <c r="I1094" s="19" t="str">
        <f>IFERROR(__xludf.DUMMYFUNCTION("""COMPUTED_VALUE"""),"https://disk.yandex.ru/client/disk/Осмотры%20объектов%20АНО%20СМГ/898.%20Ботаническая%20зу%2037А")</f>
        <v>https://disk.yandex.ru/client/disk/Осмотры%20объектов%20АНО%20СМГ/898.%20Ботаническая%20зу%2037А</v>
      </c>
      <c r="J1094" s="50">
        <f>IFERROR(__xludf.DUMMYFUNCTION("""COMPUTED_VALUE"""),0.0)</f>
        <v>0</v>
      </c>
      <c r="K1094" s="58">
        <f>IFERROR(__xludf.DUMMYFUNCTION("""COMPUTED_VALUE"""),45811.0)</f>
        <v>45811</v>
      </c>
      <c r="L1094" s="6">
        <v>30.0</v>
      </c>
      <c r="M1094" s="52">
        <v>45841.0</v>
      </c>
      <c r="N1094" s="53" t="s">
        <v>668</v>
      </c>
      <c r="O1094" s="19" t="s">
        <v>914</v>
      </c>
      <c r="P1094" s="6"/>
      <c r="Q1094" s="6" t="str">
        <f t="shared" si="1"/>
        <v>#N/A</v>
      </c>
      <c r="R1094" s="6"/>
    </row>
    <row r="1095" hidden="1">
      <c r="A1095" s="31" t="str">
        <f>IFERROR(__xludf.DUMMYFUNCTION("""COMPUTED_VALUE"""),"897")</f>
        <v>897</v>
      </c>
      <c r="B1095" s="14" t="str">
        <f>IFERROR(__xludf.DUMMYFUNCTION("""COMPUTED_VALUE"""),"РЕН-27")</f>
        <v>РЕН-27</v>
      </c>
      <c r="C1095" s="14" t="str">
        <f>IFERROR(__xludf.DUMMYFUNCTION("""COMPUTED_VALUE"""),"ОКС")</f>
        <v>ОКС</v>
      </c>
      <c r="D1095" s="6"/>
      <c r="E1095" s="14" t="str">
        <f>IFERROR(__xludf.DUMMYFUNCTION("""COMPUTED_VALUE"""),"Жилой дом с инженерными сетями и благоустройством территории, СВАО, район Марфино, Ботаническая ул., вл. 39 ул. Ботаническая, з/у 39 (Ботаническая ул., вл. 39)")</f>
        <v>Жилой дом с инженерными сетями и благоустройством территории, СВАО, район Марфино, Ботаническая ул., вл. 39 ул. Ботаническая, з/у 39 (Ботаническая ул., вл. 39)</v>
      </c>
      <c r="F1095" s="25" t="str">
        <f>IFERROR(__xludf.DUMMYFUNCTION("""COMPUTED_VALUE"""),"55.84535")</f>
        <v>55.84535</v>
      </c>
      <c r="G1095" s="6" t="str">
        <f>IFERROR(__xludf.DUMMYFUNCTION("""COMPUTED_VALUE"""),"37.583158")</f>
        <v>37.583158</v>
      </c>
      <c r="H1095" s="18" t="str">
        <f>IFERROR(__xludf.DUMMYFUNCTION("""COMPUTED_VALUE"""),"https://docs.google.com/spreadsheets/d/1lEcUd4exxkr5Za3IYZ0vdFNfMubnuMOOMXfmF3GYC9I/edit?gid=1609158785#gid=1609158785")</f>
        <v>https://docs.google.com/spreadsheets/d/1lEcUd4exxkr5Za3IYZ0vdFNfMubnuMOOMXfmF3GYC9I/edit?gid=1609158785#gid=1609158785</v>
      </c>
      <c r="I1095" s="19" t="str">
        <f>IFERROR(__xludf.DUMMYFUNCTION("""COMPUTED_VALUE"""),"https://disk.yandex.ru/client/disk/Осмотры%20объектов%20АНО%20СМГ/897.%20Ботаническая%20зу%2039")</f>
        <v>https://disk.yandex.ru/client/disk/Осмотры%20объектов%20АНО%20СМГ/897.%20Ботаническая%20зу%2039</v>
      </c>
      <c r="J1095" s="50">
        <f>IFERROR(__xludf.DUMMYFUNCTION("""COMPUTED_VALUE"""),0.0)</f>
        <v>0</v>
      </c>
      <c r="K1095" s="58">
        <f>IFERROR(__xludf.DUMMYFUNCTION("""COMPUTED_VALUE"""),45811.0)</f>
        <v>45811</v>
      </c>
      <c r="L1095" s="6">
        <v>30.0</v>
      </c>
      <c r="M1095" s="52">
        <v>45841.0</v>
      </c>
      <c r="N1095" s="53" t="s">
        <v>668</v>
      </c>
      <c r="O1095" s="19" t="s">
        <v>914</v>
      </c>
      <c r="P1095" s="6"/>
      <c r="Q1095" s="6" t="str">
        <f t="shared" si="1"/>
        <v>#N/A</v>
      </c>
      <c r="R1095" s="6"/>
    </row>
    <row r="1096" hidden="1">
      <c r="A1096" s="31" t="str">
        <f>IFERROR(__xludf.DUMMYFUNCTION("""COMPUTED_VALUE"""),"960")</f>
        <v>960</v>
      </c>
      <c r="B1096" s="14" t="str">
        <f>IFERROR(__xludf.DUMMYFUNCTION("""COMPUTED_VALUE"""),"РЕН-27")</f>
        <v>РЕН-27</v>
      </c>
      <c r="C1096" s="14" t="str">
        <f>IFERROR(__xludf.DUMMYFUNCTION("""COMPUTED_VALUE"""),"ОКС")</f>
        <v>ОКС</v>
      </c>
      <c r="D1096" s="6"/>
      <c r="E1096" s="14" t="str">
        <f>IFERROR(__xludf.DUMMYFUNCTION("""COMPUTED_VALUE"""),"Приобретение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Войковское,  улица Адмирала Макарова, зем"&amp;"ельный участок 2 Адмирала Макарова ул., вл. 2")</f>
        <v>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Войковское,  улица Адмирала Макарова, земельный участок 2 Адмирала Макарова ул., вл. 2</v>
      </c>
      <c r="F1096" s="25" t="str">
        <f>IFERROR(__xludf.DUMMYFUNCTION("""COMPUTED_VALUE"""),"55.829621334123345")</f>
        <v>55.829621334123345</v>
      </c>
      <c r="G1096" s="6" t="str">
        <f>IFERROR(__xludf.DUMMYFUNCTION("""COMPUTED_VALUE"""),"37.500326959027845")</f>
        <v>37.500326959027845</v>
      </c>
      <c r="H1096" s="18" t="str">
        <f>IFERROR(__xludf.DUMMYFUNCTION("""COMPUTED_VALUE"""),"https://docs.google.com/spreadsheets/d/1lEcUd4exxkr5Za3IYZ0vdFNfMubnuMOOMXfmF3GYC9I/edit?gid=1079458308#gid=1079458308")</f>
        <v>https://docs.google.com/spreadsheets/d/1lEcUd4exxkr5Za3IYZ0vdFNfMubnuMOOMXfmF3GYC9I/edit?gid=1079458308#gid=1079458308</v>
      </c>
      <c r="I1096" s="19" t="str">
        <f>IFERROR(__xludf.DUMMYFUNCTION("""COMPUTED_VALUE"""),"https://disk.yandex.ru/client/disk/Осмотры%20объектов%20АНО%20СМГ/960.%20Адмирала%20Макарова%20ул.%2C%20вл.%202")</f>
        <v>https://disk.yandex.ru/client/disk/Осмотры%20объектов%20АНО%20СМГ/960.%20Адмирала%20Макарова%20ул.%2C%20вл.%202</v>
      </c>
      <c r="J1096" s="50">
        <f>IFERROR(__xludf.DUMMYFUNCTION("""COMPUTED_VALUE"""),0.0)</f>
        <v>0</v>
      </c>
      <c r="K1096" s="58">
        <f>IFERROR(__xludf.DUMMYFUNCTION("""COMPUTED_VALUE"""),45819.0)</f>
        <v>45819</v>
      </c>
      <c r="L1096" s="6">
        <v>30.0</v>
      </c>
      <c r="M1096" s="52">
        <v>45849.0</v>
      </c>
      <c r="N1096" s="53" t="s">
        <v>668</v>
      </c>
      <c r="O1096" s="19" t="s">
        <v>669</v>
      </c>
      <c r="P1096" s="6"/>
      <c r="Q1096" s="6" t="str">
        <f t="shared" si="1"/>
        <v>#N/A</v>
      </c>
      <c r="R1096" s="6"/>
    </row>
    <row r="1097" hidden="1">
      <c r="A1097" s="31" t="str">
        <f>IFERROR(__xludf.DUMMYFUNCTION("""COMPUTED_VALUE"""),"967")</f>
        <v>967</v>
      </c>
      <c r="B1097" s="14" t="str">
        <f>IFERROR(__xludf.DUMMYFUNCTION("""COMPUTED_VALUE"""),"РЕН-27")</f>
        <v>РЕН-27</v>
      </c>
      <c r="C1097" s="14" t="str">
        <f>IFERROR(__xludf.DUMMYFUNCTION("""COMPUTED_VALUE"""),"ОКС")</f>
        <v>ОКС</v>
      </c>
      <c r="D1097" s="6"/>
      <c r="E1097" s="14" t="str">
        <f>IFERROR(__xludf.DUMMYFUNCTION("""COMPUTED_VALUE"""),"Приобретение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Нижегородское, Рязанский проспект, земель"&amp;"ный участок 17 (Рязанский пр-т, вл. 17) Рязанский пр-т, вл. 17")</f>
        <v>Приобретение будущих объектов недвижимости, создаваемых в многоквартирном доме в целях реализации Программы реновации жилищного фонда в городе Москве по адресу: г. Москва, внутригородское муниципальное образование Нижегородское, Рязанский проспект, земельный участок 17 (Рязанский пр-т, вл. 17) Рязанский пр-т, вл. 17</v>
      </c>
      <c r="F1097" s="25" t="str">
        <f>IFERROR(__xludf.DUMMYFUNCTION("""COMPUTED_VALUE"""),"55.73087556933392")</f>
        <v>55.73087556933392</v>
      </c>
      <c r="G1097" s="6" t="str">
        <f>IFERROR(__xludf.DUMMYFUNCTION("""COMPUTED_VALUE"""),"37.742866845229734")</f>
        <v>37.742866845229734</v>
      </c>
      <c r="H1097" s="18" t="str">
        <f>IFERROR(__xludf.DUMMYFUNCTION("""COMPUTED_VALUE"""),"https://docs.google.com/spreadsheets/d/1lEcUd4exxkr5Za3IYZ0vdFNfMubnuMOOMXfmF3GYC9I/edit?gid=1759169591#gid=1759169591")</f>
        <v>https://docs.google.com/spreadsheets/d/1lEcUd4exxkr5Za3IYZ0vdFNfMubnuMOOMXfmF3GYC9I/edit?gid=1759169591#gid=1759169591</v>
      </c>
      <c r="I1097" s="21" t="str">
        <f>IFERROR(__xludf.DUMMYFUNCTION("""COMPUTED_VALUE"""),"https://disk.yandex.ru/client/disk/%D0%9E%D1%81%D0%BC%D0%BE%D1%82%D1%80%D1%8B%20%D0%BE%D0%B1%D1%8A%D0%B5%D0%BA%D1%82%D0%BE%D0%B2%20%D0%90%D0%9D%D0%9E%20%D0%A1%D0%9C%D0%93/967%20%D0%A0%D1%8F%D0%B7%D0%B0%D0%BD%D1%81%D0%BA%D0%B8%D0%B9%20%D0%BF%D1%80-%D1%82%2"&amp;"C%20%D0%B2%D0%BB.%2017")</f>
        <v>https://disk.yandex.ru/client/disk/%D0%9E%D1%81%D0%BC%D0%BE%D1%82%D1%80%D1%8B%20%D0%BE%D0%B1%D1%8A%D0%B5%D0%BA%D1%82%D0%BE%D0%B2%20%D0%90%D0%9D%D0%9E%20%D0%A1%D0%9C%D0%93/967%20%D0%A0%D1%8F%D0%B7%D0%B0%D0%BD%D1%81%D0%BA%D0%B8%D0%B9%20%D0%BF%D1%80-%D1%82%2C%20%D0%B2%D0%BB.%2017</v>
      </c>
      <c r="J1097" s="50">
        <f>IFERROR(__xludf.DUMMYFUNCTION("""COMPUTED_VALUE"""),0.0)</f>
        <v>0</v>
      </c>
      <c r="K1097" s="58">
        <f>IFERROR(__xludf.DUMMYFUNCTION("""COMPUTED_VALUE"""),45818.0)</f>
        <v>45818</v>
      </c>
      <c r="L1097" s="6">
        <v>30.0</v>
      </c>
      <c r="M1097" s="52">
        <v>45848.0</v>
      </c>
      <c r="N1097" s="53" t="s">
        <v>668</v>
      </c>
      <c r="O1097" s="19" t="s">
        <v>914</v>
      </c>
      <c r="P1097" s="6"/>
      <c r="Q1097" s="6" t="str">
        <f t="shared" si="1"/>
        <v>#N/A</v>
      </c>
      <c r="R1097" s="6"/>
    </row>
    <row r="1098" hidden="1">
      <c r="A1098" s="31" t="str">
        <f>IFERROR(__xludf.DUMMYFUNCTION("""COMPUTED_VALUE"""),"972")</f>
        <v>972</v>
      </c>
      <c r="B1098" s="14" t="str">
        <f>IFERROR(__xludf.DUMMYFUNCTION("""COMPUTED_VALUE"""),"РЕН-27")</f>
        <v>РЕН-27</v>
      </c>
      <c r="C1098" s="14" t="str">
        <f>IFERROR(__xludf.DUMMYFUNCTION("""COMPUTED_VALUE"""),"ОКС")</f>
        <v>ОКС</v>
      </c>
      <c r="D1098" s="6"/>
      <c r="E1098" s="14" t="str">
        <f>IFERROR(__xludf.DUMMYFUNCTION("""COMPUTED_VALUE"""),"Жилой дом с инженерными сетями и благоустройством территории (со сносом жилых зданий по адресам: Зелёный проспект, д.89, к.1, Зелёный проспект, д.93, Зелёный проспект, д.95) по адресу: район Ивановское, зона 4.1, корпуса К.4.1, К.4.2 Зеленый просп., з/у 9"&amp;"3")</f>
        <v>Жилой дом с инженерными сетями и благоустройством территории (со сносом жилых зданий по адресам: Зелёный проспект, д.89, к.1, Зелёный проспект, д.93, Зелёный проспект, д.95) по адресу: район Ивановское, зона 4.1, корпуса К.4.1, К.4.2 Зеленый просп., з/у 93</v>
      </c>
      <c r="F1098" s="25" t="str">
        <f>IFERROR(__xludf.DUMMYFUNCTION("""COMPUTED_VALUE"""),"55.75100359192491")</f>
        <v>55.75100359192491</v>
      </c>
      <c r="G1098" s="6" t="str">
        <f>IFERROR(__xludf.DUMMYFUNCTION("""COMPUTED_VALUE"""),"37.825407779098086")</f>
        <v>37.825407779098086</v>
      </c>
      <c r="H1098" s="18" t="str">
        <f>IFERROR(__xludf.DUMMYFUNCTION("""COMPUTED_VALUE"""),"https://docs.google.com/spreadsheets/d/1lEcUd4exxkr5Za3IYZ0vdFNfMubnuMOOMXfmF3GYC9I/edit?gid=1644112833#gid=1644112833")</f>
        <v>https://docs.google.com/spreadsheets/d/1lEcUd4exxkr5Za3IYZ0vdFNfMubnuMOOMXfmF3GYC9I/edit?gid=1644112833#gid=1644112833</v>
      </c>
      <c r="I1098" s="21" t="str">
        <f>IFERROR(__xludf.DUMMYFUNCTION("""COMPUTED_VALUE"""),"https://disk.yandex.ru/client/disk/%D0%9E%D1%81%D0%BC%D0%BE%D1%82%D1%80%D1%8B%20%D0%BE%D0%B1%D1%8A%D0%B5%D0%BA%D1%82%D0%BE%D0%B2%20%D0%90%D0%9D%D0%9E%20%D0%A1%D0%9C%D0%93/972%20%D0%97%D0%B5%D0%BB%D0%B5%D0%BD%D1%8B%D0%B9%20%D0%BF%D1%80%D0%BE%D1%81%D0%BF%D0"&amp;"%B5%D0%BA%D1%82%20%D0%97%D0%A3%2093%20")</f>
        <v>https://disk.yandex.ru/client/disk/%D0%9E%D1%81%D0%BC%D0%BE%D1%82%D1%80%D1%8B%20%D0%BE%D0%B1%D1%8A%D0%B5%D0%BA%D1%82%D0%BE%D0%B2%20%D0%90%D0%9D%D0%9E%20%D0%A1%D0%9C%D0%93/972%20%D0%97%D0%B5%D0%BB%D0%B5%D0%BD%D1%8B%D0%B9%20%D0%BF%D1%80%D0%BE%D1%81%D0%BF%D0%B5%D0%BA%D1%82%20%D0%97%D0%A3%2093%20</v>
      </c>
      <c r="J1098" s="50">
        <f>IFERROR(__xludf.DUMMYFUNCTION("""COMPUTED_VALUE"""),0.0)</f>
        <v>0</v>
      </c>
      <c r="K1098" s="58">
        <f>IFERROR(__xludf.DUMMYFUNCTION("""COMPUTED_VALUE"""),45814.0)</f>
        <v>45814</v>
      </c>
      <c r="L1098" s="6">
        <v>30.0</v>
      </c>
      <c r="M1098" s="52">
        <v>45844.0</v>
      </c>
      <c r="N1098" s="53" t="s">
        <v>668</v>
      </c>
      <c r="O1098" s="19" t="s">
        <v>914</v>
      </c>
      <c r="P1098" s="6"/>
      <c r="Q1098" s="6" t="str">
        <f t="shared" si="1"/>
        <v>#N/A</v>
      </c>
      <c r="R1098" s="6"/>
    </row>
    <row r="1099" hidden="1">
      <c r="A1099" s="31" t="str">
        <f>IFERROR(__xludf.DUMMYFUNCTION("""COMPUTED_VALUE"""),"973")</f>
        <v>973</v>
      </c>
      <c r="B1099" s="14" t="str">
        <f>IFERROR(__xludf.DUMMYFUNCTION("""COMPUTED_VALUE"""),"РЕН-27")</f>
        <v>РЕН-27</v>
      </c>
      <c r="C1099" s="14" t="str">
        <f>IFERROR(__xludf.DUMMYFUNCTION("""COMPUTED_VALUE"""),"ОКС")</f>
        <v>ОКС</v>
      </c>
      <c r="D1099" s="6"/>
      <c r="E1099" s="14" t="str">
        <f>IFERROR(__xludf.DUMMYFUNCTION("""COMPUTED_VALUE"""),"Жилой дом с инженерными сетями и благоустройством территории (со сносом жилых зданий по адресам: Сапёрный проезд, д.14, к.1, Сапёрный проезд, д.14, к.2, Сапёрный проезд, д.14, к.3 и трансформаторной подстанции по адресу: Сапёрный проезд, д. 14, к. 3, стр."&amp;" 1) по адресу: район Ивановское, зона 1.1, корпуса К.6.1, К.6.2 пр-д Саперный, з/у 14")</f>
        <v>Жилой дом с инженерными сетями и благоустройством территории (со сносом жилых зданий по адресам: Сапёрный проезд, д.14, к.1, Сапёрный проезд, д.14, к.2, Сапёрный проезд, д.14, к.3 и трансформаторной подстанции по адресу: Сапёрный проезд, д. 14, к. 3, стр. 1) по адресу: район Ивановское, зона 1.1, корпуса К.6.1, К.6.2 пр-д Саперный, з/у 14</v>
      </c>
      <c r="F1099" s="25" t="str">
        <f>IFERROR(__xludf.DUMMYFUNCTION("""COMPUTED_VALUE"""),"55.75573379904047")</f>
        <v>55.75573379904047</v>
      </c>
      <c r="G1099" s="6" t="str">
        <f>IFERROR(__xludf.DUMMYFUNCTION("""COMPUTED_VALUE"""),"37.827133084655756")</f>
        <v>37.827133084655756</v>
      </c>
      <c r="H1099" s="18" t="str">
        <f>IFERROR(__xludf.DUMMYFUNCTION("""COMPUTED_VALUE"""),"https://docs.google.com/spreadsheets/d/1lEcUd4exxkr5Za3IYZ0vdFNfMubnuMOOMXfmF3GYC9I/edit?gid=2083513887#gid=2083513887")</f>
        <v>https://docs.google.com/spreadsheets/d/1lEcUd4exxkr5Za3IYZ0vdFNfMubnuMOOMXfmF3GYC9I/edit?gid=2083513887#gid=2083513887</v>
      </c>
      <c r="I1099" s="21" t="str">
        <f>IFERROR(__xludf.DUMMYFUNCTION("""COMPUTED_VALUE"""),"https://disk.yandex.ru/client/disk/%D0%9E%D1%81%D0%BC%D0%BE%D1%82%D1%80%D1%8B%20%D0%BE%D0%B1%D1%8A%D0%B5%D0%BA%D1%82%D0%BE%D0%B2%20%D0%90%D0%9D%D0%9E%20%D0%A1%D0%9C%D0%93/973%20%D0%9F%D1%80-%D0%B4%20%D0%A1%D0%B0%D0%BF%D0%B5%D1%80%D0%BD%D1%8B%D0%B9%20%D0%9"&amp;"7%D0%A3%2014%20")</f>
        <v>https://disk.yandex.ru/client/disk/%D0%9E%D1%81%D0%BC%D0%BE%D1%82%D1%80%D1%8B%20%D0%BE%D0%B1%D1%8A%D0%B5%D0%BA%D1%82%D0%BE%D0%B2%20%D0%90%D0%9D%D0%9E%20%D0%A1%D0%9C%D0%93/973%20%D0%9F%D1%80-%D0%B4%20%D0%A1%D0%B0%D0%BF%D0%B5%D1%80%D0%BD%D1%8B%D0%B9%20%D0%97%D0%A3%2014%20</v>
      </c>
      <c r="J1099" s="50">
        <f>IFERROR(__xludf.DUMMYFUNCTION("""COMPUTED_VALUE"""),0.0)</f>
        <v>0</v>
      </c>
      <c r="K1099" s="58">
        <f>IFERROR(__xludf.DUMMYFUNCTION("""COMPUTED_VALUE"""),45818.0)</f>
        <v>45818</v>
      </c>
      <c r="L1099" s="6">
        <v>30.0</v>
      </c>
      <c r="M1099" s="52">
        <v>45848.0</v>
      </c>
      <c r="N1099" s="53" t="s">
        <v>668</v>
      </c>
      <c r="O1099" s="19" t="s">
        <v>914</v>
      </c>
      <c r="P1099" s="6"/>
      <c r="Q1099" s="6" t="str">
        <f t="shared" si="1"/>
        <v>#N/A</v>
      </c>
      <c r="R1099" s="6"/>
    </row>
    <row r="1100" hidden="1">
      <c r="A1100" s="31" t="str">
        <f>IFERROR(__xludf.DUMMYFUNCTION("""COMPUTED_VALUE"""),"996")</f>
        <v>996</v>
      </c>
      <c r="B1100" s="14" t="str">
        <f>IFERROR(__xludf.DUMMYFUNCTION("""COMPUTED_VALUE"""),"РЕН-27")</f>
        <v>РЕН-27</v>
      </c>
      <c r="C1100" s="14" t="str">
        <f>IFERROR(__xludf.DUMMYFUNCTION("""COMPUTED_VALUE"""),"ОКС")</f>
        <v>ОКС</v>
      </c>
      <c r="D1100" s="6"/>
      <c r="E1100"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Бабушкинское, улица Коминте"&amp;"рна, з/у 2, зона 18.1 (СВАО) ул. Коминтерна, з/у 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Бабушкинское, улица Коминтерна, з/у 2, зона 18.1 (СВАО) ул. Коминтерна, з/у 2</v>
      </c>
      <c r="F1100" s="25" t="str">
        <f>IFERROR(__xludf.DUMMYFUNCTION("""COMPUTED_VALUE"""),"55.860120268636535")</f>
        <v>55.860120268636535</v>
      </c>
      <c r="G1100" s="6" t="str">
        <f>IFERROR(__xludf.DUMMYFUNCTION("""COMPUTED_VALUE"""),"37.67450238755704")</f>
        <v>37.67450238755704</v>
      </c>
      <c r="H1100" s="18" t="str">
        <f>IFERROR(__xludf.DUMMYFUNCTION("""COMPUTED_VALUE"""),"https://docs.google.com/spreadsheets/d/1lEcUd4exxkr5Za3IYZ0vdFNfMubnuMOOMXfmF3GYC9I/edit?gid=1363194216#gid=1363194216")</f>
        <v>https://docs.google.com/spreadsheets/d/1lEcUd4exxkr5Za3IYZ0vdFNfMubnuMOOMXfmF3GYC9I/edit?gid=1363194216#gid=1363194216</v>
      </c>
      <c r="I1100" s="19" t="str">
        <f>IFERROR(__xludf.DUMMYFUNCTION("""COMPUTED_VALUE"""),"https://disk.yandex.ru/client/disk/Осмотры%20объектов%20АНО%20СМГ/996.%20коминтерна%20зу%202")</f>
        <v>https://disk.yandex.ru/client/disk/Осмотры%20объектов%20АНО%20СМГ/996.%20коминтерна%20зу%202</v>
      </c>
      <c r="J1100" s="50">
        <f>IFERROR(__xludf.DUMMYFUNCTION("""COMPUTED_VALUE"""),0.0)</f>
        <v>0</v>
      </c>
      <c r="K1100" s="58">
        <f>IFERROR(__xludf.DUMMYFUNCTION("""COMPUTED_VALUE"""),45807.0)</f>
        <v>45807</v>
      </c>
      <c r="L1100" s="6">
        <v>30.0</v>
      </c>
      <c r="M1100" s="52">
        <v>45837.0</v>
      </c>
      <c r="N1100" s="53" t="s">
        <v>668</v>
      </c>
      <c r="O1100" s="19" t="s">
        <v>914</v>
      </c>
      <c r="P1100" s="6"/>
      <c r="Q1100" s="6" t="str">
        <f t="shared" si="1"/>
        <v>#N/A</v>
      </c>
      <c r="R1100" s="6"/>
    </row>
    <row r="1101" hidden="1">
      <c r="A1101" s="31" t="str">
        <f>IFERROR(__xludf.DUMMYFUNCTION("""COMPUTED_VALUE"""),"981")</f>
        <v>981</v>
      </c>
      <c r="B1101" s="14" t="str">
        <f>IFERROR(__xludf.DUMMYFUNCTION("""COMPUTED_VALUE"""),"РЕН-27")</f>
        <v>РЕН-27</v>
      </c>
      <c r="C1101" s="14" t="str">
        <f>IFERROR(__xludf.DUMMYFUNCTION("""COMPUTED_VALUE"""),"ОКС")</f>
        <v>ОКС</v>
      </c>
      <c r="D1101" s="6"/>
      <c r="E1101" s="14" t="str">
        <f>IFERROR(__xludf.DUMMYFUNCTION("""COMPUTED_VALUE"""),"Жилой дом с инженерными сетями и благоустройством территории (со сносом жилого здания по адресу; ул. Миллионная, д. 10) по адресу: г. Москва, внутригородское муниципальное образование Богородское, Кузнецовская улица, земельный участок 7/1/3 (ВАО) Кузнецов"&amp;"ская ул., з/у 7/1/3")</f>
        <v>Жилой дом с инженерными сетями и благоустройством территории (со сносом жилого здания по адресу; ул. Миллионная, д. 10) по адресу: г. Москва, внутригородское муниципальное образование Богородское, Кузнецовская улица, земельный участок 7/1/3 (ВАО) Кузнецовская ул., з/у 7/1/3</v>
      </c>
      <c r="F1101" s="25" t="str">
        <f>IFERROR(__xludf.DUMMYFUNCTION("""COMPUTED_VALUE"""),"55.81572567698735")</f>
        <v>55.81572567698735</v>
      </c>
      <c r="G1101" s="6" t="str">
        <f>IFERROR(__xludf.DUMMYFUNCTION("""COMPUTED_VALUE"""),"37.69814515211442")</f>
        <v>37.69814515211442</v>
      </c>
      <c r="H1101" s="18" t="str">
        <f>IFERROR(__xludf.DUMMYFUNCTION("""COMPUTED_VALUE"""),"https://docs.google.com/spreadsheets/d/1lEcUd4exxkr5Za3IYZ0vdFNfMubnuMOOMXfmF3GYC9I/edit?gid=135078699#gid=135078699")</f>
        <v>https://docs.google.com/spreadsheets/d/1lEcUd4exxkr5Za3IYZ0vdFNfMubnuMOOMXfmF3GYC9I/edit?gid=135078699#gid=135078699</v>
      </c>
      <c r="I1101" s="19" t="str">
        <f>IFERROR(__xludf.DUMMYFUNCTION("""COMPUTED_VALUE"""),"https://disk.yandex.ru/client/disk/Осмотры%20объектов%20АНО%20СМГ/981%20ул.%20Кузнецовская%2Cзу%207!1!3")</f>
        <v>https://disk.yandex.ru/client/disk/Осмотры%20объектов%20АНО%20СМГ/981%20ул.%20Кузнецовская%2Cзу%207!1!3</v>
      </c>
      <c r="J1101" s="50">
        <f>IFERROR(__xludf.DUMMYFUNCTION("""COMPUTED_VALUE"""),0.0)</f>
        <v>0</v>
      </c>
      <c r="K1101" s="58">
        <f>IFERROR(__xludf.DUMMYFUNCTION("""COMPUTED_VALUE"""),45807.0)</f>
        <v>45807</v>
      </c>
      <c r="L1101" s="6">
        <v>30.0</v>
      </c>
      <c r="M1101" s="52">
        <v>45837.0</v>
      </c>
      <c r="N1101" s="53" t="s">
        <v>668</v>
      </c>
      <c r="O1101" s="19" t="s">
        <v>914</v>
      </c>
      <c r="P1101" s="6"/>
      <c r="Q1101" s="6" t="str">
        <f t="shared" si="1"/>
        <v>#N/A</v>
      </c>
      <c r="R1101" s="6"/>
    </row>
    <row r="1102" hidden="1">
      <c r="A1102" s="31" t="str">
        <f>IFERROR(__xludf.DUMMYFUNCTION("""COMPUTED_VALUE"""),"982")</f>
        <v>982</v>
      </c>
      <c r="B1102" s="14" t="str">
        <f>IFERROR(__xludf.DUMMYFUNCTION("""COMPUTED_VALUE"""),"РЕН-27")</f>
        <v>РЕН-27</v>
      </c>
      <c r="C1102" s="14" t="str">
        <f>IFERROR(__xludf.DUMMYFUNCTION("""COMPUTED_VALUE"""),"ОКС")</f>
        <v>ОКС</v>
      </c>
      <c r="D1102" s="6"/>
      <c r="E1102"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Богородское, Кузнецовская у"&amp;"лица, земельный участок 7 Кузнецовская ул., з/у 7")</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внутригородское муниципальное образование Богородское, Кузнецовская улица, земельный участок 7 Кузнецовская ул., з/у 7</v>
      </c>
      <c r="F1102" s="25" t="str">
        <f>IFERROR(__xludf.DUMMYFUNCTION("""COMPUTED_VALUE"""),"55.81512762456402")</f>
        <v>55.81512762456402</v>
      </c>
      <c r="G1102" s="6" t="str">
        <f>IFERROR(__xludf.DUMMYFUNCTION("""COMPUTED_VALUE"""),"37.701267243408196")</f>
        <v>37.701267243408196</v>
      </c>
      <c r="H1102" s="18" t="str">
        <f>IFERROR(__xludf.DUMMYFUNCTION("""COMPUTED_VALUE"""),"https://docs.google.com/spreadsheets/d/1lEcUd4exxkr5Za3IYZ0vdFNfMubnuMOOMXfmF3GYC9I/edit?gid=770240622#gid=770240622")</f>
        <v>https://docs.google.com/spreadsheets/d/1lEcUd4exxkr5Za3IYZ0vdFNfMubnuMOOMXfmF3GYC9I/edit?gid=770240622#gid=770240622</v>
      </c>
      <c r="I1102" s="19" t="str">
        <f>IFERROR(__xludf.DUMMYFUNCTION("""COMPUTED_VALUE"""),"https://disk.yandex.ru/client/disk/Осмотры%20объектов%20АНО%20СМГ/982%20Кузнецовская%20ул.%2C%20зу%207")</f>
        <v>https://disk.yandex.ru/client/disk/Осмотры%20объектов%20АНО%20СМГ/982%20Кузнецовская%20ул.%2C%20зу%207</v>
      </c>
      <c r="J1102" s="50">
        <f>IFERROR(__xludf.DUMMYFUNCTION("""COMPUTED_VALUE"""),0.0)</f>
        <v>0</v>
      </c>
      <c r="K1102" s="58">
        <f>IFERROR(__xludf.DUMMYFUNCTION("""COMPUTED_VALUE"""),45807.0)</f>
        <v>45807</v>
      </c>
      <c r="L1102" s="6">
        <v>30.0</v>
      </c>
      <c r="M1102" s="52">
        <v>45837.0</v>
      </c>
      <c r="N1102" s="53" t="s">
        <v>668</v>
      </c>
      <c r="O1102" s="19" t="s">
        <v>914</v>
      </c>
      <c r="P1102" s="6"/>
      <c r="Q1102" s="6" t="str">
        <f t="shared" si="1"/>
        <v>#N/A</v>
      </c>
      <c r="R1102" s="6"/>
    </row>
    <row r="1103" hidden="1">
      <c r="A1103" s="31" t="str">
        <f>IFERROR(__xludf.DUMMYFUNCTION("""COMPUTED_VALUE"""),"983")</f>
        <v>983</v>
      </c>
      <c r="B1103" s="14" t="str">
        <f>IFERROR(__xludf.DUMMYFUNCTION("""COMPUTED_VALUE"""),"РЕН-27")</f>
        <v>РЕН-27</v>
      </c>
      <c r="C1103" s="14" t="str">
        <f>IFERROR(__xludf.DUMMYFUNCTION("""COMPUTED_VALUE"""),"ОКС")</f>
        <v>ОКС</v>
      </c>
      <c r="D1103" s="6"/>
      <c r="E110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Миллионная, д. 10А, ул. Миллионная, д. 8к2, ул. Мил"&amp;"лионная, д. 8к3) по адресу: г. Москва, внутригородское муниципальное образование Богородское, Кузнецовская улица, земельный участок 7/1/2 (ВАО) Кузнецовская ул., з/у 7/1/2")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Миллионная, д. 10А, ул. Миллионная, д. 8к2, ул. Миллионная, д. 8к3) по адресу: г. Москва, внутригородское муниципальное образование Богородское, Кузнецовская улица, земельный участок 7/1/2 (ВАО) Кузнецовская ул., з/у 7/1/2</v>
      </c>
      <c r="F1103" s="25" t="str">
        <f>IFERROR(__xludf.DUMMYFUNCTION("""COMPUTED_VALUE"""),"55.81498306588684")</f>
        <v>55.81498306588684</v>
      </c>
      <c r="G1103" s="6" t="str">
        <f>IFERROR(__xludf.DUMMYFUNCTION("""COMPUTED_VALUE"""),"37.69930289681903")</f>
        <v>37.69930289681903</v>
      </c>
      <c r="H1103" s="18" t="str">
        <f>IFERROR(__xludf.DUMMYFUNCTION("""COMPUTED_VALUE"""),"https://docs.google.com/spreadsheets/d/1lEcUd4exxkr5Za3IYZ0vdFNfMubnuMOOMXfmF3GYC9I/edit?gid=644664004#gid=644664004")</f>
        <v>https://docs.google.com/spreadsheets/d/1lEcUd4exxkr5Za3IYZ0vdFNfMubnuMOOMXfmF3GYC9I/edit?gid=644664004#gid=644664004</v>
      </c>
      <c r="I1103" s="19" t="str">
        <f>IFERROR(__xludf.DUMMYFUNCTION("""COMPUTED_VALUE"""),"https://disk.yandex.ru/client/disk/Осмотры%20объектов%20АНО%20СМГ/983%20ул.%20Кузнецовская%2C%20зу%207!1!2")</f>
        <v>https://disk.yandex.ru/client/disk/Осмотры%20объектов%20АНО%20СМГ/983%20ул.%20Кузнецовская%2C%20зу%207!1!2</v>
      </c>
      <c r="J1103" s="50">
        <f>IFERROR(__xludf.DUMMYFUNCTION("""COMPUTED_VALUE"""),0.0)</f>
        <v>0</v>
      </c>
      <c r="K1103" s="58">
        <f>IFERROR(__xludf.DUMMYFUNCTION("""COMPUTED_VALUE"""),45807.0)</f>
        <v>45807</v>
      </c>
      <c r="L1103" s="6">
        <v>30.0</v>
      </c>
      <c r="M1103" s="52">
        <v>45837.0</v>
      </c>
      <c r="N1103" s="53" t="s">
        <v>668</v>
      </c>
      <c r="O1103" s="19" t="s">
        <v>914</v>
      </c>
      <c r="P1103" s="6"/>
      <c r="Q1103" s="6" t="str">
        <f t="shared" si="1"/>
        <v>#N/A</v>
      </c>
      <c r="R1103" s="6"/>
    </row>
    <row r="1104" hidden="1">
      <c r="A1104" s="31" t="str">
        <f>IFERROR(__xludf.DUMMYFUNCTION("""COMPUTED_VALUE"""),"801")</f>
        <v>801</v>
      </c>
      <c r="B1104" s="14" t="str">
        <f>IFERROR(__xludf.DUMMYFUNCTION("""COMPUTED_VALUE"""),"РЕН-27")</f>
        <v>РЕН-27</v>
      </c>
      <c r="C1104" s="14" t="str">
        <f>IFERROR(__xludf.DUMMYFUNCTION("""COMPUTED_VALUE"""),"ОКС")</f>
        <v>ОКС</v>
      </c>
      <c r="D1104" s="6"/>
      <c r="E1104" s="14" t="str">
        <f>IFERROR(__xludf.DUMMYFUNCTION("""COMPUTED_VALUE"""),"Жилой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образ"&amp;"ование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f>
        <v>Жилой дом с инженерными сетями и благоустройством территории (со сносом жилых домов по адресам: улица Артюхиной, дом 21А, улица Артюхиной, дом 23, улица Артюхиной, дом 25, улица Артюхиной, дом 27)» по адресу: г. Москва, внутригородское муниципальное образование Текстильщики, улица Артюхиной, земельный участок 21 (Артюхиной ул., вл. 21-27) (Юго-Восточный административный округ) улица Артюхиной, земельный участок 21 (Артюхиной ул., вл. 21-27)</v>
      </c>
      <c r="F1104" s="25" t="str">
        <f>IFERROR(__xludf.DUMMYFUNCTION("""COMPUTED_VALUE"""),"55.69460519860576")</f>
        <v>55.69460519860576</v>
      </c>
      <c r="G1104" s="6" t="str">
        <f>IFERROR(__xludf.DUMMYFUNCTION("""COMPUTED_VALUE"""),"37.74027562830986")</f>
        <v>37.74027562830986</v>
      </c>
      <c r="H1104" s="18" t="str">
        <f>IFERROR(__xludf.DUMMYFUNCTION("""COMPUTED_VALUE"""),"https://docs.google.com/spreadsheets/d/1lEcUd4exxkr5Za3IYZ0vdFNfMubnuMOOMXfmF3GYC9I/edit?gid=961840138#gid=961840138")</f>
        <v>https://docs.google.com/spreadsheets/d/1lEcUd4exxkr5Za3IYZ0vdFNfMubnuMOOMXfmF3GYC9I/edit?gid=961840138#gid=961840138</v>
      </c>
      <c r="I1104" s="19" t="str">
        <f>IFERROR(__xludf.DUMMYFUNCTION("""COMPUTED_VALUE"""),"https://disk.yandex.ru/client/disk/Осмотры%20объектов%20АНО%20СМГ/801.%20Артюхиной%20ул.%2C%20уч.%2021%2C%20вл.%2021-27")</f>
        <v>https://disk.yandex.ru/client/disk/Осмотры%20объектов%20АНО%20СМГ/801.%20Артюхиной%20ул.%2C%20уч.%2021%2C%20вл.%2021-27</v>
      </c>
      <c r="J1104" s="50">
        <f>IFERROR(__xludf.DUMMYFUNCTION("""COMPUTED_VALUE"""),0.0)</f>
        <v>0</v>
      </c>
      <c r="K1104" s="58">
        <f>IFERROR(__xludf.DUMMYFUNCTION("""COMPUTED_VALUE"""),45973.0)</f>
        <v>45973</v>
      </c>
      <c r="L1104" s="6">
        <v>30.0</v>
      </c>
      <c r="M1104" s="52">
        <v>46003.0</v>
      </c>
      <c r="N1104" s="53" t="s">
        <v>711</v>
      </c>
      <c r="O1104" s="19" t="s">
        <v>931</v>
      </c>
      <c r="P1104" s="6"/>
      <c r="Q1104" s="6" t="str">
        <f t="shared" si="1"/>
        <v>#N/A</v>
      </c>
      <c r="R1104" s="6"/>
    </row>
    <row r="1105" hidden="1">
      <c r="A1105" s="31" t="str">
        <f>IFERROR(__xludf.DUMMYFUNCTION("""COMPUTED_VALUE"""),"905")</f>
        <v>905</v>
      </c>
      <c r="B1105" s="14" t="str">
        <f>IFERROR(__xludf.DUMMYFUNCTION("""COMPUTED_VALUE"""),"РЕН-27")</f>
        <v>РЕН-27</v>
      </c>
      <c r="C1105" s="14" t="str">
        <f>IFERROR(__xludf.DUMMYFUNCTION("""COMPUTED_VALUE"""),"ОКС")</f>
        <v>ОКС</v>
      </c>
      <c r="D1105" s="6"/>
      <c r="E1105" s="14" t="str">
        <f>IFERROR(__xludf.DUMMYFUNCTION("""COMPUTED_VALUE"""),"Жилой дом с инженерными сетями и благоустройством территории по адресу: г. Москва, САО, район Савеловский, ул. 2-я Хуторская 6/14 к.1 ул. 2-я Хуторская, 6/14, к. 1")</f>
        <v>Жилой дом с инженерными сетями и благоустройством территории по адресу: г. Москва, САО, район Савеловский, ул. 2-я Хуторская 6/14 к.1 ул. 2-я Хуторская, 6/14, к. 1</v>
      </c>
      <c r="F1105" s="25" t="str">
        <f>IFERROR(__xludf.DUMMYFUNCTION("""COMPUTED_VALUE"""),"55.80703546681896")</f>
        <v>55.80703546681896</v>
      </c>
      <c r="G1105" s="6" t="str">
        <f>IFERROR(__xludf.DUMMYFUNCTION("""COMPUTED_VALUE"""),"37.57748976190129")</f>
        <v>37.57748976190129</v>
      </c>
      <c r="H1105" s="18" t="str">
        <f>IFERROR(__xludf.DUMMYFUNCTION("""COMPUTED_VALUE"""),"https://docs.google.com/spreadsheets/d/1lEcUd4exxkr5Za3IYZ0vdFNfMubnuMOOMXfmF3GYC9I/edit?gid=1777508564#gid=1777508564")</f>
        <v>https://docs.google.com/spreadsheets/d/1lEcUd4exxkr5Za3IYZ0vdFNfMubnuMOOMXfmF3GYC9I/edit?gid=1777508564#gid=1777508564</v>
      </c>
      <c r="I1105" s="19" t="str">
        <f>IFERROR(__xludf.DUMMYFUNCTION("""COMPUTED_VALUE"""),"https://disk.yandex.ru/client/disk/Осмотры%20объектов%20АНО%20СМГ/905.%202-я%20Хуторская%206!14%2C%20к1")</f>
        <v>https://disk.yandex.ru/client/disk/Осмотры%20объектов%20АНО%20СМГ/905.%202-я%20Хуторская%206!14%2C%20к1</v>
      </c>
      <c r="J1105" s="50">
        <f>IFERROR(__xludf.DUMMYFUNCTION("""COMPUTED_VALUE"""),0.0)</f>
        <v>0</v>
      </c>
      <c r="K1105" s="58">
        <f>IFERROR(__xludf.DUMMYFUNCTION("""COMPUTED_VALUE"""),45811.0)</f>
        <v>45811</v>
      </c>
      <c r="L1105" s="6">
        <v>30.0</v>
      </c>
      <c r="M1105" s="52">
        <v>45841.0</v>
      </c>
      <c r="N1105" s="53" t="s">
        <v>668</v>
      </c>
      <c r="O1105" s="19" t="s">
        <v>1236</v>
      </c>
      <c r="P1105" s="6"/>
      <c r="Q1105" s="6" t="str">
        <f t="shared" si="1"/>
        <v>#N/A</v>
      </c>
      <c r="R1105" s="6"/>
    </row>
    <row r="1106" hidden="1">
      <c r="A1106" s="31" t="str">
        <f>IFERROR(__xludf.DUMMYFUNCTION("""COMPUTED_VALUE"""),"884")</f>
        <v>884</v>
      </c>
      <c r="B1106" s="14" t="str">
        <f>IFERROR(__xludf.DUMMYFUNCTION("""COMPUTED_VALUE"""),"РЕН-27")</f>
        <v>РЕН-27</v>
      </c>
      <c r="C1106" s="14" t="str">
        <f>IFERROR(__xludf.DUMMYFUNCTION("""COMPUTED_VALUE"""),"ОКС")</f>
        <v>ОКС</v>
      </c>
      <c r="D1106" s="6"/>
      <c r="E1106" s="14" t="str">
        <f>IFERROR(__xludf.DUMMYFUNCTION("""COMPUTED_VALUE"""),"Жилой дом с инженерной подготовкой, с инженерными сетями и благоустройством территории (со сносом жилых домов по адресу: ул. Родниковая, д. 4, д. 4 к. 1 и д. 4, к. 2 с отключением и перекладкой инженерных коммуникаций),ЗАО, район Солнцево, поселок Западны"&amp;"й, зона 2.1 ул. Родниковая, з/у 4/1/2")</f>
        <v>Жилой дом с инженерной подготовкой, с инженерными сетями и благоустройством территории (со сносом жилых домов по адресу: ул. Родниковая, д. 4, д. 4 к. 1 и д. 4, к. 2 с отключением и перекладкой инженерных коммуникаций),ЗАО, район Солнцево, поселок Западный, зона 2.1 ул. Родниковая, з/у 4/1/2</v>
      </c>
      <c r="F1106" s="25" t="str">
        <f>IFERROR(__xludf.DUMMYFUNCTION("""COMPUTED_VALUE"""),"55.63839220466291")</f>
        <v>55.63839220466291</v>
      </c>
      <c r="G1106" s="6" t="str">
        <f>IFERROR(__xludf.DUMMYFUNCTION("""COMPUTED_VALUE"""),"37.37850846494091")</f>
        <v>37.37850846494091</v>
      </c>
      <c r="H1106" s="18" t="str">
        <f>IFERROR(__xludf.DUMMYFUNCTION("""COMPUTED_VALUE"""),"https://docs.google.com/spreadsheets/d/1lEcUd4exxkr5Za3IYZ0vdFNfMubnuMOOMXfmF3GYC9I/edit?gid=226391427#gid=226391427")</f>
        <v>https://docs.google.com/spreadsheets/d/1lEcUd4exxkr5Za3IYZ0vdFNfMubnuMOOMXfmF3GYC9I/edit?gid=226391427#gid=226391427</v>
      </c>
      <c r="I1106" s="19" t="str">
        <f>IFERROR(__xludf.DUMMYFUNCTION("""COMPUTED_VALUE"""),"https://disk.yandex.ru/client/disk/Осмотры%20объектов%20АНО%20СМГ/884.%20родниковая%20ул.%204-1-2")</f>
        <v>https://disk.yandex.ru/client/disk/Осмотры%20объектов%20АНО%20СМГ/884.%20родниковая%20ул.%204-1-2</v>
      </c>
      <c r="J1106" s="50">
        <f>IFERROR(__xludf.DUMMYFUNCTION("""COMPUTED_VALUE"""),0.0)</f>
        <v>0</v>
      </c>
      <c r="K1106" s="58">
        <f>IFERROR(__xludf.DUMMYFUNCTION("""COMPUTED_VALUE"""),45807.0)</f>
        <v>45807</v>
      </c>
      <c r="L1106" s="6">
        <v>30.0</v>
      </c>
      <c r="M1106" s="52">
        <v>45837.0</v>
      </c>
      <c r="N1106" s="53" t="s">
        <v>668</v>
      </c>
      <c r="O1106" s="19" t="s">
        <v>914</v>
      </c>
      <c r="P1106" s="6"/>
      <c r="Q1106" s="6" t="str">
        <f t="shared" si="1"/>
        <v>#N/A</v>
      </c>
      <c r="R1106" s="6"/>
    </row>
    <row r="1107" hidden="1">
      <c r="A1107" s="31" t="str">
        <f>IFERROR(__xludf.DUMMYFUNCTION("""COMPUTED_VALUE"""),"1017")</f>
        <v>1017</v>
      </c>
      <c r="B1107" s="14" t="str">
        <f>IFERROR(__xludf.DUMMYFUNCTION("""COMPUTED_VALUE"""),"РЕН-27")</f>
        <v>РЕН-27</v>
      </c>
      <c r="C1107" s="14" t="str">
        <f>IFERROR(__xludf.DUMMYFUNCTION("""COMPUTED_VALUE"""),"ОКС")</f>
        <v>ОКС</v>
      </c>
      <c r="D1107" s="6"/>
      <c r="E1107" s="14" t="str">
        <f>IFERROR(__xludf.DUMMYFUNCTION("""COMPUTED_VALUE"""),"Жилой дом с инженерными сетями и благоустройством территории (со сносом жилого здания по адресу: Широкая улица, д. 10, корпус 1), СВАО, район Северное Медведково, Широкая ул., земельный участок 10/1 (Широкая ул., д.10, корп. 1) Широкая ул., д.10, к.1")</f>
        <v>Жилой дом с инженерными сетями и благоустройством территории (со сносом жилого здания по адресу: Широкая улица, д. 10, корпус 1), СВАО, район Северное Медведково, Широкая ул., земельный участок 10/1 (Широкая ул., д.10, корп. 1) Широкая ул., д.10, к.1</v>
      </c>
      <c r="F1107" s="25" t="str">
        <f>IFERROR(__xludf.DUMMYFUNCTION("""COMPUTED_VALUE"""),"55.88754241560224")</f>
        <v>55.88754241560224</v>
      </c>
      <c r="G1107" s="6" t="str">
        <f>IFERROR(__xludf.DUMMYFUNCTION("""COMPUTED_VALUE"""),"37.65291616931131")</f>
        <v>37.65291616931131</v>
      </c>
      <c r="H1107" s="18" t="str">
        <f>IFERROR(__xludf.DUMMYFUNCTION("""COMPUTED_VALUE"""),"https://docs.google.com/spreadsheets/d/1lEcUd4exxkr5Za3IYZ0vdFNfMubnuMOOMXfmF3GYC9I/edit?gid=452615283#gid=452615283")</f>
        <v>https://docs.google.com/spreadsheets/d/1lEcUd4exxkr5Za3IYZ0vdFNfMubnuMOOMXfmF3GYC9I/edit?gid=452615283#gid=452615283</v>
      </c>
      <c r="I1107" s="19" t="str">
        <f>IFERROR(__xludf.DUMMYFUNCTION("""COMPUTED_VALUE"""),"https://disk.yandex.ru/client/disk/Осмотры%20объектов%20АНО%20СМГ/1017%20ул.%20Широкая%2C%20д.%2010%2C%20корп.%201")</f>
        <v>https://disk.yandex.ru/client/disk/Осмотры%20объектов%20АНО%20СМГ/1017%20ул.%20Широкая%2C%20д.%2010%2C%20корп.%201</v>
      </c>
      <c r="J1107" s="50">
        <f>IFERROR(__xludf.DUMMYFUNCTION("""COMPUTED_VALUE"""),0.0)</f>
        <v>0</v>
      </c>
      <c r="K1107" s="58">
        <f>IFERROR(__xludf.DUMMYFUNCTION("""COMPUTED_VALUE"""),45810.0)</f>
        <v>45810</v>
      </c>
      <c r="L1107" s="6">
        <v>30.0</v>
      </c>
      <c r="M1107" s="52">
        <v>45840.0</v>
      </c>
      <c r="N1107" s="53" t="s">
        <v>668</v>
      </c>
      <c r="O1107" s="19" t="s">
        <v>914</v>
      </c>
      <c r="P1107" s="6"/>
      <c r="Q1107" s="6" t="str">
        <f t="shared" si="1"/>
        <v>#N/A</v>
      </c>
      <c r="R1107" s="6"/>
    </row>
    <row r="1108" hidden="1">
      <c r="A1108" s="31" t="str">
        <f>IFERROR(__xludf.DUMMYFUNCTION("""COMPUTED_VALUE"""),"839")</f>
        <v>839</v>
      </c>
      <c r="B1108" s="14" t="str">
        <f>IFERROR(__xludf.DUMMYFUNCTION("""COMPUTED_VALUE"""),"РЕН-27")</f>
        <v>РЕН-27</v>
      </c>
      <c r="C1108" s="14" t="str">
        <f>IFERROR(__xludf.DUMMYFUNCTION("""COMPUTED_VALUE"""),"ОКС")</f>
        <v>ОКС</v>
      </c>
      <c r="D1108" s="6"/>
      <c r="E1108" s="14" t="str">
        <f>IFERROR(__xludf.DUMMYFUNCTION("""COMPUTED_VALUE"""),"Жилой дом с подземной автостоянкой, инженерными сетями и благоустройством территории (со сносом жилых домов по адресам: Волгоградский пр-т, д. 167, Волгоградский пр-т, д. 169) по адресу: район Кузьминки, мкр. 117, 117а, 118, 118а, 119, зона №15.6 Волгогра"&amp;"дский проспект, земельный участок 167")</f>
        <v>Жилой дом с подземной автостоянкой, инженерными сетями и благоустройством территории (со сносом жилых домов по адресам: Волгоградский пр-т, д. 167, Волгоградский пр-т, д. 169) по адресу: район Кузьминки, мкр. 117, 117а, 118, 118а, 119, зона №15.6 Волгоградский проспект, земельный участок 167</v>
      </c>
      <c r="F1108" s="25" t="str">
        <f>IFERROR(__xludf.DUMMYFUNCTION("""COMPUTED_VALUE"""),"55.70314489633509")</f>
        <v>55.70314489633509</v>
      </c>
      <c r="G1108" s="6" t="str">
        <f>IFERROR(__xludf.DUMMYFUNCTION("""COMPUTED_VALUE"""),"37.789018578047546")</f>
        <v>37.789018578047546</v>
      </c>
      <c r="H1108" s="18" t="str">
        <f>IFERROR(__xludf.DUMMYFUNCTION("""COMPUTED_VALUE"""),"https://docs.google.com/spreadsheets/d/1lEcUd4exxkr5Za3IYZ0vdFNfMubnuMOOMXfmF3GYC9I/edit?gid=545670814#gid=545670814")</f>
        <v>https://docs.google.com/spreadsheets/d/1lEcUd4exxkr5Za3IYZ0vdFNfMubnuMOOMXfmF3GYC9I/edit?gid=545670814#gid=545670814</v>
      </c>
      <c r="I1108" s="19" t="str">
        <f>IFERROR(__xludf.DUMMYFUNCTION("""COMPUTED_VALUE"""),"https://disk.yandex.ru/client/disk/Осмотры%20объектов%20АНО%20СМГ/839.%20Волгоградский%20пр-т%2C%20з-у167.%20Жилой%20дом")</f>
        <v>https://disk.yandex.ru/client/disk/Осмотры%20объектов%20АНО%20СМГ/839.%20Волгоградский%20пр-т%2C%20з-у167.%20Жилой%20дом</v>
      </c>
      <c r="J1108" s="50">
        <f>IFERROR(__xludf.DUMMYFUNCTION("""COMPUTED_VALUE"""),0.0)</f>
        <v>0</v>
      </c>
      <c r="K1108" s="58">
        <f>IFERROR(__xludf.DUMMYFUNCTION("""COMPUTED_VALUE"""),45807.0)</f>
        <v>45807</v>
      </c>
      <c r="L1108" s="6">
        <v>30.0</v>
      </c>
      <c r="M1108" s="52">
        <v>45837.0</v>
      </c>
      <c r="N1108" s="53" t="s">
        <v>668</v>
      </c>
      <c r="O1108" s="19" t="s">
        <v>1236</v>
      </c>
      <c r="P1108" s="6"/>
      <c r="Q1108" s="6" t="str">
        <f t="shared" si="1"/>
        <v>#N/A</v>
      </c>
      <c r="R1108" s="6"/>
    </row>
    <row r="1109" hidden="1">
      <c r="A1109" s="31" t="str">
        <f>IFERROR(__xludf.DUMMYFUNCTION("""COMPUTED_VALUE"""),"840")</f>
        <v>840</v>
      </c>
      <c r="B1109" s="14" t="str">
        <f>IFERROR(__xludf.DUMMYFUNCTION("""COMPUTED_VALUE"""),"РЕН-27")</f>
        <v>РЕН-27</v>
      </c>
      <c r="C1109" s="14" t="str">
        <f>IFERROR(__xludf.DUMMYFUNCTION("""COMPUTED_VALUE"""),"ОКС")</f>
        <v>ОКС</v>
      </c>
      <c r="D1109" s="6"/>
      <c r="E1109" s="14" t="str">
        <f>IFERROR(__xludf.DUMMYFUNCTION("""COMPUTED_VALUE"""),"Жилой дом с подземной автостоянкой, инженерными сетями и благоустройством территории (со сносом жилого дома по адресу: ул. Зеленодольская, д. 39) по адресу: район Кузьминки, мкр. 117, 117а, 118, 118а, 119, зона № 8.1 Зеленодольская улица, земельный участо"&amp;"к 39")</f>
        <v>Жилой дом с подземной автостоянкой, инженерными сетями и благоустройством территории (со сносом жилого дома по адресу: ул. Зеленодольская, д. 39) по адресу: район Кузьминки, мкр. 117, 117а, 118, 118а, 119, зона № 8.1 Зеленодольская улица, земельный участок 39</v>
      </c>
      <c r="F1109" s="25" t="str">
        <f>IFERROR(__xludf.DUMMYFUNCTION("""COMPUTED_VALUE"""),"55.703723")</f>
        <v>55.703723</v>
      </c>
      <c r="G1109" s="6" t="str">
        <f>IFERROR(__xludf.DUMMYFUNCTION("""COMPUTED_VALUE"""),"37.766684")</f>
        <v>37.766684</v>
      </c>
      <c r="H1109" s="18" t="str">
        <f>IFERROR(__xludf.DUMMYFUNCTION("""COMPUTED_VALUE"""),"https://docs.google.com/spreadsheets/d/1lEcUd4exxkr5Za3IYZ0vdFNfMubnuMOOMXfmF3GYC9I/edit?gid=1723281280#gid=1723281280")</f>
        <v>https://docs.google.com/spreadsheets/d/1lEcUd4exxkr5Za3IYZ0vdFNfMubnuMOOMXfmF3GYC9I/edit?gid=1723281280#gid=1723281280</v>
      </c>
      <c r="I1109" s="19" t="str">
        <f>IFERROR(__xludf.DUMMYFUNCTION("""COMPUTED_VALUE"""),"https://disk.yandex.ru/client/disk/Осмотры%20объектов%20АНО%20СМГ/840.%20Зеленодольская%20ул.%2C%20д.%2039.%20Жилой%20дом")</f>
        <v>https://disk.yandex.ru/client/disk/Осмотры%20объектов%20АНО%20СМГ/840.%20Зеленодольская%20ул.%2C%20д.%2039.%20Жилой%20дом</v>
      </c>
      <c r="J1109" s="50">
        <f>IFERROR(__xludf.DUMMYFUNCTION("""COMPUTED_VALUE"""),0.0)</f>
        <v>0</v>
      </c>
      <c r="K1109" s="58">
        <f>IFERROR(__xludf.DUMMYFUNCTION("""COMPUTED_VALUE"""),45960.0)</f>
        <v>45960</v>
      </c>
      <c r="L1109" s="6">
        <v>30.0</v>
      </c>
      <c r="M1109" s="52">
        <v>45990.0</v>
      </c>
      <c r="N1109" s="53" t="s">
        <v>692</v>
      </c>
      <c r="O1109" s="19" t="s">
        <v>914</v>
      </c>
      <c r="P1109" s="6"/>
      <c r="Q1109" s="6" t="str">
        <f t="shared" si="1"/>
        <v>#N/A</v>
      </c>
      <c r="R1109" s="6"/>
    </row>
    <row r="1110" hidden="1">
      <c r="A1110" s="31" t="str">
        <f>IFERROR(__xludf.DUMMYFUNCTION("""COMPUTED_VALUE"""),"841")</f>
        <v>841</v>
      </c>
      <c r="B1110" s="14" t="str">
        <f>IFERROR(__xludf.DUMMYFUNCTION("""COMPUTED_VALUE"""),"РЕН-27")</f>
        <v>РЕН-27</v>
      </c>
      <c r="C1110" s="14" t="str">
        <f>IFERROR(__xludf.DUMMYFUNCTION("""COMPUTED_VALUE"""),"ОКС")</f>
        <v>ОКС</v>
      </c>
      <c r="D1110" s="6"/>
      <c r="E1110" s="14" t="str">
        <f>IFERROR(__xludf.DUMMYFUNCTION("""COMPUTED_VALUE"""),"Жилой дом с подземной автостоянкой с инженерными сетями и благоустройством территории (со сносом жилого здания по адресу: ул. Судакова, 16/47, нежилых зданий по адресам: ул. Судакова, 16/47, к.1; ул. Судакова, 18А) по адресу: вн. тер. г. Люблино, ул. Суда"&amp;"кова, земельный участок 16/47 (зона № 1.3) улица Судакова, земельный участок 16/47")</f>
        <v>Жилой дом с подземной автостоянкой с инженерными сетями и благоустройством территории (со сносом жилого здания по адресу: ул. Судакова, 16/47, нежилых зданий по адресам: ул. Судакова, 16/47, к.1; ул. Судакова, 18А) по адресу: вн. тер. г. Люблино, ул. Судакова, земельный участок 16/47 (зона № 1.3) улица Судакова, земельный участок 16/47</v>
      </c>
      <c r="F1110" s="25" t="str">
        <f>IFERROR(__xludf.DUMMYFUNCTION("""COMPUTED_VALUE"""),"55.67275554727573")</f>
        <v>55.67275554727573</v>
      </c>
      <c r="G1110" s="6" t="str">
        <f>IFERROR(__xludf.DUMMYFUNCTION("""COMPUTED_VALUE"""),"37.74950437434326")</f>
        <v>37.74950437434326</v>
      </c>
      <c r="H1110" s="18" t="str">
        <f>IFERROR(__xludf.DUMMYFUNCTION("""COMPUTED_VALUE"""),"https://docs.google.com/spreadsheets/d/1lEcUd4exxkr5Za3IYZ0vdFNfMubnuMOOMXfmF3GYC9I/edit?gid=1860586350#gid=1860586350")</f>
        <v>https://docs.google.com/spreadsheets/d/1lEcUd4exxkr5Za3IYZ0vdFNfMubnuMOOMXfmF3GYC9I/edit?gid=1860586350#gid=1860586350</v>
      </c>
      <c r="I1110" s="19" t="str">
        <f>IFERROR(__xludf.DUMMYFUNCTION("""COMPUTED_VALUE"""),"https://disk.yandex.ru/client/disk/Осмотры%20объектов%20АНО%20СМГ/841.%20жилой%20дом%20ул.%20Судакова%2016.47")</f>
        <v>https://disk.yandex.ru/client/disk/Осмотры%20объектов%20АНО%20СМГ/841.%20жилой%20дом%20ул.%20Судакова%2016.47</v>
      </c>
      <c r="J1110" s="50">
        <f>IFERROR(__xludf.DUMMYFUNCTION("""COMPUTED_VALUE"""),0.0)</f>
        <v>0</v>
      </c>
      <c r="K1110" s="58">
        <f>IFERROR(__xludf.DUMMYFUNCTION("""COMPUTED_VALUE"""),45688.0)</f>
        <v>45688</v>
      </c>
      <c r="L1110" s="6">
        <v>30.0</v>
      </c>
      <c r="M1110" s="52">
        <v>45718.0</v>
      </c>
      <c r="N1110" s="53" t="s">
        <v>668</v>
      </c>
      <c r="O1110" s="19" t="s">
        <v>914</v>
      </c>
      <c r="P1110" s="6"/>
      <c r="Q1110" s="6" t="str">
        <f t="shared" si="1"/>
        <v>#N/A</v>
      </c>
      <c r="R1110" s="6"/>
    </row>
    <row r="1111" hidden="1">
      <c r="A1111" s="31" t="str">
        <f>IFERROR(__xludf.DUMMYFUNCTION("""COMPUTED_VALUE"""),"842")</f>
        <v>842</v>
      </c>
      <c r="B1111" s="14" t="str">
        <f>IFERROR(__xludf.DUMMYFUNCTION("""COMPUTED_VALUE"""),"РЕН-27")</f>
        <v>РЕН-27</v>
      </c>
      <c r="C1111" s="14" t="str">
        <f>IFERROR(__xludf.DUMMYFUNCTION("""COMPUTED_VALUE"""),"ОКС")</f>
        <v>ОКС</v>
      </c>
      <c r="D1111" s="6"/>
      <c r="E1111" s="14" t="str">
        <f>IFERROR(__xludf.DUMMYFUNCTION("""COMPUTED_VALUE"""),"Жилой дом с подземной автостоянкой с инженерными сетями и благоустройством территории (со сносом жилых зданий по адресам: ул. Армавирская, 23/18; ул. Армавирская, д. 25) по адресу: вн. тер. г. Люблино, ул. Судакова, земельный участок 18/23 (зона № 1.4) ул"&amp;"ица Судакова, земельный участок 18/23")</f>
        <v>Жилой дом с подземной автостоянкой с инженерными сетями и благоустройством территории (со сносом жилых зданий по адресам: ул. Армавирская, 23/18; ул. Армавирская, д. 25) по адресу: вн. тер. г. Люблино, ул. Судакова, земельный участок 18/23 (зона № 1.4) улица Судакова, земельный участок 18/23</v>
      </c>
      <c r="F1111" s="25" t="str">
        <f>IFERROR(__xludf.DUMMYFUNCTION("""COMPUTED_VALUE"""),"55.6729")</f>
        <v>55.6729</v>
      </c>
      <c r="G1111" s="6" t="str">
        <f>IFERROR(__xludf.DUMMYFUNCTION("""COMPUTED_VALUE"""),"37.752185")</f>
        <v>37.752185</v>
      </c>
      <c r="H1111" s="18" t="str">
        <f>IFERROR(__xludf.DUMMYFUNCTION("""COMPUTED_VALUE"""),"https://docs.google.com/spreadsheets/d/1lEcUd4exxkr5Za3IYZ0vdFNfMubnuMOOMXfmF3GYC9I/edit?gid=1377038117#gid=1377038117")</f>
        <v>https://docs.google.com/spreadsheets/d/1lEcUd4exxkr5Za3IYZ0vdFNfMubnuMOOMXfmF3GYC9I/edit?gid=1377038117#gid=1377038117</v>
      </c>
      <c r="I1111" s="19" t="str">
        <f>IFERROR(__xludf.DUMMYFUNCTION("""COMPUTED_VALUE"""),"https://disk.yandex.ru/client/disk/Осмотры%20объектов%20АНО%20СМГ/842.%20жилой%20дом%20ул.%20Судакова%2018.23")</f>
        <v>https://disk.yandex.ru/client/disk/Осмотры%20объектов%20АНО%20СМГ/842.%20жилой%20дом%20ул.%20Судакова%2018.23</v>
      </c>
      <c r="J1111" s="50">
        <f>IFERROR(__xludf.DUMMYFUNCTION("""COMPUTED_VALUE"""),0.0)</f>
        <v>0</v>
      </c>
      <c r="K1111" s="58">
        <f>IFERROR(__xludf.DUMMYFUNCTION("""COMPUTED_VALUE"""),45688.0)</f>
        <v>45688</v>
      </c>
      <c r="L1111" s="6">
        <v>30.0</v>
      </c>
      <c r="M1111" s="52">
        <v>45718.0</v>
      </c>
      <c r="N1111" s="53" t="s">
        <v>668</v>
      </c>
      <c r="O1111" s="19" t="s">
        <v>914</v>
      </c>
      <c r="P1111" s="6"/>
      <c r="Q1111" s="6" t="str">
        <f t="shared" si="1"/>
        <v>#N/A</v>
      </c>
      <c r="R1111" s="6"/>
    </row>
    <row r="1112" hidden="1">
      <c r="A1112" s="31" t="str">
        <f>IFERROR(__xludf.DUMMYFUNCTION("""COMPUTED_VALUE"""),"873")</f>
        <v>873</v>
      </c>
      <c r="B1112" s="14" t="str">
        <f>IFERROR(__xludf.DUMMYFUNCTION("""COMPUTED_VALUE"""),"РЕН-27")</f>
        <v>РЕН-27</v>
      </c>
      <c r="C1112" s="14" t="str">
        <f>IFERROR(__xludf.DUMMYFUNCTION("""COMPUTED_VALUE"""),"ОКС")</f>
        <v>ОКС</v>
      </c>
      <c r="D1112" s="6"/>
      <c r="E1112" s="14" t="str">
        <f>IFERROR(__xludf.DUMMYFUNCTION("""COMPUTED_VALUE"""),"Жилой дом с инженерными сетями и благоустройством территории (со сносом жилых домов по адресам: Кусковская улица, дом 25, корпус 1; дом 25, корпус 2)» по адресу: г. Москва, внутригородское муниципальное образование Новогиреево, улица Кусковская, земельный"&amp;" участок 25 (Кусковская ул., вл. 25) (Восточный административный округ) улица Кусковская, земельный участок 25 (Кусковская ул., вл. 25")</f>
        <v>Жилой дом с инженерными сетями и благоустройством территории (со сносом жилых домов по адресам: Кусковская улица, дом 25, корпус 1; дом 25, корпус 2)» по адресу: г. Москва, внутригородское муниципальное образование Новогиреево, улица Кусковская, земельный участок 25 (Кусковская ул., вл. 25) (Восточный административный округ) улица Кусковская, земельный участок 25 (Кусковская ул., вл. 25</v>
      </c>
      <c r="F1112" s="25" t="str">
        <f>IFERROR(__xludf.DUMMYFUNCTION("""COMPUTED_VALUE"""),"55.74101399206099")</f>
        <v>55.74101399206099</v>
      </c>
      <c r="G1112" s="6" t="str">
        <f>IFERROR(__xludf.DUMMYFUNCTION("""COMPUTED_VALUE"""),"37.782451074728726")</f>
        <v>37.782451074728726</v>
      </c>
      <c r="H1112" s="18" t="str">
        <f>IFERROR(__xludf.DUMMYFUNCTION("""COMPUTED_VALUE"""),"https://docs.google.com/spreadsheets/d/1lEcUd4exxkr5Za3IYZ0vdFNfMubnuMOOMXfmF3GYC9I/edit?gid=569403802#gid=569403802")</f>
        <v>https://docs.google.com/spreadsheets/d/1lEcUd4exxkr5Za3IYZ0vdFNfMubnuMOOMXfmF3GYC9I/edit?gid=569403802#gid=569403802</v>
      </c>
      <c r="I1112" s="19" t="str">
        <f>IFERROR(__xludf.DUMMYFUNCTION("""COMPUTED_VALUE"""),"https://disk.yandex.ru/client/disk/Осмотры%20объектов%20АНО%20СМГ/873%20ВАО%20уд.%20Кусковская.%2C%20зем.уч%20вл.25")</f>
        <v>https://disk.yandex.ru/client/disk/Осмотры%20объектов%20АНО%20СМГ/873%20ВАО%20уд.%20Кусковская.%2C%20зем.уч%20вл.25</v>
      </c>
      <c r="J1112" s="50">
        <f>IFERROR(__xludf.DUMMYFUNCTION("""COMPUTED_VALUE"""),0.0)</f>
        <v>0</v>
      </c>
      <c r="K1112" s="58">
        <f>IFERROR(__xludf.DUMMYFUNCTION("""COMPUTED_VALUE"""),45688.0)</f>
        <v>45688</v>
      </c>
      <c r="L1112" s="6">
        <v>30.0</v>
      </c>
      <c r="M1112" s="52">
        <v>45718.0</v>
      </c>
      <c r="N1112" s="53" t="s">
        <v>668</v>
      </c>
      <c r="O1112" s="19" t="s">
        <v>914</v>
      </c>
      <c r="P1112" s="6"/>
      <c r="Q1112" s="6" t="str">
        <f t="shared" si="1"/>
        <v>#N/A</v>
      </c>
      <c r="R1112" s="6"/>
    </row>
    <row r="1113" hidden="1">
      <c r="A1113" s="31" t="str">
        <f>IFERROR(__xludf.DUMMYFUNCTION("""COMPUTED_VALUE"""),"758")</f>
        <v>758</v>
      </c>
      <c r="B1113" s="14" t="str">
        <f>IFERROR(__xludf.DUMMYFUNCTION("""COMPUTED_VALUE"""),"РЕН-27")</f>
        <v>РЕН-27</v>
      </c>
      <c r="C1113" s="14" t="str">
        <f>IFERROR(__xludf.DUMMYFUNCTION("""COMPUTED_VALUE"""),"ОКС")</f>
        <v>ОКС</v>
      </c>
      <c r="D1113" s="6"/>
      <c r="E1113" s="14" t="str">
        <f>IFERROR(__xludf.DUMMYFUNCTION("""COMPUTED_VALUE"""),"Жилой дом с инженерными сетями и благоустройством территории, ЗАО, район Фили-Давыдково, Клочкова ул., вл. 2-4 улица Клочкова, земельный участок 2 (Клочкова ул., вл. 2-4)")</f>
        <v>Жилой дом с инженерными сетями и благоустройством территории, ЗАО, район Фили-Давыдково, Клочкова ул., вл. 2-4 улица Клочкова, земельный участок 2 (Клочкова ул., вл. 2-4)</v>
      </c>
      <c r="F1113" s="25" t="str">
        <f>IFERROR(__xludf.DUMMYFUNCTION("""COMPUTED_VALUE"""),"55.725377")</f>
        <v>55.725377</v>
      </c>
      <c r="G1113" s="6" t="str">
        <f>IFERROR(__xludf.DUMMYFUNCTION("""COMPUTED_VALUE"""),"37.45177")</f>
        <v>37.45177</v>
      </c>
      <c r="H1113" s="18" t="str">
        <f>IFERROR(__xludf.DUMMYFUNCTION("""COMPUTED_VALUE"""),"https://docs.google.com/spreadsheets/d/1lEcUd4exxkr5Za3IYZ0vdFNfMubnuMOOMXfmF3GYC9I/edit?gid=65622672#gid=65622672")</f>
        <v>https://docs.google.com/spreadsheets/d/1lEcUd4exxkr5Za3IYZ0vdFNfMubnuMOOMXfmF3GYC9I/edit?gid=65622672#gid=65622672</v>
      </c>
      <c r="I1113" s="19" t="str">
        <f>IFERROR(__xludf.DUMMYFUNCTION("""COMPUTED_VALUE"""),"https://disk.yandex.ru/client/disk/Осмотры%20объектов%20АНО%20СМГ/758.%20%20улица%20Клочкова%2C%20земельный%20участок%204%20(Клочкова%20ул.%2C%20вл.%202-4)")</f>
        <v>https://disk.yandex.ru/client/disk/Осмотры%20объектов%20АНО%20СМГ/758.%20%20улица%20Клочкова%2C%20земельный%20участок%204%20(Клочкова%20ул.%2C%20вл.%202-4)</v>
      </c>
      <c r="J1113" s="50">
        <f>IFERROR(__xludf.DUMMYFUNCTION("""COMPUTED_VALUE"""),0.0)</f>
        <v>0</v>
      </c>
      <c r="K1113" s="58">
        <f>IFERROR(__xludf.DUMMYFUNCTION("""COMPUTED_VALUE"""),45824.0)</f>
        <v>45824</v>
      </c>
      <c r="L1113" s="6">
        <v>30.0</v>
      </c>
      <c r="M1113" s="52">
        <v>45854.0</v>
      </c>
      <c r="N1113" s="53" t="s">
        <v>668</v>
      </c>
      <c r="O1113" s="19" t="s">
        <v>914</v>
      </c>
      <c r="P1113" s="6"/>
      <c r="Q1113" s="6" t="str">
        <f t="shared" si="1"/>
        <v>#N/A</v>
      </c>
      <c r="R1113" s="6"/>
    </row>
    <row r="1114" hidden="1">
      <c r="A1114" s="31" t="str">
        <f>IFERROR(__xludf.DUMMYFUNCTION("""COMPUTED_VALUE"""),"764")</f>
        <v>764</v>
      </c>
      <c r="B1114" s="14" t="str">
        <f>IFERROR(__xludf.DUMMYFUNCTION("""COMPUTED_VALUE"""),"РЕН-27")</f>
        <v>РЕН-27</v>
      </c>
      <c r="C1114" s="14" t="str">
        <f>IFERROR(__xludf.DUMMYFUNCTION("""COMPUTED_VALUE"""),"ОКС")</f>
        <v>ОКС</v>
      </c>
      <c r="D1114" s="6"/>
      <c r="E1114"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д.34 к.2 и Самаркандский б-р. д.34 к.3) п"&amp;"о адресу: район Выхино-Жулебино, мкр. 137-138, зона № 2.2 Самаркандский б-р., мкр. 137-138, зона № 2.2")</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Самаркандский б-р. д.34 к.2 и Самаркандский б-р. д.34 к.3) по адресу: район Выхино-Жулебино, мкр. 137-138, зона № 2.2 Самаркандский б-р., мкр. 137-138, зона № 2.2</v>
      </c>
      <c r="F1114" s="25" t="str">
        <f>IFERROR(__xludf.DUMMYFUNCTION("""COMPUTED_VALUE"""),"55.697513")</f>
        <v>55.697513</v>
      </c>
      <c r="G1114" s="6" t="str">
        <f>IFERROR(__xludf.DUMMYFUNCTION("""COMPUTED_VALUE"""),"37.810243")</f>
        <v>37.810243</v>
      </c>
      <c r="H1114" s="18" t="str">
        <f>IFERROR(__xludf.DUMMYFUNCTION("""COMPUTED_VALUE"""),"https://docs.google.com/spreadsheets/d/1lEcUd4exxkr5Za3IYZ0vdFNfMubnuMOOMXfmF3GYC9I/edit?gid=1826826370#gid=1826826370")</f>
        <v>https://docs.google.com/spreadsheets/d/1lEcUd4exxkr5Za3IYZ0vdFNfMubnuMOOMXfmF3GYC9I/edit?gid=1826826370#gid=1826826370</v>
      </c>
      <c r="I1114" s="19" t="str">
        <f>IFERROR(__xludf.DUMMYFUNCTION("""COMPUTED_VALUE"""),"https://disk.yandex.ru/client/disk/Осмотры%20объектов%20АНО%20СМГ/764.%20Самаркандский%20б-р%2C%20мкр.%20137-138%2C%20зона√2.2")</f>
        <v>https://disk.yandex.ru/client/disk/Осмотры%20объектов%20АНО%20СМГ/764.%20Самаркандский%20б-р%2C%20мкр.%20137-138%2C%20зона√2.2</v>
      </c>
      <c r="J1114" s="50">
        <f>IFERROR(__xludf.DUMMYFUNCTION("""COMPUTED_VALUE"""),0.0)</f>
        <v>0</v>
      </c>
      <c r="K1114" s="58">
        <f>IFERROR(__xludf.DUMMYFUNCTION("""COMPUTED_VALUE"""),45807.0)</f>
        <v>45807</v>
      </c>
      <c r="L1114" s="6">
        <v>30.0</v>
      </c>
      <c r="M1114" s="52">
        <v>45837.0</v>
      </c>
      <c r="N1114" s="53" t="s">
        <v>668</v>
      </c>
      <c r="O1114" s="19" t="s">
        <v>914</v>
      </c>
      <c r="P1114" s="6"/>
      <c r="Q1114" s="6" t="str">
        <f t="shared" si="1"/>
        <v>#N/A</v>
      </c>
      <c r="R1114" s="6"/>
    </row>
    <row r="1115" hidden="1">
      <c r="A1115" s="31" t="str">
        <f>IFERROR(__xludf.DUMMYFUNCTION("""COMPUTED_VALUE"""),"779")</f>
        <v>779</v>
      </c>
      <c r="B1115" s="14" t="str">
        <f>IFERROR(__xludf.DUMMYFUNCTION("""COMPUTED_VALUE"""),"РЕН-27")</f>
        <v>РЕН-27</v>
      </c>
      <c r="C1115" s="14" t="str">
        <f>IFERROR(__xludf.DUMMYFUNCTION("""COMPUTED_VALUE"""),"ОКС")</f>
        <v>ОКС</v>
      </c>
      <c r="D1115" s="6"/>
      <c r="E1115"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бульвар Матроса Железняка, д. 17/14) по адресу: г. Москв"&amp;"а, внутригородское муниципальное образование Коптево, бульвар Матроса Железняка, земельный участок 17/14 (САО) Коптево, кв. 16, зона 10.1, бульвар Матроса Железняка 17/14")</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жилого дома по адресу: бульвар Матроса Железняка, д. 17/14) по адресу: г. Москва, внутригородское муниципальное образование Коптево, бульвар Матроса Железняка, земельный участок 17/14 (САО) Коптево, кв. 16, зона 10.1, бульвар Матроса Железняка 17/14</v>
      </c>
      <c r="F1115" s="25" t="str">
        <f>IFERROR(__xludf.DUMMYFUNCTION("""COMPUTED_VALUE"""),"55.83222907637363")</f>
        <v>55.83222907637363</v>
      </c>
      <c r="G1115" s="6" t="str">
        <f>IFERROR(__xludf.DUMMYFUNCTION("""COMPUTED_VALUE"""),"37.52638054232734")</f>
        <v>37.52638054232734</v>
      </c>
      <c r="H1115" s="18" t="str">
        <f>IFERROR(__xludf.DUMMYFUNCTION("""COMPUTED_VALUE"""),"https://docs.google.com/spreadsheets/d/1lEcUd4exxkr5Za3IYZ0vdFNfMubnuMOOMXfmF3GYC9I/edit?gid=955853431#gid=955853431")</f>
        <v>https://docs.google.com/spreadsheets/d/1lEcUd4exxkr5Za3IYZ0vdFNfMubnuMOOMXfmF3GYC9I/edit?gid=955853431#gid=955853431</v>
      </c>
      <c r="I1115" s="19" t="str">
        <f>IFERROR(__xludf.DUMMYFUNCTION("""COMPUTED_VALUE"""),"https://disk.yandex.ru/client/disk/Осмотры%20объектов%20АНО%20СМГ/779.%20Коптево%2C%20кв.%2016%2C%20зона%2010.1")</f>
        <v>https://disk.yandex.ru/client/disk/Осмотры%20объектов%20АНО%20СМГ/779.%20Коптево%2C%20кв.%2016%2C%20зона%2010.1</v>
      </c>
      <c r="J1115" s="50">
        <f>IFERROR(__xludf.DUMMYFUNCTION("""COMPUTED_VALUE"""),0.0)</f>
        <v>0</v>
      </c>
      <c r="K1115" s="58">
        <f>IFERROR(__xludf.DUMMYFUNCTION("""COMPUTED_VALUE"""),45679.0)</f>
        <v>45679</v>
      </c>
      <c r="L1115" s="6">
        <v>30.0</v>
      </c>
      <c r="M1115" s="52">
        <v>45709.0</v>
      </c>
      <c r="N1115" s="53" t="s">
        <v>668</v>
      </c>
      <c r="O1115" s="19" t="s">
        <v>1218</v>
      </c>
      <c r="P1115" s="6"/>
      <c r="Q1115" s="6" t="str">
        <f t="shared" si="1"/>
        <v>#N/A</v>
      </c>
      <c r="R1115" s="6"/>
    </row>
    <row r="1116" hidden="1">
      <c r="A1116" s="31" t="str">
        <f>IFERROR(__xludf.DUMMYFUNCTION("""COMPUTED_VALUE"""),"781")</f>
        <v>781</v>
      </c>
      <c r="B1116" s="14" t="str">
        <f>IFERROR(__xludf.DUMMYFUNCTION("""COMPUTED_VALUE"""),"РЕН-27")</f>
        <v>РЕН-27</v>
      </c>
      <c r="C1116" s="14" t="str">
        <f>IFERROR(__xludf.DUMMYFUNCTION("""COMPUTED_VALUE"""),"ОКС")</f>
        <v>ОКС</v>
      </c>
      <c r="D1116" s="6"/>
      <c r="E1116"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дома: д.1а, д.3; Новомихал"&amp;"ковский 3-й проезд, д.1, Новомихалковский 3-й проезд, д. 3, ул. Большая Академическая, д. 59/1 кБ) по адресу: район Коптево, кв. 98, зона № 2.1 (САО) Коптево, кв. 98, зона 2.1")</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дома: д.1а, д.3; Новомихалковский 3-й проезд, д.1, Новомихалковский 3-й проезд, д. 3, ул. Большая Академическая, д. 59/1 кБ) по адресу: район Коптево, кв. 98, зона № 2.1 (САО) Коптево, кв. 98, зона 2.1</v>
      </c>
      <c r="F1116" s="25" t="str">
        <f>IFERROR(__xludf.DUMMYFUNCTION("""COMPUTED_VALUE"""),"55.840105720551556")</f>
        <v>55.840105720551556</v>
      </c>
      <c r="G1116" s="6" t="str">
        <f>IFERROR(__xludf.DUMMYFUNCTION("""COMPUTED_VALUE"""),"37.54464199140119")</f>
        <v>37.54464199140119</v>
      </c>
      <c r="H1116" s="18" t="str">
        <f>IFERROR(__xludf.DUMMYFUNCTION("""COMPUTED_VALUE"""),"https://docs.google.com/spreadsheets/d/1lEcUd4exxkr5Za3IYZ0vdFNfMubnuMOOMXfmF3GYC9I/edit?gid=1982116441#gid=1982116441")</f>
        <v>https://docs.google.com/spreadsheets/d/1lEcUd4exxkr5Za3IYZ0vdFNfMubnuMOOMXfmF3GYC9I/edit?gid=1982116441#gid=1982116441</v>
      </c>
      <c r="I1116" s="19" t="str">
        <f>IFERROR(__xludf.DUMMYFUNCTION("""COMPUTED_VALUE"""),"https://disk.yandex.ru/client/disk/Осмотры%20объектов%20АНО%20СМГ/781.%20Коптево%2C%20кв.%2098%2C%20зона%20№%202.1")</f>
        <v>https://disk.yandex.ru/client/disk/Осмотры%20объектов%20АНО%20СМГ/781.%20Коптево%2C%20кв.%2098%2C%20зона%20№%202.1</v>
      </c>
      <c r="J1116" s="50">
        <f>IFERROR(__xludf.DUMMYFUNCTION("""COMPUTED_VALUE"""),0.0)</f>
        <v>0</v>
      </c>
      <c r="K1116" s="58">
        <f>IFERROR(__xludf.DUMMYFUNCTION("""COMPUTED_VALUE"""),45679.0)</f>
        <v>45679</v>
      </c>
      <c r="L1116" s="6">
        <v>30.0</v>
      </c>
      <c r="M1116" s="52">
        <v>45709.0</v>
      </c>
      <c r="N1116" s="53" t="s">
        <v>668</v>
      </c>
      <c r="O1116" s="19" t="s">
        <v>1218</v>
      </c>
      <c r="P1116" s="6"/>
      <c r="Q1116" s="6" t="str">
        <f t="shared" si="1"/>
        <v>#N/A</v>
      </c>
      <c r="R1116" s="6"/>
    </row>
    <row r="1117" hidden="1">
      <c r="A1117" s="31" t="str">
        <f>IFERROR(__xludf.DUMMYFUNCTION("""COMPUTED_VALUE"""),"808")</f>
        <v>808</v>
      </c>
      <c r="B1117" s="14" t="str">
        <f>IFERROR(__xludf.DUMMYFUNCTION("""COMPUTED_VALUE"""),"РЕН-27")</f>
        <v>РЕН-27</v>
      </c>
      <c r="C1117" s="14" t="str">
        <f>IFERROR(__xludf.DUMMYFUNCTION("""COMPUTED_VALUE"""),"ОКС")</f>
        <v>ОКС</v>
      </c>
      <c r="D1117" s="6"/>
      <c r="E1117"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Нагорная д. 7 корп. 2; ул. Нагорная д. 7 корп. 3; у"&amp;"л. Нагорная д. 7 корп. 4) по адресу: г. Москва, внутригородское муниципальное образование Котловка, улица Нагорная, земельный участок 7 (зона 2.1) (Юго-Западный административный округ) Котловка, микрорайонов 67,68 кв-лов 103,104,105,106, номер зоны 2.1")</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Нагорная д. 7 корп. 2; ул. Нагорная д. 7 корп. 3; ул. Нагорная д. 7 корп. 4) по адресу: г. Москва, внутригородское муниципальное образование Котловка, улица Нагорная, земельный участок 7 (зона 2.1) (Юго-Западный административный округ) Котловка, микрорайонов 67,68 кв-лов 103,104,105,106, номер зоны 2.1</v>
      </c>
      <c r="F1117" s="25" t="str">
        <f>IFERROR(__xludf.DUMMYFUNCTION("""COMPUTED_VALUE"""),"55.676006")</f>
        <v>55.676006</v>
      </c>
      <c r="G1117" s="6" t="str">
        <f>IFERROR(__xludf.DUMMYFUNCTION("""COMPUTED_VALUE"""),"37.602436")</f>
        <v>37.602436</v>
      </c>
      <c r="H1117" s="18" t="str">
        <f>IFERROR(__xludf.DUMMYFUNCTION("""COMPUTED_VALUE"""),"https://docs.google.com/spreadsheets/d/1lEcUd4exxkr5Za3IYZ0vdFNfMubnuMOOMXfmF3GYC9I/edit?gid=1088429623#gid=1088429623")</f>
        <v>https://docs.google.com/spreadsheets/d/1lEcUd4exxkr5Za3IYZ0vdFNfMubnuMOOMXfmF3GYC9I/edit?gid=1088429623#gid=1088429623</v>
      </c>
      <c r="I1117" s="19" t="str">
        <f>IFERROR(__xludf.DUMMYFUNCTION("""COMPUTED_VALUE"""),"https://disk.yandex.ru/client/disk/Осмотры%20объектов%20АНО%20СМГ/808.%20Котловка%2C%20зона%202.1.%20Нагорная%20ул.%207%20к.%203")</f>
        <v>https://disk.yandex.ru/client/disk/Осмотры%20объектов%20АНО%20СМГ/808.%20Котловка%2C%20зона%202.1.%20Нагорная%20ул.%207%20к.%203</v>
      </c>
      <c r="J1117" s="50">
        <f>IFERROR(__xludf.DUMMYFUNCTION("""COMPUTED_VALUE"""),0.0)</f>
        <v>0</v>
      </c>
      <c r="K1117" s="58">
        <f>IFERROR(__xludf.DUMMYFUNCTION("""COMPUTED_VALUE"""),45824.0)</f>
        <v>45824</v>
      </c>
      <c r="L1117" s="6">
        <v>30.0</v>
      </c>
      <c r="M1117" s="52">
        <v>45854.0</v>
      </c>
      <c r="N1117" s="53" t="s">
        <v>668</v>
      </c>
      <c r="O1117" s="19" t="s">
        <v>1218</v>
      </c>
      <c r="P1117" s="6"/>
      <c r="Q1117" s="6" t="str">
        <f t="shared" si="1"/>
        <v>#N/A</v>
      </c>
      <c r="R1117" s="6"/>
    </row>
    <row r="1118" hidden="1">
      <c r="A1118" s="31" t="str">
        <f>IFERROR(__xludf.DUMMYFUNCTION("""COMPUTED_VALUE"""),"939")</f>
        <v>939</v>
      </c>
      <c r="B1118" s="14" t="str">
        <f>IFERROR(__xludf.DUMMYFUNCTION("""COMPUTED_VALUE"""),"РЕН-27")</f>
        <v>РЕН-27</v>
      </c>
      <c r="C1118" s="14" t="str">
        <f>IFERROR(__xludf.DUMMYFUNCTION("""COMPUTED_VALUE"""),"ОКС")</f>
        <v>ОКС</v>
      </c>
      <c r="D1118" s="6"/>
      <c r="E1118" s="14" t="str">
        <f>IFERROR(__xludf.DUMMYFUNCTION("""COMPUTED_VALUE"""),"Жилой дом с инженерными сетями и благоустройством территории (со сносом жилых зданий по адресам: ул. Народного Ополчения, д.12, корп.1; ул. Народного Ополчения, д.12, корп.2, ул. Народного Ополчения, д. 14, корп. 2; ул. Народного Ополчения, д.12, корп.3) "&amp;"по адресу: внутригородское муниципальное образование Хорошёво Мнёвники, улица Народного Ополчения, земельный участок 12 ул. Народного Ополчения, з/у 12")</f>
        <v>Жилой дом с инженерными сетями и благоустройством территории (со сносом жилых зданий по адресам: ул. Народного Ополчения, д.12, корп.1; ул. Народного Ополчения, д.12, корп.2, ул. Народного Ополчения, д. 14, корп. 2; ул. Народного Ополчения, д.12, корп.3) по адресу: внутригородское муниципальное образование Хорошёво Мнёвники, улица Народного Ополчения, земельный участок 12 ул. Народного Ополчения, з/у 12</v>
      </c>
      <c r="F1118" s="25" t="str">
        <f>IFERROR(__xludf.DUMMYFUNCTION("""COMPUTED_VALUE"""),"55.77299585539504")</f>
        <v>55.77299585539504</v>
      </c>
      <c r="G1118" s="6" t="str">
        <f>IFERROR(__xludf.DUMMYFUNCTION("""COMPUTED_VALUE"""),"37.47776686242588")</f>
        <v>37.47776686242588</v>
      </c>
      <c r="H1118" s="18" t="str">
        <f>IFERROR(__xludf.DUMMYFUNCTION("""COMPUTED_VALUE"""),"https://docs.google.com/spreadsheets/d/1lEcUd4exxkr5Za3IYZ0vdFNfMubnuMOOMXfmF3GYC9I/edit?gid=898826045#gid=898826045")</f>
        <v>https://docs.google.com/spreadsheets/d/1lEcUd4exxkr5Za3IYZ0vdFNfMubnuMOOMXfmF3GYC9I/edit?gid=898826045#gid=898826045</v>
      </c>
      <c r="I1118" s="19" t="str">
        <f>IFERROR(__xludf.DUMMYFUNCTION("""COMPUTED_VALUE"""),"https://disk.yandex.ru/client/disk/Осмотры%20объектов%20АНО%20СМГ/939.%20дом%20Ул.%20Народного%20ополчения%20зу12")</f>
        <v>https://disk.yandex.ru/client/disk/Осмотры%20объектов%20АНО%20СМГ/939.%20дом%20Ул.%20Народного%20ополчения%20зу12</v>
      </c>
      <c r="J1118" s="50">
        <f>IFERROR(__xludf.DUMMYFUNCTION("""COMPUTED_VALUE"""),0.0)</f>
        <v>0</v>
      </c>
      <c r="K1118" s="58"/>
      <c r="L1118" s="6">
        <v>30.0</v>
      </c>
      <c r="M1118" s="52" t="s">
        <v>655</v>
      </c>
      <c r="N1118" s="53" t="s">
        <v>698</v>
      </c>
      <c r="O1118" s="19" t="s">
        <v>914</v>
      </c>
      <c r="P1118" s="6"/>
      <c r="Q1118" s="6" t="str">
        <f t="shared" si="1"/>
        <v>#N/A</v>
      </c>
      <c r="R1118" s="6"/>
    </row>
    <row r="1119" hidden="1">
      <c r="A1119" s="31" t="str">
        <f>IFERROR(__xludf.DUMMYFUNCTION("""COMPUTED_VALUE"""),"892")</f>
        <v>892</v>
      </c>
      <c r="B1119" s="14" t="str">
        <f>IFERROR(__xludf.DUMMYFUNCTION("""COMPUTED_VALUE"""),"РЕН-27")</f>
        <v>РЕН-27</v>
      </c>
      <c r="C1119" s="14" t="str">
        <f>IFERROR(__xludf.DUMMYFUNCTION("""COMPUTED_VALUE"""),"ОКС")</f>
        <v>ОКС</v>
      </c>
      <c r="D1119" s="6"/>
      <c r="E1119" s="14" t="str">
        <f>IFERROR(__xludf.DUMMYFUNCTION("""COMPUTED_VALUE"""),"Жилой дом с инженерными сетями и благоустройством территории (со сносом жилых зданий по адресам: ул. 1 Мая, д.4; ул. Вторая Пятилетка, д.2; ул. Вторая Пятилетка, д.4) по адресу: район Крюково, микрорайон 19, зона № 6.2 Крюково, микрорайон 19, зона № 6.2")</f>
        <v>Жилой дом с инженерными сетями и благоустройством территории (со сносом жилых зданий по адресам: ул. 1 Мая, д.4; ул. Вторая Пятилетка, д.2; ул. Вторая Пятилетка, д.4) по адресу: район Крюково, микрорайон 19, зона № 6.2 Крюково, микрорайон 19, зона № 6.2</v>
      </c>
      <c r="F1119" s="25" t="str">
        <f>IFERROR(__xludf.DUMMYFUNCTION("""COMPUTED_VALUE"""),"55.97738017568336")</f>
        <v>55.97738017568336</v>
      </c>
      <c r="G1119" s="6" t="str">
        <f>IFERROR(__xludf.DUMMYFUNCTION("""COMPUTED_VALUE"""),"37.171188652892226")</f>
        <v>37.171188652892226</v>
      </c>
      <c r="H1119" s="18" t="str">
        <f>IFERROR(__xludf.DUMMYFUNCTION("""COMPUTED_VALUE"""),"https://docs.google.com/spreadsheets/d/1lEcUd4exxkr5Za3IYZ0vdFNfMubnuMOOMXfmF3GYC9I/edit?gid=688262507#gid=688262507")</f>
        <v>https://docs.google.com/spreadsheets/d/1lEcUd4exxkr5Za3IYZ0vdFNfMubnuMOOMXfmF3GYC9I/edit?gid=688262507#gid=688262507</v>
      </c>
      <c r="I1119" s="19" t="str">
        <f>IFERROR(__xludf.DUMMYFUNCTION("""COMPUTED_VALUE"""),"https://disk.yandex.ru/client/disk/Осмотры%20объектов%20АНО%20СМГ/892%20Крюково%20мкр.%2019%20зона%206.2")</f>
        <v>https://disk.yandex.ru/client/disk/Осмотры%20объектов%20АНО%20СМГ/892%20Крюково%20мкр.%2019%20зона%206.2</v>
      </c>
      <c r="J1119" s="50">
        <f>IFERROR(__xludf.DUMMYFUNCTION("""COMPUTED_VALUE"""),0.0)</f>
        <v>0</v>
      </c>
      <c r="K1119" s="58"/>
      <c r="L1119" s="6">
        <v>30.0</v>
      </c>
      <c r="M1119" s="52" t="s">
        <v>655</v>
      </c>
      <c r="N1119" s="53" t="s">
        <v>698</v>
      </c>
      <c r="O1119" s="19" t="s">
        <v>1218</v>
      </c>
      <c r="P1119" s="6"/>
      <c r="Q1119" s="6" t="str">
        <f t="shared" si="1"/>
        <v>#N/A</v>
      </c>
      <c r="R1119" s="6"/>
    </row>
    <row r="1120" hidden="1">
      <c r="A1120" s="31" t="str">
        <f>IFERROR(__xludf.DUMMYFUNCTION("""COMPUTED_VALUE"""),"990")</f>
        <v>990</v>
      </c>
      <c r="B1120" s="14" t="str">
        <f>IFERROR(__xludf.DUMMYFUNCTION("""COMPUTED_VALUE"""),"РЕН-27")</f>
        <v>РЕН-27</v>
      </c>
      <c r="C1120" s="14" t="str">
        <f>IFERROR(__xludf.DUMMYFUNCTION("""COMPUTED_VALUE"""),"ОКС")</f>
        <v>ОКС</v>
      </c>
      <c r="D1120" s="6"/>
      <c r="E1120" s="14" t="str">
        <f>IFERROR(__xludf.DUMMYFUNCTION("""COMPUTED_VALUE"""),"Жилой дом с инженерными сетями и благоустройством территории по адресу: г. Москва, район Перово, Зеленый проспект, земельный участок 3 Зелёный просп., з/у 3")</f>
        <v>Жилой дом с инженерными сетями и благоустройством территории по адресу: г. Москва, район Перово, Зеленый проспект, земельный участок 3 Зелёный просп., з/у 3</v>
      </c>
      <c r="F1120" s="25" t="str">
        <f>IFERROR(__xludf.DUMMYFUNCTION("""COMPUTED_VALUE"""),"55.748750162111776")</f>
        <v>55.748750162111776</v>
      </c>
      <c r="G1120" s="6" t="str">
        <f>IFERROR(__xludf.DUMMYFUNCTION("""COMPUTED_VALUE"""),"37.76791305551074")</f>
        <v>37.76791305551074</v>
      </c>
      <c r="H1120" s="18" t="str">
        <f>IFERROR(__xludf.DUMMYFUNCTION("""COMPUTED_VALUE"""),"https://docs.google.com/spreadsheets/d/1lEcUd4exxkr5Za3IYZ0vdFNfMubnuMOOMXfmF3GYC9I/edit?gid=366207882#gid=366207882")</f>
        <v>https://docs.google.com/spreadsheets/d/1lEcUd4exxkr5Za3IYZ0vdFNfMubnuMOOMXfmF3GYC9I/edit?gid=366207882#gid=366207882</v>
      </c>
      <c r="I1120" s="19" t="str">
        <f>IFERROR(__xludf.DUMMYFUNCTION("""COMPUTED_VALUE"""),"https://disk.yandex.ru/client/disk/Осмотры%20объектов%20АНО%20СМГ/990.%20Зелёный%20просп.%2C%20зу%203")</f>
        <v>https://disk.yandex.ru/client/disk/Осмотры%20объектов%20АНО%20СМГ/990.%20Зелёный%20просп.%2C%20зу%203</v>
      </c>
      <c r="J1120" s="50">
        <f>IFERROR(__xludf.DUMMYFUNCTION("""COMPUTED_VALUE"""),0.0)</f>
        <v>0</v>
      </c>
      <c r="K1120" s="58">
        <f>IFERROR(__xludf.DUMMYFUNCTION("""COMPUTED_VALUE"""),45699.0)</f>
        <v>45699</v>
      </c>
      <c r="L1120" s="6">
        <v>30.0</v>
      </c>
      <c r="M1120" s="52">
        <v>45729.0</v>
      </c>
      <c r="N1120" s="53" t="s">
        <v>668</v>
      </c>
      <c r="O1120" s="19" t="s">
        <v>914</v>
      </c>
      <c r="P1120" s="6"/>
      <c r="Q1120" s="6" t="str">
        <f t="shared" si="1"/>
        <v>#N/A</v>
      </c>
      <c r="R1120" s="6"/>
    </row>
    <row r="1121" hidden="1">
      <c r="A1121" s="31" t="str">
        <f>IFERROR(__xludf.DUMMYFUNCTION("""COMPUTED_VALUE"""),"991")</f>
        <v>991</v>
      </c>
      <c r="B1121" s="14" t="str">
        <f>IFERROR(__xludf.DUMMYFUNCTION("""COMPUTED_VALUE"""),"РЕН-27")</f>
        <v>РЕН-27</v>
      </c>
      <c r="C1121" s="14" t="str">
        <f>IFERROR(__xludf.DUMMYFUNCTION("""COMPUTED_VALUE"""),"ОКС")</f>
        <v>ОКС</v>
      </c>
      <c r="D1121" s="6"/>
      <c r="E1121" s="14" t="str">
        <f>IFERROR(__xludf.DUMMYFUNCTION("""COMPUTED_VALUE"""),"Жилой дом с подземным гаражом, с инженерными сетями и благоустройством территории (со сносом жилых зданий по адресам: ул. Плеханова, д.22, к.2, ул. Плеханова, д.22, к.3) по адресу: район Перово, зона 14.2, ЖУ18"" (Восточный административный округ) Перово,"&amp;" зона 14.2, ЖУ18")</f>
        <v>Жилой дом с подземным гаражом, с инженерными сетями и благоустройством территории (со сносом жилых зданий по адресам: ул. Плеханова, д.22, к.2, ул. Плеханова, д.22, к.3) по адресу: район Перово, зона 14.2, ЖУ18" (Восточный административный округ) Перово, зона 14.2, ЖУ18</v>
      </c>
      <c r="F1121" s="25" t="str">
        <f>IFERROR(__xludf.DUMMYFUNCTION("""COMPUTED_VALUE"""),"55.74251131996331")</f>
        <v>55.74251131996331</v>
      </c>
      <c r="G1121" s="6" t="str">
        <f>IFERROR(__xludf.DUMMYFUNCTION("""COMPUTED_VALUE"""),"37.764215608458855")</f>
        <v>37.764215608458855</v>
      </c>
      <c r="H1121" s="18" t="str">
        <f>IFERROR(__xludf.DUMMYFUNCTION("""COMPUTED_VALUE"""),"https://docs.google.com/spreadsheets/d/1lEcUd4exxkr5Za3IYZ0vdFNfMubnuMOOMXfmF3GYC9I/edit?gid=1382770733#gid=1382770733")</f>
        <v>https://docs.google.com/spreadsheets/d/1lEcUd4exxkr5Za3IYZ0vdFNfMubnuMOOMXfmF3GYC9I/edit?gid=1382770733#gid=1382770733</v>
      </c>
      <c r="I1121" s="19" t="str">
        <f>IFERROR(__xludf.DUMMYFUNCTION("""COMPUTED_VALUE"""),"https://disk.yandex.ru/client/disk/Осмотры%20объектов%20АНО%20СМГ/991.%20Район%20Перово%2C%20зона%2014.2")</f>
        <v>https://disk.yandex.ru/client/disk/Осмотры%20объектов%20АНО%20СМГ/991.%20Район%20Перово%2C%20зона%2014.2</v>
      </c>
      <c r="J1121" s="50">
        <f>IFERROR(__xludf.DUMMYFUNCTION("""COMPUTED_VALUE"""),0.0)</f>
        <v>0</v>
      </c>
      <c r="K1121" s="58">
        <f>IFERROR(__xludf.DUMMYFUNCTION("""COMPUTED_VALUE"""),45699.0)</f>
        <v>45699</v>
      </c>
      <c r="L1121" s="6">
        <v>30.0</v>
      </c>
      <c r="M1121" s="52">
        <v>45729.0</v>
      </c>
      <c r="N1121" s="53" t="s">
        <v>668</v>
      </c>
      <c r="O1121" s="19" t="s">
        <v>1237</v>
      </c>
      <c r="P1121" s="6"/>
      <c r="Q1121" s="6" t="str">
        <f t="shared" si="1"/>
        <v>#N/A</v>
      </c>
      <c r="R1121" s="6"/>
    </row>
    <row r="1122" hidden="1">
      <c r="A1122" s="31" t="str">
        <f>IFERROR(__xludf.DUMMYFUNCTION("""COMPUTED_VALUE"""),"984")</f>
        <v>984</v>
      </c>
      <c r="B1122" s="14" t="str">
        <f>IFERROR(__xludf.DUMMYFUNCTION("""COMPUTED_VALUE"""),"РЕН-27")</f>
        <v>РЕН-27</v>
      </c>
      <c r="C1122" s="14" t="str">
        <f>IFERROR(__xludf.DUMMYFUNCTION("""COMPUTED_VALUE"""),"ОКС")</f>
        <v>ОКС</v>
      </c>
      <c r="D1122" s="6"/>
      <c r="E1122" s="14" t="str">
        <f>IFERROR(__xludf.DUMMYFUNCTION("""COMPUTED_VALUE"""),"Жилой дом с подземной автостоянкой, с инженерными сетями и благоустройством территории, район Богородское, ул. Тюменская (ул. Тюменская, вл.5) ул. Тюменская (Тюменская ул., вл.5)")</f>
        <v>Жилой дом с подземной автостоянкой, с инженерными сетями и благоустройством территории, район Богородское, ул. Тюменская (ул. Тюменская, вл.5) ул. Тюменская (Тюменская ул., вл.5)</v>
      </c>
      <c r="F1122" s="25" t="str">
        <f>IFERROR(__xludf.DUMMYFUNCTION("""COMPUTED_VALUE"""),"55.810634243428765")</f>
        <v>55.810634243428765</v>
      </c>
      <c r="G1122" s="6" t="str">
        <f>IFERROR(__xludf.DUMMYFUNCTION("""COMPUTED_VALUE"""),"37.743721338622386")</f>
        <v>37.743721338622386</v>
      </c>
      <c r="H1122" s="18" t="str">
        <f>IFERROR(__xludf.DUMMYFUNCTION("""COMPUTED_VALUE"""),"https://docs.google.com/spreadsheets/d/1lEcUd4exxkr5Za3IYZ0vdFNfMubnuMOOMXfmF3GYC9I/edit?gid=1602079335#gid=1602079335")</f>
        <v>https://docs.google.com/spreadsheets/d/1lEcUd4exxkr5Za3IYZ0vdFNfMubnuMOOMXfmF3GYC9I/edit?gid=1602079335#gid=1602079335</v>
      </c>
      <c r="I1122" s="19" t="str">
        <f>IFERROR(__xludf.DUMMYFUNCTION("""COMPUTED_VALUE"""),"https://disk.yandex.ru/client/disk/Осмотры%20объектов%20АНО%20СМГ/984%20ул.%20Тюменская%2C%20вл.%205%20жил.%20дом")</f>
        <v>https://disk.yandex.ru/client/disk/Осмотры%20объектов%20АНО%20СМГ/984%20ул.%20Тюменская%2C%20вл.%205%20жил.%20дом</v>
      </c>
      <c r="J1122" s="50">
        <f>IFERROR(__xludf.DUMMYFUNCTION("""COMPUTED_VALUE"""),0.33)</f>
        <v>0.33</v>
      </c>
      <c r="K1122" s="58">
        <f>IFERROR(__xludf.DUMMYFUNCTION("""COMPUTED_VALUE"""),45960.0)</f>
        <v>45960</v>
      </c>
      <c r="L1122" s="6">
        <v>30.0</v>
      </c>
      <c r="M1122" s="52">
        <v>45990.0</v>
      </c>
      <c r="N1122" s="53" t="s">
        <v>692</v>
      </c>
      <c r="O1122" s="19" t="s">
        <v>669</v>
      </c>
      <c r="P1122" s="6"/>
      <c r="Q1122" s="6" t="str">
        <f t="shared" si="1"/>
        <v>#N/A</v>
      </c>
      <c r="R1122" s="6"/>
    </row>
    <row r="1123" hidden="1">
      <c r="A1123" s="31" t="str">
        <f>IFERROR(__xludf.DUMMYFUNCTION("""COMPUTED_VALUE"""),"782")</f>
        <v>782</v>
      </c>
      <c r="B1123" s="14" t="str">
        <f>IFERROR(__xludf.DUMMYFUNCTION("""COMPUTED_VALUE"""),"РЕН-27")</f>
        <v>РЕН-27</v>
      </c>
      <c r="C1123" s="14" t="str">
        <f>IFERROR(__xludf.DUMMYFUNCTION("""COMPUTED_VALUE"""),"ОКС")</f>
        <v>ОКС</v>
      </c>
      <c r="D1123" s="6"/>
      <c r="E1123"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зданий по адресу: ул. Героев Панфиловцев, д. 45, к. 1, ул. Героев Панфиловцев,"&amp;" д. 45, к.2) по адресу: район Северное Тушино, мкр. 5, зона № 2.1 (Северо-Западный административный округ) Северное Тушино, мкр. 5, зона №2.1")</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зданий по адресу: ул. Героев Панфиловцев, д. 45, к. 1, ул. Героев Панфиловцев, д. 45, к.2) по адресу: район Северное Тушино, мкр. 5, зона № 2.1 (Северо-Западный административный округ) Северное Тушино, мкр. 5, зона №2.1</v>
      </c>
      <c r="F1123" s="25" t="str">
        <f>IFERROR(__xludf.DUMMYFUNCTION("""COMPUTED_VALUE"""),"55.85338")</f>
        <v>55.85338</v>
      </c>
      <c r="G1123" s="6" t="str">
        <f>IFERROR(__xludf.DUMMYFUNCTION("""COMPUTED_VALUE"""),"37.409514")</f>
        <v>37.409514</v>
      </c>
      <c r="H1123" s="18" t="str">
        <f>IFERROR(__xludf.DUMMYFUNCTION("""COMPUTED_VALUE"""),"https://docs.google.com/spreadsheets/d/1lEcUd4exxkr5Za3IYZ0vdFNfMubnuMOOMXfmF3GYC9I/edit?gid=601138165#gid=601138165")</f>
        <v>https://docs.google.com/spreadsheets/d/1lEcUd4exxkr5Za3IYZ0vdFNfMubnuMOOMXfmF3GYC9I/edit?gid=601138165#gid=601138165</v>
      </c>
      <c r="I1123" s="19" t="str">
        <f>IFERROR(__xludf.DUMMYFUNCTION("""COMPUTED_VALUE"""),"https://disk.yandex.ru/client/disk/Осмотры%20объектов%20АНО%20СМГ/782.жилой%20дом%20Северное%20Тушино%2C%20мкр.%205%2C%20зона%20№%202.1")</f>
        <v>https://disk.yandex.ru/client/disk/Осмотры%20объектов%20АНО%20СМГ/782.жилой%20дом%20Северное%20Тушино%2C%20мкр.%205%2C%20зона%20№%202.1</v>
      </c>
      <c r="J1123" s="50">
        <f>IFERROR(__xludf.DUMMYFUNCTION("""COMPUTED_VALUE"""),0.0)</f>
        <v>0</v>
      </c>
      <c r="K1123" s="58">
        <f>IFERROR(__xludf.DUMMYFUNCTION("""COMPUTED_VALUE"""),45819.0)</f>
        <v>45819</v>
      </c>
      <c r="L1123" s="6">
        <v>30.0</v>
      </c>
      <c r="M1123" s="52">
        <v>45849.0</v>
      </c>
      <c r="N1123" s="53" t="s">
        <v>668</v>
      </c>
      <c r="O1123" s="19" t="s">
        <v>1238</v>
      </c>
      <c r="P1123" s="6"/>
      <c r="Q1123" s="6" t="str">
        <f t="shared" si="1"/>
        <v>#N/A</v>
      </c>
      <c r="R1123" s="6"/>
    </row>
    <row r="1124" hidden="1">
      <c r="A1124" s="31" t="str">
        <f>IFERROR(__xludf.DUMMYFUNCTION("""COMPUTED_VALUE"""),"922")</f>
        <v>922</v>
      </c>
      <c r="B1124" s="14" t="str">
        <f>IFERROR(__xludf.DUMMYFUNCTION("""COMPUTED_VALUE"""),"РЕН-27")</f>
        <v>РЕН-27</v>
      </c>
      <c r="C1124" s="14" t="str">
        <f>IFERROR(__xludf.DUMMYFUNCTION("""COMPUTED_VALUE"""),"ОКС")</f>
        <v>ОКС</v>
      </c>
      <c r="D1124" s="6"/>
      <c r="E1124" s="14" t="str">
        <f>IFERROR(__xludf.DUMMYFUNCTION("""COMPUTED_VALUE"""),"Жилой дом с инженерными сетями и благоустройством территории (со сносом многоквартирного жилого дома по адресу: Кавказский б-р., д. 18) по адресу: район Царицыно, кварталы 1,4,14,14Б, зона 1.1 бул-р Кавказский, з/у 18")</f>
        <v>Жилой дом с инженерными сетями и благоустройством территории (со сносом многоквартирного жилого дома по адресу: Кавказский б-р., д. 18) по адресу: район Царицыно, кварталы 1,4,14,14Б, зона 1.1 бул-р Кавказский, з/у 18</v>
      </c>
      <c r="F1124" s="25" t="str">
        <f>IFERROR(__xludf.DUMMYFUNCTION("""COMPUTED_VALUE"""),"55.631737")</f>
        <v>55.631737</v>
      </c>
      <c r="G1124" s="6" t="str">
        <f>IFERROR(__xludf.DUMMYFUNCTION("""COMPUTED_VALUE"""),"37.66627")</f>
        <v>37.66627</v>
      </c>
      <c r="H1124" s="18" t="str">
        <f>IFERROR(__xludf.DUMMYFUNCTION("""COMPUTED_VALUE"""),"https://docs.google.com/spreadsheets/d/1lEcUd4exxkr5Za3IYZ0vdFNfMubnuMOOMXfmF3GYC9I/edit?gid=558334865#gid=558334865")</f>
        <v>https://docs.google.com/spreadsheets/d/1lEcUd4exxkr5Za3IYZ0vdFNfMubnuMOOMXfmF3GYC9I/edit?gid=558334865#gid=558334865</v>
      </c>
      <c r="I1124" s="21" t="str">
        <f>IFERROR(__xludf.DUMMYFUNCTION("""COMPUTED_VALUE"""),"https://disk.yandex.ru/client/disk/%D0%9E%D1%81%D0%BC%D0%BE%D1%82%D1%80%D1%8B%20%D0%BE%D0%B1%D1%8A%D0%B5%D0%BA%D1%82%D0%BE%D0%B2%20%D0%90%D0%9D%D0%9E%20%D0%A1%D0%9C%D0%93/922.%20%D0%9A%D0%B0%D0%B2%D0%BA%D0%B0%D0%B7%D1%81%D0%BA%D0%B8%D0%B9%20%D0%B1%D1%83%D"&amp;"0%BB-%D1%80%2C%20%D0%B7-%D1%83%2018.%20%D0%96%D0%B8%D0%BB%D0%BE%D0%B9%20%D0%B4%D0%BE%D0%BC")</f>
        <v>https://disk.yandex.ru/client/disk/%D0%9E%D1%81%D0%BC%D0%BE%D1%82%D1%80%D1%8B%20%D0%BE%D0%B1%D1%8A%D0%B5%D0%BA%D1%82%D0%BE%D0%B2%20%D0%90%D0%9D%D0%9E%20%D0%A1%D0%9C%D0%93/922.%20%D0%9A%D0%B0%D0%B2%D0%BA%D0%B0%D0%B7%D1%81%D0%BA%D0%B8%D0%B9%20%D0%B1%D1%83%D0%BB-%D1%80%2C%20%D0%B7-%D1%83%2018.%20%D0%96%D0%B8%D0%BB%D0%BE%D0%B9%20%D0%B4%D0%BE%D0%BC</v>
      </c>
      <c r="J1124" s="50">
        <f>IFERROR(__xludf.DUMMYFUNCTION("""COMPUTED_VALUE"""),0.0)</f>
        <v>0</v>
      </c>
      <c r="K1124" s="58">
        <f>IFERROR(__xludf.DUMMYFUNCTION("""COMPUTED_VALUE"""),45960.0)</f>
        <v>45960</v>
      </c>
      <c r="L1124" s="6">
        <v>30.0</v>
      </c>
      <c r="M1124" s="52">
        <v>45990.0</v>
      </c>
      <c r="N1124" s="53" t="s">
        <v>692</v>
      </c>
      <c r="O1124" s="19" t="s">
        <v>914</v>
      </c>
      <c r="P1124" s="6"/>
      <c r="Q1124" s="6" t="str">
        <f t="shared" si="1"/>
        <v>#N/A</v>
      </c>
      <c r="R1124" s="6"/>
    </row>
    <row r="1125" hidden="1">
      <c r="A1125" s="31" t="str">
        <f>IFERROR(__xludf.DUMMYFUNCTION("""COMPUTED_VALUE"""),"1161")</f>
        <v>1161</v>
      </c>
      <c r="B1125" s="14" t="str">
        <f>IFERROR(__xludf.DUMMYFUNCTION("""COMPUTED_VALUE"""),"РЕН-27")</f>
        <v>РЕН-27</v>
      </c>
      <c r="C1125" s="14" t="str">
        <f>IFERROR(__xludf.DUMMYFUNCTION("""COMPUTED_VALUE"""),"ОКС")</f>
        <v>ОКС</v>
      </c>
      <c r="D1125" s="6"/>
      <c r="E1125" s="14" t="str">
        <f>IFERROR(__xludf.DUMMYFUNCTION("""COMPUTED_VALUE"""),"Жилой дом с подземной автостоянкой, инженерными сетями и благоустройством территории (со сносом жилого дома по адресу: ул. Маршала Чуйкова, д. 22, корп.2) по адресу: вн. тер. г. Кузьминки, улица Маршала Чуйкова, земельный участок 22/2/6 Маршала Чуйкова ул"&amp;"., з/у 22/2/6")</f>
        <v>Жилой дом с подземной автостоянкой, инженерными сетями и благоустройством территории (со сносом жилого дома по адресу: ул. Маршала Чуйкова, д. 22, корп.2) по адресу: вн. тер. г. Кузьминки, улица Маршала Чуйкова, земельный участок 22/2/6 Маршала Чуйкова ул., з/у 22/2/6</v>
      </c>
      <c r="F1125" s="25" t="str">
        <f>IFERROR(__xludf.DUMMYFUNCTION("""COMPUTED_VALUE"""),"55.699177")</f>
        <v>55.699177</v>
      </c>
      <c r="G1125" s="6" t="str">
        <f>IFERROR(__xludf.DUMMYFUNCTION("""COMPUTED_VALUE"""),"37.760216")</f>
        <v>37.760216</v>
      </c>
      <c r="H1125" s="18" t="str">
        <f>IFERROR(__xludf.DUMMYFUNCTION("""COMPUTED_VALUE"""),"https://docs.google.com/spreadsheets/d/1lEcUd4exxkr5Za3IYZ0vdFNfMubnuMOOMXfmF3GYC9I/edit?gid=1345934331#gid=1345934331")</f>
        <v>https://docs.google.com/spreadsheets/d/1lEcUd4exxkr5Za3IYZ0vdFNfMubnuMOOMXfmF3GYC9I/edit?gid=1345934331#gid=1345934331</v>
      </c>
      <c r="I1125" s="19"/>
      <c r="J1125" s="50">
        <f>IFERROR(__xludf.DUMMYFUNCTION("""COMPUTED_VALUE"""),0.0)</f>
        <v>0</v>
      </c>
      <c r="K1125" s="58"/>
      <c r="L1125" s="6">
        <v>30.0</v>
      </c>
      <c r="M1125" s="52" t="s">
        <v>655</v>
      </c>
      <c r="N1125" s="53" t="s">
        <v>698</v>
      </c>
      <c r="O1125" s="19" t="s">
        <v>914</v>
      </c>
      <c r="P1125" s="6"/>
      <c r="Q1125" s="6" t="str">
        <f t="shared" si="1"/>
        <v>#N/A</v>
      </c>
      <c r="R1125" s="6"/>
    </row>
    <row r="1126" hidden="1">
      <c r="A1126" s="31" t="str">
        <f>IFERROR(__xludf.DUMMYFUNCTION("""COMPUTED_VALUE"""),"1162")</f>
        <v>1162</v>
      </c>
      <c r="B1126" s="14" t="str">
        <f>IFERROR(__xludf.DUMMYFUNCTION("""COMPUTED_VALUE"""),"РЕН-27")</f>
        <v>РЕН-27</v>
      </c>
      <c r="C1126" s="14" t="str">
        <f>IFERROR(__xludf.DUMMYFUNCTION("""COMPUTED_VALUE"""),"ОКС")</f>
        <v>ОКС</v>
      </c>
      <c r="D1126" s="6"/>
      <c r="E1126" s="14" t="str">
        <f>IFERROR(__xludf.DUMMYFUNCTION("""COMPUTED_VALUE"""),"Жилой дом с подземной автостоянкой, инженерными сетями и благоустройством территории (со сносом нежилого здания по адресу: ул. Маршала Чуйкова, д. 11, корп.3) по адресу: г. Москва, внутригородское муниципальное образование Кузьминки, улица Маршала Чуйкова"&amp;", земельный участок 11А Маршала Чуйкова ул., з/у 11А")</f>
        <v>Жилой дом с подземной автостоянкой, инженерными сетями и благоустройством территории (со сносом нежилого здания по адресу: ул. Маршала Чуйкова, д. 11, корп.3) по адресу: г. Москва, внутригородское муниципальное образование Кузьминки, улица Маршала Чуйкова, земельный участок 11А Маршала Чуйкова ул., з/у 11А</v>
      </c>
      <c r="F1126" s="25" t="str">
        <f>IFERROR(__xludf.DUMMYFUNCTION("""COMPUTED_VALUE"""),"55.69544260156623")</f>
        <v>55.69544260156623</v>
      </c>
      <c r="G1126" s="6" t="str">
        <f>IFERROR(__xludf.DUMMYFUNCTION("""COMPUTED_VALUE"""),"37.761174677243474")</f>
        <v>37.761174677243474</v>
      </c>
      <c r="H1126" s="18" t="str">
        <f>IFERROR(__xludf.DUMMYFUNCTION("""COMPUTED_VALUE"""),"https://docs.google.com/spreadsheets/d/1lEcUd4exxkr5Za3IYZ0vdFNfMubnuMOOMXfmF3GYC9I/edit?gid=125387875#gid=125387875")</f>
        <v>https://docs.google.com/spreadsheets/d/1lEcUd4exxkr5Za3IYZ0vdFNfMubnuMOOMXfmF3GYC9I/edit?gid=125387875#gid=125387875</v>
      </c>
      <c r="I1126" s="19"/>
      <c r="J1126" s="50">
        <f>IFERROR(__xludf.DUMMYFUNCTION("""COMPUTED_VALUE"""),0.0)</f>
        <v>0</v>
      </c>
      <c r="K1126" s="58"/>
      <c r="L1126" s="6">
        <v>30.0</v>
      </c>
      <c r="M1126" s="52" t="s">
        <v>655</v>
      </c>
      <c r="N1126" s="53" t="s">
        <v>698</v>
      </c>
      <c r="O1126" s="19" t="s">
        <v>914</v>
      </c>
      <c r="P1126" s="6"/>
      <c r="Q1126" s="6" t="str">
        <f t="shared" si="1"/>
        <v>#N/A</v>
      </c>
      <c r="R1126" s="6"/>
    </row>
    <row r="1127" hidden="1">
      <c r="A1127" s="31" t="str">
        <f>IFERROR(__xludf.DUMMYFUNCTION("""COMPUTED_VALUE"""),"766")</f>
        <v>766</v>
      </c>
      <c r="B1127" s="14" t="str">
        <f>IFERROR(__xludf.DUMMYFUNCTION("""COMPUTED_VALUE"""),"РЕН-27")</f>
        <v>РЕН-27</v>
      </c>
      <c r="C1127" s="14" t="str">
        <f>IFERROR(__xludf.DUMMYFUNCTION("""COMPUTED_VALUE"""),"ОКС")</f>
        <v>ОКС</v>
      </c>
      <c r="D1127" s="6"/>
      <c r="E1127" s="14" t="str">
        <f>IFERROR(__xludf.DUMMYFUNCTION("""COMPUTED_VALUE"""),"Жилой дом с инженерными сетями и благоустройством территории (со сносом жилого дома по адресу: Новощукинская улица, дом 4)» по адресу: г. Москва, внутригородское муниципальное образование Щукино, улица Новощукинская, земельный участок 6 (Новощукинская ул."&amp;", вл. 6) (Северо-Западный административный округ)       улица Новощукинская, земельный участок 6")</f>
        <v>Жилой дом с инженерными сетями и благоустройством территории (со сносом жилого дома по адресу: Новощукинская улица, дом 4)» по адресу: г. Москва, внутригородское муниципальное образование Щукино, улица Новощукинская, земельный участок 6 (Новощукинская ул., вл. 6) (Северо-Западный административный округ)       улица Новощукинская, земельный участок 6</v>
      </c>
      <c r="F1127" s="25" t="str">
        <f>IFERROR(__xludf.DUMMYFUNCTION("""COMPUTED_VALUE"""),"55.80723017350024")</f>
        <v>55.80723017350024</v>
      </c>
      <c r="G1127" s="6" t="str">
        <f>IFERROR(__xludf.DUMMYFUNCTION("""COMPUTED_VALUE"""),"37.45766485913836")</f>
        <v>37.45766485913836</v>
      </c>
      <c r="H1127" s="18" t="str">
        <f>IFERROR(__xludf.DUMMYFUNCTION("""COMPUTED_VALUE"""),"https://docs.google.com/spreadsheets/d/1lEcUd4exxkr5Za3IYZ0vdFNfMubnuMOOMXfmF3GYC9I/edit?gid=50364907#gid=50364907")</f>
        <v>https://docs.google.com/spreadsheets/d/1lEcUd4exxkr5Za3IYZ0vdFNfMubnuMOOMXfmF3GYC9I/edit?gid=50364907#gid=50364907</v>
      </c>
      <c r="I1127" s="21" t="str">
        <f>IFERROR(__xludf.DUMMYFUNCTION("""COMPUTED_VALUE"""),"https://disk.yandex.ru/client/disk/%D0%9E%D1%81%D0%BC%D0%BE%D1%82%D1%80%D1%8B%20%D0%BE%D0%B1%D1%8A%D0%B5%D0%BA%D1%82%D0%BE%D0%B2%20%D0%90%D0%9D%D0%9E%20%D0%A1%D0%9C%D0%93/766.%20%D0%9D%D0%BE%D0%B2%D0%BE%D1%89%D1%83%D0%BA%D0%B8%D0%BD%D1%81%D0%BA%D0%B0%D1%8"&amp;"F%20%D0%B7%D1%83%206")</f>
        <v>https://disk.yandex.ru/client/disk/%D0%9E%D1%81%D0%BC%D0%BE%D1%82%D1%80%D1%8B%20%D0%BE%D0%B1%D1%8A%D0%B5%D0%BA%D1%82%D0%BE%D0%B2%20%D0%90%D0%9D%D0%9E%20%D0%A1%D0%9C%D0%93/766.%20%D0%9D%D0%BE%D0%B2%D0%BE%D1%89%D1%83%D0%BA%D0%B8%D0%BD%D1%81%D0%BA%D0%B0%D1%8F%20%D0%B7%D1%83%206</v>
      </c>
      <c r="J1127" s="50">
        <f>IFERROR(__xludf.DUMMYFUNCTION("""COMPUTED_VALUE"""),0.0)</f>
        <v>0</v>
      </c>
      <c r="K1127" s="58">
        <f>IFERROR(__xludf.DUMMYFUNCTION("""COMPUTED_VALUE"""),45819.0)</f>
        <v>45819</v>
      </c>
      <c r="L1127" s="6">
        <v>30.0</v>
      </c>
      <c r="M1127" s="52">
        <v>45849.0</v>
      </c>
      <c r="N1127" s="53" t="s">
        <v>668</v>
      </c>
      <c r="O1127" s="19" t="s">
        <v>914</v>
      </c>
      <c r="P1127" s="6"/>
      <c r="Q1127" s="6" t="str">
        <f t="shared" si="1"/>
        <v>#N/A</v>
      </c>
      <c r="R1127" s="6"/>
    </row>
    <row r="1128" hidden="1">
      <c r="A1128" s="31" t="str">
        <f>IFERROR(__xludf.DUMMYFUNCTION("""COMPUTED_VALUE"""),"767")</f>
        <v>767</v>
      </c>
      <c r="B1128" s="14" t="str">
        <f>IFERROR(__xludf.DUMMYFUNCTION("""COMPUTED_VALUE"""),"РЕН-27")</f>
        <v>РЕН-27</v>
      </c>
      <c r="C1128" s="14" t="str">
        <f>IFERROR(__xludf.DUMMYFUNCTION("""COMPUTED_VALUE"""),"ОКС")</f>
        <v>ОКС</v>
      </c>
      <c r="D1128" s="6"/>
      <c r="E1128" s="14" t="str">
        <f>IFERROR(__xludf.DUMMYFUNCTION("""COMPUTED_VALUE"""),"Жилой дом с инженерными сетями и благоустройством территории (со сносом жилого дома по адресу: Лодочная улица, дом 15, строение 1)» по адресу: г. Москва, внутригородское муниципальное образование Южное Тушино, улица Лодочная, земельный участок 13/1 (Лодоч"&amp;"ная улица, вл. 13, стр. 1, вл. 15, стр. 1 (Северо-Западный административный округ)  улица Лодочная, земельный участок 13/1 (Лодочная улица, вл. 13, стр. 1, вл. 15, стр. 1)")</f>
        <v>Жилой дом с инженерными сетями и благоустройством территории (со сносом жилого дома по адресу: Лодочная улица, дом 15, строение 1)» по адресу: г. Москва, внутригородское муниципальное образование Южное Тушино, улица Лодочная, земельный участок 13/1 (Лодочная улица, вл. 13, стр. 1, вл. 15, стр. 1 (Северо-Западный административный округ)  улица Лодочная, земельный участок 13/1 (Лодочная улица, вл. 13, стр. 1, вл. 15, стр. 1)</v>
      </c>
      <c r="F1128" s="25" t="str">
        <f>IFERROR(__xludf.DUMMYFUNCTION("""COMPUTED_VALUE"""),"55.836645")</f>
        <v>55.836645</v>
      </c>
      <c r="G1128" s="6" t="str">
        <f>IFERROR(__xludf.DUMMYFUNCTION("""COMPUTED_VALUE"""),"37.457879")</f>
        <v>37.457879</v>
      </c>
      <c r="H1128" s="18" t="str">
        <f>IFERROR(__xludf.DUMMYFUNCTION("""COMPUTED_VALUE"""),"https://docs.google.com/spreadsheets/d/1lEcUd4exxkr5Za3IYZ0vdFNfMubnuMOOMXfmF3GYC9I/edit?gid=1130285298#gid=1130285298")</f>
        <v>https://docs.google.com/spreadsheets/d/1lEcUd4exxkr5Za3IYZ0vdFNfMubnuMOOMXfmF3GYC9I/edit?gid=1130285298#gid=1130285298</v>
      </c>
      <c r="I1128" s="19" t="str">
        <f>IFERROR(__xludf.DUMMYFUNCTION("""COMPUTED_VALUE"""),"https://disk.yandex.ru/client/disk/Осмотры%20объектов%20АНО%20СМГ/767.%20жилой%20дом%20ул.%20Лодочная%20вл%2013-1")</f>
        <v>https://disk.yandex.ru/client/disk/Осмотры%20объектов%20АНО%20СМГ/767.%20жилой%20дом%20ул.%20Лодочная%20вл%2013-1</v>
      </c>
      <c r="J1128" s="50">
        <f>IFERROR(__xludf.DUMMYFUNCTION("""COMPUTED_VALUE"""),0.0)</f>
        <v>0</v>
      </c>
      <c r="K1128" s="58">
        <f>IFERROR(__xludf.DUMMYFUNCTION("""COMPUTED_VALUE"""),45819.0)</f>
        <v>45819</v>
      </c>
      <c r="L1128" s="6">
        <v>30.0</v>
      </c>
      <c r="M1128" s="52">
        <v>45849.0</v>
      </c>
      <c r="N1128" s="53" t="s">
        <v>668</v>
      </c>
      <c r="O1128" s="19" t="s">
        <v>914</v>
      </c>
      <c r="P1128" s="6"/>
      <c r="Q1128" s="6" t="str">
        <f t="shared" si="1"/>
        <v>#N/A</v>
      </c>
      <c r="R1128" s="6"/>
    </row>
    <row r="1129" hidden="1">
      <c r="A1129" s="31" t="str">
        <f>IFERROR(__xludf.DUMMYFUNCTION("""COMPUTED_VALUE"""),"928")</f>
        <v>928</v>
      </c>
      <c r="B1129" s="14" t="str">
        <f>IFERROR(__xludf.DUMMYFUNCTION("""COMPUTED_VALUE"""),"РЕН-27")</f>
        <v>РЕН-27</v>
      </c>
      <c r="C1129" s="14" t="str">
        <f>IFERROR(__xludf.DUMMYFUNCTION("""COMPUTED_VALUE"""),"ОКС")</f>
        <v>ОКС</v>
      </c>
      <c r="D1129" s="6"/>
      <c r="E1129" s="14" t="str">
        <f>IFERROR(__xludf.DUMMYFUNCTION("""COMPUTED_VALUE"""),"Жилой дом с подземным гаражом, инженерными сетями и благоустройством территории (со сносом жилого здания по адресу: Дмитровское ш., д.151, к.5), САО, район Дмитровский, Дмитровское ш., К.14, зона 10.2 Дмитровское ш., К.14 (зона 10.2)")</f>
        <v>Жилой дом с подземным гаражом, инженерными сетями и благоустройством территории (со сносом жилого здания по адресу: Дмитровское ш., д.151, к.5), САО, район Дмитровский, Дмитровское ш., К.14, зона 10.2 Дмитровское ш., К.14 (зона 10.2)</v>
      </c>
      <c r="F1129" s="25" t="str">
        <f>IFERROR(__xludf.DUMMYFUNCTION("""COMPUTED_VALUE"""),"55.89649565069137")</f>
        <v>55.89649565069137</v>
      </c>
      <c r="G1129" s="6" t="str">
        <f>IFERROR(__xludf.DUMMYFUNCTION("""COMPUTED_VALUE"""),"37.540862962950996")</f>
        <v>37.540862962950996</v>
      </c>
      <c r="H1129" s="18" t="str">
        <f>IFERROR(__xludf.DUMMYFUNCTION("""COMPUTED_VALUE"""),"https://docs.google.com/spreadsheets/d/1lEcUd4exxkr5Za3IYZ0vdFNfMubnuMOOMXfmF3GYC9I/edit?gid=1910743713#gid=1910743713")</f>
        <v>https://docs.google.com/spreadsheets/d/1lEcUd4exxkr5Za3IYZ0vdFNfMubnuMOOMXfmF3GYC9I/edit?gid=1910743713#gid=1910743713</v>
      </c>
      <c r="I1129" s="19" t="str">
        <f>IFERROR(__xludf.DUMMYFUNCTION("""COMPUTED_VALUE"""),"https://disk.yandex.ru/client/disk/Осмотры%20объектов%20АНО%20СМГ/928.%20Дмитровское%20ш.%20К%2014%20(зона%2010.2)")</f>
        <v>https://disk.yandex.ru/client/disk/Осмотры%20объектов%20АНО%20СМГ/928.%20Дмитровское%20ш.%20К%2014%20(зона%2010.2)</v>
      </c>
      <c r="J1129" s="50">
        <f>IFERROR(__xludf.DUMMYFUNCTION("""COMPUTED_VALUE"""),0.0)</f>
        <v>0</v>
      </c>
      <c r="K1129" s="58"/>
      <c r="L1129" s="6">
        <v>30.0</v>
      </c>
      <c r="M1129" s="52" t="s">
        <v>655</v>
      </c>
      <c r="N1129" s="53" t="s">
        <v>698</v>
      </c>
      <c r="O1129" s="19" t="s">
        <v>1239</v>
      </c>
      <c r="P1129" s="6"/>
      <c r="Q1129" s="6" t="str">
        <f t="shared" si="1"/>
        <v>#N/A</v>
      </c>
      <c r="R1129" s="6"/>
    </row>
    <row r="1130" hidden="1">
      <c r="A1130" s="31" t="str">
        <f>IFERROR(__xludf.DUMMYFUNCTION("""COMPUTED_VALUE"""),"927")</f>
        <v>927</v>
      </c>
      <c r="B1130" s="14" t="str">
        <f>IFERROR(__xludf.DUMMYFUNCTION("""COMPUTED_VALUE"""),"РЕН-27")</f>
        <v>РЕН-27</v>
      </c>
      <c r="C1130" s="14" t="str">
        <f>IFERROR(__xludf.DUMMYFUNCTION("""COMPUTED_VALUE"""),"ОКС")</f>
        <v>ОКС</v>
      </c>
      <c r="D1130" s="6"/>
      <c r="E1130" s="14" t="str">
        <f>IFERROR(__xludf.DUMMYFUNCTION("""COMPUTED_VALUE"""),"Жилой дом с подземным гаражом, инженерными сетями и благоустройством территории (со сносом жилого здания по адресу: Дмитровское ш., д.151, к.2), САО, район Дмитровский, Дмитровское ш., К.13, зона 10.3 Дмитровское ш., К.13 (зона 10.3)")</f>
        <v>Жилой дом с подземным гаражом, инженерными сетями и благоустройством территории (со сносом жилого здания по адресу: Дмитровское ш., д.151, к.2), САО, район Дмитровский, Дмитровское ш., К.13, зона 10.3 Дмитровское ш., К.13 (зона 10.3)</v>
      </c>
      <c r="F1130" s="25" t="str">
        <f>IFERROR(__xludf.DUMMYFUNCTION("""COMPUTED_VALUE"""),"55.89602698745653")</f>
        <v>55.89602698745653</v>
      </c>
      <c r="G1130" s="6" t="str">
        <f>IFERROR(__xludf.DUMMYFUNCTION("""COMPUTED_VALUE"""),"37.54244457937569")</f>
        <v>37.54244457937569</v>
      </c>
      <c r="H1130" s="18" t="str">
        <f>IFERROR(__xludf.DUMMYFUNCTION("""COMPUTED_VALUE"""),"https://docs.google.com/spreadsheets/d/1lEcUd4exxkr5Za3IYZ0vdFNfMubnuMOOMXfmF3GYC9I/edit?gid=1431643406#gid=1431643406")</f>
        <v>https://docs.google.com/spreadsheets/d/1lEcUd4exxkr5Za3IYZ0vdFNfMubnuMOOMXfmF3GYC9I/edit?gid=1431643406#gid=1431643406</v>
      </c>
      <c r="I1130" s="19" t="str">
        <f>IFERROR(__xludf.DUMMYFUNCTION("""COMPUTED_VALUE"""),"https://disk.yandex.ru/client/disk/Осмотры%20объектов%20АНО%20СМГ/927.%20Дмитровское%20ш.%20К13%20(зона%2010.3)")</f>
        <v>https://disk.yandex.ru/client/disk/Осмотры%20объектов%20АНО%20СМГ/927.%20Дмитровское%20ш.%20К13%20(зона%2010.3)</v>
      </c>
      <c r="J1130" s="50">
        <f>IFERROR(__xludf.DUMMYFUNCTION("""COMPUTED_VALUE"""),0.0)</f>
        <v>0</v>
      </c>
      <c r="K1130" s="58"/>
      <c r="L1130" s="6">
        <v>30.0</v>
      </c>
      <c r="M1130" s="52" t="s">
        <v>655</v>
      </c>
      <c r="N1130" s="53" t="s">
        <v>698</v>
      </c>
      <c r="O1130" s="19" t="s">
        <v>1239</v>
      </c>
      <c r="P1130" s="6"/>
      <c r="Q1130" s="6" t="str">
        <f t="shared" si="1"/>
        <v>#N/A</v>
      </c>
      <c r="R1130" s="6"/>
    </row>
    <row r="1131" hidden="1">
      <c r="A1131" s="31" t="str">
        <f>IFERROR(__xludf.DUMMYFUNCTION("""COMPUTED_VALUE"""),"925")</f>
        <v>925</v>
      </c>
      <c r="B1131" s="14" t="str">
        <f>IFERROR(__xludf.DUMMYFUNCTION("""COMPUTED_VALUE"""),"РЕН-27")</f>
        <v>РЕН-27</v>
      </c>
      <c r="C1131" s="14" t="str">
        <f>IFERROR(__xludf.DUMMYFUNCTION("""COMPUTED_VALUE"""),"ОКС")</f>
        <v>ОКС</v>
      </c>
      <c r="D1131" s="6"/>
      <c r="E1131" s="14" t="str">
        <f>IFERROR(__xludf.DUMMYFUNCTION("""COMPUTED_VALUE"""),"Жилой дом с подземным гаражом, инженерными сетями и благоустройством территории (со сносом жилых зданий по адресам: Дмитровское ш., д. 121, к.1; Дмитровское ш., д. 119, к.1), САО, район Дмитровский, Дмитровское ш., К.19, зона 16.1 Дмитровское ш., К.19 (зо"&amp;"на 16.1)")</f>
        <v>Жилой дом с подземным гаражом, инженерными сетями и благоустройством территории (со сносом жилых зданий по адресам: Дмитровское ш., д. 121, к.1; Дмитровское ш., д. 119, к.1), САО, район Дмитровский, Дмитровское ш., К.19, зона 16.1 Дмитровское ш., К.19 (зона 16.1)</v>
      </c>
      <c r="F1131" s="25" t="str">
        <f>IFERROR(__xludf.DUMMYFUNCTION("""COMPUTED_VALUE"""),"55.88557335060735")</f>
        <v>55.88557335060735</v>
      </c>
      <c r="G1131" s="6" t="str">
        <f>IFERROR(__xludf.DUMMYFUNCTION("""COMPUTED_VALUE"""),"37.54158816931123")</f>
        <v>37.54158816931123</v>
      </c>
      <c r="H1131" s="18" t="str">
        <f>IFERROR(__xludf.DUMMYFUNCTION("""COMPUTED_VALUE"""),"https://docs.google.com/spreadsheets/d/1lEcUd4exxkr5Za3IYZ0vdFNfMubnuMOOMXfmF3GYC9I/edit?gid=88636317#gid=88636317")</f>
        <v>https://docs.google.com/spreadsheets/d/1lEcUd4exxkr5Za3IYZ0vdFNfMubnuMOOMXfmF3GYC9I/edit?gid=88636317#gid=88636317</v>
      </c>
      <c r="I1131" s="19" t="str">
        <f>IFERROR(__xludf.DUMMYFUNCTION("""COMPUTED_VALUE"""),"https://disk.yandex.ru/client/disk/Осмотры%20объектов%20АНО%20СМГ/925.%20Дмитровское%20ш.%20К19%20(16.1)")</f>
        <v>https://disk.yandex.ru/client/disk/Осмотры%20объектов%20АНО%20СМГ/925.%20Дмитровское%20ш.%20К19%20(16.1)</v>
      </c>
      <c r="J1131" s="50">
        <f>IFERROR(__xludf.DUMMYFUNCTION("""COMPUTED_VALUE"""),0.0)</f>
        <v>0</v>
      </c>
      <c r="K1131" s="58">
        <f>IFERROR(__xludf.DUMMYFUNCTION("""COMPUTED_VALUE"""),45691.0)</f>
        <v>45691</v>
      </c>
      <c r="L1131" s="6">
        <v>30.0</v>
      </c>
      <c r="M1131" s="52">
        <v>45721.0</v>
      </c>
      <c r="N1131" s="53" t="s">
        <v>668</v>
      </c>
      <c r="O1131" s="19" t="s">
        <v>1240</v>
      </c>
      <c r="P1131" s="6"/>
      <c r="Q1131" s="6" t="str">
        <f t="shared" si="1"/>
        <v>#N/A</v>
      </c>
      <c r="R1131" s="6"/>
    </row>
    <row r="1132" hidden="1">
      <c r="A1132" s="31" t="str">
        <f>IFERROR(__xludf.DUMMYFUNCTION("""COMPUTED_VALUE"""),"902")</f>
        <v>902</v>
      </c>
      <c r="B1132" s="14" t="str">
        <f>IFERROR(__xludf.DUMMYFUNCTION("""COMPUTED_VALUE"""),"РЕН-27")</f>
        <v>РЕН-27</v>
      </c>
      <c r="C1132" s="14" t="str">
        <f>IFERROR(__xludf.DUMMYFUNCTION("""COMPUTED_VALUE"""),"ОКС")</f>
        <v>ОКС</v>
      </c>
      <c r="D1132" s="6"/>
      <c r="E1132" s="14" t="str">
        <f>IFERROR(__xludf.DUMMYFUNCTION("""COMPUTED_VALUE"""),"Жилой дом с инженерными сетями и благоустройством территории (со сносом жилых домов по адресам: ул. Матвеевская, д.20, корп.1; ул. Матвеевская, д.24), ЗАО, район Очаково-Матвеевское, ул. Матвеевская, земельный участок 24 (Матвеевская ул., вл. 20-1, 24) ул"&amp;". Матвеевская, з/у 24 (Матвеевская ул., вл. 20-1, 24)")</f>
        <v>Жилой дом с инженерными сетями и благоустройством территории (со сносом жилых домов по адресам: ул. Матвеевская, д.20, корп.1; ул. Матвеевская, д.24), ЗАО, район Очаково-Матвеевское, ул. Матвеевская, земельный участок 24 (Матвеевская ул., вл. 20-1, 24) ул. Матвеевская, з/у 24 (Матвеевская ул., вл. 20-1, 24)</v>
      </c>
      <c r="F1132" s="25" t="str">
        <f>IFERROR(__xludf.DUMMYFUNCTION("""COMPUTED_VALUE"""),"55.70328638002585")</f>
        <v>55.70328638002585</v>
      </c>
      <c r="G1132" s="6" t="str">
        <f>IFERROR(__xludf.DUMMYFUNCTION("""COMPUTED_VALUE"""),"37.46539920503124")</f>
        <v>37.46539920503124</v>
      </c>
      <c r="H1132" s="18" t="str">
        <f>IFERROR(__xludf.DUMMYFUNCTION("""COMPUTED_VALUE"""),"https://docs.google.com/spreadsheets/d/1lEcUd4exxkr5Za3IYZ0vdFNfMubnuMOOMXfmF3GYC9I/edit?gid=2095889728#gid=2095889728")</f>
        <v>https://docs.google.com/spreadsheets/d/1lEcUd4exxkr5Za3IYZ0vdFNfMubnuMOOMXfmF3GYC9I/edit?gid=2095889728#gid=2095889728</v>
      </c>
      <c r="I1132" s="19" t="str">
        <f>IFERROR(__xludf.DUMMYFUNCTION("""COMPUTED_VALUE"""),"https://disk.yandex.ru/client/disk/Осмотры%20объектов%20АНО%20СМГ/902.%20ул.%20Матвеевская%2C%20зу%2024%20(Матвеевская%20ул.%2C%20вл.%2020-1%2C%2024)")</f>
        <v>https://disk.yandex.ru/client/disk/Осмотры%20объектов%20АНО%20СМГ/902.%20ул.%20Матвеевская%2C%20зу%2024%20(Матвеевская%20ул.%2C%20вл.%2020-1%2C%2024)</v>
      </c>
      <c r="J1132" s="50">
        <f>IFERROR(__xludf.DUMMYFUNCTION("""COMPUTED_VALUE"""),0.45000000000000007)</f>
        <v>0.45</v>
      </c>
      <c r="K1132" s="58">
        <f>IFERROR(__xludf.DUMMYFUNCTION("""COMPUTED_VALUE"""),45799.0)</f>
        <v>45799</v>
      </c>
      <c r="L1132" s="6">
        <v>30.0</v>
      </c>
      <c r="M1132" s="52">
        <v>45829.0</v>
      </c>
      <c r="N1132" s="53" t="s">
        <v>668</v>
      </c>
      <c r="O1132" s="19" t="s">
        <v>669</v>
      </c>
      <c r="P1132" s="6"/>
      <c r="Q1132" s="6" t="str">
        <f t="shared" si="1"/>
        <v>#N/A</v>
      </c>
      <c r="R1132" s="6"/>
    </row>
    <row r="1133" hidden="1">
      <c r="A1133" s="31" t="str">
        <f>IFERROR(__xludf.DUMMYFUNCTION("""COMPUTED_VALUE"""),"769")</f>
        <v>769</v>
      </c>
      <c r="B1133" s="14" t="str">
        <f>IFERROR(__xludf.DUMMYFUNCTION("""COMPUTED_VALUE"""),"РЕН-27")</f>
        <v>РЕН-27</v>
      </c>
      <c r="C1133" s="14" t="str">
        <f>IFERROR(__xludf.DUMMYFUNCTION("""COMPUTED_VALUE"""),"ОКС")</f>
        <v>ОКС</v>
      </c>
      <c r="D1133" s="6"/>
      <c r="E1133" s="14" t="str">
        <f>IFERROR(__xludf.DUMMYFUNCTION("""COMPUTED_VALUE"""),"Жилой дом с инженерными сетями и благоустройством территории» по адресу: г. Москва, район Хорошево-Мневники, улица Паршина, вл. 2 (Северо-Западный административный округ) улица Паршина, вл. 2")</f>
        <v>Жилой дом с инженерными сетями и благоустройством территории» по адресу: г. Москва, район Хорошево-Мневники, улица Паршина, вл. 2 (Северо-Западный административный округ) улица Паршина, вл. 2</v>
      </c>
      <c r="F1133" s="25" t="str">
        <f>IFERROR(__xludf.DUMMYFUNCTION("""COMPUTED_VALUE"""),"55.78984027905307")</f>
        <v>55.78984027905307</v>
      </c>
      <c r="G1133" s="6" t="str">
        <f>IFERROR(__xludf.DUMMYFUNCTION("""COMPUTED_VALUE"""),"37.46159751387447")</f>
        <v>37.46159751387447</v>
      </c>
      <c r="H1133" s="18" t="str">
        <f>IFERROR(__xludf.DUMMYFUNCTION("""COMPUTED_VALUE"""),"https://docs.google.com/spreadsheets/d/1lEcUd4exxkr5Za3IYZ0vdFNfMubnuMOOMXfmF3GYC9I/edit?gid=1395855804#gid=1395855804")</f>
        <v>https://docs.google.com/spreadsheets/d/1lEcUd4exxkr5Za3IYZ0vdFNfMubnuMOOMXfmF3GYC9I/edit?gid=1395855804#gid=1395855804</v>
      </c>
      <c r="I1133" s="19" t="str">
        <f>IFERROR(__xludf.DUMMYFUNCTION("""COMPUTED_VALUE"""),"https://disk.yandex.ru/client/disk/Осмотры%20объектов%20АНО%20СМГ/769.%20Жилой%20дом%20ул.%20Паршина%20вл2")</f>
        <v>https://disk.yandex.ru/client/disk/Осмотры%20объектов%20АНО%20СМГ/769.%20Жилой%20дом%20ул.%20Паршина%20вл2</v>
      </c>
      <c r="J1133" s="50">
        <f>IFERROR(__xludf.DUMMYFUNCTION("""COMPUTED_VALUE"""),0.0)</f>
        <v>0</v>
      </c>
      <c r="K1133" s="58">
        <f>IFERROR(__xludf.DUMMYFUNCTION("""COMPUTED_VALUE"""),45679.0)</f>
        <v>45679</v>
      </c>
      <c r="L1133" s="6">
        <v>30.0</v>
      </c>
      <c r="M1133" s="52">
        <v>45709.0</v>
      </c>
      <c r="N1133" s="53" t="s">
        <v>668</v>
      </c>
      <c r="O1133" s="19" t="s">
        <v>1218</v>
      </c>
      <c r="P1133" s="6"/>
      <c r="Q1133" s="6" t="str">
        <f t="shared" si="1"/>
        <v>#N/A</v>
      </c>
      <c r="R1133" s="6"/>
    </row>
    <row r="1134" hidden="1">
      <c r="A1134" s="31" t="str">
        <f>IFERROR(__xludf.DUMMYFUNCTION("""COMPUTED_VALUE"""),"784")</f>
        <v>784</v>
      </c>
      <c r="B1134" s="14" t="str">
        <f>IFERROR(__xludf.DUMMYFUNCTION("""COMPUTED_VALUE"""),"РЕН-27")</f>
        <v>РЕН-27</v>
      </c>
      <c r="C1134" s="14" t="str">
        <f>IFERROR(__xludf.DUMMYFUNCTION("""COMPUTED_VALUE"""),"ОКС")</f>
        <v>ОКС</v>
      </c>
      <c r="D1134" s="6"/>
      <c r="E1134" s="14" t="str">
        <f>IFERROR(__xludf.DUMMYFUNCTION("""COMPUTED_VALUE"""),"Жилой дом с инженерной подготовкой, инженерными сетями и благоустройством территории (со сносом жилых домов по адресам: Боровский проезд, д.4, д.6 с отключением и перекладкой коммуникаций) по адресу: г. Москва, район Солнцево, мкр. 3-3а, зона 1.5 (Западны"&amp;"й административный округ) Солнцево, мкр. 3-3а, зона 1.5")</f>
        <v>Жилой дом с инженерной подготовкой, инженерными сетями и благоустройством территории (со сносом жилых домов по адресам: Боровский проезд, д.4, д.6 с отключением и перекладкой коммуникаций) по адресу: г. Москва, район Солнцево, мкр. 3-3а, зона 1.5 (Западный административный округ) Солнцево, мкр. 3-3а, зона 1.5</v>
      </c>
      <c r="F1134" s="25" t="str">
        <f>IFERROR(__xludf.DUMMYFUNCTION("""COMPUTED_VALUE"""),"55.6553310537118")</f>
        <v>55.6553310537118</v>
      </c>
      <c r="G1134" s="6" t="str">
        <f>IFERROR(__xludf.DUMMYFUNCTION("""COMPUTED_VALUE"""),"37.39082478042539")</f>
        <v>37.39082478042539</v>
      </c>
      <c r="H1134" s="18" t="str">
        <f>IFERROR(__xludf.DUMMYFUNCTION("""COMPUTED_VALUE"""),"https://docs.google.com/spreadsheets/d/1lEcUd4exxkr5Za3IYZ0vdFNfMubnuMOOMXfmF3GYC9I/edit?gid=1139784984#gid=1139784984")</f>
        <v>https://docs.google.com/spreadsheets/d/1lEcUd4exxkr5Za3IYZ0vdFNfMubnuMOOMXfmF3GYC9I/edit?gid=1139784984#gid=1139784984</v>
      </c>
      <c r="I1134" s="19" t="str">
        <f>IFERROR(__xludf.DUMMYFUNCTION("""COMPUTED_VALUE"""),"https://disk.yandex.ru/client/disk/Осмотры%20объектов%20АНО%20СМГ/784.%20Солнцево%2C%20мкр.%203-3а%2C%20зона%201.5")</f>
        <v>https://disk.yandex.ru/client/disk/Осмотры%20объектов%20АНО%20СМГ/784.%20Солнцево%2C%20мкр.%203-3а%2C%20зона%201.5</v>
      </c>
      <c r="J1134" s="50">
        <f>IFERROR(__xludf.DUMMYFUNCTION("""COMPUTED_VALUE"""),0.0)</f>
        <v>0</v>
      </c>
      <c r="K1134" s="58">
        <f>IFERROR(__xludf.DUMMYFUNCTION("""COMPUTED_VALUE"""),45679.0)</f>
        <v>45679</v>
      </c>
      <c r="L1134" s="6">
        <v>30.0</v>
      </c>
      <c r="M1134" s="52">
        <v>45709.0</v>
      </c>
      <c r="N1134" s="53" t="s">
        <v>668</v>
      </c>
      <c r="O1134" s="19" t="s">
        <v>914</v>
      </c>
      <c r="P1134" s="6"/>
      <c r="Q1134" s="6" t="str">
        <f t="shared" si="1"/>
        <v>#N/A</v>
      </c>
      <c r="R1134" s="6"/>
    </row>
    <row r="1135" hidden="1">
      <c r="A1135" s="31" t="str">
        <f>IFERROR(__xludf.DUMMYFUNCTION("""COMPUTED_VALUE"""),"734")</f>
        <v>734</v>
      </c>
      <c r="B1135" s="14" t="str">
        <f>IFERROR(__xludf.DUMMYFUNCTION("""COMPUTED_VALUE"""),"РЕН-27")</f>
        <v>РЕН-27</v>
      </c>
      <c r="C1135" s="14" t="str">
        <f>IFERROR(__xludf.DUMMYFUNCTION("""COMPUTED_VALUE"""),"ОКС")</f>
        <v>ОКС</v>
      </c>
      <c r="D1135" s="6"/>
      <c r="E1135" s="14" t="str">
        <f>IFERROR(__xludf.DUMMYFUNCTION("""COMPUTED_VALUE"""),"Приобретение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ЮВАО, район Печатники, Южнопортовая ул., уч. 5       Южнопортовая ул. уч.5")</f>
        <v>Приобретение будущих объектов недвижимости, создаваемых в многоквартирных домах в целях реализации Программы реновации жилищного фонда в городе Москве по адресу: г. Москва, ЮВАО, район Печатники, Южнопортовая ул., уч. 5       Южнопортовая ул. уч.5</v>
      </c>
      <c r="F1135" s="25" t="str">
        <f>IFERROR(__xludf.DUMMYFUNCTION("""COMPUTED_VALUE"""),"55.695012")</f>
        <v>55.695012</v>
      </c>
      <c r="G1135" s="6" t="str">
        <f>IFERROR(__xludf.DUMMYFUNCTION("""COMPUTED_VALUE"""),"37.715102")</f>
        <v>37.715102</v>
      </c>
      <c r="H1135" s="18" t="str">
        <f>IFERROR(__xludf.DUMMYFUNCTION("""COMPUTED_VALUE"""),"https://docs.google.com/spreadsheets/d/1lEcUd4exxkr5Za3IYZ0vdFNfMubnuMOOMXfmF3GYC9I/edit?gid=1356730824#gid=1356730824")</f>
        <v>https://docs.google.com/spreadsheets/d/1lEcUd4exxkr5Za3IYZ0vdFNfMubnuMOOMXfmF3GYC9I/edit?gid=1356730824#gid=1356730824</v>
      </c>
      <c r="I1135" s="19" t="str">
        <f>IFERROR(__xludf.DUMMYFUNCTION("""COMPUTED_VALUE"""),"https://disk.yandex.ru/client/disk/Осмотры%20объектов%20АНО%20СМГ/734.%20Южнопортовая%20ул.%2C%20уч.%205")</f>
        <v>https://disk.yandex.ru/client/disk/Осмотры%20объектов%20АНО%20СМГ/734.%20Южнопортовая%20ул.%2C%20уч.%205</v>
      </c>
      <c r="J1135" s="50">
        <f>IFERROR(__xludf.DUMMYFUNCTION("""COMPUTED_VALUE"""),0.0)</f>
        <v>0</v>
      </c>
      <c r="K1135" s="58">
        <f>IFERROR(__xludf.DUMMYFUNCTION("""COMPUTED_VALUE"""),45807.0)</f>
        <v>45807</v>
      </c>
      <c r="L1135" s="6">
        <v>30.0</v>
      </c>
      <c r="M1135" s="52">
        <v>45837.0</v>
      </c>
      <c r="N1135" s="53" t="s">
        <v>668</v>
      </c>
      <c r="O1135" s="19" t="s">
        <v>1241</v>
      </c>
      <c r="P1135" s="6"/>
      <c r="Q1135" s="6" t="str">
        <f t="shared" si="1"/>
        <v>#N/A</v>
      </c>
      <c r="R1135" s="6"/>
    </row>
    <row r="1136" hidden="1">
      <c r="A1136" s="31" t="str">
        <f>IFERROR(__xludf.DUMMYFUNCTION("""COMPUTED_VALUE"""),"1163")</f>
        <v>1163</v>
      </c>
      <c r="B1136" s="14" t="str">
        <f>IFERROR(__xludf.DUMMYFUNCTION("""COMPUTED_VALUE"""),"РЕН-27")</f>
        <v>РЕН-27</v>
      </c>
      <c r="C1136" s="14" t="str">
        <f>IFERROR(__xludf.DUMMYFUNCTION("""COMPUTED_VALUE"""),"ОКС")</f>
        <v>ОКС</v>
      </c>
      <c r="D1136" s="6"/>
      <c r="E1136" s="14" t="str">
        <f>IFERROR(__xludf.DUMMYFUNCTION("""COMPUTED_VALUE"""),"Жилой дом с подземной автостоянкой, инженерными сетями и благоустройством территории (со сносом жилых зданий по адресам: проспект Вернадского, д. 47, д. 49) по адресу: квартал 32-33, 34-35, район Проспект Вернадского, зона 8.1 Проспект Вернадского, зона 8"&amp;".1")</f>
        <v>Жилой дом с подземной автостоянкой, инженерными сетями и благоустройством территории (со сносом жилых зданий по адресам: проспект Вернадского, д. 47, д. 49) по адресу: квартал 32-33, 34-35, район Проспект Вернадского, зона 8.1 Проспект Вернадского, зона 8.1</v>
      </c>
      <c r="F1136" s="25" t="str">
        <f>IFERROR(__xludf.DUMMYFUNCTION("""COMPUTED_VALUE"""),"55.67303723031846")</f>
        <v>55.67303723031846</v>
      </c>
      <c r="G1136" s="6" t="str">
        <f>IFERROR(__xludf.DUMMYFUNCTION("""COMPUTED_VALUE"""),"37.506278248656145")</f>
        <v>37.506278248656145</v>
      </c>
      <c r="H1136" s="18" t="str">
        <f>IFERROR(__xludf.DUMMYFUNCTION("""COMPUTED_VALUE"""),"https://docs.google.com/spreadsheets/d/1lEcUd4exxkr5Za3IYZ0vdFNfMubnuMOOMXfmF3GYC9I/edit?gid=1299542947#gid=1299542947")</f>
        <v>https://docs.google.com/spreadsheets/d/1lEcUd4exxkr5Za3IYZ0vdFNfMubnuMOOMXfmF3GYC9I/edit?gid=1299542947#gid=1299542947</v>
      </c>
      <c r="I1136" s="19" t="str">
        <f>IFERROR(__xludf.DUMMYFUNCTION("""COMPUTED_VALUE"""),"https://disk.yandex.ru/client/disk/Осмотры%20объектов%20АНО%20СМГ/1163.%20зона%208.1%20ул.%20Семена-Тян-Шанского")</f>
        <v>https://disk.yandex.ru/client/disk/Осмотры%20объектов%20АНО%20СМГ/1163.%20зона%208.1%20ул.%20Семена-Тян-Шанского</v>
      </c>
      <c r="J1136" s="50">
        <f>IFERROR(__xludf.DUMMYFUNCTION("""COMPUTED_VALUE"""),0.0)</f>
        <v>0</v>
      </c>
      <c r="K1136" s="58">
        <f>IFERROR(__xludf.DUMMYFUNCTION("""COMPUTED_VALUE"""),45819.0)</f>
        <v>45819</v>
      </c>
      <c r="L1136" s="6">
        <v>30.0</v>
      </c>
      <c r="M1136" s="52">
        <v>45849.0</v>
      </c>
      <c r="N1136" s="53" t="s">
        <v>668</v>
      </c>
      <c r="O1136" s="19" t="s">
        <v>914</v>
      </c>
      <c r="P1136" s="6"/>
      <c r="Q1136" s="6" t="str">
        <f t="shared" si="1"/>
        <v>#N/A</v>
      </c>
      <c r="R1136" s="6"/>
    </row>
    <row r="1137" hidden="1">
      <c r="A1137" s="31" t="str">
        <f>IFERROR(__xludf.DUMMYFUNCTION("""COMPUTED_VALUE"""),"1164")</f>
        <v>1164</v>
      </c>
      <c r="B1137" s="14" t="str">
        <f>IFERROR(__xludf.DUMMYFUNCTION("""COMPUTED_VALUE"""),"РЕН-27")</f>
        <v>РЕН-27</v>
      </c>
      <c r="C1137" s="14" t="str">
        <f>IFERROR(__xludf.DUMMYFUNCTION("""COMPUTED_VALUE"""),"ОКС")</f>
        <v>ОКС</v>
      </c>
      <c r="D1137" s="6"/>
      <c r="E1137" s="14" t="str">
        <f>IFERROR(__xludf.DUMMYFUNCTION("""COMPUTED_VALUE"""),"Жилой дом с подземной автостоянкой, инженерными сетями и благоустройством территории (со сносом жилых зданий по адресам: ул. Лобачевского, д. 24, д. 26) по адресу: квартал 32-33, 34-35, район Проспект Вернадского, зона 8.3 Проспект Вернадского, зона 8.3")</f>
        <v>Жилой дом с подземной автостоянкой, инженерными сетями и благоустройством территории (со сносом жилых зданий по адресам: ул. Лобачевского, д. 24, д. 26) по адресу: квартал 32-33, 34-35, район Проспект Вернадского, зона 8.3 Проспект Вернадского, зона 8.3</v>
      </c>
      <c r="F1137" s="25" t="str">
        <f>IFERROR(__xludf.DUMMYFUNCTION("""COMPUTED_VALUE"""),"55.66913229872151")</f>
        <v>55.66913229872151</v>
      </c>
      <c r="G1137" s="6" t="str">
        <f>IFERROR(__xludf.DUMMYFUNCTION("""COMPUTED_VALUE"""),"37.50735106214839")</f>
        <v>37.50735106214839</v>
      </c>
      <c r="H1137" s="18" t="str">
        <f>IFERROR(__xludf.DUMMYFUNCTION("""COMPUTED_VALUE"""),"https://docs.google.com/spreadsheets/d/1lEcUd4exxkr5Za3IYZ0vdFNfMubnuMOOMXfmF3GYC9I/edit?gid=415599181#gid=415599181")</f>
        <v>https://docs.google.com/spreadsheets/d/1lEcUd4exxkr5Za3IYZ0vdFNfMubnuMOOMXfmF3GYC9I/edit?gid=415599181#gid=415599181</v>
      </c>
      <c r="I1137" s="19" t="str">
        <f>IFERROR(__xludf.DUMMYFUNCTION("""COMPUTED_VALUE"""),"https://disk.yandex.ru/client/disk/Осмотры%20объектов%20АНО%20СМГ/1164.%20зона%208.3%20ул.%20Михаила%20Певцова")</f>
        <v>https://disk.yandex.ru/client/disk/Осмотры%20объектов%20АНО%20СМГ/1164.%20зона%208.3%20ул.%20Михаила%20Певцова</v>
      </c>
      <c r="J1137" s="50">
        <f>IFERROR(__xludf.DUMMYFUNCTION("""COMPUTED_VALUE"""),0.0)</f>
        <v>0</v>
      </c>
      <c r="K1137" s="58">
        <f>IFERROR(__xludf.DUMMYFUNCTION("""COMPUTED_VALUE"""),45819.0)</f>
        <v>45819</v>
      </c>
      <c r="L1137" s="6">
        <v>30.0</v>
      </c>
      <c r="M1137" s="52">
        <v>45849.0</v>
      </c>
      <c r="N1137" s="53" t="s">
        <v>668</v>
      </c>
      <c r="O1137" s="19" t="s">
        <v>914</v>
      </c>
      <c r="P1137" s="6"/>
      <c r="Q1137" s="6" t="str">
        <f t="shared" si="1"/>
        <v>#N/A</v>
      </c>
      <c r="R1137" s="6"/>
    </row>
    <row r="1138" hidden="1">
      <c r="A1138" s="31" t="str">
        <f>IFERROR(__xludf.DUMMYFUNCTION("""COMPUTED_VALUE"""),"1165")</f>
        <v>1165</v>
      </c>
      <c r="B1138" s="14" t="str">
        <f>IFERROR(__xludf.DUMMYFUNCTION("""COMPUTED_VALUE"""),"РЕН-27")</f>
        <v>РЕН-27</v>
      </c>
      <c r="C1138" s="14" t="str">
        <f>IFERROR(__xludf.DUMMYFUNCTION("""COMPUTED_VALUE"""),"ОКС")</f>
        <v>ОКС</v>
      </c>
      <c r="D1138" s="6"/>
      <c r="E1138" s="14" t="str">
        <f>IFERROR(__xludf.DUMMYFUNCTION("""COMPUTED_VALUE"""),"Жилой дом с подземной автостоянкой, инженерными сетями и благоустройством территории по адресу: квартал 32-33, 34-35, район Проспект Вернадского, зона 9.2 (Западный административный округ) Проспект Вернадского, зона 9.2")</f>
        <v>Жилой дом с подземной автостоянкой, инженерными сетями и благоустройством территории по адресу: квартал 32-33, 34-35, район Проспект Вернадского, зона 9.2 (Западный административный округ) Проспект Вернадского, зона 9.2</v>
      </c>
      <c r="F1138" s="25" t="str">
        <f>IFERROR(__xludf.DUMMYFUNCTION("""COMPUTED_VALUE"""),"55.670710508972434")</f>
        <v>55.670710508972434</v>
      </c>
      <c r="G1138" s="6" t="str">
        <f>IFERROR(__xludf.DUMMYFUNCTION("""COMPUTED_VALUE"""),"37.499454087310255")</f>
        <v>37.499454087310255</v>
      </c>
      <c r="H1138" s="18" t="str">
        <f>IFERROR(__xludf.DUMMYFUNCTION("""COMPUTED_VALUE"""),"https://docs.google.com/spreadsheets/d/1lEcUd4exxkr5Za3IYZ0vdFNfMubnuMOOMXfmF3GYC9I/edit?gid=179520414#gid=179520414")</f>
        <v>https://docs.google.com/spreadsheets/d/1lEcUd4exxkr5Za3IYZ0vdFNfMubnuMOOMXfmF3GYC9I/edit?gid=179520414#gid=179520414</v>
      </c>
      <c r="I1138" s="19" t="str">
        <f>IFERROR(__xludf.DUMMYFUNCTION("""COMPUTED_VALUE"""),"https://disk.yandex.ru/client/disk/Осмотры%20объектов%20АНО%20СМГ/1165.%20зона%209.2%20пр-к%20Вернадского")</f>
        <v>https://disk.yandex.ru/client/disk/Осмотры%20объектов%20АНО%20СМГ/1165.%20зона%209.2%20пр-к%20Вернадского</v>
      </c>
      <c r="J1138" s="50">
        <f>IFERROR(__xludf.DUMMYFUNCTION("""COMPUTED_VALUE"""),0.0)</f>
        <v>0</v>
      </c>
      <c r="K1138" s="58">
        <f>IFERROR(__xludf.DUMMYFUNCTION("""COMPUTED_VALUE"""),45819.0)</f>
        <v>45819</v>
      </c>
      <c r="L1138" s="6">
        <v>30.0</v>
      </c>
      <c r="M1138" s="52">
        <v>45849.0</v>
      </c>
      <c r="N1138" s="53" t="s">
        <v>668</v>
      </c>
      <c r="O1138" s="19" t="s">
        <v>914</v>
      </c>
      <c r="P1138" s="6"/>
      <c r="Q1138" s="6" t="str">
        <f t="shared" si="1"/>
        <v>#N/A</v>
      </c>
      <c r="R1138" s="6"/>
    </row>
    <row r="1139" hidden="1">
      <c r="A1139" s="31" t="str">
        <f>IFERROR(__xludf.DUMMYFUNCTION("""COMPUTED_VALUE"""),"785")</f>
        <v>785</v>
      </c>
      <c r="B1139" s="14" t="str">
        <f>IFERROR(__xludf.DUMMYFUNCTION("""COMPUTED_VALUE"""),"РЕН-27")</f>
        <v>РЕН-27</v>
      </c>
      <c r="C1139" s="14" t="str">
        <f>IFERROR(__xludf.DUMMYFUNCTION("""COMPUTED_VALUE"""),"ОКС")</f>
        <v>ОКС</v>
      </c>
      <c r="D1139" s="6"/>
      <c r="E1139"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благоустройством территории и размещением на кровле электросирены оповещения (со сносом жилых зданий по адресам: Авангардная"&amp;" ул., д. 6 корп.2) по адресу: г. Москва, внутригородское муниципальное образование Головинское, Авангардная улица, земельный участок 6/1    Авангардная ул., з/у 6/1")</f>
        <v>Жилой дом с приспособлением подземного гаража под защитное сооружение гражданской обороны – «укрытие» (ЗСГО) с инженерными сетями, благоустройством территории и размещением на кровле электросирены оповещения (со сносом жилых зданий по адресам: Авангардная ул., д. 6 корп.2) по адресу: г. Москва, внутригородское муниципальное образование Головинское, Авангардная улица, земельный участок 6/1    Авангардная ул., з/у 6/1</v>
      </c>
      <c r="F1139" s="25" t="str">
        <f>IFERROR(__xludf.DUMMYFUNCTION("""COMPUTED_VALUE"""),"55.844581")</f>
        <v>55.844581</v>
      </c>
      <c r="G1139" s="6" t="str">
        <f>IFERROR(__xludf.DUMMYFUNCTION("""COMPUTED_VALUE"""),"37.49153")</f>
        <v>37.49153</v>
      </c>
      <c r="H1139" s="18" t="str">
        <f>IFERROR(__xludf.DUMMYFUNCTION("""COMPUTED_VALUE"""),"https://docs.google.com/spreadsheets/d/1lEcUd4exxkr5Za3IYZ0vdFNfMubnuMOOMXfmF3GYC9I/edit?gid=1276650860#gid=1276650860")</f>
        <v>https://docs.google.com/spreadsheets/d/1lEcUd4exxkr5Za3IYZ0vdFNfMubnuMOOMXfmF3GYC9I/edit?gid=1276650860#gid=1276650860</v>
      </c>
      <c r="I1139" s="19" t="str">
        <f>IFERROR(__xludf.DUMMYFUNCTION("""COMPUTED_VALUE"""),"https://disk.yandex.ru/client/disk/Осмотры%20объектов%20АНО%20СМГ/785.%20Авангардная%20зу%206-1")</f>
        <v>https://disk.yandex.ru/client/disk/Осмотры%20объектов%20АНО%20СМГ/785.%20Авангардная%20зу%206-1</v>
      </c>
      <c r="J1139" s="50">
        <f>IFERROR(__xludf.DUMMYFUNCTION("""COMPUTED_VALUE"""),0.0)</f>
        <v>0</v>
      </c>
      <c r="K1139" s="58">
        <f>IFERROR(__xludf.DUMMYFUNCTION("""COMPUTED_VALUE"""),45905.0)</f>
        <v>45905</v>
      </c>
      <c r="L1139" s="6">
        <v>30.0</v>
      </c>
      <c r="M1139" s="52">
        <v>45935.0</v>
      </c>
      <c r="N1139" s="53" t="s">
        <v>668</v>
      </c>
      <c r="O1139" s="19" t="s">
        <v>1242</v>
      </c>
      <c r="P1139" s="6"/>
      <c r="Q1139" s="6" t="str">
        <f t="shared" si="1"/>
        <v>#N/A</v>
      </c>
      <c r="R1139" s="6"/>
    </row>
    <row r="1140" hidden="1">
      <c r="A1140" s="31" t="str">
        <f>IFERROR(__xludf.DUMMYFUNCTION("""COMPUTED_VALUE"""),"786")</f>
        <v>786</v>
      </c>
      <c r="B1140" s="14" t="str">
        <f>IFERROR(__xludf.DUMMYFUNCTION("""COMPUTED_VALUE"""),"РЕН-27")</f>
        <v>РЕН-27</v>
      </c>
      <c r="C1140" s="14" t="str">
        <f>IFERROR(__xludf.DUMMYFUNCTION("""COMPUTED_VALUE"""),"ОКС")</f>
        <v>ОКС</v>
      </c>
      <c r="D1140" s="6"/>
      <c r="E1140" s="14" t="str">
        <f>IFERROR(__xludf.DUMMYFUNCTION("""COMPUTED_VALUE"""),"Жилой дом с инженерными сетями и благоустройством территории (со сносом жилого здания по адресу: Авангардная ул., д.6, корп.3) по адресу: г. Москва, внутригородское муниципальное образование Головинское, Авангардная улица, земельный участок 6/2 Авангардна"&amp;"я ул., з/у 6/2")</f>
        <v>Жилой дом с инженерными сетями и благоустройством территории (со сносом жилого здания по адресу: Авангардная ул., д.6, корп.3) по адресу: г. Москва, внутригородское муниципальное образование Головинское, Авангардная улица, земельный участок 6/2 Авангардная ул., з/у 6/2</v>
      </c>
      <c r="F1140" s="25" t="str">
        <f>IFERROR(__xludf.DUMMYFUNCTION("""COMPUTED_VALUE"""),"55.845127")</f>
        <v>55.845127</v>
      </c>
      <c r="G1140" s="6" t="str">
        <f>IFERROR(__xludf.DUMMYFUNCTION("""COMPUTED_VALUE"""),"37.491907")</f>
        <v>37.491907</v>
      </c>
      <c r="H1140" s="18" t="str">
        <f>IFERROR(__xludf.DUMMYFUNCTION("""COMPUTED_VALUE"""),"https://docs.google.com/spreadsheets/d/1lEcUd4exxkr5Za3IYZ0vdFNfMubnuMOOMXfmF3GYC9I/edit?gid=466314675#gid=466314675")</f>
        <v>https://docs.google.com/spreadsheets/d/1lEcUd4exxkr5Za3IYZ0vdFNfMubnuMOOMXfmF3GYC9I/edit?gid=466314675#gid=466314675</v>
      </c>
      <c r="I1140" s="19" t="str">
        <f>IFERROR(__xludf.DUMMYFUNCTION("""COMPUTED_VALUE"""),"https://disk.yandex.ru/client/disk/Осмотры%20объектов%20АНО%20СМГ/786.%20Авангардная%20зу%206-2")</f>
        <v>https://disk.yandex.ru/client/disk/Осмотры%20объектов%20АНО%20СМГ/786.%20Авангардная%20зу%206-2</v>
      </c>
      <c r="J1140" s="50">
        <f>IFERROR(__xludf.DUMMYFUNCTION("""COMPUTED_VALUE"""),0.0)</f>
        <v>0</v>
      </c>
      <c r="K1140" s="58"/>
      <c r="L1140" s="6">
        <v>30.0</v>
      </c>
      <c r="M1140" s="52" t="s">
        <v>655</v>
      </c>
      <c r="N1140" s="53" t="s">
        <v>698</v>
      </c>
      <c r="O1140" s="19" t="s">
        <v>1243</v>
      </c>
      <c r="P1140" s="6"/>
      <c r="Q1140" s="6" t="str">
        <f t="shared" si="1"/>
        <v>#N/A</v>
      </c>
      <c r="R1140" s="6"/>
    </row>
    <row r="1141" hidden="1">
      <c r="A1141" s="31" t="str">
        <f>IFERROR(__xludf.DUMMYFUNCTION("""COMPUTED_VALUE"""),"1002")</f>
        <v>1002</v>
      </c>
      <c r="B1141" s="14" t="str">
        <f>IFERROR(__xludf.DUMMYFUNCTION("""COMPUTED_VALUE"""),"РЕН-27")</f>
        <v>РЕН-27</v>
      </c>
      <c r="C1141" s="14" t="str">
        <f>IFERROR(__xludf.DUMMYFUNCTION("""COMPUTED_VALUE"""),"ОКС")</f>
        <v>ОКС</v>
      </c>
      <c r="D1141" s="6"/>
      <c r="E1141" s="14" t="str">
        <f>IFERROR(__xludf.DUMMYFUNCTION("""COMPUTED_VALUE"""),"Жилой дом с приспособлением подземной автостоянки под защитное сооружение гражданской обороны – «укрытие» (ЗСГО)1500 мест с инженерными сетями и благоустройством территории (со сносом жилых зданий по адресам: г. Москва, район Бабушкинский, ул. Радужная, д"&amp;". 4, корпус 1; д. 4, корпус 2) по адресу: г. Москва, район Бабушкинский, микрорайон 18, Зона  № 22.1 (Северо-Восточный административный округ) Бабушкинский, микрорайон 18, Зона № 22.1")</f>
        <v>Жилой дом с приспособлением подземной автостоянки под защитное сооружение гражданской обороны – «укрытие» (ЗСГО)1500 мест с инженерными сетями и благоустройством территории (со сносом жилых зданий по адресам: г. Москва, район Бабушкинский, ул. Радужная, д. 4, корпус 1; д. 4, корпус 2) по адресу: г. Москва, район Бабушкинский, микрорайон 18, Зона  № 22.1 (Северо-Восточный административный округ) Бабушкинский, микрорайон 18, Зона № 22.1</v>
      </c>
      <c r="F1141" s="25" t="str">
        <f>IFERROR(__xludf.DUMMYFUNCTION("""COMPUTED_VALUE"""),"55.86097293027594")</f>
        <v>55.86097293027594</v>
      </c>
      <c r="G1141" s="6" t="str">
        <f>IFERROR(__xludf.DUMMYFUNCTION("""COMPUTED_VALUE"""),"37.671879575392744")</f>
        <v>37.671879575392744</v>
      </c>
      <c r="H1141" s="18" t="str">
        <f>IFERROR(__xludf.DUMMYFUNCTION("""COMPUTED_VALUE"""),"https://docs.google.com/spreadsheets/d/1lEcUd4exxkr5Za3IYZ0vdFNfMubnuMOOMXfmF3GYC9I/edit?gid=1237255389#gid=1237255389")</f>
        <v>https://docs.google.com/spreadsheets/d/1lEcUd4exxkr5Za3IYZ0vdFNfMubnuMOOMXfmF3GYC9I/edit?gid=1237255389#gid=1237255389</v>
      </c>
      <c r="I1141" s="19" t="str">
        <f>IFERROR(__xludf.DUMMYFUNCTION("""COMPUTED_VALUE"""),"https://disk.yandex.ru/client/disk/Осмотры%20объектов%20АНО%20СМГ/1002.%20Бабушкинский%2C%20микрорайон%2018%2C%20Зона%20№%2022.1%20(Радужная%2C%20д.4%20к.1)")</f>
        <v>https://disk.yandex.ru/client/disk/Осмотры%20объектов%20АНО%20СМГ/1002.%20Бабушкинский%2C%20микрорайон%2018%2C%20Зона%20№%2022.1%20(Радужная%2C%20д.4%20к.1)</v>
      </c>
      <c r="J1141" s="50">
        <f>IFERROR(__xludf.DUMMYFUNCTION("""COMPUTED_VALUE"""),0.0)</f>
        <v>0</v>
      </c>
      <c r="K1141" s="58"/>
      <c r="L1141" s="6">
        <v>30.0</v>
      </c>
      <c r="M1141" s="52" t="s">
        <v>655</v>
      </c>
      <c r="N1141" s="53" t="s">
        <v>698</v>
      </c>
      <c r="O1141" s="19" t="s">
        <v>1237</v>
      </c>
      <c r="P1141" s="6"/>
      <c r="Q1141" s="6" t="str">
        <f t="shared" si="1"/>
        <v>#N/A</v>
      </c>
      <c r="R1141" s="6"/>
    </row>
    <row r="1142" hidden="1">
      <c r="A1142" s="31" t="str">
        <f>IFERROR(__xludf.DUMMYFUNCTION("""COMPUTED_VALUE"""),"1003")</f>
        <v>1003</v>
      </c>
      <c r="B1142" s="14" t="str">
        <f>IFERROR(__xludf.DUMMYFUNCTION("""COMPUTED_VALUE"""),"РЕН-27")</f>
        <v>РЕН-27</v>
      </c>
      <c r="C1142" s="14" t="str">
        <f>IFERROR(__xludf.DUMMYFUNCTION("""COMPUTED_VALUE"""),"ОКС")</f>
        <v>ОКС</v>
      </c>
      <c r="D1142" s="6"/>
      <c r="E1142" s="14" t="str">
        <f>IFERROR(__xludf.DUMMYFUNCTION("""COMPUTED_VALUE"""),"Жилой дом с подземной автостоянкой, инженерными сетями и благоустройством территории (со сносом жилого здания по адресу: г. Москва, район Бабушкинский, ул. Ленская, д.10, корпус 3) по адресу: г. Москва, район Бабушкинский, микрорайон 14, Зона № 7.1 (Север"&amp;"о-Восточный административный округ) Бабушкинский, микрорайон 14, Зона № 7.1")</f>
        <v>Жилой дом с подземной автостоянкой, инженерными сетями и благоустройством территории (со сносом жилого здания по адресу: г. Москва, район Бабушкинский, ул. Ленская, д.10, корпус 3) по адресу: г. Москва, район Бабушкинский, микрорайон 14, Зона № 7.1 (Северо-Восточный административный округ) Бабушкинский, микрорайон 14, Зона № 7.1</v>
      </c>
      <c r="F1142" s="25" t="str">
        <f>IFERROR(__xludf.DUMMYFUNCTION("""COMPUTED_VALUE"""),"55.868218")</f>
        <v>55.868218</v>
      </c>
      <c r="G1142" s="6" t="str">
        <f>IFERROR(__xludf.DUMMYFUNCTION("""COMPUTED_VALUE"""),"37.667609")</f>
        <v>37.667609</v>
      </c>
      <c r="H1142" s="18" t="str">
        <f>IFERROR(__xludf.DUMMYFUNCTION("""COMPUTED_VALUE"""),"https://docs.google.com/spreadsheets/d/1lEcUd4exxkr5Za3IYZ0vdFNfMubnuMOOMXfmF3GYC9I/edit?gid=1026140704#gid=1026140704")</f>
        <v>https://docs.google.com/spreadsheets/d/1lEcUd4exxkr5Za3IYZ0vdFNfMubnuMOOMXfmF3GYC9I/edit?gid=1026140704#gid=1026140704</v>
      </c>
      <c r="I1142" s="19" t="str">
        <f>IFERROR(__xludf.DUMMYFUNCTION("""COMPUTED_VALUE"""),"https://disk.yandex.ru/client/disk/Осмотры%20объектов%20АНО%20СМГ/1003.%20Бабушкинский%2C%20микрорайон%2014%2C%20Зона%20№%207.1%20(Ленская%2C%20д.10%20к.3)")</f>
        <v>https://disk.yandex.ru/client/disk/Осмотры%20объектов%20АНО%20СМГ/1003.%20Бабушкинский%2C%20микрорайон%2014%2C%20Зона%20№%207.1%20(Ленская%2C%20д.10%20к.3)</v>
      </c>
      <c r="J1142" s="50">
        <f>IFERROR(__xludf.DUMMYFUNCTION("""COMPUTED_VALUE"""),0.0)</f>
        <v>0</v>
      </c>
      <c r="K1142" s="58"/>
      <c r="L1142" s="6">
        <v>30.0</v>
      </c>
      <c r="M1142" s="52" t="s">
        <v>655</v>
      </c>
      <c r="N1142" s="53" t="s">
        <v>698</v>
      </c>
      <c r="O1142" s="19" t="s">
        <v>1237</v>
      </c>
      <c r="P1142" s="6"/>
      <c r="Q1142" s="6" t="str">
        <f t="shared" si="1"/>
        <v>#N/A</v>
      </c>
      <c r="R1142" s="6"/>
    </row>
    <row r="1143" hidden="1">
      <c r="A1143" s="31" t="str">
        <f>IFERROR(__xludf.DUMMYFUNCTION("""COMPUTED_VALUE"""),"1004")</f>
        <v>1004</v>
      </c>
      <c r="B1143" s="14" t="str">
        <f>IFERROR(__xludf.DUMMYFUNCTION("""COMPUTED_VALUE"""),"РЕН-27")</f>
        <v>РЕН-27</v>
      </c>
      <c r="C1143" s="14" t="str">
        <f>IFERROR(__xludf.DUMMYFUNCTION("""COMPUTED_VALUE"""),"ОКС")</f>
        <v>ОКС</v>
      </c>
      <c r="D1143" s="6"/>
      <c r="E1143" s="14" t="str">
        <f>IFERROR(__xludf.DUMMYFUNCTION("""COMPUTED_VALUE"""),"Жилой дом с приспособлением подземной автостоянки под защитное сооружение гражданской обороны – «укрытие» (ЗСГО) 1800 мест с инженерными сетями и благоустройством территории (со сносом жилого здания по адресу: г. Москва, район Бабушкинский, ул. Летчика Ба"&amp;"бушкина, д. 17) по адресу: г. Москва, район Бабушкинский, микрорайон 14, Зона № 4.1 (Северо-Восточный административный округ) Бабушкинский, микрорайон 14, Зона № 4.1")</f>
        <v>Жилой дом с приспособлением подземной автостоянки под защитное сооружение гражданской обороны – «укрытие» (ЗСГО) 1800 мест с инженерными сетями и благоустройством территории (со сносом жилого здания по адресу: г. Москва, район Бабушкинский, ул. Летчика Бабушкина, д. 17) по адресу: г. Москва, район Бабушкинский, микрорайон 14, Зона № 4.1 (Северо-Восточный административный округ) Бабушкинский, микрорайон 14, Зона № 4.1</v>
      </c>
      <c r="F1143" s="25" t="str">
        <f>IFERROR(__xludf.DUMMYFUNCTION("""COMPUTED_VALUE"""),"55.864369")</f>
        <v>55.864369</v>
      </c>
      <c r="G1143" s="6" t="str">
        <f>IFERROR(__xludf.DUMMYFUNCTION("""COMPUTED_VALUE"""),"37.672648")</f>
        <v>37.672648</v>
      </c>
      <c r="H1143" s="18" t="str">
        <f>IFERROR(__xludf.DUMMYFUNCTION("""COMPUTED_VALUE"""),"https://docs.google.com/spreadsheets/d/1lEcUd4exxkr5Za3IYZ0vdFNfMubnuMOOMXfmF3GYC9I/edit?gid=103624122#gid=103624122")</f>
        <v>https://docs.google.com/spreadsheets/d/1lEcUd4exxkr5Za3IYZ0vdFNfMubnuMOOMXfmF3GYC9I/edit?gid=103624122#gid=103624122</v>
      </c>
      <c r="I1143" s="19" t="str">
        <f>IFERROR(__xludf.DUMMYFUNCTION("""COMPUTED_VALUE"""),"https://disk.yandex.ru/client/disk/Осмотры%20объектов%20АНО%20СМГ/1004.%20Бабушкинский%2C%20микрорайон%2014%2C%20Зона%20№%204.1%20(Летчика%20Бабушкина%2C%20д.17)")</f>
        <v>https://disk.yandex.ru/client/disk/Осмотры%20объектов%20АНО%20СМГ/1004.%20Бабушкинский%2C%20микрорайон%2014%2C%20Зона%20№%204.1%20(Летчика%20Бабушкина%2C%20д.17)</v>
      </c>
      <c r="J1143" s="50">
        <f>IFERROR(__xludf.DUMMYFUNCTION("""COMPUTED_VALUE"""),0.0)</f>
        <v>0</v>
      </c>
      <c r="K1143" s="58"/>
      <c r="L1143" s="6">
        <v>30.0</v>
      </c>
      <c r="M1143" s="52" t="s">
        <v>655</v>
      </c>
      <c r="N1143" s="53" t="s">
        <v>698</v>
      </c>
      <c r="O1143" s="19" t="s">
        <v>1237</v>
      </c>
      <c r="P1143" s="6"/>
      <c r="Q1143" s="6" t="str">
        <f t="shared" si="1"/>
        <v>#N/A</v>
      </c>
      <c r="R1143" s="6"/>
    </row>
    <row r="1144" hidden="1">
      <c r="A1144" s="31" t="str">
        <f>IFERROR(__xludf.DUMMYFUNCTION("""COMPUTED_VALUE"""),"1005")</f>
        <v>1005</v>
      </c>
      <c r="B1144" s="14" t="str">
        <f>IFERROR(__xludf.DUMMYFUNCTION("""COMPUTED_VALUE"""),"РЕН-27")</f>
        <v>РЕН-27</v>
      </c>
      <c r="C1144" s="14" t="str">
        <f>IFERROR(__xludf.DUMMYFUNCTION("""COMPUTED_VALUE"""),"ОКС")</f>
        <v>ОКС</v>
      </c>
      <c r="D1144" s="6"/>
      <c r="E1144" s="14" t="str">
        <f>IFERROR(__xludf.DUMMYFUNCTION("""COMPUTED_VALUE"""),"Жилой дом с инженерными сетями и благоустройством территории (со сносом жилого здания по адресу: г. Москва, район Бабушкинский, ул. Искры, д. 11) по адресу: г. Москва, район Бабушкинский, микрорайон 18, Зона № 13.2 (Северо-Восточный административный округ"&amp;") Бабушкинский, микрорайон 18, Зона № 13.2")</f>
        <v>Жилой дом с инженерными сетями и благоустройством территории (со сносом жилого здания по адресу: г. Москва, район Бабушкинский, ул. Искры, д. 11) по адресу: г. Москва, район Бабушкинский, микрорайон 18, Зона № 13.2 (Северо-Восточный административный округ) Бабушкинский, микрорайон 18, Зона № 13.2</v>
      </c>
      <c r="F1144" s="25" t="str">
        <f>IFERROR(__xludf.DUMMYFUNCTION("""COMPUTED_VALUE"""),"55.861802")</f>
        <v>55.861802</v>
      </c>
      <c r="G1144" s="6" t="str">
        <f>IFERROR(__xludf.DUMMYFUNCTION("""COMPUTED_VALUE"""),"37.664994")</f>
        <v>37.664994</v>
      </c>
      <c r="H1144" s="18" t="str">
        <f>IFERROR(__xludf.DUMMYFUNCTION("""COMPUTED_VALUE"""),"https://docs.google.com/spreadsheets/d/1lEcUd4exxkr5Za3IYZ0vdFNfMubnuMOOMXfmF3GYC9I/edit?gid=640034925#gid=640034925")</f>
        <v>https://docs.google.com/spreadsheets/d/1lEcUd4exxkr5Za3IYZ0vdFNfMubnuMOOMXfmF3GYC9I/edit?gid=640034925#gid=640034925</v>
      </c>
      <c r="I1144" s="19" t="str">
        <f>IFERROR(__xludf.DUMMYFUNCTION("""COMPUTED_VALUE"""),"https://disk.yandex.ru/client/disk/Осмотры%20объектов%20АНО%20СМГ/1005.%20Бабушкинский%2C%20микрорайон%2018%2C%20Зона%20№%2013.2%20(Искры%2C%20д.11)")</f>
        <v>https://disk.yandex.ru/client/disk/Осмотры%20объектов%20АНО%20СМГ/1005.%20Бабушкинский%2C%20микрорайон%2018%2C%20Зона%20№%2013.2%20(Искры%2C%20д.11)</v>
      </c>
      <c r="J1144" s="50">
        <f>IFERROR(__xludf.DUMMYFUNCTION("""COMPUTED_VALUE"""),0.0)</f>
        <v>0</v>
      </c>
      <c r="K1144" s="58"/>
      <c r="L1144" s="6">
        <v>30.0</v>
      </c>
      <c r="M1144" s="52" t="s">
        <v>655</v>
      </c>
      <c r="N1144" s="53" t="s">
        <v>698</v>
      </c>
      <c r="O1144" s="19" t="s">
        <v>1237</v>
      </c>
      <c r="P1144" s="6"/>
      <c r="Q1144" s="6" t="str">
        <f t="shared" si="1"/>
        <v>#N/A</v>
      </c>
      <c r="R1144" s="6"/>
    </row>
    <row r="1145" hidden="1">
      <c r="A1145" s="31" t="str">
        <f>IFERROR(__xludf.DUMMYFUNCTION("""COMPUTED_VALUE"""),"1006")</f>
        <v>1006</v>
      </c>
      <c r="B1145" s="14" t="str">
        <f>IFERROR(__xludf.DUMMYFUNCTION("""COMPUTED_VALUE"""),"РЕН-27")</f>
        <v>РЕН-27</v>
      </c>
      <c r="C1145" s="14" t="str">
        <f>IFERROR(__xludf.DUMMYFUNCTION("""COMPUTED_VALUE"""),"ОКС")</f>
        <v>ОКС</v>
      </c>
      <c r="D1145" s="6"/>
      <c r="E1145" s="14" t="str">
        <f>IFERROR(__xludf.DUMMYFUNCTION("""COMPUTED_VALUE"""),"Жилой дом с приспособлением подземной автостоянки под защитное сооружение гражданской обороны – «укрытие» (ЗСГО)1100 мест с инженерными сетями и благоустройством территории (со сносом жилого здания по адресу: г. Москва, район Бабушкинский, ул. Ленская, д."&amp;" 9) по адресу: г. Москва, район Бабушкинский, микрорайон 14, Зона № 3.1 (Северо-Восточный административный округ) Бабушкинский, микрорайон 14, Зона № 3.1")</f>
        <v>Жилой дом с приспособлением подземной автостоянки под защитное сооружение гражданской обороны – «укрытие» (ЗСГО)1100 мест с инженерными сетями и благоустройством территории (со сносом жилого здания по адресу: г. Москва, район Бабушкинский, ул. Ленская, д. 9) по адресу: г. Москва, район Бабушкинский, микрорайон 14, Зона № 3.1 (Северо-Восточный административный округ) Бабушкинский, микрорайон 14, Зона № 3.1</v>
      </c>
      <c r="F1145" s="25" t="str">
        <f>IFERROR(__xludf.DUMMYFUNCTION("""COMPUTED_VALUE"""),"55.86577576045367")</f>
        <v>55.86577576045367</v>
      </c>
      <c r="G1145" s="6" t="str">
        <f>IFERROR(__xludf.DUMMYFUNCTION("""COMPUTED_VALUE"""),"37.66973955092452")</f>
        <v>37.66973955092452</v>
      </c>
      <c r="H1145" s="18" t="str">
        <f>IFERROR(__xludf.DUMMYFUNCTION("""COMPUTED_VALUE"""),"https://docs.google.com/spreadsheets/d/1lEcUd4exxkr5Za3IYZ0vdFNfMubnuMOOMXfmF3GYC9I/edit?gid=36677912#gid=36677912")</f>
        <v>https://docs.google.com/spreadsheets/d/1lEcUd4exxkr5Za3IYZ0vdFNfMubnuMOOMXfmF3GYC9I/edit?gid=36677912#gid=36677912</v>
      </c>
      <c r="I1145" s="19" t="str">
        <f>IFERROR(__xludf.DUMMYFUNCTION("""COMPUTED_VALUE"""),"https://disk.yandex.ru/client/disk/Осмотры%20объектов%20АНО%20СМГ/1006.%20Бабушкинский%2C%20микрорайон%2014%2C%20Зона%20№%203.1%20(Ленская%2C%20д.9)")</f>
        <v>https://disk.yandex.ru/client/disk/Осмотры%20объектов%20АНО%20СМГ/1006.%20Бабушкинский%2C%20микрорайон%2014%2C%20Зона%20№%203.1%20(Ленская%2C%20д.9)</v>
      </c>
      <c r="J1145" s="50">
        <f>IFERROR(__xludf.DUMMYFUNCTION("""COMPUTED_VALUE"""),0.0)</f>
        <v>0</v>
      </c>
      <c r="K1145" s="58"/>
      <c r="L1145" s="6">
        <v>30.0</v>
      </c>
      <c r="M1145" s="52" t="s">
        <v>655</v>
      </c>
      <c r="N1145" s="53" t="s">
        <v>698</v>
      </c>
      <c r="O1145" s="19" t="s">
        <v>1237</v>
      </c>
      <c r="P1145" s="6"/>
      <c r="Q1145" s="6" t="str">
        <f t="shared" si="1"/>
        <v>#N/A</v>
      </c>
      <c r="R1145" s="6"/>
    </row>
    <row r="1146" hidden="1">
      <c r="A1146" s="31" t="str">
        <f>IFERROR(__xludf.DUMMYFUNCTION("""COMPUTED_VALUE"""),"999")</f>
        <v>999</v>
      </c>
      <c r="B1146" s="14" t="str">
        <f>IFERROR(__xludf.DUMMYFUNCTION("""COMPUTED_VALUE"""),"РЕН-27")</f>
        <v>РЕН-27</v>
      </c>
      <c r="C1146" s="14" t="str">
        <f>IFERROR(__xludf.DUMMYFUNCTION("""COMPUTED_VALUE"""),"ОКС")</f>
        <v>ОКС</v>
      </c>
      <c r="D1146" s="6"/>
      <c r="E1146" s="14" t="str">
        <f>IFERROR(__xludf.DUMMYFUNCTION("""COMPUTED_VALUE"""),"Жилые дома с приспособлением подземной автостоянки под защитное сооружение гражданской обороны – «укрытие» (ЗСГО)2580 мест с инженерными сетями и благоустройством территории по адресу: г. Москва, внутригородское муниципальное образование Бабушкинское, Лен"&amp;"ская улица, земельный участок 12/1 (Северо-Восточный административный округ) (зона 1.1) Ленская ул., з/у 12/1")</f>
        <v>Жилые дома с приспособлением подземной автостоянки под защитное сооружение гражданской обороны – «укрытие» (ЗСГО)2580 мест с инженерными сетями и благоустройством территории по адресу: г. Москва, внутригородское муниципальное образование Бабушкинское, Ленская улица, земельный участок 12/1 (Северо-Восточный административный округ) (зона 1.1) Ленская ул., з/у 12/1</v>
      </c>
      <c r="F1146" s="25" t="str">
        <f>IFERROR(__xludf.DUMMYFUNCTION("""COMPUTED_VALUE"""),"55.86695188138328")</f>
        <v>55.86695188138328</v>
      </c>
      <c r="G1146" s="6" t="str">
        <f>IFERROR(__xludf.DUMMYFUNCTION("""COMPUTED_VALUE"""),"37.66518633002369")</f>
        <v>37.66518633002369</v>
      </c>
      <c r="H1146" s="18" t="str">
        <f>IFERROR(__xludf.DUMMYFUNCTION("""COMPUTED_VALUE"""),"https://docs.google.com/spreadsheets/d/1lEcUd4exxkr5Za3IYZ0vdFNfMubnuMOOMXfmF3GYC9I/edit?gid=784814979#gid=784814979")</f>
        <v>https://docs.google.com/spreadsheets/d/1lEcUd4exxkr5Za3IYZ0vdFNfMubnuMOOMXfmF3GYC9I/edit?gid=784814979#gid=784814979</v>
      </c>
      <c r="I1146" s="19" t="str">
        <f>IFERROR(__xludf.DUMMYFUNCTION("""COMPUTED_VALUE"""),"https://disk.yandex.ru/client/disk/Осмотры%20объектов%20АНО%20СМГ/999.%20Ленская%20ул.%2C%20зу%2012.1")</f>
        <v>https://disk.yandex.ru/client/disk/Осмотры%20объектов%20АНО%20СМГ/999.%20Ленская%20ул.%2C%20зу%2012.1</v>
      </c>
      <c r="J1146" s="50">
        <f>IFERROR(__xludf.DUMMYFUNCTION("""COMPUTED_VALUE"""),0.0)</f>
        <v>0</v>
      </c>
      <c r="K1146" s="58">
        <f>IFERROR(__xludf.DUMMYFUNCTION("""COMPUTED_VALUE"""),45835.0)</f>
        <v>45835</v>
      </c>
      <c r="L1146" s="6">
        <v>30.0</v>
      </c>
      <c r="M1146" s="52">
        <v>45865.0</v>
      </c>
      <c r="N1146" s="53" t="s">
        <v>668</v>
      </c>
      <c r="O1146" s="19" t="s">
        <v>1244</v>
      </c>
      <c r="P1146" s="6"/>
      <c r="Q1146" s="6" t="str">
        <f t="shared" si="1"/>
        <v>#N/A</v>
      </c>
      <c r="R1146" s="6"/>
    </row>
    <row r="1147" hidden="1">
      <c r="A1147" s="31" t="str">
        <f>IFERROR(__xludf.DUMMYFUNCTION("""COMPUTED_VALUE"""),"986")</f>
        <v>986</v>
      </c>
      <c r="B1147" s="14" t="str">
        <f>IFERROR(__xludf.DUMMYFUNCTION("""COMPUTED_VALUE"""),"РЕН-27")</f>
        <v>РЕН-27</v>
      </c>
      <c r="C1147" s="14" t="str">
        <f>IFERROR(__xludf.DUMMYFUNCTION("""COMPUTED_VALUE"""),"ОКС")</f>
        <v>ОКС</v>
      </c>
      <c r="D1147" s="6"/>
      <c r="E1147" s="14" t="str">
        <f>IFERROR(__xludf.DUMMYFUNCTION("""COMPUTED_VALUE"""),"илой дом с подземной автостоянкой, с инженерными сетями и благоустройством территории (со сносом жилых зданий по адресам: Открытое шоссе, 6к1; Открытое шоссе, 6к2; Открытое шоссе, 6к8; Открытое шоссе, 6к9 и сносом нежилого здания по адресу: Открытое шоссе"&amp;", 6к10А), зона 2.1 мкр. 4Б, 5Б, 8Б, 37Б, Богородское (номер зоны - 2.1) (ЖУ-2)")</f>
        <v>илой дом с подземной автостоянкой, с инженерными сетями и благоустройством территории (со сносом жилых зданий по адресам: Открытое шоссе, 6к1; Открытое шоссе, 6к2; Открытое шоссе, 6к8; Открытое шоссе, 6к9 и сносом нежилого здания по адресу: Открытое шоссе, 6к10А), зона 2.1 мкр. 4Б, 5Б, 8Б, 37Б, Богородское (номер зоны - 2.1) (ЖУ-2)</v>
      </c>
      <c r="F1147" s="25" t="str">
        <f>IFERROR(__xludf.DUMMYFUNCTION("""COMPUTED_VALUE"""),"55.82310875458021")</f>
        <v>55.82310875458021</v>
      </c>
      <c r="G1147" s="6" t="str">
        <f>IFERROR(__xludf.DUMMYFUNCTION("""COMPUTED_VALUE"""),"37.71489218650671")</f>
        <v>37.71489218650671</v>
      </c>
      <c r="H1147" s="18" t="str">
        <f>IFERROR(__xludf.DUMMYFUNCTION("""COMPUTED_VALUE"""),"https://docs.google.com/spreadsheets/d/1lEcUd4exxkr5Za3IYZ0vdFNfMubnuMOOMXfmF3GYC9I/edit?gid=541136391#gid=541136391")</f>
        <v>https://docs.google.com/spreadsheets/d/1lEcUd4exxkr5Za3IYZ0vdFNfMubnuMOOMXfmF3GYC9I/edit?gid=541136391#gid=541136391</v>
      </c>
      <c r="I1147" s="19" t="str">
        <f>IFERROR(__xludf.DUMMYFUNCTION("""COMPUTED_VALUE"""),"https://disk.yandex.ru/client/disk/Осмотры%20объектов%20АНО%20СМГ/986%20р-н%20Богородское%2C%20мкр.%204Б%2C%205Б%2C%208Б%2C%2037Б")</f>
        <v>https://disk.yandex.ru/client/disk/Осмотры%20объектов%20АНО%20СМГ/986%20р-н%20Богородское%2C%20мкр.%204Б%2C%205Б%2C%208Б%2C%2037Б</v>
      </c>
      <c r="J1147" s="50">
        <f>IFERROR(__xludf.DUMMYFUNCTION("""COMPUTED_VALUE"""),0.0)</f>
        <v>0</v>
      </c>
      <c r="K1147" s="58">
        <f>IFERROR(__xludf.DUMMYFUNCTION("""COMPUTED_VALUE"""),45807.0)</f>
        <v>45807</v>
      </c>
      <c r="L1147" s="6">
        <v>30.0</v>
      </c>
      <c r="M1147" s="52">
        <v>45837.0</v>
      </c>
      <c r="N1147" s="53" t="s">
        <v>668</v>
      </c>
      <c r="O1147" s="19" t="s">
        <v>1245</v>
      </c>
      <c r="P1147" s="6"/>
      <c r="Q1147" s="6" t="str">
        <f t="shared" si="1"/>
        <v>#N/A</v>
      </c>
      <c r="R1147" s="6"/>
    </row>
    <row r="1148" hidden="1">
      <c r="A1148" s="31" t="str">
        <f>IFERROR(__xludf.DUMMYFUNCTION("""COMPUTED_VALUE"""),"768")</f>
        <v>768</v>
      </c>
      <c r="B1148" s="14" t="str">
        <f>IFERROR(__xludf.DUMMYFUNCTION("""COMPUTED_VALUE"""),"РЕН-27")</f>
        <v>РЕН-27</v>
      </c>
      <c r="C1148" s="14" t="str">
        <f>IFERROR(__xludf.DUMMYFUNCTION("""COMPUTED_VALUE"""),"ОКС")</f>
        <v>ОКС</v>
      </c>
      <c r="D1148" s="6"/>
      <c r="E1148" s="14" t="str">
        <f>IFERROR(__xludf.DUMMYFUNCTION("""COMPUTED_VALUE"""),"Жилой дом с инженерными сетями и благоустройством территории (со сносом жилых домов по адресам: улица Маршала Малиновского, дом 3; улица Берзарина, дом 6, корпус 1)» по адресу: г. Москва, внутригородское муниципальное образование Щукино, улица Берзарина, "&amp;"земельный участок 6/1 (Северо-Западный административный округ)  улица Берзарина, земельный участок 6/1")</f>
        <v>Жилой дом с инженерными сетями и благоустройством территории (со сносом жилых домов по адресам: улица Маршала Малиновского, дом 3; улица Берзарина, дом 6, корпус 1)» по адресу: г. Москва, внутригородское муниципальное образование Щукино, улица Берзарина, земельный участок 6/1 (Северо-Западный административный округ)  улица Берзарина, земельный участок 6/1</v>
      </c>
      <c r="F1148" s="25" t="str">
        <f>IFERROR(__xludf.DUMMYFUNCTION("""COMPUTED_VALUE"""),"55.78848773001024")</f>
        <v>55.78848773001024</v>
      </c>
      <c r="G1148" s="6" t="str">
        <f>IFERROR(__xludf.DUMMYFUNCTION("""COMPUTED_VALUE"""),"37.49316249570069")</f>
        <v>37.49316249570069</v>
      </c>
      <c r="H1148" s="18" t="str">
        <f>IFERROR(__xludf.DUMMYFUNCTION("""COMPUTED_VALUE"""),"https://docs.google.com/spreadsheets/d/1lEcUd4exxkr5Za3IYZ0vdFNfMubnuMOOMXfmF3GYC9I/edit?gid=163574073#gid=163574073")</f>
        <v>https://docs.google.com/spreadsheets/d/1lEcUd4exxkr5Za3IYZ0vdFNfMubnuMOOMXfmF3GYC9I/edit?gid=163574073#gid=163574073</v>
      </c>
      <c r="I1148" s="19" t="str">
        <f>IFERROR(__xludf.DUMMYFUNCTION("""COMPUTED_VALUE"""),"https://disk.yandex.ru/client/disk/Осмотры%20объектов%20АНО%20СМГ/768.%20Жилой%20дом%20ул.%20Берзарина%206-1")</f>
        <v>https://disk.yandex.ru/client/disk/Осмотры%20объектов%20АНО%20СМГ/768.%20Жилой%20дом%20ул.%20Берзарина%206-1</v>
      </c>
      <c r="J1148" s="50">
        <f>IFERROR(__xludf.DUMMYFUNCTION("""COMPUTED_VALUE"""),0.0)</f>
        <v>0</v>
      </c>
      <c r="K1148" s="58">
        <f>IFERROR(__xludf.DUMMYFUNCTION("""COMPUTED_VALUE"""),45807.0)</f>
        <v>45807</v>
      </c>
      <c r="L1148" s="6">
        <v>30.0</v>
      </c>
      <c r="M1148" s="52">
        <v>45837.0</v>
      </c>
      <c r="N1148" s="53" t="s">
        <v>668</v>
      </c>
      <c r="O1148" s="19" t="s">
        <v>1246</v>
      </c>
      <c r="P1148" s="6"/>
      <c r="Q1148" s="6" t="str">
        <f t="shared" si="1"/>
        <v>#N/A</v>
      </c>
      <c r="R1148" s="6"/>
    </row>
    <row r="1149" hidden="1">
      <c r="A1149" s="31" t="str">
        <f>IFERROR(__xludf.DUMMYFUNCTION("""COMPUTED_VALUE"""),"917")</f>
        <v>917</v>
      </c>
      <c r="B1149" s="14" t="str">
        <f>IFERROR(__xludf.DUMMYFUNCTION("""COMPUTED_VALUE"""),"РЕН-27")</f>
        <v>РЕН-27</v>
      </c>
      <c r="C1149" s="14" t="str">
        <f>IFERROR(__xludf.DUMMYFUNCTION("""COMPUTED_VALUE"""),"ОКС")</f>
        <v>ОКС</v>
      </c>
      <c r="D1149" s="6"/>
      <c r="E1149" s="14" t="str">
        <f>IFERROR(__xludf.DUMMYFUNCTION("""COMPUTED_VALUE"""),"Жилой дом с инженерными сетями и благоустройством территории по адресу: г. Москва, ЮАО, район Чертаново Южное, ул.Газопровод, д.9, к.2 ул.Газопровод, д.9, к.2")</f>
        <v>Жилой дом с инженерными сетями и благоустройством территории по адресу: г. Москва, ЮАО, район Чертаново Южное, ул.Газопровод, д.9, к.2 ул.Газопровод, д.9, к.2</v>
      </c>
      <c r="F1149" s="25" t="str">
        <f>IFERROR(__xludf.DUMMYFUNCTION("""COMPUTED_VALUE"""),"55.590012")</f>
        <v>55.590012</v>
      </c>
      <c r="G1149" s="6" t="str">
        <f>IFERROR(__xludf.DUMMYFUNCTION("""COMPUTED_VALUE"""),"37.607287")</f>
        <v>37.607287</v>
      </c>
      <c r="H1149" s="18" t="str">
        <f>IFERROR(__xludf.DUMMYFUNCTION("""COMPUTED_VALUE"""),"https://docs.google.com/spreadsheets/d/1lEcUd4exxkr5Za3IYZ0vdFNfMubnuMOOMXfmF3GYC9I/edit?gid=1589597012#gid=1589597012")</f>
        <v>https://docs.google.com/spreadsheets/d/1lEcUd4exxkr5Za3IYZ0vdFNfMubnuMOOMXfmF3GYC9I/edit?gid=1589597012#gid=1589597012</v>
      </c>
      <c r="I1149" s="19" t="str">
        <f>IFERROR(__xludf.DUMMYFUNCTION("""COMPUTED_VALUE"""),"https://disk.yandex.ru/client/disk/Осмотры%20объектов%20АНО%20СМГ/917.%20Газопровод%20д.9%20к.2")</f>
        <v>https://disk.yandex.ru/client/disk/Осмотры%20объектов%20АНО%20СМГ/917.%20Газопровод%20д.9%20к.2</v>
      </c>
      <c r="J1149" s="50">
        <f>IFERROR(__xludf.DUMMYFUNCTION("""COMPUTED_VALUE"""),0.0)</f>
        <v>0</v>
      </c>
      <c r="K1149" s="58"/>
      <c r="L1149" s="6">
        <v>30.0</v>
      </c>
      <c r="M1149" s="52" t="s">
        <v>655</v>
      </c>
      <c r="N1149" s="53" t="s">
        <v>698</v>
      </c>
      <c r="O1149" s="19" t="s">
        <v>1247</v>
      </c>
      <c r="P1149" s="6"/>
      <c r="Q1149" s="6" t="str">
        <f t="shared" si="1"/>
        <v>#N/A</v>
      </c>
      <c r="R1149" s="6"/>
    </row>
    <row r="1150" hidden="1">
      <c r="A1150" s="31" t="str">
        <f>IFERROR(__xludf.DUMMYFUNCTION("""COMPUTED_VALUE"""),"885")</f>
        <v>885</v>
      </c>
      <c r="B1150" s="14" t="str">
        <f>IFERROR(__xludf.DUMMYFUNCTION("""COMPUTED_VALUE"""),"РЕН-27")</f>
        <v>РЕН-27</v>
      </c>
      <c r="C1150" s="14" t="str">
        <f>IFERROR(__xludf.DUMMYFUNCTION("""COMPUTED_VALUE"""),"ОКС")</f>
        <v>ОКС</v>
      </c>
      <c r="D1150" s="6"/>
      <c r="E1150" s="14" t="str">
        <f>IFERROR(__xludf.DUMMYFUNCTION("""COMPUTED_VALUE"""),"Жилой дом с подземной автостоянкой, инженерными сетями и благоустройством территории (со сносом жилых зданий по адресам: ул. Гарибальди д.27 к.1, ул. Гарибальди д.27 к.2, ул. Гарибальди д.27 к.3) по адресу: район Черемушки, кварталы 20-21; 22-23, зона № 6"&amp;".4 Черемушки, кв-лы 20-21; 22-23, зона № 6.4")</f>
        <v>Жилой дом с подземной автостоянкой, инженерными сетями и благоустройством территории (со сносом жилых зданий по адресам: ул. Гарибальди д.27 к.1, ул. Гарибальди д.27 к.2, ул. Гарибальди д.27 к.3) по адресу: район Черемушки, кварталы 20-21; 22-23, зона № 6.4 Черемушки, кв-лы 20-21; 22-23, зона № 6.4</v>
      </c>
      <c r="F1150" s="25" t="str">
        <f>IFERROR(__xludf.DUMMYFUNCTION("""COMPUTED_VALUE"""),"55.670179251930996")</f>
        <v>55.670179251930996</v>
      </c>
      <c r="G1150" s="6" t="str">
        <f>IFERROR(__xludf.DUMMYFUNCTION("""COMPUTED_VALUE"""),"37.559804507933535")</f>
        <v>37.559804507933535</v>
      </c>
      <c r="H1150" s="18" t="str">
        <f>IFERROR(__xludf.DUMMYFUNCTION("""COMPUTED_VALUE"""),"https://docs.google.com/spreadsheets/d/1lEcUd4exxkr5Za3IYZ0vdFNfMubnuMOOMXfmF3GYC9I/edit?gid=2115153164#gid=2115153164")</f>
        <v>https://docs.google.com/spreadsheets/d/1lEcUd4exxkr5Za3IYZ0vdFNfMubnuMOOMXfmF3GYC9I/edit?gid=2115153164#gid=2115153164</v>
      </c>
      <c r="I1150" s="19" t="str">
        <f>IFERROR(__xludf.DUMMYFUNCTION("""COMPUTED_VALUE"""),"https://disk.yandex.ru/client/disk/Осмотры%20объектов%20АНО%20СМГ/885.%20Черемушки%20кварталы%2020-21_22-23%20зона%206.4")</f>
        <v>https://disk.yandex.ru/client/disk/Осмотры%20объектов%20АНО%20СМГ/885.%20Черемушки%20кварталы%2020-21_22-23%20зона%206.4</v>
      </c>
      <c r="J1150" s="50">
        <f>IFERROR(__xludf.DUMMYFUNCTION("""COMPUTED_VALUE"""),0.0)</f>
        <v>0</v>
      </c>
      <c r="K1150" s="58">
        <f>IFERROR(__xludf.DUMMYFUNCTION("""COMPUTED_VALUE"""),45819.0)</f>
        <v>45819</v>
      </c>
      <c r="L1150" s="6">
        <v>30.0</v>
      </c>
      <c r="M1150" s="52">
        <v>45849.0</v>
      </c>
      <c r="N1150" s="53" t="s">
        <v>668</v>
      </c>
      <c r="O1150" s="19" t="s">
        <v>1248</v>
      </c>
      <c r="P1150" s="6"/>
      <c r="Q1150" s="6" t="str">
        <f t="shared" si="1"/>
        <v>#N/A</v>
      </c>
      <c r="R1150" s="6"/>
    </row>
    <row r="1151" hidden="1">
      <c r="A1151" s="31" t="str">
        <f>IFERROR(__xludf.DUMMYFUNCTION("""COMPUTED_VALUE"""),"702")</f>
        <v>702</v>
      </c>
      <c r="B1151" s="14" t="str">
        <f>IFERROR(__xludf.DUMMYFUNCTION("""COMPUTED_VALUE"""),"РЕН-27")</f>
        <v>РЕН-27</v>
      </c>
      <c r="C1151" s="14" t="str">
        <f>IFERROR(__xludf.DUMMYFUNCTION("""COMPUTED_VALUE"""),"ОКС")</f>
        <v>ОКС</v>
      </c>
      <c r="D1151" s="6"/>
      <c r="E1151" s="14" t="str">
        <f>IFERROR(__xludf.DUMMYFUNCTION("""COMPUTED_VALUE"""),"ЮЗАО, Черемушки, , ул. Гарибальди, зу 27/4/1, кв. 20-21, 22-23, зона № 6.3 (со сносом нежилого здания по адресу: ул. Гарибальди д.27 к.4)					 ул. Гарибальди, з/у 27/4/1 (зона 6.3)")</f>
        <v>ЮЗАО, Черемушки, , ул. Гарибальди, зу 27/4/1, кв. 20-21, 22-23, зона № 6.3 (со сносом нежилого здания по адресу: ул. Гарибальди д.27 к.4)					 ул. Гарибальди, з/у 27/4/1 (зона 6.3)</v>
      </c>
      <c r="F1151" s="25" t="str">
        <f>IFERROR(__xludf.DUMMYFUNCTION("""COMPUTED_VALUE"""),"55.669828")</f>
        <v>55.669828</v>
      </c>
      <c r="G1151" s="6" t="str">
        <f>IFERROR(__xludf.DUMMYFUNCTION("""COMPUTED_VALUE"""),"37.558221")</f>
        <v>37.558221</v>
      </c>
      <c r="H1151" s="18" t="str">
        <f>IFERROR(__xludf.DUMMYFUNCTION("""COMPUTED_VALUE"""),"https://docs.google.com/spreadsheets/d/1lEcUd4exxkr5Za3IYZ0vdFNfMubnuMOOMXfmF3GYC9I/edit?gid=496407740#gid=496407740")</f>
        <v>https://docs.google.com/spreadsheets/d/1lEcUd4exxkr5Za3IYZ0vdFNfMubnuMOOMXfmF3GYC9I/edit?gid=496407740#gid=496407740</v>
      </c>
      <c r="I1151" s="19" t="str">
        <f>IFERROR(__xludf.DUMMYFUNCTION("""COMPUTED_VALUE"""),"https://disk.yandex.ru/client/disk/Осмотры%20объектов%20АНО%20СМГ/702.%20Гарибальди%20д27%20к4")</f>
        <v>https://disk.yandex.ru/client/disk/Осмотры%20объектов%20АНО%20СМГ/702.%20Гарибальди%20д27%20к4</v>
      </c>
      <c r="J1151" s="50">
        <f>IFERROR(__xludf.DUMMYFUNCTION("""COMPUTED_VALUE"""),0.0)</f>
        <v>0</v>
      </c>
      <c r="K1151" s="58">
        <f>IFERROR(__xludf.DUMMYFUNCTION("""COMPUTED_VALUE"""),45819.0)</f>
        <v>45819</v>
      </c>
      <c r="L1151" s="6">
        <v>30.0</v>
      </c>
      <c r="M1151" s="52">
        <v>45849.0</v>
      </c>
      <c r="N1151" s="53" t="s">
        <v>668</v>
      </c>
      <c r="O1151" s="19" t="s">
        <v>914</v>
      </c>
      <c r="P1151" s="6"/>
      <c r="Q1151" s="6" t="str">
        <f t="shared" si="1"/>
        <v>#N/A</v>
      </c>
      <c r="R1151" s="6"/>
    </row>
    <row r="1152" hidden="1">
      <c r="A1152" s="31" t="str">
        <f>IFERROR(__xludf.DUMMYFUNCTION("""COMPUTED_VALUE"""),"997")</f>
        <v>997</v>
      </c>
      <c r="B1152" s="14" t="str">
        <f>IFERROR(__xludf.DUMMYFUNCTION("""COMPUTED_VALUE"""),"РЕН-27")</f>
        <v>РЕН-27</v>
      </c>
      <c r="C1152" s="14" t="str">
        <f>IFERROR(__xludf.DUMMYFUNCTION("""COMPUTED_VALUE"""),"ОКС")</f>
        <v>ОКС</v>
      </c>
      <c r="D1152" s="6"/>
      <c r="E1152" s="14" t="str">
        <f>IFERROR(__xludf.DUMMYFUNCTION("""COMPUTED_VALUE"""),"ул. Летчика Бабушкина, з/у 33/2/2                         ул. Летчика Бабушкина, з/у 33/2/2")</f>
        <v>ул. Летчика Бабушкина, з/у 33/2/2                         ул. Летчика Бабушкина, з/у 33/2/2</v>
      </c>
      <c r="F1152" s="25" t="str">
        <f>IFERROR(__xludf.DUMMYFUNCTION("""COMPUTED_VALUE"""),"55.872295021740335")</f>
        <v>55.872295021740335</v>
      </c>
      <c r="G1152" s="6" t="str">
        <f>IFERROR(__xludf.DUMMYFUNCTION("""COMPUTED_VALUE"""),"37.67448971163882")</f>
        <v>37.67448971163882</v>
      </c>
      <c r="H1152" s="18" t="str">
        <f>IFERROR(__xludf.DUMMYFUNCTION("""COMPUTED_VALUE"""),"https://docs.google.com/spreadsheets/d/1lEcUd4exxkr5Za3IYZ0vdFNfMubnuMOOMXfmF3GYC9I/edit?gid=424075145#gid=424075145")</f>
        <v>https://docs.google.com/spreadsheets/d/1lEcUd4exxkr5Za3IYZ0vdFNfMubnuMOOMXfmF3GYC9I/edit?gid=424075145#gid=424075145</v>
      </c>
      <c r="I1152" s="19" t="str">
        <f>IFERROR(__xludf.DUMMYFUNCTION("""COMPUTED_VALUE"""),"https://disk.yandex.ru/client/disk/Осмотры%20объектов%20АНО%20СМГ/997.%20Летчика%20Бабушкина%2C%20зу%2033.2.2")</f>
        <v>https://disk.yandex.ru/client/disk/Осмотры%20объектов%20АНО%20СМГ/997.%20Летчика%20Бабушкина%2C%20зу%2033.2.2</v>
      </c>
      <c r="J1152" s="50">
        <f>IFERROR(__xludf.DUMMYFUNCTION("""COMPUTED_VALUE"""),0.0)</f>
        <v>0</v>
      </c>
      <c r="K1152" s="58">
        <f>IFERROR(__xludf.DUMMYFUNCTION("""COMPUTED_VALUE"""),45810.0)</f>
        <v>45810</v>
      </c>
      <c r="L1152" s="6">
        <v>30.0</v>
      </c>
      <c r="M1152" s="52">
        <v>45840.0</v>
      </c>
      <c r="N1152" s="53" t="s">
        <v>668</v>
      </c>
      <c r="O1152" s="19" t="s">
        <v>914</v>
      </c>
      <c r="P1152" s="6"/>
      <c r="Q1152" s="6" t="str">
        <f t="shared" si="1"/>
        <v>#N/A</v>
      </c>
      <c r="R1152" s="6"/>
    </row>
    <row r="1153" hidden="1">
      <c r="A1153" s="31" t="str">
        <f>IFERROR(__xludf.DUMMYFUNCTION("""COMPUTED_VALUE"""),"998")</f>
        <v>998</v>
      </c>
      <c r="B1153" s="14" t="str">
        <f>IFERROR(__xludf.DUMMYFUNCTION("""COMPUTED_VALUE"""),"РЕН-27")</f>
        <v>РЕН-27</v>
      </c>
      <c r="C1153" s="14" t="str">
        <f>IFERROR(__xludf.DUMMYFUNCTION("""COMPUTED_VALUE"""),"ОКС")</f>
        <v>ОКС</v>
      </c>
      <c r="D1153" s="6"/>
      <c r="E1153" s="14" t="str">
        <f>IFERROR(__xludf.DUMMYFUNCTION("""COMPUTED_VALUE"""),"ул. Летчика Бабушкина, з/у 33/2/1                         ул. Летчика Бабушкина, з/у 33/2/1")</f>
        <v>ул. Летчика Бабушкина, з/у 33/2/1                         ул. Летчика Бабушкина, з/у 33/2/1</v>
      </c>
      <c r="F1153" s="25" t="str">
        <f>IFERROR(__xludf.DUMMYFUNCTION("""COMPUTED_VALUE"""),"55.871981353331456")</f>
        <v>55.871981353331456</v>
      </c>
      <c r="G1153" s="6" t="str">
        <f>IFERROR(__xludf.DUMMYFUNCTION("""COMPUTED_VALUE"""),"37.67459894708251")</f>
        <v>37.67459894708251</v>
      </c>
      <c r="H1153" s="18" t="str">
        <f>IFERROR(__xludf.DUMMYFUNCTION("""COMPUTED_VALUE"""),"https://docs.google.com/spreadsheets/d/1lEcUd4exxkr5Za3IYZ0vdFNfMubnuMOOMXfmF3GYC9I/edit?gid=1854195509#gid=1854195509")</f>
        <v>https://docs.google.com/spreadsheets/d/1lEcUd4exxkr5Za3IYZ0vdFNfMubnuMOOMXfmF3GYC9I/edit?gid=1854195509#gid=1854195509</v>
      </c>
      <c r="I1153" s="19" t="str">
        <f>IFERROR(__xludf.DUMMYFUNCTION("""COMPUTED_VALUE"""),"https://disk.yandex.ru/client/disk/Осмотры%20объектов%20АНО%20СМГ/998.%20Лётчика%20Бабушкина%2C%20зу%2033%5C2%5C1")</f>
        <v>https://disk.yandex.ru/client/disk/Осмотры%20объектов%20АНО%20СМГ/998.%20Лётчика%20Бабушкина%2C%20зу%2033%5C2%5C1</v>
      </c>
      <c r="J1153" s="50">
        <f>IFERROR(__xludf.DUMMYFUNCTION("""COMPUTED_VALUE"""),0.0)</f>
        <v>0</v>
      </c>
      <c r="K1153" s="58">
        <f>IFERROR(__xludf.DUMMYFUNCTION("""COMPUTED_VALUE"""),45810.0)</f>
        <v>45810</v>
      </c>
      <c r="L1153" s="6">
        <v>30.0</v>
      </c>
      <c r="M1153" s="52">
        <v>45840.0</v>
      </c>
      <c r="N1153" s="53" t="s">
        <v>668</v>
      </c>
      <c r="O1153" s="19" t="s">
        <v>914</v>
      </c>
      <c r="P1153" s="6"/>
      <c r="Q1153" s="6" t="str">
        <f t="shared" si="1"/>
        <v>#N/A</v>
      </c>
      <c r="R1153" s="6"/>
    </row>
    <row r="1154" hidden="1">
      <c r="A1154" s="31" t="str">
        <f>IFERROR(__xludf.DUMMYFUNCTION("""COMPUTED_VALUE"""),"780")</f>
        <v>780</v>
      </c>
      <c r="B1154" s="14" t="str">
        <f>IFERROR(__xludf.DUMMYFUNCTION("""COMPUTED_VALUE"""),"РЕН-27")</f>
        <v>РЕН-27</v>
      </c>
      <c r="C1154" s="14" t="str">
        <f>IFERROR(__xludf.DUMMYFUNCTION("""COMPUTED_VALUE"""),"ОКС")</f>
        <v>ОКС</v>
      </c>
      <c r="D1154" s="6"/>
      <c r="E1154" s="14" t="str">
        <f>IFERROR(__xludf.DUMMYFUNCTION("""COMPUTED_VALUE"""),"Жилой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д.13, ул. Генерала Рычагова,"&amp;" д.23/11 и д.21) по адресу: район Коптево, кв. 101, зона № 13.1  район Коптево, кв. 101, зона № 13.1")</f>
        <v>Жилой дом с приспособлением подземной автостоянки под защитное сооружение гражданской обороны укрытие" (ЗСГО), с инженерными сетями и благоустройством территории (со сносом жилых домов по адресам: Новомихалковский 4-й проезд, д.13, ул. Генерала Рычагова, д.23/11 и д.21) по адресу: район Коптево, кв. 101, зона № 13.1  район Коптево, кв. 101, зона № 13.1</v>
      </c>
      <c r="F1154" s="25" t="str">
        <f>IFERROR(__xludf.DUMMYFUNCTION("""COMPUTED_VALUE"""),"55.843058015419906")</f>
        <v>55.843058015419906</v>
      </c>
      <c r="G1154" s="6" t="str">
        <f>IFERROR(__xludf.DUMMYFUNCTION("""COMPUTED_VALUE"""),"37.543031077383944")</f>
        <v>37.543031077383944</v>
      </c>
      <c r="H1154" s="6" t="str">
        <f>IFERROR(__xludf.DUMMYFUNCTION("""COMPUTED_VALUE"""),"#ERROR!")</f>
        <v>#ERROR!</v>
      </c>
      <c r="I1154" s="19" t="str">
        <f>IFERROR(__xludf.DUMMYFUNCTION("""COMPUTED_VALUE"""),"https://disk.yandex.ru/client/disk/Осмотры%20объектов%20АНО%20СМГ/780.%20Коптево%20кв%20101%20зона%2013.1")</f>
        <v>https://disk.yandex.ru/client/disk/Осмотры%20объектов%20АНО%20СМГ/780.%20Коптево%20кв%20101%20зона%2013.1</v>
      </c>
      <c r="J1154" s="50">
        <f>IFERROR(__xludf.DUMMYFUNCTION("""COMPUTED_VALUE"""),0.0)</f>
        <v>0</v>
      </c>
      <c r="K1154" s="58">
        <f>IFERROR(__xludf.DUMMYFUNCTION("""COMPUTED_VALUE"""),45679.0)</f>
        <v>45679</v>
      </c>
      <c r="L1154" s="6">
        <v>30.0</v>
      </c>
      <c r="M1154" s="52">
        <v>45709.0</v>
      </c>
      <c r="N1154" s="53" t="s">
        <v>668</v>
      </c>
      <c r="O1154" s="19" t="s">
        <v>1249</v>
      </c>
      <c r="P1154" s="6"/>
      <c r="Q1154" s="6" t="str">
        <f t="shared" si="1"/>
        <v>#N/A</v>
      </c>
      <c r="R1154" s="6"/>
    </row>
    <row r="1155" hidden="1">
      <c r="A1155" s="31" t="str">
        <f>IFERROR(__xludf.DUMMYFUNCTION("""COMPUTED_VALUE"""),"1166")</f>
        <v>1166</v>
      </c>
      <c r="B1155" s="14" t="str">
        <f>IFERROR(__xludf.DUMMYFUNCTION("""COMPUTED_VALUE"""),"РЕН-27")</f>
        <v>РЕН-27</v>
      </c>
      <c r="C1155" s="14" t="str">
        <f>IFERROR(__xludf.DUMMYFUNCTION("""COMPUTED_VALUE"""),"ОКС")</f>
        <v>ОКС</v>
      </c>
      <c r="D1155" s="6"/>
      <c r="E1155" s="14" t="str">
        <f>IFERROR(__xludf.DUMMYFUNCTION("""COMPUTED_VALUE"""),"Жилой дом с инженерными сетями и благоустройством территории (со сносом жилого дома по адресу: ул. Маршала Чуйкова, д. 18/50) по адресу: вн. тер. г. Кузьминки, ул. Маршала Чуйкова, земельный участок 18 (зона 2.3) Маршала Чуйкова ул., з/у 18")</f>
        <v>Жилой дом с инженерными сетями и благоустройством территории (со сносом жилого дома по адресу: ул. Маршала Чуйкова, д. 18/50) по адресу: вн. тер. г. Кузьминки, ул. Маршала Чуйкова, земельный участок 18 (зона 2.3) Маршала Чуйкова ул., з/у 18</v>
      </c>
      <c r="F1155" s="25" t="str">
        <f>IFERROR(__xludf.DUMMYFUNCTION("""COMPUTED_VALUE"""),"55.700146")</f>
        <v>55.700146</v>
      </c>
      <c r="G1155" s="6" t="str">
        <f>IFERROR(__xludf.DUMMYFUNCTION("""COMPUTED_VALUE"""),"37.761887")</f>
        <v>37.761887</v>
      </c>
      <c r="H1155" s="18" t="str">
        <f>IFERROR(__xludf.DUMMYFUNCTION("""COMPUTED_VALUE"""),"https://docs.google.com/spreadsheets/d/1lEcUd4exxkr5Za3IYZ0vdFNfMubnuMOOMXfmF3GYC9I/edit?gid=1106564511#gid=1106564511")</f>
        <v>https://docs.google.com/spreadsheets/d/1lEcUd4exxkr5Za3IYZ0vdFNfMubnuMOOMXfmF3GYC9I/edit?gid=1106564511#gid=1106564511</v>
      </c>
      <c r="I1155" s="19"/>
      <c r="J1155" s="50">
        <f>IFERROR(__xludf.DUMMYFUNCTION("""COMPUTED_VALUE"""),0.0)</f>
        <v>0</v>
      </c>
      <c r="K1155" s="58"/>
      <c r="L1155" s="6">
        <v>30.0</v>
      </c>
      <c r="M1155" s="52" t="s">
        <v>655</v>
      </c>
      <c r="N1155" s="53" t="s">
        <v>698</v>
      </c>
      <c r="O1155" s="19" t="s">
        <v>1250</v>
      </c>
      <c r="P1155" s="6"/>
      <c r="Q1155" s="6" t="str">
        <f t="shared" si="1"/>
        <v>#N/A</v>
      </c>
      <c r="R1155" s="6"/>
    </row>
    <row r="1156" hidden="1">
      <c r="A1156" s="31" t="str">
        <f>IFERROR(__xludf.DUMMYFUNCTION("""COMPUTED_VALUE"""),"1167")</f>
        <v>1167</v>
      </c>
      <c r="B1156" s="14" t="str">
        <f>IFERROR(__xludf.DUMMYFUNCTION("""COMPUTED_VALUE"""),"РЕН-27")</f>
        <v>РЕН-27</v>
      </c>
      <c r="C1156" s="14" t="str">
        <f>IFERROR(__xludf.DUMMYFUNCTION("""COMPUTED_VALUE"""),"ОКС")</f>
        <v>ОКС</v>
      </c>
      <c r="D1156" s="6"/>
      <c r="E1156" s="14" t="str">
        <f>IFERROR(__xludf.DUMMYFUNCTION("""COMPUTED_VALUE"""),"Жилой дом с подземной автостоянкой, инженерными сетями и благоустройством территории (со сносом жилых домов по адресу: ул. Маршала Чуйкова, д. 13, корп.1, ул. Маршала Чуйкова, д. 13, корп.2) по адресу: вн. тер. г. Кузьминки, ул. Маршала Чуйкова, земельный"&amp;" участок 13/4/4 (зона 4.4) Маршала Чуйкова ул., з/у 13/4/4")</f>
        <v>Жилой дом с подземной автостоянкой, инженерными сетями и благоустройством территории (со сносом жилых домов по адресу: ул. Маршала Чуйкова, д. 13, корп.1, ул. Маршала Чуйкова, д. 13, корп.2) по адресу: вн. тер. г. Кузьминки, ул. Маршала Чуйкова, земельный участок 13/4/4 (зона 4.4) Маршала Чуйкова ул., з/у 13/4/4</v>
      </c>
      <c r="F1156" s="25" t="str">
        <f>IFERROR(__xludf.DUMMYFUNCTION("""COMPUTED_VALUE"""),"55.694912312959815")</f>
        <v>55.694912312959815</v>
      </c>
      <c r="G1156" s="6" t="str">
        <f>IFERROR(__xludf.DUMMYFUNCTION("""COMPUTED_VALUE"""),"37.759800794965386")</f>
        <v>37.759800794965386</v>
      </c>
      <c r="H1156" s="18" t="str">
        <f>IFERROR(__xludf.DUMMYFUNCTION("""COMPUTED_VALUE"""),"https://docs.google.com/spreadsheets/d/1lEcUd4exxkr5Za3IYZ0vdFNfMubnuMOOMXfmF3GYC9I/edit?gid=299633943#gid=299633943")</f>
        <v>https://docs.google.com/spreadsheets/d/1lEcUd4exxkr5Za3IYZ0vdFNfMubnuMOOMXfmF3GYC9I/edit?gid=299633943#gid=299633943</v>
      </c>
      <c r="I1156" s="19"/>
      <c r="J1156" s="50">
        <f>IFERROR(__xludf.DUMMYFUNCTION("""COMPUTED_VALUE"""),0.0)</f>
        <v>0</v>
      </c>
      <c r="K1156" s="58"/>
      <c r="L1156" s="6">
        <v>30.0</v>
      </c>
      <c r="M1156" s="52" t="s">
        <v>655</v>
      </c>
      <c r="N1156" s="53" t="s">
        <v>698</v>
      </c>
      <c r="O1156" s="19" t="s">
        <v>1251</v>
      </c>
      <c r="P1156" s="6"/>
      <c r="Q1156" s="6" t="str">
        <f t="shared" si="1"/>
        <v>#N/A</v>
      </c>
      <c r="R1156" s="6"/>
    </row>
    <row r="1157" hidden="1">
      <c r="A1157" s="31" t="str">
        <f>IFERROR(__xludf.DUMMYFUNCTION("""COMPUTED_VALUE"""),"1168")</f>
        <v>1168</v>
      </c>
      <c r="B1157" s="14" t="str">
        <f>IFERROR(__xludf.DUMMYFUNCTION("""COMPUTED_VALUE"""),"РЕН-27")</f>
        <v>РЕН-27</v>
      </c>
      <c r="C1157" s="14" t="str">
        <f>IFERROR(__xludf.DUMMYFUNCTION("""COMPUTED_VALUE"""),"ОКС")</f>
        <v>ОКС</v>
      </c>
      <c r="D1157" s="6"/>
      <c r="E1157" s="14" t="str">
        <f>IFERROR(__xludf.DUMMYFUNCTION("""COMPUTED_VALUE"""),"Жилой дом с подземной автостоянкой, инженерными сетями и благоустройством территории по адресу: вн. тер. г. Кузьминки, ул. Маршала Чуйкова, земельный участок 13/4/5 (зона 4.5) Маршала Чуйкова ул., з/у 13/4/5")</f>
        <v>Жилой дом с подземной автостоянкой, инженерными сетями и благоустройством территории по адресу: вн. тер. г. Кузьминки, ул. Маршала Чуйкова, земельный участок 13/4/5 (зона 4.5) Маршала Чуйкова ул., з/у 13/4/5</v>
      </c>
      <c r="F1157" s="25" t="str">
        <f>IFERROR(__xludf.DUMMYFUNCTION("""COMPUTED_VALUE"""),"55.694766879623124")</f>
        <v>55.694766879623124</v>
      </c>
      <c r="G1157" s="6" t="str">
        <f>IFERROR(__xludf.DUMMYFUNCTION("""COMPUTED_VALUE"""),"37.7606269153427")</f>
        <v>37.7606269153427</v>
      </c>
      <c r="H1157" s="18" t="str">
        <f>IFERROR(__xludf.DUMMYFUNCTION("""COMPUTED_VALUE"""),"https://docs.google.com/spreadsheets/d/1lEcUd4exxkr5Za3IYZ0vdFNfMubnuMOOMXfmF3GYC9I/edit?gid=1173519257#gid=1173519257")</f>
        <v>https://docs.google.com/spreadsheets/d/1lEcUd4exxkr5Za3IYZ0vdFNfMubnuMOOMXfmF3GYC9I/edit?gid=1173519257#gid=1173519257</v>
      </c>
      <c r="I1157" s="19"/>
      <c r="J1157" s="50">
        <f>IFERROR(__xludf.DUMMYFUNCTION("""COMPUTED_VALUE"""),0.0)</f>
        <v>0</v>
      </c>
      <c r="K1157" s="58"/>
      <c r="L1157" s="6">
        <v>30.0</v>
      </c>
      <c r="M1157" s="52" t="s">
        <v>655</v>
      </c>
      <c r="N1157" s="53" t="s">
        <v>698</v>
      </c>
      <c r="O1157" s="19" t="s">
        <v>1252</v>
      </c>
      <c r="P1157" s="6"/>
      <c r="Q1157" s="6" t="str">
        <f t="shared" si="1"/>
        <v>#N/A</v>
      </c>
      <c r="R1157" s="6"/>
    </row>
    <row r="1158" hidden="1">
      <c r="A1158" s="31" t="str">
        <f>IFERROR(__xludf.DUMMYFUNCTION("""COMPUTED_VALUE"""),"1169")</f>
        <v>1169</v>
      </c>
      <c r="B1158" s="14" t="str">
        <f>IFERROR(__xludf.DUMMYFUNCTION("""COMPUTED_VALUE"""),"РЕН-27")</f>
        <v>РЕН-27</v>
      </c>
      <c r="C1158" s="14" t="str">
        <f>IFERROR(__xludf.DUMMYFUNCTION("""COMPUTED_VALUE"""),"ОКС")</f>
        <v>ОКС</v>
      </c>
      <c r="D1158" s="6"/>
      <c r="E1158"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ул. Маршала Чуйкова, д. 13, корп.3) по адресу: вн. тер. "&amp;"г. Кузьминки, ул. Маршала Чуйкова, земельный участок 13/4/6 (зона 4.6) Маршала Чуйкова ул., з/у 13/4/6")</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жилого дома по адресу: ул. Маршала Чуйкова, д. 13, корп.3) по адресу: вн. тер. г. Кузьминки, ул. Маршала Чуйкова, земельный участок 13/4/6 (зона 4.6) Маршала Чуйкова ул., з/у 13/4/6</v>
      </c>
      <c r="F1158" s="25" t="str">
        <f>IFERROR(__xludf.DUMMYFUNCTION("""COMPUTED_VALUE"""),"55.69461538635335")</f>
        <v>55.69461538635335</v>
      </c>
      <c r="G1158" s="6" t="str">
        <f>IFERROR(__xludf.DUMMYFUNCTION("""COMPUTED_VALUE"""),"37.76153886640835")</f>
        <v>37.76153886640835</v>
      </c>
      <c r="H1158" s="18" t="str">
        <f>IFERROR(__xludf.DUMMYFUNCTION("""COMPUTED_VALUE"""),"https://docs.google.com/spreadsheets/d/1lEcUd4exxkr5Za3IYZ0vdFNfMubnuMOOMXfmF3GYC9I/edit?gid=211546180#gid=211546180")</f>
        <v>https://docs.google.com/spreadsheets/d/1lEcUd4exxkr5Za3IYZ0vdFNfMubnuMOOMXfmF3GYC9I/edit?gid=211546180#gid=211546180</v>
      </c>
      <c r="I1158" s="19"/>
      <c r="J1158" s="50">
        <f>IFERROR(__xludf.DUMMYFUNCTION("""COMPUTED_VALUE"""),0.0)</f>
        <v>0</v>
      </c>
      <c r="K1158" s="58"/>
      <c r="L1158" s="6">
        <v>30.0</v>
      </c>
      <c r="M1158" s="52" t="s">
        <v>655</v>
      </c>
      <c r="N1158" s="53" t="s">
        <v>698</v>
      </c>
      <c r="O1158" s="19" t="s">
        <v>1253</v>
      </c>
      <c r="P1158" s="6"/>
      <c r="Q1158" s="6" t="str">
        <f t="shared" si="1"/>
        <v>#N/A</v>
      </c>
      <c r="R1158" s="6"/>
    </row>
    <row r="1159" hidden="1">
      <c r="A1159" s="31" t="str">
        <f>IFERROR(__xludf.DUMMYFUNCTION("""COMPUTED_VALUE"""),"1170")</f>
        <v>1170</v>
      </c>
      <c r="B1159" s="14" t="str">
        <f>IFERROR(__xludf.DUMMYFUNCTION("""COMPUTED_VALUE"""),"РЕН-27")</f>
        <v>РЕН-27</v>
      </c>
      <c r="C1159" s="14" t="str">
        <f>IFERROR(__xludf.DUMMYFUNCTION("""COMPUTED_VALUE"""),"ОКС")</f>
        <v>ОКС</v>
      </c>
      <c r="D1159" s="6"/>
      <c r="E1159" s="14" t="str">
        <f>IFERROR(__xludf.DUMMYFUNCTION("""COMPUTED_VALUE"""),"Жилой дом с инженерными сетями и благоустройством территории (со сносом жилого дома по адресу: Сормовская улица, дом 17, корпус 6) по адресу: район Выхино-Жулебино, мкр. 136, (зона № 4.1) Сормовская зона 4.1")</f>
        <v>Жилой дом с инженерными сетями и благоустройством территории (со сносом жилого дома по адресу: Сормовская улица, дом 17, корпус 6) по адресу: район Выхино-Жулебино, мкр. 136, (зона № 4.1) Сормовская зона 4.1</v>
      </c>
      <c r="F1159" s="25" t="str">
        <f>IFERROR(__xludf.DUMMYFUNCTION("""COMPUTED_VALUE"""),"55.70642769499708")</f>
        <v>55.70642769499708</v>
      </c>
      <c r="G1159" s="6" t="str">
        <f>IFERROR(__xludf.DUMMYFUNCTION("""COMPUTED_VALUE"""),"37.81125972883599")</f>
        <v>37.81125972883599</v>
      </c>
      <c r="H1159" s="18" t="str">
        <f>IFERROR(__xludf.DUMMYFUNCTION("""COMPUTED_VALUE"""),"https://docs.google.com/spreadsheets/d/1lEcUd4exxkr5Za3IYZ0vdFNfMubnuMOOMXfmF3GYC9I/edit?gid=551597288#gid=551597288")</f>
        <v>https://docs.google.com/spreadsheets/d/1lEcUd4exxkr5Za3IYZ0vdFNfMubnuMOOMXfmF3GYC9I/edit?gid=551597288#gid=551597288</v>
      </c>
      <c r="I1159" s="19"/>
      <c r="J1159" s="50">
        <f>IFERROR(__xludf.DUMMYFUNCTION("""COMPUTED_VALUE"""),0.0)</f>
        <v>0</v>
      </c>
      <c r="K1159" s="58"/>
      <c r="L1159" s="6">
        <v>30.0</v>
      </c>
      <c r="M1159" s="52" t="s">
        <v>655</v>
      </c>
      <c r="N1159" s="53" t="s">
        <v>698</v>
      </c>
      <c r="O1159" s="19" t="s">
        <v>1218</v>
      </c>
      <c r="P1159" s="6"/>
      <c r="Q1159" s="6" t="str">
        <f t="shared" si="1"/>
        <v>#N/A</v>
      </c>
      <c r="R1159" s="6"/>
    </row>
    <row r="1160" hidden="1">
      <c r="A1160" s="31" t="str">
        <f>IFERROR(__xludf.DUMMYFUNCTION("""COMPUTED_VALUE"""),"1171")</f>
        <v>1171</v>
      </c>
      <c r="B1160" s="14" t="str">
        <f>IFERROR(__xludf.DUMMYFUNCTION("""COMPUTED_VALUE"""),"РЕН-27")</f>
        <v>РЕН-27</v>
      </c>
      <c r="C1160" s="14" t="str">
        <f>IFERROR(__xludf.DUMMYFUNCTION("""COMPUTED_VALUE"""),"ОКС")</f>
        <v>ОКС</v>
      </c>
      <c r="D1160" s="6"/>
      <c r="E1160" s="14" t="str">
        <f>IFERROR(__xludf.DUMMYFUNCTION("""COMPUTED_VALUE"""),"Жилой дом с подземной автостоянкой, инженерными сетями и благоустройством территории (со сносом жилых домов по адресам: Сормовская улица, дом 17, корпус 3; Сормовская улица, дом 17, корпус 4) по адресу: район Выхино-Жулебино, мкр. 136, (зона № 4.2)  Сормо"&amp;"вская зона 4.2")</f>
        <v>Жилой дом с подземной автостоянкой, инженерными сетями и благоустройством территории (со сносом жилых домов по адресам: Сормовская улица, дом 17, корпус 3; Сормовская улица, дом 17, корпус 4) по адресу: район Выхино-Жулебино, мкр. 136, (зона № 4.2)  Сормовская зона 4.2</v>
      </c>
      <c r="F1160" s="25" t="str">
        <f>IFERROR(__xludf.DUMMYFUNCTION("""COMPUTED_VALUE"""),"55.705755260262")</f>
        <v>55.705755260262</v>
      </c>
      <c r="G1160" s="6" t="str">
        <f>IFERROR(__xludf.DUMMYFUNCTION("""COMPUTED_VALUE"""),"37.81022976057378")</f>
        <v>37.81022976057378</v>
      </c>
      <c r="H1160" s="18" t="str">
        <f>IFERROR(__xludf.DUMMYFUNCTION("""COMPUTED_VALUE"""),"https://docs.google.com/spreadsheets/d/1lEcUd4exxkr5Za3IYZ0vdFNfMubnuMOOMXfmF3GYC9I/edit?gid=857788374#gid=857788374")</f>
        <v>https://docs.google.com/spreadsheets/d/1lEcUd4exxkr5Za3IYZ0vdFNfMubnuMOOMXfmF3GYC9I/edit?gid=857788374#gid=857788374</v>
      </c>
      <c r="I1160" s="19"/>
      <c r="J1160" s="50">
        <f>IFERROR(__xludf.DUMMYFUNCTION("""COMPUTED_VALUE"""),0.0)</f>
        <v>0</v>
      </c>
      <c r="K1160" s="58"/>
      <c r="L1160" s="6">
        <v>30.0</v>
      </c>
      <c r="M1160" s="52" t="s">
        <v>655</v>
      </c>
      <c r="N1160" s="53" t="s">
        <v>698</v>
      </c>
      <c r="O1160" s="19" t="s">
        <v>1218</v>
      </c>
      <c r="P1160" s="6"/>
      <c r="Q1160" s="6" t="str">
        <f t="shared" si="1"/>
        <v>#N/A</v>
      </c>
      <c r="R1160" s="6"/>
    </row>
    <row r="1161" hidden="1">
      <c r="A1161" s="31" t="str">
        <f>IFERROR(__xludf.DUMMYFUNCTION("""COMPUTED_VALUE"""),"1172")</f>
        <v>1172</v>
      </c>
      <c r="B1161" s="14" t="str">
        <f>IFERROR(__xludf.DUMMYFUNCTION("""COMPUTED_VALUE"""),"РЕН-27")</f>
        <v>РЕН-27</v>
      </c>
      <c r="C1161" s="14" t="str">
        <f>IFERROR(__xludf.DUMMYFUNCTION("""COMPUTED_VALUE"""),"ОКС")</f>
        <v>ОКС</v>
      </c>
      <c r="D1161" s="6"/>
      <c r="E1161" s="14" t="str">
        <f>IFERROR(__xludf.DUMMYFUNCTION("""COMPUTED_VALUE"""),"Жилой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Сормовская улица, дом 17, корпус 1; Сормовская улица, дом 17"&amp;", корпус 2) по адресу: район Выхино-Жулебино, мкр. 136, (зона № 4.3) Сормовская зона 4.3")</f>
        <v>Жилой дом с приспособлением подземного гаража под защитное сооружение гражданской обороны – «укрытие» (ЗСГО) с инженерными сетями и благоустройством территории (со сносом жилых домов по адресам: Сормовская улица, дом 17, корпус 1; Сормовская улица, дом 17, корпус 2) по адресу: район Выхино-Жулебино, мкр. 136, (зона № 4.3) Сормовская зона 4.3</v>
      </c>
      <c r="F1161" s="25" t="str">
        <f>IFERROR(__xludf.DUMMYFUNCTION("""COMPUTED_VALUE"""),"55.70640346338799")</f>
        <v>55.70640346338799</v>
      </c>
      <c r="G1161" s="6" t="str">
        <f>IFERROR(__xludf.DUMMYFUNCTION("""COMPUTED_VALUE"""),"37.80934999601745")</f>
        <v>37.80934999601745</v>
      </c>
      <c r="H1161" s="18" t="str">
        <f>IFERROR(__xludf.DUMMYFUNCTION("""COMPUTED_VALUE"""),"https://docs.google.com/spreadsheets/d/1lEcUd4exxkr5Za3IYZ0vdFNfMubnuMOOMXfmF3GYC9I/edit?gid=273382735#gid=273382735")</f>
        <v>https://docs.google.com/spreadsheets/d/1lEcUd4exxkr5Za3IYZ0vdFNfMubnuMOOMXfmF3GYC9I/edit?gid=273382735#gid=273382735</v>
      </c>
      <c r="I1161" s="19"/>
      <c r="J1161" s="50">
        <f>IFERROR(__xludf.DUMMYFUNCTION("""COMPUTED_VALUE"""),0.0)</f>
        <v>0</v>
      </c>
      <c r="K1161" s="58"/>
      <c r="L1161" s="6">
        <v>30.0</v>
      </c>
      <c r="M1161" s="52" t="s">
        <v>655</v>
      </c>
      <c r="N1161" s="53" t="s">
        <v>698</v>
      </c>
      <c r="O1161" s="19" t="s">
        <v>1218</v>
      </c>
      <c r="P1161" s="6"/>
      <c r="Q1161" s="6" t="str">
        <f t="shared" si="1"/>
        <v>#N/A</v>
      </c>
      <c r="R1161" s="6"/>
    </row>
    <row r="1162" hidden="1">
      <c r="A1162" s="31"/>
      <c r="B1162" s="14"/>
      <c r="C1162" s="14"/>
      <c r="D1162" s="6"/>
      <c r="E1162" s="14" t="str">
        <f>IFERROR(__xludf.DUMMYFUNCTION("""COMPUTED_VALUE""")," кв-л Грайвороново 90А, земельный участок 2")</f>
        <v> кв-л Грайвороново 90А, земельный участок 2</v>
      </c>
      <c r="F1162" s="25" t="str">
        <f>IFERROR(__xludf.DUMMYFUNCTION("""COMPUTED_VALUE"""),"#N/A")</f>
        <v>#N/A</v>
      </c>
      <c r="G1162" s="6" t="str">
        <f>IFERROR(__xludf.DUMMYFUNCTION("""COMPUTED_VALUE"""),"#N/A")</f>
        <v>#N/A</v>
      </c>
      <c r="H1162" s="6"/>
      <c r="I1162" s="19"/>
      <c r="J1162" s="50"/>
      <c r="K1162" s="58"/>
      <c r="L1162" s="6" t="s">
        <v>655</v>
      </c>
      <c r="M1162" s="52" t="s">
        <v>655</v>
      </c>
      <c r="N1162" s="53" t="s">
        <v>655</v>
      </c>
      <c r="O1162" s="19"/>
      <c r="P1162" s="6"/>
      <c r="Q1162" s="6" t="str">
        <f t="shared" si="1"/>
        <v>#N/A</v>
      </c>
      <c r="R1162" s="6"/>
    </row>
    <row r="1163" hidden="1">
      <c r="A1163" s="31"/>
      <c r="B1163" s="14"/>
      <c r="C1163" s="14"/>
      <c r="D1163" s="6"/>
      <c r="E1163" s="14" t="str">
        <f>IFERROR(__xludf.DUMMYFUNCTION("""COMPUTED_VALUE""")," 2-я Владимирская улица, земельный участок 15/2")</f>
        <v> 2-я Владимирская улица, земельный участок 15/2</v>
      </c>
      <c r="F1163" s="25" t="str">
        <f>IFERROR(__xludf.DUMMYFUNCTION("""COMPUTED_VALUE"""),"#N/A")</f>
        <v>#N/A</v>
      </c>
      <c r="G1163" s="6" t="str">
        <f>IFERROR(__xludf.DUMMYFUNCTION("""COMPUTED_VALUE"""),"#N/A")</f>
        <v>#N/A</v>
      </c>
      <c r="H1163" s="6"/>
      <c r="I1163" s="19"/>
      <c r="J1163" s="50"/>
      <c r="K1163" s="58"/>
      <c r="L1163" s="6" t="s">
        <v>655</v>
      </c>
      <c r="M1163" s="52" t="s">
        <v>655</v>
      </c>
      <c r="N1163" s="53" t="s">
        <v>655</v>
      </c>
      <c r="O1163" s="19"/>
      <c r="P1163" s="6"/>
      <c r="Q1163" s="6" t="str">
        <f t="shared" si="1"/>
        <v>#N/A</v>
      </c>
      <c r="R1163" s="6"/>
    </row>
    <row r="1164" hidden="1">
      <c r="A1164" s="31"/>
      <c r="B1164" s="14"/>
      <c r="C1164" s="14"/>
      <c r="D1164" s="6"/>
      <c r="E1164" s="14" t="str">
        <f>IFERROR(__xludf.DUMMYFUNCTION("""COMPUTED_VALUE""")," г. Щербинка, Железнодорожная ул., влд. 37А")</f>
        <v> г. Щербинка, Железнодорожная ул., влд. 37А</v>
      </c>
      <c r="F1164" s="25" t="str">
        <f>IFERROR(__xludf.DUMMYFUNCTION("""COMPUTED_VALUE"""),"#N/A")</f>
        <v>#N/A</v>
      </c>
      <c r="G1164" s="6" t="str">
        <f>IFERROR(__xludf.DUMMYFUNCTION("""COMPUTED_VALUE"""),"#N/A")</f>
        <v>#N/A</v>
      </c>
      <c r="H1164" s="6"/>
      <c r="I1164" s="19"/>
      <c r="J1164" s="50"/>
      <c r="K1164" s="58"/>
      <c r="L1164" s="6" t="s">
        <v>655</v>
      </c>
      <c r="M1164" s="52" t="s">
        <v>655</v>
      </c>
      <c r="N1164" s="53" t="s">
        <v>655</v>
      </c>
      <c r="O1164" s="19"/>
      <c r="P1164" s="6"/>
      <c r="Q1164" s="6" t="str">
        <f t="shared" si="1"/>
        <v>#N/A</v>
      </c>
      <c r="R1164" s="6"/>
    </row>
    <row r="1165" hidden="1">
      <c r="A1165" s="31"/>
      <c r="B1165" s="14"/>
      <c r="C1165" s="14"/>
      <c r="D1165" s="6"/>
      <c r="E1165" s="14" t="str">
        <f>IFERROR(__xludf.DUMMYFUNCTION("""COMPUTED_VALUE""")," внутригородское муниципальное образование Метрогородок, шоссе Открытое, земельный участок 27/6/7 (участок 11.2)")</f>
        <v> внутригородское муниципальное образование Метрогородок, шоссе Открытое, земельный участок 27/6/7 (участок 11.2)</v>
      </c>
      <c r="F1165" s="25" t="str">
        <f>IFERROR(__xludf.DUMMYFUNCTION("""COMPUTED_VALUE"""),"#N/A")</f>
        <v>#N/A</v>
      </c>
      <c r="G1165" s="6" t="str">
        <f>IFERROR(__xludf.DUMMYFUNCTION("""COMPUTED_VALUE"""),"#N/A")</f>
        <v>#N/A</v>
      </c>
      <c r="H1165" s="6"/>
      <c r="I1165" s="19"/>
      <c r="J1165" s="50"/>
      <c r="K1165" s="58"/>
      <c r="L1165" s="6" t="s">
        <v>655</v>
      </c>
      <c r="M1165" s="52" t="s">
        <v>655</v>
      </c>
      <c r="N1165" s="53" t="s">
        <v>655</v>
      </c>
      <c r="O1165" s="19" t="s">
        <v>1254</v>
      </c>
      <c r="P1165" s="6"/>
      <c r="Q1165" s="6" t="str">
        <f t="shared" si="1"/>
        <v>#N/A</v>
      </c>
      <c r="R1165" s="6"/>
    </row>
    <row r="1166" hidden="1">
      <c r="A1166" s="31"/>
      <c r="B1166" s="14" t="str">
        <f>IFERROR(__xludf.DUMMYFUNCTION("""COMPUTED_VALUE"""),"РЕН-27")</f>
        <v>РЕН-27</v>
      </c>
      <c r="C1166" s="14"/>
      <c r="D1166" s="6"/>
      <c r="E1166" s="14" t="str">
        <f>IFERROR(__xludf.DUMMYFUNCTION("""COMPUTED_VALUE""")," район Перово, мкр. 23, зона 22.3 (ул. Металлургов, вл. 32)")</f>
        <v> район Перово, мкр. 23, зона 22.3 (ул. Металлургов, вл. 32)</v>
      </c>
      <c r="F1166" s="25" t="str">
        <f>IFERROR(__xludf.DUMMYFUNCTION("""COMPUTED_VALUE"""),"#N/A")</f>
        <v>#N/A</v>
      </c>
      <c r="G1166" s="6" t="str">
        <f>IFERROR(__xludf.DUMMYFUNCTION("""COMPUTED_VALUE"""),"#N/A")</f>
        <v>#N/A</v>
      </c>
      <c r="H1166" s="6"/>
      <c r="I1166" s="19"/>
      <c r="J1166" s="50"/>
      <c r="K1166" s="58"/>
      <c r="L1166" s="6" t="s">
        <v>655</v>
      </c>
      <c r="M1166" s="52" t="s">
        <v>655</v>
      </c>
      <c r="N1166" s="53" t="s">
        <v>655</v>
      </c>
      <c r="O1166" s="19"/>
      <c r="P1166" s="6"/>
      <c r="Q1166" s="6" t="str">
        <f t="shared" si="1"/>
        <v>#N/A</v>
      </c>
      <c r="R1166" s="6"/>
    </row>
    <row r="1167" hidden="1">
      <c r="A1167" s="31"/>
      <c r="B1167" s="14" t="str">
        <f>IFERROR(__xludf.DUMMYFUNCTION("""COMPUTED_VALUE"""),"РЕН-27")</f>
        <v>РЕН-27</v>
      </c>
      <c r="C1167" s="14"/>
      <c r="D1167" s="6"/>
      <c r="E1167" s="14" t="str">
        <f>IFERROR(__xludf.DUMMYFUNCTION("""COMPUTED_VALUE""")," 2-я Владимирская, д.11Д, корп.1, корп.2")</f>
        <v> 2-я Владимирская, д.11Д, корп.1, корп.2</v>
      </c>
      <c r="F1167" s="25" t="str">
        <f>IFERROR(__xludf.DUMMYFUNCTION("""COMPUTED_VALUE"""),"#N/A")</f>
        <v>#N/A</v>
      </c>
      <c r="G1167" s="6" t="str">
        <f>IFERROR(__xludf.DUMMYFUNCTION("""COMPUTED_VALUE"""),"#N/A")</f>
        <v>#N/A</v>
      </c>
      <c r="H1167" s="6"/>
      <c r="I1167" s="19"/>
      <c r="J1167" s="50"/>
      <c r="K1167" s="58"/>
      <c r="L1167" s="6" t="s">
        <v>655</v>
      </c>
      <c r="M1167" s="52" t="s">
        <v>655</v>
      </c>
      <c r="N1167" s="53" t="s">
        <v>655</v>
      </c>
      <c r="O1167" s="19"/>
      <c r="P1167" s="6"/>
      <c r="Q1167" s="6" t="str">
        <f t="shared" si="1"/>
        <v>#N/A</v>
      </c>
      <c r="R1167" s="6"/>
    </row>
    <row r="1168" hidden="1">
      <c r="A1168" s="31"/>
      <c r="B1168" s="14" t="str">
        <f>IFERROR(__xludf.DUMMYFUNCTION("""COMPUTED_VALUE"""),"РЕН-27")</f>
        <v>РЕН-27</v>
      </c>
      <c r="C1168" s="14"/>
      <c r="D1168" s="6"/>
      <c r="E1168" s="14" t="str">
        <f>IFERROR(__xludf.DUMMYFUNCTION("""COMPUTED_VALUE""")," г. Москва, внутригородское муниципальное образование Ярославское, улица Проходчиков, земельный участок 3 (улица Проходчиков, вл.3)")</f>
        <v> г. Москва, внутригородское муниципальное образование Ярославское, улица Проходчиков, земельный участок 3 (улица Проходчиков, вл.3)</v>
      </c>
      <c r="F1168" s="25" t="str">
        <f>IFERROR(__xludf.DUMMYFUNCTION("""COMPUTED_VALUE"""),"#N/A")</f>
        <v>#N/A</v>
      </c>
      <c r="G1168" s="6" t="str">
        <f>IFERROR(__xludf.DUMMYFUNCTION("""COMPUTED_VALUE"""),"#N/A")</f>
        <v>#N/A</v>
      </c>
      <c r="H1168" s="6"/>
      <c r="I1168" s="19"/>
      <c r="J1168" s="50"/>
      <c r="K1168" s="58"/>
      <c r="L1168" s="6" t="s">
        <v>655</v>
      </c>
      <c r="M1168" s="52" t="s">
        <v>655</v>
      </c>
      <c r="N1168" s="53" t="s">
        <v>655</v>
      </c>
      <c r="O1168" s="19"/>
      <c r="P1168" s="6"/>
      <c r="Q1168" s="6" t="str">
        <f t="shared" si="1"/>
        <v>#N/A</v>
      </c>
      <c r="R1168" s="6"/>
    </row>
    <row r="1169" hidden="1">
      <c r="A1169" s="31"/>
      <c r="B1169" s="14" t="str">
        <f>IFERROR(__xludf.DUMMYFUNCTION("""COMPUTED_VALUE"""),"РЕН-27")</f>
        <v>РЕН-27</v>
      </c>
      <c r="C1169" s="14"/>
      <c r="D1169" s="6"/>
      <c r="E1169" s="14" t="str">
        <f>IFERROR(__xludf.DUMMYFUNCTION("""COMPUTED_VALUE""")," внутригородское муниципальное образование Перово, земельный участок 38/1")</f>
        <v> внутригородское муниципальное образование Перово, земельный участок 38/1</v>
      </c>
      <c r="F1169" s="25" t="str">
        <f>IFERROR(__xludf.DUMMYFUNCTION("""COMPUTED_VALUE"""),"#N/A")</f>
        <v>#N/A</v>
      </c>
      <c r="G1169" s="6" t="str">
        <f>IFERROR(__xludf.DUMMYFUNCTION("""COMPUTED_VALUE"""),"#N/A")</f>
        <v>#N/A</v>
      </c>
      <c r="H1169" s="6"/>
      <c r="I1169" s="19"/>
      <c r="J1169" s="50"/>
      <c r="K1169" s="58"/>
      <c r="L1169" s="6" t="s">
        <v>655</v>
      </c>
      <c r="M1169" s="52" t="s">
        <v>655</v>
      </c>
      <c r="N1169" s="53" t="s">
        <v>655</v>
      </c>
      <c r="O1169" s="19"/>
      <c r="P1169" s="6"/>
      <c r="Q1169" s="6" t="str">
        <f t="shared" si="1"/>
        <v>#N/A</v>
      </c>
      <c r="R1169" s="6"/>
    </row>
    <row r="1170" hidden="1">
      <c r="A1170" s="31"/>
      <c r="B1170" s="14" t="str">
        <f>IFERROR(__xludf.DUMMYFUNCTION("""COMPUTED_VALUE"""),"РЕН-27")</f>
        <v>РЕН-27</v>
      </c>
      <c r="C1170" s="14"/>
      <c r="D1170" s="6"/>
      <c r="E1170" s="14" t="str">
        <f>IFERROR(__xludf.DUMMYFUNCTION("""COMPUTED_VALUE""")," район Гольяново, мкр. 1-2, зона 2.1")</f>
        <v> район Гольяново, мкр. 1-2, зона 2.1</v>
      </c>
      <c r="F1170" s="25" t="str">
        <f>IFERROR(__xludf.DUMMYFUNCTION("""COMPUTED_VALUE"""),"#N/A")</f>
        <v>#N/A</v>
      </c>
      <c r="G1170" s="6" t="str">
        <f>IFERROR(__xludf.DUMMYFUNCTION("""COMPUTED_VALUE"""),"#N/A")</f>
        <v>#N/A</v>
      </c>
      <c r="H1170" s="6"/>
      <c r="I1170" s="19"/>
      <c r="J1170" s="50"/>
      <c r="K1170" s="58"/>
      <c r="L1170" s="6" t="s">
        <v>655</v>
      </c>
      <c r="M1170" s="52" t="s">
        <v>655</v>
      </c>
      <c r="N1170" s="53" t="s">
        <v>655</v>
      </c>
      <c r="O1170" s="19"/>
      <c r="P1170" s="6"/>
      <c r="Q1170" s="6" t="str">
        <f t="shared" si="1"/>
        <v>#N/A</v>
      </c>
      <c r="R1170" s="6"/>
    </row>
    <row r="1171" hidden="1">
      <c r="A1171" s="31"/>
      <c r="B1171" s="14" t="str">
        <f>IFERROR(__xludf.DUMMYFUNCTION("""COMPUTED_VALUE"""),"РЕН-27")</f>
        <v>РЕН-27</v>
      </c>
      <c r="C1171" s="14"/>
      <c r="D1171" s="6"/>
      <c r="E1171" s="14" t="str">
        <f>IFERROR(__xludf.DUMMYFUNCTION("""COMPUTED_VALUE""")," район Гольяново, мкр. 1-2, зона 2.2")</f>
        <v> район Гольяново, мкр. 1-2, зона 2.2</v>
      </c>
      <c r="F1171" s="25" t="str">
        <f>IFERROR(__xludf.DUMMYFUNCTION("""COMPUTED_VALUE"""),"#N/A")</f>
        <v>#N/A</v>
      </c>
      <c r="G1171" s="6" t="str">
        <f>IFERROR(__xludf.DUMMYFUNCTION("""COMPUTED_VALUE"""),"#N/A")</f>
        <v>#N/A</v>
      </c>
      <c r="H1171" s="6"/>
      <c r="I1171" s="19"/>
      <c r="J1171" s="50"/>
      <c r="K1171" s="58"/>
      <c r="L1171" s="6" t="s">
        <v>655</v>
      </c>
      <c r="M1171" s="52" t="s">
        <v>655</v>
      </c>
      <c r="N1171" s="53" t="s">
        <v>655</v>
      </c>
      <c r="O1171" s="19"/>
      <c r="P1171" s="6"/>
      <c r="Q1171" s="6" t="str">
        <f t="shared" si="1"/>
        <v>#N/A</v>
      </c>
      <c r="R1171" s="6"/>
    </row>
    <row r="1172" hidden="1">
      <c r="A1172" s="31"/>
      <c r="B1172" s="14" t="str">
        <f>IFERROR(__xludf.DUMMYFUNCTION("""COMPUTED_VALUE"""),"РЕН-27")</f>
        <v>РЕН-27</v>
      </c>
      <c r="C1172" s="14"/>
      <c r="D1172" s="6"/>
      <c r="E1172" s="14" t="str">
        <f>IFERROR(__xludf.DUMMYFUNCTION("""COMPUTED_VALUE""")," район Гольяново, мкр. 1-2, зона 3.1")</f>
        <v> район Гольяново, мкр. 1-2, зона 3.1</v>
      </c>
      <c r="F1172" s="25" t="str">
        <f>IFERROR(__xludf.DUMMYFUNCTION("""COMPUTED_VALUE"""),"#N/A")</f>
        <v>#N/A</v>
      </c>
      <c r="G1172" s="6" t="str">
        <f>IFERROR(__xludf.DUMMYFUNCTION("""COMPUTED_VALUE"""),"#N/A")</f>
        <v>#N/A</v>
      </c>
      <c r="H1172" s="6"/>
      <c r="I1172" s="19"/>
      <c r="J1172" s="50"/>
      <c r="K1172" s="58"/>
      <c r="L1172" s="6" t="s">
        <v>655</v>
      </c>
      <c r="M1172" s="52" t="s">
        <v>655</v>
      </c>
      <c r="N1172" s="53" t="s">
        <v>655</v>
      </c>
      <c r="O1172" s="19"/>
      <c r="P1172" s="6"/>
      <c r="Q1172" s="6" t="str">
        <f t="shared" si="1"/>
        <v>#N/A</v>
      </c>
      <c r="R1172" s="6"/>
    </row>
    <row r="1173" hidden="1">
      <c r="A1173" s="31"/>
      <c r="B1173" s="14" t="str">
        <f>IFERROR(__xludf.DUMMYFUNCTION("""COMPUTED_VALUE"""),"РЕН-27")</f>
        <v>РЕН-27</v>
      </c>
      <c r="C1173" s="14"/>
      <c r="D1173" s="6"/>
      <c r="E1173" s="14" t="str">
        <f>IFERROR(__xludf.DUMMYFUNCTION("""COMPUTED_VALUE""")," район Гольяново, мкр. 1-2, зона 3.2")</f>
        <v> район Гольяново, мкр. 1-2, зона 3.2</v>
      </c>
      <c r="F1173" s="25" t="str">
        <f>IFERROR(__xludf.DUMMYFUNCTION("""COMPUTED_VALUE"""),"#N/A")</f>
        <v>#N/A</v>
      </c>
      <c r="G1173" s="6" t="str">
        <f>IFERROR(__xludf.DUMMYFUNCTION("""COMPUTED_VALUE"""),"#N/A")</f>
        <v>#N/A</v>
      </c>
      <c r="H1173" s="6"/>
      <c r="I1173" s="19"/>
      <c r="J1173" s="50"/>
      <c r="K1173" s="58"/>
      <c r="L1173" s="6" t="s">
        <v>655</v>
      </c>
      <c r="M1173" s="52" t="s">
        <v>655</v>
      </c>
      <c r="N1173" s="53" t="s">
        <v>655</v>
      </c>
      <c r="O1173" s="19"/>
      <c r="P1173" s="6"/>
      <c r="Q1173" s="6" t="str">
        <f t="shared" si="1"/>
        <v>#N/A</v>
      </c>
      <c r="R1173" s="6"/>
    </row>
    <row r="1174" hidden="1">
      <c r="A1174" s="31"/>
      <c r="B1174" s="14" t="str">
        <f>IFERROR(__xludf.DUMMYFUNCTION("""COMPUTED_VALUE"""),"РЕН-27")</f>
        <v>РЕН-27</v>
      </c>
      <c r="C1174" s="14" t="str">
        <f>IFERROR(__xludf.DUMMYFUNCTION("""COMPUTED_VALUE"""),"ОКС")</f>
        <v>ОКС</v>
      </c>
      <c r="D1174" s="6"/>
      <c r="E1174" s="14" t="str">
        <f>IFERROR(__xludf.DUMMYFUNCTION("""COMPUTED_VALUE"""),"Жилой дом с подземной автостоянкой с инженерными сетями и благоустройством территории по адресу: район Гольяново, мкр. 1-2, зона 3.4 Гольяново, мкр. 1-2, зона 3.4 Амурская ЗУ 52")</f>
        <v>Жилой дом с подземной автостоянкой с инженерными сетями и благоустройством территории по адресу: район Гольяново, мкр. 1-2, зона 3.4 Гольяново, мкр. 1-2, зона 3.4 Амурская ЗУ 52</v>
      </c>
      <c r="F1174" s="25" t="str">
        <f>IFERROR(__xludf.DUMMYFUNCTION("""COMPUTED_VALUE"""),"#N/A")</f>
        <v>#N/A</v>
      </c>
      <c r="G1174" s="6" t="str">
        <f>IFERROR(__xludf.DUMMYFUNCTION("""COMPUTED_VALUE"""),"#N/A")</f>
        <v>#N/A</v>
      </c>
      <c r="H1174" s="6"/>
      <c r="I1174" s="19"/>
      <c r="J1174" s="50"/>
      <c r="K1174" s="58"/>
      <c r="L1174" s="6" t="s">
        <v>655</v>
      </c>
      <c r="M1174" s="52" t="s">
        <v>655</v>
      </c>
      <c r="N1174" s="53" t="s">
        <v>655</v>
      </c>
      <c r="O1174" s="19" t="s">
        <v>1255</v>
      </c>
      <c r="P1174" s="6"/>
      <c r="Q1174" s="6" t="str">
        <f t="shared" si="1"/>
        <v>#N/A</v>
      </c>
      <c r="R1174" s="6"/>
    </row>
    <row r="1175" hidden="1">
      <c r="A1175" s="31"/>
      <c r="B1175" s="14" t="str">
        <f>IFERROR(__xludf.DUMMYFUNCTION("""COMPUTED_VALUE"""),"РЕН-27")</f>
        <v>РЕН-27</v>
      </c>
      <c r="C1175" s="14" t="str">
        <f>IFERROR(__xludf.DUMMYFUNCTION("""COMPUTED_VALUE"""),"ОКС")</f>
        <v>ОКС</v>
      </c>
      <c r="D1175" s="6"/>
      <c r="E1175" s="14" t="str">
        <f>IFERROR(__xludf.DUMMYFUNCTION("""COMPUTED_VALUE"""),"Жилой дом с инженерными сетями и благоустройством территории, ЦАО, район Мещанский, Дурова ул., вл. 3 ул. Дурова, вл.3")</f>
        <v>Жилой дом с инженерными сетями и благоустройством территории, ЦАО, район Мещанский, Дурова ул., вл. 3 ул. Дурова, вл.3</v>
      </c>
      <c r="F1175" s="25" t="str">
        <f>IFERROR(__xludf.DUMMYFUNCTION("""COMPUTED_VALUE"""),"#N/A")</f>
        <v>#N/A</v>
      </c>
      <c r="G1175" s="6" t="str">
        <f>IFERROR(__xludf.DUMMYFUNCTION("""COMPUTED_VALUE"""),"#N/A")</f>
        <v>#N/A</v>
      </c>
      <c r="H1175" s="6"/>
      <c r="I1175" s="19"/>
      <c r="J1175" s="50"/>
      <c r="K1175" s="58"/>
      <c r="L1175" s="6" t="s">
        <v>655</v>
      </c>
      <c r="M1175" s="52" t="s">
        <v>655</v>
      </c>
      <c r="N1175" s="53" t="s">
        <v>655</v>
      </c>
      <c r="O1175" s="19"/>
      <c r="P1175" s="6"/>
      <c r="Q1175" s="6" t="str">
        <f t="shared" si="1"/>
        <v>#N/A</v>
      </c>
      <c r="R1175" s="6"/>
    </row>
    <row r="1176" hidden="1">
      <c r="A1176" s="31"/>
      <c r="B1176" s="14" t="str">
        <f>IFERROR(__xludf.DUMMYFUNCTION("""COMPUTED_VALUE"""),"РЕН-27")</f>
        <v>РЕН-27</v>
      </c>
      <c r="C1176" s="14" t="str">
        <f>IFERROR(__xludf.DUMMYFUNCTION("""COMPUTED_VALUE"""),"ОКС")</f>
        <v>ОКС</v>
      </c>
      <c r="D1176" s="6"/>
      <c r="E1176" s="14" t="str">
        <f>IFERROR(__xludf.DUMMYFUNCTION("""COMPUTED_VALUE"""),"Жилой дом с инженерными сетями и благоустройством территории» по адресу: г. Москва, район Коммунарка, Адмирала Корнилова ул., вл. 14, корп. 1 (Новомосковский административный округ города Москвы) поселение Мосрентген, Адмирала Корнилова ул., вл. 14, корп."&amp;" 1")</f>
        <v>Жилой дом с инженерными сетями и благоустройством территории» по адресу: г. Москва, район Коммунарка, Адмирала Корнилова ул., вл. 14, корп. 1 (Новомосковский административный округ города Москвы) поселение Мосрентген, Адмирала Корнилова ул., вл. 14, корп. 1</v>
      </c>
      <c r="F1176" s="25" t="str">
        <f>IFERROR(__xludf.DUMMYFUNCTION("""COMPUTED_VALUE"""),"#N/A")</f>
        <v>#N/A</v>
      </c>
      <c r="G1176" s="6" t="str">
        <f>IFERROR(__xludf.DUMMYFUNCTION("""COMPUTED_VALUE"""),"#N/A")</f>
        <v>#N/A</v>
      </c>
      <c r="H1176" s="6"/>
      <c r="I1176" s="19"/>
      <c r="J1176" s="50"/>
      <c r="K1176" s="58"/>
      <c r="L1176" s="6" t="s">
        <v>655</v>
      </c>
      <c r="M1176" s="52" t="s">
        <v>655</v>
      </c>
      <c r="N1176" s="53" t="s">
        <v>655</v>
      </c>
      <c r="O1176" s="19" t="s">
        <v>1256</v>
      </c>
      <c r="P1176" s="6"/>
      <c r="Q1176" s="6" t="str">
        <f t="shared" si="1"/>
        <v>#N/A</v>
      </c>
      <c r="R1176" s="6"/>
    </row>
    <row r="1177" hidden="1">
      <c r="A1177" s="31" t="str">
        <f>IFERROR(__xludf.DUMMYFUNCTION("""COMPUTED_VALUE"""),"1029")</f>
        <v>1029</v>
      </c>
      <c r="B1177" s="14" t="str">
        <f>IFERROR(__xludf.DUMMYFUNCTION("""COMPUTED_VALUE"""),"РЕН-25")</f>
        <v>РЕН-25</v>
      </c>
      <c r="C1177" s="14" t="str">
        <f>IFERROR(__xludf.DUMMYFUNCTION("""COMPUTED_VALUE"""),"ОКС")</f>
        <v>ОКС</v>
      </c>
      <c r="D1177" s="6"/>
      <c r="E1177" s="14" t="str">
        <f>IFERROR(__xludf.DUMMYFUNCTION("""COMPUTED_VALUE"""),"Осмотр «стартового» жилого дома в рамках реализации Программы реновации: СЗАО, р-н Покровское-Стрешнево, Николая Озерова ул., д. 2, к. 1, к. 2   р-н Покровское-Стрешнево, Николая Озерова ул., д. 2, к. 1, к. 2 ")</f>
        <v>Осмотр «стартового» жилого дома в рамках реализации Программы реновации: СЗАО, р-н Покровское-Стрешнево, Николая Озерова ул., д. 2, к. 1, к. 2   р-н Покровское-Стрешнево, Николая Озерова ул., д. 2, к. 1, к. 2 </v>
      </c>
      <c r="F1177" s="25" t="str">
        <f>IFERROR(__xludf.DUMMYFUNCTION("""COMPUTED_VALUE"""),"#N/A")</f>
        <v>#N/A</v>
      </c>
      <c r="G1177" s="6" t="str">
        <f>IFERROR(__xludf.DUMMYFUNCTION("""COMPUTED_VALUE"""),"#N/A")</f>
        <v>#N/A</v>
      </c>
      <c r="H1177" s="18" t="str">
        <f>IFERROR(__xludf.DUMMYFUNCTION("""COMPUTED_VALUE"""),"https://docs.google.com/spreadsheets/d/1H1MjbG2y0oC0hhID4do1G0_gfyI1jag72lQd7nL3WDQ/edit?gid=1897641801#gid=1897641801")</f>
        <v>https://docs.google.com/spreadsheets/d/1H1MjbG2y0oC0hhID4do1G0_gfyI1jag72lQd7nL3WDQ/edit?gid=1897641801#gid=1897641801</v>
      </c>
      <c r="I1177" s="19" t="str">
        <f>IFERROR(__xludf.DUMMYFUNCTION("""COMPUTED_VALUE"""),"https://disk.yandex.ru/client/disk/Осмотры%20объектов%20АНО%20СМГ/1029%20Николая%20Озерова%20ул.%2C%20д.%202%2C%20к.%201%2C%20к.%202")</f>
        <v>https://disk.yandex.ru/client/disk/Осмотры%20объектов%20АНО%20СМГ/1029%20Николая%20Озерова%20ул.%2C%20д.%202%2C%20к.%201%2C%20к.%202</v>
      </c>
      <c r="J1177" s="50">
        <f>IFERROR(__xludf.DUMMYFUNCTION("""COMPUTED_VALUE"""),100.0)</f>
        <v>100</v>
      </c>
      <c r="K1177" s="58">
        <f>IFERROR(__xludf.DUMMYFUNCTION("""COMPUTED_VALUE"""),45828.0)</f>
        <v>45828</v>
      </c>
      <c r="L1177" s="6" t="s">
        <v>654</v>
      </c>
      <c r="M1177" s="52" t="s">
        <v>655</v>
      </c>
      <c r="N1177" s="53" t="s">
        <v>656</v>
      </c>
      <c r="O1177" s="19" t="s">
        <v>1257</v>
      </c>
      <c r="P1177" s="6"/>
      <c r="Q1177" s="6" t="str">
        <f t="shared" si="1"/>
        <v>#N/A</v>
      </c>
      <c r="R1177" s="6"/>
    </row>
    <row r="1178" hidden="1">
      <c r="A1178" s="31" t="str">
        <f>IFERROR(__xludf.DUMMYFUNCTION("""COMPUTED_VALUE"""),"345")</f>
        <v>345</v>
      </c>
      <c r="B1178" s="14" t="str">
        <f>IFERROR(__xludf.DUMMYFUNCTION("""COMPUTED_VALUE"""),"ВНЕ СПИСКА")</f>
        <v>ВНЕ СПИСКА</v>
      </c>
      <c r="C1178" s="14" t="str">
        <f>IFERROR(__xludf.DUMMYFUNCTION("""COMPUTED_VALUE"""),"ОКС")</f>
        <v>ОКС</v>
      </c>
      <c r="D1178" s="6" t="str">
        <f>IFERROR(__xludf.DUMMYFUNCTION("""COMPUTED_VALUE"""),"да")</f>
        <v>да</v>
      </c>
      <c r="E1178" s="14" t="str">
        <f>IFERROR(__xludf.DUMMYFUNCTION("""COMPUTED_VALUE"""),"Школа на 650 мест, СВАО, район Марьина Роща район Марьина Роща, Складочная ул.")</f>
        <v>Школа на 650 мест, СВАО, район Марьина Роща район Марьина Роща, Складочная ул.</v>
      </c>
      <c r="F1178" s="25" t="str">
        <f>IFERROR(__xludf.DUMMYFUNCTION("""COMPUTED_VALUE"""),"55.802522")</f>
        <v>55.802522</v>
      </c>
      <c r="G1178" s="6" t="str">
        <f>IFERROR(__xludf.DUMMYFUNCTION("""COMPUTED_VALUE"""),"37.597627")</f>
        <v>37.597627</v>
      </c>
      <c r="H1178" s="18" t="str">
        <f>IFERROR(__xludf.DUMMYFUNCTION("""COMPUTED_VALUE"""),"https://docs.google.com/spreadsheets/d/1EI7qusa674eJhuaw-nWWtWMEHVSYMQv7HLsInEZTWpE/edit?gid=1475893528#gid=1475893528")</f>
        <v>https://docs.google.com/spreadsheets/d/1EI7qusa674eJhuaw-nWWtWMEHVSYMQv7HLsInEZTWpE/edit?gid=1475893528#gid=1475893528</v>
      </c>
      <c r="I1178" s="19" t="str">
        <f>IFERROR(__xludf.DUMMYFUNCTION("""COMPUTED_VALUE"""),"https://disk.yandex.ru/client/disk/Осмотры%20объектов%20АНО%20СМГ/345%20Школа%20на%20650%20мест%2C%20ул.%20Складочная")</f>
        <v>https://disk.yandex.ru/client/disk/Осмотры%20объектов%20АНО%20СМГ/345%20Школа%20на%20650%20мест%2C%20ул.%20Складочная</v>
      </c>
      <c r="J1178" s="50">
        <f>IFERROR(__xludf.DUMMYFUNCTION("""COMPUTED_VALUE"""),93.13025750000001)</f>
        <v>93.1302575</v>
      </c>
      <c r="K1178" s="58">
        <f>IFERROR(__xludf.DUMMYFUNCTION("""COMPUTED_VALUE"""),45958.0)</f>
        <v>45958</v>
      </c>
      <c r="L1178" s="6">
        <v>14.0</v>
      </c>
      <c r="M1178" s="52">
        <v>45972.0</v>
      </c>
      <c r="N1178" s="53" t="s">
        <v>668</v>
      </c>
      <c r="O1178" s="19" t="s">
        <v>1258</v>
      </c>
      <c r="P1178" s="6"/>
      <c r="Q1178" s="6" t="str">
        <f t="shared" si="1"/>
        <v>#N/A</v>
      </c>
      <c r="R1178" s="6"/>
    </row>
    <row r="1179" hidden="1">
      <c r="A1179" s="31" t="str">
        <f>IFERROR(__xludf.DUMMYFUNCTION("""COMPUTED_VALUE"""),"390")</f>
        <v>390</v>
      </c>
      <c r="B1179" s="14" t="str">
        <f>IFERROR(__xludf.DUMMYFUNCTION("""COMPUTED_VALUE"""),"РЕН-25")</f>
        <v>РЕН-25</v>
      </c>
      <c r="C1179" s="14" t="str">
        <f>IFERROR(__xludf.DUMMYFUNCTION("""COMPUTED_VALUE"""),"ОКС")</f>
        <v>ОКС</v>
      </c>
      <c r="D1179" s="6"/>
      <c r="E1179" s="14" t="str">
        <f>IFERROR(__xludf.DUMMYFUNCTION("""COMPUTED_VALUE"""),"Демьяна Бедного ул., вл. 17, корп. 2 район Хорошево-Мневники, ул. Демьяна Бедного, вл. 17, корп. 2, мкр. 80, зона№2.1")</f>
        <v>Демьяна Бедного ул., вл. 17, корп. 2 район Хорошево-Мневники, ул. Демьяна Бедного, вл. 17, корп. 2, мкр. 80, зона№2.1</v>
      </c>
      <c r="F1179" s="25" t="str">
        <f>IFERROR(__xludf.DUMMYFUNCTION("""COMPUTED_VALUE"""),"#N/A")</f>
        <v>#N/A</v>
      </c>
      <c r="G1179" s="6" t="str">
        <f>IFERROR(__xludf.DUMMYFUNCTION("""COMPUTED_VALUE"""),"#N/A")</f>
        <v>#N/A</v>
      </c>
      <c r="H1179" s="18" t="str">
        <f>IFERROR(__xludf.DUMMYFUNCTION("""COMPUTED_VALUE"""),"https://docs.google.com/spreadsheets/d/1H1MjbG2y0oC0hhID4do1G0_gfyI1jag72lQd7nL3WDQ/edit?gid=2140039738#gid=2140039738")</f>
        <v>https://docs.google.com/spreadsheets/d/1H1MjbG2y0oC0hhID4do1G0_gfyI1jag72lQd7nL3WDQ/edit?gid=2140039738#gid=2140039738</v>
      </c>
      <c r="I1179" s="19" t="str">
        <f>IFERROR(__xludf.DUMMYFUNCTION("""COMPUTED_VALUE"""),"https://disk.yandex.ru/client/disk/Осмотры%20объектов%20АНО%20СМГ/390.%20Дом%20ул.%20Демьяна%20Бедного%20вл17")</f>
        <v>https://disk.yandex.ru/client/disk/Осмотры%20объектов%20АНО%20СМГ/390.%20Дом%20ул.%20Демьяна%20Бедного%20вл17</v>
      </c>
      <c r="J1179" s="50">
        <f>IFERROR(__xludf.DUMMYFUNCTION("""COMPUTED_VALUE"""),99.94099)</f>
        <v>99.94099</v>
      </c>
      <c r="K1179" s="58">
        <f>IFERROR(__xludf.DUMMYFUNCTION("""COMPUTED_VALUE"""),45852.0)</f>
        <v>45852</v>
      </c>
      <c r="L1179" s="6">
        <v>7.0</v>
      </c>
      <c r="M1179" s="52">
        <v>45859.0</v>
      </c>
      <c r="N1179" s="53" t="s">
        <v>652</v>
      </c>
      <c r="O1179" s="19" t="s">
        <v>1259</v>
      </c>
      <c r="P1179" s="6"/>
      <c r="Q1179" s="6" t="str">
        <f t="shared" si="1"/>
        <v>#N/A</v>
      </c>
      <c r="R1179" s="6"/>
    </row>
    <row r="1180" hidden="1">
      <c r="A1180" s="31" t="str">
        <f>IFERROR(__xludf.DUMMYFUNCTION("""COMPUTED_VALUE"""),"384")</f>
        <v>384</v>
      </c>
      <c r="B1180" s="14" t="str">
        <f>IFERROR(__xludf.DUMMYFUNCTION("""COMPUTED_VALUE"""),"ВНЕ СПИСКА")</f>
        <v>ВНЕ СПИСКА</v>
      </c>
      <c r="C1180" s="14" t="str">
        <f>IFERROR(__xludf.DUMMYFUNCTION("""COMPUTED_VALUE"""),"ОКС")</f>
        <v>ОКС</v>
      </c>
      <c r="D1180" s="6"/>
      <c r="E1180" s="14" t="str">
        <f>IFERROR(__xludf.DUMMYFUNCTION("""COMPUTED_VALUE"""),"Осмотр «стартового» жилого дома в рамках реализации Программы реновации: ЦАО, р-н Басманный, Посланников пер., д. 6   р-н Басманный, Посланников пер., д. 6 ")</f>
        <v>Осмотр «стартового» жилого дома в рамках реализации Программы реновации: ЦАО, р-н Басманный, Посланников пер., д. 6   р-н Басманный, Посланников пер., д. 6 </v>
      </c>
      <c r="F1180" s="25" t="str">
        <f>IFERROR(__xludf.DUMMYFUNCTION("""COMPUTED_VALUE"""),"#N/A")</f>
        <v>#N/A</v>
      </c>
      <c r="G1180" s="6" t="str">
        <f>IFERROR(__xludf.DUMMYFUNCTION("""COMPUTED_VALUE"""),"#N/A")</f>
        <v>#N/A</v>
      </c>
      <c r="H1180" s="18" t="str">
        <f>IFERROR(__xludf.DUMMYFUNCTION("""COMPUTED_VALUE"""),"https://docs.google.com/spreadsheets/d/1EI7qusa674eJhuaw-nWWtWMEHVSYMQv7HLsInEZTWpE/edit?gid=646496469#gid=646496469")</f>
        <v>https://docs.google.com/spreadsheets/d/1EI7qusa674eJhuaw-nWWtWMEHVSYMQv7HLsInEZTWpE/edit?gid=646496469#gid=646496469</v>
      </c>
      <c r="I1180" s="19" t="str">
        <f>IFERROR(__xludf.DUMMYFUNCTION("""COMPUTED_VALUE"""),"https://disk.yandex.ru/client/disk/Осмотры%20объектов%20АНО%20СМГ/384.%20Посланников%20переулок%20влд.%2018")</f>
        <v>https://disk.yandex.ru/client/disk/Осмотры%20объектов%20АНО%20СМГ/384.%20Посланников%20переулок%20влд.%2018</v>
      </c>
      <c r="J1180" s="50">
        <f>IFERROR(__xludf.DUMMYFUNCTION("""COMPUTED_VALUE"""),99.898625)</f>
        <v>99.898625</v>
      </c>
      <c r="K1180" s="58">
        <f>IFERROR(__xludf.DUMMYFUNCTION("""COMPUTED_VALUE"""),45839.0)</f>
        <v>45839</v>
      </c>
      <c r="L1180" s="6">
        <v>7.0</v>
      </c>
      <c r="M1180" s="52">
        <v>45846.0</v>
      </c>
      <c r="N1180" s="53" t="s">
        <v>652</v>
      </c>
      <c r="O1180" s="19" t="s">
        <v>1260</v>
      </c>
      <c r="P1180" s="6"/>
      <c r="Q1180" s="6" t="str">
        <f t="shared" si="1"/>
        <v>#N/A</v>
      </c>
      <c r="R1180" s="6"/>
    </row>
    <row r="1181" hidden="1">
      <c r="A1181" s="31" t="str">
        <f>IFERROR(__xludf.DUMMYFUNCTION("""COMPUTED_VALUE"""),"1139д (этап 1)")</f>
        <v>1139д (этап 1)</v>
      </c>
      <c r="B1181" s="14" t="str">
        <f>IFERROR(__xludf.DUMMYFUNCTION("""COMPUTED_VALUE"""),"АИП-25")</f>
        <v>АИП-25</v>
      </c>
      <c r="C1181" s="14" t="str">
        <f>IFERROR(__xludf.DUMMYFUNCTION("""COMPUTED_VALUE"""),"УДС")</f>
        <v>УДС</v>
      </c>
      <c r="D1181" s="6"/>
      <c r="E1181" s="14" t="str">
        <f>IFERROR(__xludf.DUMMYFUNCTION("""COMPUTED_VALUE"""),"«Реконструкция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промыш"&amp;"ленных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1 г.Москва, ул.Угрешская, д.22")</f>
        <v>«Реконструкция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1 г.Москва, ул.Угрешская, д.22</v>
      </c>
      <c r="F1181" s="25" t="str">
        <f>IFERROR(__xludf.DUMMYFUNCTION("""COMPUTED_VALUE"""),"#N/A")</f>
        <v>#N/A</v>
      </c>
      <c r="G1181" s="6" t="str">
        <f>IFERROR(__xludf.DUMMYFUNCTION("""COMPUTED_VALUE"""),"#N/A")</f>
        <v>#N/A</v>
      </c>
      <c r="H1181" s="6"/>
      <c r="I1181" s="19" t="str">
        <f>IFERROR(__xludf.DUMMYFUNCTION("""COMPUTED_VALUE"""),"https://disk.yandex.ru/client/disk/Осмотры%20объектов%20АНО%20СМГ/1139%20%20Угрешские%20очистные%20сооружения%20Угрешская%2022")</f>
        <v>https://disk.yandex.ru/client/disk/Осмотры%20объектов%20АНО%20СМГ/1139%20%20Угрешские%20очистные%20сооружения%20Угрешская%2022</v>
      </c>
      <c r="J1181" s="50">
        <f>IFERROR(__xludf.DUMMYFUNCTION("""COMPUTED_VALUE"""),93.763)</f>
        <v>93.763</v>
      </c>
      <c r="K1181" s="58">
        <f>IFERROR(__xludf.DUMMYFUNCTION("""COMPUTED_VALUE"""),45887.0)</f>
        <v>45887</v>
      </c>
      <c r="L1181" s="6">
        <v>14.0</v>
      </c>
      <c r="M1181" s="52">
        <v>45901.0</v>
      </c>
      <c r="N1181" s="53" t="s">
        <v>668</v>
      </c>
      <c r="O1181" s="19"/>
      <c r="P1181" s="6"/>
      <c r="Q1181" s="6" t="str">
        <f t="shared" si="1"/>
        <v>#N/A</v>
      </c>
      <c r="R1181" s="6"/>
    </row>
    <row r="1182" hidden="1">
      <c r="A1182" s="31" t="str">
        <f>IFERROR(__xludf.DUMMYFUNCTION("""COMPUTED_VALUE"""),"1139д (этап 2)")</f>
        <v>1139д (этап 2)</v>
      </c>
      <c r="B1182" s="14" t="str">
        <f>IFERROR(__xludf.DUMMYFUNCTION("""COMPUTED_VALUE"""),"АИП-25")</f>
        <v>АИП-25</v>
      </c>
      <c r="C1182" s="14" t="str">
        <f>IFERROR(__xludf.DUMMYFUNCTION("""COMPUTED_VALUE"""),"УДС")</f>
        <v>УДС</v>
      </c>
      <c r="D1182" s="6"/>
      <c r="E1182" s="14" t="str">
        <f>IFERROR(__xludf.DUMMYFUNCTION("""COMPUTED_VALUE"""),"«Реконструкция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промыш"&amp;"ленных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2 г.Москва, ул.Угрешская, д.22")</f>
        <v>«Реконструкция Угрешских очистных сооружений поверхностных и близких к ним по составу производственных сточных вод (1 очередь) и строительство на высвобожденных после реконструкции площадок производства по термическому обезвреживанию коммунальных и промышленных отходов (2 очередь). 1 этап (очередь) – реконструкция Угрешских очистных сооружений поверхностных и близких к ним по составу производственных сточных вод, ул. Угрешская, д. 22»
ЭТАП 2 г.Москва, ул.Угрешская, д.22</v>
      </c>
      <c r="F1182" s="25" t="str">
        <f>IFERROR(__xludf.DUMMYFUNCTION("""COMPUTED_VALUE"""),"#N/A")</f>
        <v>#N/A</v>
      </c>
      <c r="G1182" s="6" t="str">
        <f>IFERROR(__xludf.DUMMYFUNCTION("""COMPUTED_VALUE"""),"#N/A")</f>
        <v>#N/A</v>
      </c>
      <c r="H1182" s="6"/>
      <c r="I1182" s="6" t="str">
        <f>IFERROR(__xludf.DUMMYFUNCTION("""COMPUTED_VALUE"""),"https://disk.yandex.ru/client/disk/Осмотры%20объектов%20АНО%20СМГ/1139%20%20Угрешские%20очистные%20сооружения%20Угрешская%2022")</f>
        <v>https://disk.yandex.ru/client/disk/Осмотры%20объектов%20АНО%20СМГ/1139%20%20Угрешские%20очистные%20сооружения%20Угрешская%2022</v>
      </c>
      <c r="J1182" s="50">
        <f>IFERROR(__xludf.DUMMYFUNCTION("""COMPUTED_VALUE"""),93.1845)</f>
        <v>93.1845</v>
      </c>
      <c r="K1182" s="58">
        <f>IFERROR(__xludf.DUMMYFUNCTION("""COMPUTED_VALUE"""),45954.0)</f>
        <v>45954</v>
      </c>
      <c r="L1182" s="6">
        <v>14.0</v>
      </c>
      <c r="M1182" s="52">
        <v>45968.0</v>
      </c>
      <c r="N1182" s="53" t="s">
        <v>668</v>
      </c>
      <c r="O1182" s="6"/>
      <c r="P1182" s="6"/>
      <c r="Q1182" s="6" t="str">
        <f t="shared" si="1"/>
        <v>#N/A</v>
      </c>
      <c r="R1182" s="6"/>
    </row>
    <row r="1183" hidden="1">
      <c r="A1183" s="31" t="str">
        <f>IFERROR(__xludf.DUMMYFUNCTION("""COMPUTED_VALUE"""),"1175")</f>
        <v>1175</v>
      </c>
      <c r="B1183" s="14" t="str">
        <f>IFERROR(__xludf.DUMMYFUNCTION("""COMPUTED_VALUE"""),"ВНЕ СПИСКА")</f>
        <v>ВНЕ СПИСКА</v>
      </c>
      <c r="C1183" s="14" t="str">
        <f>IFERROR(__xludf.DUMMYFUNCTION("""COMPUTED_VALUE"""),"ОКС")</f>
        <v>ОКС</v>
      </c>
      <c r="D1183" s="6" t="str">
        <f>IFERROR(__xludf.DUMMYFUNCTION("""COMPUTED_VALUE"""),"да")</f>
        <v>да</v>
      </c>
      <c r="E1183" s="14" t="str">
        <f>IFERROR(__xludf.DUMMYFUNCTION("""COMPUTED_VALUE"""),"ДОО на 150 ул. Чоботовская, д.2, стр.5")</f>
        <v>ДОО на 150 ул. Чоботовская, д.2, стр.5</v>
      </c>
      <c r="F1183" s="25" t="str">
        <f>IFERROR(__xludf.DUMMYFUNCTION("""COMPUTED_VALUE"""),"55.644346")</f>
        <v>55.644346</v>
      </c>
      <c r="G1183" s="6" t="str">
        <f>IFERROR(__xludf.DUMMYFUNCTION("""COMPUTED_VALUE"""),"37.359357")</f>
        <v>37.359357</v>
      </c>
      <c r="H1183" s="18" t="str">
        <f>IFERROR(__xludf.DUMMYFUNCTION("""COMPUTED_VALUE"""),"https://docs.google.com/spreadsheets/d/1EI7qusa674eJhuaw-nWWtWMEHVSYMQv7HLsInEZTWpE/edit?gid=60135188#gid=60135188")</f>
        <v>https://docs.google.com/spreadsheets/d/1EI7qusa674eJhuaw-nWWtWMEHVSYMQv7HLsInEZTWpE/edit?gid=60135188#gid=60135188</v>
      </c>
      <c r="I1183" s="6" t="str">
        <f>IFERROR(__xludf.DUMMYFUNCTION("""COMPUTED_VALUE"""),"https://disk.yandex.ru/client/disk/Осмотры%20объектов%20АНО%20СМГ/1175.%20ДОО%20на%20150%20мест%20Чеботовская%20зу%202")</f>
        <v>https://disk.yandex.ru/client/disk/Осмотры%20объектов%20АНО%20СМГ/1175.%20ДОО%20на%20150%20мест%20Чеботовская%20зу%202</v>
      </c>
      <c r="J1183" s="50">
        <f>IFERROR(__xludf.DUMMYFUNCTION("""COMPUTED_VALUE"""),98.71074750000001)</f>
        <v>98.7107475</v>
      </c>
      <c r="K1183" s="58">
        <f>IFERROR(__xludf.DUMMYFUNCTION("""COMPUTED_VALUE"""),45972.0)</f>
        <v>45972</v>
      </c>
      <c r="L1183" s="6">
        <v>7.0</v>
      </c>
      <c r="M1183" s="52">
        <v>45979.0</v>
      </c>
      <c r="N1183" s="53" t="s">
        <v>692</v>
      </c>
      <c r="O1183" s="6" t="s">
        <v>1261</v>
      </c>
      <c r="P1183" s="6"/>
      <c r="Q1183" s="6" t="str">
        <f t="shared" si="1"/>
        <v>#N/A</v>
      </c>
      <c r="R1183" s="6"/>
    </row>
    <row r="1184" hidden="1">
      <c r="A1184" s="31" t="str">
        <f>IFERROR(__xludf.DUMMYFUNCTION("""COMPUTED_VALUE"""),"1178")</f>
        <v>1178</v>
      </c>
      <c r="B1184" s="14" t="str">
        <f>IFERROR(__xludf.DUMMYFUNCTION("""COMPUTED_VALUE"""),"ВНЕ СПИСКА")</f>
        <v>ВНЕ СПИСКА</v>
      </c>
      <c r="C1184" s="14" t="str">
        <f>IFERROR(__xludf.DUMMYFUNCTION("""COMPUTED_VALUE"""),"ОКС")</f>
        <v>ОКС</v>
      </c>
      <c r="D1184" s="6" t="str">
        <f>IFERROR(__xludf.DUMMYFUNCTION("""COMPUTED_VALUE"""),"да")</f>
        <v>да</v>
      </c>
      <c r="E1184" s="14" t="str">
        <f>IFERROR(__xludf.DUMMYFUNCTION("""COMPUTED_VALUE"""),"Общеобразовательная школа №1 на 850 мест Волоколамское шоссе уч. 71/14 (город Москва, вн. тер.г. муниципальный округ Покровское-Стрешнево, улица Николая Озерова, земельный участок 8)")</f>
        <v>Общеобразовательная школа №1 на 850 мест Волоколамское шоссе уч. 71/14 (город Москва, вн. тер.г. муниципальный округ Покровское-Стрешнево, улица Николая Озерова, земельный участок 8)</v>
      </c>
      <c r="F1184" s="25" t="str">
        <f>IFERROR(__xludf.DUMMYFUNCTION("""COMPUTED_VALUE"""),"55.81402855891889")</f>
        <v>55.81402855891889</v>
      </c>
      <c r="G1184" s="6" t="str">
        <f>IFERROR(__xludf.DUMMYFUNCTION("""COMPUTED_VALUE"""),"37.428749835997806")</f>
        <v>37.428749835997806</v>
      </c>
      <c r="H1184" s="18" t="str">
        <f>IFERROR(__xludf.DUMMYFUNCTION("""COMPUTED_VALUE"""),"https://docs.google.com/spreadsheets/d/1EI7qusa674eJhuaw-nWWtWMEHVSYMQv7HLsInEZTWpE/edit?gid=623093467#gid=623093467")</f>
        <v>https://docs.google.com/spreadsheets/d/1EI7qusa674eJhuaw-nWWtWMEHVSYMQv7HLsInEZTWpE/edit?gid=623093467#gid=623093467</v>
      </c>
      <c r="I1184" s="19" t="str">
        <f>IFERROR(__xludf.DUMMYFUNCTION("""COMPUTED_VALUE"""),"https://disk.yandex.ru/client/disk/Осмотры%20объектов%20АНО%20СМГ/1178%20Волоколамское%20шоссе%2C%20вл.%2071%2014%20Школа%20на%20850%20мест")</f>
        <v>https://disk.yandex.ru/client/disk/Осмотры%20объектов%20АНО%20СМГ/1178%20Волоколамское%20шоссе%2C%20вл.%2071%2014%20Школа%20на%20850%20мест</v>
      </c>
      <c r="J1184" s="50">
        <f>IFERROR(__xludf.DUMMYFUNCTION("""COMPUTED_VALUE"""),94.0851075)</f>
        <v>94.0851075</v>
      </c>
      <c r="K1184" s="58">
        <f>IFERROR(__xludf.DUMMYFUNCTION("""COMPUTED_VALUE"""),45974.0)</f>
        <v>45974</v>
      </c>
      <c r="L1184" s="6">
        <v>7.0</v>
      </c>
      <c r="M1184" s="52">
        <v>45981.0</v>
      </c>
      <c r="N1184" s="53" t="s">
        <v>711</v>
      </c>
      <c r="O1184" s="19" t="s">
        <v>1262</v>
      </c>
      <c r="P1184" s="6"/>
      <c r="Q1184" s="6" t="str">
        <f t="shared" si="1"/>
        <v>#N/A</v>
      </c>
      <c r="R1184" s="6"/>
    </row>
    <row r="1185" hidden="1">
      <c r="A1185" s="31" t="str">
        <f>IFERROR(__xludf.DUMMYFUNCTION("""COMPUTED_VALUE"""),"1138д")</f>
        <v>1138д</v>
      </c>
      <c r="B1185" s="14" t="str">
        <f>IFERROR(__xludf.DUMMYFUNCTION("""COMPUTED_VALUE"""),"ВНЕ СПИСКА")</f>
        <v>ВНЕ СПИСКА</v>
      </c>
      <c r="C1185" s="14" t="str">
        <f>IFERROR(__xludf.DUMMYFUNCTION("""COMPUTED_VALUE"""),"УДС")</f>
        <v>УДС</v>
      </c>
      <c r="D1185" s="6"/>
      <c r="E1185" s="14" t="str">
        <f>IFERROR(__xludf.DUMMYFUNCTION("""COMPUTED_VALUE"""),"Реконструкция мостового перехода на Ленинградском ш. через канал имени Москвы. 2 пусковой комплекс, очистные сооружения дождевой канализации ЛЕНИНГРАДСКИЙ ПР-Т - ЛЕНИНГРАДСКОЕ Ш. (2ПК)")</f>
        <v>Реконструкция мостового перехода на Ленинградском ш. через канал имени Москвы. 2 пусковой комплекс, очистные сооружения дождевой канализации ЛЕНИНГРАДСКИЙ ПР-Т - ЛЕНИНГРАДСКОЕ Ш. (2ПК)</v>
      </c>
      <c r="F1185" s="25" t="str">
        <f>IFERROR(__xludf.DUMMYFUNCTION("""COMPUTED_VALUE"""),"#N/A")</f>
        <v>#N/A</v>
      </c>
      <c r="G1185" s="6" t="str">
        <f>IFERROR(__xludf.DUMMYFUNCTION("""COMPUTED_VALUE"""),"#N/A")</f>
        <v>#N/A</v>
      </c>
      <c r="H1185" s="6"/>
      <c r="I1185" s="19"/>
      <c r="J1185" s="50">
        <f>IFERROR(__xludf.DUMMYFUNCTION("""COMPUTED_VALUE"""),55.525000000000006)</f>
        <v>55.525</v>
      </c>
      <c r="K1185" s="58">
        <f>IFERROR(__xludf.DUMMYFUNCTION("""COMPUTED_VALUE"""),45777.0)</f>
        <v>45777</v>
      </c>
      <c r="L1185" s="6">
        <v>14.0</v>
      </c>
      <c r="M1185" s="52">
        <v>45791.0</v>
      </c>
      <c r="N1185" s="53" t="s">
        <v>668</v>
      </c>
      <c r="O1185" s="19" t="s">
        <v>1263</v>
      </c>
      <c r="P1185" s="6"/>
      <c r="Q1185" s="6" t="str">
        <f t="shared" si="1"/>
        <v>#N/A</v>
      </c>
      <c r="R1185" s="6"/>
    </row>
    <row r="1186" hidden="1">
      <c r="A1186" s="70" t="str">
        <f>IFERROR(__xludf.DUMMYFUNCTION("""COMPUTED_VALUE"""),"1314")</f>
        <v>1314</v>
      </c>
      <c r="B1186" s="14" t="str">
        <f>IFERROR(__xludf.DUMMYFUNCTION("""COMPUTED_VALUE"""),"ВНЕ СПИСКА")</f>
        <v>ВНЕ СПИСКА</v>
      </c>
      <c r="C1186" s="14" t="str">
        <f>IFERROR(__xludf.DUMMYFUNCTION("""COMPUTED_VALUE"""),"ОКС")</f>
        <v>ОКС</v>
      </c>
      <c r="D1186" s="6"/>
      <c r="E1186" s="14" t="str">
        <f>IFERROR(__xludf.DUMMYFUNCTION("""COMPUTED_VALUE"""),"Строительство магистральной улицы районного значения «город Московский - станция метро ""Филатов Луг». Этап 2 (ЛОС №1, ЛОС №2) Москва, п. Московский ")</f>
        <v>Строительство магистральной улицы районного значения «город Московский - станция метро "Филатов Луг». Этап 2 (ЛОС №1, ЛОС №2) Москва, п. Московский </v>
      </c>
      <c r="F1186" s="25" t="str">
        <f>IFERROR(__xludf.DUMMYFUNCTION("""COMPUTED_VALUE"""),"#N/A")</f>
        <v>#N/A</v>
      </c>
      <c r="G1186" s="6" t="str">
        <f>IFERROR(__xludf.DUMMYFUNCTION("""COMPUTED_VALUE"""),"#N/A")</f>
        <v>#N/A</v>
      </c>
      <c r="H1186" s="18" t="str">
        <f>IFERROR(__xludf.DUMMYFUNCTION("""COMPUTED_VALUE"""),"https://docs.google.com/spreadsheets/d/1EI7qusa674eJhuaw-nWWtWMEHVSYMQv7HLsInEZTWpE/edit?gid=1947907600#gid=1947907600")</f>
        <v>https://docs.google.com/spreadsheets/d/1EI7qusa674eJhuaw-nWWtWMEHVSYMQv7HLsInEZTWpE/edit?gid=1947907600#gid=1947907600</v>
      </c>
      <c r="I1186" s="6"/>
      <c r="J1186" s="50">
        <f>IFERROR(__xludf.DUMMYFUNCTION("""COMPUTED_VALUE"""),62.3)</f>
        <v>62.3</v>
      </c>
      <c r="K1186" s="58">
        <f>IFERROR(__xludf.DUMMYFUNCTION("""COMPUTED_VALUE"""),45919.0)</f>
        <v>45919</v>
      </c>
      <c r="L1186" s="6">
        <v>14.0</v>
      </c>
      <c r="M1186" s="52">
        <v>45933.0</v>
      </c>
      <c r="N1186" s="53" t="s">
        <v>668</v>
      </c>
      <c r="O1186" s="6" t="s">
        <v>1264</v>
      </c>
      <c r="P1186" s="6"/>
      <c r="Q1186" s="6" t="str">
        <f t="shared" si="1"/>
        <v>#N/A</v>
      </c>
      <c r="R1186" s="6"/>
    </row>
    <row r="1187" hidden="1">
      <c r="A1187" s="31" t="str">
        <f>IFERROR(__xludf.DUMMYFUNCTION("""COMPUTED_VALUE"""),"1202")</f>
        <v>1202</v>
      </c>
      <c r="B1187" s="14" t="str">
        <f>IFERROR(__xludf.DUMMYFUNCTION("""COMPUTED_VALUE"""),"ВНЕ СПИСКА")</f>
        <v>ВНЕ СПИСКА</v>
      </c>
      <c r="C1187" s="14" t="str">
        <f>IFERROR(__xludf.DUMMYFUNCTION("""COMPUTED_VALUE"""),"ОКС")</f>
        <v>ОКС</v>
      </c>
      <c r="D1187" s="6" t="str">
        <f>IFERROR(__xludf.DUMMYFUNCTION("""COMPUTED_VALUE"""),"да")</f>
        <v>да</v>
      </c>
      <c r="E1187" s="14" t="str">
        <f>IFERROR(__xludf.DUMMYFUNCTION("""COMPUTED_VALUE"""),"Дворец спорта для команд АО ФК «Спартак-Москва» Волоколамское шоссе, вл. 69")</f>
        <v>Дворец спорта для команд АО ФК «Спартак-Москва» Волоколамское шоссе, вл. 69</v>
      </c>
      <c r="F1187" s="25" t="str">
        <f>IFERROR(__xludf.DUMMYFUNCTION("""COMPUTED_VALUE"""),"55.815362")</f>
        <v>55.815362</v>
      </c>
      <c r="G1187" s="6" t="str">
        <f>IFERROR(__xludf.DUMMYFUNCTION("""COMPUTED_VALUE"""),"37.441073")</f>
        <v>37.441073</v>
      </c>
      <c r="H1187" s="18" t="str">
        <f>IFERROR(__xludf.DUMMYFUNCTION("""COMPUTED_VALUE"""),"https://docs.google.com/spreadsheets/d/1EI7qusa674eJhuaw-nWWtWMEHVSYMQv7HLsInEZTWpE/edit?gid=314696825#gid=314696825")</f>
        <v>https://docs.google.com/spreadsheets/d/1EI7qusa674eJhuaw-nWWtWMEHVSYMQv7HLsInEZTWpE/edit?gid=314696825#gid=314696825</v>
      </c>
      <c r="I1187" s="19" t="str">
        <f>IFERROR(__xludf.DUMMYFUNCTION("""COMPUTED_VALUE"""),"https://disk.yandex.ru/client/disk/Осмотры%20объектов%20АНО%20СМГ/1_Дежурство%2008-09.05.2025%20(Инвестиционное%20строительство)/1202.%20Дворец%20спорта%20для%20%20команд%20АО%20ФК%20«Спартак-Москва»")</f>
        <v>https://disk.yandex.ru/client/disk/Осмотры%20объектов%20АНО%20СМГ/1_Дежурство%2008-09.05.2025%20(Инвестиционное%20строительство)/1202.%20Дворец%20спорта%20для%20%20команд%20АО%20ФК%20«Спартак-Москва»</v>
      </c>
      <c r="J1187" s="50">
        <f>IFERROR(__xludf.DUMMYFUNCTION("""COMPUTED_VALUE"""),0.0)</f>
        <v>0</v>
      </c>
      <c r="K1187" s="58">
        <f>IFERROR(__xludf.DUMMYFUNCTION("""COMPUTED_VALUE"""),45966.0)</f>
        <v>45966</v>
      </c>
      <c r="L1187" s="6">
        <v>30.0</v>
      </c>
      <c r="M1187" s="52">
        <v>45996.0</v>
      </c>
      <c r="N1187" s="53" t="s">
        <v>711</v>
      </c>
      <c r="O1187" s="19"/>
      <c r="P1187" s="6"/>
      <c r="Q1187" s="6" t="str">
        <f t="shared" si="1"/>
        <v>#N/A</v>
      </c>
      <c r="R1187" s="6"/>
    </row>
    <row r="1188" hidden="1">
      <c r="A1188" s="31" t="str">
        <f>IFERROR(__xludf.DUMMYFUNCTION("""COMPUTED_VALUE"""),"1203")</f>
        <v>1203</v>
      </c>
      <c r="B1188" s="14" t="str">
        <f>IFERROR(__xludf.DUMMYFUNCTION("""COMPUTED_VALUE"""),"ВНЕ СПИСКА")</f>
        <v>ВНЕ СПИСКА</v>
      </c>
      <c r="C1188" s="14" t="str">
        <f>IFERROR(__xludf.DUMMYFUNCTION("""COMPUTED_VALUE"""),"ОКС")</f>
        <v>ОКС</v>
      </c>
      <c r="D1188" s="6"/>
      <c r="E1188" s="14" t="str">
        <f>IFERROR(__xludf.DUMMYFUNCTION("""COMPUTED_VALUE"""),"Новые корпуса Московской государственной онкологической больницы МГОБ № 62 Старопетровский проезд, 6с2")</f>
        <v>Новые корпуса Московской государственной онкологической больницы МГОБ № 62 Старопетровский проезд, 6с2</v>
      </c>
      <c r="F1188" s="25" t="str">
        <f>IFERROR(__xludf.DUMMYFUNCTION("""COMPUTED_VALUE"""),"#N/A")</f>
        <v>#N/A</v>
      </c>
      <c r="G1188" s="6" t="str">
        <f>IFERROR(__xludf.DUMMYFUNCTION("""COMPUTED_VALUE"""),"#N/A")</f>
        <v>#N/A</v>
      </c>
      <c r="H1188" s="18" t="str">
        <f>IFERROR(__xludf.DUMMYFUNCTION("""COMPUTED_VALUE"""),"https://docs.google.com/spreadsheets/d/1EI7qusa674eJhuaw-nWWtWMEHVSYMQv7HLsInEZTWpE/edit?gid=1548843983#gid=1548843983")</f>
        <v>https://docs.google.com/spreadsheets/d/1EI7qusa674eJhuaw-nWWtWMEHVSYMQv7HLsInEZTWpE/edit?gid=1548843983#gid=1548843983</v>
      </c>
      <c r="I1188" s="19" t="str">
        <f>IFERROR(__xludf.DUMMYFUNCTION("""COMPUTED_VALUE"""),"https://disk.yandex.ru/client/disk/Осмотры%20объектов%20АНО%20СМГ/1_Дежурство%2008-09.05.2025%20(Инвестиционное%20строительство)/1203.%20Новые%20корпуса%20Московской%20государственной%20онкологической%20больницы%20МГОБ%20№%2062")</f>
        <v>https://disk.yandex.ru/client/disk/Осмотры%20объектов%20АНО%20СМГ/1_Дежурство%2008-09.05.2025%20(Инвестиционное%20строительство)/1203.%20Новые%20корпуса%20Московской%20государственной%20онкологической%20больницы%20МГОБ%20№%2062</v>
      </c>
      <c r="J1188" s="50">
        <f>IFERROR(__xludf.DUMMYFUNCTION("""COMPUTED_VALUE"""),0.0)</f>
        <v>0</v>
      </c>
      <c r="K1188" s="58">
        <f>IFERROR(__xludf.DUMMYFUNCTION("""COMPUTED_VALUE"""),45785.0)</f>
        <v>45785</v>
      </c>
      <c r="L1188" s="6">
        <v>30.0</v>
      </c>
      <c r="M1188" s="52">
        <v>45815.0</v>
      </c>
      <c r="N1188" s="53" t="s">
        <v>668</v>
      </c>
      <c r="O1188" s="19"/>
      <c r="P1188" s="6"/>
      <c r="Q1188" s="6" t="str">
        <f t="shared" si="1"/>
        <v>#N/A</v>
      </c>
      <c r="R1188" s="6"/>
    </row>
    <row r="1189" hidden="1">
      <c r="A1189" s="31" t="str">
        <f>IFERROR(__xludf.DUMMYFUNCTION("""COMPUTED_VALUE"""),"1204")</f>
        <v>1204</v>
      </c>
      <c r="B1189" s="14" t="str">
        <f>IFERROR(__xludf.DUMMYFUNCTION("""COMPUTED_VALUE"""),"ВНЕ СПИСКА")</f>
        <v>ВНЕ СПИСКА</v>
      </c>
      <c r="C1189" s="14" t="str">
        <f>IFERROR(__xludf.DUMMYFUNCTION("""COMPUTED_VALUE"""),"ОКС")</f>
        <v>ОКС</v>
      </c>
      <c r="D1189" s="6" t="str">
        <f>IFERROR(__xludf.DUMMYFUNCTION("""COMPUTED_VALUE"""),"да")</f>
        <v>да</v>
      </c>
      <c r="E1189" s="14" t="str">
        <f>IFERROR(__xludf.DUMMYFUNCTION("""COMPUTED_VALUE"""),"Поликлиника на 560 посещений в смену ЮАО, район Люблино, ул. Люблинская, вл. 72, ")</f>
        <v>Поликлиника на 560 посещений в смену ЮАО, район Люблино, ул. Люблинская, вл. 72, </v>
      </c>
      <c r="F1189" s="25" t="str">
        <f>IFERROR(__xludf.DUMMYFUNCTION("""COMPUTED_VALUE"""),"#N/A")</f>
        <v>#N/A</v>
      </c>
      <c r="G1189" s="6" t="str">
        <f>IFERROR(__xludf.DUMMYFUNCTION("""COMPUTED_VALUE"""),"#N/A")</f>
        <v>#N/A</v>
      </c>
      <c r="H1189" s="18" t="str">
        <f>IFERROR(__xludf.DUMMYFUNCTION("""COMPUTED_VALUE"""),"https://docs.google.com/spreadsheets/d/1EI7qusa674eJhuaw-nWWtWMEHVSYMQv7HLsInEZTWpE/edit?gid=1990935127#gid=1990935127")</f>
        <v>https://docs.google.com/spreadsheets/d/1EI7qusa674eJhuaw-nWWtWMEHVSYMQv7HLsInEZTWpE/edit?gid=1990935127#gid=1990935127</v>
      </c>
      <c r="I1189"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1204.%20%D0%9F%D0%BE%D0%BB%D0%B8%D0%BA%D0%BB%D0%B8%D0%BD%D0%B8%D0%BA%D0%B0%20%D0%BD%D0%B0%20560%"&amp;"20%D0%BF%D0%BE%D1%81%D0%B5%D1%89%D0%B5%D0%BD%D0%B8%D0%B9%20%D0%B2%20%D1%81%D0%BC%D0%B5%D0%BD%D1%83%20%D0%AE%D0%90%D0%9E%2C%20%D1%80%D0%B0%D0%B9%D0%BE%D0%BD%20%D0%9B%D1%8E%D0%B1%D0%BB%D0%B8%D0%BD%D0%BE%2C%20%D1%83%D0%BB.%20%D0%9B%D1%8E%D0%B1%D0%BB%D0%B8%D0"&amp;"%BD%D1%81%D0%BA%D0%B0%D1%8F%2C%20%D0%B2%D0%BB.%2072%2C%20")</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1204.%20%D0%9F%D0%BE%D0%BB%D0%B8%D0%BA%D0%BB%D0%B8%D0%BD%D0%B8%D0%BA%D0%B0%20%D0%BD%D0%B0%20560%20%D0%BF%D0%BE%D1%81%D0%B5%D1%89%D0%B5%D0%BD%D0%B8%D0%B9%20%D0%B2%20%D1%81%D0%BC%D0%B5%D0%BD%D1%83%20%D0%AE%D0%90%D0%9E%2C%20%D1%80%D0%B0%D0%B9%D0%BE%D0%BD%20%D0%9B%D1%8E%D0%B1%D0%BB%D0%B8%D0%BD%D0%BE%2C%20%D1%83%D0%BB.%20%D0%9B%D1%8E%D0%B1%D0%BB%D0%B8%D0%BD%D1%81%D0%BA%D0%B0%D1%8F%2C%20%D0%B2%D0%BB.%2072%2C%20</v>
      </c>
      <c r="J1189" s="50">
        <f>IFERROR(__xludf.DUMMYFUNCTION("""COMPUTED_VALUE"""),0.0)</f>
        <v>0</v>
      </c>
      <c r="K1189" s="58">
        <f>IFERROR(__xludf.DUMMYFUNCTION("""COMPUTED_VALUE"""),45785.0)</f>
        <v>45785</v>
      </c>
      <c r="L1189" s="6">
        <v>30.0</v>
      </c>
      <c r="M1189" s="52">
        <v>45815.0</v>
      </c>
      <c r="N1189" s="53" t="s">
        <v>668</v>
      </c>
      <c r="O1189" s="19"/>
      <c r="P1189" s="6"/>
      <c r="Q1189" s="6" t="str">
        <f t="shared" si="1"/>
        <v>#N/A</v>
      </c>
      <c r="R1189" s="6"/>
    </row>
    <row r="1190" hidden="1">
      <c r="A1190" s="31" t="str">
        <f>IFERROR(__xludf.DUMMYFUNCTION("""COMPUTED_VALUE"""),"1205")</f>
        <v>1205</v>
      </c>
      <c r="B1190" s="14" t="str">
        <f>IFERROR(__xludf.DUMMYFUNCTION("""COMPUTED_VALUE"""),"ВНЕ СПИСКА")</f>
        <v>ВНЕ СПИСКА</v>
      </c>
      <c r="C1190" s="14" t="str">
        <f>IFERROR(__xludf.DUMMYFUNCTION("""COMPUTED_VALUE"""),"ОКС")</f>
        <v>ОКС</v>
      </c>
      <c r="D1190" s="6" t="str">
        <f>IFERROR(__xludf.DUMMYFUNCTION("""COMPUTED_VALUE"""),"да")</f>
        <v>да</v>
      </c>
      <c r="E1190" s="14" t="str">
        <f>IFERROR(__xludf.DUMMYFUNCTION("""COMPUTED_VALUE"""),"Поликлиника на 560 посещений в смену НАО, Щербинка, пос. Рязановское, с. Остафьево,, ул. Любучанская, з/у 13 ")</f>
        <v>Поликлиника на 560 посещений в смену НАО, Щербинка, пос. Рязановское, с. Остафьево,, ул. Любучанская, з/у 13 </v>
      </c>
      <c r="F1190" s="25" t="str">
        <f>IFERROR(__xludf.DUMMYFUNCTION("""COMPUTED_VALUE"""),"#N/A")</f>
        <v>#N/A</v>
      </c>
      <c r="G1190" s="6" t="str">
        <f>IFERROR(__xludf.DUMMYFUNCTION("""COMPUTED_VALUE"""),"#N/A")</f>
        <v>#N/A</v>
      </c>
      <c r="H1190" s="18" t="str">
        <f>IFERROR(__xludf.DUMMYFUNCTION("""COMPUTED_VALUE"""),"https://docs.google.com/spreadsheets/d/1EI7qusa674eJhuaw-nWWtWMEHVSYMQv7HLsInEZTWpE/edit?gid=469869658#gid=469869658")</f>
        <v>https://docs.google.com/spreadsheets/d/1EI7qusa674eJhuaw-nWWtWMEHVSYMQv7HLsInEZTWpE/edit?gid=469869658#gid=469869658</v>
      </c>
      <c r="I1190" s="19" t="str">
        <f>IFERROR(__xludf.DUMMYFUNCTION("""COMPUTED_VALUE"""),"https://disk.yandex.ru/client/disk/Осмотры%20объектов%20АНО%20СМГ/1_Дежурство%2008-09.05.2025%20(Инвестиционное%20строительство)/1205.%20Поликлиника%20на%20560%20посещений%20в%20смену%20НАО%2C%20Щербинка%2C%20пос.%20Рязановское%2C%20с.%20Остафьево%2C%2C%2"&amp;"0ул.%20Любучанская%2C%20зу%2013")</f>
        <v>https://disk.yandex.ru/client/disk/Осмотры%20объектов%20АНО%20СМГ/1_Дежурство%2008-09.05.2025%20(Инвестиционное%20строительство)/1205.%20Поликлиника%20на%20560%20посещений%20в%20смену%20НАО%2C%20Щербинка%2C%20пос.%20Рязановское%2C%20с.%20Остафьево%2C%2C%20ул.%20Любучанская%2C%20зу%2013</v>
      </c>
      <c r="J1190" s="50">
        <f>IFERROR(__xludf.DUMMYFUNCTION("""COMPUTED_VALUE"""),0.0)</f>
        <v>0</v>
      </c>
      <c r="K1190" s="58">
        <f>IFERROR(__xludf.DUMMYFUNCTION("""COMPUTED_VALUE"""),45785.0)</f>
        <v>45785</v>
      </c>
      <c r="L1190" s="6">
        <v>30.0</v>
      </c>
      <c r="M1190" s="52">
        <v>45815.0</v>
      </c>
      <c r="N1190" s="53" t="s">
        <v>668</v>
      </c>
      <c r="O1190" s="19"/>
      <c r="P1190" s="6"/>
      <c r="Q1190" s="6" t="str">
        <f t="shared" si="1"/>
        <v>#N/A</v>
      </c>
      <c r="R1190" s="6"/>
    </row>
    <row r="1191" hidden="1">
      <c r="A1191" s="31" t="str">
        <f>IFERROR(__xludf.DUMMYFUNCTION("""COMPUTED_VALUE"""),"059")</f>
        <v>059</v>
      </c>
      <c r="B1191" s="14" t="str">
        <f>IFERROR(__xludf.DUMMYFUNCTION("""COMPUTED_VALUE"""),"ВНЕ СПИСКА")</f>
        <v>ВНЕ СПИСКА</v>
      </c>
      <c r="C1191" s="14" t="str">
        <f>IFERROR(__xludf.DUMMYFUNCTION("""COMPUTED_VALUE"""),"ОКС")</f>
        <v>ОКС</v>
      </c>
      <c r="D1191" s="6" t="str">
        <f>IFERROR(__xludf.DUMMYFUNCTION("""COMPUTED_VALUE"""),"да")</f>
        <v>да</v>
      </c>
      <c r="E1191" s="14" t="str">
        <f>IFERROR(__xludf.DUMMYFUNCTION("""COMPUTED_VALUE"""),"Образовательный комплекс (СОШ 1350, ДОУ 350) ТАО, р-н Троицк, п. Десёновское, квартал 4  п. Десеновское, кв-л 4, р-н Троицк")</f>
        <v>Образовательный комплекс (СОШ 1350, ДОУ 350) ТАО, р-н Троицк, п. Десёновское, квартал 4  п. Десеновское, кв-л 4, р-н Троицк</v>
      </c>
      <c r="F1191" s="25" t="str">
        <f>IFERROR(__xludf.DUMMYFUNCTION("""COMPUTED_VALUE"""),"#N/A")</f>
        <v>#N/A</v>
      </c>
      <c r="G1191" s="6" t="str">
        <f>IFERROR(__xludf.DUMMYFUNCTION("""COMPUTED_VALUE"""),"#N/A")</f>
        <v>#N/A</v>
      </c>
      <c r="H1191" s="18" t="str">
        <f>IFERROR(__xludf.DUMMYFUNCTION("""COMPUTED_VALUE"""),"https://docs.google.com/spreadsheets/d/1EI7qusa674eJhuaw-nWWtWMEHVSYMQv7HLsInEZTWpE/edit?gid=1873773807#gid=1873773807")</f>
        <v>https://docs.google.com/spreadsheets/d/1EI7qusa674eJhuaw-nWWtWMEHVSYMQv7HLsInEZTWpE/edit?gid=1873773807#gid=1873773807</v>
      </c>
      <c r="I1191" s="21" t="str">
        <f>IFERROR(__xludf.DUMMYFUNCTION("""COMPUTED_VALUE"""),"https://disk.yandex.ru/client/disk/%D0%9E%D1%81%D0%BC%D0%BE%D1%82%D1%80%D1%8B%20%D0%BE%D0%B1%D1%8A%D0%B5%D0%BA%D1%82%D0%BE%D0%B2%20%D0%90%D0%9D%D0%9E%20%D0%A1%D0%9C%D0%93/059.%20%D0%9E%D0%B1%D1%80%D0%B0%D0%B7%D0%BE%D0%B2%D0%B0%D1%82%D0%B5%D0%BB%D1%8C%D0%B"&amp;"D%D1%8B%D0%B9%20%D0%BA%D0%BE%D0%BC%D0%BF%D0%BB%D0%B5%D0%BA%D1%81%20(%D0%A1%D0%9E%D0%A8%201350%2C%20%D0%94%D0%9E%D0%A3%20350)%20%D0%9D%D0%90%D0%9E%2C%20%D0%BF.%20%D0%94%D0%B5%D1%81%D0%B5%D0%BD%D0%BE%D0%B2%D1%81%D0%BA%D0%BE%D0%B5%2C%20%D0%96%D0%9A%20%C2%AB%"&amp;"D0%9D%D0%BE%D0%B2%D1%8B%D0%B5%20%D0%92%D0%B0%D1%82%D1%83%D1%82%D0%B8%D0%BD%D0%BA%D0%B8%C2%BB%20(%D0%BC%D0%BA%D1%80.%20%C2%AB%D0%94%D0%B5%D1%81%D0%BD%D0%B0%C2%BB)")</f>
        <v>https://disk.yandex.ru/client/disk/%D0%9E%D1%81%D0%BC%D0%BE%D1%82%D1%80%D1%8B%20%D0%BE%D0%B1%D1%8A%D0%B5%D0%BA%D1%82%D0%BE%D0%B2%20%D0%90%D0%9D%D0%9E%20%D0%A1%D0%9C%D0%93/059.%20%D0%9E%D0%B1%D1%80%D0%B0%D0%B7%D0%BE%D0%B2%D0%B0%D1%82%D0%B5%D0%BB%D1%8C%D0%BD%D1%8B%D0%B9%20%D0%BA%D0%BE%D0%BC%D0%BF%D0%BB%D0%B5%D0%BA%D1%81%20(%D0%A1%D0%9E%D0%A8%201350%2C%20%D0%94%D0%9E%D0%A3%20350)%20%D0%9D%D0%90%D0%9E%2C%20%D0%BF.%20%D0%94%D0%B5%D1%81%D0%B5%D0%BD%D0%BE%D0%B2%D1%81%D0%BA%D0%BE%D0%B5%2C%20%D0%96%D0%9A%20%C2%AB%D0%9D%D0%BE%D0%B2%D1%8B%D0%B5%20%D0%92%D0%B0%D1%82%D1%83%D1%82%D0%B8%D0%BD%D0%BA%D0%B8%C2%BB%20(%D0%BC%D0%BA%D1%80.%20%C2%AB%D0%94%D0%B5%D1%81%D0%BD%D0%B0%C2%BB)</v>
      </c>
      <c r="J1191" s="50">
        <f>IFERROR(__xludf.DUMMYFUNCTION("""COMPUTED_VALUE"""),25.0)</f>
        <v>25</v>
      </c>
      <c r="K1191" s="58">
        <f>IFERROR(__xludf.DUMMYFUNCTION("""COMPUTED_VALUE"""),45840.0)</f>
        <v>45840</v>
      </c>
      <c r="L1191" s="6">
        <v>30.0</v>
      </c>
      <c r="M1191" s="52">
        <v>45870.0</v>
      </c>
      <c r="N1191" s="53" t="s">
        <v>668</v>
      </c>
      <c r="O1191" s="19" t="s">
        <v>669</v>
      </c>
      <c r="P1191" s="6"/>
      <c r="Q1191" s="6" t="str">
        <f t="shared" si="1"/>
        <v>#N/A</v>
      </c>
      <c r="R1191" s="6"/>
    </row>
    <row r="1192" hidden="1">
      <c r="A1192" s="31" t="str">
        <f>IFERROR(__xludf.DUMMYFUNCTION("""COMPUTED_VALUE"""),"1208")</f>
        <v>1208</v>
      </c>
      <c r="B1192" s="14" t="str">
        <f>IFERROR(__xludf.DUMMYFUNCTION("""COMPUTED_VALUE"""),"ВНЕ СПИСКА")</f>
        <v>ВНЕ СПИСКА</v>
      </c>
      <c r="C1192" s="14" t="str">
        <f>IFERROR(__xludf.DUMMYFUNCTION("""COMPUTED_VALUE"""),"ОКС")</f>
        <v>ОКС</v>
      </c>
      <c r="D1192" s="6" t="str">
        <f>IFERROR(__xludf.DUMMYFUNCTION("""COMPUTED_VALUE"""),"да")</f>
        <v>да</v>
      </c>
      <c r="E1192" s="14" t="str">
        <f>IFERROR(__xludf.DUMMYFUNCTION("""COMPUTED_VALUE"""),"Образовательный комплекс на 1575 мест, САО, Молжаниновский САО, р-н Молжаниновский, Ленинградское, ш. з/у 13, з/у 202 САО, р-н Молжаниновский, Ленинградское, ш. з/у 13, з/у 202")</f>
        <v>Образовательный комплекс на 1575 мест, САО, Молжаниновский САО, р-н Молжаниновский, Ленинградское, ш. з/у 13, з/у 202 САО, р-н Молжаниновский, Ленинградское, ш. з/у 13, з/у 202</v>
      </c>
      <c r="F1192" s="25" t="str">
        <f>IFERROR(__xludf.DUMMYFUNCTION("""COMPUTED_VALUE"""),"55.933586")</f>
        <v>55.933586</v>
      </c>
      <c r="G1192" s="6" t="str">
        <f>IFERROR(__xludf.DUMMYFUNCTION("""COMPUTED_VALUE"""),"37.369815")</f>
        <v>37.369815</v>
      </c>
      <c r="H1192" s="18" t="str">
        <f>IFERROR(__xludf.DUMMYFUNCTION("""COMPUTED_VALUE"""),"https://docs.google.com/spreadsheets/d/1EI7qusa674eJhuaw-nWWtWMEHVSYMQv7HLsInEZTWpE/edit?gid=189831964#gid=189831964")</f>
        <v>https://docs.google.com/spreadsheets/d/1EI7qusa674eJhuaw-nWWtWMEHVSYMQv7HLsInEZTWpE/edit?gid=189831964#gid=189831964</v>
      </c>
      <c r="I1192"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1208.%20%D0%9E%D0%B1%D1%80%D0%B0%D0%B7%D0%BE%D0%B2%D0%B0%D1%82%D0%B5%D0%BB%D1%8C%D0%BD%D1%8B%D0%"&amp;"B9%20%D0%BA%D0%BE%D0%BC%D0%BF%D0%BB%D0%B5%D0%BA%D1%81%20%D0%BD%D0%B0%201575%20%D0%BC%D0%B5%D1%81%D1%82%2C%20%D0%A1%D0%90%D0%9E%2C%20%D0%9C%D0%BE%D0%BB%D0%B6%D0%B0%D0%BD%D0%B8%D0%BD%D0%BE%D0%B2%D1%81%D0%BA%D0%B8%D0%B9")</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1208.%20%D0%9E%D0%B1%D1%80%D0%B0%D0%B7%D0%BE%D0%B2%D0%B0%D1%82%D0%B5%D0%BB%D1%8C%D0%BD%D1%8B%D0%B9%20%D0%BA%D0%BE%D0%BC%D0%BF%D0%BB%D0%B5%D0%BA%D1%81%20%D0%BD%D0%B0%201575%20%D0%BC%D0%B5%D1%81%D1%82%2C%20%D0%A1%D0%90%D0%9E%2C%20%D0%9C%D0%BE%D0%BB%D0%B6%D0%B0%D0%BD%D0%B8%D0%BD%D0%BE%D0%B2%D1%81%D0%BA%D0%B8%D0%B9</v>
      </c>
      <c r="J1192" s="50">
        <f>IFERROR(__xludf.DUMMYFUNCTION("""COMPUTED_VALUE"""),31.314585)</f>
        <v>31.314585</v>
      </c>
      <c r="K1192" s="58">
        <f>IFERROR(__xludf.DUMMYFUNCTION("""COMPUTED_VALUE"""),45958.0)</f>
        <v>45958</v>
      </c>
      <c r="L1192" s="6">
        <v>30.0</v>
      </c>
      <c r="M1192" s="52">
        <v>45988.0</v>
      </c>
      <c r="N1192" s="53" t="s">
        <v>741</v>
      </c>
      <c r="O1192" s="19" t="s">
        <v>669</v>
      </c>
      <c r="P1192" s="6"/>
      <c r="Q1192" s="6" t="str">
        <f t="shared" si="1"/>
        <v>#N/A</v>
      </c>
      <c r="R1192" s="6"/>
    </row>
    <row r="1193" hidden="1">
      <c r="A1193" s="31" t="str">
        <f>IFERROR(__xludf.DUMMYFUNCTION("""COMPUTED_VALUE"""),"1227")</f>
        <v>1227</v>
      </c>
      <c r="B1193" s="14" t="str">
        <f>IFERROR(__xludf.DUMMYFUNCTION("""COMPUTED_VALUE"""),"ВНЕ СПИСКА")</f>
        <v>ВНЕ СПИСКА</v>
      </c>
      <c r="C1193" s="14" t="str">
        <f>IFERROR(__xludf.DUMMYFUNCTION("""COMPUTED_VALUE"""),"ОКС")</f>
        <v>ОКС</v>
      </c>
      <c r="D1193" s="6" t="str">
        <f>IFERROR(__xludf.DUMMYFUNCTION("""COMPUTED_VALUE"""),"да")</f>
        <v>да</v>
      </c>
      <c r="E1193" s="14" t="str">
        <f>IFERROR(__xludf.DUMMYFUNCTION("""COMPUTED_VALUE"""),"Реконструкция и реставрация с приспособлением объекта ФГБУК «Политехнический музей» ЦАО, Тверской, ул. Новая площадь, д. 3/4 Москва, Новая площадь, д.3/4")</f>
        <v>Реконструкция и реставрация с приспособлением объекта ФГБУК «Политехнический музей» ЦАО, Тверской, ул. Новая площадь, д. 3/4 Москва, Новая площадь, д.3/4</v>
      </c>
      <c r="F1193" s="25" t="str">
        <f>IFERROR(__xludf.DUMMYFUNCTION("""COMPUTED_VALUE"""),"55.757676")</f>
        <v>55.757676</v>
      </c>
      <c r="G1193" s="6" t="str">
        <f>IFERROR(__xludf.DUMMYFUNCTION("""COMPUTED_VALUE"""),"37.629307")</f>
        <v>37.629307</v>
      </c>
      <c r="H1193" s="18" t="str">
        <f>IFERROR(__xludf.DUMMYFUNCTION("""COMPUTED_VALUE"""),"https://docs.google.com/spreadsheets/d/1EI7qusa674eJhuaw-nWWtWMEHVSYMQv7HLsInEZTWpE/edit?gid=379079889#gid=379079889")</f>
        <v>https://docs.google.com/spreadsheets/d/1EI7qusa674eJhuaw-nWWtWMEHVSYMQv7HLsInEZTWpE/edit?gid=379079889#gid=379079889</v>
      </c>
      <c r="I1193" s="21" t="str">
        <f>IFERROR(__xludf.DUMMYFUNCTION("""COMPUTED_VALUE"""),"https://disk.yandex.ru/client/disk/%D0%9E%D1%81%D0%BC%D0%BE%D1%82%D1%80%D1%8B%20%D0%BE%D0%B1%D1%8A%D0%B5%D0%BA%D1%82%D0%BE%D0%B2%20%D0%90%D0%9D%D0%9E%20%D0%A1%D0%9C%D0%93/1227.%20%D0%A4%D0%93%D0%91%D0%A3%D0%9A%20%C2%AB%D0%9F%D0%BE%D0%BB%D0%B8%D1%82%D0%B5%"&amp;"D1%85%D0%BD%D0%B8%D1%87%D0%B5%D1%81%D0%BA%D0%B8%D0%B9%20%D0%BC%D1%83%D0%B7%D0%B5%D0%B9%C2%BB")</f>
        <v>https://disk.yandex.ru/client/disk/%D0%9E%D1%81%D0%BC%D0%BE%D1%82%D1%80%D1%8B%20%D0%BE%D0%B1%D1%8A%D0%B5%D0%BA%D1%82%D0%BE%D0%B2%20%D0%90%D0%9D%D0%9E%20%D0%A1%D0%9C%D0%93/1227.%20%D0%A4%D0%93%D0%91%D0%A3%D0%9A%20%C2%AB%D0%9F%D0%BE%D0%BB%D0%B8%D1%82%D0%B5%D1%85%D0%BD%D0%B8%D1%87%D0%B5%D1%81%D0%BA%D0%B8%D0%B9%20%D0%BC%D1%83%D0%B7%D0%B5%D0%B9%C2%BB</v>
      </c>
      <c r="J1193" s="50">
        <f>IFERROR(__xludf.DUMMYFUNCTION("""COMPUTED_VALUE"""),64.71953500000001)</f>
        <v>64.719535</v>
      </c>
      <c r="K1193" s="58">
        <f>IFERROR(__xludf.DUMMYFUNCTION("""COMPUTED_VALUE"""),45966.0)</f>
        <v>45966</v>
      </c>
      <c r="L1193" s="6">
        <v>14.0</v>
      </c>
      <c r="M1193" s="52">
        <v>45980.0</v>
      </c>
      <c r="N1193" s="53" t="s">
        <v>652</v>
      </c>
      <c r="O1193" s="19" t="s">
        <v>1265</v>
      </c>
      <c r="P1193" s="6"/>
      <c r="Q1193" s="6" t="str">
        <f t="shared" si="1"/>
        <v>#N/A</v>
      </c>
      <c r="R1193" s="6"/>
    </row>
    <row r="1194" hidden="1">
      <c r="A1194" s="31"/>
      <c r="B1194" s="14" t="str">
        <f>IFERROR(__xludf.DUMMYFUNCTION("""COMPUTED_VALUE"""),"ВНЕ СПИСКА")</f>
        <v>ВНЕ СПИСКА</v>
      </c>
      <c r="C1194" s="14" t="str">
        <f>IFERROR(__xludf.DUMMYFUNCTION("""COMPUTED_VALUE"""),"ОКС")</f>
        <v>ОКС</v>
      </c>
      <c r="D1194" s="6" t="str">
        <f>IFERROR(__xludf.DUMMYFUNCTION("""COMPUTED_VALUE"""),"да")</f>
        <v>да</v>
      </c>
      <c r="E1194" s="14" t="str">
        <f>IFERROR(__xludf.DUMMYFUNCTION("""COMPUTED_VALUE"""),"Реконструкция и реставрация с приспособлением для современного использования объекта федерального государственного бюджетного учреждения культуры «Политехнический музей» Новая пл., дом 3/4")</f>
        <v>Реконструкция и реставрация с приспособлением для современного использования объекта федерального государственного бюджетного учреждения культуры «Политехнический музей» Новая пл., дом 3/4</v>
      </c>
      <c r="F1194" s="25" t="str">
        <f>IFERROR(__xludf.DUMMYFUNCTION("""COMPUTED_VALUE"""),"#N/A")</f>
        <v>#N/A</v>
      </c>
      <c r="G1194" s="6" t="str">
        <f>IFERROR(__xludf.DUMMYFUNCTION("""COMPUTED_VALUE"""),"#N/A")</f>
        <v>#N/A</v>
      </c>
      <c r="H1194" s="6"/>
      <c r="I1194" s="21" t="str">
        <f>IFERROR(__xludf.DUMMYFUNCTION("""COMPUTED_VALUE"""),"https://disk.yandex.ru/client/disk/%D0%9E%D1%81%D0%BC%D0%BE%D1%82%D1%80%D1%8B%20%D0%BE%D0%B1%D1%8A%D0%B5%D0%BA%D1%82%D0%BE%D0%B2%20%D0%90%D0%9D%D0%9E%20%D0%A1%D0%9C%D0%93/1227.%20%D0%A4%D0%93%D0%91%D0%A3%D0%9A%20%C2%AB%D0%9F%D0%BE%D0%BB%D0%B8%D1%82%D0%B5%"&amp;"D1%85%D0%BD%D0%B8%D1%87%D0%B5%D1%81%D0%BA%D0%B8%D0%B9%20%D0%BC%D1%83%D0%B7%D0%B5%D0%B9%C2%BB")</f>
        <v>https://disk.yandex.ru/client/disk/%D0%9E%D1%81%D0%BC%D0%BE%D1%82%D1%80%D1%8B%20%D0%BE%D0%B1%D1%8A%D0%B5%D0%BA%D1%82%D0%BE%D0%B2%20%D0%90%D0%9D%D0%9E%20%D0%A1%D0%9C%D0%93/1227.%20%D0%A4%D0%93%D0%91%D0%A3%D0%9A%20%C2%AB%D0%9F%D0%BE%D0%BB%D0%B8%D1%82%D0%B5%D1%85%D0%BD%D0%B8%D1%87%D0%B5%D1%81%D0%BA%D0%B8%D0%B9%20%D0%BC%D1%83%D0%B7%D0%B5%D0%B9%C2%BB</v>
      </c>
      <c r="J1194" s="50"/>
      <c r="K1194" s="58"/>
      <c r="L1194" s="6" t="s">
        <v>655</v>
      </c>
      <c r="M1194" s="52" t="s">
        <v>655</v>
      </c>
      <c r="N1194" s="53" t="s">
        <v>655</v>
      </c>
      <c r="O1194" s="19" t="s">
        <v>1266</v>
      </c>
      <c r="P1194" s="6"/>
      <c r="Q1194" s="6" t="str">
        <f t="shared" si="1"/>
        <v>#N/A</v>
      </c>
      <c r="R1194" s="6"/>
    </row>
    <row r="1195" hidden="1">
      <c r="A1195" s="31" t="str">
        <f>IFERROR(__xludf.DUMMYFUNCTION("""COMPUTED_VALUE"""),"1228")</f>
        <v>1228</v>
      </c>
      <c r="B1195" s="14" t="str">
        <f>IFERROR(__xludf.DUMMYFUNCTION("""COMPUTED_VALUE"""),"ВНЕ СПИСКА")</f>
        <v>ВНЕ СПИСКА</v>
      </c>
      <c r="C1195" s="14" t="str">
        <f>IFERROR(__xludf.DUMMYFUNCTION("""COMPUTED_VALUE"""),"ОКС")</f>
        <v>ОКС</v>
      </c>
      <c r="D1195" s="6" t="str">
        <f>IFERROR(__xludf.DUMMYFUNCTION("""COMPUTED_VALUE"""),"да")</f>
        <v>да</v>
      </c>
      <c r="E1195" s="14" t="str">
        <f>IFERROR(__xludf.DUMMYFUNCTION("""COMPUTED_VALUE"""),"Центральный телеграф ЦАО,р-н Тверской, ул. Тверская, д. 7 Застройщик: ПАО «Центральный телеграф» ул. Тверская дом 7, Никитский пер., дом 7, стр. 2")</f>
        <v>Центральный телеграф ЦАО,р-н Тверской, ул. Тверская, д. 7 Застройщик: ПАО «Центральный телеграф» ул. Тверская дом 7, Никитский пер., дом 7, стр. 2</v>
      </c>
      <c r="F1195" s="25" t="str">
        <f>IFERROR(__xludf.DUMMYFUNCTION("""COMPUTED_VALUE"""),"55.758123")</f>
        <v>55.758123</v>
      </c>
      <c r="G1195" s="6" t="str">
        <f>IFERROR(__xludf.DUMMYFUNCTION("""COMPUTED_VALUE"""),"37.611373")</f>
        <v>37.611373</v>
      </c>
      <c r="H1195" s="18" t="str">
        <f>IFERROR(__xludf.DUMMYFUNCTION("""COMPUTED_VALUE"""),"https://docs.google.com/spreadsheets/d/1EI7qusa674eJhuaw-nWWtWMEHVSYMQv7HLsInEZTWpE/edit?gid=1745739766#gid=1745739766")</f>
        <v>https://docs.google.com/spreadsheets/d/1EI7qusa674eJhuaw-nWWtWMEHVSYMQv7HLsInEZTWpE/edit?gid=1745739766#gid=1745739766</v>
      </c>
      <c r="I1195" s="21" t="str">
        <f>IFERROR(__xludf.DUMMYFUNCTION("""COMPUTED_VALUE"""),"https://disk.yandex.ru/client/disk/%D0%9E%D1%81%D0%BC%D0%BE%D1%82%D1%80%D1%8B%20%D0%BE%D0%B1%D1%8A%D0%B5%D0%BA%D1%82%D0%BE%D0%B2%20%D0%90%D0%9D%D0%9E%20%D0%A1%D0%9C%D0%93/1228.%20%D0%A6%D0%B5%D0%BD%D1%82%D1%80%D0%B0%D0%BB%D1%8C%D0%BD%D1%8B%D0%B9%20%D1%82%"&amp;"D0%B5%D0%BB%D0%B5%D0%B3%D1%80%D0%B0%D1%84%20%D0%A6%D0%90%D0%9E%2C%D1%80-%D0%BD%20%D0%A2%D0%B2%D0%B5%D1%80%D1%81%D0%BA%D0%BE%D0%B9%2C%20%D1%83%D0%BB.%20%D0%A2%D0%B2%D0%B5%D1%80%D1%81%D0%BA%D0%B0%D1%8F%2C%20%D0%B4.%207")</f>
        <v>https://disk.yandex.ru/client/disk/%D0%9E%D1%81%D0%BC%D0%BE%D1%82%D1%80%D1%8B%20%D0%BE%D0%B1%D1%8A%D0%B5%D0%BA%D1%82%D0%BE%D0%B2%20%D0%90%D0%9D%D0%9E%20%D0%A1%D0%9C%D0%93/1228.%20%D0%A6%D0%B5%D0%BD%D1%82%D1%80%D0%B0%D0%BB%D1%8C%D0%BD%D1%8B%D0%B9%20%D1%82%D0%B5%D0%BB%D0%B5%D0%B3%D1%80%D0%B0%D1%84%20%D0%A6%D0%90%D0%9E%2C%D1%80-%D0%BD%20%D0%A2%D0%B2%D0%B5%D1%80%D1%81%D0%BA%D0%BE%D0%B9%2C%20%D1%83%D0%BB.%20%D0%A2%D0%B2%D0%B5%D1%80%D1%81%D0%BA%D0%B0%D1%8F%2C%20%D0%B4.%207</v>
      </c>
      <c r="J1195" s="50">
        <f>IFERROR(__xludf.DUMMYFUNCTION("""COMPUTED_VALUE"""),63.904742500000005)</f>
        <v>63.9047425</v>
      </c>
      <c r="K1195" s="58">
        <f>IFERROR(__xludf.DUMMYFUNCTION("""COMPUTED_VALUE"""),45972.0)</f>
        <v>45972</v>
      </c>
      <c r="L1195" s="6">
        <v>14.0</v>
      </c>
      <c r="M1195" s="52">
        <v>45986.0</v>
      </c>
      <c r="N1195" s="53" t="s">
        <v>711</v>
      </c>
      <c r="O1195" s="19" t="s">
        <v>1267</v>
      </c>
      <c r="P1195" s="6"/>
      <c r="Q1195" s="6" t="str">
        <f t="shared" si="1"/>
        <v>#N/A</v>
      </c>
      <c r="R1195" s="6"/>
    </row>
    <row r="1196" hidden="1">
      <c r="A1196" s="31" t="str">
        <f>IFERROR(__xludf.DUMMYFUNCTION("""COMPUTED_VALUE"""),"1229")</f>
        <v>1229</v>
      </c>
      <c r="B1196" s="14" t="str">
        <f>IFERROR(__xludf.DUMMYFUNCTION("""COMPUTED_VALUE"""),"ВНЕ СПИСКА")</f>
        <v>ВНЕ СПИСКА</v>
      </c>
      <c r="C1196" s="14" t="str">
        <f>IFERROR(__xludf.DUMMYFUNCTION("""COMPUTED_VALUE"""),"ОКС")</f>
        <v>ОКС</v>
      </c>
      <c r="D1196" s="6" t="str">
        <f>IFERROR(__xludf.DUMMYFUNCTION("""COMPUTED_VALUE"""),"да")</f>
        <v>да</v>
      </c>
      <c r="E1196" s="14" t="str">
        <f>IFERROR(__xludf.DUMMYFUNCTION("""COMPUTED_VALUE"""),"Круговое депо ЦАО, Комсомольская площадь, дом 3/30, стр.1 Собственник (в настоящее время): ОАО «РЖД» Арендатор (на оформлении) ")</f>
        <v>Круговое депо ЦАО, Комсомольская площадь, дом 3/30, стр.1 Собственник (в настоящее время): ОАО «РЖД» Арендатор (на оформлении) </v>
      </c>
      <c r="F1196" s="25" t="str">
        <f>IFERROR(__xludf.DUMMYFUNCTION("""COMPUTED_VALUE"""),"#N/A")</f>
        <v>#N/A</v>
      </c>
      <c r="G1196" s="6" t="str">
        <f>IFERROR(__xludf.DUMMYFUNCTION("""COMPUTED_VALUE"""),"#N/A")</f>
        <v>#N/A</v>
      </c>
      <c r="H1196" s="18" t="str">
        <f>IFERROR(__xludf.DUMMYFUNCTION("""COMPUTED_VALUE"""),"https://docs.google.com/spreadsheets/d/1EI7qusa674eJhuaw-nWWtWMEHVSYMQv7HLsInEZTWpE/edit?gid=1658272252#gid=1658272252")</f>
        <v>https://docs.google.com/spreadsheets/d/1EI7qusa674eJhuaw-nWWtWMEHVSYMQv7HLsInEZTWpE/edit?gid=1658272252#gid=1658272252</v>
      </c>
      <c r="I1196" s="21" t="str">
        <f>IFERROR(__xludf.DUMMYFUNCTION("""COMPUTED_VALUE"""),"https://disk.yandex.ru/client/disk/%D0%9E%D1%81%D0%BC%D0%BE%D1%82%D1%80%D1%8B%20%D0%BE%D0%B1%D1%8A%D0%B5%D0%BA%D1%82%D0%BE%D0%B2%20%D0%90%D0%9D%D0%9E%20%D0%A1%D0%9C%D0%93/1_%D0%94%D0%B5%D0%B6%D1%83%D1%80%D1%81%D1%82%D0%B2%D0%BE%2008-09.05.2025%20(%D0%98%D"&amp;"0%BD%D0%B2%D0%B5%D1%81%D1%82%D0%B8%D1%86%D0%B8%D0%BE%D0%BD%D0%BD%D0%BE%D0%B5%20%D1%81%D1%82%D1%80%D0%BE%D0%B8%D1%82%D0%B5%D0%BB%D1%8C%D1%81%D1%82%D0%B2%D0%BE)/1229.%20%D0%9A%D1%80%D1%83%D0%B3%D0%BE%D0%B2%D0%BE%D0%B5%20%D0%B4%D0%B5%D0%BF%D0%BE")</f>
        <v>https://disk.yandex.ru/client/disk/%D0%9E%D1%81%D0%BC%D0%BE%D1%82%D1%80%D1%8B%20%D0%BE%D0%B1%D1%8A%D0%B5%D0%BA%D1%82%D0%BE%D0%B2%20%D0%90%D0%9D%D0%9E%20%D0%A1%D0%9C%D0%93/1_%D0%94%D0%B5%D0%B6%D1%83%D1%80%D1%81%D1%82%D0%B2%D0%BE%2008-09.05.2025%20(%D0%98%D0%BD%D0%B2%D0%B5%D1%81%D1%82%D0%B8%D1%86%D0%B8%D0%BE%D0%BD%D0%BD%D0%BE%D0%B5%20%D1%81%D1%82%D1%80%D0%BE%D0%B8%D1%82%D0%B5%D0%BB%D1%8C%D1%81%D1%82%D0%B2%D0%BE)/1229.%20%D0%9A%D1%80%D1%83%D0%B3%D0%BE%D0%B2%D0%BE%D0%B5%20%D0%B4%D0%B5%D0%BF%D0%BE</v>
      </c>
      <c r="J1196" s="50">
        <f>IFERROR(__xludf.DUMMYFUNCTION("""COMPUTED_VALUE"""),0.0)</f>
        <v>0</v>
      </c>
      <c r="K1196" s="58">
        <f>IFERROR(__xludf.DUMMYFUNCTION("""COMPUTED_VALUE"""),45785.0)</f>
        <v>45785</v>
      </c>
      <c r="L1196" s="6">
        <v>30.0</v>
      </c>
      <c r="M1196" s="52">
        <v>45815.0</v>
      </c>
      <c r="N1196" s="53" t="s">
        <v>668</v>
      </c>
      <c r="O1196" s="19"/>
      <c r="P1196" s="6"/>
      <c r="Q1196" s="6" t="str">
        <f t="shared" si="1"/>
        <v>#N/A</v>
      </c>
      <c r="R1196" s="6"/>
    </row>
    <row r="1197" hidden="1">
      <c r="A1197" s="31" t="str">
        <f>IFERROR(__xludf.DUMMYFUNCTION("""COMPUTED_VALUE"""),"400")</f>
        <v>400</v>
      </c>
      <c r="B1197" s="14" t="str">
        <f>IFERROR(__xludf.DUMMYFUNCTION("""COMPUTED_VALUE"""),"ВНЕ СПИСКА")</f>
        <v>ВНЕ СПИСКА</v>
      </c>
      <c r="C1197" s="14" t="str">
        <f>IFERROR(__xludf.DUMMYFUNCTION("""COMPUTED_VALUE"""),"ОКС")</f>
        <v>ОКС</v>
      </c>
      <c r="D1197" s="6" t="str">
        <f>IFERROR(__xludf.DUMMYFUNCTION("""COMPUTED_VALUE"""),"да")</f>
        <v>да</v>
      </c>
      <c r="E1197" s="14" t="str">
        <f>IFERROR(__xludf.DUMMYFUNCTION("""COMPUTED_VALUE"""),"Бизнес-центр в рамках проекта КРТ «Дмитровский, вл. 1Г» САО, р-н Тимирязевский Дмитровский проезд , вл. 1Г")</f>
        <v>Бизнес-центр в рамках проекта КРТ «Дмитровский, вл. 1Г» САО, р-н Тимирязевский Дмитровский проезд , вл. 1Г</v>
      </c>
      <c r="F1197" s="25" t="str">
        <f>IFERROR(__xludf.DUMMYFUNCTION("""COMPUTED_VALUE"""),"55.808312")</f>
        <v>55.808312</v>
      </c>
      <c r="G1197" s="6" t="str">
        <f>IFERROR(__xludf.DUMMYFUNCTION("""COMPUTED_VALUE"""),"37.575876")</f>
        <v>37.575876</v>
      </c>
      <c r="H1197" s="18" t="str">
        <f>IFERROR(__xludf.DUMMYFUNCTION("""COMPUTED_VALUE"""),"https://docs.google.com/spreadsheets/d/1EI7qusa674eJhuaw-nWWtWMEHVSYMQv7HLsInEZTWpE/edit?gid=1002976972#gid=1002976972")</f>
        <v>https://docs.google.com/spreadsheets/d/1EI7qusa674eJhuaw-nWWtWMEHVSYMQv7HLsInEZTWpE/edit?gid=1002976972#gid=1002976972</v>
      </c>
      <c r="I1197" s="19" t="str">
        <f>IFERROR(__xludf.DUMMYFUNCTION("""COMPUTED_VALUE"""),"https://disk.yandex.ru/client/disk/Осмотры%20объектов%20АНО%20СМГ/400.Офисы%20дмитровский%20проезд%20вл1г")</f>
        <v>https://disk.yandex.ru/client/disk/Осмотры%20объектов%20АНО%20СМГ/400.Офисы%20дмитровский%20проезд%20вл1г</v>
      </c>
      <c r="J1197" s="50">
        <f>IFERROR(__xludf.DUMMYFUNCTION("""COMPUTED_VALUE"""),29.677)</f>
        <v>29.677</v>
      </c>
      <c r="K1197" s="58">
        <f>IFERROR(__xludf.DUMMYFUNCTION("""COMPUTED_VALUE"""),45958.0)</f>
        <v>45958</v>
      </c>
      <c r="L1197" s="6">
        <v>30.0</v>
      </c>
      <c r="M1197" s="52">
        <v>45988.0</v>
      </c>
      <c r="N1197" s="53" t="s">
        <v>741</v>
      </c>
      <c r="O1197" s="19"/>
      <c r="P1197" s="6"/>
      <c r="Q1197" s="6" t="str">
        <f t="shared" si="1"/>
        <v>#N/A</v>
      </c>
      <c r="R1197" s="6"/>
    </row>
    <row r="1198" hidden="1">
      <c r="A1198" s="31" t="str">
        <f>IFERROR(__xludf.DUMMYFUNCTION("""COMPUTED_VALUE"""),"1230")</f>
        <v>1230</v>
      </c>
      <c r="B1198" s="14" t="str">
        <f>IFERROR(__xludf.DUMMYFUNCTION("""COMPUTED_VALUE"""),"ВНЕ СПИСКА")</f>
        <v>ВНЕ СПИСКА</v>
      </c>
      <c r="C1198" s="14" t="str">
        <f>IFERROR(__xludf.DUMMYFUNCTION("""COMPUTED_VALUE"""),"ОКС")</f>
        <v>ОКС</v>
      </c>
      <c r="D1198" s="6" t="str">
        <f>IFERROR(__xludf.DUMMYFUNCTION("""COMPUTED_VALUE"""),"да")</f>
        <v>да</v>
      </c>
      <c r="E1198" s="14" t="str">
        <f>IFERROR(__xludf.DUMMYFUNCTION("""COMPUTED_VALUE"""),"Многофункциональный комплекс “Венеция” ГК Киевская площадь Мантулинская ул. вл. 5 ЦАО, Пресненский район Мантулинская ул. вл. 5")</f>
        <v>Многофункциональный комплекс “Венеция” ГК Киевская площадь Мантулинская ул. вл. 5 ЦАО, Пресненский район Мантулинская ул. вл. 5</v>
      </c>
      <c r="F1198" s="25" t="str">
        <f>IFERROR(__xludf.DUMMYFUNCTION("""COMPUTED_VALUE"""),"55.753129")</f>
        <v>55.753129</v>
      </c>
      <c r="G1198" s="6" t="str">
        <f>IFERROR(__xludf.DUMMYFUNCTION("""COMPUTED_VALUE"""),"37.553972")</f>
        <v>37.553972</v>
      </c>
      <c r="H1198" s="18" t="str">
        <f>IFERROR(__xludf.DUMMYFUNCTION("""COMPUTED_VALUE"""),"https://docs.google.com/spreadsheets/d/1EI7qusa674eJhuaw-nWWtWMEHVSYMQv7HLsInEZTWpE/edit?gid=38649977#gid=38649977")</f>
        <v>https://docs.google.com/spreadsheets/d/1EI7qusa674eJhuaw-nWWtWMEHVSYMQv7HLsInEZTWpE/edit?gid=38649977#gid=38649977</v>
      </c>
      <c r="I1198" s="21" t="str">
        <f>IFERROR(__xludf.DUMMYFUNCTION("""COMPUTED_VALUE"""),"https://disk.yandex.ru/client/disk/%D0%9E%D1%81%D0%BC%D0%BE%D1%82%D1%80%D1%8B%20%D0%BE%D0%B1%D1%8A%D0%B5%D0%BA%D1%82%D0%BE%D0%B2%20%D0%90%D0%9D%D0%9E%20%D0%A1%D0%9C%D0%93/1230%20%22%D0%9C%D0%BD%D0%BE%D0%B3%D0%BE%D1%84%D1%83%D0%BD%D0%BA%D1%86%D0%B8%D0%BE%D"&amp;"0%BD%D0%B0%D0%BB%D1%8C%D0%BD%D1%8B%D0%B9%20%D0%BA%D0%BE%D0%BC%D0%BF%D0%BB%D0%B5%D0%BA%D1%81%20%E2%80%9C%D0%92%D0%B5%D0%BD%D0%B5%D1%86%D0%B8%D1%8F%E2%80%9D%0A%D0%93%D0%9A%20%D0%9A%D0%B8%D0%B5%D0%B2%D1%81%D0%BA%D0%B0%D1%8F%20%D0%BF%D0%BB%D0%BE%D1%89%D0%B0%D"&amp;"0%B4%D1%8C%22.%20%D0%9C%D0%B0%D0%BD%D1%82%D1%83%D0%BB%D0%B8%D0%BD%D1%81%D0%BA%D0%B0%D1%8F%20%D1%83%D0%BB.%20%D0%B2%D0%BB.%205%20%D0%A6%D0%90%D0%9E%2C%20%D0%9F%D1%80%D0%B5%D1%81%D0%BD%D0%B5%D0%BD%D1%81%D0%BA%D0%B8%D0%B9%20%D1%80%D0%B0%D0%B9%D0%BE%D0%BD")</f>
        <v>https://disk.yandex.ru/client/disk/%D0%9E%D1%81%D0%BC%D0%BE%D1%82%D1%80%D1%8B%20%D0%BE%D0%B1%D1%8A%D0%B5%D0%BA%D1%82%D0%BE%D0%B2%20%D0%90%D0%9D%D0%9E%20%D0%A1%D0%9C%D0%93/1230%20%22%D0%9C%D0%BD%D0%BE%D0%B3%D0%BE%D1%84%D1%83%D0%BD%D0%BA%D1%86%D0%B8%D0%BE%D0%BD%D0%B0%D0%BB%D1%8C%D0%BD%D1%8B%D0%B9%20%D0%BA%D0%BE%D0%BC%D0%BF%D0%BB%D0%B5%D0%BA%D1%81%20%E2%80%9C%D0%92%D0%B5%D0%BD%D0%B5%D1%86%D0%B8%D1%8F%E2%80%9D%0A%D0%93%D0%9A%20%D0%9A%D0%B8%D0%B5%D0%B2%D1%81%D0%BA%D0%B0%D1%8F%20%D0%BF%D0%BB%D0%BE%D1%89%D0%B0%D0%B4%D1%8C%22.%20%D0%9C%D0%B0%D0%BD%D1%82%D1%83%D0%BB%D0%B8%D0%BD%D1%81%D0%BA%D0%B0%D1%8F%20%D1%83%D0%BB.%20%D0%B2%D0%BB.%205%20%D0%A6%D0%90%D0%9E%2C%20%D0%9F%D1%80%D0%B5%D1%81%D0%BD%D0%B5%D0%BD%D1%81%D0%BA%D0%B8%D0%B9%20%D1%80%D0%B0%D0%B9%D0%BE%D0%BD</v>
      </c>
      <c r="J1198" s="50">
        <f>IFERROR(__xludf.DUMMYFUNCTION("""COMPUTED_VALUE"""),0.0)</f>
        <v>0</v>
      </c>
      <c r="K1198" s="58">
        <f>IFERROR(__xludf.DUMMYFUNCTION("""COMPUTED_VALUE"""),45966.0)</f>
        <v>45966</v>
      </c>
      <c r="L1198" s="6">
        <v>30.0</v>
      </c>
      <c r="M1198" s="52">
        <v>45996.0</v>
      </c>
      <c r="N1198" s="53" t="s">
        <v>711</v>
      </c>
      <c r="O1198" s="19"/>
      <c r="P1198" s="6"/>
      <c r="Q1198" s="6" t="str">
        <f t="shared" si="1"/>
        <v>#N/A</v>
      </c>
      <c r="R1198" s="6"/>
    </row>
    <row r="1199" hidden="1">
      <c r="A1199" s="31" t="str">
        <f>IFERROR(__xludf.DUMMYFUNCTION("""COMPUTED_VALUE"""),"334 (п)")</f>
        <v>334 (п)</v>
      </c>
      <c r="B1199" s="14" t="str">
        <f>IFERROR(__xludf.DUMMYFUNCTION("""COMPUTED_VALUE"""),"ВНЕ СПИСКА")</f>
        <v>ВНЕ СПИСКА</v>
      </c>
      <c r="C1199" s="14"/>
      <c r="D1199" s="6"/>
      <c r="E1199" s="14" t="str">
        <f>IFERROR(__xludf.DUMMYFUNCTION("""COMPUTED_VALUE"""),"Начало проходки правого перегонного тоннеля на участке от ст. ""Остров Мечты"" до ст. ""Кленовый бульвар"" район Нагатинский Затон")</f>
        <v>Начало проходки правого перегонного тоннеля на участке от ст. "Остров Мечты" до ст. "Кленовый бульвар" район Нагатинский Затон</v>
      </c>
      <c r="F1199" s="25" t="str">
        <f>IFERROR(__xludf.DUMMYFUNCTION("""COMPUTED_VALUE"""),"#N/A")</f>
        <v>#N/A</v>
      </c>
      <c r="G1199" s="6" t="str">
        <f>IFERROR(__xludf.DUMMYFUNCTION("""COMPUTED_VALUE"""),"#N/A")</f>
        <v>#N/A</v>
      </c>
      <c r="H1199" s="18" t="str">
        <f>IFERROR(__xludf.DUMMYFUNCTION("""COMPUTED_VALUE"""),"https://docs.google.com/spreadsheets/d/1EI7qusa674eJhuaw-nWWtWMEHVSYMQv7HLsInEZTWpE/edit?gid=1612889621#gid=1612889621")</f>
        <v>https://docs.google.com/spreadsheets/d/1EI7qusa674eJhuaw-nWWtWMEHVSYMQv7HLsInEZTWpE/edit?gid=1612889621#gid=1612889621</v>
      </c>
      <c r="I1199" s="19" t="str">
        <f>IFERROR(__xludf.DUMMYFUNCTION("""COMPUTED_VALUE"""),"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f>
        <v>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v>
      </c>
      <c r="J1199" s="50">
        <f>IFERROR(__xludf.DUMMYFUNCTION("""COMPUTED_VALUE"""),3.83)</f>
        <v>3.83</v>
      </c>
      <c r="K1199" s="58">
        <f>IFERROR(__xludf.DUMMYFUNCTION("""COMPUTED_VALUE"""),45846.0)</f>
        <v>45846</v>
      </c>
      <c r="L1199" s="6">
        <v>30.0</v>
      </c>
      <c r="M1199" s="52">
        <v>45876.0</v>
      </c>
      <c r="N1199" s="53" t="s">
        <v>668</v>
      </c>
      <c r="O1199" s="19" t="s">
        <v>669</v>
      </c>
      <c r="P1199" s="6"/>
      <c r="Q1199" s="6" t="str">
        <f t="shared" si="1"/>
        <v>#N/A</v>
      </c>
      <c r="R1199" s="6"/>
    </row>
    <row r="1200" hidden="1">
      <c r="A1200" s="31" t="str">
        <f>IFERROR(__xludf.DUMMYFUNCTION("""COMPUTED_VALUE"""),"334 (л)")</f>
        <v>334 (л)</v>
      </c>
      <c r="B1200" s="14" t="str">
        <f>IFERROR(__xludf.DUMMYFUNCTION("""COMPUTED_VALUE"""),"ВНЕ СПИСКА")</f>
        <v>ВНЕ СПИСКА</v>
      </c>
      <c r="C1200" s="14"/>
      <c r="D1200" s="6"/>
      <c r="E1200" s="14" t="str">
        <f>IFERROR(__xludf.DUMMYFUNCTION("""COMPUTED_VALUE"""),"Начало проходки левого перегонного тоннеля на участке от ст. ""Остров Мечты"" до ст. ""Кленовый бульвар"" район Нагатинский Затон")</f>
        <v>Начало проходки левого перегонного тоннеля на участке от ст. "Остров Мечты" до ст. "Кленовый бульвар" район Нагатинский Затон</v>
      </c>
      <c r="F1200" s="25" t="str">
        <f>IFERROR(__xludf.DUMMYFUNCTION("""COMPUTED_VALUE"""),"#N/A")</f>
        <v>#N/A</v>
      </c>
      <c r="G1200" s="6" t="str">
        <f>IFERROR(__xludf.DUMMYFUNCTION("""COMPUTED_VALUE"""),"#N/A")</f>
        <v>#N/A</v>
      </c>
      <c r="H1200" s="18" t="str">
        <f>IFERROR(__xludf.DUMMYFUNCTION("""COMPUTED_VALUE"""),"https://docs.google.com/spreadsheets/d/1EI7qusa674eJhuaw-nWWtWMEHVSYMQv7HLsInEZTWpE/edit?gid=831042065#gid=831042065")</f>
        <v>https://docs.google.com/spreadsheets/d/1EI7qusa674eJhuaw-nWWtWMEHVSYMQv7HLsInEZTWpE/edit?gid=831042065#gid=831042065</v>
      </c>
      <c r="I1200" s="19" t="str">
        <f>IFERROR(__xludf.DUMMYFUNCTION("""COMPUTED_VALUE"""),"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f>
        <v>https://disk.yandex.ru/client/disk/Осмотры%20объектов%20АНО%20СМГ/334.%20Начало%20проходки%20левого%20перегонного%20тоннеля%20на%20участке%20от%20станции%20%22Остров%20Мечты%22%20до%20ст.%20%22Кленовый%20бульвар%22</v>
      </c>
      <c r="J1200" s="50">
        <f>IFERROR(__xludf.DUMMYFUNCTION("""COMPUTED_VALUE"""),3.83)</f>
        <v>3.83</v>
      </c>
      <c r="K1200" s="58">
        <f>IFERROR(__xludf.DUMMYFUNCTION("""COMPUTED_VALUE"""),45846.0)</f>
        <v>45846</v>
      </c>
      <c r="L1200" s="6">
        <v>30.0</v>
      </c>
      <c r="M1200" s="52">
        <v>45876.0</v>
      </c>
      <c r="N1200" s="53" t="s">
        <v>668</v>
      </c>
      <c r="O1200" s="19" t="s">
        <v>669</v>
      </c>
      <c r="P1200" s="6"/>
      <c r="Q1200" s="6" t="str">
        <f t="shared" si="1"/>
        <v>#N/A</v>
      </c>
      <c r="R1200" s="6"/>
    </row>
    <row r="1201" hidden="1">
      <c r="A1201" s="31" t="str">
        <f>IFERROR(__xludf.DUMMYFUNCTION("""COMPUTED_VALUE"""),"249")</f>
        <v>249</v>
      </c>
      <c r="B1201" s="14" t="str">
        <f>IFERROR(__xludf.DUMMYFUNCTION("""COMPUTED_VALUE"""),"АИП-25")</f>
        <v>АИП-25</v>
      </c>
      <c r="C1201" s="14" t="str">
        <f>IFERROR(__xludf.DUMMYFUNCTION("""COMPUTED_VALUE"""),"ОКС")</f>
        <v>ОКС</v>
      </c>
      <c r="D1201" s="6"/>
      <c r="E1201" s="14" t="str">
        <f>IFERROR(__xludf.DUMMYFUNCTION("""COMPUTED_VALUE"""),"«Многопрофильный комплекс на территории ГБУЗ «ДГКБ св. Владимира ДЗМ» по адресу: ул. Рубцовско-Дворцовая, д.1/3, ВАО район Сокольники, Рубцовско-Дворцовая ул., вл. 1/3, корп.1")</f>
        <v>«Многопрофильный комплекс на территории ГБУЗ «ДГКБ св. Владимира ДЗМ» по адресу: ул. Рубцовско-Дворцовая, д.1/3, ВАО район Сокольники, Рубцовско-Дворцовая ул., вл. 1/3, корп.1</v>
      </c>
      <c r="F1201" s="25" t="str">
        <f>IFERROR(__xludf.DUMMYFUNCTION("""COMPUTED_VALUE"""),"#N/A")</f>
        <v>#N/A</v>
      </c>
      <c r="G1201" s="6" t="str">
        <f>IFERROR(__xludf.DUMMYFUNCTION("""COMPUTED_VALUE"""),"#N/A")</f>
        <v>#N/A</v>
      </c>
      <c r="H1201" s="18" t="str">
        <f>IFERROR(__xludf.DUMMYFUNCTION("""COMPUTED_VALUE"""),"https://docs.google.com/spreadsheets/d/19THEBTE9q0fhN2eApZr6BgenIvLGh0AckaYxHQfHk5w/edit?gid=1246380027#gid=1246380027")</f>
        <v>https://docs.google.com/spreadsheets/d/19THEBTE9q0fhN2eApZr6BgenIvLGh0AckaYxHQfHk5w/edit?gid=1246380027#gid=1246380027</v>
      </c>
      <c r="I1201" s="19" t="str">
        <f>IFERROR(__xludf.DUMMYFUNCTION("""COMPUTED_VALUE"""),"https://disk.yandex.ru/client/disk/Осмотры%20объектов%20АНО%20СМГ/249.%20ГБУЗ%20ДГКБ%20св.Владимира%20ДЗМ%20Рубцовско-Дворцовая%20улица%2C%201%5C3к1")</f>
        <v>https://disk.yandex.ru/client/disk/Осмотры%20объектов%20АНО%20СМГ/249.%20ГБУЗ%20ДГКБ%20св.Владимира%20ДЗМ%20Рубцовско-Дворцовая%20улица%2C%201%5C3к1</v>
      </c>
      <c r="J1201" s="50">
        <f>IFERROR(__xludf.DUMMYFUNCTION("""COMPUTED_VALUE"""),100.0)</f>
        <v>100</v>
      </c>
      <c r="K1201" s="58">
        <f>IFERROR(__xludf.DUMMYFUNCTION("""COMPUTED_VALUE"""),45937.0)</f>
        <v>45937</v>
      </c>
      <c r="L1201" s="6" t="s">
        <v>654</v>
      </c>
      <c r="M1201" s="52" t="s">
        <v>655</v>
      </c>
      <c r="N1201" s="53" t="s">
        <v>656</v>
      </c>
      <c r="O1201" s="19" t="s">
        <v>1268</v>
      </c>
      <c r="P1201" s="6"/>
      <c r="Q1201" s="6" t="str">
        <f t="shared" si="1"/>
        <v>#N/A</v>
      </c>
      <c r="R1201" s="6"/>
    </row>
    <row r="1202" hidden="1">
      <c r="A1202" s="31" t="str">
        <f>IFERROR(__xludf.DUMMYFUNCTION("""COMPUTED_VALUE"""),"1026")</f>
        <v>1026</v>
      </c>
      <c r="B1202" s="14" t="str">
        <f>IFERROR(__xludf.DUMMYFUNCTION("""COMPUTED_VALUE"""),"ВНЕ СПИСКА")</f>
        <v>ВНЕ СПИСКА</v>
      </c>
      <c r="C1202" s="14" t="str">
        <f>IFERROR(__xludf.DUMMYFUNCTION("""COMPUTED_VALUE"""),"ОКС")</f>
        <v>ОКС</v>
      </c>
      <c r="D1202" s="6" t="str">
        <f>IFERROR(__xludf.DUMMYFUNCTION("""COMPUTED_VALUE"""),"да")</f>
        <v>да</v>
      </c>
      <c r="E1202" s="14" t="str">
        <f>IFERROR(__xludf.DUMMYFUNCTION("""COMPUTED_VALUE"""),"Осмотр хода строительства офисно-делового здания с ИТ-школой, квартал А24 
ЗАО, р-н Кунцево, квартал № 120, дом 16 район Кунцево, квартал № 120, дом 16")</f>
        <v>Осмотр хода строительства офисно-делового здания с ИТ-школой, квартал А24 
ЗАО, р-н Кунцево, квартал № 120, дом 16 район Кунцево, квартал № 120, дом 16</v>
      </c>
      <c r="F1202" s="25" t="str">
        <f>IFERROR(__xludf.DUMMYFUNCTION("""COMPUTED_VALUE"""),"55.792614")</f>
        <v>55.792614</v>
      </c>
      <c r="G1202" s="6" t="str">
        <f>IFERROR(__xludf.DUMMYFUNCTION("""COMPUTED_VALUE"""),"37.334401")</f>
        <v>37.334401</v>
      </c>
      <c r="H1202" s="18" t="str">
        <f>IFERROR(__xludf.DUMMYFUNCTION("""COMPUTED_VALUE"""),"https://docs.google.com/spreadsheets/d/1EI7qusa674eJhuaw-nWWtWMEHVSYMQv7HLsInEZTWpE/edit?gid=1285680643#gid=1285680643")</f>
        <v>https://docs.google.com/spreadsheets/d/1EI7qusa674eJhuaw-nWWtWMEHVSYMQv7HLsInEZTWpE/edit?gid=1285680643#gid=1285680643</v>
      </c>
      <c r="I1202" s="19" t="str">
        <f>IFERROR(__xludf.DUMMYFUNCTION("""COMPUTED_VALUE"""),"https://disk.yandex.ru/client/disk/Осмотры%20объектов%20АНО%20СМГ/1026%20А24%20р-н%20Кунцево%2C%20квартал%20№%20120%2C%20дом%2016")</f>
        <v>https://disk.yandex.ru/client/disk/Осмотры%20объектов%20АНО%20СМГ/1026%20А24%20р-н%20Кунцево%2C%20квартал%20№%20120%2C%20дом%2016</v>
      </c>
      <c r="J1202" s="50">
        <f>IFERROR(__xludf.DUMMYFUNCTION("""COMPUTED_VALUE"""),94.18244000000001)</f>
        <v>94.18244</v>
      </c>
      <c r="K1202" s="58">
        <f>IFERROR(__xludf.DUMMYFUNCTION("""COMPUTED_VALUE"""),45967.0)</f>
        <v>45967</v>
      </c>
      <c r="L1202" s="6">
        <v>7.0</v>
      </c>
      <c r="M1202" s="52">
        <v>45974.0</v>
      </c>
      <c r="N1202" s="53" t="s">
        <v>668</v>
      </c>
      <c r="O1202" s="19" t="s">
        <v>1269</v>
      </c>
      <c r="P1202" s="6"/>
      <c r="Q1202" s="6" t="str">
        <f t="shared" si="1"/>
        <v>#N/A</v>
      </c>
      <c r="R1202" s="6"/>
    </row>
    <row r="1203" hidden="1">
      <c r="A1203" s="31" t="str">
        <f>IFERROR(__xludf.DUMMYFUNCTION("""COMPUTED_VALUE"""),"260")</f>
        <v>260</v>
      </c>
      <c r="B1203" s="14" t="str">
        <f>IFERROR(__xludf.DUMMYFUNCTION("""COMPUTED_VALUE"""),"АИП-25")</f>
        <v>АИП-25</v>
      </c>
      <c r="C1203" s="14" t="str">
        <f>IFERROR(__xludf.DUMMYFUNCTION("""COMPUTED_VALUE"""),"ОКС")</f>
        <v>ОКС</v>
      </c>
      <c r="D1203" s="6"/>
      <c r="E1203" s="14" t="str">
        <f>IFERROR(__xludf.DUMMYFUNCTION("""COMPUTED_VALUE"""),"Осмотр хода строительства детской поликлиники 
на 320 посещений в смену, ЗелАО, район Крюково, Панфиловский проспект, з/у 18 район Крюково, Панфиловский проспект, з/у 18")</f>
        <v>Осмотр хода строительства детской поликлиники 
на 320 посещений в смену, ЗелАО, район Крюково, Панфиловский проспект, з/у 18 район Крюково, Панфиловский проспект, з/у 18</v>
      </c>
      <c r="F1203" s="25" t="str">
        <f>IFERROR(__xludf.DUMMYFUNCTION("""COMPUTED_VALUE"""),"#N/A")</f>
        <v>#N/A</v>
      </c>
      <c r="G1203" s="6" t="str">
        <f>IFERROR(__xludf.DUMMYFUNCTION("""COMPUTED_VALUE"""),"#N/A")</f>
        <v>#N/A</v>
      </c>
      <c r="H1203" s="18" t="str">
        <f>IFERROR(__xludf.DUMMYFUNCTION("""COMPUTED_VALUE"""),"https://docs.google.com/spreadsheets/d/19THEBTE9q0fhN2eApZr6BgenIvLGh0AckaYxHQfHk5w/edit?gid=1825170573#gid=1825170573")</f>
        <v>https://docs.google.com/spreadsheets/d/19THEBTE9q0fhN2eApZr6BgenIvLGh0AckaYxHQfHk5w/edit?gid=1825170573#gid=1825170573</v>
      </c>
      <c r="I1203" s="19" t="str">
        <f>IFERROR(__xludf.DUMMYFUNCTION("""COMPUTED_VALUE"""),"https://disk.yandex.ru/client/disk/Осмотры%20объектов%20АНО%20СМГ/260.%20Панфиловский%20проспект%2C%20зу1825.%20Детская%20поликлиника%20на%20320")</f>
        <v>https://disk.yandex.ru/client/disk/Осмотры%20объектов%20АНО%20СМГ/260.%20Панфиловский%20проспект%2C%20зу1825.%20Детская%20поликлиника%20на%20320</v>
      </c>
      <c r="J1203" s="50">
        <f>IFERROR(__xludf.DUMMYFUNCTION("""COMPUTED_VALUE"""),100.0)</f>
        <v>100</v>
      </c>
      <c r="K1203" s="58">
        <f>IFERROR(__xludf.DUMMYFUNCTION("""COMPUTED_VALUE"""),45894.0)</f>
        <v>45894</v>
      </c>
      <c r="L1203" s="6" t="s">
        <v>654</v>
      </c>
      <c r="M1203" s="52" t="s">
        <v>655</v>
      </c>
      <c r="N1203" s="53" t="s">
        <v>656</v>
      </c>
      <c r="O1203" s="19" t="s">
        <v>1270</v>
      </c>
      <c r="P1203" s="6"/>
      <c r="Q1203" s="6" t="str">
        <f t="shared" si="1"/>
        <v>#N/A</v>
      </c>
      <c r="R1203" s="6"/>
    </row>
    <row r="1204" hidden="1">
      <c r="A1204" s="31" t="str">
        <f>IFERROR(__xludf.DUMMYFUNCTION("""COMPUTED_VALUE"""),"130")</f>
        <v>130</v>
      </c>
      <c r="B1204" s="14" t="str">
        <f>IFERROR(__xludf.DUMMYFUNCTION("""COMPUTED_VALUE"""),"ВНЕ СПИСКА")</f>
        <v>ВНЕ СПИСКА</v>
      </c>
      <c r="C1204" s="14" t="str">
        <f>IFERROR(__xludf.DUMMYFUNCTION("""COMPUTED_VALUE"""),"ОКС")</f>
        <v>ОКС</v>
      </c>
      <c r="D1204" s="6"/>
      <c r="E1204" s="14" t="str">
        <f>IFERROR(__xludf.DUMMYFUNCTION("""COMPUTED_VALUE"""),"ДОУ на 300 мест, ВАО, р-н Измайлово район Измайлово, Сиреневый бульвар, вл. 4")</f>
        <v>ДОУ на 300 мест, ВАО, р-н Измайлово район Измайлово, Сиреневый бульвар, вл. 4</v>
      </c>
      <c r="F1204" s="25" t="str">
        <f>IFERROR(__xludf.DUMMYFUNCTION("""COMPUTED_VALUE"""),"#N/A")</f>
        <v>#N/A</v>
      </c>
      <c r="G1204" s="6" t="str">
        <f>IFERROR(__xludf.DUMMYFUNCTION("""COMPUTED_VALUE"""),"#N/A")</f>
        <v>#N/A</v>
      </c>
      <c r="H1204" s="18" t="str">
        <f>IFERROR(__xludf.DUMMYFUNCTION("""COMPUTED_VALUE"""),"https://docs.google.com/spreadsheets/d/1EI7qusa674eJhuaw-nWWtWMEHVSYMQv7HLsInEZTWpE/edit?gid=446883211#gid=446883211")</f>
        <v>https://docs.google.com/spreadsheets/d/1EI7qusa674eJhuaw-nWWtWMEHVSYMQv7HLsInEZTWpE/edit?gid=446883211#gid=446883211</v>
      </c>
      <c r="I1204" s="19" t="str">
        <f>IFERROR(__xludf.DUMMYFUNCTION("""COMPUTED_VALUE"""),"https://disk.yandex.ru/client/disk/Осмотры%20объектов%20АНО%20СМГ/130%20ВАО%2C%20р-н%20Измайлово%2C%20Сиреневый%20бульвар%2C%20вл.%204")</f>
        <v>https://disk.yandex.ru/client/disk/Осмотры%20объектов%20АНО%20СМГ/130%20ВАО%2C%20р-н%20Измайлово%2C%20Сиреневый%20бульвар%2C%20вл.%204</v>
      </c>
      <c r="J1204" s="50">
        <f>IFERROR(__xludf.DUMMYFUNCTION("""COMPUTED_VALUE"""),100.0)</f>
        <v>100</v>
      </c>
      <c r="K1204" s="58">
        <f>IFERROR(__xludf.DUMMYFUNCTION("""COMPUTED_VALUE"""),45895.0)</f>
        <v>45895</v>
      </c>
      <c r="L1204" s="6" t="s">
        <v>654</v>
      </c>
      <c r="M1204" s="52" t="s">
        <v>655</v>
      </c>
      <c r="N1204" s="53" t="s">
        <v>656</v>
      </c>
      <c r="O1204" s="19" t="s">
        <v>1271</v>
      </c>
      <c r="P1204" s="6"/>
      <c r="Q1204" s="6" t="str">
        <f t="shared" si="1"/>
        <v>#N/A</v>
      </c>
      <c r="R1204" s="6"/>
    </row>
    <row r="1205" hidden="1">
      <c r="A1205" s="31" t="str">
        <f>IFERROR(__xludf.DUMMYFUNCTION("""COMPUTED_VALUE"""),"323")</f>
        <v>323</v>
      </c>
      <c r="B1205" s="14" t="str">
        <f>IFERROR(__xludf.DUMMYFUNCTION("""COMPUTED_VALUE"""),"ВНЕ СПИСКА")</f>
        <v>ВНЕ СПИСКА</v>
      </c>
      <c r="C1205" s="14" t="str">
        <f>IFERROR(__xludf.DUMMYFUNCTION("""COMPUTED_VALUE"""),"ОКС")</f>
        <v>ОКС</v>
      </c>
      <c r="D1205" s="6" t="str">
        <f>IFERROR(__xludf.DUMMYFUNCTION("""COMPUTED_VALUE"""),"да")</f>
        <v>да</v>
      </c>
      <c r="E1205" s="14" t="str">
        <f>IFERROR(__xludf.DUMMYFUNCTION("""COMPUTED_VALUE"""),"Международный комплекс «Международная хоккейная школа им. А.М. Овечкина» район Хорошево-Мневники, Нижние Мневники ул., стр. 15")</f>
        <v>Международный комплекс «Международная хоккейная школа им. А.М. Овечкина» район Хорошево-Мневники, Нижние Мневники ул., стр. 15</v>
      </c>
      <c r="F1205" s="25" t="str">
        <f>IFERROR(__xludf.DUMMYFUNCTION("""COMPUTED_VALUE"""),"55.755112")</f>
        <v>55.755112</v>
      </c>
      <c r="G1205" s="6" t="str">
        <f>IFERROR(__xludf.DUMMYFUNCTION("""COMPUTED_VALUE"""),"37.468320")</f>
        <v>37.468320</v>
      </c>
      <c r="H1205" s="18" t="str">
        <f>IFERROR(__xludf.DUMMYFUNCTION("""COMPUTED_VALUE"""),"https://docs.google.com/spreadsheets/d/1EI7qusa674eJhuaw-nWWtWMEHVSYMQv7HLsInEZTWpE/edit?gid=1026471419#gid=1026471419")</f>
        <v>https://docs.google.com/spreadsheets/d/1EI7qusa674eJhuaw-nWWtWMEHVSYMQv7HLsInEZTWpE/edit?gid=1026471419#gid=1026471419</v>
      </c>
      <c r="I1205" s="19" t="str">
        <f>IFERROR(__xludf.DUMMYFUNCTION("""COMPUTED_VALUE"""),"https://disk.yandex.ru/client/disk/Осмотры%20объектов%20АНО%20СМГ/323.%20Международная%20хоккейная%20школа%20им.%20А.М.%20Овечкина")</f>
        <v>https://disk.yandex.ru/client/disk/Осмотры%20объектов%20АНО%20СМГ/323.%20Международная%20хоккейная%20школа%20им.%20А.М.%20Овечкина</v>
      </c>
      <c r="J1205" s="50">
        <f>IFERROR(__xludf.DUMMYFUNCTION("""COMPUTED_VALUE"""),28.113999999999997)</f>
        <v>28.114</v>
      </c>
      <c r="K1205" s="58">
        <f>IFERROR(__xludf.DUMMYFUNCTION("""COMPUTED_VALUE"""),45971.0)</f>
        <v>45971</v>
      </c>
      <c r="L1205" s="6">
        <v>30.0</v>
      </c>
      <c r="M1205" s="52">
        <v>46001.0</v>
      </c>
      <c r="N1205" s="53" t="s">
        <v>711</v>
      </c>
      <c r="O1205" s="19" t="s">
        <v>1272</v>
      </c>
      <c r="P1205" s="6"/>
      <c r="Q1205" s="6" t="str">
        <f t="shared" si="1"/>
        <v>#N/A</v>
      </c>
      <c r="R1205" s="6"/>
    </row>
    <row r="1206" hidden="1">
      <c r="A1206" s="31" t="str">
        <f>IFERROR(__xludf.DUMMYFUNCTION("""COMPUTED_VALUE"""),"343")</f>
        <v>343</v>
      </c>
      <c r="B1206" s="14" t="str">
        <f>IFERROR(__xludf.DUMMYFUNCTION("""COMPUTED_VALUE"""),"ВНЕ СПИСКА")</f>
        <v>ВНЕ СПИСКА</v>
      </c>
      <c r="C1206" s="14" t="str">
        <f>IFERROR(__xludf.DUMMYFUNCTION("""COMPUTED_VALUE"""),"ОКС")</f>
        <v>ОКС</v>
      </c>
      <c r="D1206" s="6" t="str">
        <f>IFERROR(__xludf.DUMMYFUNCTION("""COMPUTED_VALUE"""),"да")</f>
        <v>да</v>
      </c>
      <c r="E1206" s="14" t="str">
        <f>IFERROR(__xludf.DUMMYFUNCTION("""COMPUTED_VALUE"""),"Учебный корпус на 925 мест в составе ЖК «Остров», СЗАО, р-н Хорошево-Мневники р-н Хорошево-Мневники, ул. Нижние Мневники, д. 18")</f>
        <v>Учебный корпус на 925 мест в составе ЖК «Остров», СЗАО, р-н Хорошево-Мневники р-н Хорошево-Мневники, ул. Нижние Мневники, д. 18</v>
      </c>
      <c r="F1206" s="25" t="str">
        <f>IFERROR(__xludf.DUMMYFUNCTION("""COMPUTED_VALUE"""),"#N/A")</f>
        <v>#N/A</v>
      </c>
      <c r="G1206" s="6" t="str">
        <f>IFERROR(__xludf.DUMMYFUNCTION("""COMPUTED_VALUE"""),"#N/A")</f>
        <v>#N/A</v>
      </c>
      <c r="H1206" s="18" t="str">
        <f>IFERROR(__xludf.DUMMYFUNCTION("""COMPUTED_VALUE"""),"https://docs.google.com/spreadsheets/d/1EI7qusa674eJhuaw-nWWtWMEHVSYMQv7HLsInEZTWpE/edit?gid=1022242891#gid=1022242891")</f>
        <v>https://docs.google.com/spreadsheets/d/1EI7qusa674eJhuaw-nWWtWMEHVSYMQv7HLsInEZTWpE/edit?gid=1022242891#gid=1022242891</v>
      </c>
      <c r="I1206" s="19" t="str">
        <f>IFERROR(__xludf.DUMMYFUNCTION("""COMPUTED_VALUE"""),"https://disk.yandex.ru/client/disk/Осмотры%20объектов%20АНО%20СМГ/343.%20Мневники%2C%2018%20СОШ%20925")</f>
        <v>https://disk.yandex.ru/client/disk/Осмотры%20объектов%20АНО%20СМГ/343.%20Мневники%2C%2018%20СОШ%20925</v>
      </c>
      <c r="J1206" s="50">
        <f>IFERROR(__xludf.DUMMYFUNCTION("""COMPUTED_VALUE"""),100.0)</f>
        <v>100</v>
      </c>
      <c r="K1206" s="58">
        <f>IFERROR(__xludf.DUMMYFUNCTION("""COMPUTED_VALUE"""),45873.0)</f>
        <v>45873</v>
      </c>
      <c r="L1206" s="6" t="s">
        <v>654</v>
      </c>
      <c r="M1206" s="52" t="s">
        <v>655</v>
      </c>
      <c r="N1206" s="53" t="s">
        <v>656</v>
      </c>
      <c r="O1206" s="19" t="s">
        <v>1273</v>
      </c>
      <c r="P1206" s="6"/>
      <c r="Q1206" s="6" t="str">
        <f t="shared" si="1"/>
        <v>#N/A</v>
      </c>
      <c r="R1206" s="6"/>
    </row>
    <row r="1207" hidden="1">
      <c r="A1207" s="31" t="str">
        <f>IFERROR(__xludf.DUMMYFUNCTION("""COMPUTED_VALUE"""),"344")</f>
        <v>344</v>
      </c>
      <c r="B1207" s="14" t="str">
        <f>IFERROR(__xludf.DUMMYFUNCTION("""COMPUTED_VALUE"""),"ВНЕ СПИСКА")</f>
        <v>ВНЕ СПИСКА</v>
      </c>
      <c r="C1207" s="14" t="str">
        <f>IFERROR(__xludf.DUMMYFUNCTION("""COMPUTED_VALUE"""),"ОКС")</f>
        <v>ОКС</v>
      </c>
      <c r="D1207" s="6" t="str">
        <f>IFERROR(__xludf.DUMMYFUNCTION("""COMPUTED_VALUE"""),"да")</f>
        <v>да</v>
      </c>
      <c r="E1207" s="14" t="str">
        <f>IFERROR(__xludf.DUMMYFUNCTION("""COMPUTED_VALUE"""),"Школа 775 мест, СЗАО, р-н Хорошево-Мневники район Хорошёво-Мнёвники, Шелепихинская набережная, д. 36А, стр.1")</f>
        <v>Школа 775 мест, СЗАО, р-н Хорошево-Мневники район Хорошёво-Мнёвники, Шелепихинская набережная, д. 36А, стр.1</v>
      </c>
      <c r="F1207" s="25" t="str">
        <f>IFERROR(__xludf.DUMMYFUNCTION("""COMPUTED_VALUE"""),"55.765579")</f>
        <v>55.765579</v>
      </c>
      <c r="G1207" s="6" t="str">
        <f>IFERROR(__xludf.DUMMYFUNCTION("""COMPUTED_VALUE"""),"37.506354")</f>
        <v>37.506354</v>
      </c>
      <c r="H1207" s="18" t="str">
        <f>IFERROR(__xludf.DUMMYFUNCTION("""COMPUTED_VALUE"""),"https://docs.google.com/spreadsheets/d/1EI7qusa674eJhuaw-nWWtWMEHVSYMQv7HLsInEZTWpE/edit?gid=376178489#gid=376178489")</f>
        <v>https://docs.google.com/spreadsheets/d/1EI7qusa674eJhuaw-nWWtWMEHVSYMQv7HLsInEZTWpE/edit?gid=376178489#gid=376178489</v>
      </c>
      <c r="I1207" s="19" t="str">
        <f>IFERROR(__xludf.DUMMYFUNCTION("""COMPUTED_VALUE"""),"https://disk.yandex.ru/client/disk/Осмотры%20объектов%20АНО%20СМГ/344.%20СОШ%20775%2C%20ул.%20Шеногина%20д.%202%2C%20стр.%202")</f>
        <v>https://disk.yandex.ru/client/disk/Осмотры%20объектов%20АНО%20СМГ/344.%20СОШ%20775%2C%20ул.%20Шеногина%20д.%202%2C%20стр.%202</v>
      </c>
      <c r="J1207" s="50">
        <f>IFERROR(__xludf.DUMMYFUNCTION("""COMPUTED_VALUE"""),100.0)</f>
        <v>100</v>
      </c>
      <c r="K1207" s="58">
        <f>IFERROR(__xludf.DUMMYFUNCTION("""COMPUTED_VALUE"""),45957.0)</f>
        <v>45957</v>
      </c>
      <c r="L1207" s="6" t="s">
        <v>654</v>
      </c>
      <c r="M1207" s="52" t="s">
        <v>655</v>
      </c>
      <c r="N1207" s="53" t="s">
        <v>656</v>
      </c>
      <c r="O1207" s="19" t="s">
        <v>1274</v>
      </c>
      <c r="P1207" s="6"/>
      <c r="Q1207" s="6" t="str">
        <f t="shared" si="1"/>
        <v>#N/A</v>
      </c>
      <c r="R1207" s="6"/>
    </row>
    <row r="1208" hidden="1">
      <c r="A1208" s="70" t="str">
        <f>IFERROR(__xludf.DUMMYFUNCTION("""COMPUTED_VALUE"""),"1036")</f>
        <v>1036</v>
      </c>
      <c r="B1208" s="14" t="str">
        <f>IFERROR(__xludf.DUMMYFUNCTION("""COMPUTED_VALUE"""),"ВНЕ СПИСКА")</f>
        <v>ВНЕ СПИСКА</v>
      </c>
      <c r="C1208" s="14" t="str">
        <f>IFERROR(__xludf.DUMMYFUNCTION("""COMPUTED_VALUE"""),"ОКС")</f>
        <v>ОКС</v>
      </c>
      <c r="D1208" s="6"/>
      <c r="E1208" s="14" t="str">
        <f>IFERROR(__xludf.DUMMYFUNCTION("""COMPUTED_VALUE"""),"Цирк на территории Мневниковской поймы ул. Нижние Мневники")</f>
        <v>Цирк на территории Мневниковской поймы ул. Нижние Мневники</v>
      </c>
      <c r="F1208" s="25" t="str">
        <f>IFERROR(__xludf.DUMMYFUNCTION("""COMPUTED_VALUE"""),"#N/A")</f>
        <v>#N/A</v>
      </c>
      <c r="G1208" s="6" t="str">
        <f>IFERROR(__xludf.DUMMYFUNCTION("""COMPUTED_VALUE"""),"#N/A")</f>
        <v>#N/A</v>
      </c>
      <c r="H1208" s="18" t="str">
        <f>IFERROR(__xludf.DUMMYFUNCTION("""COMPUTED_VALUE"""),"https://docs.google.com/spreadsheets/d/1EI7qusa674eJhuaw-nWWtWMEHVSYMQv7HLsInEZTWpE/edit?gid=1836431147#gid=1836431147")</f>
        <v>https://docs.google.com/spreadsheets/d/1EI7qusa674eJhuaw-nWWtWMEHVSYMQv7HLsInEZTWpE/edit?gid=1836431147#gid=1836431147</v>
      </c>
      <c r="I1208" s="19" t="str">
        <f>IFERROR(__xludf.DUMMYFUNCTION("""COMPUTED_VALUE"""),"https://disk.yandex.ru/client/disk/Осмотры%20объектов%20АНО%20СМГ/1036%20Цирк")</f>
        <v>https://disk.yandex.ru/client/disk/Осмотры%20объектов%20АНО%20СМГ/1036%20Цирк</v>
      </c>
      <c r="J1208" s="50">
        <f>IFERROR(__xludf.DUMMYFUNCTION("""COMPUTED_VALUE"""),0.0)</f>
        <v>0</v>
      </c>
      <c r="K1208" s="58">
        <f>IFERROR(__xludf.DUMMYFUNCTION("""COMPUTED_VALUE"""),45845.0)</f>
        <v>45845</v>
      </c>
      <c r="L1208" s="6">
        <v>30.0</v>
      </c>
      <c r="M1208" s="52">
        <v>45875.0</v>
      </c>
      <c r="N1208" s="53" t="s">
        <v>668</v>
      </c>
      <c r="O1208" s="19" t="s">
        <v>1275</v>
      </c>
      <c r="P1208" s="6"/>
      <c r="Q1208" s="6" t="str">
        <f t="shared" si="1"/>
        <v>#N/A</v>
      </c>
      <c r="R1208" s="6"/>
    </row>
    <row r="1209" hidden="1">
      <c r="A1209" s="31" t="str">
        <f>IFERROR(__xludf.DUMMYFUNCTION("""COMPUTED_VALUE"""),"299")</f>
        <v>299</v>
      </c>
      <c r="B1209" s="14" t="str">
        <f>IFERROR(__xludf.DUMMYFUNCTION("""COMPUTED_VALUE"""),"ВНЕ СПИСКА")</f>
        <v>ВНЕ СПИСКА</v>
      </c>
      <c r="C1209" s="14" t="str">
        <f>IFERROR(__xludf.DUMMYFUNCTION("""COMPUTED_VALUE"""),"ОКС")</f>
        <v>ОКС</v>
      </c>
      <c r="D1209" s="6"/>
      <c r="E1209" s="14" t="str">
        <f>IFERROR(__xludf.DUMMYFUNCTION("""COMPUTED_VALUE"""),"Строительство нового корпуса ГКБ им. В.П. Демихова по адресу: ЮВАО, р-н Текстильщики, ул. Шкулева, д. 4» р-н Текстильщики, ул. Шкулева, д. 4")</f>
        <v>Строительство нового корпуса ГКБ им. В.П. Демихова по адресу: ЮВАО, р-н Текстильщики, ул. Шкулева, д. 4» р-н Текстильщики, ул. Шкулева, д. 4</v>
      </c>
      <c r="F1209" s="25" t="str">
        <f>IFERROR(__xludf.DUMMYFUNCTION("""COMPUTED_VALUE"""),"55.692778")</f>
        <v>55.692778</v>
      </c>
      <c r="G1209" s="6" t="str">
        <f>IFERROR(__xludf.DUMMYFUNCTION("""COMPUTED_VALUE"""),"37.750593")</f>
        <v>37.750593</v>
      </c>
      <c r="H1209" s="18" t="str">
        <f>IFERROR(__xludf.DUMMYFUNCTION("""COMPUTED_VALUE"""),"https://docs.google.com/spreadsheets/d/1EI7qusa674eJhuaw-nWWtWMEHVSYMQv7HLsInEZTWpE/edit?gid=1477675576#gid=1477675576")</f>
        <v>https://docs.google.com/spreadsheets/d/1EI7qusa674eJhuaw-nWWtWMEHVSYMQv7HLsInEZTWpE/edit?gid=1477675576#gid=1477675576</v>
      </c>
      <c r="I1209" s="19" t="str">
        <f>IFERROR(__xludf.DUMMYFUNCTION("""COMPUTED_VALUE"""),"https://disk.yandex.ru/client/disk/Осмотры%20объектов%20АНО%20СМГ/299.%20Шкулева%20д.4%20ГКБ%20им.%20В.П.%20Демихова")</f>
        <v>https://disk.yandex.ru/client/disk/Осмотры%20объектов%20АНО%20СМГ/299.%20Шкулева%20д.4%20ГКБ%20им.%20В.П.%20Демихова</v>
      </c>
      <c r="J1209" s="50">
        <f>IFERROR(__xludf.DUMMYFUNCTION("""COMPUTED_VALUE"""),0.045)</f>
        <v>0.045</v>
      </c>
      <c r="K1209" s="58">
        <f>IFERROR(__xludf.DUMMYFUNCTION("""COMPUTED_VALUE"""),45971.0)</f>
        <v>45971</v>
      </c>
      <c r="L1209" s="6">
        <v>30.0</v>
      </c>
      <c r="M1209" s="52">
        <v>46001.0</v>
      </c>
      <c r="N1209" s="53" t="s">
        <v>711</v>
      </c>
      <c r="O1209" s="19" t="s">
        <v>1276</v>
      </c>
      <c r="P1209" s="6"/>
      <c r="Q1209" s="6" t="str">
        <f t="shared" si="1"/>
        <v>#N/A</v>
      </c>
      <c r="R1209" s="6"/>
    </row>
    <row r="1210" hidden="1">
      <c r="A1210" s="31" t="str">
        <f>IFERROR(__xludf.DUMMYFUNCTION("""COMPUTED_VALUE"""),"326")</f>
        <v>326</v>
      </c>
      <c r="B1210" s="14" t="str">
        <f>IFERROR(__xludf.DUMMYFUNCTION("""COMPUTED_VALUE"""),"ВНЕ СПИСКА")</f>
        <v>ВНЕ СПИСКА</v>
      </c>
      <c r="C1210" s="14" t="str">
        <f>IFERROR(__xludf.DUMMYFUNCTION("""COMPUTED_VALUE"""),"ОКС")</f>
        <v>ОКС</v>
      </c>
      <c r="D1210" s="6" t="str">
        <f>IFERROR(__xludf.DUMMYFUNCTION("""COMPUTED_VALUE"""),"да")</f>
        <v>да</v>
      </c>
      <c r="E1210" s="14" t="str">
        <f>IFERROR(__xludf.DUMMYFUNCTION("""COMPUTED_VALUE"""),"Приспособление здания под размещения офиса ООО «СИБУР» район Якиманка, ул. Большая Якиманка, д.2")</f>
        <v>Приспособление здания под размещения офиса ООО «СИБУР» район Якиманка, ул. Большая Якиманка, д.2</v>
      </c>
      <c r="F1210" s="25" t="str">
        <f>IFERROR(__xludf.DUMMYFUNCTION("""COMPUTED_VALUE"""),"55.740869")</f>
        <v>55.740869</v>
      </c>
      <c r="G1210" s="6" t="str">
        <f>IFERROR(__xludf.DUMMYFUNCTION("""COMPUTED_VALUE"""),"37.613526")</f>
        <v>37.613526</v>
      </c>
      <c r="H1210" s="18" t="str">
        <f>IFERROR(__xludf.DUMMYFUNCTION("""COMPUTED_VALUE"""),"https://docs.google.com/spreadsheets/d/1EI7qusa674eJhuaw-nWWtWMEHVSYMQv7HLsInEZTWpE/edit?gid=1476336114#gid=1476336114")</f>
        <v>https://docs.google.com/spreadsheets/d/1EI7qusa674eJhuaw-nWWtWMEHVSYMQv7HLsInEZTWpE/edit?gid=1476336114#gid=1476336114</v>
      </c>
      <c r="I1210" s="19" t="str">
        <f>IFERROR(__xludf.DUMMYFUNCTION("""COMPUTED_VALUE"""),"https://disk.yandex.ru/client/disk/Осмотры%20объектов%20АНО%20СМГ/326.%20ул%20Большая%20Якиманка%2C%202-4")</f>
        <v>https://disk.yandex.ru/client/disk/Осмотры%20объектов%20АНО%20СМГ/326.%20ул%20Большая%20Якиманка%2C%202-4</v>
      </c>
      <c r="J1210" s="50">
        <f>IFERROR(__xludf.DUMMYFUNCTION("""COMPUTED_VALUE"""),28.282967499999998)</f>
        <v>28.2829675</v>
      </c>
      <c r="K1210" s="58">
        <f>IFERROR(__xludf.DUMMYFUNCTION("""COMPUTED_VALUE"""),45971.0)</f>
        <v>45971</v>
      </c>
      <c r="L1210" s="6">
        <v>30.0</v>
      </c>
      <c r="M1210" s="52">
        <v>46001.0</v>
      </c>
      <c r="N1210" s="53" t="s">
        <v>711</v>
      </c>
      <c r="O1210" s="19" t="s">
        <v>1277</v>
      </c>
      <c r="P1210" s="6"/>
      <c r="Q1210" s="6" t="str">
        <f t="shared" si="1"/>
        <v>#N/A</v>
      </c>
      <c r="R1210" s="6"/>
    </row>
    <row r="1211" hidden="1">
      <c r="A1211" s="31" t="str">
        <f>IFERROR(__xludf.DUMMYFUNCTION("""COMPUTED_VALUE"""),"816")</f>
        <v>816</v>
      </c>
      <c r="B1211" s="14" t="str">
        <f>IFERROR(__xludf.DUMMYFUNCTION("""COMPUTED_VALUE"""),"ВНЕ СПИСКА")</f>
        <v>ВНЕ СПИСКА</v>
      </c>
      <c r="C1211" s="14" t="str">
        <f>IFERROR(__xludf.DUMMYFUNCTION("""COMPUTED_VALUE"""),"ОКС")</f>
        <v>ОКС</v>
      </c>
      <c r="D1211" s="6" t="str">
        <f>IFERROR(__xludf.DUMMYFUNCTION("""COMPUTED_VALUE"""),"да")</f>
        <v>да</v>
      </c>
      <c r="E1211" s="14" t="str">
        <f>IFERROR(__xludf.DUMMYFUNCTION("""COMPUTED_VALUE"""),"Реконструкция кинотеатра ""Ударник"" р-н Якиманка, ул Серафимовича, д.4")</f>
        <v>Реконструкция кинотеатра "Ударник" р-н Якиманка, ул Серафимовича, д.4</v>
      </c>
      <c r="F1211" s="25" t="str">
        <f>IFERROR(__xludf.DUMMYFUNCTION("""COMPUTED_VALUE"""),"55.743145")</f>
        <v>55.743145</v>
      </c>
      <c r="G1211" s="6" t="str">
        <f>IFERROR(__xludf.DUMMYFUNCTION("""COMPUTED_VALUE"""),"37.614293")</f>
        <v>37.614293</v>
      </c>
      <c r="H1211" s="18" t="str">
        <f>IFERROR(__xludf.DUMMYFUNCTION("""COMPUTED_VALUE"""),"https://docs.google.com/spreadsheets/d/1EI7qusa674eJhuaw-nWWtWMEHVSYMQv7HLsInEZTWpE/edit?gid=204053805#gid=204053805")</f>
        <v>https://docs.google.com/spreadsheets/d/1EI7qusa674eJhuaw-nWWtWMEHVSYMQv7HLsInEZTWpE/edit?gid=204053805#gid=204053805</v>
      </c>
      <c r="I1211" s="19" t="str">
        <f>IFERROR(__xludf.DUMMYFUNCTION("""COMPUTED_VALUE"""),"https://disk.yandex.ru/client/disk/Осмотры%20объектов%20АНО%20СМГ/816.%20Реконструкция%20кинотеатра%20%22Ударник%22%20ЦАО%2C%20р-н%20Якиманка%2C%20ул.%20Серафимовича%2C%20д.4")</f>
        <v>https://disk.yandex.ru/client/disk/Осмотры%20объектов%20АНО%20СМГ/816.%20Реконструкция%20кинотеатра%20%22Ударник%22%20ЦАО%2C%20р-н%20Якиманка%2C%20ул.%20Серафимовича%2C%20д.4</v>
      </c>
      <c r="J1211" s="50">
        <f>IFERROR(__xludf.DUMMYFUNCTION("""COMPUTED_VALUE"""),27.349112500000004)</f>
        <v>27.3491125</v>
      </c>
      <c r="K1211" s="58">
        <f>IFERROR(__xludf.DUMMYFUNCTION("""COMPUTED_VALUE"""),45971.0)</f>
        <v>45971</v>
      </c>
      <c r="L1211" s="6">
        <v>30.0</v>
      </c>
      <c r="M1211" s="52">
        <v>46001.0</v>
      </c>
      <c r="N1211" s="53" t="s">
        <v>711</v>
      </c>
      <c r="O1211" s="19" t="s">
        <v>669</v>
      </c>
      <c r="P1211" s="6"/>
      <c r="Q1211" s="6" t="str">
        <f t="shared" si="1"/>
        <v>#N/A</v>
      </c>
      <c r="R1211" s="6"/>
    </row>
    <row r="1212" hidden="1">
      <c r="A1212" s="31" t="str">
        <f>IFERROR(__xludf.DUMMYFUNCTION("""COMPUTED_VALUE"""),"1051")</f>
        <v>1051</v>
      </c>
      <c r="B1212" s="14" t="str">
        <f>IFERROR(__xludf.DUMMYFUNCTION("""COMPUTED_VALUE"""),"ВНЕ СПИСКА")</f>
        <v>ВНЕ СПИСКА</v>
      </c>
      <c r="C1212" s="14" t="str">
        <f>IFERROR(__xludf.DUMMYFUNCTION("""COMPUTED_VALUE"""),"ОКС")</f>
        <v>ОКС</v>
      </c>
      <c r="D1212" s="6" t="str">
        <f>IFERROR(__xludf.DUMMYFUNCTION("""COMPUTED_VALUE"""),"да")</f>
        <v>да</v>
      </c>
      <c r="E1212" s="14" t="str">
        <f>IFERROR(__xludf.DUMMYFUNCTION("""COMPUTED_VALUE"""),"Осмотр Многофункционального дворца спорта  р-н Покровское-Стрешнево, Волоколамское
шоссе, вл.71/10")</f>
        <v>Осмотр Многофункционального дворца спорта  р-н Покровское-Стрешнево, Волоколамское
шоссе, вл.71/10</v>
      </c>
      <c r="F1212" s="25" t="str">
        <f>IFERROR(__xludf.DUMMYFUNCTION("""COMPUTED_VALUE"""),"55.815876")</f>
        <v>55.815876</v>
      </c>
      <c r="G1212" s="6" t="str">
        <f>IFERROR(__xludf.DUMMYFUNCTION("""COMPUTED_VALUE"""),"37.432630")</f>
        <v>37.432630</v>
      </c>
      <c r="H1212" s="18" t="str">
        <f>IFERROR(__xludf.DUMMYFUNCTION("""COMPUTED_VALUE"""),"https://docs.google.com/spreadsheets/d/1EI7qusa674eJhuaw-nWWtWMEHVSYMQv7HLsInEZTWpE/edit?gid=340433280#gid=340433280")</f>
        <v>https://docs.google.com/spreadsheets/d/1EI7qusa674eJhuaw-nWWtWMEHVSYMQv7HLsInEZTWpE/edit?gid=340433280#gid=340433280</v>
      </c>
      <c r="I1212" s="19" t="str">
        <f>IFERROR(__xludf.DUMMYFUNCTION("""COMPUTED_VALUE"""),"https://disk.yandex.ru/client/disk/Осмотры%20объектов%20АНО%20СМГ/1051%20Дворец%20спорта%20Волоколамское%0Aшоссе%2C%20вл.71%5C10")</f>
        <v>https://disk.yandex.ru/client/disk/Осмотры%20объектов%20АНО%20СМГ/1051%20Дворец%20спорта%20Волоколамское%0Aшоссе%2C%20вл.71%5C10</v>
      </c>
      <c r="J1212" s="50">
        <f>IFERROR(__xludf.DUMMYFUNCTION("""COMPUTED_VALUE"""),0.7375)</f>
        <v>0.7375</v>
      </c>
      <c r="K1212" s="58">
        <f>IFERROR(__xludf.DUMMYFUNCTION("""COMPUTED_VALUE"""),45972.0)</f>
        <v>45972</v>
      </c>
      <c r="L1212" s="6">
        <v>30.0</v>
      </c>
      <c r="M1212" s="52">
        <v>46002.0</v>
      </c>
      <c r="N1212" s="53" t="s">
        <v>711</v>
      </c>
      <c r="O1212" s="19" t="s">
        <v>1278</v>
      </c>
      <c r="P1212" s="6"/>
      <c r="Q1212" s="6" t="str">
        <f t="shared" si="1"/>
        <v>#N/A</v>
      </c>
      <c r="R1212" s="6"/>
    </row>
    <row r="1213" hidden="1">
      <c r="A1213" s="31" t="str">
        <f>IFERROR(__xludf.DUMMYFUNCTION("""COMPUTED_VALUE"""),"316")</f>
        <v>316</v>
      </c>
      <c r="B1213" s="14" t="str">
        <f>IFERROR(__xludf.DUMMYFUNCTION("""COMPUTED_VALUE"""),"ВНЕ СПИСКА")</f>
        <v>ВНЕ СПИСКА</v>
      </c>
      <c r="C1213" s="14" t="str">
        <f>IFERROR(__xludf.DUMMYFUNCTION("""COMPUTED_VALUE"""),"ОКС")</f>
        <v>ОКС</v>
      </c>
      <c r="D1213" s="6"/>
      <c r="E1213" s="14" t="str">
        <f>IFERROR(__xludf.DUMMYFUNCTION("""COMPUTED_VALUE"""),"Строительство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 Большая Сухаревская площадь, д.3, Мещанский район,")</f>
        <v>Строительство нового корпуса Научно-исследовательского института скорой помощи им. Н.В. Склифосовского по адресу: Центральный административный округ г. Москвы, Мещанский р-н, Большая Сухаревская пл., д. 3 Большая Сухаревская площадь, д.3, Мещанский район,</v>
      </c>
      <c r="F1213" s="25" t="str">
        <f>IFERROR(__xludf.DUMMYFUNCTION("""COMPUTED_VALUE"""),"55.774194")</f>
        <v>55.774194</v>
      </c>
      <c r="G1213" s="6" t="str">
        <f>IFERROR(__xludf.DUMMYFUNCTION("""COMPUTED_VALUE"""),"37.635238")</f>
        <v>37.635238</v>
      </c>
      <c r="H1213" s="18" t="str">
        <f>IFERROR(__xludf.DUMMYFUNCTION("""COMPUTED_VALUE"""),"https://docs.google.com/spreadsheets/d/1EI7qusa674eJhuaw-nWWtWMEHVSYMQv7HLsInEZTWpE/edit?gid=1721100499#gid=1721100499")</f>
        <v>https://docs.google.com/spreadsheets/d/1EI7qusa674eJhuaw-nWWtWMEHVSYMQv7HLsInEZTWpE/edit?gid=1721100499#gid=1721100499</v>
      </c>
      <c r="I1213" s="19" t="str">
        <f>IFERROR(__xludf.DUMMYFUNCTION("""COMPUTED_VALUE"""),"https://disk.yandex.ru/client/disk/Осмотры%20объектов%20АНО%20СМГ/316.%20Склифосовского%20больн.%20Б.%20Сухаревская%20пл.%203")</f>
        <v>https://disk.yandex.ru/client/disk/Осмотры%20объектов%20АНО%20СМГ/316.%20Склифосовского%20больн.%20Б.%20Сухаревская%20пл.%203</v>
      </c>
      <c r="J1213" s="50">
        <f>IFERROR(__xludf.DUMMYFUNCTION("""COMPUTED_VALUE"""),3.08)</f>
        <v>3.08</v>
      </c>
      <c r="K1213" s="58">
        <f>IFERROR(__xludf.DUMMYFUNCTION("""COMPUTED_VALUE"""),45971.0)</f>
        <v>45971</v>
      </c>
      <c r="L1213" s="6">
        <v>30.0</v>
      </c>
      <c r="M1213" s="52">
        <v>46001.0</v>
      </c>
      <c r="N1213" s="53" t="s">
        <v>711</v>
      </c>
      <c r="O1213" s="19" t="s">
        <v>1279</v>
      </c>
      <c r="P1213" s="6"/>
      <c r="Q1213" s="6" t="str">
        <f t="shared" si="1"/>
        <v>#N/A</v>
      </c>
      <c r="R1213" s="6"/>
    </row>
    <row r="1214" hidden="1">
      <c r="A1214" s="31" t="str">
        <f>IFERROR(__xludf.DUMMYFUNCTION("""COMPUTED_VALUE"""),"129")</f>
        <v>129</v>
      </c>
      <c r="B1214" s="14" t="str">
        <f>IFERROR(__xludf.DUMMYFUNCTION("""COMPUTED_VALUE"""),"ВНЕ СПИСКА")</f>
        <v>ВНЕ СПИСКА</v>
      </c>
      <c r="C1214" s="14" t="str">
        <f>IFERROR(__xludf.DUMMYFUNCTION("""COMPUTED_VALUE"""),"ОКС")</f>
        <v>ОКС</v>
      </c>
      <c r="D1214" s="6"/>
      <c r="E1214" s="14" t="str">
        <f>IFERROR(__xludf.DUMMYFUNCTION("""COMPUTED_VALUE"""),"Физкультурно-оздоровительный комплекс СВАО, район Алексеевский район Алексеевский, 3-я Мытищинская ул., д. 5")</f>
        <v>Физкультурно-оздоровительный комплекс СВАО, район Алексеевский район Алексеевский, 3-я Мытищинская ул., д. 5</v>
      </c>
      <c r="F1214" s="25" t="str">
        <f>IFERROR(__xludf.DUMMYFUNCTION("""COMPUTED_VALUE"""),"#N/A")</f>
        <v>#N/A</v>
      </c>
      <c r="G1214" s="6" t="str">
        <f>IFERROR(__xludf.DUMMYFUNCTION("""COMPUTED_VALUE"""),"#N/A")</f>
        <v>#N/A</v>
      </c>
      <c r="H1214" s="18" t="str">
        <f>IFERROR(__xludf.DUMMYFUNCTION("""COMPUTED_VALUE"""),"https://docs.google.com/spreadsheets/d/1EI7qusa674eJhuaw-nWWtWMEHVSYMQv7HLsInEZTWpE/edit?gid=800886527#gid=800886527")</f>
        <v>https://docs.google.com/spreadsheets/d/1EI7qusa674eJhuaw-nWWtWMEHVSYMQv7HLsInEZTWpE/edit?gid=800886527#gid=800886527</v>
      </c>
      <c r="I1214" s="21" t="str">
        <f>IFERROR(__xludf.DUMMYFUNCTION("""COMPUTED_VALUE"""),"https://disk.yandex.ru/client/disk/%D0%9E%D1%81%D0%BC%D0%BE%D1%82%D1%80%D1%8B%20%D0%BE%D0%B1%D1%8A%D0%B5%D0%BA%D1%82%D0%BE%D0%B2%20%D0%90%D0%9D%D0%9E%20%D0%A1%D0%9C%D0%93/129%203-%D1%8F%20%D0%9C%D1%8B%D1%82%D0%B8%D1%89%D0%B8%D0%BD%D1%81%D0%BA%D0%B0%D1%8F%"&amp;"20%D1%83%D0%BB%D0%B8%D1%86%D0%B0%2C%205%D1%811")</f>
        <v>https://disk.yandex.ru/client/disk/%D0%9E%D1%81%D0%BC%D0%BE%D1%82%D1%80%D1%8B%20%D0%BE%D0%B1%D1%8A%D0%B5%D0%BA%D1%82%D0%BE%D0%B2%20%D0%90%D0%9D%D0%9E%20%D0%A1%D0%9C%D0%93/129%203-%D1%8F%20%D0%9C%D1%8B%D1%82%D0%B8%D1%89%D0%B8%D0%BD%D1%81%D0%BA%D0%B0%D1%8F%20%D1%83%D0%BB%D0%B8%D1%86%D0%B0%2C%205%D1%811</v>
      </c>
      <c r="J1214" s="50">
        <f>IFERROR(__xludf.DUMMYFUNCTION("""COMPUTED_VALUE"""),100.0)</f>
        <v>100</v>
      </c>
      <c r="K1214" s="58">
        <f>IFERROR(__xludf.DUMMYFUNCTION("""COMPUTED_VALUE"""),45805.0)</f>
        <v>45805</v>
      </c>
      <c r="L1214" s="6" t="s">
        <v>654</v>
      </c>
      <c r="M1214" s="52" t="s">
        <v>655</v>
      </c>
      <c r="N1214" s="53" t="s">
        <v>656</v>
      </c>
      <c r="O1214" s="19"/>
      <c r="P1214" s="6"/>
      <c r="Q1214" s="6" t="str">
        <f t="shared" si="1"/>
        <v>#N/A</v>
      </c>
      <c r="R1214" s="6"/>
    </row>
    <row r="1215" hidden="1">
      <c r="A1215" s="31" t="str">
        <f>IFERROR(__xludf.DUMMYFUNCTION("""COMPUTED_VALUE"""),"НД")</f>
        <v>НД</v>
      </c>
      <c r="B1215" s="14" t="str">
        <f>IFERROR(__xludf.DUMMYFUNCTION("""COMPUTED_VALUE"""),"ВНЕ СПИСКА")</f>
        <v>ВНЕ СПИСКА</v>
      </c>
      <c r="C1215" s="14" t="str">
        <f>IFERROR(__xludf.DUMMYFUNCTION("""COMPUTED_VALUE"""),"ОКС")</f>
        <v>ОКС</v>
      </c>
      <c r="D1215" s="6" t="str">
        <f>IFERROR(__xludf.DUMMYFUNCTION("""COMPUTED_VALUE"""),"да")</f>
        <v>да</v>
      </c>
      <c r="E1215" s="14" t="str">
        <f>IFERROR(__xludf.DUMMYFUNCTION("""COMPUTED_VALUE"""),"О Концепции развития части Коммунарки - размещение ФГБОУ ВО «МГТУ Станкин», ТиНАО. ")</f>
        <v>О Концепции развития части Коммунарки - размещение ФГБОУ ВО «МГТУ Станкин», ТиНАО. </v>
      </c>
      <c r="F1215" s="25" t="str">
        <f>IFERROR(__xludf.DUMMYFUNCTION("""COMPUTED_VALUE"""),"#N/A")</f>
        <v>#N/A</v>
      </c>
      <c r="G1215" s="6" t="str">
        <f>IFERROR(__xludf.DUMMYFUNCTION("""COMPUTED_VALUE"""),"#N/A")</f>
        <v>#N/A</v>
      </c>
      <c r="H1215" s="6"/>
      <c r="I1215" s="19"/>
      <c r="J1215" s="50"/>
      <c r="K1215" s="58"/>
      <c r="L1215" s="6">
        <v>30.0</v>
      </c>
      <c r="M1215" s="52" t="s">
        <v>655</v>
      </c>
      <c r="N1215" s="53" t="s">
        <v>698</v>
      </c>
      <c r="O1215" s="19"/>
      <c r="P1215" s="6"/>
      <c r="Q1215" s="6" t="str">
        <f t="shared" si="1"/>
        <v>#N/A</v>
      </c>
      <c r="R1215" s="6"/>
    </row>
    <row r="1216" hidden="1">
      <c r="A1216" s="31" t="str">
        <f>IFERROR(__xludf.DUMMYFUNCTION("""COMPUTED_VALUE"""),"278")</f>
        <v>278</v>
      </c>
      <c r="B1216" s="14" t="str">
        <f>IFERROR(__xludf.DUMMYFUNCTION("""COMPUTED_VALUE"""),"ВНЕ СПИСКА")</f>
        <v>ВНЕ СПИСКА</v>
      </c>
      <c r="C1216" s="14" t="str">
        <f>IFERROR(__xludf.DUMMYFUNCTION("""COMPUTED_VALUE"""),"ОКС")</f>
        <v>ОКС</v>
      </c>
      <c r="D1216" s="6"/>
      <c r="E1216" s="14" t="str">
        <f>IFERROR(__xludf.DUMMYFUNCTION("""COMPUTED_VALUE""")," Школьное здание на 1700 мест на месте сноса зданий по адресам: Большой Факельный пер., д.23, стр.1-1А, Добровольческая ул., д.28, стр.1, р-н Таганский»; Большой Факельный пер., д. 23, стр. 1-1А, Добровольческая ул., д. 28, стр. 1, р-н Таганский")</f>
        <v> Школьное здание на 1700 мест на месте сноса зданий по адресам: Большой Факельный пер., д.23, стр.1-1А, Добровольческая ул., д.28, стр.1, р-н Таганский»; Большой Факельный пер., д. 23, стр. 1-1А, Добровольческая ул., д. 28, стр. 1, р-н Таганский</v>
      </c>
      <c r="F1216" s="25" t="str">
        <f>IFERROR(__xludf.DUMMYFUNCTION("""COMPUTED_VALUE"""),"#N/A")</f>
        <v>#N/A</v>
      </c>
      <c r="G1216" s="6" t="str">
        <f>IFERROR(__xludf.DUMMYFUNCTION("""COMPUTED_VALUE"""),"#N/A")</f>
        <v>#N/A</v>
      </c>
      <c r="H1216" s="18" t="str">
        <f>IFERROR(__xludf.DUMMYFUNCTION("""COMPUTED_VALUE"""),"https://docs.google.com/spreadsheets/d/1EI7qusa674eJhuaw-nWWtWMEHVSYMQv7HLsInEZTWpE/edit?gid=893741995#gid=893741995")</f>
        <v>https://docs.google.com/spreadsheets/d/1EI7qusa674eJhuaw-nWWtWMEHVSYMQv7HLsInEZTWpE/edit?gid=893741995#gid=893741995</v>
      </c>
      <c r="I1216" s="19" t="str">
        <f>IFERROR(__xludf.DUMMYFUNCTION("""COMPUTED_VALUE"""),"https://disk.yandex.ru/client/disk/Осмотры%20объектов%20АНО%20СМГ/278%20Школьное%20здание%20на%201700%20мест%2C%20по%20адресу%20Большой%20Факельный%20пер.%2C%20д.%2023%2C%20стр.%201-1АДобровольческая%20ул.%2C%20д.%2028%2C%20стр.%201%2C%20р-н%20Таганский")</f>
        <v>https://disk.yandex.ru/client/disk/Осмотры%20объектов%20АНО%20СМГ/278%20Школьное%20здание%20на%201700%20мест%2C%20по%20адресу%20Большой%20Факельный%20пер.%2C%20д.%2023%2C%20стр.%201-1АДобровольческая%20ул.%2C%20д.%2028%2C%20стр.%201%2C%20р-н%20Таганский</v>
      </c>
      <c r="J1216" s="50">
        <f>IFERROR(__xludf.DUMMYFUNCTION("""COMPUTED_VALUE"""),0.0)</f>
        <v>0</v>
      </c>
      <c r="K1216" s="58">
        <f>IFERROR(__xludf.DUMMYFUNCTION("""COMPUTED_VALUE"""),45717.0)</f>
        <v>45717</v>
      </c>
      <c r="L1216" s="6">
        <v>30.0</v>
      </c>
      <c r="M1216" s="52">
        <v>45747.0</v>
      </c>
      <c r="N1216" s="53" t="s">
        <v>668</v>
      </c>
      <c r="O1216" s="19" t="s">
        <v>1280</v>
      </c>
      <c r="P1216" s="6"/>
      <c r="Q1216" s="6" t="str">
        <f t="shared" si="1"/>
        <v>#N/A</v>
      </c>
      <c r="R1216" s="6"/>
    </row>
    <row r="1217" hidden="1">
      <c r="A1217" s="31" t="str">
        <f>IFERROR(__xludf.DUMMYFUNCTION("""COMPUTED_VALUE"""),"НД")</f>
        <v>НД</v>
      </c>
      <c r="B1217" s="14" t="str">
        <f>IFERROR(__xludf.DUMMYFUNCTION("""COMPUTED_VALUE"""),"ВНЕ СПИСКА")</f>
        <v>ВНЕ СПИСКА</v>
      </c>
      <c r="C1217" s="14" t="str">
        <f>IFERROR(__xludf.DUMMYFUNCTION("""COMPUTED_VALUE"""),"ОКС")</f>
        <v>ОКС</v>
      </c>
      <c r="D1217" s="6"/>
      <c r="E1217" s="14" t="str">
        <f>IFERROR(__xludf.DUMMYFUNCTION("""COMPUTED_VALUE"""),"Школьное здание на 2200 мест, на месте сноса зданий по адресам: Олимпийский пр-кт, д. 11, стр. 1, стр. 2, ул. Трифоновская д. 31А, р-н Мещанский Олимпийский пр-кт, д. 11, стр. 1, стр. 2, ул. Трифоновская д. 31А, р-н Мещанский")</f>
        <v>Школьное здание на 2200 мест, на месте сноса зданий по адресам: Олимпийский пр-кт, д. 11, стр. 1, стр. 2, ул. Трифоновская д. 31А, р-н Мещанский Олимпийский пр-кт, д. 11, стр. 1, стр. 2, ул. Трифоновская д. 31А, р-н Мещанский</v>
      </c>
      <c r="F1217" s="25" t="str">
        <f>IFERROR(__xludf.DUMMYFUNCTION("""COMPUTED_VALUE"""),"#N/A")</f>
        <v>#N/A</v>
      </c>
      <c r="G1217" s="6" t="str">
        <f>IFERROR(__xludf.DUMMYFUNCTION("""COMPUTED_VALUE"""),"#N/A")</f>
        <v>#N/A</v>
      </c>
      <c r="H1217" s="6"/>
      <c r="I1217" s="19"/>
      <c r="J1217" s="50"/>
      <c r="K1217" s="58"/>
      <c r="L1217" s="6">
        <v>30.0</v>
      </c>
      <c r="M1217" s="52" t="s">
        <v>655</v>
      </c>
      <c r="N1217" s="53" t="s">
        <v>698</v>
      </c>
      <c r="O1217" s="19" t="s">
        <v>1281</v>
      </c>
      <c r="P1217" s="6"/>
      <c r="Q1217" s="6" t="str">
        <f t="shared" si="1"/>
        <v>#N/A</v>
      </c>
      <c r="R1217" s="6"/>
    </row>
    <row r="1218" hidden="1">
      <c r="A1218" s="31" t="str">
        <f>IFERROR(__xludf.DUMMYFUNCTION("""COMPUTED_VALUE"""),"279")</f>
        <v>279</v>
      </c>
      <c r="B1218" s="14" t="str">
        <f>IFERROR(__xludf.DUMMYFUNCTION("""COMPUTED_VALUE"""),"ВНЕ СПИСКА")</f>
        <v>ВНЕ СПИСКА</v>
      </c>
      <c r="C1218" s="14" t="str">
        <f>IFERROR(__xludf.DUMMYFUNCTION("""COMPUTED_VALUE"""),"ОКС")</f>
        <v>ОКС</v>
      </c>
      <c r="D1218" s="6"/>
      <c r="E1218" s="14" t="str">
        <f>IFERROR(__xludf.DUMMYFUNCTION("""COMPUTED_VALUE"""),"Школьное здание на 1100 мест на месте сноса здания по адресам: Большой Кондратьевский пер., д. 3, д. 5, р-н Пресненский Большой Кондратьевский пер., д. 3, д. 5, р-н Пресненский")</f>
        <v>Школьное здание на 1100 мест на месте сноса здания по адресам: Большой Кондратьевский пер., д. 3, д. 5, р-н Пресненский Большой Кондратьевский пер., д. 3, д. 5, р-н Пресненский</v>
      </c>
      <c r="F1218" s="25" t="str">
        <f>IFERROR(__xludf.DUMMYFUNCTION("""COMPUTED_VALUE"""),"55.772714048554896")</f>
        <v>55.772714048554896</v>
      </c>
      <c r="G1218" s="6" t="str">
        <f>IFERROR(__xludf.DUMMYFUNCTION("""COMPUTED_VALUE"""),"37.5824570846556")</f>
        <v>37.5824570846556</v>
      </c>
      <c r="H1218" s="18" t="str">
        <f>IFERROR(__xludf.DUMMYFUNCTION("""COMPUTED_VALUE"""),"https://docs.google.com/spreadsheets/d/1EI7qusa674eJhuaw-nWWtWMEHVSYMQv7HLsInEZTWpE/edit?gid=2141463724#gid=2141463724")</f>
        <v>https://docs.google.com/spreadsheets/d/1EI7qusa674eJhuaw-nWWtWMEHVSYMQv7HLsInEZTWpE/edit?gid=2141463724#gid=2141463724</v>
      </c>
      <c r="I1218" s="19" t="str">
        <f>IFERROR(__xludf.DUMMYFUNCTION("""COMPUTED_VALUE"""),"https://disk.yandex.ru/client/disk/Осмотры%20объектов%20АНО%20СМГ/279.%20Б.%20Кондратьевский%20пер.%2C%20д.%203%2C%20д.%205")</f>
        <v>https://disk.yandex.ru/client/disk/Осмотры%20объектов%20АНО%20СМГ/279.%20Б.%20Кондратьевский%20пер.%2C%20д.%203%2C%20д.%205</v>
      </c>
      <c r="J1218" s="50">
        <f>IFERROR(__xludf.DUMMYFUNCTION("""COMPUTED_VALUE"""),0.0)</f>
        <v>0</v>
      </c>
      <c r="K1218" s="58">
        <f>IFERROR(__xludf.DUMMYFUNCTION("""COMPUTED_VALUE"""),45960.0)</f>
        <v>45960</v>
      </c>
      <c r="L1218" s="6">
        <v>30.0</v>
      </c>
      <c r="M1218" s="52">
        <v>45990.0</v>
      </c>
      <c r="N1218" s="53" t="s">
        <v>692</v>
      </c>
      <c r="O1218" s="19" t="s">
        <v>1282</v>
      </c>
      <c r="P1218" s="6"/>
      <c r="Q1218" s="6" t="str">
        <f t="shared" si="1"/>
        <v>#N/A</v>
      </c>
      <c r="R1218" s="6"/>
    </row>
    <row r="1219" hidden="1">
      <c r="A1219" s="31" t="str">
        <f>IFERROR(__xludf.DUMMYFUNCTION("""COMPUTED_VALUE"""),"1283")</f>
        <v>1283</v>
      </c>
      <c r="B1219" s="14" t="str">
        <f>IFERROR(__xludf.DUMMYFUNCTION("""COMPUTED_VALUE"""),"ВНЕ СПИСКА")</f>
        <v>ВНЕ СПИСКА</v>
      </c>
      <c r="C1219" s="14" t="str">
        <f>IFERROR(__xludf.DUMMYFUNCTION("""COMPUTED_VALUE"""),"ОКС")</f>
        <v>ОКС</v>
      </c>
      <c r="D1219" s="6" t="str">
        <f>IFERROR(__xludf.DUMMYFUNCTION("""COMPUTED_VALUE"""),"да")</f>
        <v>да</v>
      </c>
      <c r="E1219" s="14" t="str">
        <f>IFERROR(__xludf.DUMMYFUNCTION("""COMPUTED_VALUE"""),"Реконструкция спортивного комплекса ""Олимпийский"" Олимпийский проспект, 16, стр. 1, стр. 2, стр. 3, стр. 4 ")</f>
        <v>Реконструкция спортивного комплекса "Олимпийский" Олимпийский проспект, 16, стр. 1, стр. 2, стр. 3, стр. 4 </v>
      </c>
      <c r="F1219" s="25" t="str">
        <f>IFERROR(__xludf.DUMMYFUNCTION("""COMPUTED_VALUE"""),"55.782195")</f>
        <v>55.782195</v>
      </c>
      <c r="G1219" s="6" t="str">
        <f>IFERROR(__xludf.DUMMYFUNCTION("""COMPUTED_VALUE"""),"37.626375")</f>
        <v>37.626375</v>
      </c>
      <c r="H1219" s="18" t="str">
        <f>IFERROR(__xludf.DUMMYFUNCTION("""COMPUTED_VALUE"""),"https://docs.google.com/spreadsheets/d/1EI7qusa674eJhuaw-nWWtWMEHVSYMQv7HLsInEZTWpE/edit?gid=1656513014#gid=1656513014")</f>
        <v>https://docs.google.com/spreadsheets/d/1EI7qusa674eJhuaw-nWWtWMEHVSYMQv7HLsInEZTWpE/edit?gid=1656513014#gid=1656513014</v>
      </c>
      <c r="I1219" s="19" t="str">
        <f>IFERROR(__xludf.DUMMYFUNCTION("""COMPUTED_VALUE"""),"https://disk.yandex.ru/client/disk/Осмотры%20объектов%20АНО%20СМГ/1046%20СК%20Олимпийский")</f>
        <v>https://disk.yandex.ru/client/disk/Осмотры%20объектов%20АНО%20СМГ/1046%20СК%20Олимпийский</v>
      </c>
      <c r="J1219" s="50">
        <f>IFERROR(__xludf.DUMMYFUNCTION("""COMPUTED_VALUE"""),0.0)</f>
        <v>0</v>
      </c>
      <c r="K1219" s="58">
        <f>IFERROR(__xludf.DUMMYFUNCTION("""COMPUTED_VALUE"""),45971.0)</f>
        <v>45971</v>
      </c>
      <c r="L1219" s="6">
        <v>30.0</v>
      </c>
      <c r="M1219" s="52">
        <v>46001.0</v>
      </c>
      <c r="N1219" s="53" t="s">
        <v>711</v>
      </c>
      <c r="O1219" s="19" t="s">
        <v>669</v>
      </c>
      <c r="P1219" s="6"/>
      <c r="Q1219" s="6" t="str">
        <f t="shared" si="1"/>
        <v>#N/A</v>
      </c>
      <c r="R1219" s="6"/>
    </row>
    <row r="1220" hidden="1">
      <c r="A1220" s="31" t="str">
        <f>IFERROR(__xludf.DUMMYFUNCTION("""COMPUTED_VALUE"""),"350")</f>
        <v>350</v>
      </c>
      <c r="B1220" s="14" t="str">
        <f>IFERROR(__xludf.DUMMYFUNCTION("""COMPUTED_VALUE"""),"ВНЕ СПИСКА")</f>
        <v>ВНЕ СПИСКА</v>
      </c>
      <c r="C1220" s="14" t="str">
        <f>IFERROR(__xludf.DUMMYFUNCTION("""COMPUTED_VALUE"""),"ОКС")</f>
        <v>ОКС</v>
      </c>
      <c r="D1220" s="6" t="str">
        <f>IFERROR(__xludf.DUMMYFUNCTION("""COMPUTED_VALUE"""),"да")</f>
        <v>да</v>
      </c>
      <c r="E1220" s="14" t="str">
        <f>IFERROR(__xludf.DUMMYFUNCTION("""COMPUTED_VALUE"""),"Школа на 815 мест, СЗАО, район Покровское-Стрешнево район Покровское-Стрешнево, Волоколамское шоссе, вл. 95/2")</f>
        <v>Школа на 815 мест, СЗАО, район Покровское-Стрешнево район Покровское-Стрешнево, Волоколамское шоссе, вл. 95/2</v>
      </c>
      <c r="F1220" s="25" t="str">
        <f>IFERROR(__xludf.DUMMYFUNCTION("""COMPUTED_VALUE"""),"55.830049")</f>
        <v>55.830049</v>
      </c>
      <c r="G1220" s="6" t="str">
        <f>IFERROR(__xludf.DUMMYFUNCTION("""COMPUTED_VALUE"""),"37.400055")</f>
        <v>37.400055</v>
      </c>
      <c r="H1220" s="18" t="str">
        <f>IFERROR(__xludf.DUMMYFUNCTION("""COMPUTED_VALUE"""),"https://docs.google.com/spreadsheets/d/1EI7qusa674eJhuaw-nWWtWMEHVSYMQv7HLsInEZTWpE/edit?gid=191758898#gid=191758898")</f>
        <v>https://docs.google.com/spreadsheets/d/1EI7qusa674eJhuaw-nWWtWMEHVSYMQv7HLsInEZTWpE/edit?gid=191758898#gid=191758898</v>
      </c>
      <c r="I1220" s="19" t="str">
        <f>IFERROR(__xludf.DUMMYFUNCTION("""COMPUTED_VALUE"""),"https://disk.yandex.ru/client/disk/Осмотры%20объектов%20АНО%20СМГ/350.%20Волоколамское%20ш.%2095к2%20СОШ%20на%20815%20чел")</f>
        <v>https://disk.yandex.ru/client/disk/Осмотры%20объектов%20АНО%20СМГ/350.%20Волоколамское%20ш.%2095к2%20СОШ%20на%20815%20чел</v>
      </c>
      <c r="J1220" s="50">
        <f>IFERROR(__xludf.DUMMYFUNCTION("""COMPUTED_VALUE"""),74.0498725)</f>
        <v>74.0498725</v>
      </c>
      <c r="K1220" s="58">
        <f>IFERROR(__xludf.DUMMYFUNCTION("""COMPUTED_VALUE"""),45971.0)</f>
        <v>45971</v>
      </c>
      <c r="L1220" s="6">
        <v>14.0</v>
      </c>
      <c r="M1220" s="52">
        <v>45985.0</v>
      </c>
      <c r="N1220" s="53" t="s">
        <v>711</v>
      </c>
      <c r="O1220" s="19" t="s">
        <v>1283</v>
      </c>
      <c r="P1220" s="6"/>
      <c r="Q1220" s="6" t="str">
        <f t="shared" si="1"/>
        <v>#N/A</v>
      </c>
      <c r="R1220" s="6"/>
    </row>
    <row r="1221" hidden="1">
      <c r="A1221" s="31" t="str">
        <f>IFERROR(__xludf.DUMMYFUNCTION("""COMPUTED_VALUE"""),"1050")</f>
        <v>1050</v>
      </c>
      <c r="B1221" s="14" t="str">
        <f>IFERROR(__xludf.DUMMYFUNCTION("""COMPUTED_VALUE"""),"ВНЕ СПИСКА")</f>
        <v>ВНЕ СПИСКА</v>
      </c>
      <c r="C1221" s="14" t="str">
        <f>IFERROR(__xludf.DUMMYFUNCTION("""COMPUTED_VALUE"""),"ОКС")</f>
        <v>ОКС</v>
      </c>
      <c r="D1221" s="6" t="str">
        <f>IFERROR(__xludf.DUMMYFUNCTION("""COMPUTED_VALUE"""),"да")</f>
        <v>да</v>
      </c>
      <c r="E1221" s="14" t="str">
        <f>IFERROR(__xludf.DUMMYFUNCTION("""COMPUTED_VALUE"""),"Осмотр делового центра SLAVA с подземной автостоянкой р-н Беговой, ул. 1-я Ямского Поля, вл.8, вл.10, стр.1")</f>
        <v>Осмотр делового центра SLAVA с подземной автостоянкой р-н Беговой, ул. 1-я Ямского Поля, вл.8, вл.10, стр.1</v>
      </c>
      <c r="F1221" s="25" t="str">
        <f>IFERROR(__xludf.DUMMYFUNCTION("""COMPUTED_VALUE"""),"#N/A")</f>
        <v>#N/A</v>
      </c>
      <c r="G1221" s="6" t="str">
        <f>IFERROR(__xludf.DUMMYFUNCTION("""COMPUTED_VALUE"""),"#N/A")</f>
        <v>#N/A</v>
      </c>
      <c r="H1221" s="18" t="str">
        <f>IFERROR(__xludf.DUMMYFUNCTION("""COMPUTED_VALUE"""),"https://docs.google.com/spreadsheets/d/1EI7qusa674eJhuaw-nWWtWMEHVSYMQv7HLsInEZTWpE/edit?gid=904343582#gid=904343582")</f>
        <v>https://docs.google.com/spreadsheets/d/1EI7qusa674eJhuaw-nWWtWMEHVSYMQv7HLsInEZTWpE/edit?gid=904343582#gid=904343582</v>
      </c>
      <c r="I1221" s="19" t="str">
        <f>IFERROR(__xludf.DUMMYFUNCTION("""COMPUTED_VALUE"""),"https://disk.yandex.ru/client/disk/Осмотры%20объектов%20АНО%20СМГ/1050.%20Осмотр%20делового%20центра%20SLAVA%20с%20подземной%20автостоянкой.%20САО%2C%20р-н%20Беговой%2C%20ул.%201-я%20Ямского%20Поля%2C%20вл.8%2C%20вл.10%2C%20стр.1")</f>
        <v>https://disk.yandex.ru/client/disk/Осмотры%20объектов%20АНО%20СМГ/1050.%20Осмотр%20делового%20центра%20SLAVA%20с%20подземной%20автостоянкой.%20САО%2C%20р-н%20Беговой%2C%20ул.%201-я%20Ямского%20Поля%2C%20вл.8%2C%20вл.10%2C%20стр.1</v>
      </c>
      <c r="J1221" s="50">
        <f>IFERROR(__xludf.DUMMYFUNCTION("""COMPUTED_VALUE"""),0.0)</f>
        <v>0</v>
      </c>
      <c r="K1221" s="58">
        <f>IFERROR(__xludf.DUMMYFUNCTION("""COMPUTED_VALUE"""),45831.0)</f>
        <v>45831</v>
      </c>
      <c r="L1221" s="6">
        <v>30.0</v>
      </c>
      <c r="M1221" s="52">
        <v>45861.0</v>
      </c>
      <c r="N1221" s="53" t="s">
        <v>668</v>
      </c>
      <c r="O1221" s="19"/>
      <c r="P1221" s="6"/>
      <c r="Q1221" s="6" t="str">
        <f t="shared" si="1"/>
        <v>#N/A</v>
      </c>
      <c r="R1221" s="6"/>
    </row>
    <row r="1222" hidden="1">
      <c r="A1222" s="31" t="str">
        <f>IFERROR(__xludf.DUMMYFUNCTION("""COMPUTED_VALUE"""),"1155")</f>
        <v>1155</v>
      </c>
      <c r="B1222" s="14" t="str">
        <f>IFERROR(__xludf.DUMMYFUNCTION("""COMPUTED_VALUE"""),"ВНЕ СПИСКА")</f>
        <v>ВНЕ СПИСКА</v>
      </c>
      <c r="C1222" s="14" t="str">
        <f>IFERROR(__xludf.DUMMYFUNCTION("""COMPUTED_VALUE"""),"ОКС")</f>
        <v>ОКС</v>
      </c>
      <c r="D1222" s="6" t="str">
        <f>IFERROR(__xludf.DUMMYFUNCTION("""COMPUTED_VALUE"""),"да")</f>
        <v>да</v>
      </c>
      <c r="E1222" s="14" t="str">
        <f>IFERROR(__xludf.DUMMYFUNCTION("""COMPUTED_VALUE""")," Здание общеобразовательной организации (дошкольное образование 200 мест) Куприна просп., д.40, стр.7")</f>
        <v> Здание общеобразовательной организации (дошкольное образование 200 мест) Куприна просп., д.40, стр.7</v>
      </c>
      <c r="F1222" s="25" t="str">
        <f>IFERROR(__xludf.DUMMYFUNCTION("""COMPUTED_VALUE"""),"#N/A")</f>
        <v>#N/A</v>
      </c>
      <c r="G1222" s="6" t="str">
        <f>IFERROR(__xludf.DUMMYFUNCTION("""COMPUTED_VALUE"""),"#N/A")</f>
        <v>#N/A</v>
      </c>
      <c r="H1222" s="18" t="str">
        <f>IFERROR(__xludf.DUMMYFUNCTION("""COMPUTED_VALUE"""),"https://docs.google.com/spreadsheets/d/1EI7qusa674eJhuaw-nWWtWMEHVSYMQv7HLsInEZTWpE/edit?gid=346643288#gid=346643288")</f>
        <v>https://docs.google.com/spreadsheets/d/1EI7qusa674eJhuaw-nWWtWMEHVSYMQv7HLsInEZTWpE/edit?gid=346643288#gid=346643288</v>
      </c>
      <c r="I1222" s="19" t="str">
        <f>IFERROR(__xludf.DUMMYFUNCTION("""COMPUTED_VALUE"""),"https://disk.yandex.ru/client/disk/Осмотры%20объектов%20АНО%20СМГ/1155.%20Здание%20общеобразовательной%20организации%20(дошкольное%20образование)%20на%20200%20мест.%20Москва%2C%20пос.%20Сосенское%2C%20деревня%20Столбово%2C%20в%20составе%20ЖК%20%22Южное%20"&amp;"Бунино%22")</f>
        <v>https://disk.yandex.ru/client/disk/Осмотры%20объектов%20АНО%20СМГ/1155.%20Здание%20общеобразовательной%20организации%20(дошкольное%20образование)%20на%20200%20мест.%20Москва%2C%20пос.%20Сосенское%2C%20деревня%20Столбово%2C%20в%20составе%20ЖК%20%22Южное%20Бунино%22</v>
      </c>
      <c r="J1222" s="50">
        <f>IFERROR(__xludf.DUMMYFUNCTION("""COMPUTED_VALUE"""),95.91409999999999)</f>
        <v>95.9141</v>
      </c>
      <c r="K1222" s="58">
        <f>IFERROR(__xludf.DUMMYFUNCTION("""COMPUTED_VALUE"""),45890.0)</f>
        <v>45890</v>
      </c>
      <c r="L1222" s="6">
        <v>7.0</v>
      </c>
      <c r="M1222" s="52">
        <v>45897.0</v>
      </c>
      <c r="N1222" s="53" t="s">
        <v>652</v>
      </c>
      <c r="O1222" s="19" t="s">
        <v>1284</v>
      </c>
      <c r="P1222" s="6"/>
      <c r="Q1222" s="6" t="str">
        <f t="shared" si="1"/>
        <v>#N/A</v>
      </c>
      <c r="R1222" s="6"/>
    </row>
    <row r="1223" hidden="1">
      <c r="A1223" s="31" t="str">
        <f>IFERROR(__xludf.DUMMYFUNCTION("""COMPUTED_VALUE"""),"1154")</f>
        <v>1154</v>
      </c>
      <c r="B1223" s="14" t="str">
        <f>IFERROR(__xludf.DUMMYFUNCTION("""COMPUTED_VALUE"""),"ВНЕ СПИСКА")</f>
        <v>ВНЕ СПИСКА</v>
      </c>
      <c r="C1223" s="14" t="str">
        <f>IFERROR(__xludf.DUMMYFUNCTION("""COMPUTED_VALUE"""),"ОКС")</f>
        <v>ОКС</v>
      </c>
      <c r="D1223" s="6" t="str">
        <f>IFERROR(__xludf.DUMMYFUNCTION("""COMPUTED_VALUE"""),"да")</f>
        <v>да</v>
      </c>
      <c r="E1223" s="14" t="str">
        <f>IFERROR(__xludf.DUMMYFUNCTION("""COMPUTED_VALUE"""),"Здание общеобразовательной организации на 825 мест Куприна просп., д.30, стр.3
")</f>
        <v>Здание общеобразовательной организации на 825 мест Куприна просп., д.30, стр.3
</v>
      </c>
      <c r="F1223" s="25" t="str">
        <f>IFERROR(__xludf.DUMMYFUNCTION("""COMPUTED_VALUE"""),"#N/A")</f>
        <v>#N/A</v>
      </c>
      <c r="G1223" s="6" t="str">
        <f>IFERROR(__xludf.DUMMYFUNCTION("""COMPUTED_VALUE"""),"#N/A")</f>
        <v>#N/A</v>
      </c>
      <c r="H1223" s="18" t="str">
        <f>IFERROR(__xludf.DUMMYFUNCTION("""COMPUTED_VALUE"""),"https://docs.google.com/spreadsheets/d/1EI7qusa674eJhuaw-nWWtWMEHVSYMQv7HLsInEZTWpE/edit?gid=1768479973#gid=1768479973")</f>
        <v>https://docs.google.com/spreadsheets/d/1EI7qusa674eJhuaw-nWWtWMEHVSYMQv7HLsInEZTWpE/edit?gid=1768479973#gid=1768479973</v>
      </c>
      <c r="I1223" s="19" t="str">
        <f>IFERROR(__xludf.DUMMYFUNCTION("""COMPUTED_VALUE"""),"https://disk.yandex.ru/client/disk/Осмотры%20объектов%20АНО%20СМГ/1154.%20Здание%20общеобразовательной%20организации%20на%201025%20мест%20(общее%20образование%20825%20мест%2C%20дошкольное%20образование%20200%20мест)")</f>
        <v>https://disk.yandex.ru/client/disk/Осмотры%20объектов%20АНО%20СМГ/1154.%20Здание%20общеобразовательной%20организации%20на%201025%20мест%20(общее%20образование%20825%20мест%2C%20дошкольное%20образование%20200%20мест)</v>
      </c>
      <c r="J1223" s="50">
        <f>IFERROR(__xludf.DUMMYFUNCTION("""COMPUTED_VALUE"""),84.24013)</f>
        <v>84.24013</v>
      </c>
      <c r="K1223" s="58">
        <f>IFERROR(__xludf.DUMMYFUNCTION("""COMPUTED_VALUE"""),45890.0)</f>
        <v>45890</v>
      </c>
      <c r="L1223" s="6">
        <v>14.0</v>
      </c>
      <c r="M1223" s="52">
        <v>45904.0</v>
      </c>
      <c r="N1223" s="53" t="s">
        <v>652</v>
      </c>
      <c r="O1223" s="19" t="s">
        <v>1285</v>
      </c>
      <c r="P1223" s="6"/>
      <c r="Q1223" s="6" t="str">
        <f t="shared" si="1"/>
        <v>#N/A</v>
      </c>
      <c r="R1223" s="6"/>
    </row>
    <row r="1224" hidden="1">
      <c r="A1224" s="31" t="str">
        <f>IFERROR(__xludf.DUMMYFUNCTION("""COMPUTED_VALUE"""),"1346")</f>
        <v>1346</v>
      </c>
      <c r="B1224" s="14" t="str">
        <f>IFERROR(__xludf.DUMMYFUNCTION("""COMPUTED_VALUE"""),"ВНЕ СПИСКА")</f>
        <v>ВНЕ СПИСКА</v>
      </c>
      <c r="C1224" s="14" t="str">
        <f>IFERROR(__xludf.DUMMYFUNCTION("""COMPUTED_VALUE"""),"ОКС")</f>
        <v>ОКС</v>
      </c>
      <c r="D1224" s="6" t="str">
        <f>IFERROR(__xludf.DUMMYFUNCTION("""COMPUTED_VALUE"""),"да")</f>
        <v>да</v>
      </c>
      <c r="E1224" s="14" t="str">
        <f>IFERROR(__xludf.DUMMYFUNCTION("""COMPUTED_VALUE"""),"ДОУ на 150 мест город Москва, вн.тер.г. поселение Сосенское, проспект Куприна, ЖК Скандинавия")</f>
        <v>ДОУ на 150 мест город Москва, вн.тер.г. поселение Сосенское, проспект Куприна, ЖК Скандинавия</v>
      </c>
      <c r="F1224" s="25" t="str">
        <f>IFERROR(__xludf.DUMMYFUNCTION("""COMPUTED_VALUE"""),"55.558205")</f>
        <v>55.558205</v>
      </c>
      <c r="G1224" s="6" t="str">
        <f>IFERROR(__xludf.DUMMYFUNCTION("""COMPUTED_VALUE"""),"37.504807")</f>
        <v>37.504807</v>
      </c>
      <c r="H1224" s="18" t="str">
        <f>IFERROR(__xludf.DUMMYFUNCTION("""COMPUTED_VALUE"""),"https://docs.google.com/spreadsheets/d/1EI7qusa674eJhuaw-nWWtWMEHVSYMQv7HLsInEZTWpE/edit?gid=1204838295#gid=1204838295")</f>
        <v>https://docs.google.com/spreadsheets/d/1EI7qusa674eJhuaw-nWWtWMEHVSYMQv7HLsInEZTWpE/edit?gid=1204838295#gid=1204838295</v>
      </c>
      <c r="I1224" s="19"/>
      <c r="J1224" s="50"/>
      <c r="K1224" s="58">
        <f>IFERROR(__xludf.DUMMYFUNCTION("""COMPUTED_VALUE"""),45958.0)</f>
        <v>45958</v>
      </c>
      <c r="L1224" s="6">
        <v>30.0</v>
      </c>
      <c r="M1224" s="52">
        <v>45988.0</v>
      </c>
      <c r="N1224" s="53" t="s">
        <v>741</v>
      </c>
      <c r="O1224" s="19" t="s">
        <v>1286</v>
      </c>
      <c r="P1224" s="6"/>
      <c r="Q1224" s="6" t="str">
        <f t="shared" si="1"/>
        <v>#N/A</v>
      </c>
      <c r="R1224" s="6"/>
    </row>
    <row r="1225" hidden="1">
      <c r="A1225" s="70" t="str">
        <f>IFERROR(__xludf.DUMMYFUNCTION("""COMPUTED_VALUE"""),"815")</f>
        <v>815</v>
      </c>
      <c r="B1225" s="14" t="str">
        <f>IFERROR(__xludf.DUMMYFUNCTION("""COMPUTED_VALUE"""),"ВНЕ СПИСКА")</f>
        <v>ВНЕ СПИСКА</v>
      </c>
      <c r="C1225" s="14" t="str">
        <f>IFERROR(__xludf.DUMMYFUNCTION("""COMPUTED_VALUE"""),"ОКС")</f>
        <v>ОКС</v>
      </c>
      <c r="D1225" s="6"/>
      <c r="E1225" s="14" t="str">
        <f>IFERROR(__xludf.DUMMYFUNCTION("""COMPUTED_VALUE"""),"Реконструкция Ленинградского вокзала район Красносельский, Комсомольская пл., д.3")</f>
        <v>Реконструкция Ленинградского вокзала район Красносельский, Комсомольская пл., д.3</v>
      </c>
      <c r="F1225" s="25" t="str">
        <f>IFERROR(__xludf.DUMMYFUNCTION("""COMPUTED_VALUE"""),"#N/A")</f>
        <v>#N/A</v>
      </c>
      <c r="G1225" s="6" t="str">
        <f>IFERROR(__xludf.DUMMYFUNCTION("""COMPUTED_VALUE"""),"#N/A")</f>
        <v>#N/A</v>
      </c>
      <c r="H1225" s="18" t="str">
        <f>IFERROR(__xludf.DUMMYFUNCTION("""COMPUTED_VALUE"""),"https://docs.google.com/spreadsheets/d/1EI7qusa674eJhuaw-nWWtWMEHVSYMQv7HLsInEZTWpE/edit?gid=1410705697#gid=1410705697")</f>
        <v>https://docs.google.com/spreadsheets/d/1EI7qusa674eJhuaw-nWWtWMEHVSYMQv7HLsInEZTWpE/edit?gid=1410705697#gid=1410705697</v>
      </c>
      <c r="I1225" s="19" t="str">
        <f>IFERROR(__xludf.DUMMYFUNCTION("""COMPUTED_VALUE"""),"https://disk.yandex.ru/client/disk/Осмотры%20объектов%20АНО%20СМГ/815.%20Осмотр%20хода%20реконструкции%20Ленинградского%20вокзала%2C%20по%20адресу%3A%20Комсомольская%20площадь%20д.3")</f>
        <v>https://disk.yandex.ru/client/disk/Осмотры%20объектов%20АНО%20СМГ/815.%20Осмотр%20хода%20реконструкции%20Ленинградского%20вокзала%2C%20по%20адресу%3A%20Комсомольская%20площадь%20д.3</v>
      </c>
      <c r="J1225" s="50">
        <f>IFERROR(__xludf.DUMMYFUNCTION("""COMPUTED_VALUE"""),11.529525)</f>
        <v>11.529525</v>
      </c>
      <c r="K1225" s="58">
        <f>IFERROR(__xludf.DUMMYFUNCTION("""COMPUTED_VALUE"""),45868.0)</f>
        <v>45868</v>
      </c>
      <c r="L1225" s="6">
        <v>30.0</v>
      </c>
      <c r="M1225" s="52">
        <v>45898.0</v>
      </c>
      <c r="N1225" s="53" t="s">
        <v>668</v>
      </c>
      <c r="O1225" s="19" t="s">
        <v>1287</v>
      </c>
      <c r="P1225" s="6"/>
      <c r="Q1225" s="6" t="str">
        <f t="shared" si="1"/>
        <v>#N/A</v>
      </c>
      <c r="R1225" s="6"/>
    </row>
    <row r="1226" hidden="1">
      <c r="A1226" s="31" t="str">
        <f>IFERROR(__xludf.DUMMYFUNCTION("""COMPUTED_VALUE"""),"397")</f>
        <v>397</v>
      </c>
      <c r="B1226" s="14" t="str">
        <f>IFERROR(__xludf.DUMMYFUNCTION("""COMPUTED_VALUE"""),"ВНЕ СПИСКА")</f>
        <v>ВНЕ СПИСКА</v>
      </c>
      <c r="C1226" s="14" t="str">
        <f>IFERROR(__xludf.DUMMYFUNCTION("""COMPUTED_VALUE"""),"ОКС")</f>
        <v>ОКС</v>
      </c>
      <c r="D1226" s="6" t="str">
        <f>IFERROR(__xludf.DUMMYFUNCTION("""COMPUTED_VALUE"""),"да")</f>
        <v>да</v>
      </c>
      <c r="E1226" s="14" t="str">
        <f>IFERROR(__xludf.DUMMYFUNCTION("""COMPUTED_VALUE"""),"Школа на 825 мест в составе ЖК «Alia»,
СЗАО, район Покровское-Стрешнево район Покровское-Стрешнево, Волоколамское шоссе д. 75В (новый адрес Аэроклубная 75В)")</f>
        <v>Школа на 825 мест в составе ЖК «Alia»,
СЗАО, район Покровское-Стрешнево район Покровское-Стрешнево, Волоколамское шоссе д. 75В (новый адрес Аэроклубная 75В)</v>
      </c>
      <c r="F1226" s="25" t="str">
        <f>IFERROR(__xludf.DUMMYFUNCTION("""COMPUTED_VALUE"""),"#N/A")</f>
        <v>#N/A</v>
      </c>
      <c r="G1226" s="6" t="str">
        <f>IFERROR(__xludf.DUMMYFUNCTION("""COMPUTED_VALUE"""),"#N/A")</f>
        <v>#N/A</v>
      </c>
      <c r="H1226" s="18" t="str">
        <f>IFERROR(__xludf.DUMMYFUNCTION("""COMPUTED_VALUE"""),"https://docs.google.com/spreadsheets/d/1EI7qusa674eJhuaw-nWWtWMEHVSYMQv7HLsInEZTWpE/edit?gid=912086412#gid=912086412")</f>
        <v>https://docs.google.com/spreadsheets/d/1EI7qusa674eJhuaw-nWWtWMEHVSYMQv7HLsInEZTWpE/edit?gid=912086412#gid=912086412</v>
      </c>
      <c r="I1226" s="21" t="str">
        <f>IFERROR(__xludf.DUMMYFUNCTION("""COMPUTED_VALUE"""),"https://disk.yandex.ru/client/disk/%D0%9E%D1%81%D0%BC%D0%BE%D1%82%D1%80%D1%8B%20%D0%BE%D0%B1%D1%8A%D0%B5%D0%BA%D1%82%D0%BE%D0%B2%20%D0%90%D0%9D%D0%9E%20%D0%A1%D0%9C%D0%93/397.%20%D0%92%D0%BE%D0%BB%D0%BE%D0%BA%D0%BE%D0%BB%D0%B0%D0%BC%D1%81%D0%BA%D0%BE%D0%B"&amp;"5%20%D1%88.75%D0%92%2C%20%D0%A8%D0%BA.%22Alia%22")</f>
        <v>https://disk.yandex.ru/client/disk/%D0%9E%D1%81%D0%BC%D0%BE%D1%82%D1%80%D1%8B%20%D0%BE%D0%B1%D1%8A%D0%B5%D0%BA%D1%82%D0%BE%D0%B2%20%D0%90%D0%9D%D0%9E%20%D0%A1%D0%9C%D0%93/397.%20%D0%92%D0%BE%D0%BB%D0%BE%D0%BA%D0%BE%D0%BB%D0%B0%D0%BC%D1%81%D0%BA%D0%BE%D0%B5%20%D1%88.75%D0%92%2C%20%D0%A8%D0%BA.%22Alia%22</v>
      </c>
      <c r="J1226" s="50">
        <f>IFERROR(__xludf.DUMMYFUNCTION("""COMPUTED_VALUE"""),100.0)</f>
        <v>100</v>
      </c>
      <c r="K1226" s="58">
        <f>IFERROR(__xludf.DUMMYFUNCTION("""COMPUTED_VALUE"""),45887.0)</f>
        <v>45887</v>
      </c>
      <c r="L1226" s="6" t="s">
        <v>654</v>
      </c>
      <c r="M1226" s="52" t="s">
        <v>655</v>
      </c>
      <c r="N1226" s="53" t="s">
        <v>656</v>
      </c>
      <c r="O1226" s="19" t="s">
        <v>1288</v>
      </c>
      <c r="P1226" s="6"/>
      <c r="Q1226" s="6" t="str">
        <f t="shared" si="1"/>
        <v>#N/A</v>
      </c>
      <c r="R1226" s="6"/>
    </row>
    <row r="1227" hidden="1">
      <c r="A1227" s="31" t="str">
        <f>IFERROR(__xludf.DUMMYFUNCTION("""COMPUTED_VALUE"""),"472")</f>
        <v>472</v>
      </c>
      <c r="B1227" s="14" t="str">
        <f>IFERROR(__xludf.DUMMYFUNCTION("""COMPUTED_VALUE"""),"РЕН-25")</f>
        <v>РЕН-25</v>
      </c>
      <c r="C1227" s="14" t="str">
        <f>IFERROR(__xludf.DUMMYFUNCTION("""COMPUTED_VALUE"""),"ОКС")</f>
        <v>ОКС</v>
      </c>
      <c r="D1227" s="6"/>
      <c r="E1227" s="14" t="str">
        <f>IFERROR(__xludf.DUMMYFUNCTION("""COMPUTED_VALUE"""),"Досфлота пр., з/у 2 (вл. 2) район Южное Тушино, проезд Досфлота, земельный участок 2 (вл. 2)")</f>
        <v>Досфлота пр., з/у 2 (вл. 2) район Южное Тушино, проезд Досфлота, земельный участок 2 (вл. 2)</v>
      </c>
      <c r="F1227" s="25" t="str">
        <f>IFERROR(__xludf.DUMMYFUNCTION("""COMPUTED_VALUE"""),"55.840826")</f>
        <v>55.840826</v>
      </c>
      <c r="G1227" s="6" t="str">
        <f>IFERROR(__xludf.DUMMYFUNCTION("""COMPUTED_VALUE"""),"37.458966")</f>
        <v>37.458966</v>
      </c>
      <c r="H1227" s="18" t="str">
        <f>IFERROR(__xludf.DUMMYFUNCTION("""COMPUTED_VALUE"""),"https://docs.google.com/spreadsheets/d/1H1MjbG2y0oC0hhID4do1G0_gfyI1jag72lQd7nL3WDQ/edit?gid=882317293#gid=882317293")</f>
        <v>https://docs.google.com/spreadsheets/d/1H1MjbG2y0oC0hhID4do1G0_gfyI1jag72lQd7nL3WDQ/edit?gid=882317293#gid=882317293</v>
      </c>
      <c r="I1227" s="19" t="str">
        <f>IFERROR(__xludf.DUMMYFUNCTION("""COMPUTED_VALUE"""),"https://disk.yandex.ru/client/disk/Осмотры%20объектов%20АНО%20СМГ/494.%20Кантемировская%20ул.%2C%2043%20реновация%20(д.43)")</f>
        <v>https://disk.yandex.ru/client/disk/Осмотры%20объектов%20АНО%20СМГ/494.%20Кантемировская%20ул.%2C%2043%20реновация%20(д.43)</v>
      </c>
      <c r="J1227" s="50">
        <f>IFERROR(__xludf.DUMMYFUNCTION("""COMPUTED_VALUE"""),99.9925)</f>
        <v>99.9925</v>
      </c>
      <c r="K1227" s="58">
        <f>IFERROR(__xludf.DUMMYFUNCTION("""COMPUTED_VALUE"""),45953.0)</f>
        <v>45953</v>
      </c>
      <c r="L1227" s="6">
        <v>7.0</v>
      </c>
      <c r="M1227" s="52">
        <v>45960.0</v>
      </c>
      <c r="N1227" s="53" t="s">
        <v>652</v>
      </c>
      <c r="O1227" s="19" t="s">
        <v>1289</v>
      </c>
      <c r="P1227" s="6"/>
      <c r="Q1227" s="6" t="str">
        <f t="shared" si="1"/>
        <v>#N/A</v>
      </c>
      <c r="R1227" s="6"/>
    </row>
    <row r="1228" hidden="1">
      <c r="A1228" s="31" t="str">
        <f>IFERROR(__xludf.DUMMYFUNCTION("""COMPUTED_VALUE"""),"048")</f>
        <v>048</v>
      </c>
      <c r="B1228" s="14" t="str">
        <f>IFERROR(__xludf.DUMMYFUNCTION("""COMPUTED_VALUE"""),"ВНЕ СПИСКА")</f>
        <v>ВНЕ СПИСКА</v>
      </c>
      <c r="C1228" s="14" t="str">
        <f>IFERROR(__xludf.DUMMYFUNCTION("""COMPUTED_VALUE"""),"ОКС")</f>
        <v>ОКС</v>
      </c>
      <c r="D1228" s="6" t="str">
        <f>IFERROR(__xludf.DUMMYFUNCTION("""COMPUTED_VALUE"""),"да")</f>
        <v>да</v>
      </c>
      <c r="E1228" s="14" t="str">
        <f>IFERROR(__xludf.DUMMYFUNCTION("""COMPUTED_VALUE"""),"«Здание общеобразовательной организации (общее образование) на 1100 мест по адресу: г. Москва, поселение Кокошкино, вблизи д. Санино, (кадастровый номер земельного участка 77:18:0170408:1272)» по адресу: г. Москва, поселение Кокошкино, ул. Стожарова, д. 3"&amp;", на 1100 школьных мест вблизи д. Санино, квартал 36, земельный участок 1
(НАО, Кокошкино)
ЖК Новое Внуково")</f>
        <v>«Здание общеобразовательной организации (общее образование) на 1100 мест по адресу: г. Москва, поселение Кокошкино, вблизи д. Санино, (кадастровый номер земельного участка 77:18:0170408:1272)» по адресу: г. Москва, поселение Кокошкино, ул. Стожарова, д. 3, на 1100 школьных мест вблизи д. Санино, квартал 36, земельный участок 1
(НАО, Кокошкино)
ЖК Новое Внуково</v>
      </c>
      <c r="F1228" s="25" t="str">
        <f>IFERROR(__xludf.DUMMYFUNCTION("""COMPUTED_VALUE"""),"55.589714")</f>
        <v>55.589714</v>
      </c>
      <c r="G1228" s="6" t="str">
        <f>IFERROR(__xludf.DUMMYFUNCTION("""COMPUTED_VALUE"""),"37.169441")</f>
        <v>37.169441</v>
      </c>
      <c r="H1228" s="18" t="str">
        <f>IFERROR(__xludf.DUMMYFUNCTION("""COMPUTED_VALUE"""),"https://docs.google.com/spreadsheets/d/1EI7qusa674eJhuaw-nWWtWMEHVSYMQv7HLsInEZTWpE/edit?gid=972545165#gid=972545165")</f>
        <v>https://docs.google.com/spreadsheets/d/1EI7qusa674eJhuaw-nWWtWMEHVSYMQv7HLsInEZTWpE/edit?gid=972545165#gid=972545165</v>
      </c>
      <c r="I1228" s="19" t="str">
        <f>IFERROR(__xludf.DUMMYFUNCTION("""COMPUTED_VALUE"""),"https://disk.yandex.ru/client/disk/Осмотры%20объектов%20АНО%20СМГ/048.%20СОШ1100%20ЖК%20Новое%20Внуково%20Кокошкино")</f>
        <v>https://disk.yandex.ru/client/disk/Осмотры%20объектов%20АНО%20СМГ/048.%20СОШ1100%20ЖК%20Новое%20Внуково%20Кокошкино</v>
      </c>
      <c r="J1228" s="50">
        <f>IFERROR(__xludf.DUMMYFUNCTION("""COMPUTED_VALUE"""),81.00306750000001)</f>
        <v>81.0030675</v>
      </c>
      <c r="K1228" s="58">
        <f>IFERROR(__xludf.DUMMYFUNCTION("""COMPUTED_VALUE"""),45959.0)</f>
        <v>45959</v>
      </c>
      <c r="L1228" s="6">
        <v>14.0</v>
      </c>
      <c r="M1228" s="52">
        <v>45973.0</v>
      </c>
      <c r="N1228" s="53" t="s">
        <v>668</v>
      </c>
      <c r="O1228" s="19" t="s">
        <v>1290</v>
      </c>
      <c r="P1228" s="6"/>
      <c r="Q1228" s="6" t="str">
        <f t="shared" si="1"/>
        <v>#N/A</v>
      </c>
      <c r="R1228" s="6"/>
    </row>
    <row r="1229" hidden="1">
      <c r="A1229" s="31" t="str">
        <f>IFERROR(__xludf.DUMMYFUNCTION("""COMPUTED_VALUE"""),"041")</f>
        <v>041</v>
      </c>
      <c r="B1229" s="14" t="str">
        <f>IFERROR(__xludf.DUMMYFUNCTION("""COMPUTED_VALUE"""),"ВНЕ СПИСКА")</f>
        <v>ВНЕ СПИСКА</v>
      </c>
      <c r="C1229" s="14" t="str">
        <f>IFERROR(__xludf.DUMMYFUNCTION("""COMPUTED_VALUE"""),"ОКС")</f>
        <v>ОКС</v>
      </c>
      <c r="D1229" s="6" t="str">
        <f>IFERROR(__xludf.DUMMYFUNCTION("""COMPUTED_VALUE"""),"да")</f>
        <v>да</v>
      </c>
      <c r="E1229" s="14" t="str">
        <f>IFERROR(__xludf.DUMMYFUNCTION("""COMPUTED_VALUE"""),"«Здание образовательной организации (общее образование) на 1200 мест по адресу: г. Москва, поселение Филимонковское, д. Староселье, з/у 1» по адресу: г. Москва, пос. Филимонковское, пер. Староселье, д. 1А, на 1200 школьных мест район Филимонковский, пер. "&amp;"Староселье, д. 1А")</f>
        <v>«Здание образовательной организации (общее образование) на 1200 мест по адресу: г. Москва, поселение Филимонковское, д. Староселье, з/у 1» по адресу: г. Москва, пос. Филимонковское, пер. Староселье, д. 1А, на 1200 школьных мест район Филимонковский, пер. Староселье, д. 1А</v>
      </c>
      <c r="F1229" s="25" t="str">
        <f>IFERROR(__xludf.DUMMYFUNCTION("""COMPUTED_VALUE"""),"#N/A")</f>
        <v>#N/A</v>
      </c>
      <c r="G1229" s="6" t="str">
        <f>IFERROR(__xludf.DUMMYFUNCTION("""COMPUTED_VALUE"""),"#N/A")</f>
        <v>#N/A</v>
      </c>
      <c r="H1229" s="18" t="str">
        <f>IFERROR(__xludf.DUMMYFUNCTION("""COMPUTED_VALUE"""),"https://docs.google.com/spreadsheets/d/1EI7qusa674eJhuaw-nWWtWMEHVSYMQv7HLsInEZTWpE/edit?gid=486432300#gid=486432300")</f>
        <v>https://docs.google.com/spreadsheets/d/1EI7qusa674eJhuaw-nWWtWMEHVSYMQv7HLsInEZTWpE/edit?gid=486432300#gid=486432300</v>
      </c>
      <c r="I1229" s="19" t="str">
        <f>IFERROR(__xludf.DUMMYFUNCTION("""COMPUTED_VALUE"""),"https://disk.yandex.ru/client/disk/Осмотры%20объектов%20АНО%20СМГ/041.%20СОШ%201200%2C%20д.%20Филимоновское")</f>
        <v>https://disk.yandex.ru/client/disk/Осмотры%20объектов%20АНО%20СМГ/041.%20СОШ%201200%2C%20д.%20Филимоновское</v>
      </c>
      <c r="J1229" s="50">
        <f>IFERROR(__xludf.DUMMYFUNCTION("""COMPUTED_VALUE"""),100.0)</f>
        <v>100</v>
      </c>
      <c r="K1229" s="58">
        <f>IFERROR(__xludf.DUMMYFUNCTION("""COMPUTED_VALUE"""),45890.0)</f>
        <v>45890</v>
      </c>
      <c r="L1229" s="6" t="s">
        <v>654</v>
      </c>
      <c r="M1229" s="52" t="s">
        <v>655</v>
      </c>
      <c r="N1229" s="53" t="s">
        <v>656</v>
      </c>
      <c r="O1229" s="19" t="s">
        <v>1291</v>
      </c>
      <c r="P1229" s="6"/>
      <c r="Q1229" s="6" t="str">
        <f t="shared" si="1"/>
        <v>#N/A</v>
      </c>
      <c r="R1229" s="6"/>
    </row>
    <row r="1230" hidden="1">
      <c r="A1230" s="31" t="str">
        <f>IFERROR(__xludf.DUMMYFUNCTION("""COMPUTED_VALUE"""),"364")</f>
        <v>364</v>
      </c>
      <c r="B1230" s="14" t="str">
        <f>IFERROR(__xludf.DUMMYFUNCTION("""COMPUTED_VALUE"""),"ВНЕ СПИСКА")</f>
        <v>ВНЕ СПИСКА</v>
      </c>
      <c r="C1230" s="14" t="str">
        <f>IFERROR(__xludf.DUMMYFUNCTION("""COMPUTED_VALUE"""),"ОКС")</f>
        <v>ОКС</v>
      </c>
      <c r="D1230" s="6" t="str">
        <f>IFERROR(__xludf.DUMMYFUNCTION("""COMPUTED_VALUE"""),"да")</f>
        <v>да</v>
      </c>
      <c r="E1230" s="14" t="str">
        <f>IFERROR(__xludf.DUMMYFUNCTION("""COMPUTED_VALUE"""),"Спортивный комплекс им. Э.А. Стрельцова ЮАО, район Даниловский район Даниловский, Восточная ул., вл. 4А")</f>
        <v>Спортивный комплекс им. Э.А. Стрельцова ЮАО, район Даниловский район Даниловский, Восточная ул., вл. 4А</v>
      </c>
      <c r="F1230" s="25" t="str">
        <f>IFERROR(__xludf.DUMMYFUNCTION("""COMPUTED_VALUE"""),"55.716817")</f>
        <v>55.716817</v>
      </c>
      <c r="G1230" s="6" t="str">
        <f>IFERROR(__xludf.DUMMYFUNCTION("""COMPUTED_VALUE"""),"37.655616")</f>
        <v>37.655616</v>
      </c>
      <c r="H1230" s="18" t="str">
        <f>IFERROR(__xludf.DUMMYFUNCTION("""COMPUTED_VALUE"""),"https://docs.google.com/spreadsheets/d/1EI7qusa674eJhuaw-nWWtWMEHVSYMQv7HLsInEZTWpE/edit?gid=1366886932#gid=1366886932")</f>
        <v>https://docs.google.com/spreadsheets/d/1EI7qusa674eJhuaw-nWWtWMEHVSYMQv7HLsInEZTWpE/edit?gid=1366886932#gid=1366886932</v>
      </c>
      <c r="I1230" s="19" t="str">
        <f>IFERROR(__xludf.DUMMYFUNCTION("""COMPUTED_VALUE"""),"https://disk.yandex.ru/client/disk/Осмотры%20объектов%20АНО%20СМГ/364.%20Спортивный%20комплекс%20им.%20Э.А.%20Стрельцова%20ЮАО%2C%20район%20Даниловский%2C%20Восточная%20ул.%2C%20вл.%204А")</f>
        <v>https://disk.yandex.ru/client/disk/Осмотры%20объектов%20АНО%20СМГ/364.%20Спортивный%20комплекс%20им.%20Э.А.%20Стрельцова%20ЮАО%2C%20район%20Даниловский%2C%20Восточная%20ул.%2C%20вл.%204А</v>
      </c>
      <c r="J1230" s="50">
        <f>IFERROR(__xludf.DUMMYFUNCTION("""COMPUTED_VALUE"""),70.55884)</f>
        <v>70.55884</v>
      </c>
      <c r="K1230" s="58">
        <f>IFERROR(__xludf.DUMMYFUNCTION("""COMPUTED_VALUE"""),45971.0)</f>
        <v>45971</v>
      </c>
      <c r="L1230" s="6">
        <v>14.0</v>
      </c>
      <c r="M1230" s="52">
        <v>45985.0</v>
      </c>
      <c r="N1230" s="53" t="s">
        <v>711</v>
      </c>
      <c r="O1230" s="19" t="s">
        <v>1292</v>
      </c>
      <c r="P1230" s="6"/>
      <c r="Q1230" s="6" t="str">
        <f t="shared" si="1"/>
        <v>#N/A</v>
      </c>
      <c r="R1230" s="6"/>
    </row>
    <row r="1231" hidden="1">
      <c r="A1231" s="31" t="str">
        <f>IFERROR(__xludf.DUMMYFUNCTION("""COMPUTED_VALUE"""),"1028")</f>
        <v>1028</v>
      </c>
      <c r="B1231" s="14" t="str">
        <f>IFERROR(__xludf.DUMMYFUNCTION("""COMPUTED_VALUE"""),"ВНЕ СПИСКА")</f>
        <v>ВНЕ СПИСКА</v>
      </c>
      <c r="C1231" s="14" t="str">
        <f>IFERROR(__xludf.DUMMYFUNCTION("""COMPUTED_VALUE"""),"ОКС")</f>
        <v>ОКС</v>
      </c>
      <c r="D1231" s="6" t="str">
        <f>IFERROR(__xludf.DUMMYFUNCTION("""COMPUTED_VALUE"""),"да")</f>
        <v>да</v>
      </c>
      <c r="E1231" s="14" t="str">
        <f>IFERROR(__xludf.DUMMYFUNCTION("""COMPUTED_VALUE"""),"Взрослая поликлиника на 475 посещений в смену пос.Сосенское, ул. Александры Монаховой, д. 84А")</f>
        <v>Взрослая поликлиника на 475 посещений в смену пос.Сосенское, ул. Александры Монаховой, д. 84А</v>
      </c>
      <c r="F1231" s="25" t="str">
        <f>IFERROR(__xludf.DUMMYFUNCTION("""COMPUTED_VALUE"""),"#N/A")</f>
        <v>#N/A</v>
      </c>
      <c r="G1231" s="6" t="str">
        <f>IFERROR(__xludf.DUMMYFUNCTION("""COMPUTED_VALUE"""),"#N/A")</f>
        <v>#N/A</v>
      </c>
      <c r="H1231" s="18" t="str">
        <f>IFERROR(__xludf.DUMMYFUNCTION("""COMPUTED_VALUE"""),"https://docs.google.com/spreadsheets/d/1EI7qusa674eJhuaw-nWWtWMEHVSYMQv7HLsInEZTWpE/edit?gid=1822763133#gid=1822763133")</f>
        <v>https://docs.google.com/spreadsheets/d/1EI7qusa674eJhuaw-nWWtWMEHVSYMQv7HLsInEZTWpE/edit?gid=1822763133#gid=1822763133</v>
      </c>
      <c r="I1231" s="19" t="str">
        <f>IFERROR(__xludf.DUMMYFUNCTION("""COMPUTED_VALUE"""),"https://disk.yandex.ru/client/disk/Осмотры%20объектов%20АНО%20СМГ/1028.%20Поликлиника%20на%20475%20посещений_Александры%20Монаховой")</f>
        <v>https://disk.yandex.ru/client/disk/Осмотры%20объектов%20АНО%20СМГ/1028.%20Поликлиника%20на%20475%20посещений_Александры%20Монаховой</v>
      </c>
      <c r="J1231" s="50">
        <f>IFERROR(__xludf.DUMMYFUNCTION("""COMPUTED_VALUE"""),100.0)</f>
        <v>100</v>
      </c>
      <c r="K1231" s="58">
        <f>IFERROR(__xludf.DUMMYFUNCTION("""COMPUTED_VALUE"""),45911.0)</f>
        <v>45911</v>
      </c>
      <c r="L1231" s="6" t="s">
        <v>654</v>
      </c>
      <c r="M1231" s="52" t="s">
        <v>655</v>
      </c>
      <c r="N1231" s="53" t="s">
        <v>656</v>
      </c>
      <c r="O1231" s="19" t="s">
        <v>1293</v>
      </c>
      <c r="P1231" s="6"/>
      <c r="Q1231" s="6" t="str">
        <f t="shared" si="1"/>
        <v>#N/A</v>
      </c>
      <c r="R1231" s="6"/>
    </row>
    <row r="1232" hidden="1">
      <c r="A1232" s="31" t="str">
        <f>IFERROR(__xludf.DUMMYFUNCTION("""COMPUTED_VALUE"""),"НД")</f>
        <v>НД</v>
      </c>
      <c r="B1232" s="14" t="str">
        <f>IFERROR(__xludf.DUMMYFUNCTION("""COMPUTED_VALUE"""),"ВНЕ СПИСКА")</f>
        <v>ВНЕ СПИСКА</v>
      </c>
      <c r="C1232" s="14" t="str">
        <f>IFERROR(__xludf.DUMMYFUNCTION("""COMPUTED_VALUE"""),"УДС")</f>
        <v>УДС</v>
      </c>
      <c r="D1232" s="6"/>
      <c r="E1232" s="14" t="str">
        <f>IFERROR(__xludf.DUMMYFUNCTION("""COMPUTED_VALUE"""),"ЮВХ-10. Участок от МКАД до а/д дороги «Солнцево-Бутово-Варшавское ш.» Этапы 3.2.1, 3.2.2, 3.3.3.2.2, 3.3.5, 3.3.2.3, 3.3.3.3, 3.3.3.4, ЮАО ЮВХ-10. Участок от Симферопольского шоссе до а/д Солнцево-Бутово-Варшавское шоссе
")</f>
        <v>ЮВХ-10. Участок от МКАД до а/д дороги _x000b_«Солнцево-Бутово-Варшавское ш.» _x000b_Этапы 3.2.1, 3.2.2, 3.3.3.2.2, 3.3.5, 3.3.2.3, 3.3.3.3, 3.3.3.4, ЮАО ЮВХ-10. Участок от Симферопольского шоссе до а/д Солнцево-Бутово-Варшавское шоссе
</v>
      </c>
      <c r="F1232" s="25" t="str">
        <f>IFERROR(__xludf.DUMMYFUNCTION("""COMPUTED_VALUE"""),"#N/A")</f>
        <v>#N/A</v>
      </c>
      <c r="G1232" s="6" t="str">
        <f>IFERROR(__xludf.DUMMYFUNCTION("""COMPUTED_VALUE"""),"#N/A")</f>
        <v>#N/A</v>
      </c>
      <c r="H1232" s="6"/>
      <c r="I1232" s="19"/>
      <c r="J1232" s="50"/>
      <c r="K1232" s="58"/>
      <c r="L1232" s="6">
        <v>30.0</v>
      </c>
      <c r="M1232" s="52" t="s">
        <v>655</v>
      </c>
      <c r="N1232" s="53" t="s">
        <v>698</v>
      </c>
      <c r="O1232" s="19"/>
      <c r="P1232" s="6"/>
      <c r="Q1232" s="6" t="str">
        <f t="shared" si="1"/>
        <v>#N/A</v>
      </c>
      <c r="R1232" s="6"/>
    </row>
    <row r="1233" hidden="1">
      <c r="A1233" s="31" t="str">
        <f>IFERROR(__xludf.DUMMYFUNCTION("""COMPUTED_VALUE"""),"НД")</f>
        <v>НД</v>
      </c>
      <c r="B1233" s="14" t="str">
        <f>IFERROR(__xludf.DUMMYFUNCTION("""COMPUTED_VALUE"""),"ВНЕ СПИСКА")</f>
        <v>ВНЕ СПИСКА</v>
      </c>
      <c r="C1233" s="14" t="str">
        <f>IFERROR(__xludf.DUMMYFUNCTION("""COMPUTED_VALUE"""),"УДС")</f>
        <v>УДС</v>
      </c>
      <c r="D1233" s="6"/>
      <c r="E1233" s="14" t="str">
        <f>IFERROR(__xludf.DUMMYFUNCTION("""COMPUTED_VALUE"""),"Строительство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f>
        <v>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v>
      </c>
      <c r="F1233" s="25" t="str">
        <f>IFERROR(__xludf.DUMMYFUNCTION("""COMPUTED_VALUE"""),"#N/A")</f>
        <v>#N/A</v>
      </c>
      <c r="G1233" s="6" t="str">
        <f>IFERROR(__xludf.DUMMYFUNCTION("""COMPUTED_VALUE"""),"#N/A")</f>
        <v>#N/A</v>
      </c>
      <c r="H1233" s="6"/>
      <c r="I1233" s="6"/>
      <c r="J1233" s="50"/>
      <c r="K1233" s="58"/>
      <c r="L1233" s="6">
        <v>30.0</v>
      </c>
      <c r="M1233" s="52" t="s">
        <v>655</v>
      </c>
      <c r="N1233" s="53" t="s">
        <v>698</v>
      </c>
      <c r="O1233" s="6"/>
      <c r="P1233" s="6"/>
      <c r="Q1233" s="6" t="str">
        <f t="shared" si="1"/>
        <v>#N/A</v>
      </c>
      <c r="R1233" s="6"/>
    </row>
    <row r="1234" hidden="1">
      <c r="A1234" s="31" t="str">
        <f>IFERROR(__xludf.DUMMYFUNCTION("""COMPUTED_VALUE"""),"НД")</f>
        <v>НД</v>
      </c>
      <c r="B1234" s="14" t="str">
        <f>IFERROR(__xludf.DUMMYFUNCTION("""COMPUTED_VALUE"""),"ВНЕ СПИСКА")</f>
        <v>ВНЕ СПИСКА</v>
      </c>
      <c r="C1234" s="14" t="str">
        <f>IFERROR(__xludf.DUMMYFUNCTION("""COMPUTED_VALUE"""),"УДС")</f>
        <v>УДС</v>
      </c>
      <c r="D1234" s="6"/>
      <c r="E1234" s="14" t="str">
        <f>IFERROR(__xludf.DUMMYFUNCTION("""COMPUTED_VALUE"""),"Строительство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f>
        <v>Строительство улично-дорожной сети с искусственными сооружениями и переустройством инженерных коммуникаций на участке на участке от МКАД до автомобильной дороги "Солнцево-Бутово-Варшавское шоссе" </v>
      </c>
      <c r="F1234" s="25" t="str">
        <f>IFERROR(__xludf.DUMMYFUNCTION("""COMPUTED_VALUE"""),"#N/A")</f>
        <v>#N/A</v>
      </c>
      <c r="G1234" s="6" t="str">
        <f>IFERROR(__xludf.DUMMYFUNCTION("""COMPUTED_VALUE"""),"#N/A")</f>
        <v>#N/A</v>
      </c>
      <c r="H1234" s="6"/>
      <c r="I1234" s="6"/>
      <c r="J1234" s="50"/>
      <c r="K1234" s="58"/>
      <c r="L1234" s="6">
        <v>30.0</v>
      </c>
      <c r="M1234" s="52" t="s">
        <v>655</v>
      </c>
      <c r="N1234" s="53" t="s">
        <v>698</v>
      </c>
      <c r="O1234" s="6"/>
      <c r="P1234" s="6"/>
      <c r="Q1234" s="6" t="str">
        <f t="shared" si="1"/>
        <v>#N/A</v>
      </c>
      <c r="R1234" s="6"/>
    </row>
    <row r="1235" hidden="1">
      <c r="A1235" s="31" t="str">
        <f>IFERROR(__xludf.DUMMYFUNCTION("""COMPUTED_VALUE"""),"024")</f>
        <v>024</v>
      </c>
      <c r="B1235" s="14" t="str">
        <f>IFERROR(__xludf.DUMMYFUNCTION("""COMPUTED_VALUE"""),"ВНЕ СПИСКА")</f>
        <v>ВНЕ СПИСКА</v>
      </c>
      <c r="C1235" s="14" t="str">
        <f>IFERROR(__xludf.DUMMYFUNCTION("""COMPUTED_VALUE"""),"ОКС")</f>
        <v>ОКС</v>
      </c>
      <c r="D1235" s="6"/>
      <c r="E1235" s="14" t="str">
        <f>IFERROR(__xludf.DUMMYFUNCTION("""COMPUTED_VALUE"""),"Устранение гарантийных замечаний на объекте Детско-взрослая
поликлиника с женской консультацией на 750 посещений в смену поселок
Коммунарка, ул. Фитаревская, д. 27, стр.1")</f>
        <v>Устранение гарантийных замечаний на объекте Детско-взрослая
поликлиника с женской консультацией на 750 посещений в смену поселок
Коммунарка, ул. Фитаревская, д. 27, стр.1</v>
      </c>
      <c r="F1235" s="25" t="str">
        <f>IFERROR(__xludf.DUMMYFUNCTION("""COMPUTED_VALUE"""),"#N/A")</f>
        <v>#N/A</v>
      </c>
      <c r="G1235" s="6" t="str">
        <f>IFERROR(__xludf.DUMMYFUNCTION("""COMPUTED_VALUE"""),"#N/A")</f>
        <v>#N/A</v>
      </c>
      <c r="H1235" s="18" t="str">
        <f>IFERROR(__xludf.DUMMYFUNCTION("""COMPUTED_VALUE"""),"https://docs.google.com/spreadsheets/d/1EI7qusa674eJhuaw-nWWtWMEHVSYMQv7HLsInEZTWpE/edit?gid=1977634202#gid=1977634202")</f>
        <v>https://docs.google.com/spreadsheets/d/1EI7qusa674eJhuaw-nWWtWMEHVSYMQv7HLsInEZTWpE/edit?gid=1977634202#gid=1977634202</v>
      </c>
      <c r="I1235" s="6" t="str">
        <f>IFERROR(__xludf.DUMMYFUNCTION("""COMPUTED_VALUE"""),"https://disk.yandex.ru/client/disk/Осмотры%20объектов%20АНО%20СМГ/024.%20Детско-взрослая%20поликлиника%20на%20750%20посещений%2C%20ул.%20Фитаревская%2027%20стр%201")</f>
        <v>https://disk.yandex.ru/client/disk/Осмотры%20объектов%20АНО%20СМГ/024.%20Детско-взрослая%20поликлиника%20на%20750%20посещений%2C%20ул.%20Фитаревская%2027%20стр%201</v>
      </c>
      <c r="J1235" s="50">
        <f>IFERROR(__xludf.DUMMYFUNCTION("""COMPUTED_VALUE"""),100.0)</f>
        <v>100</v>
      </c>
      <c r="K1235" s="58">
        <f>IFERROR(__xludf.DUMMYFUNCTION("""COMPUTED_VALUE"""),45911.0)</f>
        <v>45911</v>
      </c>
      <c r="L1235" s="6" t="s">
        <v>654</v>
      </c>
      <c r="M1235" s="52" t="s">
        <v>655</v>
      </c>
      <c r="N1235" s="53" t="s">
        <v>656</v>
      </c>
      <c r="O1235" s="6" t="s">
        <v>1294</v>
      </c>
      <c r="P1235" s="6"/>
      <c r="Q1235" s="6" t="str">
        <f t="shared" si="1"/>
        <v>#N/A</v>
      </c>
      <c r="R1235" s="6"/>
    </row>
    <row r="1236" hidden="1">
      <c r="A1236" s="31" t="str">
        <f>IFERROR(__xludf.DUMMYFUNCTION("""COMPUTED_VALUE"""),"1115")</f>
        <v>1115</v>
      </c>
      <c r="B1236" s="14" t="str">
        <f>IFERROR(__xludf.DUMMYFUNCTION("""COMPUTED_VALUE"""),"ВНЕ СПИСКА")</f>
        <v>ВНЕ СПИСКА</v>
      </c>
      <c r="C1236" s="14" t="str">
        <f>IFERROR(__xludf.DUMMYFUNCTION("""COMPUTED_VALUE"""),"ОКС")</f>
        <v>ОКС</v>
      </c>
      <c r="D1236" s="6" t="str">
        <f>IFERROR(__xludf.DUMMYFUNCTION("""COMPUTED_VALUE"""),"да")</f>
        <v>да</v>
      </c>
      <c r="E1236" s="14" t="str">
        <f>IFERROR(__xludf.DUMMYFUNCTION("""COMPUTED_VALUE"""),"ул. Лосиноостровская, вл. 45 (ЖК «Светлый мир», «Сказочный лес»), СВАО ул. Лосиноостровская, вл. 45")</f>
        <v>ул. Лосиноостровская, вл. 45 (ЖК «Светлый мир», «Сказочный лес»), СВАО ул. Лосиноостровская, вл. 45</v>
      </c>
      <c r="F1236" s="25" t="str">
        <f>IFERROR(__xludf.DUMMYFUNCTION("""COMPUTED_VALUE"""),"#N/A")</f>
        <v>#N/A</v>
      </c>
      <c r="G1236" s="6" t="str">
        <f>IFERROR(__xludf.DUMMYFUNCTION("""COMPUTED_VALUE"""),"#N/A")</f>
        <v>#N/A</v>
      </c>
      <c r="H1236" s="18" t="str">
        <f>IFERROR(__xludf.DUMMYFUNCTION("""COMPUTED_VALUE"""),"https://docs.google.com/spreadsheets/d/1EI7qusa674eJhuaw-nWWtWMEHVSYMQv7HLsInEZTWpE/edit?gid=1635120281#gid=1635120281")</f>
        <v>https://docs.google.com/spreadsheets/d/1EI7qusa674eJhuaw-nWWtWMEHVSYMQv7HLsInEZTWpE/edit?gid=1635120281#gid=1635120281</v>
      </c>
      <c r="I1236" s="21" t="str">
        <f>IFERROR(__xludf.DUMMYFUNCTION("""COMPUTED_VALUE"""),"https://disk.yandex.ru/client/disk/%D0%9E%D1%81%D0%BC%D0%BE%D1%82%D1%80%D1%8B%20%D0%BE%D0%B1%D1%8A%D0%B5%D0%BA%D1%82%D0%BE%D0%B2%20%D0%90%D0%9D%D0%9E%20%D0%A1%D0%9C%D0%93/1115%20%D0%96%D0%9A%20%D0%A1%D0%B2%D0%B5%D1%82%D0%BB%D1%8B%D0%B9%20%D0%BC%D0%B8%D1%8"&amp;"0%20(%D0%A1%D0%BA%D0%B0%D0%B7%D0%BE%D1%87%D0%BD%D1%8B%D0%B9%20%D0%BB%D0%B5%D1%81)%20%D0%9B%D0%BE%D1%81%D0%B8%D0%BD%D0%BE%D0%BE%D1%81%D1%82%D1%80%D0%BE%D0%B2%D1%81%D0%BA%D0%B0%D1%8F%20%D0%B2%D0%BB%2045%20")</f>
        <v>https://disk.yandex.ru/client/disk/%D0%9E%D1%81%D0%BC%D0%BE%D1%82%D1%80%D1%8B%20%D0%BE%D0%B1%D1%8A%D0%B5%D0%BA%D1%82%D0%BE%D0%B2%20%D0%90%D0%9D%D0%9E%20%D0%A1%D0%9C%D0%93/1115%20%D0%96%D0%9A%20%D0%A1%D0%B2%D0%B5%D1%82%D0%BB%D1%8B%D0%B9%20%D0%BC%D0%B8%D1%80%20(%D0%A1%D0%BA%D0%B0%D0%B7%D0%BE%D1%87%D0%BD%D1%8B%D0%B9%20%D0%BB%D0%B5%D1%81)%20%D0%9B%D0%BE%D1%81%D0%B8%D0%BD%D0%BE%D0%BE%D1%81%D1%82%D1%80%D0%BE%D0%B2%D1%81%D0%BA%D0%B0%D1%8F%20%D0%B2%D0%BB%2045%20</v>
      </c>
      <c r="J1236" s="50">
        <f>IFERROR(__xludf.DUMMYFUNCTION("""COMPUTED_VALUE"""),91.60447500000001)</f>
        <v>91.604475</v>
      </c>
      <c r="K1236" s="58">
        <f>IFERROR(__xludf.DUMMYFUNCTION("""COMPUTED_VALUE"""),45804.0)</f>
        <v>45804</v>
      </c>
      <c r="L1236" s="6">
        <v>14.0</v>
      </c>
      <c r="M1236" s="52">
        <v>45818.0</v>
      </c>
      <c r="N1236" s="53" t="s">
        <v>668</v>
      </c>
      <c r="O1236" s="19" t="s">
        <v>669</v>
      </c>
      <c r="P1236" s="6"/>
      <c r="Q1236" s="6" t="str">
        <f t="shared" si="1"/>
        <v>#N/A</v>
      </c>
      <c r="R1236" s="6"/>
    </row>
    <row r="1237" hidden="1">
      <c r="A1237" s="31" t="str">
        <f>IFERROR(__xludf.DUMMYFUNCTION("""COMPUTED_VALUE"""),"1114к3")</f>
        <v>1114к3</v>
      </c>
      <c r="B1237" s="14" t="str">
        <f>IFERROR(__xludf.DUMMYFUNCTION("""COMPUTED_VALUE"""),"ВНЕ СПИСКА")</f>
        <v>ВНЕ СПИСКА</v>
      </c>
      <c r="C1237" s="14" t="str">
        <f>IFERROR(__xludf.DUMMYFUNCTION("""COMPUTED_VALUE"""),"ОКС")</f>
        <v>ОКС</v>
      </c>
      <c r="D1237" s="6" t="str">
        <f>IFERROR(__xludf.DUMMYFUNCTION("""COMPUTED_VALUE"""),"да")</f>
        <v>да</v>
      </c>
      <c r="E1237" s="14" t="str">
        <f>IFERROR(__xludf.DUMMYFUNCTION("""COMPUTED_VALUE"""),"ул. Люблинская, вл. 72 (ЖК «Светлый мир», «Станция Л») корпус 3, ЮВАО ЮВАО, район Люблино, ул. Люблинская, вл. 72 , корп. 3
")</f>
        <v>ул. Люблинская, вл. 72 (ЖК «Светлый мир», «Станция Л») корпус 3, ЮВАО ЮВАО, район Люблино, ул. Люблинская, вл. 72 , корп. 3
</v>
      </c>
      <c r="F1237" s="25" t="str">
        <f>IFERROR(__xludf.DUMMYFUNCTION("""COMPUTED_VALUE"""),"#N/A")</f>
        <v>#N/A</v>
      </c>
      <c r="G1237" s="6" t="str">
        <f>IFERROR(__xludf.DUMMYFUNCTION("""COMPUTED_VALUE"""),"#N/A")</f>
        <v>#N/A</v>
      </c>
      <c r="H1237" s="18" t="str">
        <f>IFERROR(__xludf.DUMMYFUNCTION("""COMPUTED_VALUE"""),"https://docs.google.com/spreadsheets/d/1EI7qusa674eJhuaw-nWWtWMEHVSYMQv7HLsInEZTWpE/edit?gid=360147993#gid=360147993")</f>
        <v>https://docs.google.com/spreadsheets/d/1EI7qusa674eJhuaw-nWWtWMEHVSYMQv7HLsInEZTWpE/edit?gid=360147993#gid=360147993</v>
      </c>
      <c r="I1237"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7" s="50">
        <f>IFERROR(__xludf.DUMMYFUNCTION("""COMPUTED_VALUE"""),58.030325000000005)</f>
        <v>58.030325</v>
      </c>
      <c r="K1237" s="58">
        <f>IFERROR(__xludf.DUMMYFUNCTION("""COMPUTED_VALUE"""),45768.0)</f>
        <v>45768</v>
      </c>
      <c r="L1237" s="6">
        <v>14.0</v>
      </c>
      <c r="M1237" s="52">
        <v>45782.0</v>
      </c>
      <c r="N1237" s="53" t="s">
        <v>668</v>
      </c>
      <c r="O1237" s="19" t="s">
        <v>1193</v>
      </c>
      <c r="P1237" s="6"/>
      <c r="Q1237" s="6" t="str">
        <f t="shared" si="1"/>
        <v>#N/A</v>
      </c>
      <c r="R1237" s="6"/>
    </row>
    <row r="1238" hidden="1">
      <c r="A1238" s="31" t="str">
        <f>IFERROR(__xludf.DUMMYFUNCTION("""COMPUTED_VALUE"""),"1114к8")</f>
        <v>1114к8</v>
      </c>
      <c r="B1238" s="14" t="str">
        <f>IFERROR(__xludf.DUMMYFUNCTION("""COMPUTED_VALUE"""),"ВНЕ СПИСКА")</f>
        <v>ВНЕ СПИСКА</v>
      </c>
      <c r="C1238" s="14" t="str">
        <f>IFERROR(__xludf.DUMMYFUNCTION("""COMPUTED_VALUE"""),"ОКС")</f>
        <v>ОКС</v>
      </c>
      <c r="D1238" s="6" t="str">
        <f>IFERROR(__xludf.DUMMYFUNCTION("""COMPUTED_VALUE"""),"да")</f>
        <v>да</v>
      </c>
      <c r="E1238" s="14" t="str">
        <f>IFERROR(__xludf.DUMMYFUNCTION("""COMPUTED_VALUE"""),"ул. Люблинская, вл. 72 (ЖК «Светлый мир», «Станция Л») корпус 8, ЮВАО ЮВАО, район Люблино, ул. Люблинская, вл. 72 , корп. 8")</f>
        <v>ул. Люблинская, вл. 72 (ЖК «Светлый мир», «Станция Л») корпус 8, ЮВАО ЮВАО, район Люблино, ул. Люблинская, вл. 72 , корп. 8</v>
      </c>
      <c r="F1238" s="25" t="str">
        <f>IFERROR(__xludf.DUMMYFUNCTION("""COMPUTED_VALUE"""),"#N/A")</f>
        <v>#N/A</v>
      </c>
      <c r="G1238" s="6" t="str">
        <f>IFERROR(__xludf.DUMMYFUNCTION("""COMPUTED_VALUE"""),"#N/A")</f>
        <v>#N/A</v>
      </c>
      <c r="H1238" s="18" t="str">
        <f>IFERROR(__xludf.DUMMYFUNCTION("""COMPUTED_VALUE"""),"https://docs.google.com/spreadsheets/d/1EI7qusa674eJhuaw-nWWtWMEHVSYMQv7HLsInEZTWpE/edit?gid=1025924228#gid=1025924228")</f>
        <v>https://docs.google.com/spreadsheets/d/1EI7qusa674eJhuaw-nWWtWMEHVSYMQv7HLsInEZTWpE/edit?gid=1025924228#gid=1025924228</v>
      </c>
      <c r="I1238"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8" s="50">
        <f>IFERROR(__xludf.DUMMYFUNCTION("""COMPUTED_VALUE"""),8.64)</f>
        <v>8.64</v>
      </c>
      <c r="K1238" s="58">
        <f>IFERROR(__xludf.DUMMYFUNCTION("""COMPUTED_VALUE"""),45768.0)</f>
        <v>45768</v>
      </c>
      <c r="L1238" s="6">
        <v>30.0</v>
      </c>
      <c r="M1238" s="52">
        <v>45798.0</v>
      </c>
      <c r="N1238" s="53" t="s">
        <v>668</v>
      </c>
      <c r="O1238" s="19" t="s">
        <v>1193</v>
      </c>
      <c r="P1238" s="6"/>
      <c r="Q1238" s="6" t="str">
        <f t="shared" si="1"/>
        <v>#N/A</v>
      </c>
      <c r="R1238" s="6"/>
    </row>
    <row r="1239" hidden="1">
      <c r="A1239" s="31" t="str">
        <f>IFERROR(__xludf.DUMMYFUNCTION("""COMPUTED_VALUE"""),"1114к11")</f>
        <v>1114к11</v>
      </c>
      <c r="B1239" s="14" t="str">
        <f>IFERROR(__xludf.DUMMYFUNCTION("""COMPUTED_VALUE"""),"ВНЕ СПИСКА")</f>
        <v>ВНЕ СПИСКА</v>
      </c>
      <c r="C1239" s="14" t="str">
        <f>IFERROR(__xludf.DUMMYFUNCTION("""COMPUTED_VALUE"""),"ОКС")</f>
        <v>ОКС</v>
      </c>
      <c r="D1239" s="6" t="str">
        <f>IFERROR(__xludf.DUMMYFUNCTION("""COMPUTED_VALUE"""),"да")</f>
        <v>да</v>
      </c>
      <c r="E1239" s="14" t="str">
        <f>IFERROR(__xludf.DUMMYFUNCTION("""COMPUTED_VALUE"""),"ул. Люблинская, вл. 72 (ЖК «Светлый мир», «Станция Л») корпус 11, ЮВАО ул. Люблинская, вл. 72 (ЖК «Светлый мир», «Станция Л») корпус 11, ЮВАО")</f>
        <v>ул. Люблинская, вл. 72 (ЖК «Светлый мир», «Станция Л») корпус 11, ЮВАО ул. Люблинская, вл. 72 (ЖК «Светлый мир», «Станция Л») корпус 11, ЮВАО</v>
      </c>
      <c r="F1239" s="25" t="str">
        <f>IFERROR(__xludf.DUMMYFUNCTION("""COMPUTED_VALUE"""),"#N/A")</f>
        <v>#N/A</v>
      </c>
      <c r="G1239" s="6" t="str">
        <f>IFERROR(__xludf.DUMMYFUNCTION("""COMPUTED_VALUE"""),"#N/A")</f>
        <v>#N/A</v>
      </c>
      <c r="H1239" s="18" t="str">
        <f>IFERROR(__xludf.DUMMYFUNCTION("""COMPUTED_VALUE"""),"https://docs.google.com/spreadsheets/d/1EI7qusa674eJhuaw-nWWtWMEHVSYMQv7HLsInEZTWpE/edit?gid=318719186#gid=318719186")</f>
        <v>https://docs.google.com/spreadsheets/d/1EI7qusa674eJhuaw-nWWtWMEHVSYMQv7HLsInEZTWpE/edit?gid=318719186#gid=318719186</v>
      </c>
      <c r="I1239"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39" s="50">
        <f>IFERROR(__xludf.DUMMYFUNCTION("""COMPUTED_VALUE"""),60.092325)</f>
        <v>60.092325</v>
      </c>
      <c r="K1239" s="58">
        <f>IFERROR(__xludf.DUMMYFUNCTION("""COMPUTED_VALUE"""),45804.0)</f>
        <v>45804</v>
      </c>
      <c r="L1239" s="6">
        <v>14.0</v>
      </c>
      <c r="M1239" s="52">
        <v>45818.0</v>
      </c>
      <c r="N1239" s="53" t="s">
        <v>668</v>
      </c>
      <c r="O1239" s="19" t="s">
        <v>1193</v>
      </c>
      <c r="P1239" s="6"/>
      <c r="Q1239" s="6" t="str">
        <f t="shared" si="1"/>
        <v>#N/A</v>
      </c>
      <c r="R1239" s="6"/>
    </row>
    <row r="1240" hidden="1">
      <c r="A1240" s="31" t="str">
        <f>IFERROR(__xludf.DUMMYFUNCTION("""COMPUTED_VALUE"""),"1114к26")</f>
        <v>1114к26</v>
      </c>
      <c r="B1240" s="14" t="str">
        <f>IFERROR(__xludf.DUMMYFUNCTION("""COMPUTED_VALUE"""),"ВНЕ СПИСКА")</f>
        <v>ВНЕ СПИСКА</v>
      </c>
      <c r="C1240" s="14" t="str">
        <f>IFERROR(__xludf.DUMMYFUNCTION("""COMPUTED_VALUE"""),"ОКС")</f>
        <v>ОКС</v>
      </c>
      <c r="D1240" s="6" t="str">
        <f>IFERROR(__xludf.DUMMYFUNCTION("""COMPUTED_VALUE"""),"да")</f>
        <v>да</v>
      </c>
      <c r="E1240" s="14" t="str">
        <f>IFERROR(__xludf.DUMMYFUNCTION("""COMPUTED_VALUE"""),"ул. Люблинская, вл. 72 (ЖК «Светлый мир», «Станция Л») корпус 26, ЮВАО ЮВАО, район Люблино, ул. Люблинская, вл. 72, корп. 26
")</f>
        <v>ул. Люблинская, вл. 72 (ЖК «Светлый мир», «Станция Л») корпус 26, ЮВАО ЮВАО, район Люблино, ул. Люблинская, вл. 72, корп. 26
</v>
      </c>
      <c r="F1240" s="25" t="str">
        <f>IFERROR(__xludf.DUMMYFUNCTION("""COMPUTED_VALUE"""),"#N/A")</f>
        <v>#N/A</v>
      </c>
      <c r="G1240" s="6" t="str">
        <f>IFERROR(__xludf.DUMMYFUNCTION("""COMPUTED_VALUE"""),"#N/A")</f>
        <v>#N/A</v>
      </c>
      <c r="H1240" s="18" t="str">
        <f>IFERROR(__xludf.DUMMYFUNCTION("""COMPUTED_VALUE"""),"https://docs.google.com/spreadsheets/d/1EI7qusa674eJhuaw-nWWtWMEHVSYMQv7HLsInEZTWpE/edit?gid=2009717462#gid=2009717462")</f>
        <v>https://docs.google.com/spreadsheets/d/1EI7qusa674eJhuaw-nWWtWMEHVSYMQv7HLsInEZTWpE/edit?gid=2009717462#gid=2009717462</v>
      </c>
      <c r="I1240"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0" s="50">
        <f>IFERROR(__xludf.DUMMYFUNCTION("""COMPUTED_VALUE"""),2.52)</f>
        <v>2.52</v>
      </c>
      <c r="K1240" s="58">
        <f>IFERROR(__xludf.DUMMYFUNCTION("""COMPUTED_VALUE"""),45768.0)</f>
        <v>45768</v>
      </c>
      <c r="L1240" s="6">
        <v>30.0</v>
      </c>
      <c r="M1240" s="52">
        <v>45798.0</v>
      </c>
      <c r="N1240" s="53" t="s">
        <v>668</v>
      </c>
      <c r="O1240" s="19" t="s">
        <v>1193</v>
      </c>
      <c r="P1240" s="6"/>
      <c r="Q1240" s="6" t="str">
        <f t="shared" si="1"/>
        <v>#N/A</v>
      </c>
      <c r="R1240" s="6"/>
    </row>
    <row r="1241" hidden="1">
      <c r="A1241" s="31" t="str">
        <f>IFERROR(__xludf.DUMMYFUNCTION("""COMPUTED_VALUE"""),"1114к27")</f>
        <v>1114к27</v>
      </c>
      <c r="B1241" s="14" t="str">
        <f>IFERROR(__xludf.DUMMYFUNCTION("""COMPUTED_VALUE"""),"ВНЕ СПИСКА")</f>
        <v>ВНЕ СПИСКА</v>
      </c>
      <c r="C1241" s="14" t="str">
        <f>IFERROR(__xludf.DUMMYFUNCTION("""COMPUTED_VALUE"""),"ОКС")</f>
        <v>ОКС</v>
      </c>
      <c r="D1241" s="6" t="str">
        <f>IFERROR(__xludf.DUMMYFUNCTION("""COMPUTED_VALUE"""),"да")</f>
        <v>да</v>
      </c>
      <c r="E1241" s="14" t="str">
        <f>IFERROR(__xludf.DUMMYFUNCTION("""COMPUTED_VALUE"""),"ул. Люблинская, вл. 72 (ЖК «Светлый мир», «Станция Л») корпус 28, ЮВАО ЮВАО, район Люблино, ул. Люблинская, вл. 72, корп. 27
")</f>
        <v>ул. Люблинская, вл. 72 (ЖК «Светлый мир», «Станция Л») корпус 28, ЮВАО ЮВАО, район Люблино, ул. Люблинская, вл. 72, корп. 27
</v>
      </c>
      <c r="F1241" s="25" t="str">
        <f>IFERROR(__xludf.DUMMYFUNCTION("""COMPUTED_VALUE"""),"#N/A")</f>
        <v>#N/A</v>
      </c>
      <c r="G1241" s="6" t="str">
        <f>IFERROR(__xludf.DUMMYFUNCTION("""COMPUTED_VALUE"""),"#N/A")</f>
        <v>#N/A</v>
      </c>
      <c r="H1241" s="18" t="str">
        <f>IFERROR(__xludf.DUMMYFUNCTION("""COMPUTED_VALUE"""),"https://docs.google.com/spreadsheets/d/1EI7qusa674eJhuaw-nWWtWMEHVSYMQv7HLsInEZTWpE/edit?gid=852795389#gid=852795389")</f>
        <v>https://docs.google.com/spreadsheets/d/1EI7qusa674eJhuaw-nWWtWMEHVSYMQv7HLsInEZTWpE/edit?gid=852795389#gid=852795389</v>
      </c>
      <c r="I1241"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1" s="50">
        <f>IFERROR(__xludf.DUMMYFUNCTION("""COMPUTED_VALUE"""),1.7999999999999998)</f>
        <v>1.8</v>
      </c>
      <c r="K1241" s="58">
        <f>IFERROR(__xludf.DUMMYFUNCTION("""COMPUTED_VALUE"""),45768.0)</f>
        <v>45768</v>
      </c>
      <c r="L1241" s="6">
        <v>30.0</v>
      </c>
      <c r="M1241" s="52">
        <v>45798.0</v>
      </c>
      <c r="N1241" s="53" t="s">
        <v>668</v>
      </c>
      <c r="O1241" s="19" t="s">
        <v>1193</v>
      </c>
      <c r="P1241" s="6"/>
      <c r="Q1241" s="6" t="str">
        <f t="shared" si="1"/>
        <v>#N/A</v>
      </c>
      <c r="R1241" s="6"/>
    </row>
    <row r="1242" hidden="1">
      <c r="A1242" s="31" t="str">
        <f>IFERROR(__xludf.DUMMYFUNCTION("""COMPUTED_VALUE"""),"1114к31")</f>
        <v>1114к31</v>
      </c>
      <c r="B1242" s="14" t="str">
        <f>IFERROR(__xludf.DUMMYFUNCTION("""COMPUTED_VALUE"""),"ВНЕ СПИСКА")</f>
        <v>ВНЕ СПИСКА</v>
      </c>
      <c r="C1242" s="14" t="str">
        <f>IFERROR(__xludf.DUMMYFUNCTION("""COMPUTED_VALUE"""),"ОКС")</f>
        <v>ОКС</v>
      </c>
      <c r="D1242" s="6" t="str">
        <f>IFERROR(__xludf.DUMMYFUNCTION("""COMPUTED_VALUE"""),"да")</f>
        <v>да</v>
      </c>
      <c r="E1242" s="14" t="str">
        <f>IFERROR(__xludf.DUMMYFUNCTION("""COMPUTED_VALUE"""),"ул. Люблинская, вл. 72 (ЖК «Светлый мир», «Станция Л») корпус 31, ЮВАО ЮВАО, район Люблино, ул. Люблинская, вл. 72, корп. 31
")</f>
        <v>ул. Люблинская, вл. 72 (ЖК «Светлый мир», «Станция Л») корпус 31, ЮВАО ЮВАО, район Люблино, ул. Люблинская, вл. 72, корп. 31
</v>
      </c>
      <c r="F1242" s="25" t="str">
        <f>IFERROR(__xludf.DUMMYFUNCTION("""COMPUTED_VALUE"""),"#N/A")</f>
        <v>#N/A</v>
      </c>
      <c r="G1242" s="6" t="str">
        <f>IFERROR(__xludf.DUMMYFUNCTION("""COMPUTED_VALUE"""),"#N/A")</f>
        <v>#N/A</v>
      </c>
      <c r="H1242" s="18" t="str">
        <f>IFERROR(__xludf.DUMMYFUNCTION("""COMPUTED_VALUE"""),"https://docs.google.com/spreadsheets/d/1EI7qusa674eJhuaw-nWWtWMEHVSYMQv7HLsInEZTWpE/edit?gid=1610184965#gid=1610184965")</f>
        <v>https://docs.google.com/spreadsheets/d/1EI7qusa674eJhuaw-nWWtWMEHVSYMQv7HLsInEZTWpE/edit?gid=1610184965#gid=1610184965</v>
      </c>
      <c r="I1242" s="19" t="str">
        <f>IFERROR(__xludf.DUMMYFUNCTION("""COMPUTED_VALUE"""),"https://disk.yandex.ru/client/disk/Осмотры%20объектов%20АНО%20СМГ/1114.%20Люблинская%20вл.%2072%20ЖК%20%22Светлый%20мир%22%20Станция%20Л%22%20корпуса%2011%2C%2031%2C%208%2C%203%2C%2026%2C%2027.")</f>
        <v>https://disk.yandex.ru/client/disk/Осмотры%20объектов%20АНО%20СМГ/1114.%20Люблинская%20вл.%2072%20ЖК%20%22Светлый%20мир%22%20Станция%20Л%22%20корпуса%2011%2C%2031%2C%208%2C%203%2C%2026%2C%2027.</v>
      </c>
      <c r="J1242" s="50">
        <f>IFERROR(__xludf.DUMMYFUNCTION("""COMPUTED_VALUE"""),1.7999999999999998)</f>
        <v>1.8</v>
      </c>
      <c r="K1242" s="58">
        <f>IFERROR(__xludf.DUMMYFUNCTION("""COMPUTED_VALUE"""),45768.0)</f>
        <v>45768</v>
      </c>
      <c r="L1242" s="6">
        <v>30.0</v>
      </c>
      <c r="M1242" s="52">
        <v>45798.0</v>
      </c>
      <c r="N1242" s="53" t="s">
        <v>668</v>
      </c>
      <c r="O1242" s="19" t="s">
        <v>1193</v>
      </c>
      <c r="P1242" s="6"/>
      <c r="Q1242" s="6" t="str">
        <f t="shared" si="1"/>
        <v>#N/A</v>
      </c>
      <c r="R1242" s="6"/>
    </row>
    <row r="1243" hidden="1">
      <c r="A1243" s="70" t="str">
        <f>IFERROR(__xludf.DUMMYFUNCTION("""COMPUTED_VALUE"""),"1279")</f>
        <v>1279</v>
      </c>
      <c r="B1243" s="14" t="str">
        <f>IFERROR(__xludf.DUMMYFUNCTION("""COMPUTED_VALUE"""),"ВНЕ СПИСКА")</f>
        <v>ВНЕ СПИСКА</v>
      </c>
      <c r="C1243" s="14" t="str">
        <f>IFERROR(__xludf.DUMMYFUNCTION("""COMPUTED_VALUE"""),"ОКС")</f>
        <v>ОКС</v>
      </c>
      <c r="D1243" s="6"/>
      <c r="E1243" s="14" t="str">
        <f>IFERROR(__xludf.DUMMYFUNCTION("""COMPUTED_VALUE"""),"Реконструкция колумбариев  Донского кладбища по адресу: Донская пл., влд. 1 (со сносом существующих сооружений)  Донская площадь, вл. 1")</f>
        <v>Реконструкция колумбариев  Донского кладбища по адресу: Донская пл., влд. 1 (со сносом существующих сооружений)  Донская площадь, вл. 1</v>
      </c>
      <c r="F1243" s="25" t="str">
        <f>IFERROR(__xludf.DUMMYFUNCTION("""COMPUTED_VALUE"""),"#N/A")</f>
        <v>#N/A</v>
      </c>
      <c r="G1243" s="6" t="str">
        <f>IFERROR(__xludf.DUMMYFUNCTION("""COMPUTED_VALUE"""),"#N/A")</f>
        <v>#N/A</v>
      </c>
      <c r="H1243" s="18" t="str">
        <f>IFERROR(__xludf.DUMMYFUNCTION("""COMPUTED_VALUE"""),"https://docs.google.com/spreadsheets/d/1EI7qusa674eJhuaw-nWWtWMEHVSYMQv7HLsInEZTWpE/edit?gid=1343663490#gid=1343663490")</f>
        <v>https://docs.google.com/spreadsheets/d/1EI7qusa674eJhuaw-nWWtWMEHVSYMQv7HLsInEZTWpE/edit?gid=1343663490#gid=1343663490</v>
      </c>
      <c r="I1243" s="19"/>
      <c r="J1243" s="50">
        <f>IFERROR(__xludf.DUMMYFUNCTION("""COMPUTED_VALUE"""),0.0)</f>
        <v>0</v>
      </c>
      <c r="K1243" s="58">
        <f>IFERROR(__xludf.DUMMYFUNCTION("""COMPUTED_VALUE"""),45874.0)</f>
        <v>45874</v>
      </c>
      <c r="L1243" s="6">
        <v>30.0</v>
      </c>
      <c r="M1243" s="52">
        <v>45904.0</v>
      </c>
      <c r="N1243" s="53" t="s">
        <v>668</v>
      </c>
      <c r="O1243" s="19" t="s">
        <v>1295</v>
      </c>
      <c r="P1243" s="6"/>
      <c r="Q1243" s="6" t="str">
        <f t="shared" si="1"/>
        <v>#N/A</v>
      </c>
      <c r="R1243" s="6"/>
    </row>
    <row r="1244" hidden="1">
      <c r="A1244" s="31" t="str">
        <f>IFERROR(__xludf.DUMMYFUNCTION("""COMPUTED_VALUE"""),"1187")</f>
        <v>1187</v>
      </c>
      <c r="B1244" s="14" t="str">
        <f>IFERROR(__xludf.DUMMYFUNCTION("""COMPUTED_VALUE"""),"ВНЕ СПИСКА")</f>
        <v>ВНЕ СПИСКА</v>
      </c>
      <c r="C1244" s="14" t="str">
        <f>IFERROR(__xludf.DUMMYFUNCTION("""COMPUTED_VALUE"""),"ОКС")</f>
        <v>ОКС</v>
      </c>
      <c r="D1244" s="6" t="str">
        <f>IFERROR(__xludf.DUMMYFUNCTION("""COMPUTED_VALUE"""),"да")</f>
        <v>да</v>
      </c>
      <c r="E1244" s="14" t="str">
        <f>IFERROR(__xludf.DUMMYFUNCTION("""COMPUTED_VALUE"""),"Школьное здание на 825 мест с пристроенным зданием блока начальных классов на 270 мест ЖК GREEN PARK, ул. Сельскохозяйственная, вл. 35")</f>
        <v>Школьное здание на 825 мест с пристроенным зданием блока начальных классов на 270 мест ЖК GREEN PARK, ул. Сельскохозяйственная, вл. 35</v>
      </c>
      <c r="F1244" s="25" t="str">
        <f>IFERROR(__xludf.DUMMYFUNCTION("""COMPUTED_VALUE"""),"#N/A")</f>
        <v>#N/A</v>
      </c>
      <c r="G1244" s="6" t="str">
        <f>IFERROR(__xludf.DUMMYFUNCTION("""COMPUTED_VALUE"""),"#N/A")</f>
        <v>#N/A</v>
      </c>
      <c r="H1244" s="18" t="str">
        <f>IFERROR(__xludf.DUMMYFUNCTION("""COMPUTED_VALUE"""),"https://docs.google.com/spreadsheets/d/1EI7qusa674eJhuaw-nWWtWMEHVSYMQv7HLsInEZTWpE/edit?gid=1381479506#gid=1381479506")</f>
        <v>https://docs.google.com/spreadsheets/d/1EI7qusa674eJhuaw-nWWtWMEHVSYMQv7HLsInEZTWpE/edit?gid=1381479506#gid=1381479506</v>
      </c>
      <c r="I1244" s="19" t="str">
        <f>IFERROR(__xludf.DUMMYFUNCTION("""COMPUTED_VALUE"""),"https://disk.yandex.ru/client/disk/Осмотры%20объектов%20АНО%20СМГ/1187.%20Школьное%20здание%20на%20825%20мест%20ЖК%20Green%20Park%2C%20ул.%20Сельскохозяйственная%2C%20вл.35")</f>
        <v>https://disk.yandex.ru/client/disk/Осмотры%20объектов%20АНО%20СМГ/1187.%20Школьное%20здание%20на%20825%20мест%20ЖК%20Green%20Park%2C%20ул.%20Сельскохозяйственная%2C%20вл.35</v>
      </c>
      <c r="J1244" s="50">
        <f>IFERROR(__xludf.DUMMYFUNCTION("""COMPUTED_VALUE"""),0.0)</f>
        <v>0</v>
      </c>
      <c r="K1244" s="58">
        <f>IFERROR(__xludf.DUMMYFUNCTION("""COMPUTED_VALUE"""),45811.0)</f>
        <v>45811</v>
      </c>
      <c r="L1244" s="6">
        <v>30.0</v>
      </c>
      <c r="M1244" s="52">
        <v>45841.0</v>
      </c>
      <c r="N1244" s="53" t="s">
        <v>668</v>
      </c>
      <c r="O1244" s="19" t="s">
        <v>1296</v>
      </c>
      <c r="P1244" s="6"/>
      <c r="Q1244" s="6" t="str">
        <f t="shared" si="1"/>
        <v>#N/A</v>
      </c>
      <c r="R1244" s="6"/>
    </row>
    <row r="1245" hidden="1">
      <c r="A1245" s="31" t="str">
        <f>IFERROR(__xludf.DUMMYFUNCTION("""COMPUTED_VALUE"""),"490")</f>
        <v>490</v>
      </c>
      <c r="B1245" s="14" t="str">
        <f>IFERROR(__xludf.DUMMYFUNCTION("""COMPUTED_VALUE"""),"РЕН-25")</f>
        <v>РЕН-25</v>
      </c>
      <c r="C1245" s="14" t="str">
        <f>IFERROR(__xludf.DUMMYFUNCTION("""COMPUTED_VALUE"""),"ОКС")</f>
        <v>ОКС</v>
      </c>
      <c r="D1245" s="6"/>
      <c r="E1245" s="14" t="str">
        <f>IFERROR(__xludf.DUMMYFUNCTION("""COMPUTED_VALUE"""),"Жилой дом с приспособлением гаража/подземной автостоянкой под защитное сооружение гражданской обороны – «укрытие» (ЗСГО), с инженерными сетями и благоустройством территории по адресу: район Проспект Вернадского, ул. Воейкова д. 2 (проспект Вернадского, зе"&amp;"мельный участок 75) район Проспект Вернадского, проспект Вернадского, земельный участок 75 (пр-кт Вернадского, влд. 75/3)")</f>
        <v>Жилой дом с приспособлением гаража/подземной автостоянкой под защитное сооружение гражданской обороны – «укрытие» (ЗСГО), с инженерными сетями и благоустройством территории по адресу: район Проспект Вернадского, ул. Воейкова д. 2 (проспект Вернадского, земельный участок 75) район Проспект Вернадского, проспект Вернадского, земельный участок 75 (пр-кт Вернадского, влд. 75/3)</v>
      </c>
      <c r="F1245" s="25" t="str">
        <f>IFERROR(__xludf.DUMMYFUNCTION("""COMPUTED_VALUE"""),"55.671189")</f>
        <v>55.671189</v>
      </c>
      <c r="G1245" s="6" t="str">
        <f>IFERROR(__xludf.DUMMYFUNCTION("""COMPUTED_VALUE"""),"37.507430")</f>
        <v>37.507430</v>
      </c>
      <c r="H1245" s="18" t="str">
        <f>IFERROR(__xludf.DUMMYFUNCTION("""COMPUTED_VALUE"""),"https://docs.google.com/spreadsheets/d/1H1MjbG2y0oC0hhID4do1G0_gfyI1jag72lQd7nL3WDQ/edit?gid=1877547333#gid=1877547333")</f>
        <v>https://docs.google.com/spreadsheets/d/1H1MjbG2y0oC0hhID4do1G0_gfyI1jag72lQd7nL3WDQ/edit?gid=1877547333#gid=1877547333</v>
      </c>
      <c r="I1245" s="19" t="str">
        <f>IFERROR(__xludf.DUMMYFUNCTION("""COMPUTED_VALUE"""),"https://disk.yandex.ru/client/disk/Осмотры%20объектов%20АНО%20СМГ/490.%20проспект%20Вернадского%2C%20з-у%2075%20квартал32-33%2C34-35%2C%20зона%208.2")</f>
        <v>https://disk.yandex.ru/client/disk/Осмотры%20объектов%20АНО%20СМГ/490.%20проспект%20Вернадского%2C%20з-у%2075%20квартал32-33%2C34-35%2C%20зона%208.2</v>
      </c>
      <c r="J1245" s="50">
        <f>IFERROR(__xludf.DUMMYFUNCTION("""COMPUTED_VALUE"""),100.0)</f>
        <v>100</v>
      </c>
      <c r="K1245" s="58">
        <f>IFERROR(__xludf.DUMMYFUNCTION("""COMPUTED_VALUE"""),45952.0)</f>
        <v>45952</v>
      </c>
      <c r="L1245" s="6" t="s">
        <v>654</v>
      </c>
      <c r="M1245" s="52" t="s">
        <v>655</v>
      </c>
      <c r="N1245" s="53" t="s">
        <v>656</v>
      </c>
      <c r="O1245" s="19" t="s">
        <v>1297</v>
      </c>
      <c r="P1245" s="6"/>
      <c r="Q1245" s="6" t="str">
        <f t="shared" si="1"/>
        <v>#N/A</v>
      </c>
      <c r="R1245" s="6"/>
    </row>
    <row r="1246" hidden="1">
      <c r="A1246" s="31" t="str">
        <f>IFERROR(__xludf.DUMMYFUNCTION("""COMPUTED_VALUE"""),"073")</f>
        <v>073</v>
      </c>
      <c r="B1246" s="14" t="str">
        <f>IFERROR(__xludf.DUMMYFUNCTION("""COMPUTED_VALUE"""),"ВНЕ СПИСКА")</f>
        <v>ВНЕ СПИСКА</v>
      </c>
      <c r="C1246" s="14" t="str">
        <f>IFERROR(__xludf.DUMMYFUNCTION("""COMPUTED_VALUE"""),"ОКС")</f>
        <v>ОКС</v>
      </c>
      <c r="D1246" s="6" t="str">
        <f>IFERROR(__xludf.DUMMYFUNCTION("""COMPUTED_VALUE"""),"да")</f>
        <v>да</v>
      </c>
      <c r="E1246" s="14" t="str">
        <f>IFERROR(__xludf.DUMMYFUNCTION("""COMPUTED_VALUE"""),"СОШ на 1150 учащихся (корп. 70) ЖК ""Саларьево Парк"", 
НАО, п. Московский, район Коммунарка п. Московский, р-н Коммунарка, трехполье, кв. 75, з/у 3")</f>
        <v>СОШ на 1150 учащихся (корп. 70) ЖК "Саларьево Парк", 
НАО, п. Московский, район Коммунарка п. Московский, р-н Коммунарка, трехполье, кв. 75, з/у 3</v>
      </c>
      <c r="F1246" s="25" t="str">
        <f>IFERROR(__xludf.DUMMYFUNCTION("""COMPUTED_VALUE"""),"#N/A")</f>
        <v>#N/A</v>
      </c>
      <c r="G1246" s="6" t="str">
        <f>IFERROR(__xludf.DUMMYFUNCTION("""COMPUTED_VALUE"""),"#N/A")</f>
        <v>#N/A</v>
      </c>
      <c r="H1246" s="18" t="str">
        <f>IFERROR(__xludf.DUMMYFUNCTION("""COMPUTED_VALUE"""),"https://docs.google.com/spreadsheets/d/1EI7qusa674eJhuaw-nWWtWMEHVSYMQv7HLsInEZTWpE/edit?gid=1434119046#gid=1434119046")</f>
        <v>https://docs.google.com/spreadsheets/d/1EI7qusa674eJhuaw-nWWtWMEHVSYMQv7HLsInEZTWpE/edit?gid=1434119046#gid=1434119046</v>
      </c>
      <c r="I1246" s="19" t="str">
        <f>IFERROR(__xludf.DUMMYFUNCTION("""COMPUTED_VALUE"""),"https://disk.yandex.ru/client/disk/Осмотры%20объектов%20АНО%20СМГ/073.%20СОШ%201150%20корп.70%2C%20Коммунарка%2C%20Новомосковский%2C%20Ул.%20Трехполье%2C%20д.%206")</f>
        <v>https://disk.yandex.ru/client/disk/Осмотры%20объектов%20АНО%20СМГ/073.%20СОШ%201150%20корп.70%2C%20Коммунарка%2C%20Новомосковский%2C%20Ул.%20Трехполье%2C%20д.%206</v>
      </c>
      <c r="J1246" s="50">
        <f>IFERROR(__xludf.DUMMYFUNCTION("""COMPUTED_VALUE"""),100.0)</f>
        <v>100</v>
      </c>
      <c r="K1246" s="58">
        <f>IFERROR(__xludf.DUMMYFUNCTION("""COMPUTED_VALUE"""),45889.0)</f>
        <v>45889</v>
      </c>
      <c r="L1246" s="6" t="s">
        <v>654</v>
      </c>
      <c r="M1246" s="52" t="s">
        <v>655</v>
      </c>
      <c r="N1246" s="53" t="s">
        <v>656</v>
      </c>
      <c r="O1246" s="19" t="s">
        <v>1298</v>
      </c>
      <c r="P1246" s="6"/>
      <c r="Q1246" s="6" t="str">
        <f t="shared" si="1"/>
        <v>#N/A</v>
      </c>
      <c r="R1246" s="6"/>
    </row>
    <row r="1247" hidden="1">
      <c r="A1247" s="31" t="str">
        <f>IFERROR(__xludf.DUMMYFUNCTION("""COMPUTED_VALUE"""),"066")</f>
        <v>066</v>
      </c>
      <c r="B1247" s="14" t="str">
        <f>IFERROR(__xludf.DUMMYFUNCTION("""COMPUTED_VALUE"""),"ВНЕ СПИСКА")</f>
        <v>ВНЕ СПИСКА</v>
      </c>
      <c r="C1247" s="14" t="str">
        <f>IFERROR(__xludf.DUMMYFUNCTION("""COMPUTED_VALUE"""),"ОКС")</f>
        <v>ОКС</v>
      </c>
      <c r="D1247" s="6" t="str">
        <f>IFERROR(__xludf.DUMMYFUNCTION("""COMPUTED_VALUE"""),"да")</f>
        <v>да</v>
      </c>
      <c r="E1247" s="14" t="str">
        <f>IFERROR(__xludf.DUMMYFUNCTION("""COMPUTED_VALUE"""),"Средняя общеобразовательная школа на 1100 мест ЖК БУНИНСКИЕ ЛУГА, поселок Коммунарка, улица Александры Монаховой, земельный участок 87")</f>
        <v>Средняя общеобразовательная школа на 1100 мест ЖК БУНИНСКИЕ ЛУГА, поселок Коммунарка, улица Александры Монаховой, земельный участок 87</v>
      </c>
      <c r="F1247" s="25" t="str">
        <f>IFERROR(__xludf.DUMMYFUNCTION("""COMPUTED_VALUE"""),"55.54794027077919")</f>
        <v>55.54794027077919</v>
      </c>
      <c r="G1247" s="6" t="str">
        <f>IFERROR(__xludf.DUMMYFUNCTION("""COMPUTED_VALUE"""),"37.48944130953867")</f>
        <v>37.48944130953867</v>
      </c>
      <c r="H1247" s="18" t="str">
        <f>IFERROR(__xludf.DUMMYFUNCTION("""COMPUTED_VALUE"""),"https://docs.google.com/spreadsheets/d/1EI7qusa674eJhuaw-nWWtWMEHVSYMQv7HLsInEZTWpE/edit?gid=270470148#gid=270470148")</f>
        <v>https://docs.google.com/spreadsheets/d/1EI7qusa674eJhuaw-nWWtWMEHVSYMQv7HLsInEZTWpE/edit?gid=270470148#gid=270470148</v>
      </c>
      <c r="I1247" s="19" t="str">
        <f>IFERROR(__xludf.DUMMYFUNCTION("""COMPUTED_VALUE"""),"https://disk.yandex.ru/client/disk/Осмотры%20объектов%20АНО%20СМГ/066.%20СОШ%201100%20(корп%203.13)%20ЖК%20Бунинские%20Луга")</f>
        <v>https://disk.yandex.ru/client/disk/Осмотры%20объектов%20АНО%20СМГ/066.%20СОШ%201100%20(корп%203.13)%20ЖК%20Бунинские%20Луга</v>
      </c>
      <c r="J1247" s="50">
        <f>IFERROR(__xludf.DUMMYFUNCTION("""COMPUTED_VALUE"""),99.8525)</f>
        <v>99.8525</v>
      </c>
      <c r="K1247" s="58">
        <f>IFERROR(__xludf.DUMMYFUNCTION("""COMPUTED_VALUE"""),45973.0)</f>
        <v>45973</v>
      </c>
      <c r="L1247" s="6">
        <v>7.0</v>
      </c>
      <c r="M1247" s="52">
        <v>45980.0</v>
      </c>
      <c r="N1247" s="53" t="s">
        <v>711</v>
      </c>
      <c r="O1247" s="19" t="s">
        <v>1299</v>
      </c>
      <c r="P1247" s="6"/>
      <c r="Q1247" s="6" t="str">
        <f t="shared" si="1"/>
        <v>#N/A</v>
      </c>
      <c r="R1247" s="6"/>
    </row>
    <row r="1248" hidden="1">
      <c r="A1248" s="31" t="str">
        <f>IFERROR(__xludf.DUMMYFUNCTION("""COMPUTED_VALUE"""),"1188")</f>
        <v>1188</v>
      </c>
      <c r="B1248" s="14" t="str">
        <f>IFERROR(__xludf.DUMMYFUNCTION("""COMPUTED_VALUE"""),"ВНЕ СПИСКА")</f>
        <v>ВНЕ СПИСКА</v>
      </c>
      <c r="C1248" s="14" t="str">
        <f>IFERROR(__xludf.DUMMYFUNCTION("""COMPUTED_VALUE"""),"ОКС")</f>
        <v>ОКС</v>
      </c>
      <c r="D1248" s="6" t="str">
        <f>IFERROR(__xludf.DUMMYFUNCTION("""COMPUTED_VALUE"""),"да")</f>
        <v>да</v>
      </c>
      <c r="E1248" s="14" t="str">
        <f>IFERROR(__xludf.DUMMYFUNCTION("""COMPUTED_VALUE"""),"Этап 13. Общеобразовательная организация на 1100 мест. Корпаус 7 ЖК ПОЛЯРНАЯ 25, Полярная ул. вл. 25")</f>
        <v>Этап 13. Общеобразовательная организация на 1100 мест. Корпаус 7 ЖК ПОЛЯРНАЯ 25, Полярная ул. вл. 25</v>
      </c>
      <c r="F1248" s="25" t="str">
        <f>IFERROR(__xludf.DUMMYFUNCTION("""COMPUTED_VALUE"""),"#N/A")</f>
        <v>#N/A</v>
      </c>
      <c r="G1248" s="6" t="str">
        <f>IFERROR(__xludf.DUMMYFUNCTION("""COMPUTED_VALUE"""),"#N/A")</f>
        <v>#N/A</v>
      </c>
      <c r="H1248" s="18" t="str">
        <f>IFERROR(__xludf.DUMMYFUNCTION("""COMPUTED_VALUE"""),"https://docs.google.com/spreadsheets/d/1EI7qusa674eJhuaw-nWWtWMEHVSYMQv7HLsInEZTWpE/edit?gid=473932196#gid=473932196")</f>
        <v>https://docs.google.com/spreadsheets/d/1EI7qusa674eJhuaw-nWWtWMEHVSYMQv7HLsInEZTWpE/edit?gid=473932196#gid=473932196</v>
      </c>
      <c r="I1248" s="21" t="str">
        <f>IFERROR(__xludf.DUMMYFUNCTION("""COMPUTED_VALUE"""),"https://disk.yandex.ru/client/disk/%D0%9E%D1%81%D0%BC%D0%BE%D1%82%D1%80%D1%8B%20%D0%BE%D0%B1%D1%8A%D0%B5%D0%BA%D1%82%D0%BE%D0%B2%20%D0%90%D0%9D%D0%9E%20%D0%A1%D0%9C%D0%93/1188.%20%D0%9E%D0%B1%D1%89%D0%B5%D0%BE%D0%B1%D1%80%D0%B0%D0%B7%D0%BE%D0%B2%D0%B0%D1%"&amp;"82%D0%B5%D0%BB%D1%8C%D0%BD%D0%B0%D1%8F%20%D0%BE%D1%80%D0%B3%D0%B0%D0%BD%D0%B8%D0%B7%D0%B0%D1%86%D0%B8%D1%8F%20%D0%BD%D0%B0%201100%20%D0%BC%D0%B5%D1%81%D1%82%20%D0%BA%D0%BE%D1%80%D0%BF%D1%83%D1%81%207%2C%20%D0%9F%D0%BE%D0%BB%D1%8F%D1%80%D0%BD%D0%B0%D1%8F%2"&amp;"0%D1%83%D0%BB.%20%D0%B2%D0%BB.%2025%20")</f>
        <v>https://disk.yandex.ru/client/disk/%D0%9E%D1%81%D0%BC%D0%BE%D1%82%D1%80%D1%8B%20%D0%BE%D0%B1%D1%8A%D0%B5%D0%BA%D1%82%D0%BE%D0%B2%20%D0%90%D0%9D%D0%9E%20%D0%A1%D0%9C%D0%93/1188.%20%D0%9E%D0%B1%D1%89%D0%B5%D0%BE%D0%B1%D1%80%D0%B0%D0%B7%D0%BE%D0%B2%D0%B0%D1%82%D0%B5%D0%BB%D1%8C%D0%BD%D0%B0%D1%8F%20%D0%BE%D1%80%D0%B3%D0%B0%D0%BD%D0%B8%D0%B7%D0%B0%D1%86%D0%B8%D1%8F%20%D0%BD%D0%B0%201100%20%D0%BC%D0%B5%D1%81%D1%82%20%D0%BA%D0%BE%D1%80%D0%BF%D1%83%D1%81%207%2C%20%D0%9F%D0%BE%D0%BB%D1%8F%D1%80%D0%BD%D0%B0%D1%8F%20%D1%83%D0%BB.%20%D0%B2%D0%BB.%2025%20</v>
      </c>
      <c r="J1248" s="50">
        <f>IFERROR(__xludf.DUMMYFUNCTION("""COMPUTED_VALUE"""),100.0)</f>
        <v>100</v>
      </c>
      <c r="K1248" s="58">
        <f>IFERROR(__xludf.DUMMYFUNCTION("""COMPUTED_VALUE"""),45959.0)</f>
        <v>45959</v>
      </c>
      <c r="L1248" s="6" t="s">
        <v>654</v>
      </c>
      <c r="M1248" s="52" t="s">
        <v>655</v>
      </c>
      <c r="N1248" s="53" t="s">
        <v>656</v>
      </c>
      <c r="O1248" s="19" t="s">
        <v>1300</v>
      </c>
      <c r="P1248" s="6"/>
      <c r="Q1248" s="6" t="str">
        <f t="shared" si="1"/>
        <v>#N/A</v>
      </c>
      <c r="R1248" s="6"/>
    </row>
    <row r="1249" hidden="1">
      <c r="A1249" s="31" t="str">
        <f>IFERROR(__xludf.DUMMYFUNCTION("""COMPUTED_VALUE"""),"1193")</f>
        <v>1193</v>
      </c>
      <c r="B1249" s="14" t="str">
        <f>IFERROR(__xludf.DUMMYFUNCTION("""COMPUTED_VALUE"""),"ВНЕ СПИСКА")</f>
        <v>ВНЕ СПИСКА</v>
      </c>
      <c r="C1249" s="14" t="str">
        <f>IFERROR(__xludf.DUMMYFUNCTION("""COMPUTED_VALUE"""),"ОКС")</f>
        <v>ОКС</v>
      </c>
      <c r="D1249" s="6" t="str">
        <f>IFERROR(__xludf.DUMMYFUNCTION("""COMPUTED_VALUE"""),"да")</f>
        <v>да</v>
      </c>
      <c r="E1249" s="14" t="str">
        <f>IFERROR(__xludf.DUMMYFUNCTION("""COMPUTED_VALUE"""),"Средняя общеобразовательная организация на 775 мест, корп.15 ЖК МАТВЕЕВСКИЙ ПАРК, Очаковское шоссе, вл. 3")</f>
        <v>Средняя общеобразовательная организация на 775 мест, корп.15 ЖК МАТВЕЕВСКИЙ ПАРК, Очаковское шоссе, вл. 3</v>
      </c>
      <c r="F1249" s="25" t="str">
        <f>IFERROR(__xludf.DUMMYFUNCTION("""COMPUTED_VALUE"""),"55.69534020478627")</f>
        <v>55.69534020478627</v>
      </c>
      <c r="G1249" s="6" t="str">
        <f>IFERROR(__xludf.DUMMYFUNCTION("""COMPUTED_VALUE"""),"37.46296323025414")</f>
        <v>37.46296323025414</v>
      </c>
      <c r="H1249" s="18" t="str">
        <f>IFERROR(__xludf.DUMMYFUNCTION("""COMPUTED_VALUE"""),"https://docs.google.com/spreadsheets/d/1EI7qusa674eJhuaw-nWWtWMEHVSYMQv7HLsInEZTWpE/edit?gid=413594252#gid=413594252")</f>
        <v>https://docs.google.com/spreadsheets/d/1EI7qusa674eJhuaw-nWWtWMEHVSYMQv7HLsInEZTWpE/edit?gid=413594252#gid=413594252</v>
      </c>
      <c r="I1249" s="19" t="str">
        <f>IFERROR(__xludf.DUMMYFUNCTION("""COMPUTED_VALUE"""),"https://disk.yandex.ru/client/disk/Осмотры%20объектов%20АНО%20СМГ/1193.%20Очаковское%20ш.%20ЖК%20Матвеевский%20Парк.%20школа%20на%20775")</f>
        <v>https://disk.yandex.ru/client/disk/Осмотры%20объектов%20АНО%20СМГ/1193.%20Очаковское%20ш.%20ЖК%20Матвеевский%20Парк.%20школа%20на%20775</v>
      </c>
      <c r="J1249" s="50">
        <f>IFERROR(__xludf.DUMMYFUNCTION("""COMPUTED_VALUE"""),38.08799499999999)</f>
        <v>38.087995</v>
      </c>
      <c r="K1249" s="58">
        <f>IFERROR(__xludf.DUMMYFUNCTION("""COMPUTED_VALUE"""),45972.0)</f>
        <v>45972</v>
      </c>
      <c r="L1249" s="6">
        <v>30.0</v>
      </c>
      <c r="M1249" s="52">
        <v>46002.0</v>
      </c>
      <c r="N1249" s="53" t="s">
        <v>711</v>
      </c>
      <c r="O1249" s="19" t="s">
        <v>1301</v>
      </c>
      <c r="P1249" s="6"/>
      <c r="Q1249" s="6" t="str">
        <f t="shared" si="1"/>
        <v>#N/A</v>
      </c>
      <c r="R1249" s="6"/>
    </row>
    <row r="1250" hidden="1">
      <c r="A1250" s="31" t="str">
        <f>IFERROR(__xludf.DUMMYFUNCTION("""COMPUTED_VALUE"""),"1185")</f>
        <v>1185</v>
      </c>
      <c r="B1250" s="14" t="str">
        <f>IFERROR(__xludf.DUMMYFUNCTION("""COMPUTED_VALUE"""),"ВНЕ СПИСКА")</f>
        <v>ВНЕ СПИСКА</v>
      </c>
      <c r="C1250" s="14" t="str">
        <f>IFERROR(__xludf.DUMMYFUNCTION("""COMPUTED_VALUE"""),"ОКС")</f>
        <v>ОКС</v>
      </c>
      <c r="D1250" s="6" t="str">
        <f>IFERROR(__xludf.DUMMYFUNCTION("""COMPUTED_VALUE"""),"да")</f>
        <v>да</v>
      </c>
      <c r="E1250" s="14" t="str">
        <f>IFERROR(__xludf.DUMMYFUNCTION("""COMPUTED_VALUE"""),"Общеобразовательная организация на 1050 мест. Корпус 9 ЖК БУСИНОВСКИЙ ПАРК, Москва, внутригородское муниципальное образование Западное Дегунино, шоссе Коровинское")</f>
        <v>Общеобразовательная организация на 1050 мест. Корпус 9 ЖК БУСИНОВСКИЙ ПАРК, Москва, внутригородское муниципальное образование Западное Дегунино, шоссе Коровинское</v>
      </c>
      <c r="F1250" s="25" t="str">
        <f>IFERROR(__xludf.DUMMYFUNCTION("""COMPUTED_VALUE"""),"55.87968019652028")</f>
        <v>55.87968019652028</v>
      </c>
      <c r="G1250" s="6" t="str">
        <f>IFERROR(__xludf.DUMMYFUNCTION("""COMPUTED_VALUE"""),"37.503466291014234")</f>
        <v>37.503466291014234</v>
      </c>
      <c r="H1250" s="18" t="str">
        <f>IFERROR(__xludf.DUMMYFUNCTION("""COMPUTED_VALUE"""),"https://docs.google.com/spreadsheets/d/1EI7qusa674eJhuaw-nWWtWMEHVSYMQv7HLsInEZTWpE/edit?gid=2077416738#gid=2077416738")</f>
        <v>https://docs.google.com/spreadsheets/d/1EI7qusa674eJhuaw-nWWtWMEHVSYMQv7HLsInEZTWpE/edit?gid=2077416738#gid=2077416738</v>
      </c>
      <c r="I1250" s="19" t="str">
        <f>IFERROR(__xludf.DUMMYFUNCTION("""COMPUTED_VALUE"""),"https://disk.yandex.ru/client/disk/Осмотры%20объектов%20АНО%20СМГ/1185%20Бусиновский%20парк%20Общеобразовательная%20организация%20на%201050%20мест.%20Корпус%209")</f>
        <v>https://disk.yandex.ru/client/disk/Осмотры%20объектов%20АНО%20СМГ/1185%20Бусиновский%20парк%20Общеобразовательная%20организация%20на%201050%20мест.%20Корпус%209</v>
      </c>
      <c r="J1250" s="50">
        <f>IFERROR(__xludf.DUMMYFUNCTION("""COMPUTED_VALUE"""),46.2280475)</f>
        <v>46.2280475</v>
      </c>
      <c r="K1250" s="58">
        <f>IFERROR(__xludf.DUMMYFUNCTION("""COMPUTED_VALUE"""),45972.0)</f>
        <v>45972</v>
      </c>
      <c r="L1250" s="6">
        <v>30.0</v>
      </c>
      <c r="M1250" s="52">
        <v>46002.0</v>
      </c>
      <c r="N1250" s="53" t="s">
        <v>711</v>
      </c>
      <c r="O1250" s="19" t="s">
        <v>1302</v>
      </c>
      <c r="P1250" s="6"/>
      <c r="Q1250" s="6" t="str">
        <f t="shared" si="1"/>
        <v>#N/A</v>
      </c>
      <c r="R1250" s="6"/>
    </row>
    <row r="1251" hidden="1">
      <c r="A1251" s="31" t="str">
        <f>IFERROR(__xludf.DUMMYFUNCTION("""COMPUTED_VALUE"""),"1190")</f>
        <v>1190</v>
      </c>
      <c r="B1251" s="14" t="str">
        <f>IFERROR(__xludf.DUMMYFUNCTION("""COMPUTED_VALUE"""),"ВНЕ СПИСКА")</f>
        <v>ВНЕ СПИСКА</v>
      </c>
      <c r="C1251" s="14" t="str">
        <f>IFERROR(__xludf.DUMMYFUNCTION("""COMPUTED_VALUE"""),"ОКС")</f>
        <v>ОКС</v>
      </c>
      <c r="D1251" s="6" t="str">
        <f>IFERROR(__xludf.DUMMYFUNCTION("""COMPUTED_VALUE"""),"да")</f>
        <v>да</v>
      </c>
      <c r="E1251" s="14" t="str">
        <f>IFERROR(__xludf.DUMMYFUNCTION("""COMPUTED_VALUE"""),"Общеобразовательная школа на 1100 мест ЖК МИТИНСКИЙ ЛЕС, вблизи с. Рождествено (Муравская ул.)")</f>
        <v>Общеобразовательная школа на 1100 мест ЖК МИТИНСКИЙ ЛЕС, вблизи с. Рождествено (Муравская ул.)</v>
      </c>
      <c r="F1251" s="25" t="str">
        <f>IFERROR(__xludf.DUMMYFUNCTION("""COMPUTED_VALUE"""),"#N/A")</f>
        <v>#N/A</v>
      </c>
      <c r="G1251" s="6" t="str">
        <f>IFERROR(__xludf.DUMMYFUNCTION("""COMPUTED_VALUE"""),"#N/A")</f>
        <v>#N/A</v>
      </c>
      <c r="H1251" s="18" t="str">
        <f>IFERROR(__xludf.DUMMYFUNCTION("""COMPUTED_VALUE"""),"https://docs.google.com/spreadsheets/d/1EI7qusa674eJhuaw-nWWtWMEHVSYMQv7HLsInEZTWpE/edit?gid=321356533#gid=321356533")</f>
        <v>https://docs.google.com/spreadsheets/d/1EI7qusa674eJhuaw-nWWtWMEHVSYMQv7HLsInEZTWpE/edit?gid=321356533#gid=321356533</v>
      </c>
      <c r="I1251" s="19" t="str">
        <f>IFERROR(__xludf.DUMMYFUNCTION("""COMPUTED_VALUE"""),"https://disk.yandex.ru/client/disk/Осмотры%20объектов%20АНО%20СМГ/1190.%20Школа%201100%20мест%20ЖК%20Митинский%20лес")</f>
        <v>https://disk.yandex.ru/client/disk/Осмотры%20объектов%20АНО%20СМГ/1190.%20Школа%201100%20мест%20ЖК%20Митинский%20лес</v>
      </c>
      <c r="J1251" s="50">
        <f>IFERROR(__xludf.DUMMYFUNCTION("""COMPUTED_VALUE"""),40.39157)</f>
        <v>40.39157</v>
      </c>
      <c r="K1251" s="58">
        <f>IFERROR(__xludf.DUMMYFUNCTION("""COMPUTED_VALUE"""),45967.0)</f>
        <v>45967</v>
      </c>
      <c r="L1251" s="6">
        <v>30.0</v>
      </c>
      <c r="M1251" s="52">
        <v>45997.0</v>
      </c>
      <c r="N1251" s="53" t="s">
        <v>711</v>
      </c>
      <c r="O1251" s="19" t="s">
        <v>669</v>
      </c>
      <c r="P1251" s="6"/>
      <c r="Q1251" s="6" t="str">
        <f t="shared" si="1"/>
        <v>#N/A</v>
      </c>
      <c r="R1251" s="6"/>
    </row>
    <row r="1252" hidden="1">
      <c r="A1252" s="31" t="str">
        <f>IFERROR(__xludf.DUMMYFUNCTION("""COMPUTED_VALUE"""),"1192")</f>
        <v>1192</v>
      </c>
      <c r="B1252" s="14" t="str">
        <f>IFERROR(__xludf.DUMMYFUNCTION("""COMPUTED_VALUE"""),"ВНЕ СПИСКА")</f>
        <v>ВНЕ СПИСКА</v>
      </c>
      <c r="C1252" s="14" t="str">
        <f>IFERROR(__xludf.DUMMYFUNCTION("""COMPUTED_VALUE"""),"ОКС")</f>
        <v>ОКС</v>
      </c>
      <c r="D1252" s="6" t="str">
        <f>IFERROR(__xludf.DUMMYFUNCTION("""COMPUTED_VALUE"""),"да")</f>
        <v>да</v>
      </c>
      <c r="E1252" s="14" t="str">
        <f>IFERROR(__xludf.DUMMYFUNCTION("""COMPUTED_VALUE"""),"Здание общеобразовательной организации (общее образование) на 675 мест ЖК ВТОРОЙ НАГАТИНСКИЙ, 2-й Нагатинский проезд, вл. 2/3")</f>
        <v>Здание общеобразовательной организации (общее образование) на 675 мест ЖК ВТОРОЙ НАГАТИНСКИЙ, 2-й Нагатинский проезд, вл. 2/3</v>
      </c>
      <c r="F1252" s="25" t="str">
        <f>IFERROR(__xludf.DUMMYFUNCTION("""COMPUTED_VALUE"""),"#N/A")</f>
        <v>#N/A</v>
      </c>
      <c r="G1252" s="6" t="str">
        <f>IFERROR(__xludf.DUMMYFUNCTION("""COMPUTED_VALUE"""),"#N/A")</f>
        <v>#N/A</v>
      </c>
      <c r="H1252" s="18" t="str">
        <f>IFERROR(__xludf.DUMMYFUNCTION("""COMPUTED_VALUE"""),"https://docs.google.com/spreadsheets/d/1EI7qusa674eJhuaw-nWWtWMEHVSYMQv7HLsInEZTWpE/edit?gid=1984759556#gid=1984759556")</f>
        <v>https://docs.google.com/spreadsheets/d/1EI7qusa674eJhuaw-nWWtWMEHVSYMQv7HLsInEZTWpE/edit?gid=1984759556#gid=1984759556</v>
      </c>
      <c r="I1252" s="19" t="str">
        <f>IFERROR(__xludf.DUMMYFUNCTION("""COMPUTED_VALUE"""),"https://disk.yandex.ru/client/disk/Осмотры%20объектов%20АНО%20СМГ/1192.%202-й%20Нагатинский%20пр-зд%202!3%20школа%20на%20675%20мест")</f>
        <v>https://disk.yandex.ru/client/disk/Осмотры%20объектов%20АНО%20СМГ/1192.%202-й%20Нагатинский%20пр-зд%202!3%20школа%20на%20675%20мест</v>
      </c>
      <c r="J1252" s="50">
        <f>IFERROR(__xludf.DUMMYFUNCTION("""COMPUTED_VALUE"""),0.0)</f>
        <v>0</v>
      </c>
      <c r="K1252" s="58">
        <f>IFERROR(__xludf.DUMMYFUNCTION("""COMPUTED_VALUE"""),45811.0)</f>
        <v>45811</v>
      </c>
      <c r="L1252" s="6">
        <v>30.0</v>
      </c>
      <c r="M1252" s="52">
        <v>45841.0</v>
      </c>
      <c r="N1252" s="53" t="s">
        <v>668</v>
      </c>
      <c r="O1252" s="19" t="s">
        <v>669</v>
      </c>
      <c r="P1252" s="6"/>
      <c r="Q1252" s="6" t="str">
        <f t="shared" si="1"/>
        <v>#N/A</v>
      </c>
      <c r="R1252" s="6"/>
    </row>
    <row r="1253" hidden="1">
      <c r="A1253" s="31" t="str">
        <f>IFERROR(__xludf.DUMMYFUNCTION("""COMPUTED_VALUE"""),"1184")</f>
        <v>1184</v>
      </c>
      <c r="B1253" s="14" t="str">
        <f>IFERROR(__xludf.DUMMYFUNCTION("""COMPUTED_VALUE"""),"ВНЕ СПИСКА")</f>
        <v>ВНЕ СПИСКА</v>
      </c>
      <c r="C1253" s="14" t="str">
        <f>IFERROR(__xludf.DUMMYFUNCTION("""COMPUTED_VALUE"""),"ОКС")</f>
        <v>ОКС</v>
      </c>
      <c r="D1253" s="6" t="str">
        <f>IFERROR(__xludf.DUMMYFUNCTION("""COMPUTED_VALUE"""),"да")</f>
        <v>да</v>
      </c>
      <c r="E1253" s="14" t="str">
        <f>IFERROR(__xludf.DUMMYFUNCTION("""COMPUTED_VALUE"""),"Здание общеобразовательной образовательной организации на 550 мест, корпус 14 ЖК ЗЕЛЁНЫЙ ПАРК, Зеленоград, промзона ЦИЭ")</f>
        <v>Здание общеобразовательной образовательной организации на 550 мест, корпус 14 ЖК ЗЕЛЁНЫЙ ПАРК, Зеленоград, промзона ЦИЭ</v>
      </c>
      <c r="F1253" s="25" t="str">
        <f>IFERROR(__xludf.DUMMYFUNCTION("""COMPUTED_VALUE"""),"#N/A")</f>
        <v>#N/A</v>
      </c>
      <c r="G1253" s="6" t="str">
        <f>IFERROR(__xludf.DUMMYFUNCTION("""COMPUTED_VALUE"""),"#N/A")</f>
        <v>#N/A</v>
      </c>
      <c r="H1253" s="18" t="str">
        <f>IFERROR(__xludf.DUMMYFUNCTION("""COMPUTED_VALUE"""),"https://docs.google.com/spreadsheets/d/1EI7qusa674eJhuaw-nWWtWMEHVSYMQv7HLsInEZTWpE/edit?gid=989349893#gid=989349893")</f>
        <v>https://docs.google.com/spreadsheets/d/1EI7qusa674eJhuaw-nWWtWMEHVSYMQv7HLsInEZTWpE/edit?gid=989349893#gid=989349893</v>
      </c>
      <c r="I1253" s="19" t="str">
        <f>IFERROR(__xludf.DUMMYFUNCTION("""COMPUTED_VALUE"""),"https://disk.yandex.ru/client/disk/Осмотры%20объектов%20АНО%20СМГ/1184%20Зеленоград%20Здание%20общеобразовательной%20организации%20на%20550%20мест%2C%20корпус%2014")</f>
        <v>https://disk.yandex.ru/client/disk/Осмотры%20объектов%20АНО%20СМГ/1184%20Зеленоград%20Здание%20общеобразовательной%20организации%20на%20550%20мест%2C%20корпус%2014</v>
      </c>
      <c r="J1253" s="50">
        <f>IFERROR(__xludf.DUMMYFUNCTION("""COMPUTED_VALUE"""),97.98594)</f>
        <v>97.98594</v>
      </c>
      <c r="K1253" s="58">
        <f>IFERROR(__xludf.DUMMYFUNCTION("""COMPUTED_VALUE"""),45889.0)</f>
        <v>45889</v>
      </c>
      <c r="L1253" s="6">
        <v>7.0</v>
      </c>
      <c r="M1253" s="52">
        <v>45896.0</v>
      </c>
      <c r="N1253" s="53" t="s">
        <v>668</v>
      </c>
      <c r="O1253" s="19" t="s">
        <v>1303</v>
      </c>
      <c r="P1253" s="6"/>
      <c r="Q1253" s="6" t="str">
        <f t="shared" si="1"/>
        <v>#N/A</v>
      </c>
      <c r="R1253" s="6"/>
    </row>
    <row r="1254" hidden="1">
      <c r="A1254" s="31" t="str">
        <f>IFERROR(__xludf.DUMMYFUNCTION("""COMPUTED_VALUE"""),"1186")</f>
        <v>1186</v>
      </c>
      <c r="B1254" s="14" t="str">
        <f>IFERROR(__xludf.DUMMYFUNCTION("""COMPUTED_VALUE"""),"ВНЕ СПИСКА")</f>
        <v>ВНЕ СПИСКА</v>
      </c>
      <c r="C1254" s="14" t="str">
        <f>IFERROR(__xludf.DUMMYFUNCTION("""COMPUTED_VALUE"""),"ОКС")</f>
        <v>ОКС</v>
      </c>
      <c r="D1254" s="6" t="str">
        <f>IFERROR(__xludf.DUMMYFUNCTION("""COMPUTED_VALUE"""),"да")</f>
        <v>да</v>
      </c>
      <c r="E1254" s="14" t="str">
        <f>IFERROR(__xludf.DUMMYFUNCTION("""COMPUTED_VALUE"""),"Здание образовательной организации (общее образование) на 800 мест ЖК ЛЕТНИЙ САД, Дмитровское шоссе, земельный участок 107/1")</f>
        <v>Здание образовательной организации (общее образование) на 800 мест ЖК ЛЕТНИЙ САД, Дмитровское шоссе, земельный участок 107/1</v>
      </c>
      <c r="F1254" s="25" t="str">
        <f>IFERROR(__xludf.DUMMYFUNCTION("""COMPUTED_VALUE"""),"55.88033712319728")</f>
        <v>55.88033712319728</v>
      </c>
      <c r="G1254" s="6" t="str">
        <f>IFERROR(__xludf.DUMMYFUNCTION("""COMPUTED_VALUE"""),"37.53748705026227")</f>
        <v>37.53748705026227</v>
      </c>
      <c r="H1254" s="18" t="str">
        <f>IFERROR(__xludf.DUMMYFUNCTION("""COMPUTED_VALUE"""),"https://docs.google.com/spreadsheets/d/1EI7qusa674eJhuaw-nWWtWMEHVSYMQv7HLsInEZTWpE/edit?gid=234009661#gid=234009661")</f>
        <v>https://docs.google.com/spreadsheets/d/1EI7qusa674eJhuaw-nWWtWMEHVSYMQv7HLsInEZTWpE/edit?gid=234009661#gid=234009661</v>
      </c>
      <c r="I1254" s="19" t="str">
        <f>IFERROR(__xludf.DUMMYFUNCTION("""COMPUTED_VALUE"""),"https://disk.yandex.ru/client/disk/Осмотры%20объектов%20АНО%20СМГ/1186%20Дмитровское%20шоссе%2C%20земельный%20участок%20107%5C1%20Здание%20образовательной%20организации%20(среднее%20образование)%20на%20800%20мест")</f>
        <v>https://disk.yandex.ru/client/disk/Осмотры%20объектов%20АНО%20СМГ/1186%20Дмитровское%20шоссе%2C%20земельный%20участок%20107%5C1%20Здание%20образовательной%20организации%20(среднее%20образование)%20на%20800%20мест</v>
      </c>
      <c r="J1254" s="50"/>
      <c r="K1254" s="58">
        <f>IFERROR(__xludf.DUMMYFUNCTION("""COMPUTED_VALUE"""),45958.0)</f>
        <v>45958</v>
      </c>
      <c r="L1254" s="6">
        <v>30.0</v>
      </c>
      <c r="M1254" s="52">
        <v>45988.0</v>
      </c>
      <c r="N1254" s="53" t="s">
        <v>741</v>
      </c>
      <c r="O1254" s="19" t="s">
        <v>669</v>
      </c>
      <c r="P1254" s="6"/>
      <c r="Q1254" s="6" t="str">
        <f t="shared" si="1"/>
        <v>#N/A</v>
      </c>
      <c r="R1254" s="6"/>
    </row>
    <row r="1255" hidden="1">
      <c r="A1255" s="31" t="str">
        <f>IFERROR(__xludf.DUMMYFUNCTION("""COMPUTED_VALUE"""),"1212")</f>
        <v>1212</v>
      </c>
      <c r="B1255" s="14" t="str">
        <f>IFERROR(__xludf.DUMMYFUNCTION("""COMPUTED_VALUE"""),"ВНЕ СПИСКА")</f>
        <v>ВНЕ СПИСКА</v>
      </c>
      <c r="C1255" s="14" t="str">
        <f>IFERROR(__xludf.DUMMYFUNCTION("""COMPUTED_VALUE"""),"ОКС")</f>
        <v>ОКС</v>
      </c>
      <c r="D1255" s="6" t="str">
        <f>IFERROR(__xludf.DUMMYFUNCTION("""COMPUTED_VALUE"""),"да")</f>
        <v>да</v>
      </c>
      <c r="E1255" s="14" t="str">
        <f>IFERROR(__xludf.DUMMYFUNCTION("""COMPUTED_VALUE"""),"ДОУ на 150 мест Дмитровское шоссе, земельный участок 107/2 (107/1)")</f>
        <v>ДОУ на 150 мест Дмитровское шоссе, земельный участок 107/2 (107/1)</v>
      </c>
      <c r="F1255" s="25" t="str">
        <f>IFERROR(__xludf.DUMMYFUNCTION("""COMPUTED_VALUE"""),"55.879384242908166")</f>
        <v>55.879384242908166</v>
      </c>
      <c r="G1255" s="6" t="str">
        <f>IFERROR(__xludf.DUMMYFUNCTION("""COMPUTED_VALUE"""),"37.53763725396719")</f>
        <v>37.53763725396719</v>
      </c>
      <c r="H1255" s="18" t="str">
        <f>IFERROR(__xludf.DUMMYFUNCTION("""COMPUTED_VALUE"""),"https://docs.google.com/spreadsheets/d/1EI7qusa674eJhuaw-nWWtWMEHVSYMQv7HLsInEZTWpE/edit?gid=1381599542#gid=1381599542")</f>
        <v>https://docs.google.com/spreadsheets/d/1EI7qusa674eJhuaw-nWWtWMEHVSYMQv7HLsInEZTWpE/edit?gid=1381599542#gid=1381599542</v>
      </c>
      <c r="I1255" s="19"/>
      <c r="J1255" s="50"/>
      <c r="K1255" s="58">
        <f>IFERROR(__xludf.DUMMYFUNCTION("""COMPUTED_VALUE"""),45958.0)</f>
        <v>45958</v>
      </c>
      <c r="L1255" s="6">
        <v>30.0</v>
      </c>
      <c r="M1255" s="52">
        <v>45988.0</v>
      </c>
      <c r="N1255" s="53" t="s">
        <v>741</v>
      </c>
      <c r="O1255" s="19" t="s">
        <v>669</v>
      </c>
      <c r="P1255" s="6"/>
      <c r="Q1255" s="6" t="str">
        <f t="shared" si="1"/>
        <v>#N/A</v>
      </c>
      <c r="R1255" s="6"/>
    </row>
    <row r="1256" hidden="1">
      <c r="A1256" s="31" t="str">
        <f>IFERROR(__xludf.DUMMYFUNCTION("""COMPUTED_VALUE"""),"1195")</f>
        <v>1195</v>
      </c>
      <c r="B1256" s="14" t="str">
        <f>IFERROR(__xludf.DUMMYFUNCTION("""COMPUTED_VALUE"""),"ВНЕ СПИСКА")</f>
        <v>ВНЕ СПИСКА</v>
      </c>
      <c r="C1256" s="14" t="str">
        <f>IFERROR(__xludf.DUMMYFUNCTION("""COMPUTED_VALUE"""),"ОКС")</f>
        <v>ОКС</v>
      </c>
      <c r="D1256" s="6" t="str">
        <f>IFERROR(__xludf.DUMMYFUNCTION("""COMPUTED_VALUE"""),"да")</f>
        <v>да</v>
      </c>
      <c r="E1256" s="14" t="str">
        <f>IFERROR(__xludf.DUMMYFUNCTION("""COMPUTED_VALUE"""),"Здание образовательной организации (общее образование 350 мест и дошкольное образование 150 мест) ЖК ПЕРВЫЙ ДУБРОВСКИЙ, р-н Южнопортовый, 1-й Дубровский проезд, вл. 78/14")</f>
        <v>Здание образовательной организации (общее образование 350 мест и дошкольное образование 150 мест) ЖК ПЕРВЫЙ ДУБРОВСКИЙ, р-н Южнопортовый, 1-й Дубровский проезд, вл. 78/14</v>
      </c>
      <c r="F1256" s="25" t="str">
        <f>IFERROR(__xludf.DUMMYFUNCTION("""COMPUTED_VALUE"""),"55.724818")</f>
        <v>55.724818</v>
      </c>
      <c r="G1256" s="6" t="str">
        <f>IFERROR(__xludf.DUMMYFUNCTION("""COMPUTED_VALUE"""),"37.682008")</f>
        <v>37.682008</v>
      </c>
      <c r="H1256" s="18" t="str">
        <f>IFERROR(__xludf.DUMMYFUNCTION("""COMPUTED_VALUE"""),"https://docs.google.com/spreadsheets/d/1EI7qusa674eJhuaw-nWWtWMEHVSYMQv7HLsInEZTWpE/edit?gid=1927186728#gid=1927186728")</f>
        <v>https://docs.google.com/spreadsheets/d/1EI7qusa674eJhuaw-nWWtWMEHVSYMQv7HLsInEZTWpE/edit?gid=1927186728#gid=1927186728</v>
      </c>
      <c r="I1256" s="19" t="str">
        <f>IFERROR(__xludf.DUMMYFUNCTION("""COMPUTED_VALUE"""),"https://disk.yandex.ru/client/disk/Осмотры%20объектов%20АНО%20СМГ/1195%201-й%20Дубровский%20проезд%2C%20вл.%2078.14%20Здание%20образовательной%20организации%20(общее%20образование%20350%20мест%20и%20дошкольное%20образование%20150%20мест)")</f>
        <v>https://disk.yandex.ru/client/disk/Осмотры%20объектов%20АНО%20СМГ/1195%201-й%20Дубровский%20проезд%2C%20вл.%2078.14%20Здание%20образовательной%20организации%20(общее%20образование%20350%20мест%20и%20дошкольное%20образование%20150%20мест)</v>
      </c>
      <c r="J1256" s="50">
        <f>IFERROR(__xludf.DUMMYFUNCTION("""COMPUTED_VALUE"""),99.565)</f>
        <v>99.565</v>
      </c>
      <c r="K1256" s="58">
        <f>IFERROR(__xludf.DUMMYFUNCTION("""COMPUTED_VALUE"""),45958.0)</f>
        <v>45958</v>
      </c>
      <c r="L1256" s="6">
        <v>7.0</v>
      </c>
      <c r="M1256" s="52">
        <v>45965.0</v>
      </c>
      <c r="N1256" s="53" t="s">
        <v>668</v>
      </c>
      <c r="O1256" s="19" t="s">
        <v>1304</v>
      </c>
      <c r="P1256" s="6"/>
      <c r="Q1256" s="6" t="str">
        <f t="shared" si="1"/>
        <v>#N/A</v>
      </c>
      <c r="R1256" s="6"/>
    </row>
    <row r="1257" hidden="1">
      <c r="A1257" s="31" t="str">
        <f>IFERROR(__xludf.DUMMYFUNCTION("""COMPUTED_VALUE"""),"1189")</f>
        <v>1189</v>
      </c>
      <c r="B1257" s="14" t="str">
        <f>IFERROR(__xludf.DUMMYFUNCTION("""COMPUTED_VALUE"""),"ВНЕ СПИСКА")</f>
        <v>ВНЕ СПИСКА</v>
      </c>
      <c r="C1257" s="14" t="str">
        <f>IFERROR(__xludf.DUMMYFUNCTION("""COMPUTED_VALUE"""),"ОКС")</f>
        <v>ОКС</v>
      </c>
      <c r="D1257" s="6" t="str">
        <f>IFERROR(__xludf.DUMMYFUNCTION("""COMPUTED_VALUE"""),"да")</f>
        <v>да</v>
      </c>
      <c r="E1257" s="14" t="str">
        <f>IFERROR(__xludf.DUMMYFUNCTION("""COMPUTED_VALUE"""),"Учебный комплекс с блоком начальных классов на 300 мест и ДОО на 150 мест ЖК КРОНШТАДТСКИЙ 14, Кронштадтский бульвар, вл. 14")</f>
        <v>Учебный комплекс с блоком начальных классов на 300 мест и ДОО на 150 мест ЖК КРОНШТАДТСКИЙ 14, Кронштадтский бульвар, вл. 14</v>
      </c>
      <c r="F1257" s="25" t="str">
        <f>IFERROR(__xludf.DUMMYFUNCTION("""COMPUTED_VALUE"""),"#N/A")</f>
        <v>#N/A</v>
      </c>
      <c r="G1257" s="6" t="str">
        <f>IFERROR(__xludf.DUMMYFUNCTION("""COMPUTED_VALUE"""),"#N/A")</f>
        <v>#N/A</v>
      </c>
      <c r="H1257" s="18" t="str">
        <f>IFERROR(__xludf.DUMMYFUNCTION("""COMPUTED_VALUE"""),"https://docs.google.com/spreadsheets/d/1EI7qusa674eJhuaw-nWWtWMEHVSYMQv7HLsInEZTWpE/edit?gid=1752517199#gid=1752517199")</f>
        <v>https://docs.google.com/spreadsheets/d/1EI7qusa674eJhuaw-nWWtWMEHVSYMQv7HLsInEZTWpE/edit?gid=1752517199#gid=1752517199</v>
      </c>
      <c r="I1257" s="21" t="str">
        <f>IFERROR(__xludf.DUMMYFUNCTION("""COMPUTED_VALUE"""),"https://disk.yandex.ru/client/disk/%D0%9E%D1%81%D0%BC%D0%BE%D1%82%D1%80%D1%8B%20%D0%BE%D0%B1%D1%8A%D0%B5%D0%BA%D1%82%D0%BE%D0%B2%20%D0%90%D0%9D%D0%9E%20%D0%A1%D0%9C%D0%93/1189.%20%D0%A3%D1%87%D0%B5%D0%B1%D0%BD%D1%8B%D0%B9%20%D0%BA%D0%BE%D0%BC%D0%BF%D0%BB%"&amp;"D0%B5%D0%BA%D1%81%20%D1%81%20%D0%B1%D0%BB%D0%BE%D0%BA%D0%BE%D0%BC%20%D0%BD%D0%B0%D1%87%D0%B0%D0%BB%D1%8C%D0%BD%D1%8B%D1%85%20%D0%BA%D0%BB%D0%B0%D1%81%D1%81%D0%BE%D0%B2%20%D0%BD%D0%B0%20300%20%D0%BC%D0%B5%D1%81%D1%82%20%D0%B8%20%D0%94%D0%9E%D0%9E%20%D0%BD%"&amp;"D0%B0%20150%20%D0%BC%D0%B5%D1%81%D1%82%2C%20%D0%9A%D1%80%D0%BE%D0%BD%D1%88%D1%82%D0%B0%D0%B4%D1%82%D1%81%D0%BA%D0%B8%D0%B9%20%D0%B1%D1%83%D0%BB%D1%8C%D0%B2%D0%B0%D1%80%2C%20%D0%B2%D0%BB.%2014%20")</f>
        <v>https://disk.yandex.ru/client/disk/%D0%9E%D1%81%D0%BC%D0%BE%D1%82%D1%80%D1%8B%20%D0%BE%D0%B1%D1%8A%D0%B5%D0%BA%D1%82%D0%BE%D0%B2%20%D0%90%D0%9D%D0%9E%20%D0%A1%D0%9C%D0%93/1189.%20%D0%A3%D1%87%D0%B5%D0%B1%D0%BD%D1%8B%D0%B9%20%D0%BA%D0%BE%D0%BC%D0%BF%D0%BB%D0%B5%D0%BA%D1%81%20%D1%81%20%D0%B1%D0%BB%D0%BE%D0%BA%D0%BE%D0%BC%20%D0%BD%D0%B0%D1%87%D0%B0%D0%BB%D1%8C%D0%BD%D1%8B%D1%85%20%D0%BA%D0%BB%D0%B0%D1%81%D1%81%D0%BE%D0%B2%20%D0%BD%D0%B0%20300%20%D0%BC%D0%B5%D1%81%D1%82%20%D0%B8%20%D0%94%D0%9E%D0%9E%20%D0%BD%D0%B0%20150%20%D0%BC%D0%B5%D1%81%D1%82%2C%20%D0%9A%D1%80%D0%BE%D0%BD%D1%88%D1%82%D0%B0%D0%B4%D1%82%D1%81%D0%BA%D0%B8%D0%B9%20%D0%B1%D1%83%D0%BB%D1%8C%D0%B2%D0%B0%D1%80%2C%20%D0%B2%D0%BB.%2014%20</v>
      </c>
      <c r="J1257" s="50">
        <f>IFERROR(__xludf.DUMMYFUNCTION("""COMPUTED_VALUE"""),58.79651249999999)</f>
        <v>58.7965125</v>
      </c>
      <c r="K1257" s="58">
        <f>IFERROR(__xludf.DUMMYFUNCTION("""COMPUTED_VALUE"""),45811.0)</f>
        <v>45811</v>
      </c>
      <c r="L1257" s="6">
        <v>14.0</v>
      </c>
      <c r="M1257" s="52">
        <v>45825.0</v>
      </c>
      <c r="N1257" s="53" t="s">
        <v>668</v>
      </c>
      <c r="O1257" s="19" t="s">
        <v>669</v>
      </c>
      <c r="P1257" s="6"/>
      <c r="Q1257" s="6" t="str">
        <f t="shared" si="1"/>
        <v>#N/A</v>
      </c>
      <c r="R1257" s="6"/>
    </row>
    <row r="1258" hidden="1">
      <c r="A1258" s="31" t="str">
        <f>IFERROR(__xludf.DUMMYFUNCTION("""COMPUTED_VALUE"""),"1194")</f>
        <v>1194</v>
      </c>
      <c r="B1258" s="14" t="str">
        <f>IFERROR(__xludf.DUMMYFUNCTION("""COMPUTED_VALUE"""),"ВНЕ СПИСКА")</f>
        <v>ВНЕ СПИСКА</v>
      </c>
      <c r="C1258" s="14" t="str">
        <f>IFERROR(__xludf.DUMMYFUNCTION("""COMPUTED_VALUE"""),"ОКС")</f>
        <v>ОКС</v>
      </c>
      <c r="D1258" s="6" t="str">
        <f>IFERROR(__xludf.DUMMYFUNCTION("""COMPUTED_VALUE"""),"да")</f>
        <v>да</v>
      </c>
      <c r="E1258" s="14" t="str">
        <f>IFERROR(__xludf.DUMMYFUNCTION("""COMPUTED_VALUE"""),"Учебный корпус на 200 школьных мест и 200 дошкольных мест ЖК ПЕРОВСКОЕ 2, р-н Нижегородский, шоссе Перовское, земельный участок 2")</f>
        <v>Учебный корпус на 200 школьных мест и 200 дошкольных мест ЖК ПЕРОВСКОЕ 2, р-н Нижегородский, шоссе Перовское, земельный участок 2</v>
      </c>
      <c r="F1258" s="25" t="str">
        <f>IFERROR(__xludf.DUMMYFUNCTION("""COMPUTED_VALUE"""),"#N/A")</f>
        <v>#N/A</v>
      </c>
      <c r="G1258" s="6" t="str">
        <f>IFERROR(__xludf.DUMMYFUNCTION("""COMPUTED_VALUE"""),"#N/A")</f>
        <v>#N/A</v>
      </c>
      <c r="H1258" s="18" t="str">
        <f>IFERROR(__xludf.DUMMYFUNCTION("""COMPUTED_VALUE"""),"https://docs.google.com/spreadsheets/d/1EI7qusa674eJhuaw-nWWtWMEHVSYMQv7HLsInEZTWpE/edit?gid=1206342730#gid=1206342730")</f>
        <v>https://docs.google.com/spreadsheets/d/1EI7qusa674eJhuaw-nWWtWMEHVSYMQv7HLsInEZTWpE/edit?gid=1206342730#gid=1206342730</v>
      </c>
      <c r="I1258" s="21" t="str">
        <f>IFERROR(__xludf.DUMMYFUNCTION("""COMPUTED_VALUE"""),"https://disk.yandex.ru/client/disk/%D0%9E%D1%81%D0%BC%D0%BE%D1%82%D1%80%D1%8B%20%D0%BE%D0%B1%D1%8A%D0%B5%D0%BA%D1%82%D0%BE%D0%B2%20%D0%90%D0%9D%D0%9E%20%D0%A1%D0%9C%D0%93/1194.%20%D0%9F%D0%B5%D1%80%D0%BE%D0%B2%D1%81%D0%BA%D0%BE%D0%B5%20%D1%88%D0%BE%D1%81%"&amp;"D1%81%D0%B5%2C%202.%20%D0%A3%D1%87%D0%B5%D0%B1%D0%BD%D1%8B%D0%B9%20%D0%BA%D0%BE%D1%80%D0%BF%D1%83%D1%81%20%D0%BD%D0%B0%20200%20%D1%88%D0%BA%D0%BE%D0%BB%D1%8C%D0%BD%D1%8B%D1%85%20%D0%BC%D0%B5%D1%81%D1%82%20%D0%B8%20200%20%D0%B4%D0%BE%D1%88%D0%BA%D0%BE%D0%B"&amp;"B%D1%8C%D0%BD%D1%8B%D1%85%20%D0%BC%D0%B5%D1%81%D1%82")</f>
        <v>https://disk.yandex.ru/client/disk/%D0%9E%D1%81%D0%BC%D0%BE%D1%82%D1%80%D1%8B%20%D0%BE%D0%B1%D1%8A%D0%B5%D0%BA%D1%82%D0%BE%D0%B2%20%D0%90%D0%9D%D0%9E%20%D0%A1%D0%9C%D0%93/1194.%20%D0%9F%D0%B5%D1%80%D0%BE%D0%B2%D1%81%D0%BA%D0%BE%D0%B5%20%D1%88%D0%BE%D1%81%D1%81%D0%B5%2C%202.%20%D0%A3%D1%87%D0%B5%D0%B1%D0%BD%D1%8B%D0%B9%20%D0%BA%D0%BE%D1%80%D0%BF%D1%83%D1%81%20%D0%BD%D0%B0%20200%20%D1%88%D0%BA%D0%BE%D0%BB%D1%8C%D0%BD%D1%8B%D1%85%20%D0%BC%D0%B5%D1%81%D1%82%20%D0%B8%20200%20%D0%B4%D0%BE%D1%88%D0%BA%D0%BE%D0%BB%D1%8C%D0%BD%D1%8B%D1%85%20%D0%BC%D0%B5%D1%81%D1%82</v>
      </c>
      <c r="J1258" s="50">
        <f>IFERROR(__xludf.DUMMYFUNCTION("""COMPUTED_VALUE"""),99.955)</f>
        <v>99.955</v>
      </c>
      <c r="K1258" s="58">
        <f>IFERROR(__xludf.DUMMYFUNCTION("""COMPUTED_VALUE"""),45888.0)</f>
        <v>45888</v>
      </c>
      <c r="L1258" s="6">
        <v>7.0</v>
      </c>
      <c r="M1258" s="52">
        <v>45895.0</v>
      </c>
      <c r="N1258" s="53" t="s">
        <v>652</v>
      </c>
      <c r="O1258" s="19" t="s">
        <v>1305</v>
      </c>
      <c r="P1258" s="6"/>
      <c r="Q1258" s="6" t="str">
        <f t="shared" si="1"/>
        <v>#N/A</v>
      </c>
      <c r="R1258" s="6"/>
    </row>
    <row r="1259" hidden="1">
      <c r="A1259" s="31" t="str">
        <f>IFERROR(__xludf.DUMMYFUNCTION("""COMPUTED_VALUE"""),"1191")</f>
        <v>1191</v>
      </c>
      <c r="B1259" s="14" t="str">
        <f>IFERROR(__xludf.DUMMYFUNCTION("""COMPUTED_VALUE"""),"ВНЕ СПИСКА")</f>
        <v>ВНЕ СПИСКА</v>
      </c>
      <c r="C1259" s="14" t="str">
        <f>IFERROR(__xludf.DUMMYFUNCTION("""COMPUTED_VALUE"""),"ОКС")</f>
        <v>ОКС</v>
      </c>
      <c r="D1259" s="6" t="str">
        <f>IFERROR(__xludf.DUMMYFUNCTION("""COMPUTED_VALUE"""),"да")</f>
        <v>да</v>
      </c>
      <c r="E1259" s="14" t="str">
        <f>IFERROR(__xludf.DUMMYFUNCTION("""COMPUTED_VALUE"""),"Учебный комплекс с блоком начальных классов на 225 мест и ДОО на 125 мести ДОО на 125 мест (4 этап) ЖК БАРКЛАЯ 6, ул. Барклая, вл.6, вл.6Т")</f>
        <v>Учебный комплекс с блоком начальных классов на 225 мест и ДОО на 125 мести ДОО на 125 мест (4 этап) ЖК БАРКЛАЯ 6, ул. Барклая, вл.6, вл.6Т</v>
      </c>
      <c r="F1259" s="25" t="str">
        <f>IFERROR(__xludf.DUMMYFUNCTION("""COMPUTED_VALUE"""),"#N/A")</f>
        <v>#N/A</v>
      </c>
      <c r="G1259" s="6" t="str">
        <f>IFERROR(__xludf.DUMMYFUNCTION("""COMPUTED_VALUE"""),"#N/A")</f>
        <v>#N/A</v>
      </c>
      <c r="H1259" s="18" t="str">
        <f>IFERROR(__xludf.DUMMYFUNCTION("""COMPUTED_VALUE"""),"https://docs.google.com/spreadsheets/d/1EI7qusa674eJhuaw-nWWtWMEHVSYMQv7HLsInEZTWpE/edit?gid=194199893#gid=194199893")</f>
        <v>https://docs.google.com/spreadsheets/d/1EI7qusa674eJhuaw-nWWtWMEHVSYMQv7HLsInEZTWpE/edit?gid=194199893#gid=194199893</v>
      </c>
      <c r="I1259" s="21" t="str">
        <f>IFERROR(__xludf.DUMMYFUNCTION("""COMPUTED_VALUE"""),"https://disk.yandex.ru/client/disk/%D0%9E%D1%81%D0%BC%D0%BE%D1%82%D1%80%D1%8B%20%D0%BE%D0%B1%D1%8A%D0%B5%D0%BA%D1%82%D0%BE%D0%B2%20%D0%90%D0%9D%D0%9E%20%D0%A1%D0%9C%D0%93/1191.%20%D0%A3%D1%87%D0%B5%D0%B1%D0%BD%D1%8B%D0%B9%20%D0%BA%D0%BE%D0%BC%D0%BF%D0%BB%"&amp;"D0%B5%D0%BA%D1%81%20%D1%81%20%D0%B1%D0%BB%D0%BE%D0%BA%D0%BE%D0%BC%20%D0%BD%D0%B0%D1%87%D0%B0%D0%BB%D1%8C%D0%BD%D1%8B%D1%85%20%D0%BA%D0%BB%D0%B0%D1%81%D1%81%D0%BE%D0%B2%20%D0%BD%D0%B0%20225%20%D0%BC%D0%B5%D1%81%D1%82%20%D0%B8%20%D0%94%D0%9E%D0%9E%20%D0%BD%"&amp;"D0%B0%20125%20%D0%BC%D0%B5%D1%81%D1%82%20(4%20%D1%8D%D1%82%D0%B0%D0%BF)")</f>
        <v>https://disk.yandex.ru/client/disk/%D0%9E%D1%81%D0%BC%D0%BE%D1%82%D1%80%D1%8B%20%D0%BE%D0%B1%D1%8A%D0%B5%D0%BA%D1%82%D0%BE%D0%B2%20%D0%90%D0%9D%D0%9E%20%D0%A1%D0%9C%D0%93/1191.%20%D0%A3%D1%87%D0%B5%D0%B1%D0%BD%D1%8B%D0%B9%20%D0%BA%D0%BE%D0%BC%D0%BF%D0%BB%D0%B5%D0%BA%D1%81%20%D1%81%20%D0%B1%D0%BB%D0%BE%D0%BA%D0%BE%D0%BC%20%D0%BD%D0%B0%D1%87%D0%B0%D0%BB%D1%8C%D0%BD%D1%8B%D1%85%20%D0%BA%D0%BB%D0%B0%D1%81%D1%81%D0%BE%D0%B2%20%D0%BD%D0%B0%20225%20%D0%BC%D0%B5%D1%81%D1%82%20%D0%B8%20%D0%94%D0%9E%D0%9E%20%D0%BD%D0%B0%20125%20%D0%BC%D0%B5%D1%81%D1%82%20(4%20%D1%8D%D1%82%D0%B0%D0%BF)</v>
      </c>
      <c r="J1259" s="50">
        <f>IFERROR(__xludf.DUMMYFUNCTION("""COMPUTED_VALUE"""),90.6736075)</f>
        <v>90.6736075</v>
      </c>
      <c r="K1259" s="58">
        <f>IFERROR(__xludf.DUMMYFUNCTION("""COMPUTED_VALUE"""),45889.0)</f>
        <v>45889</v>
      </c>
      <c r="L1259" s="6">
        <v>14.0</v>
      </c>
      <c r="M1259" s="52">
        <v>45903.0</v>
      </c>
      <c r="N1259" s="53" t="s">
        <v>668</v>
      </c>
      <c r="O1259" s="19" t="s">
        <v>1306</v>
      </c>
      <c r="P1259" s="6"/>
      <c r="Q1259" s="6" t="str">
        <f t="shared" si="1"/>
        <v>#N/A</v>
      </c>
      <c r="R1259" s="6"/>
    </row>
    <row r="1260" hidden="1">
      <c r="A1260" s="31" t="str">
        <f>IFERROR(__xludf.DUMMYFUNCTION("""COMPUTED_VALUE"""),"1197")</f>
        <v>1197</v>
      </c>
      <c r="B1260" s="14" t="str">
        <f>IFERROR(__xludf.DUMMYFUNCTION("""COMPUTED_VALUE"""),"ВНЕ СПИСКА")</f>
        <v>ВНЕ СПИСКА</v>
      </c>
      <c r="C1260" s="14" t="str">
        <f>IFERROR(__xludf.DUMMYFUNCTION("""COMPUTED_VALUE"""),"ОКС")</f>
        <v>ОКС</v>
      </c>
      <c r="D1260" s="6" t="str">
        <f>IFERROR(__xludf.DUMMYFUNCTION("""COMPUTED_VALUE"""),"да")</f>
        <v>да</v>
      </c>
      <c r="E1260" s="14" t="str">
        <f>IFERROR(__xludf.DUMMYFUNCTION("""COMPUTED_VALUE"""),"Корпус 34. Общеобразовательная организация на 2200 мест ЖК ЛЮБЛИНСКИЙ ПАРК, ул. Люблинская, вл.72")</f>
        <v>Корпус 34. Общеобразовательная организация на 2200 мест ЖК ЛЮБЛИНСКИЙ ПАРК, ул. Люблинская, вл.72</v>
      </c>
      <c r="F1260" s="25" t="str">
        <f>IFERROR(__xludf.DUMMYFUNCTION("""COMPUTED_VALUE"""),"#N/A")</f>
        <v>#N/A</v>
      </c>
      <c r="G1260" s="6" t="str">
        <f>IFERROR(__xludf.DUMMYFUNCTION("""COMPUTED_VALUE"""),"#N/A")</f>
        <v>#N/A</v>
      </c>
      <c r="H1260" s="18" t="str">
        <f>IFERROR(__xludf.DUMMYFUNCTION("""COMPUTED_VALUE"""),"https://docs.google.com/spreadsheets/d/1EI7qusa674eJhuaw-nWWtWMEHVSYMQv7HLsInEZTWpE/edit?gid=1736090729#gid=1736090729")</f>
        <v>https://docs.google.com/spreadsheets/d/1EI7qusa674eJhuaw-nWWtWMEHVSYMQv7HLsInEZTWpE/edit?gid=1736090729#gid=1736090729</v>
      </c>
      <c r="I1260" s="21" t="str">
        <f>IFERROR(__xludf.DUMMYFUNCTION("""COMPUTED_VALUE"""),"https://disk.yandex.ru/client/disk/%D0%9E%D1%81%D0%BC%D0%BE%D1%82%D1%80%D1%8B%20%D0%BE%D0%B1%D1%8A%D0%B5%D0%BA%D1%82%D0%BE%D0%B2%20%D0%90%D0%9D%D0%9E%20%D0%A1%D0%9C%D0%93/1197%20%D0%BB%D1%8E%D0%B1%D0%BB%D0%B8%D0%BD%D1%81%D0%BA%D0%B0%D1%8F%2072%20%D0%A8%D0"&amp;"%BA%D0%BE%D0%BB%D0%B0%20%D0%BD%D0%B0%202200%20%D0%BC%D0%B5%D1%81%D1%82%20")</f>
        <v>https://disk.yandex.ru/client/disk/%D0%9E%D1%81%D0%BC%D0%BE%D1%82%D1%80%D1%8B%20%D0%BE%D0%B1%D1%8A%D0%B5%D0%BA%D1%82%D0%BE%D0%B2%20%D0%90%D0%9D%D0%9E%20%D0%A1%D0%9C%D0%93/1197%20%D0%BB%D1%8E%D0%B1%D0%BB%D0%B8%D0%BD%D1%81%D0%BA%D0%B0%D1%8F%2072%20%D0%A8%D0%BA%D0%BE%D0%BB%D0%B0%20%D0%BD%D0%B0%202200%20%D0%BC%D0%B5%D1%81%D1%82%20</v>
      </c>
      <c r="J1260" s="50">
        <f>IFERROR(__xludf.DUMMYFUNCTION("""COMPUTED_VALUE"""),25.797)</f>
        <v>25.797</v>
      </c>
      <c r="K1260" s="58">
        <f>IFERROR(__xludf.DUMMYFUNCTION("""COMPUTED_VALUE"""),45811.0)</f>
        <v>45811</v>
      </c>
      <c r="L1260" s="6">
        <v>30.0</v>
      </c>
      <c r="M1260" s="52">
        <v>45841.0</v>
      </c>
      <c r="N1260" s="53" t="s">
        <v>668</v>
      </c>
      <c r="O1260" s="19" t="s">
        <v>669</v>
      </c>
      <c r="P1260" s="6"/>
      <c r="Q1260" s="6" t="str">
        <f t="shared" si="1"/>
        <v>#N/A</v>
      </c>
      <c r="R1260" s="6"/>
    </row>
    <row r="1261" hidden="1">
      <c r="A1261" s="31" t="str">
        <f>IFERROR(__xludf.DUMMYFUNCTION("""COMPUTED_VALUE"""),"1032")</f>
        <v>1032</v>
      </c>
      <c r="B1261" s="14" t="str">
        <f>IFERROR(__xludf.DUMMYFUNCTION("""COMPUTED_VALUE"""),"ВНЕ СПИСКА")</f>
        <v>ВНЕ СПИСКА</v>
      </c>
      <c r="C1261" s="14" t="str">
        <f>IFERROR(__xludf.DUMMYFUNCTION("""COMPUTED_VALUE"""),"ОКС")</f>
        <v>ОКС</v>
      </c>
      <c r="D1261" s="6" t="str">
        <f>IFERROR(__xludf.DUMMYFUNCTION("""COMPUTED_VALUE"""),"да")</f>
        <v>да</v>
      </c>
      <c r="E1261" s="14" t="str">
        <f>IFERROR(__xludf.DUMMYFUNCTION("""COMPUTED_VALUE"""),"Общеобразовательная школа 84 класса на 2100 мест ЖК ПЕРЕДЕЛКИНО БЛИЖНЕЕ. ГОРОД-ПАРК, ул. Бориса Пастернака, з/у 8А")</f>
        <v>Общеобразовательная школа 84 класса на 2100 мест ЖК ПЕРЕДЕЛКИНО БЛИЖНЕЕ. ГОРОД-ПАРК, ул. Бориса Пастернака, з/у 8А</v>
      </c>
      <c r="F1261" s="25" t="str">
        <f>IFERROR(__xludf.DUMMYFUNCTION("""COMPUTED_VALUE"""),"55.641334593008715")</f>
        <v>55.641334593008715</v>
      </c>
      <c r="G1261" s="6" t="str">
        <f>IFERROR(__xludf.DUMMYFUNCTION("""COMPUTED_VALUE"""),"37.32539234658745")</f>
        <v>37.32539234658745</v>
      </c>
      <c r="H1261" s="18" t="str">
        <f>IFERROR(__xludf.DUMMYFUNCTION("""COMPUTED_VALUE"""),"https://docs.google.com/spreadsheets/d/1EI7qusa674eJhuaw-nWWtWMEHVSYMQv7HLsInEZTWpE/edit?gid=44399105#gid=44399105")</f>
        <v>https://docs.google.com/spreadsheets/d/1EI7qusa674eJhuaw-nWWtWMEHVSYMQv7HLsInEZTWpE/edit?gid=44399105#gid=44399105</v>
      </c>
      <c r="I1261" s="19" t="str">
        <f>IFERROR(__xludf.DUMMYFUNCTION("""COMPUTED_VALUE"""),"https://disk.yandex.ru/client/disk/Осмотры%20объектов%20АНО%20СМГ/1032.%20ул.%20Бориса%20Пастернака%2C%20з-у%208А%20Школа%20на%202100%20мест")</f>
        <v>https://disk.yandex.ru/client/disk/Осмотры%20объектов%20АНО%20СМГ/1032.%20ул.%20Бориса%20Пастернака%2C%20з-у%208А%20Школа%20на%202100%20мест</v>
      </c>
      <c r="J1261" s="50">
        <f>IFERROR(__xludf.DUMMYFUNCTION("""COMPUTED_VALUE"""),99.68648)</f>
        <v>99.68648</v>
      </c>
      <c r="K1261" s="58">
        <f>IFERROR(__xludf.DUMMYFUNCTION("""COMPUTED_VALUE"""),45972.0)</f>
        <v>45972</v>
      </c>
      <c r="L1261" s="6">
        <v>7.0</v>
      </c>
      <c r="M1261" s="52">
        <v>45979.0</v>
      </c>
      <c r="N1261" s="53" t="s">
        <v>692</v>
      </c>
      <c r="O1261" s="19" t="s">
        <v>1307</v>
      </c>
      <c r="P1261" s="6"/>
      <c r="Q1261" s="6" t="str">
        <f t="shared" si="1"/>
        <v>#N/A</v>
      </c>
      <c r="R1261" s="6"/>
    </row>
    <row r="1262" hidden="1">
      <c r="A1262" s="31" t="str">
        <f>IFERROR(__xludf.DUMMYFUNCTION("""COMPUTED_VALUE"""),"430")</f>
        <v>430</v>
      </c>
      <c r="B1262" s="14" t="str">
        <f>IFERROR(__xludf.DUMMYFUNCTION("""COMPUTED_VALUE"""),"ВНЕ СПИСКА")</f>
        <v>ВНЕ СПИСКА</v>
      </c>
      <c r="C1262" s="14" t="str">
        <f>IFERROR(__xludf.DUMMYFUNCTION("""COMPUTED_VALUE"""),"ОКС")</f>
        <v>ОКС</v>
      </c>
      <c r="D1262" s="6" t="str">
        <f>IFERROR(__xludf.DUMMYFUNCTION("""COMPUTED_VALUE"""),"да")</f>
        <v>да</v>
      </c>
      <c r="E1262" s="14" t="str">
        <f>IFERROR(__xludf.DUMMYFUNCTION("""COMPUTED_VALUE"""),"Частная общеобразовательная организация «Летово Джуниор» ШКОЛА ЛЕТОВО, Проспект Вернадского, земельный участок 8Б")</f>
        <v>Частная общеобразовательная организация «Летово Джуниор» ШКОЛА ЛЕТОВО, Проспект Вернадского, земельный участок 8Б</v>
      </c>
      <c r="F1262" s="25" t="str">
        <f>IFERROR(__xludf.DUMMYFUNCTION("""COMPUTED_VALUE"""),"#N/A")</f>
        <v>#N/A</v>
      </c>
      <c r="G1262" s="6" t="str">
        <f>IFERROR(__xludf.DUMMYFUNCTION("""COMPUTED_VALUE"""),"#N/A")</f>
        <v>#N/A</v>
      </c>
      <c r="H1262" s="18" t="str">
        <f>IFERROR(__xludf.DUMMYFUNCTION("""COMPUTED_VALUE"""),"https://docs.google.com/spreadsheets/d/1EI7qusa674eJhuaw-nWWtWMEHVSYMQv7HLsInEZTWpE/edit?gid=694232256#gid=694232256")</f>
        <v>https://docs.google.com/spreadsheets/d/1EI7qusa674eJhuaw-nWWtWMEHVSYMQv7HLsInEZTWpE/edit?gid=694232256#gid=694232256</v>
      </c>
      <c r="I1262" s="19" t="str">
        <f>IFERROR(__xludf.DUMMYFUNCTION("""COMPUTED_VALUE"""),"https://disk.yandex.ru/client/disk/Осмотры%20объектов%20АНО%20СМГ/430.%20Школа%20частная%20%22Летово%20Джуниор%22%2C%20пр-т%20Вернадского%208б")</f>
        <v>https://disk.yandex.ru/client/disk/Осмотры%20объектов%20АНО%20СМГ/430.%20Школа%20частная%20%22Летово%20Джуниор%22%2C%20пр-т%20Вернадского%208б</v>
      </c>
      <c r="J1262" s="50">
        <f>IFERROR(__xludf.DUMMYFUNCTION("""COMPUTED_VALUE"""),98.5)</f>
        <v>98.5</v>
      </c>
      <c r="K1262" s="58">
        <f>IFERROR(__xludf.DUMMYFUNCTION("""COMPUTED_VALUE"""),45888.0)</f>
        <v>45888</v>
      </c>
      <c r="L1262" s="6">
        <v>7.0</v>
      </c>
      <c r="M1262" s="52">
        <v>45895.0</v>
      </c>
      <c r="N1262" s="53" t="s">
        <v>652</v>
      </c>
      <c r="O1262" s="19" t="s">
        <v>1308</v>
      </c>
      <c r="P1262" s="6"/>
      <c r="Q1262" s="6" t="str">
        <f t="shared" si="1"/>
        <v>#N/A</v>
      </c>
      <c r="R1262" s="6"/>
    </row>
    <row r="1263" hidden="1">
      <c r="A1263" s="31" t="str">
        <f>IFERROR(__xludf.DUMMYFUNCTION("""COMPUTED_VALUE"""),"355")</f>
        <v>355</v>
      </c>
      <c r="B1263" s="14" t="str">
        <f>IFERROR(__xludf.DUMMYFUNCTION("""COMPUTED_VALUE"""),"ВНЕ СПИСКА")</f>
        <v>ВНЕ СПИСКА</v>
      </c>
      <c r="C1263" s="14" t="str">
        <f>IFERROR(__xludf.DUMMYFUNCTION("""COMPUTED_VALUE"""),"ОКС")</f>
        <v>ОКС</v>
      </c>
      <c r="D1263" s="6" t="str">
        <f>IFERROR(__xludf.DUMMYFUNCTION("""COMPUTED_VALUE"""),"да")</f>
        <v>да</v>
      </c>
      <c r="E1263" s="14" t="str">
        <f>IFERROR(__xludf.DUMMYFUNCTION("""COMPUTED_VALUE"""),"Общеобразовательное школьное учреждение на 1200 мест ЖК ЛУЧИ, Производственная улица, вл. 6")</f>
        <v>Общеобразовательное школьное учреждение на 1200 мест ЖК ЛУЧИ, Производственная улица, вл. 6</v>
      </c>
      <c r="F1263" s="25" t="str">
        <f>IFERROR(__xludf.DUMMYFUNCTION("""COMPUTED_VALUE"""),"55.6441236609596")</f>
        <v>55.6441236609596</v>
      </c>
      <c r="G1263" s="6" t="str">
        <f>IFERROR(__xludf.DUMMYFUNCTION("""COMPUTED_VALUE"""),"37.395131804320165")</f>
        <v>37.395131804320165</v>
      </c>
      <c r="H1263" s="18" t="str">
        <f>IFERROR(__xludf.DUMMYFUNCTION("""COMPUTED_VALUE"""),"https://docs.google.com/spreadsheets/d/1EI7qusa674eJhuaw-nWWtWMEHVSYMQv7HLsInEZTWpE/edit?gid=1853146413#gid=1853146413")</f>
        <v>https://docs.google.com/spreadsheets/d/1EI7qusa674eJhuaw-nWWtWMEHVSYMQv7HLsInEZTWpE/edit?gid=1853146413#gid=1853146413</v>
      </c>
      <c r="I1263" s="19" t="str">
        <f>IFERROR(__xludf.DUMMYFUNCTION("""COMPUTED_VALUE"""),"https://disk.yandex.ru/client/disk/Осмотры%20объектов%20АНО%20СМГ/355.%20Школа%20на%201200%20мест%2C%20Производственная%20улица%2C%20вл.%206")</f>
        <v>https://disk.yandex.ru/client/disk/Осмотры%20объектов%20АНО%20СМГ/355.%20Школа%20на%201200%20мест%2C%20Производственная%20улица%2C%20вл.%206</v>
      </c>
      <c r="J1263" s="50">
        <f>IFERROR(__xludf.DUMMYFUNCTION("""COMPUTED_VALUE"""),70.99915)</f>
        <v>70.99915</v>
      </c>
      <c r="K1263" s="58">
        <f>IFERROR(__xludf.DUMMYFUNCTION("""COMPUTED_VALUE"""),45958.0)</f>
        <v>45958</v>
      </c>
      <c r="L1263" s="6">
        <v>14.0</v>
      </c>
      <c r="M1263" s="52">
        <v>45972.0</v>
      </c>
      <c r="N1263" s="53" t="s">
        <v>668</v>
      </c>
      <c r="O1263" s="19" t="s">
        <v>1309</v>
      </c>
      <c r="P1263" s="6"/>
      <c r="Q1263" s="6" t="str">
        <f t="shared" si="1"/>
        <v>#N/A</v>
      </c>
      <c r="R1263" s="6"/>
    </row>
    <row r="1264" hidden="1">
      <c r="A1264" s="31" t="str">
        <f>IFERROR(__xludf.DUMMYFUNCTION("""COMPUTED_VALUE"""),"1099")</f>
        <v>1099</v>
      </c>
      <c r="B1264" s="14" t="str">
        <f>IFERROR(__xludf.DUMMYFUNCTION("""COMPUTED_VALUE"""),"ВНЕ СПИСКА")</f>
        <v>ВНЕ СПИСКА</v>
      </c>
      <c r="C1264" s="14" t="str">
        <f>IFERROR(__xludf.DUMMYFUNCTION("""COMPUTED_VALUE"""),"ОКС")</f>
        <v>ОКС</v>
      </c>
      <c r="D1264" s="6" t="str">
        <f>IFERROR(__xludf.DUMMYFUNCTION("""COMPUTED_VALUE"""),"да")</f>
        <v>да</v>
      </c>
      <c r="E1264" s="14" t="str">
        <f>IFERROR(__xludf.DUMMYFUNCTION("""COMPUTED_VALUE"""),"Общеобразовательная организация 44 класса на 1100 мест ЖК ПЕРВЫЙ МОСКОВСКИЙ. ГОРОД-ПАРК, район тепличного комбината №1, третий микрорайон, квартал 1 (никитина 9Б)")</f>
        <v>Общеобразовательная организация 44 класса на 1100 мест ЖК ПЕРВЫЙ МОСКОВСКИЙ. ГОРОД-ПАРК, район тепличного комбината №1, третий микрорайон, квартал 1 (никитина 9Б)</v>
      </c>
      <c r="F1264" s="25" t="str">
        <f>IFERROR(__xludf.DUMMYFUNCTION("""COMPUTED_VALUE"""),"55.60437840965101")</f>
        <v>55.60437840965101</v>
      </c>
      <c r="G1264" s="6" t="str">
        <f>IFERROR(__xludf.DUMMYFUNCTION("""COMPUTED_VALUE"""),"37.37362945767209")</f>
        <v>37.37362945767209</v>
      </c>
      <c r="H1264" s="18" t="str">
        <f>IFERROR(__xludf.DUMMYFUNCTION("""COMPUTED_VALUE"""),"https://docs.google.com/spreadsheets/d/1EI7qusa674eJhuaw-nWWtWMEHVSYMQv7HLsInEZTWpE/edit?gid=930912850#gid=930912850")</f>
        <v>https://docs.google.com/spreadsheets/d/1EI7qusa674eJhuaw-nWWtWMEHVSYMQv7HLsInEZTWpE/edit?gid=930912850#gid=930912850</v>
      </c>
      <c r="I1264" s="19" t="str">
        <f>IFERROR(__xludf.DUMMYFUNCTION("""COMPUTED_VALUE"""),"https://disk.yandex.ru/client/disk/Осмотры%20объектов%20АНО%20СМГ/1099.%20Общеобразовательная%20организация%2044%20класса%20на%201100%20мест")</f>
        <v>https://disk.yandex.ru/client/disk/Осмотры%20объектов%20АНО%20СМГ/1099.%20Общеобразовательная%20организация%2044%20класса%20на%201100%20мест</v>
      </c>
      <c r="J1264" s="50"/>
      <c r="K1264" s="58">
        <f>IFERROR(__xludf.DUMMYFUNCTION("""COMPUTED_VALUE"""),45972.0)</f>
        <v>45972</v>
      </c>
      <c r="L1264" s="6">
        <v>30.0</v>
      </c>
      <c r="M1264" s="52">
        <v>46002.0</v>
      </c>
      <c r="N1264" s="53" t="s">
        <v>652</v>
      </c>
      <c r="O1264" s="19" t="s">
        <v>1310</v>
      </c>
      <c r="P1264" s="6"/>
      <c r="Q1264" s="6" t="str">
        <f t="shared" si="1"/>
        <v>#N/A</v>
      </c>
      <c r="R1264" s="6"/>
    </row>
    <row r="1265" hidden="1">
      <c r="A1265" s="31" t="str">
        <f>IFERROR(__xludf.DUMMYFUNCTION("""COMPUTED_VALUE"""),"1196")</f>
        <v>1196</v>
      </c>
      <c r="B1265" s="14" t="str">
        <f>IFERROR(__xludf.DUMMYFUNCTION("""COMPUTED_VALUE"""),"ВНЕ СПИСКА")</f>
        <v>ВНЕ СПИСКА</v>
      </c>
      <c r="C1265" s="14" t="str">
        <f>IFERROR(__xludf.DUMMYFUNCTION("""COMPUTED_VALUE"""),"ОКС")</f>
        <v>ОКС</v>
      </c>
      <c r="D1265" s="6" t="str">
        <f>IFERROR(__xludf.DUMMYFUNCTION("""COMPUTED_VALUE"""),"да")</f>
        <v>да</v>
      </c>
      <c r="E1265" s="14" t="str">
        <f>IFERROR(__xludf.DUMMYFUNCTION("""COMPUTED_VALUE"""),"Общеобразовательная организация на 550 мест (начальное общее образование на 400 мест, дошкольное образование на 150 мест) ЖК МЕТРОПОЛИЯ, пр-кт Волгоградский, вл 32/4")</f>
        <v>Общеобразовательная организация на 550 мест (начальное общее образование на 400 мест, дошкольное образование на 150 мест) ЖК МЕТРОПОЛИЯ, пр-кт Волгоградский, вл 32/4</v>
      </c>
      <c r="F1265" s="25" t="str">
        <f>IFERROR(__xludf.DUMMYFUNCTION("""COMPUTED_VALUE"""),"55.719103")</f>
        <v>55.719103</v>
      </c>
      <c r="G1265" s="6" t="str">
        <f>IFERROR(__xludf.DUMMYFUNCTION("""COMPUTED_VALUE"""),"37.691879")</f>
        <v>37.691879</v>
      </c>
      <c r="H1265" s="18" t="str">
        <f>IFERROR(__xludf.DUMMYFUNCTION("""COMPUTED_VALUE"""),"https://docs.google.com/spreadsheets/d/1EI7qusa674eJhuaw-nWWtWMEHVSYMQv7HLsInEZTWpE/edit?gid=2002546597#gid=2002546597")</f>
        <v>https://docs.google.com/spreadsheets/d/1EI7qusa674eJhuaw-nWWtWMEHVSYMQv7HLsInEZTWpE/edit?gid=2002546597#gid=2002546597</v>
      </c>
      <c r="I1265" s="19" t="str">
        <f>IFERROR(__xludf.DUMMYFUNCTION("""COMPUTED_VALUE"""),"https://disk.yandex.ru/client/disk/Осмотры%20объектов%20АНО%20СМГ/1196%20пр-кт%20Волгоградский%2C%20вл%2032-4%22Общеобразовательная%20организация%20на%20550%20мест%20(начальное%20общее%20образование%20на%20400%20мест%2C%20дошкольное%20образование%20на%201"&amp;"50%20мест)%20%0AЖК%20%22%22Метрополия%22%22")</f>
        <v>https://disk.yandex.ru/client/disk/Осмотры%20объектов%20АНО%20СМГ/1196%20пр-кт%20Волгоградский%2C%20вл%2032-4%22Общеобразовательная%20организация%20на%20550%20мест%20(начальное%20общее%20образование%20на%20400%20мест%2C%20дошкольное%20образование%20на%20150%20мест)%20%0AЖК%20%22%22Метрополия%22%22</v>
      </c>
      <c r="J1265" s="50">
        <f>IFERROR(__xludf.DUMMYFUNCTION("""COMPUTED_VALUE"""),87.37347000000001)</f>
        <v>87.37347</v>
      </c>
      <c r="K1265" s="58">
        <f>IFERROR(__xludf.DUMMYFUNCTION("""COMPUTED_VALUE"""),45958.0)</f>
        <v>45958</v>
      </c>
      <c r="L1265" s="6">
        <v>14.0</v>
      </c>
      <c r="M1265" s="52">
        <v>45972.0</v>
      </c>
      <c r="N1265" s="53" t="s">
        <v>668</v>
      </c>
      <c r="O1265" s="19" t="s">
        <v>669</v>
      </c>
      <c r="P1265" s="6"/>
      <c r="Q1265" s="6" t="str">
        <f t="shared" si="1"/>
        <v>#N/A</v>
      </c>
      <c r="R1265" s="6"/>
    </row>
    <row r="1266" hidden="1">
      <c r="A1266" s="31" t="str">
        <f>IFERROR(__xludf.DUMMYFUNCTION("""COMPUTED_VALUE"""),"1290")</f>
        <v>1290</v>
      </c>
      <c r="B1266" s="14" t="str">
        <f>IFERROR(__xludf.DUMMYFUNCTION("""COMPUTED_VALUE"""),"ВНЕ СПИСКА")</f>
        <v>ВНЕ СПИСКА</v>
      </c>
      <c r="C1266" s="14" t="str">
        <f>IFERROR(__xludf.DUMMYFUNCTION("""COMPUTED_VALUE"""),"ОКС")</f>
        <v>ОКС</v>
      </c>
      <c r="D1266" s="6"/>
      <c r="E1266" s="14" t="str">
        <f>IFERROR(__xludf.DUMMYFUNCTION("""COMPUTED_VALUE"""),"ГБОУ Школа № 1474. ДОУ на 200 мест, р-н Ховрино, ул. Левобережная, влд. 4 и 4а (участок № 2) (строительство) ул. Левобережная, д. 4А")</f>
        <v>ГБОУ Школа № 1474. ДОУ на 200 мест, р-н Ховрино, ул. Левобережная, влд. 4 и 4а (участок № 2) (строительство) ул. Левобережная, д. 4А</v>
      </c>
      <c r="F1266" s="25" t="str">
        <f>IFERROR(__xludf.DUMMYFUNCTION("""COMPUTED_VALUE"""),"#N/A")</f>
        <v>#N/A</v>
      </c>
      <c r="G1266" s="6" t="str">
        <f>IFERROR(__xludf.DUMMYFUNCTION("""COMPUTED_VALUE"""),"#N/A")</f>
        <v>#N/A</v>
      </c>
      <c r="H1266" s="18" t="str">
        <f>IFERROR(__xludf.DUMMYFUNCTION("""COMPUTED_VALUE"""),"https://docs.google.com/spreadsheets/d/1EI7qusa674eJhuaw-nWWtWMEHVSYMQv7HLsInEZTWpE/edit?gid=527260036#gid=527260036")</f>
        <v>https://docs.google.com/spreadsheets/d/1EI7qusa674eJhuaw-nWWtWMEHVSYMQv7HLsInEZTWpE/edit?gid=527260036#gid=527260036</v>
      </c>
      <c r="I1266" s="19"/>
      <c r="J1266" s="50">
        <f>IFERROR(__xludf.DUMMYFUNCTION("""COMPUTED_VALUE"""),99.973)</f>
        <v>99.973</v>
      </c>
      <c r="K1266" s="58">
        <f>IFERROR(__xludf.DUMMYFUNCTION("""COMPUTED_VALUE"""),45889.0)</f>
        <v>45889</v>
      </c>
      <c r="L1266" s="6">
        <v>7.0</v>
      </c>
      <c r="M1266" s="52">
        <v>45896.0</v>
      </c>
      <c r="N1266" s="53" t="s">
        <v>652</v>
      </c>
      <c r="O1266" s="19" t="s">
        <v>1311</v>
      </c>
      <c r="P1266" s="6"/>
      <c r="Q1266" s="6" t="str">
        <f t="shared" si="1"/>
        <v>#N/A</v>
      </c>
      <c r="R1266" s="6"/>
    </row>
    <row r="1267" hidden="1">
      <c r="A1267" s="31" t="str">
        <f>IFERROR(__xludf.DUMMYFUNCTION("""COMPUTED_VALUE"""),"1345")</f>
        <v>1345</v>
      </c>
      <c r="B1267" s="14" t="str">
        <f>IFERROR(__xludf.DUMMYFUNCTION("""COMPUTED_VALUE"""),"ВНЕ СПИСКА")</f>
        <v>ВНЕ СПИСКА</v>
      </c>
      <c r="C1267" s="14" t="str">
        <f>IFERROR(__xludf.DUMMYFUNCTION("""COMPUTED_VALUE"""),"ОКС")</f>
        <v>ОКС</v>
      </c>
      <c r="D1267" s="6" t="str">
        <f>IFERROR(__xludf.DUMMYFUNCTION("""COMPUTED_VALUE"""),"да")</f>
        <v>да</v>
      </c>
      <c r="E1267" s="14" t="str">
        <f>IFERROR(__xludf.DUMMYFUNCTION("""COMPUTED_VALUE"""),"Общеобразовательная организация на 1470 мест (№11 по генплану, 1 этап) ЖК РАССКАЗОВО, д. Рассказовка, Бульвар Андрея Тарковского дом 2А")</f>
        <v>Общеобразовательная организация на 1470 мест (№11 по генплану, 1 этап) ЖК РАССКАЗОВО, д. Рассказовка, Бульвар Андрея Тарковского дом 2А</v>
      </c>
      <c r="F1267" s="25" t="str">
        <f>IFERROR(__xludf.DUMMYFUNCTION("""COMPUTED_VALUE"""),"55.626453")</f>
        <v>55.626453</v>
      </c>
      <c r="G1267" s="6" t="str">
        <f>IFERROR(__xludf.DUMMYFUNCTION("""COMPUTED_VALUE"""),"37.338868")</f>
        <v>37.338868</v>
      </c>
      <c r="H1267" s="18" t="str">
        <f>IFERROR(__xludf.DUMMYFUNCTION("""COMPUTED_VALUE"""),"https://docs.google.com/spreadsheets/d/1EI7qusa674eJhuaw-nWWtWMEHVSYMQv7HLsInEZTWpE/edit?gid=368087767#gid=368087767")</f>
        <v>https://docs.google.com/spreadsheets/d/1EI7qusa674eJhuaw-nWWtWMEHVSYMQv7HLsInEZTWpE/edit?gid=368087767#gid=368087767</v>
      </c>
      <c r="I1267" s="19"/>
      <c r="J1267" s="50">
        <f>IFERROR(__xludf.DUMMYFUNCTION("""COMPUTED_VALUE"""),81.55278999999999)</f>
        <v>81.55279</v>
      </c>
      <c r="K1267" s="58">
        <f>IFERROR(__xludf.DUMMYFUNCTION("""COMPUTED_VALUE"""),45958.0)</f>
        <v>45958</v>
      </c>
      <c r="L1267" s="6">
        <v>14.0</v>
      </c>
      <c r="M1267" s="52">
        <v>45972.0</v>
      </c>
      <c r="N1267" s="53" t="s">
        <v>668</v>
      </c>
      <c r="O1267" s="19" t="s">
        <v>669</v>
      </c>
      <c r="P1267" s="6"/>
      <c r="Q1267" s="6" t="str">
        <f t="shared" si="1"/>
        <v>#N/A</v>
      </c>
      <c r="R1267" s="6"/>
    </row>
    <row r="1268" hidden="1">
      <c r="A1268" s="31" t="str">
        <f>IFERROR(__xludf.DUMMYFUNCTION("""COMPUTED_VALUE"""),"НД")</f>
        <v>НД</v>
      </c>
      <c r="B1268" s="14" t="str">
        <f>IFERROR(__xludf.DUMMYFUNCTION("""COMPUTED_VALUE"""),"ВНЕ СПИСКА")</f>
        <v>ВНЕ СПИСКА</v>
      </c>
      <c r="C1268" s="14" t="str">
        <f>IFERROR(__xludf.DUMMYFUNCTION("""COMPUTED_VALUE"""),"ОКС")</f>
        <v>ОКС</v>
      </c>
      <c r="D1268" s="6" t="str">
        <f>IFERROR(__xludf.DUMMYFUNCTION("""COMPUTED_VALUE"""),"да")</f>
        <v>да</v>
      </c>
      <c r="E1268" s="14" t="str">
        <f>IFERROR(__xludf.DUMMYFUNCTION("""COMPUTED_VALUE"""),"Общеобразовательная организация на 1840 мест (№11 по генплану, 2 этап) ЖК РАССКАЗОВО, д. Рассказовка")</f>
        <v>Общеобразовательная организация на 1840 мест (№11 по генплану, 2 этап) ЖК РАССКАЗОВО, д. Рассказовка</v>
      </c>
      <c r="F1268" s="25" t="str">
        <f>IFERROR(__xludf.DUMMYFUNCTION("""COMPUTED_VALUE"""),"#N/A")</f>
        <v>#N/A</v>
      </c>
      <c r="G1268" s="6" t="str">
        <f>IFERROR(__xludf.DUMMYFUNCTION("""COMPUTED_VALUE"""),"#N/A")</f>
        <v>#N/A</v>
      </c>
      <c r="H1268" s="6"/>
      <c r="I1268" s="19"/>
      <c r="J1268" s="50"/>
      <c r="K1268" s="58"/>
      <c r="L1268" s="6">
        <v>30.0</v>
      </c>
      <c r="M1268" s="52" t="s">
        <v>655</v>
      </c>
      <c r="N1268" s="53" t="s">
        <v>698</v>
      </c>
      <c r="O1268" s="19" t="s">
        <v>669</v>
      </c>
      <c r="P1268" s="6"/>
      <c r="Q1268" s="6" t="str">
        <f t="shared" si="1"/>
        <v>#N/A</v>
      </c>
      <c r="R1268" s="6"/>
    </row>
    <row r="1269" hidden="1">
      <c r="A1269" s="31" t="str">
        <f>IFERROR(__xludf.DUMMYFUNCTION("""COMPUTED_VALUE"""),"1176")</f>
        <v>1176</v>
      </c>
      <c r="B1269" s="14" t="str">
        <f>IFERROR(__xludf.DUMMYFUNCTION("""COMPUTED_VALUE"""),"ВНЕ СПИСКА")</f>
        <v>ВНЕ СПИСКА</v>
      </c>
      <c r="C1269" s="14" t="str">
        <f>IFERROR(__xludf.DUMMYFUNCTION("""COMPUTED_VALUE"""),"ОКС")</f>
        <v>ОКС</v>
      </c>
      <c r="D1269" s="6" t="str">
        <f>IFERROR(__xludf.DUMMYFUNCTION("""COMPUTED_VALUE"""),"да")</f>
        <v>да</v>
      </c>
      <c r="E1269" s="14" t="str">
        <f>IFERROR(__xludf.DUMMYFUNCTION("""COMPUTED_VALUE"""),"Этап 5. Школа на 250 мест ул. Чоботовская, д.2, стр.6")</f>
        <v>Этап 5. Школа на 250 мест ул. Чоботовская, д.2, стр.6</v>
      </c>
      <c r="F1269" s="25" t="str">
        <f>IFERROR(__xludf.DUMMYFUNCTION("""COMPUTED_VALUE"""),"55.644940")</f>
        <v>55.644940</v>
      </c>
      <c r="G1269" s="6" t="str">
        <f>IFERROR(__xludf.DUMMYFUNCTION("""COMPUTED_VALUE"""),"37.358509")</f>
        <v>37.358509</v>
      </c>
      <c r="H1269" s="18" t="str">
        <f>IFERROR(__xludf.DUMMYFUNCTION("""COMPUTED_VALUE"""),"https://docs.google.com/spreadsheets/d/1EI7qusa674eJhuaw-nWWtWMEHVSYMQv7HLsInEZTWpE/edit?gid=338449454#gid=338449454")</f>
        <v>https://docs.google.com/spreadsheets/d/1EI7qusa674eJhuaw-nWWtWMEHVSYMQv7HLsInEZTWpE/edit?gid=338449454#gid=338449454</v>
      </c>
      <c r="I1269" s="19" t="str">
        <f>IFERROR(__xludf.DUMMYFUNCTION("""COMPUTED_VALUE"""),"https://disk.yandex.ru/client/disk/Осмотры%20объектов%20АНО%20СМГ/1176.%20СОШ%20на%20250%20мест%20Чеботовская%20зу%202")</f>
        <v>https://disk.yandex.ru/client/disk/Осмотры%20объектов%20АНО%20СМГ/1176.%20СОШ%20на%20250%20мест%20Чеботовская%20зу%202</v>
      </c>
      <c r="J1269" s="50">
        <f>IFERROR(__xludf.DUMMYFUNCTION("""COMPUTED_VALUE"""),97.55106250000001)</f>
        <v>97.5510625</v>
      </c>
      <c r="K1269" s="58">
        <f>IFERROR(__xludf.DUMMYFUNCTION("""COMPUTED_VALUE"""),45972.0)</f>
        <v>45972</v>
      </c>
      <c r="L1269" s="6">
        <v>7.0</v>
      </c>
      <c r="M1269" s="52">
        <v>45979.0</v>
      </c>
      <c r="N1269" s="53" t="s">
        <v>692</v>
      </c>
      <c r="O1269" s="19" t="s">
        <v>1312</v>
      </c>
      <c r="P1269" s="6"/>
      <c r="Q1269" s="6" t="str">
        <f t="shared" si="1"/>
        <v>#N/A</v>
      </c>
      <c r="R1269" s="6"/>
    </row>
    <row r="1270" hidden="1">
      <c r="A1270" s="31" t="str">
        <f>IFERROR(__xludf.DUMMYFUNCTION("""COMPUTED_VALUE"""),"1221")</f>
        <v>1221</v>
      </c>
      <c r="B1270" s="14" t="str">
        <f>IFERROR(__xludf.DUMMYFUNCTION("""COMPUTED_VALUE"""),"ВНЕ СПИСКА")</f>
        <v>ВНЕ СПИСКА</v>
      </c>
      <c r="C1270" s="14" t="str">
        <f>IFERROR(__xludf.DUMMYFUNCTION("""COMPUTED_VALUE"""),"ОКС")</f>
        <v>ОКС</v>
      </c>
      <c r="D1270" s="6" t="str">
        <f>IFERROR(__xludf.DUMMYFUNCTION("""COMPUTED_VALUE"""),"да")</f>
        <v>да</v>
      </c>
      <c r="E1270" s="14" t="str">
        <f>IFERROR(__xludf.DUMMYFUNCTION("""COMPUTED_VALUE"""),"Здание с дошкольными группами на 300 мест с бассейном 1-й Грайвороновский проезд, вл.3")</f>
        <v>Здание с дошкольными группами на 300 мест с бассейном 1-й Грайвороновский проезд, вл.3</v>
      </c>
      <c r="F1270" s="25" t="str">
        <f>IFERROR(__xludf.DUMMYFUNCTION("""COMPUTED_VALUE"""),"#N/A")</f>
        <v>#N/A</v>
      </c>
      <c r="G1270" s="6" t="str">
        <f>IFERROR(__xludf.DUMMYFUNCTION("""COMPUTED_VALUE"""),"#N/A")</f>
        <v>#N/A</v>
      </c>
      <c r="H1270" s="18" t="str">
        <f>IFERROR(__xludf.DUMMYFUNCTION("""COMPUTED_VALUE"""),"https://docs.google.com/spreadsheets/d/1EI7qusa674eJhuaw-nWWtWMEHVSYMQv7HLsInEZTWpE/edit?gid=1656884297#gid=1656884297")</f>
        <v>https://docs.google.com/spreadsheets/d/1EI7qusa674eJhuaw-nWWtWMEHVSYMQv7HLsInEZTWpE/edit?gid=1656884297#gid=1656884297</v>
      </c>
      <c r="I1270" s="21" t="str">
        <f>IFERROR(__xludf.DUMMYFUNCTION("""COMPUTED_VALUE"""),"https://disk.yandex.ru/client/disk/%D0%9E%D1%81%D0%BC%D0%BE%D1%82%D1%80%D1%8B%20%D0%BE%D0%B1%D1%8A%D0%B5%D0%BA%D1%82%D0%BE%D0%B2%20%D0%90%D0%9D%D0%9E%20%D0%A1%D0%9C%D0%93/12211-%D0%B9%20%D0%93%D1%80%D0%B0%D0%B9%D0%B2%D0%BE%D1%80%D0%BE%D0%BD%D0%BE%D0%B2%D1"&amp;"%81%D0%BA%D0%B8%D0%B9%20%D0%BF%D1%80%D0%BE%D0%B5%D0%B7%D0%B4%2C%203%20%D0%96%D0%9A%20%22%D0%92%D0%BE%D0%BB%D0%B6%D1%81%D0%BA%D0%B8%D0%B9%20%D0%BF%D0%B0%D1%80%D0%BA%22%20%D0%94%D0%9E%D0%9E%20%D0%BD%D0%B0%20300%20%D0%BC%D0%B5%D1%81%D1%82%20%D1%81%20%D0%B1%D"&amp;"0%B0%D1%81%D1%81%D0%B5%D0%B9%D0%BD%D0%BE%D0%BC%20")</f>
        <v>https://disk.yandex.ru/client/disk/%D0%9E%D1%81%D0%BC%D0%BE%D1%82%D1%80%D1%8B%20%D0%BE%D0%B1%D1%8A%D0%B5%D0%BA%D1%82%D0%BE%D0%B2%20%D0%90%D0%9D%D0%9E%20%D0%A1%D0%9C%D0%93/12211-%D0%B9%20%D0%93%D1%80%D0%B0%D0%B9%D0%B2%D0%BE%D1%80%D0%BE%D0%BD%D0%BE%D0%B2%D1%81%D0%BA%D0%B8%D0%B9%20%D0%BF%D1%80%D0%BE%D0%B5%D0%B7%D0%B4%2C%203%20%D0%96%D0%9A%20%22%D0%92%D0%BE%D0%BB%D0%B6%D1%81%D0%BA%D0%B8%D0%B9%20%D0%BF%D0%B0%D1%80%D0%BA%22%20%D0%94%D0%9E%D0%9E%20%D0%BD%D0%B0%20300%20%D0%BC%D0%B5%D1%81%D1%82%20%D1%81%20%D0%B1%D0%B0%D1%81%D1%81%D0%B5%D0%B9%D0%BD%D0%BE%D0%BC%20</v>
      </c>
      <c r="J1270" s="50">
        <f>IFERROR(__xludf.DUMMYFUNCTION("""COMPUTED_VALUE"""),97.18528)</f>
        <v>97.18528</v>
      </c>
      <c r="K1270" s="58">
        <f>IFERROR(__xludf.DUMMYFUNCTION("""COMPUTED_VALUE"""),45819.0)</f>
        <v>45819</v>
      </c>
      <c r="L1270" s="6">
        <v>7.0</v>
      </c>
      <c r="M1270" s="52">
        <v>45826.0</v>
      </c>
      <c r="N1270" s="53" t="s">
        <v>652</v>
      </c>
      <c r="O1270" s="19" t="s">
        <v>1313</v>
      </c>
      <c r="P1270" s="6"/>
      <c r="Q1270" s="6" t="str">
        <f t="shared" si="1"/>
        <v>#N/A</v>
      </c>
      <c r="R1270" s="6"/>
    </row>
    <row r="1271" hidden="1">
      <c r="A1271" s="31" t="str">
        <f>IFERROR(__xludf.DUMMYFUNCTION("""COMPUTED_VALUE"""),"1045")</f>
        <v>1045</v>
      </c>
      <c r="B1271" s="14" t="str">
        <f>IFERROR(__xludf.DUMMYFUNCTION("""COMPUTED_VALUE"""),"ВНЕ СПИСКА")</f>
        <v>ВНЕ СПИСКА</v>
      </c>
      <c r="C1271" s="14" t="str">
        <f>IFERROR(__xludf.DUMMYFUNCTION("""COMPUTED_VALUE"""),"ОКС")</f>
        <v>ОКС</v>
      </c>
      <c r="D1271" s="6" t="str">
        <f>IFERROR(__xludf.DUMMYFUNCTION("""COMPUTED_VALUE"""),"да")</f>
        <v>да</v>
      </c>
      <c r="E1271" s="14" t="str">
        <f>IFERROR(__xludf.DUMMYFUNCTION("""COMPUTED_VALUE"""),"Дошкольное образовательное учреждение №5 ДОУ на 150 мест ш. Волоколамское, з/у 71/13")</f>
        <v>Дошкольное образовательное учреждение №5 ДОУ на 150 мест ш. Волоколамское, з/у 71/13</v>
      </c>
      <c r="F1271" s="25" t="str">
        <f>IFERROR(__xludf.DUMMYFUNCTION("""COMPUTED_VALUE"""),"#N/A")</f>
        <v>#N/A</v>
      </c>
      <c r="G1271" s="6" t="str">
        <f>IFERROR(__xludf.DUMMYFUNCTION("""COMPUTED_VALUE"""),"#N/A")</f>
        <v>#N/A</v>
      </c>
      <c r="H1271" s="18" t="str">
        <f>IFERROR(__xludf.DUMMYFUNCTION("""COMPUTED_VALUE"""),"https://docs.google.com/spreadsheets/d/1EI7qusa674eJhuaw-nWWtWMEHVSYMQv7HLsInEZTWpE/edit?gid=1198270379#gid=1198270379")</f>
        <v>https://docs.google.com/spreadsheets/d/1EI7qusa674eJhuaw-nWWtWMEHVSYMQv7HLsInEZTWpE/edit?gid=1198270379#gid=1198270379</v>
      </c>
      <c r="I1271" s="19" t="str">
        <f>IFERROR(__xludf.DUMMYFUNCTION("""COMPUTED_VALUE"""),"https://disk.yandex.ru/client/disk/Осмотры%20объектов%20АНО%20СМГ/1045.%20%20ДОУ%20150%20мест%20Holland%20park")</f>
        <v>https://disk.yandex.ru/client/disk/Осмотры%20объектов%20АНО%20СМГ/1045.%20%20ДОУ%20150%20мест%20Holland%20park</v>
      </c>
      <c r="J1271" s="50">
        <f>IFERROR(__xludf.DUMMYFUNCTION("""COMPUTED_VALUE"""),75.0273625)</f>
        <v>75.0273625</v>
      </c>
      <c r="K1271" s="58">
        <f>IFERROR(__xludf.DUMMYFUNCTION("""COMPUTED_VALUE"""),45701.0)</f>
        <v>45701</v>
      </c>
      <c r="L1271" s="6">
        <v>14.0</v>
      </c>
      <c r="M1271" s="52">
        <v>45715.0</v>
      </c>
      <c r="N1271" s="53" t="s">
        <v>668</v>
      </c>
      <c r="O1271" s="19" t="s">
        <v>669</v>
      </c>
      <c r="P1271" s="6"/>
      <c r="Q1271" s="6" t="str">
        <f t="shared" si="1"/>
        <v>#N/A</v>
      </c>
      <c r="R1271" s="6"/>
    </row>
    <row r="1272" hidden="1">
      <c r="A1272" s="31" t="str">
        <f>IFERROR(__xludf.DUMMYFUNCTION("""COMPUTED_VALUE"""),"1233")</f>
        <v>1233</v>
      </c>
      <c r="B1272" s="14" t="str">
        <f>IFERROR(__xludf.DUMMYFUNCTION("""COMPUTED_VALUE"""),"ВНЕ СПИСКА")</f>
        <v>ВНЕ СПИСКА</v>
      </c>
      <c r="C1272" s="14" t="str">
        <f>IFERROR(__xludf.DUMMYFUNCTION("""COMPUTED_VALUE"""),"ОКС")</f>
        <v>ОКС</v>
      </c>
      <c r="D1272" s="6" t="str">
        <f>IFERROR(__xludf.DUMMYFUNCTION("""COMPUTED_VALUE"""),"да")</f>
        <v>да</v>
      </c>
      <c r="E1272" s="14" t="str">
        <f>IFERROR(__xludf.DUMMYFUNCTION("""COMPUTED_VALUE"""),"Дошкольное образовательное учреждение №5 ДОУ на 300 мест ш. Волоколамское, з/у 71/13")</f>
        <v>Дошкольное образовательное учреждение №5 ДОУ на 300 мест ш. Волоколамское, з/у 71/13</v>
      </c>
      <c r="F1272" s="25" t="str">
        <f>IFERROR(__xludf.DUMMYFUNCTION("""COMPUTED_VALUE"""),"55.814642")</f>
        <v>55.814642</v>
      </c>
      <c r="G1272" s="6" t="str">
        <f>IFERROR(__xludf.DUMMYFUNCTION("""COMPUTED_VALUE"""),"37.426336")</f>
        <v>37.426336</v>
      </c>
      <c r="H1272" s="18" t="str">
        <f>IFERROR(__xludf.DUMMYFUNCTION("""COMPUTED_VALUE"""),"https://docs.google.com/spreadsheets/d/1EI7qusa674eJhuaw-nWWtWMEHVSYMQv7HLsInEZTWpE/edit?gid=58875188#gid=58875188")</f>
        <v>https://docs.google.com/spreadsheets/d/1EI7qusa674eJhuaw-nWWtWMEHVSYMQv7HLsInEZTWpE/edit?gid=58875188#gid=58875188</v>
      </c>
      <c r="I1272" s="19" t="str">
        <f>IFERROR(__xludf.DUMMYFUNCTION("""COMPUTED_VALUE"""),"https://disk.yandex.ru/client/disk/Осмотры%20объектов%20АНО%20СМГ/1233.%20ДОУ%20300%20мест%20Волоколамское%2071.13")</f>
        <v>https://disk.yandex.ru/client/disk/Осмотры%20объектов%20АНО%20СМГ/1233.%20ДОУ%20300%20мест%20Волоколамское%2071.13</v>
      </c>
      <c r="J1272" s="50">
        <f>IFERROR(__xludf.DUMMYFUNCTION("""COMPUTED_VALUE"""),94.47492500000001)</f>
        <v>94.474925</v>
      </c>
      <c r="K1272" s="58">
        <f>IFERROR(__xludf.DUMMYFUNCTION("""COMPUTED_VALUE"""),45959.0)</f>
        <v>45959</v>
      </c>
      <c r="L1272" s="6">
        <v>7.0</v>
      </c>
      <c r="M1272" s="52">
        <v>45966.0</v>
      </c>
      <c r="N1272" s="53" t="s">
        <v>668</v>
      </c>
      <c r="O1272" s="19" t="s">
        <v>669</v>
      </c>
      <c r="P1272" s="6"/>
      <c r="Q1272" s="6" t="str">
        <f t="shared" si="1"/>
        <v>#N/A</v>
      </c>
      <c r="R1272" s="6"/>
    </row>
    <row r="1273" hidden="1">
      <c r="A1273" s="31" t="str">
        <f>IFERROR(__xludf.DUMMYFUNCTION("""COMPUTED_VALUE"""),"1225")</f>
        <v>1225</v>
      </c>
      <c r="B1273" s="14" t="str">
        <f>IFERROR(__xludf.DUMMYFUNCTION("""COMPUTED_VALUE"""),"ВНЕ СПИСКА")</f>
        <v>ВНЕ СПИСКА</v>
      </c>
      <c r="C1273" s="14" t="str">
        <f>IFERROR(__xludf.DUMMYFUNCTION("""COMPUTED_VALUE"""),"ОКС")</f>
        <v>ОКС</v>
      </c>
      <c r="D1273" s="6" t="str">
        <f>IFERROR(__xludf.DUMMYFUNCTION("""COMPUTED_VALUE"""),"да")</f>
        <v>да</v>
      </c>
      <c r="E1273" s="14" t="str">
        <f>IFERROR(__xludf.DUMMYFUNCTION("""COMPUTED_VALUE"""),"Дошкольная образовательная организация на 250 мест с бассейном Кавказский бульвар, земельный участок 51/6 (51/4)")</f>
        <v>Дошкольная образовательная организация на 250 мест с бассейном Кавказский бульвар, земельный участок 51/6 (51/4)</v>
      </c>
      <c r="F1273" s="25" t="str">
        <f>IFERROR(__xludf.DUMMYFUNCTION("""COMPUTED_VALUE"""),"55.626099")</f>
        <v>55.626099</v>
      </c>
      <c r="G1273" s="6" t="str">
        <f>IFERROR(__xludf.DUMMYFUNCTION("""COMPUTED_VALUE"""),"37.640842")</f>
        <v>37.640842</v>
      </c>
      <c r="H1273" s="18" t="str">
        <f>IFERROR(__xludf.DUMMYFUNCTION("""COMPUTED_VALUE"""),"https://docs.google.com/spreadsheets/d/1EI7qusa674eJhuaw-nWWtWMEHVSYMQv7HLsInEZTWpE/edit?gid=1628808837#gid=1628808837")</f>
        <v>https://docs.google.com/spreadsheets/d/1EI7qusa674eJhuaw-nWWtWMEHVSYMQv7HLsInEZTWpE/edit?gid=1628808837#gid=1628808837</v>
      </c>
      <c r="I1273" s="19" t="str">
        <f>IFERROR(__xludf.DUMMYFUNCTION("""COMPUTED_VALUE"""),"https://disk.yandex.ru/client/disk/Осмотры%20объектов%20АНО%20СМГ/1225%20ДОУ_3%20Кавказский%20бульвар%2C%20д.%2051")</f>
        <v>https://disk.yandex.ru/client/disk/Осмотры%20объектов%20АНО%20СМГ/1225%20ДОУ_3%20Кавказский%20бульвар%2C%20д.%2051</v>
      </c>
      <c r="J1273" s="50">
        <f>IFERROR(__xludf.DUMMYFUNCTION("""COMPUTED_VALUE"""),90.61391250000001)</f>
        <v>90.6139125</v>
      </c>
      <c r="K1273" s="58">
        <f>IFERROR(__xludf.DUMMYFUNCTION("""COMPUTED_VALUE"""),45958.0)</f>
        <v>45958</v>
      </c>
      <c r="L1273" s="6">
        <v>14.0</v>
      </c>
      <c r="M1273" s="52">
        <v>45972.0</v>
      </c>
      <c r="N1273" s="53" t="s">
        <v>668</v>
      </c>
      <c r="O1273" s="19" t="s">
        <v>1314</v>
      </c>
      <c r="P1273" s="6"/>
      <c r="Q1273" s="6" t="str">
        <f t="shared" si="1"/>
        <v>#N/A</v>
      </c>
      <c r="R1273" s="6"/>
    </row>
    <row r="1274" hidden="1">
      <c r="A1274" s="31" t="str">
        <f>IFERROR(__xludf.DUMMYFUNCTION("""COMPUTED_VALUE"""),"1209")</f>
        <v>1209</v>
      </c>
      <c r="B1274" s="14" t="str">
        <f>IFERROR(__xludf.DUMMYFUNCTION("""COMPUTED_VALUE"""),"ВНЕ СПИСКА")</f>
        <v>ВНЕ СПИСКА</v>
      </c>
      <c r="C1274" s="14" t="str">
        <f>IFERROR(__xludf.DUMMYFUNCTION("""COMPUTED_VALUE"""),"ОКС")</f>
        <v>ОКС</v>
      </c>
      <c r="D1274" s="6" t="str">
        <f>IFERROR(__xludf.DUMMYFUNCTION("""COMPUTED_VALUE"""),"да")</f>
        <v>да</v>
      </c>
      <c r="E1274" s="14" t="str">
        <f>IFERROR(__xludf.DUMMYFUNCTION("""COMPUTED_VALUE"""),"Дошкольная образовательная организация на 350 мест, корпус 14 шоссе Очаковское, земельный участок 5А/16")</f>
        <v>Дошкольная образовательная организация на 350 мест, корпус 14 шоссе Очаковское, земельный участок 5А/16</v>
      </c>
      <c r="F1274" s="25" t="str">
        <f>IFERROR(__xludf.DUMMYFUNCTION("""COMPUTED_VALUE"""),"55.693155")</f>
        <v>55.693155</v>
      </c>
      <c r="G1274" s="6" t="str">
        <f>IFERROR(__xludf.DUMMYFUNCTION("""COMPUTED_VALUE"""),"37.458892")</f>
        <v>37.458892</v>
      </c>
      <c r="H1274" s="18" t="str">
        <f>IFERROR(__xludf.DUMMYFUNCTION("""COMPUTED_VALUE"""),"https://docs.google.com/spreadsheets/d/1EI7qusa674eJhuaw-nWWtWMEHVSYMQv7HLsInEZTWpE/edit?gid=900012262#gid=900012262")</f>
        <v>https://docs.google.com/spreadsheets/d/1EI7qusa674eJhuaw-nWWtWMEHVSYMQv7HLsInEZTWpE/edit?gid=900012262#gid=900012262</v>
      </c>
      <c r="I1274" s="19" t="str">
        <f>IFERROR(__xludf.DUMMYFUNCTION("""COMPUTED_VALUE"""),"https://disk.yandex.ru/client/disk/Осмотры%20объектов%20АНО%20СМГ/1209.%20ДОУ%20350%20Очаковское%20ш.")</f>
        <v>https://disk.yandex.ru/client/disk/Осмотры%20объектов%20АНО%20СМГ/1209.%20ДОУ%20350%20Очаковское%20ш.</v>
      </c>
      <c r="J1274" s="50">
        <f>IFERROR(__xludf.DUMMYFUNCTION("""COMPUTED_VALUE"""),99.4167)</f>
        <v>99.4167</v>
      </c>
      <c r="K1274" s="58">
        <f>IFERROR(__xludf.DUMMYFUNCTION("""COMPUTED_VALUE"""),45958.0)</f>
        <v>45958</v>
      </c>
      <c r="L1274" s="6">
        <v>7.0</v>
      </c>
      <c r="M1274" s="52">
        <v>45965.0</v>
      </c>
      <c r="N1274" s="53" t="s">
        <v>668</v>
      </c>
      <c r="O1274" s="19" t="s">
        <v>1315</v>
      </c>
      <c r="P1274" s="6"/>
      <c r="Q1274" s="6" t="str">
        <f t="shared" si="1"/>
        <v>#N/A</v>
      </c>
      <c r="R1274" s="6"/>
    </row>
    <row r="1275" hidden="1">
      <c r="A1275" s="31" t="str">
        <f>IFERROR(__xludf.DUMMYFUNCTION("""COMPUTED_VALUE"""),"065")</f>
        <v>065</v>
      </c>
      <c r="B1275" s="14" t="str">
        <f>IFERROR(__xludf.DUMMYFUNCTION("""COMPUTED_VALUE"""),"ВНЕ СПИСКА")</f>
        <v>ВНЕ СПИСКА</v>
      </c>
      <c r="C1275" s="14" t="str">
        <f>IFERROR(__xludf.DUMMYFUNCTION("""COMPUTED_VALUE"""),"ОКС")</f>
        <v>ОКС</v>
      </c>
      <c r="D1275" s="6" t="str">
        <f>IFERROR(__xludf.DUMMYFUNCTION("""COMPUTED_VALUE"""),"да")</f>
        <v>да</v>
      </c>
      <c r="E1275" s="14" t="str">
        <f>IFERROR(__xludf.DUMMYFUNCTION("""COMPUTED_VALUE"""),"Дошкольная образовательная организация на 300 мест, корпус 3.12 ул. Александры Монаховой, зу 87")</f>
        <v>Дошкольная образовательная организация на 300 мест, корпус 3.12 ул. Александры Монаховой, зу 87</v>
      </c>
      <c r="F1275" s="25" t="str">
        <f>IFERROR(__xludf.DUMMYFUNCTION("""COMPUTED_VALUE"""),"55.548500")</f>
        <v>55.548500</v>
      </c>
      <c r="G1275" s="6" t="str">
        <f>IFERROR(__xludf.DUMMYFUNCTION("""COMPUTED_VALUE"""),"37.489000")</f>
        <v>37.489000</v>
      </c>
      <c r="H1275" s="18" t="str">
        <f>IFERROR(__xludf.DUMMYFUNCTION("""COMPUTED_VALUE"""),"https://docs.google.com/spreadsheets/d/1EI7qusa674eJhuaw-nWWtWMEHVSYMQv7HLsInEZTWpE/edit?gid=701601389#gid=701601389")</f>
        <v>https://docs.google.com/spreadsheets/d/1EI7qusa674eJhuaw-nWWtWMEHVSYMQv7HLsInEZTWpE/edit?gid=701601389#gid=701601389</v>
      </c>
      <c r="I1275" s="19" t="str">
        <f>IFERROR(__xludf.DUMMYFUNCTION("""COMPUTED_VALUE"""),"https://disk.yandex.ru/client/disk/Осмотры%20объектов%20АНО%20СМГ/065.%20ДОУ%20на%20300%20мест.%20Сосенское%2C%20д.%20Столбово%2C%20ЖК%20%22Бунинские%20луга%22")</f>
        <v>https://disk.yandex.ru/client/disk/Осмотры%20объектов%20АНО%20СМГ/065.%20ДОУ%20на%20300%20мест.%20Сосенское%2C%20д.%20Столбово%2C%20ЖК%20%22Бунинские%20луга%22</v>
      </c>
      <c r="J1275" s="50">
        <f>IFERROR(__xludf.DUMMYFUNCTION("""COMPUTED_VALUE"""),99.99448)</f>
        <v>99.99448</v>
      </c>
      <c r="K1275" s="58">
        <f>IFERROR(__xludf.DUMMYFUNCTION("""COMPUTED_VALUE"""),45972.0)</f>
        <v>45972</v>
      </c>
      <c r="L1275" s="6">
        <v>7.0</v>
      </c>
      <c r="M1275" s="52">
        <v>45979.0</v>
      </c>
      <c r="N1275" s="53" t="s">
        <v>652</v>
      </c>
      <c r="O1275" s="19" t="s">
        <v>1316</v>
      </c>
      <c r="P1275" s="6"/>
      <c r="Q1275" s="6" t="str">
        <f t="shared" si="1"/>
        <v>#N/A</v>
      </c>
      <c r="R1275" s="6"/>
    </row>
    <row r="1276" hidden="1">
      <c r="A1276" s="31" t="str">
        <f>IFERROR(__xludf.DUMMYFUNCTION("""COMPUTED_VALUE"""),"1215")</f>
        <v>1215</v>
      </c>
      <c r="B1276" s="14" t="str">
        <f>IFERROR(__xludf.DUMMYFUNCTION("""COMPUTED_VALUE"""),"ВНЕ СПИСКА")</f>
        <v>ВНЕ СПИСКА</v>
      </c>
      <c r="C1276" s="14" t="str">
        <f>IFERROR(__xludf.DUMMYFUNCTION("""COMPUTED_VALUE"""),"ОКС")</f>
        <v>ОКС</v>
      </c>
      <c r="D1276" s="6" t="str">
        <f>IFERROR(__xludf.DUMMYFUNCTION("""COMPUTED_VALUE"""),"да")</f>
        <v>да</v>
      </c>
      <c r="E1276" s="14" t="str">
        <f>IFERROR(__xludf.DUMMYFUNCTION("""COMPUTED_VALUE"""),"Дошкольное образовательное учреждение на 250 мест с бассейном Крюково, промзона ЦИЭ, кор.13")</f>
        <v>Дошкольное образовательное учреждение на 250 мест с бассейном Крюково, промзона ЦИЭ, кор.13</v>
      </c>
      <c r="F1276" s="25" t="str">
        <f>IFERROR(__xludf.DUMMYFUNCTION("""COMPUTED_VALUE"""),"#N/A")</f>
        <v>#N/A</v>
      </c>
      <c r="G1276" s="6" t="str">
        <f>IFERROR(__xludf.DUMMYFUNCTION("""COMPUTED_VALUE"""),"#N/A")</f>
        <v>#N/A</v>
      </c>
      <c r="H1276" s="18" t="str">
        <f>IFERROR(__xludf.DUMMYFUNCTION("""COMPUTED_VALUE"""),"https://docs.google.com/spreadsheets/d/1EI7qusa674eJhuaw-nWWtWMEHVSYMQv7HLsInEZTWpE/edit?gid=565397007#gid=565397007")</f>
        <v>https://docs.google.com/spreadsheets/d/1EI7qusa674eJhuaw-nWWtWMEHVSYMQv7HLsInEZTWpE/edit?gid=565397007#gid=565397007</v>
      </c>
      <c r="I1276" s="19" t="str">
        <f>IFERROR(__xludf.DUMMYFUNCTION("""COMPUTED_VALUE"""),"https://disk.yandex.ru/client/disk/Осмотры%20объектов%20АНО%20СМГ/1215%20Крюково%20%20Дошкольное%20образовательное%20учреждение%20на%20250%20мест%20с%20бассейном")</f>
        <v>https://disk.yandex.ru/client/disk/Осмотры%20объектов%20АНО%20СМГ/1215%20Крюково%20%20Дошкольное%20образовательное%20учреждение%20на%20250%20мест%20с%20бассейном</v>
      </c>
      <c r="J1276" s="50">
        <f>IFERROR(__xludf.DUMMYFUNCTION("""COMPUTED_VALUE"""),100.0)</f>
        <v>100</v>
      </c>
      <c r="K1276" s="58">
        <f>IFERROR(__xludf.DUMMYFUNCTION("""COMPUTED_VALUE"""),45889.0)</f>
        <v>45889</v>
      </c>
      <c r="L1276" s="6" t="s">
        <v>654</v>
      </c>
      <c r="M1276" s="52" t="s">
        <v>655</v>
      </c>
      <c r="N1276" s="53" t="s">
        <v>656</v>
      </c>
      <c r="O1276" s="19" t="s">
        <v>1317</v>
      </c>
      <c r="P1276" s="6"/>
      <c r="Q1276" s="6" t="str">
        <f t="shared" si="1"/>
        <v>#N/A</v>
      </c>
      <c r="R1276" s="6"/>
    </row>
    <row r="1277" hidden="1">
      <c r="A1277" s="31" t="str">
        <f>IFERROR(__xludf.DUMMYFUNCTION("""COMPUTED_VALUE"""),"1232")</f>
        <v>1232</v>
      </c>
      <c r="B1277" s="14" t="str">
        <f>IFERROR(__xludf.DUMMYFUNCTION("""COMPUTED_VALUE"""),"ВНЕ СПИСКА")</f>
        <v>ВНЕ СПИСКА</v>
      </c>
      <c r="C1277" s="14" t="str">
        <f>IFERROR(__xludf.DUMMYFUNCTION("""COMPUTED_VALUE"""),"ОКС")</f>
        <v>ОКС</v>
      </c>
      <c r="D1277" s="6" t="str">
        <f>IFERROR(__xludf.DUMMYFUNCTION("""COMPUTED_VALUE"""),"да")</f>
        <v>да</v>
      </c>
      <c r="E1277" s="14" t="str">
        <f>IFERROR(__xludf.DUMMYFUNCTION("""COMPUTED_VALUE"""),"Дошкольная образовательная организация на 235 мест вблизи с.Рождествено, з.у. 77:08:0000000:3308")</f>
        <v>Дошкольная образовательная организация на 235 мест вблизи с.Рождествено, з.у. 77:08:0000000:3308</v>
      </c>
      <c r="F1277" s="25" t="str">
        <f>IFERROR(__xludf.DUMMYFUNCTION("""COMPUTED_VALUE"""),"55.864356")</f>
        <v>55.864356</v>
      </c>
      <c r="G1277" s="6" t="str">
        <f>IFERROR(__xludf.DUMMYFUNCTION("""COMPUTED_VALUE"""),"37.376649")</f>
        <v>37.376649</v>
      </c>
      <c r="H1277" s="18" t="str">
        <f>IFERROR(__xludf.DUMMYFUNCTION("""COMPUTED_VALUE"""),"https://docs.google.com/spreadsheets/d/1EI7qusa674eJhuaw-nWWtWMEHVSYMQv7HLsInEZTWpE/edit?gid=675585882#gid=675585882")</f>
        <v>https://docs.google.com/spreadsheets/d/1EI7qusa674eJhuaw-nWWtWMEHVSYMQv7HLsInEZTWpE/edit?gid=675585882#gid=675585882</v>
      </c>
      <c r="I1277" s="19" t="str">
        <f>IFERROR(__xludf.DUMMYFUNCTION("""COMPUTED_VALUE"""),"https://disk.yandex.ru/client/disk/Осмотры%20объектов%20АНО%20СМГ/1232%20р-н%20Митино%2C%20ул.%20Муравская%2C%2038%20В.%20ДОУ%20на%20235")</f>
        <v>https://disk.yandex.ru/client/disk/Осмотры%20объектов%20АНО%20СМГ/1232%20р-н%20Митино%2C%20ул.%20Муравская%2C%2038%20В.%20ДОУ%20на%20235</v>
      </c>
      <c r="J1277" s="50">
        <f>IFERROR(__xludf.DUMMYFUNCTION("""COMPUTED_VALUE"""),98.18005500000002)</f>
        <v>98.180055</v>
      </c>
      <c r="K1277" s="58">
        <f>IFERROR(__xludf.DUMMYFUNCTION("""COMPUTED_VALUE"""),45959.0)</f>
        <v>45959</v>
      </c>
      <c r="L1277" s="6">
        <v>7.0</v>
      </c>
      <c r="M1277" s="52">
        <v>45966.0</v>
      </c>
      <c r="N1277" s="53" t="s">
        <v>668</v>
      </c>
      <c r="O1277" s="19" t="s">
        <v>1318</v>
      </c>
      <c r="P1277" s="6"/>
      <c r="Q1277" s="6" t="str">
        <f t="shared" si="1"/>
        <v>#N/A</v>
      </c>
      <c r="R1277" s="6"/>
    </row>
    <row r="1278" hidden="1">
      <c r="A1278" s="31" t="str">
        <f>IFERROR(__xludf.DUMMYFUNCTION("""COMPUTED_VALUE"""),"050")</f>
        <v>050</v>
      </c>
      <c r="B1278" s="14" t="str">
        <f>IFERROR(__xludf.DUMMYFUNCTION("""COMPUTED_VALUE"""),"ВНЕ СПИСКА")</f>
        <v>ВНЕ СПИСКА</v>
      </c>
      <c r="C1278" s="14" t="str">
        <f>IFERROR(__xludf.DUMMYFUNCTION("""COMPUTED_VALUE"""),"ОКС")</f>
        <v>ОКС</v>
      </c>
      <c r="D1278" s="6" t="str">
        <f>IFERROR(__xludf.DUMMYFUNCTION("""COMPUTED_VALUE"""),"да")</f>
        <v>да</v>
      </c>
      <c r="E1278" s="14" t="str">
        <f>IFERROR(__xludf.DUMMYFUNCTION("""COMPUTED_VALUE"""),"Дошкольная образовательная организация на 350 мест район тепличного комбината № 1, третий микрорайон, квартал 1")</f>
        <v>Дошкольная образовательная организация на 350 мест район тепличного комбината № 1, третий микрорайон, квартал 1</v>
      </c>
      <c r="F1278" s="25" t="str">
        <f>IFERROR(__xludf.DUMMYFUNCTION("""COMPUTED_VALUE"""),"#N/A")</f>
        <v>#N/A</v>
      </c>
      <c r="G1278" s="6" t="str">
        <f>IFERROR(__xludf.DUMMYFUNCTION("""COMPUTED_VALUE"""),"#N/A")</f>
        <v>#N/A</v>
      </c>
      <c r="H1278" s="18" t="str">
        <f>IFERROR(__xludf.DUMMYFUNCTION("""COMPUTED_VALUE"""),"https://docs.google.com/spreadsheets/d/1EI7qusa674eJhuaw-nWWtWMEHVSYMQv7HLsInEZTWpE/edit?gid=1992128330#gid=1992128330")</f>
        <v>https://docs.google.com/spreadsheets/d/1EI7qusa674eJhuaw-nWWtWMEHVSYMQv7HLsInEZTWpE/edit?gid=1992128330#gid=1992128330</v>
      </c>
      <c r="I1278" s="19" t="str">
        <f>IFERROR(__xludf.DUMMYFUNCTION("""COMPUTED_VALUE"""),"https://disk.yandex.ru/client/disk/Осмотры%20объектов%20АНО%20СМГ/050.%20ДОУ%20на%20350%20мест%20ЖК%20«Первый%20Московский%20Город%20Парк»")</f>
        <v>https://disk.yandex.ru/client/disk/Осмотры%20объектов%20АНО%20СМГ/050.%20ДОУ%20на%20350%20мест%20ЖК%20«Первый%20Московский%20Город%20Парк»</v>
      </c>
      <c r="J1278" s="50">
        <f>IFERROR(__xludf.DUMMYFUNCTION("""COMPUTED_VALUE"""),100.0)</f>
        <v>100</v>
      </c>
      <c r="K1278" s="58">
        <f>IFERROR(__xludf.DUMMYFUNCTION("""COMPUTED_VALUE"""),45888.0)</f>
        <v>45888</v>
      </c>
      <c r="L1278" s="6" t="s">
        <v>654</v>
      </c>
      <c r="M1278" s="52" t="s">
        <v>655</v>
      </c>
      <c r="N1278" s="53" t="s">
        <v>656</v>
      </c>
      <c r="O1278" s="19" t="s">
        <v>1319</v>
      </c>
      <c r="P1278" s="6"/>
      <c r="Q1278" s="6" t="str">
        <f t="shared" si="1"/>
        <v>#N/A</v>
      </c>
      <c r="R1278" s="6"/>
    </row>
    <row r="1279" hidden="1">
      <c r="A1279" s="31" t="str">
        <f>IFERROR(__xludf.DUMMYFUNCTION("""COMPUTED_VALUE"""),"355.1")</f>
        <v>355.1</v>
      </c>
      <c r="B1279" s="14" t="str">
        <f>IFERROR(__xludf.DUMMYFUNCTION("""COMPUTED_VALUE"""),"ВНЕ СПИСКА")</f>
        <v>ВНЕ СПИСКА</v>
      </c>
      <c r="C1279" s="14" t="str">
        <f>IFERROR(__xludf.DUMMYFUNCTION("""COMPUTED_VALUE"""),"ОКС")</f>
        <v>ОКС</v>
      </c>
      <c r="D1279" s="6" t="str">
        <f>IFERROR(__xludf.DUMMYFUNCTION("""COMPUTED_VALUE"""),"да")</f>
        <v>да</v>
      </c>
      <c r="E1279" s="14" t="str">
        <f>IFERROR(__xludf.DUMMYFUNCTION("""COMPUTED_VALUE"""),"Дошкольная образовательная организацияна 350 мест корпус № 13 г. Москва, улица Производственная, вл. 6")</f>
        <v>Дошкольная образовательная организацияна 350 мест корпус № 13 г. Москва, улица Производственная, вл. 6</v>
      </c>
      <c r="F1279" s="25" t="str">
        <f>IFERROR(__xludf.DUMMYFUNCTION("""COMPUTED_VALUE"""),"#N/A")</f>
        <v>#N/A</v>
      </c>
      <c r="G1279" s="6" t="str">
        <f>IFERROR(__xludf.DUMMYFUNCTION("""COMPUTED_VALUE"""),"#N/A")</f>
        <v>#N/A</v>
      </c>
      <c r="H1279" s="18" t="str">
        <f>IFERROR(__xludf.DUMMYFUNCTION("""COMPUTED_VALUE"""),"https://docs.google.com/spreadsheets/d/1EI7qusa674eJhuaw-nWWtWMEHVSYMQv7HLsInEZTWpE/edit?gid=2131274545#gid=2131274545")</f>
        <v>https://docs.google.com/spreadsheets/d/1EI7qusa674eJhuaw-nWWtWMEHVSYMQv7HLsInEZTWpE/edit?gid=2131274545#gid=2131274545</v>
      </c>
      <c r="I1279" s="19" t="str">
        <f>IFERROR(__xludf.DUMMYFUNCTION("""COMPUTED_VALUE"""),"https://disk.yandex.ru/client/disk/Осмотры%20объектов%20АНО%20СМГ/355.1%20Осмотр%20ДОУ%20на%20300%20мест%20Производственная%20влд.6")</f>
        <v>https://disk.yandex.ru/client/disk/Осмотры%20объектов%20АНО%20СМГ/355.1%20Осмотр%20ДОУ%20на%20300%20мест%20Производственная%20влд.6</v>
      </c>
      <c r="J1279" s="50">
        <f>IFERROR(__xludf.DUMMYFUNCTION("""COMPUTED_VALUE"""),99.973)</f>
        <v>99.973</v>
      </c>
      <c r="K1279" s="58">
        <f>IFERROR(__xludf.DUMMYFUNCTION("""COMPUTED_VALUE"""),45888.0)</f>
        <v>45888</v>
      </c>
      <c r="L1279" s="6">
        <v>7.0</v>
      </c>
      <c r="M1279" s="52">
        <v>45895.0</v>
      </c>
      <c r="N1279" s="53" t="s">
        <v>652</v>
      </c>
      <c r="O1279" s="19" t="s">
        <v>1320</v>
      </c>
      <c r="P1279" s="6"/>
      <c r="Q1279" s="6" t="str">
        <f t="shared" si="1"/>
        <v>#N/A</v>
      </c>
      <c r="R1279" s="6"/>
    </row>
    <row r="1280" hidden="1">
      <c r="A1280" s="31" t="str">
        <f>IFERROR(__xludf.DUMMYFUNCTION("""COMPUTED_VALUE"""),"064")</f>
        <v>064</v>
      </c>
      <c r="B1280" s="14" t="str">
        <f>IFERROR(__xludf.DUMMYFUNCTION("""COMPUTED_VALUE"""),"ВНЕ СПИСКА")</f>
        <v>ВНЕ СПИСКА</v>
      </c>
      <c r="C1280" s="14" t="str">
        <f>IFERROR(__xludf.DUMMYFUNCTION("""COMPUTED_VALUE"""),"ОКС")</f>
        <v>ОКС</v>
      </c>
      <c r="D1280" s="6" t="str">
        <f>IFERROR(__xludf.DUMMYFUNCTION("""COMPUTED_VALUE"""),"да")</f>
        <v>да</v>
      </c>
      <c r="E1280" s="14" t="str">
        <f>IFERROR(__xludf.DUMMYFUNCTION("""COMPUTED_VALUE"""),"Дошкольная образовательная организация на 220 мест вблизи д. Николо-Хованское")</f>
        <v>Дошкольная образовательная организация на 220 мест вблизи д. Николо-Хованское</v>
      </c>
      <c r="F1280" s="25" t="str">
        <f>IFERROR(__xludf.DUMMYFUNCTION("""COMPUTED_VALUE"""),"#N/A")</f>
        <v>#N/A</v>
      </c>
      <c r="G1280" s="6" t="str">
        <f>IFERROR(__xludf.DUMMYFUNCTION("""COMPUTED_VALUE"""),"#N/A")</f>
        <v>#N/A</v>
      </c>
      <c r="H1280" s="18" t="str">
        <f>IFERROR(__xludf.DUMMYFUNCTION("""COMPUTED_VALUE"""),"https://docs.google.com/spreadsheets/d/1EI7qusa674eJhuaw-nWWtWMEHVSYMQv7HLsInEZTWpE/edit?gid=1726026331#gid=1726026331")</f>
        <v>https://docs.google.com/spreadsheets/d/1EI7qusa674eJhuaw-nWWtWMEHVSYMQv7HLsInEZTWpE/edit?gid=1726026331#gid=1726026331</v>
      </c>
      <c r="I1280" s="19" t="str">
        <f>IFERROR(__xludf.DUMMYFUNCTION("""COMPUTED_VALUE"""),"https://disk.yandex.ru/client/disk/Осмотры%20объектов%20АНО%20СМГ/064.%20ДОУ%20на%20220%20мест%20(Корп.%2064.1)%2C%20ЖК%20%22Саларьево%20парк%22%2C%20ул.%20Большое%20Понизовье%2C%20д.%206")</f>
        <v>https://disk.yandex.ru/client/disk/Осмотры%20объектов%20АНО%20СМГ/064.%20ДОУ%20на%20220%20мест%20(Корп.%2064.1)%2C%20ЖК%20%22Саларьево%20парк%22%2C%20ул.%20Большое%20Понизовье%2C%20д.%206</v>
      </c>
      <c r="J1280" s="50">
        <f>IFERROR(__xludf.DUMMYFUNCTION("""COMPUTED_VALUE"""),100.0)</f>
        <v>100</v>
      </c>
      <c r="K1280" s="58">
        <f>IFERROR(__xludf.DUMMYFUNCTION("""COMPUTED_VALUE"""),45889.0)</f>
        <v>45889</v>
      </c>
      <c r="L1280" s="6" t="s">
        <v>654</v>
      </c>
      <c r="M1280" s="52" t="s">
        <v>655</v>
      </c>
      <c r="N1280" s="53" t="s">
        <v>656</v>
      </c>
      <c r="O1280" s="19" t="s">
        <v>1321</v>
      </c>
      <c r="P1280" s="6"/>
      <c r="Q1280" s="6" t="str">
        <f t="shared" si="1"/>
        <v>#N/A</v>
      </c>
      <c r="R1280" s="6"/>
    </row>
    <row r="1281" hidden="1">
      <c r="A1281" s="31" t="str">
        <f>IFERROR(__xludf.DUMMYFUNCTION("""COMPUTED_VALUE"""),"067")</f>
        <v>067</v>
      </c>
      <c r="B1281" s="14" t="str">
        <f>IFERROR(__xludf.DUMMYFUNCTION("""COMPUTED_VALUE"""),"ВНЕ СПИСКА")</f>
        <v>ВНЕ СПИСКА</v>
      </c>
      <c r="C1281" s="14" t="str">
        <f>IFERROR(__xludf.DUMMYFUNCTION("""COMPUTED_VALUE"""),"ОКС")</f>
        <v>ОКС</v>
      </c>
      <c r="D1281" s="6" t="str">
        <f>IFERROR(__xludf.DUMMYFUNCTION("""COMPUTED_VALUE"""),"да")</f>
        <v>да</v>
      </c>
      <c r="E1281" s="14" t="str">
        <f>IFERROR(__xludf.DUMMYFUNCTION("""COMPUTED_VALUE"""),"Здание образовательной организации на 250 мест (ДО) Эдварда Грига, з/у 14б (проспект Куприна, з/у 3)")</f>
        <v>Здание образовательной организации на 250 мест (ДО) Эдварда Грига, з/у 14б (проспект Куприна, з/у 3)</v>
      </c>
      <c r="F1281" s="25" t="str">
        <f>IFERROR(__xludf.DUMMYFUNCTION("""COMPUTED_VALUE"""),"55.555759")</f>
        <v>55.555759</v>
      </c>
      <c r="G1281" s="6" t="str">
        <f>IFERROR(__xludf.DUMMYFUNCTION("""COMPUTED_VALUE"""),"37.498887")</f>
        <v>37.498887</v>
      </c>
      <c r="H1281" s="18" t="str">
        <f>IFERROR(__xludf.DUMMYFUNCTION("""COMPUTED_VALUE"""),"https://docs.google.com/spreadsheets/d/1EI7qusa674eJhuaw-nWWtWMEHVSYMQv7HLsInEZTWpE/edit?gid=1351279015#gid=1351279015")</f>
        <v>https://docs.google.com/spreadsheets/d/1EI7qusa674eJhuaw-nWWtWMEHVSYMQv7HLsInEZTWpE/edit?gid=1351279015#gid=1351279015</v>
      </c>
      <c r="I1281" s="19" t="str">
        <f>IFERROR(__xludf.DUMMYFUNCTION("""COMPUTED_VALUE"""),"https://disk.yandex.ru/client/disk/Осмотры%20объектов%20АНО%20СМГ/067.%20ДОУ%20на%20250%20мест%20НАО%2C%20п.%20Сосенское%2C%20ЖК%20«Скандинавия»")</f>
        <v>https://disk.yandex.ru/client/disk/Осмотры%20объектов%20АНО%20СМГ/067.%20ДОУ%20на%20250%20мест%20НАО%2C%20п.%20Сосенское%2C%20ЖК%20«Скандинавия»</v>
      </c>
      <c r="J1281" s="50">
        <f>IFERROR(__xludf.DUMMYFUNCTION("""COMPUTED_VALUE"""),99.0175)</f>
        <v>99.0175</v>
      </c>
      <c r="K1281" s="58">
        <f>IFERROR(__xludf.DUMMYFUNCTION("""COMPUTED_VALUE"""),45958.0)</f>
        <v>45958</v>
      </c>
      <c r="L1281" s="6">
        <v>7.0</v>
      </c>
      <c r="M1281" s="52">
        <v>45965.0</v>
      </c>
      <c r="N1281" s="53" t="s">
        <v>668</v>
      </c>
      <c r="O1281" s="19" t="s">
        <v>1322</v>
      </c>
      <c r="P1281" s="6"/>
      <c r="Q1281" s="6" t="str">
        <f t="shared" si="1"/>
        <v>#N/A</v>
      </c>
      <c r="R1281" s="6"/>
    </row>
    <row r="1282" hidden="1">
      <c r="A1282" s="31" t="str">
        <f>IFERROR(__xludf.DUMMYFUNCTION("""COMPUTED_VALUE"""),"882")</f>
        <v>882</v>
      </c>
      <c r="B1282" s="14" t="str">
        <f>IFERROR(__xludf.DUMMYFUNCTION("""COMPUTED_VALUE"""),"ВНЕ СПИСКА")</f>
        <v>ВНЕ СПИСКА</v>
      </c>
      <c r="C1282" s="14" t="str">
        <f>IFERROR(__xludf.DUMMYFUNCTION("""COMPUTED_VALUE"""),"ОКС")</f>
        <v>ОКС</v>
      </c>
      <c r="D1282" s="6" t="str">
        <f>IFERROR(__xludf.DUMMYFUNCTION("""COMPUTED_VALUE"""),"да")</f>
        <v>да</v>
      </c>
      <c r="E1282" s="14" t="str">
        <f>IFERROR(__xludf.DUMMYFUNCTION("""COMPUTED_VALUE"""),"Дошкольная образовательная организация на 350 мест Молжаниновская, земельный участок 7 (территория Коллективного сельскохозяйственного предприятия (КСХП ) Химки, уч. 49)")</f>
        <v>Дошкольная образовательная организация на 350 мест Молжаниновская, земельный участок 7 (территория Коллективного сельскохозяйственного предприятия (КСХП ) Химки, уч. 49)</v>
      </c>
      <c r="F1282" s="25" t="str">
        <f>IFERROR(__xludf.DUMMYFUNCTION("""COMPUTED_VALUE"""),"55.937494")</f>
        <v>55.937494</v>
      </c>
      <c r="G1282" s="6" t="str">
        <f>IFERROR(__xludf.DUMMYFUNCTION("""COMPUTED_VALUE"""),"37.364104")</f>
        <v>37.364104</v>
      </c>
      <c r="H1282" s="18" t="str">
        <f>IFERROR(__xludf.DUMMYFUNCTION("""COMPUTED_VALUE"""),"https://docs.google.com/spreadsheets/d/1EI7qusa674eJhuaw-nWWtWMEHVSYMQv7HLsInEZTWpE/edit?gid=1438023663#gid=1438023663")</f>
        <v>https://docs.google.com/spreadsheets/d/1EI7qusa674eJhuaw-nWWtWMEHVSYMQv7HLsInEZTWpE/edit?gid=1438023663#gid=1438023663</v>
      </c>
      <c r="I1282" s="19" t="str">
        <f>IFERROR(__xludf.DUMMYFUNCTION("""COMPUTED_VALUE"""),"https://disk.yandex.ru/client/disk/Осмотры%20объектов%20АНО%20СМГ/1165.%20зона%209.2%20пр-к%20Вернадского")</f>
        <v>https://disk.yandex.ru/client/disk/Осмотры%20объектов%20АНО%20СМГ/1165.%20зона%209.2%20пр-к%20Вернадского</v>
      </c>
      <c r="J1282" s="50">
        <f>IFERROR(__xludf.DUMMYFUNCTION("""COMPUTED_VALUE"""),88.1873375)</f>
        <v>88.1873375</v>
      </c>
      <c r="K1282" s="58">
        <f>IFERROR(__xludf.DUMMYFUNCTION("""COMPUTED_VALUE"""),45959.0)</f>
        <v>45959</v>
      </c>
      <c r="L1282" s="6">
        <v>14.0</v>
      </c>
      <c r="M1282" s="52">
        <v>45973.0</v>
      </c>
      <c r="N1282" s="53" t="s">
        <v>668</v>
      </c>
      <c r="O1282" s="19" t="s">
        <v>1322</v>
      </c>
      <c r="P1282" s="6"/>
      <c r="Q1282" s="6" t="str">
        <f t="shared" si="1"/>
        <v>#N/A</v>
      </c>
      <c r="R1282" s="6"/>
    </row>
    <row r="1283" hidden="1">
      <c r="A1283" s="31" t="str">
        <f>IFERROR(__xludf.DUMMYFUNCTION("""COMPUTED_VALUE"""),"1222")</f>
        <v>1222</v>
      </c>
      <c r="B1283" s="14" t="str">
        <f>IFERROR(__xludf.DUMMYFUNCTION("""COMPUTED_VALUE"""),"ВНЕ СПИСКА")</f>
        <v>ВНЕ СПИСКА</v>
      </c>
      <c r="C1283" s="14" t="str">
        <f>IFERROR(__xludf.DUMMYFUNCTION("""COMPUTED_VALUE"""),"ОКС")</f>
        <v>ОКС</v>
      </c>
      <c r="D1283" s="6" t="str">
        <f>IFERROR(__xludf.DUMMYFUNCTION("""COMPUTED_VALUE"""),"да")</f>
        <v>да</v>
      </c>
      <c r="E1283" s="14" t="str">
        <f>IFERROR(__xludf.DUMMYFUNCTION("""COMPUTED_VALUE"""),"дошкольная образовательная организация на 200 мест проезд Нагатинский 2-й, вл. 2/3")</f>
        <v>дошкольная образовательная организация на 200 мест проезд Нагатинский 2-й, вл. 2/3</v>
      </c>
      <c r="F1283" s="25" t="str">
        <f>IFERROR(__xludf.DUMMYFUNCTION("""COMPUTED_VALUE"""),"#N/A")</f>
        <v>#N/A</v>
      </c>
      <c r="G1283" s="6" t="str">
        <f>IFERROR(__xludf.DUMMYFUNCTION("""COMPUTED_VALUE"""),"#N/A")</f>
        <v>#N/A</v>
      </c>
      <c r="H1283" s="18" t="str">
        <f>IFERROR(__xludf.DUMMYFUNCTION("""COMPUTED_VALUE"""),"https://docs.google.com/spreadsheets/d/1EI7qusa674eJhuaw-nWWtWMEHVSYMQv7HLsInEZTWpE/edit?gid=1074412945#gid=1074412945")</f>
        <v>https://docs.google.com/spreadsheets/d/1EI7qusa674eJhuaw-nWWtWMEHVSYMQv7HLsInEZTWpE/edit?gid=1074412945#gid=1074412945</v>
      </c>
      <c r="I1283" s="19" t="str">
        <f>IFERROR(__xludf.DUMMYFUNCTION("""COMPUTED_VALUE"""),"https://disk.yandex.ru/client/disk/Осмотры%20объектов%20АНО%20СМГ/1222%20ДОО%20на%20200%20мест%20%202-й%20Нагатинский%20проезд%2C%202.3%20ЖК%20%22Второй%20Нагатинский%22")</f>
        <v>https://disk.yandex.ru/client/disk/Осмотры%20объектов%20АНО%20СМГ/1222%20ДОО%20на%20200%20мест%20%202-й%20Нагатинский%20проезд%2C%202.3%20ЖК%20%22Второй%20Нагатинский%22</v>
      </c>
      <c r="J1283" s="50">
        <f>IFERROR(__xludf.DUMMYFUNCTION("""COMPUTED_VALUE"""),99.91)</f>
        <v>99.91</v>
      </c>
      <c r="K1283" s="58">
        <f>IFERROR(__xludf.DUMMYFUNCTION("""COMPUTED_VALUE"""),45888.0)</f>
        <v>45888</v>
      </c>
      <c r="L1283" s="6">
        <v>7.0</v>
      </c>
      <c r="M1283" s="52">
        <v>45895.0</v>
      </c>
      <c r="N1283" s="53" t="s">
        <v>652</v>
      </c>
      <c r="O1283" s="19" t="s">
        <v>1323</v>
      </c>
      <c r="P1283" s="6"/>
      <c r="Q1283" s="6" t="str">
        <f t="shared" si="1"/>
        <v>#N/A</v>
      </c>
      <c r="R1283" s="6"/>
    </row>
    <row r="1284" hidden="1">
      <c r="A1284" s="31" t="str">
        <f>IFERROR(__xludf.DUMMYFUNCTION("""COMPUTED_VALUE"""),"1217")</f>
        <v>1217</v>
      </c>
      <c r="B1284" s="14" t="str">
        <f>IFERROR(__xludf.DUMMYFUNCTION("""COMPUTED_VALUE"""),"ВНЕ СПИСКА")</f>
        <v>ВНЕ СПИСКА</v>
      </c>
      <c r="C1284" s="14" t="str">
        <f>IFERROR(__xludf.DUMMYFUNCTION("""COMPUTED_VALUE"""),"ОКС")</f>
        <v>ОКС</v>
      </c>
      <c r="D1284" s="6" t="str">
        <f>IFERROR(__xludf.DUMMYFUNCTION("""COMPUTED_VALUE"""),"да")</f>
        <v>да</v>
      </c>
      <c r="E1284" s="14" t="str">
        <f>IFERROR(__xludf.DUMMYFUNCTION("""COMPUTED_VALUE"""),"ДОО на 275 мест шоссе Ленинградское, земельный участок 228/4")</f>
        <v>ДОО на 275 мест шоссе Ленинградское, земельный участок 228/4</v>
      </c>
      <c r="F1284" s="25" t="str">
        <f>IFERROR(__xludf.DUMMYFUNCTION("""COMPUTED_VALUE"""),"55.931699")</f>
        <v>55.931699</v>
      </c>
      <c r="G1284" s="6" t="str">
        <f>IFERROR(__xludf.DUMMYFUNCTION("""COMPUTED_VALUE"""),"37.383409")</f>
        <v>37.383409</v>
      </c>
      <c r="H1284" s="18" t="str">
        <f>IFERROR(__xludf.DUMMYFUNCTION("""COMPUTED_VALUE"""),"https://docs.google.com/spreadsheets/d/1EI7qusa674eJhuaw-nWWtWMEHVSYMQv7HLsInEZTWpE/edit?gid=2082838360#gid=2082838360")</f>
        <v>https://docs.google.com/spreadsheets/d/1EI7qusa674eJhuaw-nWWtWMEHVSYMQv7HLsInEZTWpE/edit?gid=2082838360#gid=2082838360</v>
      </c>
      <c r="I1284" s="19" t="str">
        <f>IFERROR(__xludf.DUMMYFUNCTION("""COMPUTED_VALUE"""),"https://disk.yandex.ru/client/disk/Осмотры%20объектов%20АНО%20СМГ/1217%20%20ДОУ%20275%20Ленинградский%20228")</f>
        <v>https://disk.yandex.ru/client/disk/Осмотры%20объектов%20АНО%20СМГ/1217%20%20ДОУ%20275%20Ленинградский%20228</v>
      </c>
      <c r="J1284" s="50">
        <f>IFERROR(__xludf.DUMMYFUNCTION("""COMPUTED_VALUE"""),99.39643999999998)</f>
        <v>99.39644</v>
      </c>
      <c r="K1284" s="58">
        <f>IFERROR(__xludf.DUMMYFUNCTION("""COMPUTED_VALUE"""),45959.0)</f>
        <v>45959</v>
      </c>
      <c r="L1284" s="6">
        <v>7.0</v>
      </c>
      <c r="M1284" s="52">
        <v>45966.0</v>
      </c>
      <c r="N1284" s="53" t="s">
        <v>668</v>
      </c>
      <c r="O1284" s="19" t="s">
        <v>1324</v>
      </c>
      <c r="P1284" s="6"/>
      <c r="Q1284" s="6" t="str">
        <f t="shared" si="1"/>
        <v>#N/A</v>
      </c>
      <c r="R1284" s="6"/>
    </row>
    <row r="1285" hidden="1">
      <c r="A1285" s="31" t="str">
        <f>IFERROR(__xludf.DUMMYFUNCTION("""COMPUTED_VALUE"""),"1224")</f>
        <v>1224</v>
      </c>
      <c r="B1285" s="14" t="str">
        <f>IFERROR(__xludf.DUMMYFUNCTION("""COMPUTED_VALUE"""),"ВНЕ СПИСКА")</f>
        <v>ВНЕ СПИСКА</v>
      </c>
      <c r="C1285" s="14" t="str">
        <f>IFERROR(__xludf.DUMMYFUNCTION("""COMPUTED_VALUE"""),"ОКС")</f>
        <v>ОКС</v>
      </c>
      <c r="D1285" s="6" t="str">
        <f>IFERROR(__xludf.DUMMYFUNCTION("""COMPUTED_VALUE"""),"да")</f>
        <v>да</v>
      </c>
      <c r="E1285" s="14" t="str">
        <f>IFERROR(__xludf.DUMMYFUNCTION("""COMPUTED_VALUE"""),"Дошкольная образовательная организация на 220 мест корпус 9 Полярная ул. вл. 25")</f>
        <v>Дошкольная образовательная организация на 220 мест корпус 9 Полярная ул. вл. 25</v>
      </c>
      <c r="F1285" s="25" t="str">
        <f>IFERROR(__xludf.DUMMYFUNCTION("""COMPUTED_VALUE"""),"55.881153")</f>
        <v>55.881153</v>
      </c>
      <c r="G1285" s="6" t="str">
        <f>IFERROR(__xludf.DUMMYFUNCTION("""COMPUTED_VALUE"""),"37.636433")</f>
        <v>37.636433</v>
      </c>
      <c r="H1285" s="18" t="str">
        <f>IFERROR(__xludf.DUMMYFUNCTION("""COMPUTED_VALUE"""),"https://docs.google.com/spreadsheets/d/1EI7qusa674eJhuaw-nWWtWMEHVSYMQv7HLsInEZTWpE/edit?gid=1482027373#gid=1482027373")</f>
        <v>https://docs.google.com/spreadsheets/d/1EI7qusa674eJhuaw-nWWtWMEHVSYMQv7HLsInEZTWpE/edit?gid=1482027373#gid=1482027373</v>
      </c>
      <c r="I1285" s="19" t="str">
        <f>IFERROR(__xludf.DUMMYFUNCTION("""COMPUTED_VALUE"""),"https://disk.yandex.ru/client/disk/Осмотры%20объектов%20АНО%20СМГ/1224%20ул.%20Полярная%2C%20зу%2025%20ДОУ%20%20220%20мест")</f>
        <v>https://disk.yandex.ru/client/disk/Осмотры%20объектов%20АНО%20СМГ/1224%20ул.%20Полярная%2C%20зу%2025%20ДОУ%20%20220%20мест</v>
      </c>
      <c r="J1285" s="50">
        <f>IFERROR(__xludf.DUMMYFUNCTION("""COMPUTED_VALUE"""),99.84450000000001)</f>
        <v>99.8445</v>
      </c>
      <c r="K1285" s="58">
        <f>IFERROR(__xludf.DUMMYFUNCTION("""COMPUTED_VALUE"""),45959.0)</f>
        <v>45959</v>
      </c>
      <c r="L1285" s="6">
        <v>7.0</v>
      </c>
      <c r="M1285" s="52">
        <v>45966.0</v>
      </c>
      <c r="N1285" s="53" t="s">
        <v>668</v>
      </c>
      <c r="O1285" s="19" t="s">
        <v>1325</v>
      </c>
      <c r="P1285" s="6"/>
      <c r="Q1285" s="6" t="str">
        <f t="shared" si="1"/>
        <v>#N/A</v>
      </c>
      <c r="R1285" s="6"/>
    </row>
    <row r="1286" hidden="1">
      <c r="A1286" s="31" t="str">
        <f>IFERROR(__xludf.DUMMYFUNCTION("""COMPUTED_VALUE"""),"1231")</f>
        <v>1231</v>
      </c>
      <c r="B1286" s="14" t="str">
        <f>IFERROR(__xludf.DUMMYFUNCTION("""COMPUTED_VALUE"""),"ВНЕ СПИСКА")</f>
        <v>ВНЕ СПИСКА</v>
      </c>
      <c r="C1286" s="14" t="str">
        <f>IFERROR(__xludf.DUMMYFUNCTION("""COMPUTED_VALUE"""),"ОКС")</f>
        <v>ОКС</v>
      </c>
      <c r="D1286" s="6" t="str">
        <f>IFERROR(__xludf.DUMMYFUNCTION("""COMPUTED_VALUE"""),"да")</f>
        <v>да</v>
      </c>
      <c r="E1286" s="14" t="str">
        <f>IFERROR(__xludf.DUMMYFUNCTION("""COMPUTED_VALUE"""),"
ДОУ на 200 мест Сельскохозяйственная, вл. 35")</f>
        <v>
ДОУ на 200 мест Сельскохозяйственная, вл. 35</v>
      </c>
      <c r="F1286" s="25" t="str">
        <f>IFERROR(__xludf.DUMMYFUNCTION("""COMPUTED_VALUE"""),"55.856863")</f>
        <v>55.856863</v>
      </c>
      <c r="G1286" s="6" t="str">
        <f>IFERROR(__xludf.DUMMYFUNCTION("""COMPUTED_VALUE"""),"37.623581")</f>
        <v>37.623581</v>
      </c>
      <c r="H1286" s="18" t="str">
        <f>IFERROR(__xludf.DUMMYFUNCTION("""COMPUTED_VALUE"""),"https://docs.google.com/spreadsheets/d/1EI7qusa674eJhuaw-nWWtWMEHVSYMQv7HLsInEZTWpE/edit?gid=373541859#gid=373541859")</f>
        <v>https://docs.google.com/spreadsheets/d/1EI7qusa674eJhuaw-nWWtWMEHVSYMQv7HLsInEZTWpE/edit?gid=373541859#gid=373541859</v>
      </c>
      <c r="I1286" s="19" t="str">
        <f>IFERROR(__xludf.DUMMYFUNCTION("""COMPUTED_VALUE"""),"https://disk.yandex.ru/client/disk/Осмотры%20объектов%20АНО%20СМГ/1231%20ДОУ%20на%20200%20мест%20ул.%20Сельскохозяйственная%2C%20вл%2035")</f>
        <v>https://disk.yandex.ru/client/disk/Осмотры%20объектов%20АНО%20СМГ/1231%20ДОУ%20на%20200%20мест%20ул.%20Сельскохозяйственная%2C%20вл%2035</v>
      </c>
      <c r="J1286" s="50">
        <f>IFERROR(__xludf.DUMMYFUNCTION("""COMPUTED_VALUE"""),70.0497225)</f>
        <v>70.0497225</v>
      </c>
      <c r="K1286" s="58">
        <f>IFERROR(__xludf.DUMMYFUNCTION("""COMPUTED_VALUE"""),45959.0)</f>
        <v>45959</v>
      </c>
      <c r="L1286" s="6">
        <v>14.0</v>
      </c>
      <c r="M1286" s="52">
        <v>45973.0</v>
      </c>
      <c r="N1286" s="53" t="s">
        <v>668</v>
      </c>
      <c r="O1286" s="19" t="s">
        <v>1326</v>
      </c>
      <c r="P1286" s="6"/>
      <c r="Q1286" s="6" t="str">
        <f t="shared" si="1"/>
        <v>#N/A</v>
      </c>
      <c r="R1286" s="6"/>
    </row>
    <row r="1287" hidden="1">
      <c r="A1287" s="31" t="str">
        <f>IFERROR(__xludf.DUMMYFUNCTION("""COMPUTED_VALUE"""),"1213")</f>
        <v>1213</v>
      </c>
      <c r="B1287" s="14" t="str">
        <f>IFERROR(__xludf.DUMMYFUNCTION("""COMPUTED_VALUE"""),"ВНЕ СПИСКА")</f>
        <v>ВНЕ СПИСКА</v>
      </c>
      <c r="C1287" s="14" t="str">
        <f>IFERROR(__xludf.DUMMYFUNCTION("""COMPUTED_VALUE"""),"ОКС")</f>
        <v>ОКС</v>
      </c>
      <c r="D1287" s="6" t="str">
        <f>IFERROR(__xludf.DUMMYFUNCTION("""COMPUTED_VALUE"""),"да")</f>
        <v>да</v>
      </c>
      <c r="E1287" s="14" t="str">
        <f>IFERROR(__xludf.DUMMYFUNCTION("""COMPUTED_VALUE"""),"Дошкольная образовательная организация на 250 мест Лобненская ул., вл. 13")</f>
        <v>Дошкольная образовательная организация на 250 мест Лобненская ул., вл. 13</v>
      </c>
      <c r="F1287" s="25" t="str">
        <f>IFERROR(__xludf.DUMMYFUNCTION("""COMPUTED_VALUE"""),"#N/A")</f>
        <v>#N/A</v>
      </c>
      <c r="G1287" s="6" t="str">
        <f>IFERROR(__xludf.DUMMYFUNCTION("""COMPUTED_VALUE"""),"#N/A")</f>
        <v>#N/A</v>
      </c>
      <c r="H1287" s="18" t="str">
        <f>IFERROR(__xludf.DUMMYFUNCTION("""COMPUTED_VALUE"""),"https://docs.google.com/spreadsheets/d/1EI7qusa674eJhuaw-nWWtWMEHVSYMQv7HLsInEZTWpE/edit?gid=1325521747#gid=1325521747")</f>
        <v>https://docs.google.com/spreadsheets/d/1EI7qusa674eJhuaw-nWWtWMEHVSYMQv7HLsInEZTWpE/edit?gid=1325521747#gid=1325521747</v>
      </c>
      <c r="I1287" s="19" t="str">
        <f>IFERROR(__xludf.DUMMYFUNCTION("""COMPUTED_VALUE"""),"https://disk.yandex.ru/client/disk/Осмотры%20объектов%20АНО%20СМГ/1213.%20Дошкольная%20образовательная%20организация%20на%20250%20мест%2C%20Лобненская%20ул.%2C%20вл.%2013")</f>
        <v>https://disk.yandex.ru/client/disk/Осмотры%20объектов%20АНО%20СМГ/1213.%20Дошкольная%20образовательная%20организация%20на%20250%20мест%2C%20Лобненская%20ул.%2C%20вл.%2013</v>
      </c>
      <c r="J1287" s="50">
        <f>IFERROR(__xludf.DUMMYFUNCTION("""COMPUTED_VALUE"""),99.38060000000002)</f>
        <v>99.3806</v>
      </c>
      <c r="K1287" s="58">
        <f>IFERROR(__xludf.DUMMYFUNCTION("""COMPUTED_VALUE"""),45889.0)</f>
        <v>45889</v>
      </c>
      <c r="L1287" s="6">
        <v>7.0</v>
      </c>
      <c r="M1287" s="52">
        <v>45896.0</v>
      </c>
      <c r="N1287" s="53" t="s">
        <v>668</v>
      </c>
      <c r="O1287" s="19" t="s">
        <v>1327</v>
      </c>
      <c r="P1287" s="6"/>
      <c r="Q1287" s="6" t="str">
        <f t="shared" si="1"/>
        <v>#N/A</v>
      </c>
      <c r="R1287" s="6"/>
    </row>
    <row r="1288" hidden="1">
      <c r="A1288" s="31" t="str">
        <f>IFERROR(__xludf.DUMMYFUNCTION("""COMPUTED_VALUE"""),"1219")</f>
        <v>1219</v>
      </c>
      <c r="B1288" s="14" t="str">
        <f>IFERROR(__xludf.DUMMYFUNCTION("""COMPUTED_VALUE"""),"ВНЕ СПИСКА")</f>
        <v>ВНЕ СПИСКА</v>
      </c>
      <c r="C1288" s="14" t="str">
        <f>IFERROR(__xludf.DUMMYFUNCTION("""COMPUTED_VALUE"""),"ОКС")</f>
        <v>ОКС</v>
      </c>
      <c r="D1288" s="6" t="str">
        <f>IFERROR(__xludf.DUMMYFUNCTION("""COMPUTED_VALUE"""),"да")</f>
        <v>да</v>
      </c>
      <c r="E1288" s="14" t="str">
        <f>IFERROR(__xludf.DUMMYFUNCTION("""COMPUTED_VALUE"""),"Дошкольная образовательная организацияна 300 мест (ДОО-4) переулок Любучанский, зу 2, п. Рязановское, с. Остафьево,  ЖК Остафьево")</f>
        <v>Дошкольная образовательная организацияна 300 мест (ДОО-4) переулок Любучанский, зу 2, п. Рязановское, с. Остафьево,  ЖК Остафьево</v>
      </c>
      <c r="F1288" s="25" t="str">
        <f>IFERROR(__xludf.DUMMYFUNCTION("""COMPUTED_VALUE"""),"55.500342")</f>
        <v>55.500342</v>
      </c>
      <c r="G1288" s="6" t="str">
        <f>IFERROR(__xludf.DUMMYFUNCTION("""COMPUTED_VALUE"""),"37.528419")</f>
        <v>37.528419</v>
      </c>
      <c r="H1288" s="18" t="str">
        <f>IFERROR(__xludf.DUMMYFUNCTION("""COMPUTED_VALUE"""),"https://docs.google.com/spreadsheets/d/1EI7qusa674eJhuaw-nWWtWMEHVSYMQv7HLsInEZTWpE/edit?gid=1256869366#gid=1256869366")</f>
        <v>https://docs.google.com/spreadsheets/d/1EI7qusa674eJhuaw-nWWtWMEHVSYMQv7HLsInEZTWpE/edit?gid=1256869366#gid=1256869366</v>
      </c>
      <c r="I1288" s="19" t="str">
        <f>IFERROR(__xludf.DUMMYFUNCTION("""COMPUTED_VALUE"""),"https://disk.yandex.ru/client/disk/Осмотры%20объектов%20АНО%20СМГ/1219.%20Дошкольная%20образовательная%20организацияна%20300%20мест%20(ДОО-4)%20переулок%20Любучанский%2C%20зу%202")</f>
        <v>https://disk.yandex.ru/client/disk/Осмотры%20объектов%20АНО%20СМГ/1219.%20Дошкольная%20образовательная%20организацияна%20300%20мест%20(ДОО-4)%20переулок%20Любучанский%2C%20зу%202</v>
      </c>
      <c r="J1288" s="50">
        <f>IFERROR(__xludf.DUMMYFUNCTION("""COMPUTED_VALUE"""),99.84400000000001)</f>
        <v>99.844</v>
      </c>
      <c r="K1288" s="58">
        <f>IFERROR(__xludf.DUMMYFUNCTION("""COMPUTED_VALUE"""),45958.0)</f>
        <v>45958</v>
      </c>
      <c r="L1288" s="6">
        <v>7.0</v>
      </c>
      <c r="M1288" s="52">
        <v>45965.0</v>
      </c>
      <c r="N1288" s="53" t="s">
        <v>668</v>
      </c>
      <c r="O1288" s="19" t="s">
        <v>1328</v>
      </c>
      <c r="P1288" s="6"/>
      <c r="Q1288" s="6" t="str">
        <f t="shared" si="1"/>
        <v>#N/A</v>
      </c>
      <c r="R1288" s="6"/>
    </row>
    <row r="1289" hidden="1">
      <c r="A1289" s="31" t="str">
        <f>IFERROR(__xludf.DUMMYFUNCTION("""COMPUTED_VALUE"""),"1226")</f>
        <v>1226</v>
      </c>
      <c r="B1289" s="14" t="str">
        <f>IFERROR(__xludf.DUMMYFUNCTION("""COMPUTED_VALUE"""),"ВНЕ СПИСКА")</f>
        <v>ВНЕ СПИСКА</v>
      </c>
      <c r="C1289" s="14" t="str">
        <f>IFERROR(__xludf.DUMMYFUNCTION("""COMPUTED_VALUE"""),"ОКС")</f>
        <v>ОКС</v>
      </c>
      <c r="D1289" s="6" t="str">
        <f>IFERROR(__xludf.DUMMYFUNCTION("""COMPUTED_VALUE"""),"да")</f>
        <v>да</v>
      </c>
      <c r="E1289" s="14" t="str">
        <f>IFERROR(__xludf.DUMMYFUNCTION("""COMPUTED_VALUE"""),"Дошкольная образовательная организация на 150 мест Газопровод ул. уч. 6Г/24")</f>
        <v>Дошкольная образовательная организация на 150 мест Газопровод ул. уч. 6Г/24</v>
      </c>
      <c r="F1289" s="25" t="str">
        <f>IFERROR(__xludf.DUMMYFUNCTION("""COMPUTED_VALUE"""),"55.585796")</f>
        <v>55.585796</v>
      </c>
      <c r="G1289" s="6" t="str">
        <f>IFERROR(__xludf.DUMMYFUNCTION("""COMPUTED_VALUE"""),"37.611891")</f>
        <v>37.611891</v>
      </c>
      <c r="H1289" s="18" t="str">
        <f>IFERROR(__xludf.DUMMYFUNCTION("""COMPUTED_VALUE"""),"https://docs.google.com/spreadsheets/d/1EI7qusa674eJhuaw-nWWtWMEHVSYMQv7HLsInEZTWpE/edit?gid=2022013037#gid=2022013037")</f>
        <v>https://docs.google.com/spreadsheets/d/1EI7qusa674eJhuaw-nWWtWMEHVSYMQv7HLsInEZTWpE/edit?gid=2022013037#gid=2022013037</v>
      </c>
      <c r="I1289" s="19" t="str">
        <f>IFERROR(__xludf.DUMMYFUNCTION("""COMPUTED_VALUE"""),"https://disk.yandex.ru/client/disk/Осмотры%20объектов%20АНО%20СМГ/1226%20“ДОУ_19“%20ул.%20Газопровод%20уч.%206%20Г.%2024")</f>
        <v>https://disk.yandex.ru/client/disk/Осмотры%20объектов%20АНО%20СМГ/1226%20“ДОУ_19“%20ул.%20Газопровод%20уч.%206%20Г.%2024</v>
      </c>
      <c r="J1289" s="50">
        <f>IFERROR(__xludf.DUMMYFUNCTION("""COMPUTED_VALUE"""),96.30022500000001)</f>
        <v>96.300225</v>
      </c>
      <c r="K1289" s="58">
        <f>IFERROR(__xludf.DUMMYFUNCTION("""COMPUTED_VALUE"""),45958.0)</f>
        <v>45958</v>
      </c>
      <c r="L1289" s="6">
        <v>7.0</v>
      </c>
      <c r="M1289" s="52">
        <v>45965.0</v>
      </c>
      <c r="N1289" s="53" t="s">
        <v>668</v>
      </c>
      <c r="O1289" s="19" t="s">
        <v>1324</v>
      </c>
      <c r="P1289" s="6"/>
      <c r="Q1289" s="6" t="str">
        <f t="shared" si="1"/>
        <v>#N/A</v>
      </c>
      <c r="R1289" s="6"/>
    </row>
    <row r="1290" hidden="1">
      <c r="A1290" s="31" t="str">
        <f>IFERROR(__xludf.DUMMYFUNCTION("""COMPUTED_VALUE"""),"1210")</f>
        <v>1210</v>
      </c>
      <c r="B1290" s="14" t="str">
        <f>IFERROR(__xludf.DUMMYFUNCTION("""COMPUTED_VALUE"""),"ВНЕ СПИСКА")</f>
        <v>ВНЕ СПИСКА</v>
      </c>
      <c r="C1290" s="14" t="str">
        <f>IFERROR(__xludf.DUMMYFUNCTION("""COMPUTED_VALUE"""),"ОКС")</f>
        <v>ОКС</v>
      </c>
      <c r="D1290" s="6" t="str">
        <f>IFERROR(__xludf.DUMMYFUNCTION("""COMPUTED_VALUE"""),"да")</f>
        <v>да</v>
      </c>
      <c r="E1290" s="14" t="str">
        <f>IFERROR(__xludf.DUMMYFUNCTION("""COMPUTED_VALUE"""),"ДОУ на 200 мест вблизи деревни Санино")</f>
        <v>ДОУ на 200 мест вблизи деревни Санино</v>
      </c>
      <c r="F1290" s="25" t="str">
        <f>IFERROR(__xludf.DUMMYFUNCTION("""COMPUTED_VALUE"""),"#N/A")</f>
        <v>#N/A</v>
      </c>
      <c r="G1290" s="6" t="str">
        <f>IFERROR(__xludf.DUMMYFUNCTION("""COMPUTED_VALUE"""),"#N/A")</f>
        <v>#N/A</v>
      </c>
      <c r="H1290" s="18" t="str">
        <f>IFERROR(__xludf.DUMMYFUNCTION("""COMPUTED_VALUE"""),"https://docs.google.com/spreadsheets/d/1EI7qusa674eJhuaw-nWWtWMEHVSYMQv7HLsInEZTWpE/edit?gid=118234582#gid=118234582")</f>
        <v>https://docs.google.com/spreadsheets/d/1EI7qusa674eJhuaw-nWWtWMEHVSYMQv7HLsInEZTWpE/edit?gid=118234582#gid=118234582</v>
      </c>
      <c r="I1290" s="19" t="str">
        <f>IFERROR(__xludf.DUMMYFUNCTION("""COMPUTED_VALUE"""),"https://disk.yandex.ru/client/disk/Осмотры%20объектов%20АНО%20СМГ/1210%20ДОУ%20на%20200%20мест%20НАО%20г.Москва%2C%20поселение%20Кокошкино%2C%20вблизи%20д.%20Санино%20ЖК%20Новое%20Внуково")</f>
        <v>https://disk.yandex.ru/client/disk/Осмотры%20объектов%20АНО%20СМГ/1210%20ДОУ%20на%20200%20мест%20НАО%20г.Москва%2C%20поселение%20Кокошкино%2C%20вблизи%20д.%20Санино%20ЖК%20Новое%20Внуково</v>
      </c>
      <c r="J1290" s="50">
        <f>IFERROR(__xludf.DUMMYFUNCTION("""COMPUTED_VALUE"""),0.0)</f>
        <v>0</v>
      </c>
      <c r="K1290" s="58">
        <f>IFERROR(__xludf.DUMMYFUNCTION("""COMPUTED_VALUE"""),45819.0)</f>
        <v>45819</v>
      </c>
      <c r="L1290" s="6">
        <v>30.0</v>
      </c>
      <c r="M1290" s="52">
        <v>45849.0</v>
      </c>
      <c r="N1290" s="53" t="s">
        <v>668</v>
      </c>
      <c r="O1290" s="19" t="s">
        <v>669</v>
      </c>
      <c r="P1290" s="6"/>
      <c r="Q1290" s="6" t="str">
        <f t="shared" si="1"/>
        <v>#N/A</v>
      </c>
      <c r="R1290" s="6"/>
    </row>
    <row r="1291" hidden="1">
      <c r="A1291" s="31" t="str">
        <f>IFERROR(__xludf.DUMMYFUNCTION("""COMPUTED_VALUE"""),"1218")</f>
        <v>1218</v>
      </c>
      <c r="B1291" s="14" t="str">
        <f>IFERROR(__xludf.DUMMYFUNCTION("""COMPUTED_VALUE"""),"ВНЕ СПИСКА")</f>
        <v>ВНЕ СПИСКА</v>
      </c>
      <c r="C1291" s="14" t="str">
        <f>IFERROR(__xludf.DUMMYFUNCTION("""COMPUTED_VALUE"""),"ОКС")</f>
        <v>ОКС</v>
      </c>
      <c r="D1291" s="6" t="str">
        <f>IFERROR(__xludf.DUMMYFUNCTION("""COMPUTED_VALUE"""),"да")</f>
        <v>да</v>
      </c>
      <c r="E1291" s="14" t="str">
        <f>IFERROR(__xludf.DUMMYFUNCTION("""COMPUTED_VALUE"""),"Здание образовательной организации (дошкольноеобразование) на 150 мест, корпус 16 Варшавское шоссе, 1-й планировочный комплекс промзоны""Бутово""")</f>
        <v>Здание образовательной организации (дошкольноеобразование) на 150 мест, корпус 16 Варшавское шоссе, 1-й планировочный комплекс промзоны"Бутово"</v>
      </c>
      <c r="F1291" s="25" t="str">
        <f>IFERROR(__xludf.DUMMYFUNCTION("""COMPUTED_VALUE"""),"#N/A")</f>
        <v>#N/A</v>
      </c>
      <c r="G1291" s="6" t="str">
        <f>IFERROR(__xludf.DUMMYFUNCTION("""COMPUTED_VALUE"""),"#N/A")</f>
        <v>#N/A</v>
      </c>
      <c r="H1291" s="18" t="str">
        <f>IFERROR(__xludf.DUMMYFUNCTION("""COMPUTED_VALUE"""),"https://docs.google.com/spreadsheets/d/1EI7qusa674eJhuaw-nWWtWMEHVSYMQv7HLsInEZTWpE/edit?gid=428989507#gid=428989507")</f>
        <v>https://docs.google.com/spreadsheets/d/1EI7qusa674eJhuaw-nWWtWMEHVSYMQv7HLsInEZTWpE/edit?gid=428989507#gid=428989507</v>
      </c>
      <c r="I1291" s="19" t="str">
        <f>IFERROR(__xludf.DUMMYFUNCTION("""COMPUTED_VALUE"""),"https://disk.yandex.ru/client/disk/Осмотры%20объектов%20АНО%20СМГ/1218.%20Здание%20образовательной%20организации%20(дошкольноеобразование)%20на%20150%20мест%2C%20корпус%2016Варшавское%20шоссе%2C%201-й%20планировочный%20комплекс%20промзоны%22Бутово%22")</f>
        <v>https://disk.yandex.ru/client/disk/Осмотры%20объектов%20АНО%20СМГ/1218.%20Здание%20образовательной%20организации%20(дошкольноеобразование)%20на%20150%20мест%2C%20корпус%2016Варшавское%20шоссе%2C%201-й%20планировочный%20комплекс%20промзоны%22Бутово%22</v>
      </c>
      <c r="J1291" s="50">
        <f>IFERROR(__xludf.DUMMYFUNCTION("""COMPUTED_VALUE"""),100.0)</f>
        <v>100</v>
      </c>
      <c r="K1291" s="58">
        <f>IFERROR(__xludf.DUMMYFUNCTION("""COMPUTED_VALUE"""),45888.0)</f>
        <v>45888</v>
      </c>
      <c r="L1291" s="6" t="s">
        <v>654</v>
      </c>
      <c r="M1291" s="52" t="s">
        <v>655</v>
      </c>
      <c r="N1291" s="53" t="s">
        <v>656</v>
      </c>
      <c r="O1291" s="19" t="s">
        <v>1329</v>
      </c>
      <c r="P1291" s="6"/>
      <c r="Q1291" s="6" t="str">
        <f t="shared" si="1"/>
        <v>#N/A</v>
      </c>
      <c r="R1291" s="6"/>
    </row>
    <row r="1292" hidden="1">
      <c r="A1292" s="31" t="str">
        <f>IFERROR(__xludf.DUMMYFUNCTION("""COMPUTED_VALUE"""),"055")</f>
        <v>055</v>
      </c>
      <c r="B1292" s="14" t="str">
        <f>IFERROR(__xludf.DUMMYFUNCTION("""COMPUTED_VALUE"""),"ВНЕ СПИСКА")</f>
        <v>ВНЕ СПИСКА</v>
      </c>
      <c r="C1292" s="14" t="str">
        <f>IFERROR(__xludf.DUMMYFUNCTION("""COMPUTED_VALUE"""),"ОКС")</f>
        <v>ОКС</v>
      </c>
      <c r="D1292" s="6" t="str">
        <f>IFERROR(__xludf.DUMMYFUNCTION("""COMPUTED_VALUE"""),"да")</f>
        <v>да</v>
      </c>
      <c r="E1292" s="14" t="str">
        <f>IFERROR(__xludf.DUMMYFUNCTION("""COMPUTED_VALUE"""),"Комплексная жилая застройка с объектами инфраструктуры. Первая очередь строительства: Дошкольная образовательная организация на 200 мест Поселение Рязановское, д. Алхимово")</f>
        <v>Комплексная жилая застройка с объектами инфраструктуры. Первая очередь строительства: Дошкольная образовательная организация на 200 мест Поселение Рязановское, д. Алхимово</v>
      </c>
      <c r="F1292" s="25" t="str">
        <f>IFERROR(__xludf.DUMMYFUNCTION("""COMPUTED_VALUE"""),"55.475259")</f>
        <v>55.475259</v>
      </c>
      <c r="G1292" s="6" t="str">
        <f>IFERROR(__xludf.DUMMYFUNCTION("""COMPUTED_VALUE"""),"37.519318")</f>
        <v>37.519318</v>
      </c>
      <c r="H1292" s="18" t="str">
        <f>IFERROR(__xludf.DUMMYFUNCTION("""COMPUTED_VALUE"""),"https://docs.google.com/spreadsheets/d/1EI7qusa674eJhuaw-nWWtWMEHVSYMQv7HLsInEZTWpE/edit?gid=388114595#gid=388114595")</f>
        <v>https://docs.google.com/spreadsheets/d/1EI7qusa674eJhuaw-nWWtWMEHVSYMQv7HLsInEZTWpE/edit?gid=388114595#gid=388114595</v>
      </c>
      <c r="I1292" s="19" t="str">
        <f>IFERROR(__xludf.DUMMYFUNCTION("""COMPUTED_VALUE"""),"https://disk.yandex.ru/client/disk/Осмотры%20объектов%20АНО%20СМГ/055.%20ДОУ%20200%2C%20ЖК%20Подольские%20Кварталы")</f>
        <v>https://disk.yandex.ru/client/disk/Осмотры%20объектов%20АНО%20СМГ/055.%20ДОУ%20200%2C%20ЖК%20Подольские%20Кварталы</v>
      </c>
      <c r="J1292" s="50">
        <f>IFERROR(__xludf.DUMMYFUNCTION("""COMPUTED_VALUE"""),71.17974999999998)</f>
        <v>71.17975</v>
      </c>
      <c r="K1292" s="58">
        <f>IFERROR(__xludf.DUMMYFUNCTION("""COMPUTED_VALUE"""),45958.0)</f>
        <v>45958</v>
      </c>
      <c r="L1292" s="6">
        <v>14.0</v>
      </c>
      <c r="M1292" s="52">
        <v>45972.0</v>
      </c>
      <c r="N1292" s="53" t="s">
        <v>668</v>
      </c>
      <c r="O1292" s="19" t="s">
        <v>669</v>
      </c>
      <c r="P1292" s="6"/>
      <c r="Q1292" s="6" t="str">
        <f t="shared" si="1"/>
        <v>#N/A</v>
      </c>
      <c r="R1292" s="6"/>
    </row>
    <row r="1293" hidden="1">
      <c r="A1293" s="31" t="str">
        <f>IFERROR(__xludf.DUMMYFUNCTION("""COMPUTED_VALUE"""),"1206")</f>
        <v>1206</v>
      </c>
      <c r="B1293" s="14" t="str">
        <f>IFERROR(__xludf.DUMMYFUNCTION("""COMPUTED_VALUE"""),"ВНЕ СПИСКА")</f>
        <v>ВНЕ СПИСКА</v>
      </c>
      <c r="C1293" s="14" t="str">
        <f>IFERROR(__xludf.DUMMYFUNCTION("""COMPUTED_VALUE"""),"ОКС")</f>
        <v>ОКС</v>
      </c>
      <c r="D1293" s="6" t="str">
        <f>IFERROR(__xludf.DUMMYFUNCTION("""COMPUTED_VALUE"""),"да")</f>
        <v>да</v>
      </c>
      <c r="E1293" s="14" t="str">
        <f>IFERROR(__xludf.DUMMYFUNCTION("""COMPUTED_VALUE"""),"Дошкольная образовательная организация на 150 мест Коровинское шоссе, вл. 35, Ижорская ул., д.6, стр.5")</f>
        <v>Дошкольная образовательная организация на 150 мест Коровинское шоссе, вл. 35, Ижорская ул., д.6, стр.5</v>
      </c>
      <c r="F1293" s="25" t="str">
        <f>IFERROR(__xludf.DUMMYFUNCTION("""COMPUTED_VALUE"""),"#N/A")</f>
        <v>#N/A</v>
      </c>
      <c r="G1293" s="6" t="str">
        <f>IFERROR(__xludf.DUMMYFUNCTION("""COMPUTED_VALUE"""),"#N/A")</f>
        <v>#N/A</v>
      </c>
      <c r="H1293" s="18" t="str">
        <f>IFERROR(__xludf.DUMMYFUNCTION("""COMPUTED_VALUE"""),"https://docs.google.com/spreadsheets/d/1EI7qusa674eJhuaw-nWWtWMEHVSYMQv7HLsInEZTWpE/edit?gid=32220211#gid=32220211")</f>
        <v>https://docs.google.com/spreadsheets/d/1EI7qusa674eJhuaw-nWWtWMEHVSYMQv7HLsInEZTWpE/edit?gid=32220211#gid=32220211</v>
      </c>
      <c r="I1293" s="21" t="str">
        <f>IFERROR(__xludf.DUMMYFUNCTION("""COMPUTED_VALUE"""),"https://disk.yandex.ru/client/disk/%D0%9E%D1%81%D0%BC%D0%BE%D1%82%D1%80%D1%8B%20%D0%BE%D0%B1%D1%8A%D0%B5%D0%BA%D1%82%D0%BE%D0%B2%20%D0%90%D0%9D%D0%9E%20%D0%A1%D0%9C%D0%93/1207%20%D0%94%D0%9E%D0%A3%20150%20%D0%9A%D0%BE%D1%80%D0%BE%D0%B2%D0%B8%D0%BD%D1%81%D"&amp;"0%BA%D0%BE%D0%B5%20%D1%88%D0%BE%D1%81%D1%81%D0%B5")</f>
        <v>https://disk.yandex.ru/client/disk/%D0%9E%D1%81%D0%BC%D0%BE%D1%82%D1%80%D1%8B%20%D0%BE%D0%B1%D1%8A%D0%B5%D0%BA%D1%82%D0%BE%D0%B2%20%D0%90%D0%9D%D0%9E%20%D0%A1%D0%9C%D0%93/1207%20%D0%94%D0%9E%D0%A3%20150%20%D0%9A%D0%BE%D1%80%D0%BE%D0%B2%D0%B8%D0%BD%D1%81%D0%BA%D0%BE%D0%B5%20%D1%88%D0%BE%D1%81%D1%81%D0%B5</v>
      </c>
      <c r="J1293" s="50">
        <f>IFERROR(__xludf.DUMMYFUNCTION("""COMPUTED_VALUE"""),98.50750000000001)</f>
        <v>98.5075</v>
      </c>
      <c r="K1293" s="58">
        <f>IFERROR(__xludf.DUMMYFUNCTION("""COMPUTED_VALUE"""),45889.0)</f>
        <v>45889</v>
      </c>
      <c r="L1293" s="6">
        <v>7.0</v>
      </c>
      <c r="M1293" s="52">
        <v>45896.0</v>
      </c>
      <c r="N1293" s="53" t="s">
        <v>652</v>
      </c>
      <c r="O1293" s="19" t="s">
        <v>1330</v>
      </c>
      <c r="P1293" s="6"/>
      <c r="Q1293" s="6" t="str">
        <f t="shared" si="1"/>
        <v>#N/A</v>
      </c>
      <c r="R1293" s="6"/>
    </row>
    <row r="1294" hidden="1">
      <c r="A1294" s="31" t="str">
        <f>IFERROR(__xludf.DUMMYFUNCTION("""COMPUTED_VALUE"""),"1207")</f>
        <v>1207</v>
      </c>
      <c r="B1294" s="14" t="str">
        <f>IFERROR(__xludf.DUMMYFUNCTION("""COMPUTED_VALUE"""),"ВНЕ СПИСКА")</f>
        <v>ВНЕ СПИСКА</v>
      </c>
      <c r="C1294" s="14" t="str">
        <f>IFERROR(__xludf.DUMMYFUNCTION("""COMPUTED_VALUE"""),"ОКС")</f>
        <v>ОКС</v>
      </c>
      <c r="D1294" s="6" t="str">
        <f>IFERROR(__xludf.DUMMYFUNCTION("""COMPUTED_VALUE"""),"да")</f>
        <v>да</v>
      </c>
      <c r="E1294" s="14" t="str">
        <f>IFERROR(__xludf.DUMMYFUNCTION("""COMPUTED_VALUE"""),"Дошкольная образовательная организация на 150 мест зу 77:09:0002016:7576 (ул. Ижорская, вл. 6 и 8)")</f>
        <v>Дошкольная образовательная организация на 150 мест зу 77:09:0002016:7576 (ул. Ижорская, вл. 6 и 8)</v>
      </c>
      <c r="F1294" s="25" t="str">
        <f>IFERROR(__xludf.DUMMYFUNCTION("""COMPUTED_VALUE"""),"55.879546")</f>
        <v>55.879546</v>
      </c>
      <c r="G1294" s="6" t="str">
        <f>IFERROR(__xludf.DUMMYFUNCTION("""COMPUTED_VALUE"""),"37.505808")</f>
        <v>37.505808</v>
      </c>
      <c r="H1294" s="18" t="str">
        <f>IFERROR(__xludf.DUMMYFUNCTION("""COMPUTED_VALUE"""),"https://docs.google.com/spreadsheets/d/1EI7qusa674eJhuaw-nWWtWMEHVSYMQv7HLsInEZTWpE/edit?gid=1542653489#gid=1542653489")</f>
        <v>https://docs.google.com/spreadsheets/d/1EI7qusa674eJhuaw-nWWtWMEHVSYMQv7HLsInEZTWpE/edit?gid=1542653489#gid=1542653489</v>
      </c>
      <c r="I1294" s="19"/>
      <c r="J1294" s="50"/>
      <c r="K1294" s="58">
        <f>IFERROR(__xludf.DUMMYFUNCTION("""COMPUTED_VALUE"""),45958.0)</f>
        <v>45958</v>
      </c>
      <c r="L1294" s="6">
        <v>30.0</v>
      </c>
      <c r="M1294" s="52">
        <v>45988.0</v>
      </c>
      <c r="N1294" s="53" t="s">
        <v>741</v>
      </c>
      <c r="O1294" s="19" t="s">
        <v>669</v>
      </c>
      <c r="P1294" s="6"/>
      <c r="Q1294" s="6" t="str">
        <f t="shared" si="1"/>
        <v>#N/A</v>
      </c>
      <c r="R1294" s="6"/>
    </row>
    <row r="1295" hidden="1">
      <c r="A1295" s="31" t="str">
        <f>IFERROR(__xludf.DUMMYFUNCTION("""COMPUTED_VALUE"""),"1223")</f>
        <v>1223</v>
      </c>
      <c r="B1295" s="14" t="str">
        <f>IFERROR(__xludf.DUMMYFUNCTION("""COMPUTED_VALUE"""),"ВНЕ СПИСКА")</f>
        <v>ВНЕ СПИСКА</v>
      </c>
      <c r="C1295" s="14" t="str">
        <f>IFERROR(__xludf.DUMMYFUNCTION("""COMPUTED_VALUE"""),"ОКС")</f>
        <v>ОКС</v>
      </c>
      <c r="D1295" s="6" t="str">
        <f>IFERROR(__xludf.DUMMYFUNCTION("""COMPUTED_VALUE"""),"да")</f>
        <v>да</v>
      </c>
      <c r="E1295" s="14" t="str">
        <f>IFERROR(__xludf.DUMMYFUNCTION("""COMPUTED_VALUE"""),"ДОО на 150 мест, корпус 8 ул. Михайлова, з/у 30А/1")</f>
        <v>ДОО на 150 мест, корпус 8 ул. Михайлова, з/у 30А/1</v>
      </c>
      <c r="F1295" s="25" t="str">
        <f>IFERROR(__xludf.DUMMYFUNCTION("""COMPUTED_VALUE"""),"#N/A")</f>
        <v>#N/A</v>
      </c>
      <c r="G1295" s="6" t="str">
        <f>IFERROR(__xludf.DUMMYFUNCTION("""COMPUTED_VALUE"""),"#N/A")</f>
        <v>#N/A</v>
      </c>
      <c r="H1295" s="18" t="str">
        <f>IFERROR(__xludf.DUMMYFUNCTION("""COMPUTED_VALUE"""),"https://docs.google.com/spreadsheets/d/1EI7qusa674eJhuaw-nWWtWMEHVSYMQv7HLsInEZTWpE/edit?gid=1756552387#gid=1756552387")</f>
        <v>https://docs.google.com/spreadsheets/d/1EI7qusa674eJhuaw-nWWtWMEHVSYMQv7HLsInEZTWpE/edit?gid=1756552387#gid=1756552387</v>
      </c>
      <c r="I1295" s="19" t="str">
        <f>IFERROR(__xludf.DUMMYFUNCTION("""COMPUTED_VALUE"""),"https://disk.yandex.ru/client/disk/Осмотры%20объектов%20АНО%20СМГ/1223%20ДОО%20на%20150%20мест%2C%20корпус%208%20ул.%20Михайлова%2C%20зу%2030А1%20ЖК%20%22Михайловский%20парк%22")</f>
        <v>https://disk.yandex.ru/client/disk/Осмотры%20объектов%20АНО%20СМГ/1223%20ДОО%20на%20150%20мест%2C%20корпус%208%20ул.%20Михайлова%2C%20зу%2030А1%20ЖК%20%22Михайловский%20парк%22</v>
      </c>
      <c r="J1295" s="50">
        <f>IFERROR(__xludf.DUMMYFUNCTION("""COMPUTED_VALUE"""),0.0)</f>
        <v>0</v>
      </c>
      <c r="K1295" s="58"/>
      <c r="L1295" s="6">
        <v>30.0</v>
      </c>
      <c r="M1295" s="52" t="s">
        <v>655</v>
      </c>
      <c r="N1295" s="53" t="s">
        <v>652</v>
      </c>
      <c r="O1295" s="19" t="s">
        <v>1331</v>
      </c>
      <c r="P1295" s="6"/>
      <c r="Q1295" s="6" t="str">
        <f t="shared" si="1"/>
        <v>#N/A</v>
      </c>
      <c r="R1295" s="6"/>
    </row>
    <row r="1296" hidden="1">
      <c r="A1296" s="31" t="str">
        <f>IFERROR(__xludf.DUMMYFUNCTION("""COMPUTED_VALUE"""),"1211")</f>
        <v>1211</v>
      </c>
      <c r="B1296" s="14" t="str">
        <f>IFERROR(__xludf.DUMMYFUNCTION("""COMPUTED_VALUE"""),"ВНЕ СПИСКА")</f>
        <v>ВНЕ СПИСКА</v>
      </c>
      <c r="C1296" s="14" t="str">
        <f>IFERROR(__xludf.DUMMYFUNCTION("""COMPUTED_VALUE"""),"ОКС")</f>
        <v>ОКС</v>
      </c>
      <c r="D1296" s="6" t="str">
        <f>IFERROR(__xludf.DUMMYFUNCTION("""COMPUTED_VALUE"""),"да")</f>
        <v>да</v>
      </c>
      <c r="E1296" s="14" t="str">
        <f>IFERROR(__xludf.DUMMYFUNCTION("""COMPUTED_VALUE"""),"Здание образовательной организации (дошкольное образование) на 150 мест ул. Озерная, вл. 42")</f>
        <v>Здание образовательной организации (дошкольное образование) на 150 мест ул. Озерная, вл. 42</v>
      </c>
      <c r="F1296" s="25" t="str">
        <f>IFERROR(__xludf.DUMMYFUNCTION("""COMPUTED_VALUE"""),"#N/A")</f>
        <v>#N/A</v>
      </c>
      <c r="G1296" s="6" t="str">
        <f>IFERROR(__xludf.DUMMYFUNCTION("""COMPUTED_VALUE"""),"#N/A")</f>
        <v>#N/A</v>
      </c>
      <c r="H1296" s="18" t="str">
        <f>IFERROR(__xludf.DUMMYFUNCTION("""COMPUTED_VALUE"""),"https://docs.google.com/spreadsheets/d/1EI7qusa674eJhuaw-nWWtWMEHVSYMQv7HLsInEZTWpE/edit?gid=186003248#gid=186003248")</f>
        <v>https://docs.google.com/spreadsheets/d/1EI7qusa674eJhuaw-nWWtWMEHVSYMQv7HLsInEZTWpE/edit?gid=186003248#gid=186003248</v>
      </c>
      <c r="I1296" s="19" t="str">
        <f>IFERROR(__xludf.DUMMYFUNCTION("""COMPUTED_VALUE"""),"https://disk.yandex.ru/client/disk/Осмотры%20объектов%20АНО%20СМГ/1211.%20ДОУ%20на%20150%20ул.%20Озерная%2042")</f>
        <v>https://disk.yandex.ru/client/disk/Осмотры%20объектов%20АНО%20СМГ/1211.%20ДОУ%20на%20150%20ул.%20Озерная%2042</v>
      </c>
      <c r="J1296" s="50">
        <f>IFERROR(__xludf.DUMMYFUNCTION("""COMPUTED_VALUE"""),29.912)</f>
        <v>29.912</v>
      </c>
      <c r="K1296" s="58">
        <f>IFERROR(__xludf.DUMMYFUNCTION("""COMPUTED_VALUE"""),45819.0)</f>
        <v>45819</v>
      </c>
      <c r="L1296" s="6">
        <v>30.0</v>
      </c>
      <c r="M1296" s="52">
        <v>45849.0</v>
      </c>
      <c r="N1296" s="53" t="s">
        <v>668</v>
      </c>
      <c r="O1296" s="19" t="s">
        <v>669</v>
      </c>
      <c r="P1296" s="6"/>
      <c r="Q1296" s="6" t="str">
        <f t="shared" si="1"/>
        <v>#N/A</v>
      </c>
      <c r="R1296" s="6"/>
    </row>
    <row r="1297" hidden="1">
      <c r="A1297" s="31" t="str">
        <f>IFERROR(__xludf.DUMMYFUNCTION("""COMPUTED_VALUE"""),"052")</f>
        <v>052</v>
      </c>
      <c r="B1297" s="14" t="str">
        <f>IFERROR(__xludf.DUMMYFUNCTION("""COMPUTED_VALUE"""),"ВНЕ СПИСКА")</f>
        <v>ВНЕ СПИСКА</v>
      </c>
      <c r="C1297" s="14" t="str">
        <f>IFERROR(__xludf.DUMMYFUNCTION("""COMPUTED_VALUE"""),"ОКС")</f>
        <v>ОКС</v>
      </c>
      <c r="D1297" s="6" t="str">
        <f>IFERROR(__xludf.DUMMYFUNCTION("""COMPUTED_VALUE"""),"да")</f>
        <v>да</v>
      </c>
      <c r="E1297" s="14" t="str">
        <f>IFERROR(__xludf.DUMMYFUNCTION("""COMPUTED_VALUE"""),"ДОУ на 225 мест, этап 2.2. тер. ТПУ ""Рассказовка"", з/у 13/6А, 13/9А (улица Анны Ахматовой, земельный участок 11, Боровское шоссе, 28-й километр, земельный участок 2Б)")</f>
        <v>ДОУ на 225 мест, этап 2.2. тер. ТПУ "Рассказовка", з/у 13/6А, 13/9А (улица Анны Ахматовой, земельный участок 11, Боровское шоссе, 28-й километр, земельный участок 2Б)</v>
      </c>
      <c r="F1297" s="25" t="str">
        <f>IFERROR(__xludf.DUMMYFUNCTION("""COMPUTED_VALUE"""),"55.634185")</f>
        <v>55.634185</v>
      </c>
      <c r="G1297" s="6" t="str">
        <f>IFERROR(__xludf.DUMMYFUNCTION("""COMPUTED_VALUE"""),"37.331287")</f>
        <v>37.331287</v>
      </c>
      <c r="H1297" s="18" t="str">
        <f>IFERROR(__xludf.DUMMYFUNCTION("""COMPUTED_VALUE"""),"https://docs.google.com/spreadsheets/d/1EI7qusa674eJhuaw-nWWtWMEHVSYMQv7HLsInEZTWpE/edit?gid=233188902#gid=233188902")</f>
        <v>https://docs.google.com/spreadsheets/d/1EI7qusa674eJhuaw-nWWtWMEHVSYMQv7HLsInEZTWpE/edit?gid=233188902#gid=233188902</v>
      </c>
      <c r="I1297" s="19" t="str">
        <f>IFERROR(__xludf.DUMMYFUNCTION("""COMPUTED_VALUE"""),"https://disk.yandex.ru/client/disk/Осмотры%20объектов%20АНО%20СМГ/052.%20ДОУ225%20ЖК%20Городские%20истории")</f>
        <v>https://disk.yandex.ru/client/disk/Осмотры%20объектов%20АНО%20СМГ/052.%20ДОУ225%20ЖК%20Городские%20истории</v>
      </c>
      <c r="J1297" s="50">
        <f>IFERROR(__xludf.DUMMYFUNCTION("""COMPUTED_VALUE"""),100.0)</f>
        <v>100</v>
      </c>
      <c r="K1297" s="58">
        <f>IFERROR(__xludf.DUMMYFUNCTION("""COMPUTED_VALUE"""),45958.0)</f>
        <v>45958</v>
      </c>
      <c r="L1297" s="6" t="s">
        <v>654</v>
      </c>
      <c r="M1297" s="52" t="s">
        <v>655</v>
      </c>
      <c r="N1297" s="53" t="s">
        <v>656</v>
      </c>
      <c r="O1297" s="19" t="s">
        <v>1332</v>
      </c>
      <c r="P1297" s="6"/>
      <c r="Q1297" s="6" t="str">
        <f t="shared" si="1"/>
        <v>#N/A</v>
      </c>
      <c r="R1297" s="6"/>
    </row>
    <row r="1298" hidden="1">
      <c r="A1298" s="31" t="str">
        <f>IFERROR(__xludf.DUMMYFUNCTION("""COMPUTED_VALUE"""),"062")</f>
        <v>062</v>
      </c>
      <c r="B1298" s="14" t="str">
        <f>IFERROR(__xludf.DUMMYFUNCTION("""COMPUTED_VALUE"""),"ВНЕ СПИСКА")</f>
        <v>ВНЕ СПИСКА</v>
      </c>
      <c r="C1298" s="14" t="str">
        <f>IFERROR(__xludf.DUMMYFUNCTION("""COMPUTED_VALUE"""),"ОКС")</f>
        <v>ОКС</v>
      </c>
      <c r="D1298" s="6" t="str">
        <f>IFERROR(__xludf.DUMMYFUNCTION("""COMPUTED_VALUE"""),"да")</f>
        <v>да</v>
      </c>
      <c r="E1298" s="14" t="str">
        <f>IFERROR(__xludf.DUMMYFUNCTION("""COMPUTED_VALUE"""),"ДОУ на 250 мест вблизи д. Алхимово, ЖК ""Алхимово""")</f>
        <v>ДОУ на 250 мест вблизи д. Алхимово, ЖК "Алхимово"</v>
      </c>
      <c r="F1298" s="25" t="str">
        <f>IFERROR(__xludf.DUMMYFUNCTION("""COMPUTED_VALUE"""),"55.473662")</f>
        <v>55.473662</v>
      </c>
      <c r="G1298" s="6" t="str">
        <f>IFERROR(__xludf.DUMMYFUNCTION("""COMPUTED_VALUE"""),"37.533213")</f>
        <v>37.533213</v>
      </c>
      <c r="H1298" s="18" t="str">
        <f>IFERROR(__xludf.DUMMYFUNCTION("""COMPUTED_VALUE"""),"https://docs.google.com/spreadsheets/d/1EI7qusa674eJhuaw-nWWtWMEHVSYMQv7HLsInEZTWpE/edit?gid=380520667#gid=380520667")</f>
        <v>https://docs.google.com/spreadsheets/d/1EI7qusa674eJhuaw-nWWtWMEHVSYMQv7HLsInEZTWpE/edit?gid=380520667#gid=380520667</v>
      </c>
      <c r="I1298" s="19" t="str">
        <f>IFERROR(__xludf.DUMMYFUNCTION("""COMPUTED_VALUE"""),"https://disk.yandex.ru/client/disk/Осмотры%20объектов%20АНО%20СМГ/062.%20ДОУ%20250%20ЖК%20Алхимово")</f>
        <v>https://disk.yandex.ru/client/disk/Осмотры%20объектов%20АНО%20СМГ/062.%20ДОУ%20250%20ЖК%20Алхимово</v>
      </c>
      <c r="J1298" s="50">
        <f>IFERROR(__xludf.DUMMYFUNCTION("""COMPUTED_VALUE"""),87.47386250000001)</f>
        <v>87.4738625</v>
      </c>
      <c r="K1298" s="58">
        <f>IFERROR(__xludf.DUMMYFUNCTION("""COMPUTED_VALUE"""),45958.0)</f>
        <v>45958</v>
      </c>
      <c r="L1298" s="6">
        <v>14.0</v>
      </c>
      <c r="M1298" s="52">
        <v>45972.0</v>
      </c>
      <c r="N1298" s="53" t="s">
        <v>668</v>
      </c>
      <c r="O1298" s="19" t="s">
        <v>669</v>
      </c>
      <c r="P1298" s="6"/>
      <c r="Q1298" s="6" t="str">
        <f t="shared" si="1"/>
        <v>#N/A</v>
      </c>
      <c r="R1298" s="6"/>
    </row>
    <row r="1299" hidden="1">
      <c r="A1299" s="31" t="str">
        <f>IFERROR(__xludf.DUMMYFUNCTION("""COMPUTED_VALUE"""),"1220")</f>
        <v>1220</v>
      </c>
      <c r="B1299" s="14" t="str">
        <f>IFERROR(__xludf.DUMMYFUNCTION("""COMPUTED_VALUE"""),"ВНЕ СПИСКА")</f>
        <v>ВНЕ СПИСКА</v>
      </c>
      <c r="C1299" s="14" t="str">
        <f>IFERROR(__xludf.DUMMYFUNCTION("""COMPUTED_VALUE"""),"ОКС")</f>
        <v>ОКС</v>
      </c>
      <c r="D1299" s="6" t="str">
        <f>IFERROR(__xludf.DUMMYFUNCTION("""COMPUTED_VALUE"""),"да")</f>
        <v>да</v>
      </c>
      <c r="E1299" s="14" t="str">
        <f>IFERROR(__xludf.DUMMYFUNCTION("""COMPUTED_VALUE"""),"Дошкольная образовательная организация на 110 мест ул. Красноказарменная, вл. 15")</f>
        <v>Дошкольная образовательная организация на 110 мест ул. Красноказарменная, вл. 15</v>
      </c>
      <c r="F1299" s="25" t="str">
        <f>IFERROR(__xludf.DUMMYFUNCTION("""COMPUTED_VALUE"""),"#N/A")</f>
        <v>#N/A</v>
      </c>
      <c r="G1299" s="6" t="str">
        <f>IFERROR(__xludf.DUMMYFUNCTION("""COMPUTED_VALUE"""),"#N/A")</f>
        <v>#N/A</v>
      </c>
      <c r="H1299" s="18" t="str">
        <f>IFERROR(__xludf.DUMMYFUNCTION("""COMPUTED_VALUE"""),"https://docs.google.com/spreadsheets/d/1EI7qusa674eJhuaw-nWWtWMEHVSYMQv7HLsInEZTWpE/edit?gid=813124693#gid=813124693")</f>
        <v>https://docs.google.com/spreadsheets/d/1EI7qusa674eJhuaw-nWWtWMEHVSYMQv7HLsInEZTWpE/edit?gid=813124693#gid=813124693</v>
      </c>
      <c r="I1299" s="21" t="str">
        <f>IFERROR(__xludf.DUMMYFUNCTION("""COMPUTED_VALUE"""),"https://disk.yandex.ru/client/disk/%D0%9E%D1%81%D0%BC%D0%BE%D1%82%D1%80%D1%8B%20%D0%BE%D0%B1%D1%8A%D0%B5%D0%BA%D1%82%D0%BE%D0%B2%20%D0%90%D0%9D%D0%9E%20%D0%A1%D0%9C%D0%93/1220%20%D0%9A%D1%80%D0%B0%D1%81%D0%BD%D0%BE%D0%BA%D0%B0%D0%B7%D0%B0%D1%80%D0%BC%D0%B"&amp;"5%D0%BD%D0%BD%D0%B0%D1%8F%2015%20%D0%94%D0%9E%D0%9E%20%D0%BD%D0%B0%20110%20%D0%BC%D0%B5%D1%81%D1%82%20")</f>
        <v>https://disk.yandex.ru/client/disk/%D0%9E%D1%81%D0%BC%D0%BE%D1%82%D1%80%D1%8B%20%D0%BE%D0%B1%D1%8A%D0%B5%D0%BA%D1%82%D0%BE%D0%B2%20%D0%90%D0%9D%D0%9E%20%D0%A1%D0%9C%D0%93/1220%20%D0%9A%D1%80%D0%B0%D1%81%D0%BD%D0%BE%D0%BA%D0%B0%D0%B7%D0%B0%D1%80%D0%BC%D0%B5%D0%BD%D0%BD%D0%B0%D1%8F%2015%20%D0%94%D0%9E%D0%9E%20%D0%BD%D0%B0%20110%20%D0%BC%D0%B5%D1%81%D1%82%20</v>
      </c>
      <c r="J1299" s="50">
        <f>IFERROR(__xludf.DUMMYFUNCTION("""COMPUTED_VALUE"""),100.0)</f>
        <v>100</v>
      </c>
      <c r="K1299" s="58">
        <f>IFERROR(__xludf.DUMMYFUNCTION("""COMPUTED_VALUE"""),45888.0)</f>
        <v>45888</v>
      </c>
      <c r="L1299" s="6" t="s">
        <v>654</v>
      </c>
      <c r="M1299" s="52" t="s">
        <v>655</v>
      </c>
      <c r="N1299" s="53" t="s">
        <v>656</v>
      </c>
      <c r="O1299" s="19" t="s">
        <v>1333</v>
      </c>
      <c r="P1299" s="6"/>
      <c r="Q1299" s="6" t="str">
        <f t="shared" si="1"/>
        <v>#N/A</v>
      </c>
      <c r="R1299" s="6"/>
    </row>
    <row r="1300" hidden="1">
      <c r="A1300" s="31" t="str">
        <f>IFERROR(__xludf.DUMMYFUNCTION("""COMPUTED_VALUE"""),"053")</f>
        <v>053</v>
      </c>
      <c r="B1300" s="14" t="str">
        <f>IFERROR(__xludf.DUMMYFUNCTION("""COMPUTED_VALUE"""),"ВНЕ СПИСКА")</f>
        <v>ВНЕ СПИСКА</v>
      </c>
      <c r="C1300" s="14" t="str">
        <f>IFERROR(__xludf.DUMMYFUNCTION("""COMPUTED_VALUE"""),"ОКС")</f>
        <v>ОКС</v>
      </c>
      <c r="D1300" s="6" t="str">
        <f>IFERROR(__xludf.DUMMYFUNCTION("""COMPUTED_VALUE"""),"да")</f>
        <v>да</v>
      </c>
      <c r="E1300" s="14" t="str">
        <f>IFERROR(__xludf.DUMMYFUNCTION("""COMPUTED_VALUE"""),"Дошкольная образовательная организация на 225 мест в районе пос. Газопровод (ЖК Новая Звезда)")</f>
        <v>Дошкольная образовательная организация на 225 мест в районе пос. Газопровод (ЖК Новая Звезда)</v>
      </c>
      <c r="F1300" s="25" t="str">
        <f>IFERROR(__xludf.DUMMYFUNCTION("""COMPUTED_VALUE"""),"55.577398")</f>
        <v>55.577398</v>
      </c>
      <c r="G1300" s="6" t="str">
        <f>IFERROR(__xludf.DUMMYFUNCTION("""COMPUTED_VALUE"""),"37.479500")</f>
        <v>37.479500</v>
      </c>
      <c r="H1300" s="18" t="str">
        <f>IFERROR(__xludf.DUMMYFUNCTION("""COMPUTED_VALUE"""),"https://docs.google.com/spreadsheets/d/1EI7qusa674eJhuaw-nWWtWMEHVSYMQv7HLsInEZTWpE/edit?gid=482272231#gid=482272231")</f>
        <v>https://docs.google.com/spreadsheets/d/1EI7qusa674eJhuaw-nWWtWMEHVSYMQv7HLsInEZTWpE/edit?gid=482272231#gid=482272231</v>
      </c>
      <c r="I1300" s="21" t="str">
        <f>IFERROR(__xludf.DUMMYFUNCTION("""COMPUTED_VALUE"""),"https://disk.yandex.ru/client/disk/%D0%9E%D1%81%D0%BC%D0%BE%D1%82%D1%80%D1%8B%20%D0%BE%D0%B1%D1%8A%D0%B5%D0%BA%D1%82%D0%BE%D0%B2%20%D0%90%D0%9D%D0%9E%20%D0%A1%D0%9C%D0%93/053.%20%D0%94%D0%9E%D0%A3%20%D0%BD%D0%B0%20225%20%D0%BC%D0%B5%D1%81%D1%82.%20%D0%A1%"&amp;"D0%BE%D1%81%D0%B5%D0%BD%D1%81%D0%BA%D0%BE%D0%B5%2C%20%D0%BF%D0%BE%D1%81.%20%D0%93%D0%B0%D0%B7%D0%BE%D0%BF%D1%80%D0%BE%D0%B2%D0%BE%D0%B4.%20%D0%96%D0%9A%20%D0%9D%D0%BE%D0%B2%D0%B0%D1%8F%20%D0%97%D0%B2%D0%B5%D0%B7%D0%B4%D0%B0")</f>
        <v>https://disk.yandex.ru/client/disk/%D0%9E%D1%81%D0%BC%D0%BE%D1%82%D1%80%D1%8B%20%D0%BE%D0%B1%D1%8A%D0%B5%D0%BA%D1%82%D0%BE%D0%B2%20%D0%90%D0%9D%D0%9E%20%D0%A1%D0%9C%D0%93/053.%20%D0%94%D0%9E%D0%A3%20%D0%BD%D0%B0%20225%20%D0%BC%D0%B5%D1%81%D1%82.%20%D0%A1%D0%BE%D1%81%D0%B5%D0%BD%D1%81%D0%BA%D0%BE%D0%B5%2C%20%D0%BF%D0%BE%D1%81.%20%D0%93%D0%B0%D0%B7%D0%BE%D0%BF%D1%80%D0%BE%D0%B2%D0%BE%D0%B4.%20%D0%96%D0%9A%20%D0%9D%D0%BE%D0%B2%D0%B0%D1%8F%20%D0%97%D0%B2%D0%B5%D0%B7%D0%B4%D0%B0</v>
      </c>
      <c r="J1300" s="50">
        <f>IFERROR(__xludf.DUMMYFUNCTION("""COMPUTED_VALUE"""),95.46853250000001)</f>
        <v>95.4685325</v>
      </c>
      <c r="K1300" s="58">
        <f>IFERROR(__xludf.DUMMYFUNCTION("""COMPUTED_VALUE"""),45958.0)</f>
        <v>45958</v>
      </c>
      <c r="L1300" s="6">
        <v>7.0</v>
      </c>
      <c r="M1300" s="52">
        <v>45965.0</v>
      </c>
      <c r="N1300" s="53" t="s">
        <v>668</v>
      </c>
      <c r="O1300" s="19" t="s">
        <v>1334</v>
      </c>
      <c r="P1300" s="6"/>
      <c r="Q1300" s="6" t="str">
        <f t="shared" si="1"/>
        <v>#N/A</v>
      </c>
      <c r="R1300" s="6"/>
    </row>
    <row r="1301" hidden="1">
      <c r="A1301" s="31" t="str">
        <f>IFERROR(__xludf.DUMMYFUNCTION("""COMPUTED_VALUE"""),"1214")</f>
        <v>1214</v>
      </c>
      <c r="B1301" s="14" t="str">
        <f>IFERROR(__xludf.DUMMYFUNCTION("""COMPUTED_VALUE"""),"ВНЕ СПИСКА")</f>
        <v>ВНЕ СПИСКА</v>
      </c>
      <c r="C1301" s="14" t="str">
        <f>IFERROR(__xludf.DUMMYFUNCTION("""COMPUTED_VALUE"""),"ОКС")</f>
        <v>ОКС</v>
      </c>
      <c r="D1301" s="6" t="str">
        <f>IFERROR(__xludf.DUMMYFUNCTION("""COMPUTED_VALUE"""),"да")</f>
        <v>да</v>
      </c>
      <c r="E1301" s="14" t="str">
        <f>IFERROR(__xludf.DUMMYFUNCTION("""COMPUTED_VALUE"""),"Дошкольная образовательная организация на 100 мест Кронштадтский бульвар, вл. 9")</f>
        <v>Дошкольная образовательная организация на 100 мест Кронштадтский бульвар, вл. 9</v>
      </c>
      <c r="F1301" s="25" t="str">
        <f>IFERROR(__xludf.DUMMYFUNCTION("""COMPUTED_VALUE"""),"#N/A")</f>
        <v>#N/A</v>
      </c>
      <c r="G1301" s="6" t="str">
        <f>IFERROR(__xludf.DUMMYFUNCTION("""COMPUTED_VALUE"""),"#N/A")</f>
        <v>#N/A</v>
      </c>
      <c r="H1301" s="18" t="str">
        <f>IFERROR(__xludf.DUMMYFUNCTION("""COMPUTED_VALUE"""),"https://docs.google.com/spreadsheets/d/1EI7qusa674eJhuaw-nWWtWMEHVSYMQv7HLsInEZTWpE/edit?gid=975659733#gid=975659733")</f>
        <v>https://docs.google.com/spreadsheets/d/1EI7qusa674eJhuaw-nWWtWMEHVSYMQv7HLsInEZTWpE/edit?gid=975659733#gid=975659733</v>
      </c>
      <c r="I1301" s="19" t="str">
        <f>IFERROR(__xludf.DUMMYFUNCTION("""COMPUTED_VALUE"""),"https://disk.yandex.ru/client/disk/Осмотры%20объектов%20АНО%20СМГ/1214.%20Дошкольная%20образовательная%20организация%20на%20100%20мест%2C%20Кронштадтский%20бульвар%2C%20вл.%209")</f>
        <v>https://disk.yandex.ru/client/disk/Осмотры%20объектов%20АНО%20СМГ/1214.%20Дошкольная%20образовательная%20организация%20на%20100%20мест%2C%20Кронштадтский%20бульвар%2C%20вл.%209</v>
      </c>
      <c r="J1301" s="50">
        <f>IFERROR(__xludf.DUMMYFUNCTION("""COMPUTED_VALUE"""),77.5690625)</f>
        <v>77.5690625</v>
      </c>
      <c r="K1301" s="58">
        <f>IFERROR(__xludf.DUMMYFUNCTION("""COMPUTED_VALUE"""),45819.0)</f>
        <v>45819</v>
      </c>
      <c r="L1301" s="6">
        <v>14.0</v>
      </c>
      <c r="M1301" s="52">
        <v>45833.0</v>
      </c>
      <c r="N1301" s="53" t="s">
        <v>668</v>
      </c>
      <c r="O1301" s="19" t="s">
        <v>669</v>
      </c>
      <c r="P1301" s="6"/>
      <c r="Q1301" s="6" t="str">
        <f t="shared" si="1"/>
        <v>#N/A</v>
      </c>
      <c r="R1301" s="6"/>
    </row>
    <row r="1302" hidden="1">
      <c r="A1302" s="31" t="str">
        <f>IFERROR(__xludf.DUMMYFUNCTION("""COMPUTED_VALUE"""),"НД")</f>
        <v>НД</v>
      </c>
      <c r="B1302" s="14" t="str">
        <f>IFERROR(__xludf.DUMMYFUNCTION("""COMPUTED_VALUE"""),"ВНЕ СПИСКА")</f>
        <v>ВНЕ СПИСКА</v>
      </c>
      <c r="C1302" s="14" t="str">
        <f>IFERROR(__xludf.DUMMYFUNCTION("""COMPUTED_VALUE"""),"ОКС")</f>
        <v>ОКС</v>
      </c>
      <c r="D1302" s="6" t="str">
        <f>IFERROR(__xludf.DUMMYFUNCTION("""COMPUTED_VALUE"""),"да")</f>
        <v>да</v>
      </c>
      <c r="E1302" s="14" t="str">
        <f>IFERROR(__xludf.DUMMYFUNCTION("""COMPUTED_VALUE"""),"        Реконструкция торгового комплекса проспект Вернадского, д. 14Б")</f>
        <v>        Реконструкция торгового комплекса проспект Вернадского, д. 14Б</v>
      </c>
      <c r="F1302" s="25" t="str">
        <f>IFERROR(__xludf.DUMMYFUNCTION("""COMPUTED_VALUE"""),"#N/A")</f>
        <v>#N/A</v>
      </c>
      <c r="G1302" s="6" t="str">
        <f>IFERROR(__xludf.DUMMYFUNCTION("""COMPUTED_VALUE"""),"#N/A")</f>
        <v>#N/A</v>
      </c>
      <c r="H1302" s="6"/>
      <c r="I1302" s="19" t="str">
        <f>IFERROR(__xludf.DUMMYFUNCTION("""COMPUTED_VALUE"""),"https://disk.yandex.ru/client/disk/Осмотры%20объектов%20АНО%20СМГ/Реконструкция%20торгового%20комплекса%20по%20адресу%3A%20г.%20Москва%2C%20проспект%20Вернадского%2C%2014Б")</f>
        <v>https://disk.yandex.ru/client/disk/Осмотры%20объектов%20АНО%20СМГ/Реконструкция%20торгового%20комплекса%20по%20адресу%3A%20г.%20Москва%2C%20проспект%20Вернадского%2C%2014Б</v>
      </c>
      <c r="J1302" s="50"/>
      <c r="K1302" s="58"/>
      <c r="L1302" s="6">
        <v>30.0</v>
      </c>
      <c r="M1302" s="52" t="s">
        <v>655</v>
      </c>
      <c r="N1302" s="53" t="s">
        <v>698</v>
      </c>
      <c r="O1302" s="19" t="s">
        <v>1335</v>
      </c>
      <c r="P1302" s="6"/>
      <c r="Q1302" s="6" t="str">
        <f t="shared" si="1"/>
        <v>#N/A</v>
      </c>
      <c r="R1302" s="6"/>
    </row>
    <row r="1303" hidden="1">
      <c r="A1303" s="31" t="str">
        <f>IFERROR(__xludf.DUMMYFUNCTION("""COMPUTED_VALUE"""),"057")</f>
        <v>057</v>
      </c>
      <c r="B1303" s="14" t="str">
        <f>IFERROR(__xludf.DUMMYFUNCTION("""COMPUTED_VALUE"""),"ВНЕ СПИСКА")</f>
        <v>ВНЕ СПИСКА</v>
      </c>
      <c r="C1303" s="14" t="str">
        <f>IFERROR(__xludf.DUMMYFUNCTION("""COMPUTED_VALUE"""),"ОКС")</f>
        <v>ОКС</v>
      </c>
      <c r="D1303" s="6" t="str">
        <f>IFERROR(__xludf.DUMMYFUNCTION("""COMPUTED_VALUE"""),"да")</f>
        <v>да</v>
      </c>
      <c r="E1303" s="14" t="str">
        <f>IFERROR(__xludf.DUMMYFUNCTION("""COMPUTED_VALUE""")," Образовательный комплекс на 1625 мест
 район Внуково, вблизи дер. Большое Свинорье, ЖК «Квартал Западный»")</f>
        <v> Образовательный комплекс на 1625 мест
 район Внуково, вблизи дер. Большое Свинорье, ЖК «Квартал Западный»</v>
      </c>
      <c r="F1303" s="25" t="str">
        <f>IFERROR(__xludf.DUMMYFUNCTION("""COMPUTED_VALUE"""),"55.58231204143675")</f>
        <v>55.58231204143675</v>
      </c>
      <c r="G1303" s="6" t="str">
        <f>IFERROR(__xludf.DUMMYFUNCTION("""COMPUTED_VALUE"""),"37.14631837035806")</f>
        <v>37.14631837035806</v>
      </c>
      <c r="H1303" s="18" t="str">
        <f>IFERROR(__xludf.DUMMYFUNCTION("""COMPUTED_VALUE"""),"https://docs.google.com/spreadsheets/d/1EI7qusa674eJhuaw-nWWtWMEHVSYMQv7HLsInEZTWpE/edit?gid=1550603494#gid=1550603494")</f>
        <v>https://docs.google.com/spreadsheets/d/1EI7qusa674eJhuaw-nWWtWMEHVSYMQv7HLsInEZTWpE/edit?gid=1550603494#gid=1550603494</v>
      </c>
      <c r="I1303" s="19" t="str">
        <f>IFERROR(__xludf.DUMMYFUNCTION("""COMPUTED_VALUE"""),"https://disk.yandex.ru/client/disk/Осмотры%20объектов%20АНО%20СМГ/057.%20Образовательный%20комплекс%20(СОШ%201275%2C%20ДОУ%20350)")</f>
        <v>https://disk.yandex.ru/client/disk/Осмотры%20объектов%20АНО%20СМГ/057.%20Образовательный%20комплекс%20(СОШ%201275%2C%20ДОУ%20350)</v>
      </c>
      <c r="J1303" s="50">
        <f>IFERROR(__xludf.DUMMYFUNCTION("""COMPUTED_VALUE"""),18.152)</f>
        <v>18.152</v>
      </c>
      <c r="K1303" s="58">
        <f>IFERROR(__xludf.DUMMYFUNCTION("""COMPUTED_VALUE"""),45959.0)</f>
        <v>45959</v>
      </c>
      <c r="L1303" s="6">
        <v>30.0</v>
      </c>
      <c r="M1303" s="52">
        <v>45989.0</v>
      </c>
      <c r="N1303" s="53" t="s">
        <v>692</v>
      </c>
      <c r="O1303" s="19" t="s">
        <v>669</v>
      </c>
      <c r="P1303" s="6"/>
      <c r="Q1303" s="6" t="str">
        <f t="shared" si="1"/>
        <v>#N/A</v>
      </c>
      <c r="R1303" s="6"/>
    </row>
    <row r="1304" hidden="1">
      <c r="A1304" s="31" t="str">
        <f>IFERROR(__xludf.DUMMYFUNCTION("""COMPUTED_VALUE"""),"1200")</f>
        <v>1200</v>
      </c>
      <c r="B1304" s="14" t="str">
        <f>IFERROR(__xludf.DUMMYFUNCTION("""COMPUTED_VALUE"""),"ВНЕ СПИСКА")</f>
        <v>ВНЕ СПИСКА</v>
      </c>
      <c r="C1304" s="14" t="str">
        <f>IFERROR(__xludf.DUMMYFUNCTION("""COMPUTED_VALUE"""),"ОКС")</f>
        <v>ОКС</v>
      </c>
      <c r="D1304" s="6" t="str">
        <f>IFERROR(__xludf.DUMMYFUNCTION("""COMPUTED_VALUE"""),"да")</f>
        <v>да</v>
      </c>
      <c r="E1304" s="14" t="str">
        <f>IFERROR(__xludf.DUMMYFUNCTION("""COMPUTED_VALUE"""),"Школа на 825 мест Рязанский проспект, вл. 2")</f>
        <v>Школа на 825 мест Рязанский проспект, вл. 2</v>
      </c>
      <c r="F1304" s="25" t="str">
        <f>IFERROR(__xludf.DUMMYFUNCTION("""COMPUTED_VALUE"""),"#N/A")</f>
        <v>#N/A</v>
      </c>
      <c r="G1304" s="6" t="str">
        <f>IFERROR(__xludf.DUMMYFUNCTION("""COMPUTED_VALUE"""),"#N/A")</f>
        <v>#N/A</v>
      </c>
      <c r="H1304" s="18" t="str">
        <f>IFERROR(__xludf.DUMMYFUNCTION("""COMPUTED_VALUE"""),"https://docs.google.com/spreadsheets/d/1EI7qusa674eJhuaw-nWWtWMEHVSYMQv7HLsInEZTWpE/edit?gid=1822571783#gid=1822571783")</f>
        <v>https://docs.google.com/spreadsheets/d/1EI7qusa674eJhuaw-nWWtWMEHVSYMQv7HLsInEZTWpE/edit?gid=1822571783#gid=1822571783</v>
      </c>
      <c r="I1304" s="19" t="str">
        <f>IFERROR(__xludf.DUMMYFUNCTION("""COMPUTED_VALUE"""),"https://disk.yandex.ru/client/disk/Осмотры%20объектов%20АНО%20СМГ/1200%20Общеобразовательная%20школа%20на%20825%20мест%2C%20Рязанский%20проспект%2C%20вл.2")</f>
        <v>https://disk.yandex.ru/client/disk/Осмотры%20объектов%20АНО%20СМГ/1200%20Общеобразовательная%20школа%20на%20825%20мест%2C%20Рязанский%20проспект%2C%20вл.2</v>
      </c>
      <c r="J1304" s="50">
        <f>IFERROR(__xludf.DUMMYFUNCTION("""COMPUTED_VALUE"""),0.0)</f>
        <v>0</v>
      </c>
      <c r="K1304" s="58"/>
      <c r="L1304" s="6">
        <v>30.0</v>
      </c>
      <c r="M1304" s="52" t="s">
        <v>655</v>
      </c>
      <c r="N1304" s="53" t="s">
        <v>698</v>
      </c>
      <c r="O1304" s="19" t="s">
        <v>669</v>
      </c>
      <c r="P1304" s="6"/>
      <c r="Q1304" s="6" t="str">
        <f t="shared" si="1"/>
        <v>#N/A</v>
      </c>
      <c r="R1304" s="6"/>
    </row>
    <row r="1305" hidden="1">
      <c r="A1305" s="31" t="str">
        <f>IFERROR(__xludf.DUMMYFUNCTION("""COMPUTED_VALUE"""),"НД")</f>
        <v>НД</v>
      </c>
      <c r="B1305" s="14" t="str">
        <f>IFERROR(__xludf.DUMMYFUNCTION("""COMPUTED_VALUE"""),"ВНЕ СПИСКА")</f>
        <v>ВНЕ СПИСКА</v>
      </c>
      <c r="C1305" s="14" t="str">
        <f>IFERROR(__xludf.DUMMYFUNCTION("""COMPUTED_VALUE"""),"ОКС")</f>
        <v>ОКС</v>
      </c>
      <c r="D1305" s="6" t="str">
        <f>IFERROR(__xludf.DUMMYFUNCTION("""COMPUTED_VALUE"""),"да")</f>
        <v>да</v>
      </c>
      <c r="E1305" s="14" t="str">
        <f>IFERROR(__xludf.DUMMYFUNCTION("""COMPUTED_VALUE"""),"Детский сад «Жемчужина» на 150 мест район Внуково, поселение Сосенское, кв-л 160, з/у 1В, подзона №3")</f>
        <v>Детский сад «Жемчужина» на 150 мест район Внуково, поселение Сосенское, кв-л 160, з/у 1В, подзона №3</v>
      </c>
      <c r="F1305" s="25" t="str">
        <f>IFERROR(__xludf.DUMMYFUNCTION("""COMPUTED_VALUE"""),"#N/A")</f>
        <v>#N/A</v>
      </c>
      <c r="G1305" s="6" t="str">
        <f>IFERROR(__xludf.DUMMYFUNCTION("""COMPUTED_VALUE"""),"#N/A")</f>
        <v>#N/A</v>
      </c>
      <c r="H1305" s="6"/>
      <c r="I1305" s="19"/>
      <c r="J1305" s="50"/>
      <c r="K1305" s="58"/>
      <c r="L1305" s="6">
        <v>30.0</v>
      </c>
      <c r="M1305" s="52" t="s">
        <v>655</v>
      </c>
      <c r="N1305" s="53" t="s">
        <v>698</v>
      </c>
      <c r="O1305" s="19" t="s">
        <v>669</v>
      </c>
      <c r="P1305" s="6"/>
      <c r="Q1305" s="6" t="str">
        <f t="shared" si="1"/>
        <v>#N/A</v>
      </c>
      <c r="R1305" s="6"/>
    </row>
    <row r="1306" hidden="1">
      <c r="A1306" s="31" t="str">
        <f>IFERROR(__xludf.DUMMYFUNCTION("""COMPUTED_VALUE"""),"1201")</f>
        <v>1201</v>
      </c>
      <c r="B1306" s="14" t="str">
        <f>IFERROR(__xludf.DUMMYFUNCTION("""COMPUTED_VALUE"""),"ВНЕ СПИСКА")</f>
        <v>ВНЕ СПИСКА</v>
      </c>
      <c r="C1306" s="14" t="str">
        <f>IFERROR(__xludf.DUMMYFUNCTION("""COMPUTED_VALUE"""),"ОКС")</f>
        <v>ОКС</v>
      </c>
      <c r="D1306" s="6" t="str">
        <f>IFERROR(__xludf.DUMMYFUNCTION("""COMPUTED_VALUE"""),"да")</f>
        <v>да</v>
      </c>
      <c r="E1306" s="14" t="str">
        <f>IFERROR(__xludf.DUMMYFUNCTION("""COMPUTED_VALUE"""),"Гостиница, входящая в состав Многофункционального комплекса спортивной направленности с соответствующей инфраструктурой Волоколамское шоссе, вл. 71/17 район Покровское-Стрешнево, Волоколамское шоссе вл. 71/17")</f>
        <v>Гостиница, входящая в состав Многофункционального комплекса спортивной направленности с соответствующей инфраструктурой Волоколамское шоссе, вл. 71/17 район Покровское-Стрешнево, Волоколамское шоссе вл. 71/17</v>
      </c>
      <c r="F1306" s="25" t="str">
        <f>IFERROR(__xludf.DUMMYFUNCTION("""COMPUTED_VALUE"""),"55.813618")</f>
        <v>55.813618</v>
      </c>
      <c r="G1306" s="6" t="str">
        <f>IFERROR(__xludf.DUMMYFUNCTION("""COMPUTED_VALUE"""),"37.436142")</f>
        <v>37.436142</v>
      </c>
      <c r="H1306" s="18" t="str">
        <f>IFERROR(__xludf.DUMMYFUNCTION("""COMPUTED_VALUE"""),"https://docs.google.com/spreadsheets/d/1EI7qusa674eJhuaw-nWWtWMEHVSYMQv7HLsInEZTWpE/edit?gid=82996176#gid=82996176")</f>
        <v>https://docs.google.com/spreadsheets/d/1EI7qusa674eJhuaw-nWWtWMEHVSYMQv7HLsInEZTWpE/edit?gid=82996176#gid=82996176</v>
      </c>
      <c r="I1306" s="19" t="str">
        <f>IFERROR(__xludf.DUMMYFUNCTION("""COMPUTED_VALUE"""),"https://disk.yandex.ru/client/disk/Осмотры%20объектов%20АНО%20СМГ/1201.%20Гостиница%2C%20Волоколамское%20шоссе%2C%20влд.%2071-17")</f>
        <v>https://disk.yandex.ru/client/disk/Осмотры%20объектов%20АНО%20СМГ/1201.%20Гостиница%2C%20Волоколамское%20шоссе%2C%20влд.%2071-17</v>
      </c>
      <c r="J1306" s="50">
        <f>IFERROR(__xludf.DUMMYFUNCTION("""COMPUTED_VALUE"""),37.553)</f>
        <v>37.553</v>
      </c>
      <c r="K1306" s="58">
        <f>IFERROR(__xludf.DUMMYFUNCTION("""COMPUTED_VALUE"""),45966.0)</f>
        <v>45966</v>
      </c>
      <c r="L1306" s="6">
        <v>30.0</v>
      </c>
      <c r="M1306" s="52">
        <v>45996.0</v>
      </c>
      <c r="N1306" s="53" t="s">
        <v>711</v>
      </c>
      <c r="O1306" s="19" t="s">
        <v>1336</v>
      </c>
      <c r="P1306" s="6"/>
      <c r="Q1306" s="6" t="str">
        <f t="shared" si="1"/>
        <v>#N/A</v>
      </c>
      <c r="R1306" s="6"/>
    </row>
    <row r="1307" hidden="1">
      <c r="A1307" s="31" t="str">
        <f>IFERROR(__xludf.DUMMYFUNCTION("""COMPUTED_VALUE"""),"338")</f>
        <v>338</v>
      </c>
      <c r="B1307" s="14" t="str">
        <f>IFERROR(__xludf.DUMMYFUNCTION("""COMPUTED_VALUE"""),"ВНЕ СПИСКА")</f>
        <v>ВНЕ СПИСКА</v>
      </c>
      <c r="C1307" s="14"/>
      <c r="D1307" s="6"/>
      <c r="E1307" s="14" t="str">
        <f>IFERROR(__xludf.DUMMYFUNCTION("""COMPUTED_VALUE"""),"Осмотри хода строительства станции ""Липовая Роща"" ")</f>
        <v>Осмотри хода строительства станции "Липовая Роща" </v>
      </c>
      <c r="F1307" s="25" t="str">
        <f>IFERROR(__xludf.DUMMYFUNCTION("""COMPUTED_VALUE"""),"#N/A")</f>
        <v>#N/A</v>
      </c>
      <c r="G1307" s="6" t="str">
        <f>IFERROR(__xludf.DUMMYFUNCTION("""COMPUTED_VALUE"""),"#N/A")</f>
        <v>#N/A</v>
      </c>
      <c r="H1307" s="18" t="str">
        <f>IFERROR(__xludf.DUMMYFUNCTION("""COMPUTED_VALUE"""),"https://docs.google.com/spreadsheets/d/1EI7qusa674eJhuaw-nWWtWMEHVSYMQv7HLsInEZTWpE/edit?gid=336437889#gid=336437889")</f>
        <v>https://docs.google.com/spreadsheets/d/1EI7qusa674eJhuaw-nWWtWMEHVSYMQv7HLsInEZTWpE/edit?gid=336437889#gid=336437889</v>
      </c>
      <c r="I1307" s="19" t="str">
        <f>IFERROR(__xludf.DUMMYFUNCTION("""COMPUTED_VALUE"""),"https://disk.yandex.ru/client/disk/Осмотры%20объектов%20АНО%20СМГ/338.%20Станция%20метро%20Липовая%20роща")</f>
        <v>https://disk.yandex.ru/client/disk/Осмотры%20объектов%20АНО%20СМГ/338.%20Станция%20метро%20Липовая%20роща</v>
      </c>
      <c r="J1307" s="50">
        <f>IFERROR(__xludf.DUMMYFUNCTION("""COMPUTED_VALUE"""),8.474000000000002)</f>
        <v>8.474</v>
      </c>
      <c r="K1307" s="58">
        <f>IFERROR(__xludf.DUMMYFUNCTION("""COMPUTED_VALUE"""),45747.0)</f>
        <v>45747</v>
      </c>
      <c r="L1307" s="6">
        <v>30.0</v>
      </c>
      <c r="M1307" s="52">
        <v>45777.0</v>
      </c>
      <c r="N1307" s="53" t="s">
        <v>668</v>
      </c>
      <c r="O1307" s="19" t="s">
        <v>669</v>
      </c>
      <c r="P1307" s="6"/>
      <c r="Q1307" s="6" t="str">
        <f t="shared" si="1"/>
        <v>#N/A</v>
      </c>
      <c r="R1307" s="6"/>
    </row>
    <row r="1308" hidden="1">
      <c r="A1308" s="31" t="str">
        <f>IFERROR(__xludf.DUMMYFUNCTION("""COMPUTED_VALUE"""),"092")</f>
        <v>092</v>
      </c>
      <c r="B1308" s="14" t="str">
        <f>IFERROR(__xludf.DUMMYFUNCTION("""COMPUTED_VALUE"""),"ВНЕ СПИСКА")</f>
        <v>ВНЕ СПИСКА</v>
      </c>
      <c r="C1308" s="14" t="str">
        <f>IFERROR(__xludf.DUMMYFUNCTION("""COMPUTED_VALUE"""),"ОКС")</f>
        <v>ОКС</v>
      </c>
      <c r="D1308" s="6"/>
      <c r="E1308" s="14" t="str">
        <f>IFERROR(__xludf.DUMMYFUNCTION("""COMPUTED_VALUE"""),"        Консультативно-диагностический центр с поликлиникой на 750 посещений в смену на территории Городской клинической больницы № 64 (уровень 2) (завершение строительства) Вавилова ул., д.61А")</f>
        <v>        Консультативно-диагностический центр с поликлиникой на 750 посещений в смену на территории Городской клинической больницы № 64 (уровень 2) (завершение строительства) Вавилова ул., д.61А</v>
      </c>
      <c r="F1308" s="25" t="str">
        <f>IFERROR(__xludf.DUMMYFUNCTION("""COMPUTED_VALUE"""),"#N/A")</f>
        <v>#N/A</v>
      </c>
      <c r="G1308" s="6" t="str">
        <f>IFERROR(__xludf.DUMMYFUNCTION("""COMPUTED_VALUE"""),"#N/A")</f>
        <v>#N/A</v>
      </c>
      <c r="H1308" s="18" t="str">
        <f>IFERROR(__xludf.DUMMYFUNCTION("""COMPUTED_VALUE"""),"https://docs.google.com/spreadsheets/d/1EI7qusa674eJhuaw-nWWtWMEHVSYMQv7HLsInEZTWpE/edit?gid=370620314#gid=370620314")</f>
        <v>https://docs.google.com/spreadsheets/d/1EI7qusa674eJhuaw-nWWtWMEHVSYMQv7HLsInEZTWpE/edit?gid=370620314#gid=370620314</v>
      </c>
      <c r="I1308" s="19" t="str">
        <f>IFERROR(__xludf.DUMMYFUNCTION("""COMPUTED_VALUE"""),"https://disk.yandex.ru/client/disk/Осмотры%20объектов%20АНО%20СМГ/092.%20Вавилова%2061%20(уровень%202)")</f>
        <v>https://disk.yandex.ru/client/disk/Осмотры%20объектов%20АНО%20СМГ/092.%20Вавилова%2061%20(уровень%202)</v>
      </c>
      <c r="J1308" s="50">
        <f>IFERROR(__xludf.DUMMYFUNCTION("""COMPUTED_VALUE"""),100.0)</f>
        <v>100</v>
      </c>
      <c r="K1308" s="58">
        <f>IFERROR(__xludf.DUMMYFUNCTION("""COMPUTED_VALUE"""),45817.0)</f>
        <v>45817</v>
      </c>
      <c r="L1308" s="6" t="s">
        <v>654</v>
      </c>
      <c r="M1308" s="52" t="s">
        <v>655</v>
      </c>
      <c r="N1308" s="53" t="s">
        <v>656</v>
      </c>
      <c r="O1308" s="19" t="s">
        <v>1337</v>
      </c>
      <c r="P1308" s="6"/>
      <c r="Q1308" s="6" t="str">
        <f t="shared" si="1"/>
        <v>#N/A</v>
      </c>
      <c r="R1308" s="6"/>
    </row>
    <row r="1309" hidden="1">
      <c r="A1309" s="31" t="str">
        <f>IFERROR(__xludf.DUMMYFUNCTION("""COMPUTED_VALUE"""),"495")</f>
        <v>495</v>
      </c>
      <c r="B1309" s="14" t="str">
        <f>IFERROR(__xludf.DUMMYFUNCTION("""COMPUTED_VALUE"""),"РЕН-25")</f>
        <v>РЕН-25</v>
      </c>
      <c r="C1309" s="14" t="str">
        <f>IFERROR(__xludf.DUMMYFUNCTION("""COMPUTED_VALUE"""),"ОКС")</f>
        <v>ОКС</v>
      </c>
      <c r="D1309" s="6"/>
      <c r="E1309" s="14" t="str">
        <f>IFERROR(__xludf.DUMMYFUNCTION("""COMPUTED_VALUE"""),"Осмотр «стартового» жилого дома по программе реновации, ЖК ""Академик"" к.3 Троицк, тер. СНТ ""Ветеран-1"", ул. Городская 12")</f>
        <v>Осмотр «стартового» жилого дома по программе реновации, ЖК "Академик" к.3 Троицк, тер. СНТ "Ветеран-1", ул. Городская 12</v>
      </c>
      <c r="F1309" s="25" t="str">
        <f>IFERROR(__xludf.DUMMYFUNCTION("""COMPUTED_VALUE"""),"#N/A")</f>
        <v>#N/A</v>
      </c>
      <c r="G1309" s="6" t="str">
        <f>IFERROR(__xludf.DUMMYFUNCTION("""COMPUTED_VALUE"""),"#N/A")</f>
        <v>#N/A</v>
      </c>
      <c r="H1309" s="18" t="str">
        <f>IFERROR(__xludf.DUMMYFUNCTION("""COMPUTED_VALUE"""),"https://docs.google.com/spreadsheets/d/1H1MjbG2y0oC0hhID4do1G0_gfyI1jag72lQd7nL3WDQ/edit?gid=1483885127#gid=1483885127")</f>
        <v>https://docs.google.com/spreadsheets/d/1H1MjbG2y0oC0hhID4do1G0_gfyI1jag72lQd7nL3WDQ/edit?gid=1483885127#gid=1483885127</v>
      </c>
      <c r="I1309" s="19" t="str">
        <f>IFERROR(__xludf.DUMMYFUNCTION("""COMPUTED_VALUE"""),"https://disk.yandex.ru/client/disk/Осмотры%20объектов%20АНО%20СМГ/495.%20СНТ%20Ветеран%201%20реновация")</f>
        <v>https://disk.yandex.ru/client/disk/Осмотры%20объектов%20АНО%20СМГ/495.%20СНТ%20Ветеран%201%20реновация</v>
      </c>
      <c r="J1309" s="50">
        <f>IFERROR(__xludf.DUMMYFUNCTION("""COMPUTED_VALUE"""),100.0)</f>
        <v>100</v>
      </c>
      <c r="K1309" s="58">
        <f>IFERROR(__xludf.DUMMYFUNCTION("""COMPUTED_VALUE"""),45852.0)</f>
        <v>45852</v>
      </c>
      <c r="L1309" s="6" t="s">
        <v>654</v>
      </c>
      <c r="M1309" s="52" t="s">
        <v>655</v>
      </c>
      <c r="N1309" s="53" t="s">
        <v>656</v>
      </c>
      <c r="O1309" s="19" t="s">
        <v>1338</v>
      </c>
      <c r="P1309" s="6"/>
      <c r="Q1309" s="6" t="str">
        <f t="shared" si="1"/>
        <v>#N/A</v>
      </c>
      <c r="R1309" s="6"/>
    </row>
    <row r="1310" hidden="1">
      <c r="A1310" s="31" t="str">
        <f>IFERROR(__xludf.DUMMYFUNCTION("""COMPUTED_VALUE"""),"495")</f>
        <v>495</v>
      </c>
      <c r="B1310" s="14" t="str">
        <f>IFERROR(__xludf.DUMMYFUNCTION("""COMPUTED_VALUE"""),"РЕН-25")</f>
        <v>РЕН-25</v>
      </c>
      <c r="C1310" s="14" t="str">
        <f>IFERROR(__xludf.DUMMYFUNCTION("""COMPUTED_VALUE"""),"ОКС")</f>
        <v>ОКС</v>
      </c>
      <c r="D1310" s="6"/>
      <c r="E1310" s="14" t="str">
        <f>IFERROR(__xludf.DUMMYFUNCTION("""COMPUTED_VALUE"""),"Осмотр «стартового» жилого дома по программе реновации, ЖК ""Академик"", к.2 Троицк, тер. СНТ ""Ветеран-1"", ул. Городская 14")</f>
        <v>Осмотр «стартового» жилого дома по программе реновации, ЖК "Академик", к.2 Троицк, тер. СНТ "Ветеран-1", ул. Городская 14</v>
      </c>
      <c r="F1310" s="25" t="str">
        <f>IFERROR(__xludf.DUMMYFUNCTION("""COMPUTED_VALUE"""),"#N/A")</f>
        <v>#N/A</v>
      </c>
      <c r="G1310" s="6" t="str">
        <f>IFERROR(__xludf.DUMMYFUNCTION("""COMPUTED_VALUE"""),"#N/A")</f>
        <v>#N/A</v>
      </c>
      <c r="H1310" s="18" t="str">
        <f>IFERROR(__xludf.DUMMYFUNCTION("""COMPUTED_VALUE"""),"https://docs.google.com/spreadsheets/d/1H1MjbG2y0oC0hhID4do1G0_gfyI1jag72lQd7nL3WDQ/edit?gid=1483885127#gid=1483885127")</f>
        <v>https://docs.google.com/spreadsheets/d/1H1MjbG2y0oC0hhID4do1G0_gfyI1jag72lQd7nL3WDQ/edit?gid=1483885127#gid=1483885127</v>
      </c>
      <c r="I1310" s="19" t="str">
        <f>IFERROR(__xludf.DUMMYFUNCTION("""COMPUTED_VALUE"""),"https://disk.yandex.ru/client/disk/Осмотры%20объектов%20АНО%20СМГ/495.%20СНТ%20Ветеран%201%20реновация")</f>
        <v>https://disk.yandex.ru/client/disk/Осмотры%20объектов%20АНО%20СМГ/495.%20СНТ%20Ветеран%201%20реновация</v>
      </c>
      <c r="J1310" s="50">
        <f>IFERROR(__xludf.DUMMYFUNCTION("""COMPUTED_VALUE"""),100.0)</f>
        <v>100</v>
      </c>
      <c r="K1310" s="58">
        <f>IFERROR(__xludf.DUMMYFUNCTION("""COMPUTED_VALUE"""),45852.0)</f>
        <v>45852</v>
      </c>
      <c r="L1310" s="6" t="s">
        <v>654</v>
      </c>
      <c r="M1310" s="52" t="s">
        <v>655</v>
      </c>
      <c r="N1310" s="53" t="s">
        <v>656</v>
      </c>
      <c r="O1310" s="19" t="s">
        <v>1339</v>
      </c>
      <c r="P1310" s="6"/>
      <c r="Q1310" s="6" t="str">
        <f t="shared" si="1"/>
        <v>#N/A</v>
      </c>
      <c r="R1310" s="6"/>
    </row>
    <row r="1311" hidden="1">
      <c r="A1311" s="70" t="str">
        <f>IFERROR(__xludf.DUMMYFUNCTION("""COMPUTED_VALUE"""),"322")</f>
        <v>322</v>
      </c>
      <c r="B1311" s="14" t="str">
        <f>IFERROR(__xludf.DUMMYFUNCTION("""COMPUTED_VALUE"""),"ВНЕ СПИСКА")</f>
        <v>ВНЕ СПИСКА</v>
      </c>
      <c r="C1311" s="14" t="str">
        <f>IFERROR(__xludf.DUMMYFUNCTION("""COMPUTED_VALUE"""),"ОКС")</f>
        <v>ОКС</v>
      </c>
      <c r="D1311" s="6"/>
      <c r="E1311" s="14" t="str">
        <f>IFERROR(__xludf.DUMMYFUNCTION("""COMPUTED_VALUE"""),"Реконструкция дворца спорта ""Лужники""   ул. Лужники, влд. 24,  стр. 2")</f>
        <v>Реконструкция дворца спорта "Лужники"   ул. Лужники, влд. 24,  стр. 2</v>
      </c>
      <c r="F1311" s="25" t="str">
        <f>IFERROR(__xludf.DUMMYFUNCTION("""COMPUTED_VALUE"""),"#N/A")</f>
        <v>#N/A</v>
      </c>
      <c r="G1311" s="6" t="str">
        <f>IFERROR(__xludf.DUMMYFUNCTION("""COMPUTED_VALUE"""),"#N/A")</f>
        <v>#N/A</v>
      </c>
      <c r="H1311" s="18" t="str">
        <f>IFERROR(__xludf.DUMMYFUNCTION("""COMPUTED_VALUE"""),"https://docs.google.com/spreadsheets/d/1EI7qusa674eJhuaw-nWWtWMEHVSYMQv7HLsInEZTWpE/edit?gid=1258137078#gid=1258137078")</f>
        <v>https://docs.google.com/spreadsheets/d/1EI7qusa674eJhuaw-nWWtWMEHVSYMQv7HLsInEZTWpE/edit?gid=1258137078#gid=1258137078</v>
      </c>
      <c r="I1311" s="19" t="str">
        <f>IFERROR(__xludf.DUMMYFUNCTION("""COMPUTED_VALUE"""),"https://disk.yandex.ru/client/disk/Осмотры%20объектов%20АНО%20СМГ/322.%20Лужники%2C%20Дворец%20спорта")</f>
        <v>https://disk.yandex.ru/client/disk/Осмотры%20объектов%20АНО%20СМГ/322.%20Лужники%2C%20Дворец%20спорта</v>
      </c>
      <c r="J1311" s="50">
        <f>IFERROR(__xludf.DUMMYFUNCTION("""COMPUTED_VALUE"""),0.19125)</f>
        <v>0.19125</v>
      </c>
      <c r="K1311" s="58">
        <f>IFERROR(__xludf.DUMMYFUNCTION("""COMPUTED_VALUE"""),45882.0)</f>
        <v>45882</v>
      </c>
      <c r="L1311" s="6">
        <v>30.0</v>
      </c>
      <c r="M1311" s="52">
        <v>45912.0</v>
      </c>
      <c r="N1311" s="53" t="s">
        <v>668</v>
      </c>
      <c r="O1311" s="19" t="s">
        <v>1340</v>
      </c>
      <c r="P1311" s="6"/>
      <c r="Q1311" s="6" t="str">
        <f t="shared" si="1"/>
        <v>#N/A</v>
      </c>
      <c r="R1311" s="6"/>
    </row>
    <row r="1312" hidden="1">
      <c r="A1312" s="70" t="str">
        <f>IFERROR(__xludf.DUMMYFUNCTION("""COMPUTED_VALUE"""),"324")</f>
        <v>324</v>
      </c>
      <c r="B1312" s="14" t="str">
        <f>IFERROR(__xludf.DUMMYFUNCTION("""COMPUTED_VALUE"""),"ВНЕ СПИСКА")</f>
        <v>ВНЕ СПИСКА</v>
      </c>
      <c r="C1312" s="14" t="str">
        <f>IFERROR(__xludf.DUMMYFUNCTION("""COMPUTED_VALUE"""),"ОКС")</f>
        <v>ОКС</v>
      </c>
      <c r="D1312" s="6"/>
      <c r="E1312" s="14" t="str">
        <f>IFERROR(__xludf.DUMMYFUNCTION("""COMPUTED_VALUE"""),"Многофункциональный комплекс с ареной для керлинга (Малая керлинг арена, Многофункциональные спортивные площадки). район Хорошево-Мневники, Нижние Мневники ул., 3")</f>
        <v>Многофункциональный комплекс с ареной для керлинга (Малая керлинг арена, Многофункциональные спортивные площадки). район Хорошево-Мневники, Нижние Мневники ул., 3</v>
      </c>
      <c r="F1312" s="25" t="str">
        <f>IFERROR(__xludf.DUMMYFUNCTION("""COMPUTED_VALUE"""),"55.744145")</f>
        <v>55.744145</v>
      </c>
      <c r="G1312" s="6" t="str">
        <f>IFERROR(__xludf.DUMMYFUNCTION("""COMPUTED_VALUE"""),"37.460758")</f>
        <v>37.460758</v>
      </c>
      <c r="H1312" s="18" t="str">
        <f>IFERROR(__xludf.DUMMYFUNCTION("""COMPUTED_VALUE"""),"https://docs.google.com/spreadsheets/d/1EI7qusa674eJhuaw-nWWtWMEHVSYMQv7HLsInEZTWpE/edit?gid=1777992828#gid=1777992828")</f>
        <v>https://docs.google.com/spreadsheets/d/1EI7qusa674eJhuaw-nWWtWMEHVSYMQv7HLsInEZTWpE/edit?gid=1777992828#gid=1777992828</v>
      </c>
      <c r="I1312" s="19" t="str">
        <f>IFERROR(__xludf.DUMMYFUNCTION("""COMPUTED_VALUE"""),"https://disk.yandex.ru/client/disk/Осмотры%20объектов%20АНО%20СМГ/324.%20Многофункциональный%20комплекс%20с%20ареной%20для%20керлинга%20(Малая%20керлинг%20арена%2C%20Многофункциональные%20спортивные%20площадки).%20Н.%20Мневники%20зу%203")</f>
        <v>https://disk.yandex.ru/client/disk/Осмотры%20объектов%20АНО%20СМГ/324.%20Многофункциональный%20комплекс%20с%20ареной%20для%20керлинга%20(Малая%20керлинг%20арена%2C%20Многофункциональные%20спортивные%20площадки).%20Н.%20Мневники%20зу%203</v>
      </c>
      <c r="J1312" s="50"/>
      <c r="K1312" s="58">
        <f>IFERROR(__xludf.DUMMYFUNCTION("""COMPUTED_VALUE"""),45937.0)</f>
        <v>45937</v>
      </c>
      <c r="L1312" s="6">
        <v>30.0</v>
      </c>
      <c r="M1312" s="52">
        <v>45967.0</v>
      </c>
      <c r="N1312" s="53" t="s">
        <v>668</v>
      </c>
      <c r="O1312" s="19" t="s">
        <v>1341</v>
      </c>
      <c r="P1312" s="6"/>
      <c r="Q1312" s="6" t="str">
        <f t="shared" si="1"/>
        <v>#N/A</v>
      </c>
      <c r="R1312" s="6"/>
    </row>
    <row r="1313" hidden="1">
      <c r="A1313" s="31" t="str">
        <f>IFERROR(__xludf.DUMMYFUNCTION("""COMPUTED_VALUE"""),"325")</f>
        <v>325</v>
      </c>
      <c r="B1313" s="14" t="str">
        <f>IFERROR(__xludf.DUMMYFUNCTION("""COMPUTED_VALUE"""),"ВНЕ СПИСКА")</f>
        <v>ВНЕ СПИСКА</v>
      </c>
      <c r="C1313" s="14" t="str">
        <f>IFERROR(__xludf.DUMMYFUNCTION("""COMPUTED_VALUE"""),"ОКС")</f>
        <v>ОКС</v>
      </c>
      <c r="D1313" s="6" t="str">
        <f>IFERROR(__xludf.DUMMYFUNCTION("""COMPUTED_VALUE"""),"да")</f>
        <v>да</v>
      </c>
      <c r="E1313" s="14" t="str">
        <f>IFERROR(__xludf.DUMMYFUNCTION("""COMPUTED_VALUE"""),"Научно-клинический нейроонкологический центр с устройством подземного перехода в ПЭТ район Тверской, Фадеева ул., д. 5, стр. 1")</f>
        <v>Научно-клинический нейроонкологический центр с устройством подземного перехода в ПЭТ район Тверской, Фадеева ул., д. 5, стр. 1</v>
      </c>
      <c r="F1313" s="25" t="str">
        <f>IFERROR(__xludf.DUMMYFUNCTION("""COMPUTED_VALUE"""),"#N/A")</f>
        <v>#N/A</v>
      </c>
      <c r="G1313" s="6" t="str">
        <f>IFERROR(__xludf.DUMMYFUNCTION("""COMPUTED_VALUE"""),"#N/A")</f>
        <v>#N/A</v>
      </c>
      <c r="H1313" s="18" t="str">
        <f>IFERROR(__xludf.DUMMYFUNCTION("""COMPUTED_VALUE"""),"https://docs.google.com/spreadsheets/d/1EI7qusa674eJhuaw-nWWtWMEHVSYMQv7HLsInEZTWpE/edit?gid=1173454533#gid=1173454533")</f>
        <v>https://docs.google.com/spreadsheets/d/1EI7qusa674eJhuaw-nWWtWMEHVSYMQv7HLsInEZTWpE/edit?gid=1173454533#gid=1173454533</v>
      </c>
      <c r="I1313" s="19" t="str">
        <f>IFERROR(__xludf.DUMMYFUNCTION("""COMPUTED_VALUE"""),"https://disk.yandex.ru/client/disk/Осмотры%20объектов%20АНО%20СМГ/325.%20Фадеева%20д.%205%20стр.%201")</f>
        <v>https://disk.yandex.ru/client/disk/Осмотры%20объектов%20АНО%20СМГ/325.%20Фадеева%20д.%205%20стр.%201</v>
      </c>
      <c r="J1313" s="50">
        <f>IFERROR(__xludf.DUMMYFUNCTION("""COMPUTED_VALUE"""),0.0)</f>
        <v>0</v>
      </c>
      <c r="K1313" s="58">
        <f>IFERROR(__xludf.DUMMYFUNCTION("""COMPUTED_VALUE"""),45852.0)</f>
        <v>45852</v>
      </c>
      <c r="L1313" s="6">
        <v>30.0</v>
      </c>
      <c r="M1313" s="52">
        <v>45882.0</v>
      </c>
      <c r="N1313" s="53" t="s">
        <v>668</v>
      </c>
      <c r="O1313" s="19" t="s">
        <v>1342</v>
      </c>
      <c r="P1313" s="6"/>
      <c r="Q1313" s="6" t="str">
        <f t="shared" si="1"/>
        <v>#N/A</v>
      </c>
      <c r="R1313" s="6"/>
    </row>
    <row r="1314" hidden="1">
      <c r="A1314" s="70" t="str">
        <f>IFERROR(__xludf.DUMMYFUNCTION("""COMPUTED_VALUE"""),"309")</f>
        <v>309</v>
      </c>
      <c r="B1314" s="14" t="str">
        <f>IFERROR(__xludf.DUMMYFUNCTION("""COMPUTED_VALUE"""),"ВНЕ СПИСКА")</f>
        <v>ВНЕ СПИСКА</v>
      </c>
      <c r="C1314" s="14" t="str">
        <f>IFERROR(__xludf.DUMMYFUNCTION("""COMPUTED_VALUE"""),"ОКС")</f>
        <v>ОКС</v>
      </c>
      <c r="D1314" s="6"/>
      <c r="E1314" s="14" t="str">
        <f>IFERROR(__xludf.DUMMYFUNCTION("""COMPUTED_VALUE"""),"Строительство спортивно-стрелкового комплекса АО ""Лужники"" район Хамовники, Лужники ул., вл. 24")</f>
        <v>Строительство спортивно-стрелкового комплекса АО "Лужники" район Хамовники, Лужники ул., вл. 24</v>
      </c>
      <c r="F1314" s="25" t="str">
        <f>IFERROR(__xludf.DUMMYFUNCTION("""COMPUTED_VALUE"""),"#N/A")</f>
        <v>#N/A</v>
      </c>
      <c r="G1314" s="6" t="str">
        <f>IFERROR(__xludf.DUMMYFUNCTION("""COMPUTED_VALUE"""),"#N/A")</f>
        <v>#N/A</v>
      </c>
      <c r="H1314" s="18" t="str">
        <f>IFERROR(__xludf.DUMMYFUNCTION("""COMPUTED_VALUE"""),"https://docs.google.com/spreadsheets/d/1EI7qusa674eJhuaw-nWWtWMEHVSYMQv7HLsInEZTWpE/edit?gid=1902497282#gid=1902497282")</f>
        <v>https://docs.google.com/spreadsheets/d/1EI7qusa674eJhuaw-nWWtWMEHVSYMQv7HLsInEZTWpE/edit?gid=1902497282#gid=1902497282</v>
      </c>
      <c r="I1314" s="19" t="str">
        <f>IFERROR(__xludf.DUMMYFUNCTION("""COMPUTED_VALUE"""),"https://disk.yandex.ru/client/disk/Осмотры%20объектов%20АНО%20СМГ/309.%20Лужники%2C%20Стрелковый%20клуб")</f>
        <v>https://disk.yandex.ru/client/disk/Осмотры%20объектов%20АНО%20СМГ/309.%20Лужники%2C%20Стрелковый%20клуб</v>
      </c>
      <c r="J1314" s="50">
        <f>IFERROR(__xludf.DUMMYFUNCTION("""COMPUTED_VALUE"""),0.0)</f>
        <v>0</v>
      </c>
      <c r="K1314" s="58">
        <f>IFERROR(__xludf.DUMMYFUNCTION("""COMPUTED_VALUE"""),45846.0)</f>
        <v>45846</v>
      </c>
      <c r="L1314" s="6">
        <v>30.0</v>
      </c>
      <c r="M1314" s="52">
        <v>45876.0</v>
      </c>
      <c r="N1314" s="53" t="s">
        <v>668</v>
      </c>
      <c r="O1314" s="19" t="s">
        <v>1343</v>
      </c>
      <c r="P1314" s="6"/>
      <c r="Q1314" s="6" t="str">
        <f t="shared" si="1"/>
        <v>#N/A</v>
      </c>
      <c r="R1314" s="6"/>
    </row>
    <row r="1315" hidden="1">
      <c r="A1315" s="31" t="str">
        <f>IFERROR(__xludf.DUMMYFUNCTION("""COMPUTED_VALUE"""),"1237")</f>
        <v>1237</v>
      </c>
      <c r="B1315" s="14" t="str">
        <f>IFERROR(__xludf.DUMMYFUNCTION("""COMPUTED_VALUE"""),"ВНЕ СПИСКА")</f>
        <v>ВНЕ СПИСКА</v>
      </c>
      <c r="C1315" s="14" t="str">
        <f>IFERROR(__xludf.DUMMYFUNCTION("""COMPUTED_VALUE"""),"УДС")</f>
        <v>УДС</v>
      </c>
      <c r="D1315" s="6" t="str">
        <f>IFERROR(__xludf.DUMMYFUNCTION("""COMPUTED_VALUE"""),"да")</f>
        <v>да</v>
      </c>
      <c r="E1315" s="14" t="str">
        <f>IFERROR(__xludf.DUMMYFUNCTION("""COMPUTED_VALUE"""),"Открытие пешеходного моста через пруд Дальний район Коммунарка, квартал 226, з/у 3/3")</f>
        <v>Открытие пешеходного моста через пруд Дальний район Коммунарка, квартал 226, з/у 3/3</v>
      </c>
      <c r="F1315" s="25" t="str">
        <f>IFERROR(__xludf.DUMMYFUNCTION("""COMPUTED_VALUE"""),"#N/A")</f>
        <v>#N/A</v>
      </c>
      <c r="G1315" s="6" t="str">
        <f>IFERROR(__xludf.DUMMYFUNCTION("""COMPUTED_VALUE"""),"#N/A")</f>
        <v>#N/A</v>
      </c>
      <c r="H1315" s="18" t="str">
        <f>IFERROR(__xludf.DUMMYFUNCTION("""COMPUTED_VALUE"""),"https://docs.google.com/spreadsheets/d/1EI7qusa674eJhuaw-nWWtWMEHVSYMQv7HLsInEZTWpE/edit?gid=250650053#gid=250650053")</f>
        <v>https://docs.google.com/spreadsheets/d/1EI7qusa674eJhuaw-nWWtWMEHVSYMQv7HLsInEZTWpE/edit?gid=250650053#gid=250650053</v>
      </c>
      <c r="I1315" s="19" t="str">
        <f>IFERROR(__xludf.DUMMYFUNCTION("""COMPUTED_VALUE"""),"https://disk.yandex.ru/client/disk/Осмотры%20объектов%20АНО%20СМГ/1237.%20Пешеходный%20мост%20через%20пруд%20Дальний%20ТиНАО%2C%20район%20Коммунарка%2C%20квартал%20226%2C%20зу%203-3")</f>
        <v>https://disk.yandex.ru/client/disk/Осмотры%20объектов%20АНО%20СМГ/1237.%20Пешеходный%20мост%20через%20пруд%20Дальний%20ТиНАО%2C%20район%20Коммунарка%2C%20квартал%20226%2C%20зу%203-3</v>
      </c>
      <c r="J1315" s="50">
        <f>IFERROR(__xludf.DUMMYFUNCTION("""COMPUTED_VALUE"""),98.599)</f>
        <v>98.599</v>
      </c>
      <c r="K1315" s="58">
        <f>IFERROR(__xludf.DUMMYFUNCTION("""COMPUTED_VALUE"""),45854.0)</f>
        <v>45854</v>
      </c>
      <c r="L1315" s="6">
        <v>7.0</v>
      </c>
      <c r="M1315" s="52">
        <v>45861.0</v>
      </c>
      <c r="N1315" s="53" t="s">
        <v>668</v>
      </c>
      <c r="O1315" s="19" t="s">
        <v>1344</v>
      </c>
      <c r="P1315" s="6"/>
      <c r="Q1315" s="6" t="str">
        <f t="shared" si="1"/>
        <v>#N/A</v>
      </c>
      <c r="R1315" s="6"/>
    </row>
    <row r="1316" hidden="1">
      <c r="A1316" s="31" t="str">
        <f>IFERROR(__xludf.DUMMYFUNCTION("""COMPUTED_VALUE"""),"813")</f>
        <v>813</v>
      </c>
      <c r="B1316" s="14" t="str">
        <f>IFERROR(__xludf.DUMMYFUNCTION("""COMPUTED_VALUE"""),"ВНЕ СПИСКА")</f>
        <v>ВНЕ СПИСКА</v>
      </c>
      <c r="C1316" s="14" t="str">
        <f>IFERROR(__xludf.DUMMYFUNCTION("""COMPUTED_VALUE"""),"ОКС")</f>
        <v>ОКС</v>
      </c>
      <c r="D1316" s="6"/>
      <c r="E1316" s="14" t="str">
        <f>IFERROR(__xludf.DUMMYFUNCTION("""COMPUTED_VALUE"""),"О ходе строительства здания суда Гагаринский и Хамовнический: Б.Черёмушкинская ул., влд. 2А (ЮЗАО) Б.Черемушкинская ул., вл.2А/4")</f>
        <v>О ходе строительства здания суда Гагаринский и Хамовнический: Б.Черёмушкинская ул., влд. 2А (ЮЗАО) Б.Черемушкинская ул., вл.2А/4</v>
      </c>
      <c r="F1316" s="25" t="str">
        <f>IFERROR(__xludf.DUMMYFUNCTION("""COMPUTED_VALUE"""),"55.692816")</f>
        <v>55.692816</v>
      </c>
      <c r="G1316" s="6" t="str">
        <f>IFERROR(__xludf.DUMMYFUNCTION("""COMPUTED_VALUE"""),"37.598639")</f>
        <v>37.598639</v>
      </c>
      <c r="H1316" s="18" t="str">
        <f>IFERROR(__xludf.DUMMYFUNCTION("""COMPUTED_VALUE"""),"https://docs.google.com/spreadsheets/d/1EI7qusa674eJhuaw-nWWtWMEHVSYMQv7HLsInEZTWpE/edit?gid=1920949313#gid=1920949313")</f>
        <v>https://docs.google.com/spreadsheets/d/1EI7qusa674eJhuaw-nWWtWMEHVSYMQv7HLsInEZTWpE/edit?gid=1920949313#gid=1920949313</v>
      </c>
      <c r="I1316" s="6" t="str">
        <f>IFERROR(__xludf.DUMMYFUNCTION("""COMPUTED_VALUE"""),"https://disk.yandex.ru/client/disk/Осмотры%20объектов%20АНО%20СМГ/813.%20Строительство%202-х%20зданий%20судов%20Гагаринский%20и%20Хамовнический_Черемушкинская%202А")</f>
        <v>https://disk.yandex.ru/client/disk/Осмотры%20объектов%20АНО%20СМГ/813.%20Строительство%202-х%20зданий%20судов%20Гагаринский%20и%20Хамовнический_Черемушкинская%202А</v>
      </c>
      <c r="J1316" s="50">
        <f>IFERROR(__xludf.DUMMYFUNCTION("""COMPUTED_VALUE"""),0.125)</f>
        <v>0.125</v>
      </c>
      <c r="K1316" s="58">
        <f>IFERROR(__xludf.DUMMYFUNCTION("""COMPUTED_VALUE"""),45967.0)</f>
        <v>45967</v>
      </c>
      <c r="L1316" s="6">
        <v>30.0</v>
      </c>
      <c r="M1316" s="52">
        <v>45997.0</v>
      </c>
      <c r="N1316" s="53" t="s">
        <v>711</v>
      </c>
      <c r="O1316" s="6" t="s">
        <v>1345</v>
      </c>
      <c r="P1316" s="6"/>
      <c r="Q1316" s="6" t="str">
        <f t="shared" si="1"/>
        <v>#N/A</v>
      </c>
      <c r="R1316" s="6"/>
    </row>
    <row r="1317" hidden="1">
      <c r="A1317" s="31" t="str">
        <f>IFERROR(__xludf.DUMMYFUNCTION("""COMPUTED_VALUE"""),"814")</f>
        <v>814</v>
      </c>
      <c r="B1317" s="14" t="str">
        <f>IFERROR(__xludf.DUMMYFUNCTION("""COMPUTED_VALUE"""),"ВНЕ СПИСКА")</f>
        <v>ВНЕ СПИСКА</v>
      </c>
      <c r="C1317" s="14" t="str">
        <f>IFERROR(__xludf.DUMMYFUNCTION("""COMPUTED_VALUE"""),"ОКС")</f>
        <v>ОКС</v>
      </c>
      <c r="D1317" s="6"/>
      <c r="E1317" s="14" t="str">
        <f>IFERROR(__xludf.DUMMYFUNCTION("""COMPUTED_VALUE"""),"О ходе строительства здания суда Лефортовский и Таганский: Таможенный пр-д, влд. 3 (ЮВАО г. Москва, Таможенный пр-д, з/у 3/5")</f>
        <v>О ходе строительства здания суда Лефортовский и Таганский: Таможенный пр-д, влд. 3 (ЮВАО г. Москва, Таможенный пр-д, з/у 3/5</v>
      </c>
      <c r="F1317" s="25" t="str">
        <f>IFERROR(__xludf.DUMMYFUNCTION("""COMPUTED_VALUE"""),"55.752074")</f>
        <v>55.752074</v>
      </c>
      <c r="G1317" s="6" t="str">
        <f>IFERROR(__xludf.DUMMYFUNCTION("""COMPUTED_VALUE"""),"37.683623")</f>
        <v>37.683623</v>
      </c>
      <c r="H1317" s="18" t="str">
        <f>IFERROR(__xludf.DUMMYFUNCTION("""COMPUTED_VALUE"""),"https://docs.google.com/spreadsheets/d/1EI7qusa674eJhuaw-nWWtWMEHVSYMQv7HLsInEZTWpE/edit?gid=284186374#gid=284186374")</f>
        <v>https://docs.google.com/spreadsheets/d/1EI7qusa674eJhuaw-nWWtWMEHVSYMQv7HLsInEZTWpE/edit?gid=284186374#gid=284186374</v>
      </c>
      <c r="I1317" s="19" t="str">
        <f>IFERROR(__xludf.DUMMYFUNCTION("""COMPUTED_VALUE"""),"https://disk.yandex.ru/client/disk/Осмотры%20объектов%20АНО%20СМГ/814.%20О%20ходе%20проектирования%20и%20строительства%202-х%20зданий%20районных%20судов%3AЛефортовский%20и%20Таганский%2C%20по%20адресу%3A%20Таможенный%20пр-д%2C%20влд.%203")</f>
        <v>https://disk.yandex.ru/client/disk/Осмотры%20объектов%20АНО%20СМГ/814.%20О%20ходе%20проектирования%20и%20строительства%202-х%20зданий%20районных%20судов%3AЛефортовский%20и%20Таганский%2C%20по%20адресу%3A%20Таможенный%20пр-д%2C%20влд.%203</v>
      </c>
      <c r="J1317" s="50">
        <f>IFERROR(__xludf.DUMMYFUNCTION("""COMPUTED_VALUE"""),1.4812500000000002)</f>
        <v>1.48125</v>
      </c>
      <c r="K1317" s="58">
        <f>IFERROR(__xludf.DUMMYFUNCTION("""COMPUTED_VALUE"""),45967.0)</f>
        <v>45967</v>
      </c>
      <c r="L1317" s="6">
        <v>30.0</v>
      </c>
      <c r="M1317" s="52">
        <v>45997.0</v>
      </c>
      <c r="N1317" s="53" t="s">
        <v>711</v>
      </c>
      <c r="O1317" s="19" t="s">
        <v>1346</v>
      </c>
      <c r="P1317" s="6"/>
      <c r="Q1317" s="6" t="str">
        <f t="shared" si="1"/>
        <v>#N/A</v>
      </c>
      <c r="R1317" s="6"/>
    </row>
    <row r="1318" hidden="1">
      <c r="A1318" s="31" t="str">
        <f>IFERROR(__xludf.DUMMYFUNCTION("""COMPUTED_VALUE"""),"094")</f>
        <v>094</v>
      </c>
      <c r="B1318" s="14" t="str">
        <f>IFERROR(__xludf.DUMMYFUNCTION("""COMPUTED_VALUE"""),"ВНЕ СПИСКА")</f>
        <v>ВНЕ СПИСКА</v>
      </c>
      <c r="C1318" s="14" t="str">
        <f>IFERROR(__xludf.DUMMYFUNCTION("""COMPUTED_VALUE"""),"ОКС")</f>
        <v>ОКС</v>
      </c>
      <c r="D1318" s="6"/>
      <c r="E1318" s="14" t="str">
        <f>IFERROR(__xludf.DUMMYFUNCTION("""COMPUTED_VALUE"""),"ЖК «Марушкино», комплекс многоэтажных домов по адресу: г. Москва, НАО, поселение Марушкинское, деревня Марушкино, дом 1, 2, 3, 4 (завершение строительства), ЛОС г. Москва, внутригородская территория поселения Марушкинское, д. Марушкино, ул. Северная, д.21"&amp;", корп. 1,2,3,4")</f>
        <v>ЖК «Марушкино», комплекс многоэтажных домов по адресу: г. Москва, НАО, поселение Марушкинское, деревня Марушкино, дом 1, 2, 3, 4 (завершение строительства), ЛОС г. Москва, внутригородская территория поселения Марушкинское, д. Марушкино, ул. Северная, д.21, корп. 1,2,3,4</v>
      </c>
      <c r="F1318" s="25" t="str">
        <f>IFERROR(__xludf.DUMMYFUNCTION("""COMPUTED_VALUE"""),"#N/A")</f>
        <v>#N/A</v>
      </c>
      <c r="G1318" s="6" t="str">
        <f>IFERROR(__xludf.DUMMYFUNCTION("""COMPUTED_VALUE"""),"#N/A")</f>
        <v>#N/A</v>
      </c>
      <c r="H1318" s="18" t="str">
        <f>IFERROR(__xludf.DUMMYFUNCTION("""COMPUTED_VALUE"""),"https://docs.google.com/spreadsheets/d/1EI7qusa674eJhuaw-nWWtWMEHVSYMQv7HLsInEZTWpE/edit?gid=625849428#gid=625849428")</f>
        <v>https://docs.google.com/spreadsheets/d/1EI7qusa674eJhuaw-nWWtWMEHVSYMQv7HLsInEZTWpE/edit?gid=625849428#gid=625849428</v>
      </c>
      <c r="I1318" s="21" t="str">
        <f>IFERROR(__xludf.DUMMYFUNCTION("""COMPUTED_VALUE"""),"https://disk.yandex.ru/d/Ty3YtVPOrmVJ6A")</f>
        <v>https://disk.yandex.ru/d/Ty3YtVPOrmVJ6A</v>
      </c>
      <c r="J1318" s="50">
        <f>IFERROR(__xludf.DUMMYFUNCTION("""COMPUTED_VALUE"""),100.0)</f>
        <v>100</v>
      </c>
      <c r="K1318" s="58">
        <f>IFERROR(__xludf.DUMMYFUNCTION("""COMPUTED_VALUE"""),45861.0)</f>
        <v>45861</v>
      </c>
      <c r="L1318" s="6" t="s">
        <v>654</v>
      </c>
      <c r="M1318" s="52" t="s">
        <v>655</v>
      </c>
      <c r="N1318" s="53" t="s">
        <v>656</v>
      </c>
      <c r="O1318" s="19" t="s">
        <v>1347</v>
      </c>
      <c r="P1318" s="6"/>
      <c r="Q1318" s="6" t="str">
        <f t="shared" si="1"/>
        <v>#N/A</v>
      </c>
      <c r="R1318" s="6"/>
    </row>
    <row r="1319" hidden="1">
      <c r="A1319" s="31" t="str">
        <f>IFERROR(__xludf.DUMMYFUNCTION("""COMPUTED_VALUE"""),"1269")</f>
        <v>1269</v>
      </c>
      <c r="B1319" s="14" t="str">
        <f>IFERROR(__xludf.DUMMYFUNCTION("""COMPUTED_VALUE"""),"ВНЕ СПИСКА")</f>
        <v>ВНЕ СПИСКА</v>
      </c>
      <c r="C1319" s="14" t="str">
        <f>IFERROR(__xludf.DUMMYFUNCTION("""COMPUTED_VALUE"""),"ОКС")</f>
        <v>ОКС</v>
      </c>
      <c r="D1319" s="6"/>
      <c r="E1319" s="14" t="str">
        <f>IFERROR(__xludf.DUMMYFUNCTION("""COMPUTED_VALUE"""),"ЖК «Марушкино», комплекс многоэтажных домов по адресу: г. Москва, НАО, поселение Марушкинское, деревня Марушкино, дом 1, 2, 3, 4 (завершение строительства) г. Москва, внутригородская территория поселения Марушкинское, д. Марушкино, ул. Северная, д.21, кор"&amp;"п. 1,2,3,4")</f>
        <v>ЖК «Марушкино», комплекс многоэтажных домов по адресу: г. Москва, НАО, поселение Марушкинское, деревня Марушкино, дом 1, 2, 3, 4 (завершение строительства) г. Москва, внутригородская территория поселения Марушкинское, д. Марушкино, ул. Северная, д.21, корп. 1,2,3,4</v>
      </c>
      <c r="F1319" s="25" t="str">
        <f>IFERROR(__xludf.DUMMYFUNCTION("""COMPUTED_VALUE"""),"#N/A")</f>
        <v>#N/A</v>
      </c>
      <c r="G1319" s="6" t="str">
        <f>IFERROR(__xludf.DUMMYFUNCTION("""COMPUTED_VALUE"""),"#N/A")</f>
        <v>#N/A</v>
      </c>
      <c r="H1319" s="18" t="str">
        <f>IFERROR(__xludf.DUMMYFUNCTION("""COMPUTED_VALUE"""),"https://docs.google.com/spreadsheets/d/1EI7qusa674eJhuaw-nWWtWMEHVSYMQv7HLsInEZTWpE/edit?gid=1718528248#gid=1718528248")</f>
        <v>https://docs.google.com/spreadsheets/d/1EI7qusa674eJhuaw-nWWtWMEHVSYMQv7HLsInEZTWpE/edit?gid=1718528248#gid=1718528248</v>
      </c>
      <c r="I1319" s="21" t="str">
        <f>IFERROR(__xludf.DUMMYFUNCTION("""COMPUTED_VALUE"""),"https://disk.yandex.ru/client/disk/%D0%9E%D1%81%D0%BC%D0%BE%D1%82%D1%80%D1%8B%20%D0%BE%D0%B1%D1%8A%D0%B5%D0%BA%D1%82%D0%BE%D0%B2%20%D0%90%D0%9D%D0%9E%20%D0%A1%D0%9C%D0%93/1269.%20%D0%96%D0%9A%20%D0%9C%D0%B0%D1%80%D1%83%D1%88%D0%BA%D0%B8%D0%BD%D0%BE%2C%20%"&amp;"D1%83%D0%BB.%20%D0%A1%D0%B5%D0%B2%D0%B5%D1%80%D0%BD%D0%B0%D1%8F%2C%20%D0%B4.%2021%2C%20%D0%BA.%201-4")</f>
        <v>https://disk.yandex.ru/client/disk/%D0%9E%D1%81%D0%BC%D0%BE%D1%82%D1%80%D1%8B%20%D0%BE%D0%B1%D1%8A%D0%B5%D0%BA%D1%82%D0%BE%D0%B2%20%D0%90%D0%9D%D0%9E%20%D0%A1%D0%9C%D0%93/1269.%20%D0%96%D0%9A%20%D0%9C%D0%B0%D1%80%D1%83%D1%88%D0%BA%D0%B8%D0%BD%D0%BE%2C%20%D1%83%D0%BB.%20%D0%A1%D0%B5%D0%B2%D0%B5%D1%80%D0%BD%D0%B0%D1%8F%2C%20%D0%B4.%2021%2C%20%D0%BA.%201-4</v>
      </c>
      <c r="J1319" s="50">
        <f>IFERROR(__xludf.DUMMYFUNCTION("""COMPUTED_VALUE"""),100.0)</f>
        <v>100</v>
      </c>
      <c r="K1319" s="58">
        <f>IFERROR(__xludf.DUMMYFUNCTION("""COMPUTED_VALUE"""),45861.0)</f>
        <v>45861</v>
      </c>
      <c r="L1319" s="6" t="s">
        <v>654</v>
      </c>
      <c r="M1319" s="52" t="s">
        <v>655</v>
      </c>
      <c r="N1319" s="53" t="s">
        <v>656</v>
      </c>
      <c r="O1319" s="19" t="s">
        <v>1348</v>
      </c>
      <c r="P1319" s="6"/>
      <c r="Q1319" s="6" t="str">
        <f t="shared" si="1"/>
        <v>#N/A</v>
      </c>
      <c r="R1319" s="6"/>
    </row>
    <row r="1320" hidden="1">
      <c r="A1320" s="31" t="str">
        <f>IFERROR(__xludf.DUMMYFUNCTION("""COMPUTED_VALUE"""),"454д")</f>
        <v>454д</v>
      </c>
      <c r="B1320" s="14" t="str">
        <f>IFERROR(__xludf.DUMMYFUNCTION("""COMPUTED_VALUE"""),"ДСТИ")</f>
        <v>ДСТИ</v>
      </c>
      <c r="C1320" s="14" t="str">
        <f>IFERROR(__xludf.DUMMYFUNCTION("""COMPUTED_VALUE"""),"УДС")</f>
        <v>УДС</v>
      </c>
      <c r="D1320" s="6"/>
      <c r="E1320" s="14" t="str">
        <f>IFERROR(__xludf.DUMMYFUNCTION("""COMPUTED_VALUE"""),"Строительство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f>
        <v>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v>
      </c>
      <c r="F1320" s="25" t="str">
        <f>IFERROR(__xludf.DUMMYFUNCTION("""COMPUTED_VALUE"""),"#N/A")</f>
        <v>#N/A</v>
      </c>
      <c r="G1320" s="6" t="str">
        <f>IFERROR(__xludf.DUMMYFUNCTION("""COMPUTED_VALUE"""),"#N/A")</f>
        <v>#N/A</v>
      </c>
      <c r="H1320" s="6"/>
      <c r="I1320" s="19"/>
      <c r="J1320" s="50">
        <f>IFERROR(__xludf.DUMMYFUNCTION("""COMPUTED_VALUE"""),71.72900000000001)</f>
        <v>71.729</v>
      </c>
      <c r="K1320" s="58">
        <f>IFERROR(__xludf.DUMMYFUNCTION("""COMPUTED_VALUE"""),45923.0)</f>
        <v>45923</v>
      </c>
      <c r="L1320" s="6">
        <v>14.0</v>
      </c>
      <c r="M1320" s="52">
        <v>45937.0</v>
      </c>
      <c r="N1320" s="53" t="s">
        <v>668</v>
      </c>
      <c r="O1320" s="19" t="s">
        <v>1349</v>
      </c>
      <c r="P1320" s="6"/>
      <c r="Q1320" s="6" t="str">
        <f t="shared" si="1"/>
        <v>#N/A</v>
      </c>
      <c r="R1320" s="6"/>
    </row>
    <row r="1321" hidden="1">
      <c r="A1321" s="31" t="str">
        <f>IFERROR(__xludf.DUMMYFUNCTION("""COMPUTED_VALUE"""),"нд")</f>
        <v>нд</v>
      </c>
      <c r="B1321" s="14" t="str">
        <f>IFERROR(__xludf.DUMMYFUNCTION("""COMPUTED_VALUE"""),"ВНЕ СПИСКА")</f>
        <v>ВНЕ СПИСКА</v>
      </c>
      <c r="C1321" s="14" t="str">
        <f>IFERROR(__xludf.DUMMYFUNCTION("""COMPUTED_VALUE"""),"УДС")</f>
        <v>УДС</v>
      </c>
      <c r="D1321" s="6"/>
      <c r="E1321" s="14" t="str">
        <f>IFERROR(__xludf.DUMMYFUNCTION("""COMPUTED_VALUE"""),"Строительство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5 Этап - Этап V - «Ст"&amp;"роитльство конечных станций в районе станций метро «Филатов луг», «Прокшино» «Столбово», «Ольховая». г. Москва, п. Московский")</f>
        <v>Строительство временных парковок личного транспорта, временных отстойно-разворотных площадок и участков улично-дорожной сети у станций метро "Филатов луг", "Прокшино" и "Столбово". Подъездная дорога к электродепо "Саларьево". 5 Этап - Этап V - «Строитльство конечных станций в районе станций метро «Филатов луг», «Прокшино» «Столбово», «Ольховая». г. Москва, п. Московский</v>
      </c>
      <c r="F1321" s="25" t="str">
        <f>IFERROR(__xludf.DUMMYFUNCTION("""COMPUTED_VALUE"""),"#N/A")</f>
        <v>#N/A</v>
      </c>
      <c r="G1321" s="6" t="str">
        <f>IFERROR(__xludf.DUMMYFUNCTION("""COMPUTED_VALUE"""),"#N/A")</f>
        <v>#N/A</v>
      </c>
      <c r="H1321" s="6"/>
      <c r="I1321" s="6"/>
      <c r="J1321" s="50"/>
      <c r="K1321" s="58"/>
      <c r="L1321" s="6">
        <v>30.0</v>
      </c>
      <c r="M1321" s="52" t="s">
        <v>655</v>
      </c>
      <c r="N1321" s="53" t="s">
        <v>698</v>
      </c>
      <c r="O1321" s="6" t="s">
        <v>1350</v>
      </c>
      <c r="P1321" s="6"/>
      <c r="Q1321" s="6" t="str">
        <f t="shared" si="1"/>
        <v>#N/A</v>
      </c>
      <c r="R1321" s="6"/>
    </row>
    <row r="1322" hidden="1">
      <c r="A1322" s="31" t="str">
        <f>IFERROR(__xludf.DUMMYFUNCTION("""COMPUTED_VALUE"""),"1238")</f>
        <v>1238</v>
      </c>
      <c r="B1322" s="14" t="str">
        <f>IFERROR(__xludf.DUMMYFUNCTION("""COMPUTED_VALUE"""),"ВНЕ СПИСКА")</f>
        <v>ВНЕ СПИСКА</v>
      </c>
      <c r="C1322" s="14" t="str">
        <f>IFERROR(__xludf.DUMMYFUNCTION("""COMPUTED_VALUE"""),"ОКС")</f>
        <v>ОКС</v>
      </c>
      <c r="D1322" s="6"/>
      <c r="E1322" s="14" t="str">
        <f>IFERROR(__xludf.DUMMYFUNCTION("""COMPUTED_VALUE"""),"Жилой дом с инженерными сетями и благоустройством территории, САО, район Головинский, 2-й Лихачевский переулок дом 4/1 (2-й Лихачевский переулок, зу 4) 2-й Лихачевский пер., з/у 4")</f>
        <v>Жилой дом с инженерными сетями и благоустройством территории, САО, район Головинский, 2-й Лихачевский переулок дом 4/1 (2-й Лихачевский переулок, зу 4) 2-й Лихачевский пер., з/у 4</v>
      </c>
      <c r="F1322" s="25" t="str">
        <f>IFERROR(__xludf.DUMMYFUNCTION("""COMPUTED_VALUE"""),"#N/A")</f>
        <v>#N/A</v>
      </c>
      <c r="G1322" s="6" t="str">
        <f>IFERROR(__xludf.DUMMYFUNCTION("""COMPUTED_VALUE"""),"#N/A")</f>
        <v>#N/A</v>
      </c>
      <c r="H1322" s="18" t="str">
        <f>IFERROR(__xludf.DUMMYFUNCTION("""COMPUTED_VALUE"""),"https://docs.google.com/spreadsheets/d/1EI7qusa674eJhuaw-nWWtWMEHVSYMQv7HLsInEZTWpE/edit?gid=706983585#gid=706983585")</f>
        <v>https://docs.google.com/spreadsheets/d/1EI7qusa674eJhuaw-nWWtWMEHVSYMQv7HLsInEZTWpE/edit?gid=706983585#gid=706983585</v>
      </c>
      <c r="I1322" s="6" t="str">
        <f>IFERROR(__xludf.DUMMYFUNCTION("""COMPUTED_VALUE"""),"https://disk.yandex.ru/client/disk/Осмотры%20объектов%20АНО%20СМГ/1238.%202%20Лизачевакий%20переулок%204")</f>
        <v>https://disk.yandex.ru/client/disk/Осмотры%20объектов%20АНО%20СМГ/1238.%202%20Лизачевакий%20переулок%204</v>
      </c>
      <c r="J1322" s="50">
        <f>IFERROR(__xludf.DUMMYFUNCTION("""COMPUTED_VALUE"""),97.314)</f>
        <v>97.314</v>
      </c>
      <c r="K1322" s="58">
        <f>IFERROR(__xludf.DUMMYFUNCTION("""COMPUTED_VALUE"""),45846.0)</f>
        <v>45846</v>
      </c>
      <c r="L1322" s="6">
        <v>7.0</v>
      </c>
      <c r="M1322" s="52">
        <v>45853.0</v>
      </c>
      <c r="N1322" s="53" t="s">
        <v>652</v>
      </c>
      <c r="O1322" s="6" t="s">
        <v>1351</v>
      </c>
      <c r="P1322" s="6"/>
      <c r="Q1322" s="6" t="str">
        <f t="shared" si="1"/>
        <v>#N/A</v>
      </c>
      <c r="R1322" s="6"/>
    </row>
    <row r="1323" hidden="1">
      <c r="A1323" s="31" t="str">
        <f>IFERROR(__xludf.DUMMYFUNCTION("""COMPUTED_VALUE"""),"1239")</f>
        <v>1239</v>
      </c>
      <c r="B1323" s="14" t="str">
        <f>IFERROR(__xludf.DUMMYFUNCTION("""COMPUTED_VALUE"""),"РЕН-25")</f>
        <v>РЕН-25</v>
      </c>
      <c r="C1323" s="14" t="str">
        <f>IFERROR(__xludf.DUMMYFUNCTION("""COMPUTED_VALUE"""),"ОКС")</f>
        <v>ОКС</v>
      </c>
      <c r="D1323" s="6"/>
      <c r="E1323" s="14" t="str">
        <f>IFERROR(__xludf.DUMMYFUNCTION("""COMPUTED_VALUE"""),"Жилой дом с инженерными сетями и благоустройством территории (со сносом жилых домов по адресам: Волгоградский пр-т, д. 107, к.3 и Волгоградский пр-т, д. 107, к.4), ЮВАО, внутригородское муниципальное образование Кузьминки, Волгоградский проспект, дом 107 "&amp;"корпус 4 (земельный участок 107/4) Волгоградский пр-т, з/у 107/4")</f>
        <v>Жилой дом с инженерными сетями и благоустройством территории (со сносом жилых домов по адресам: Волгоградский пр-т, д. 107, к.3 и Волгоградский пр-т, д. 107, к.4), ЮВАО, внутригородское муниципальное образование Кузьминки, Волгоградский проспект, дом 107 корпус 4 (земельный участок 107/4) Волгоградский пр-т, з/у 107/4</v>
      </c>
      <c r="F1323" s="25" t="str">
        <f>IFERROR(__xludf.DUMMYFUNCTION("""COMPUTED_VALUE"""),"#N/A")</f>
        <v>#N/A</v>
      </c>
      <c r="G1323" s="6" t="str">
        <f>IFERROR(__xludf.DUMMYFUNCTION("""COMPUTED_VALUE"""),"#N/A")</f>
        <v>#N/A</v>
      </c>
      <c r="H1323" s="18" t="str">
        <f>IFERROR(__xludf.DUMMYFUNCTION("""COMPUTED_VALUE"""),"https://docs.google.com/spreadsheets/d/1H1MjbG2y0oC0hhID4do1G0_gfyI1jag72lQd7nL3WDQ/edit?gid=1207523393#gid=1207523393")</f>
        <v>https://docs.google.com/spreadsheets/d/1H1MjbG2y0oC0hhID4do1G0_gfyI1jag72lQd7nL3WDQ/edit?gid=1207523393#gid=1207523393</v>
      </c>
      <c r="I1323" s="19" t="str">
        <f>IFERROR(__xludf.DUMMYFUNCTION("""COMPUTED_VALUE"""),"https://disk.yandex.ru/client/disk/Осмотры%20объектов%20АНО%20СМГ/1239%20Волгоградский%20пр-т%20107%2C%20к.4")</f>
        <v>https://disk.yandex.ru/client/disk/Осмотры%20объектов%20АНО%20СМГ/1239%20Волгоградский%20пр-т%20107%2C%20к.4</v>
      </c>
      <c r="J1323" s="50">
        <f>IFERROR(__xludf.DUMMYFUNCTION("""COMPUTED_VALUE"""),99.84281)</f>
        <v>99.84281</v>
      </c>
      <c r="K1323" s="58">
        <f>IFERROR(__xludf.DUMMYFUNCTION("""COMPUTED_VALUE"""),45874.0)</f>
        <v>45874</v>
      </c>
      <c r="L1323" s="6">
        <v>7.0</v>
      </c>
      <c r="M1323" s="52">
        <v>45881.0</v>
      </c>
      <c r="N1323" s="53" t="s">
        <v>652</v>
      </c>
      <c r="O1323" s="19" t="s">
        <v>1352</v>
      </c>
      <c r="P1323" s="6"/>
      <c r="Q1323" s="6" t="str">
        <f t="shared" si="1"/>
        <v>#N/A</v>
      </c>
      <c r="R1323" s="6"/>
    </row>
    <row r="1324" hidden="1">
      <c r="A1324" s="31" t="str">
        <f>IFERROR(__xludf.DUMMYFUNCTION("""COMPUTED_VALUE"""),"НД")</f>
        <v>НД</v>
      </c>
      <c r="B1324" s="14" t="str">
        <f>IFERROR(__xludf.DUMMYFUNCTION("""COMPUTED_VALUE"""),"ВНЕ СПИСКА")</f>
        <v>ВНЕ СПИСКА</v>
      </c>
      <c r="C1324" s="14" t="str">
        <f>IFERROR(__xludf.DUMMYFUNCTION("""COMPUTED_VALUE"""),"ОКС")</f>
        <v>ОКС</v>
      </c>
      <c r="D1324" s="6" t="str">
        <f>IFERROR(__xludf.DUMMYFUNCTION("""COMPUTED_VALUE"""),"да")</f>
        <v>да</v>
      </c>
      <c r="E1324" s="14" t="str">
        <f>IFERROR(__xludf.DUMMYFUNCTION("""COMPUTED_VALUE"""),"Хамовники, ул. Усачева, 22 Хамовники, ул. Усачева, 22")</f>
        <v>Хамовники, ул. Усачева, 22 Хамовники, ул. Усачева, 22</v>
      </c>
      <c r="F1324" s="25" t="str">
        <f>IFERROR(__xludf.DUMMYFUNCTION("""COMPUTED_VALUE"""),"#N/A")</f>
        <v>#N/A</v>
      </c>
      <c r="G1324" s="6" t="str">
        <f>IFERROR(__xludf.DUMMYFUNCTION("""COMPUTED_VALUE"""),"#N/A")</f>
        <v>#N/A</v>
      </c>
      <c r="H1324" s="6"/>
      <c r="I1324" s="19" t="str">
        <f>IFERROR(__xludf.DUMMYFUNCTION("""COMPUTED_VALUE"""),"https://disk.yandex.ru/client/disk/Осмотры%20объектов%20АНО%20СМГ/Усачева%2022")</f>
        <v>https://disk.yandex.ru/client/disk/Осмотры%20объектов%20АНО%20СМГ/Усачева%2022</v>
      </c>
      <c r="J1324" s="50"/>
      <c r="K1324" s="58"/>
      <c r="L1324" s="6">
        <v>30.0</v>
      </c>
      <c r="M1324" s="52" t="s">
        <v>655</v>
      </c>
      <c r="N1324" s="53" t="s">
        <v>698</v>
      </c>
      <c r="O1324" s="19" t="s">
        <v>1353</v>
      </c>
      <c r="P1324" s="6"/>
      <c r="Q1324" s="6" t="str">
        <f t="shared" si="1"/>
        <v>#N/A</v>
      </c>
      <c r="R1324" s="6"/>
    </row>
    <row r="1325" hidden="1">
      <c r="A1325" s="31" t="str">
        <f>IFERROR(__xludf.DUMMYFUNCTION("""COMPUTED_VALUE"""),"НД")</f>
        <v>НД</v>
      </c>
      <c r="B1325" s="14" t="str">
        <f>IFERROR(__xludf.DUMMYFUNCTION("""COMPUTED_VALUE"""),"ВНЕ СПИСКА")</f>
        <v>ВНЕ СПИСКА</v>
      </c>
      <c r="C1325" s="14" t="str">
        <f>IFERROR(__xludf.DUMMYFUNCTION("""COMPUTED_VALUE"""),"ОКС")</f>
        <v>ОКС</v>
      </c>
      <c r="D1325" s="6"/>
      <c r="E1325" s="14" t="str">
        <f>IFERROR(__xludf.DUMMYFUNCTION("""COMPUTED_VALUE"""),"Выполнение проектно-изыскательских работ по объекту: ""Спортивный комплекс по адресу: р-н Выхино-Жулебино, пересечение ул. Привольная и ул. Авиаконструктора Миля"" пересечение ул. Привольная и ул. Авиаконструктора Миля")</f>
        <v>Выполнение проектно-изыскательских работ по объекту: "Спортивный комплекс по адресу: р-н Выхино-Жулебино, пересечение ул. Привольная и ул. Авиаконструктора Миля" пересечение ул. Привольная и ул. Авиаконструктора Миля</v>
      </c>
      <c r="F1325" s="25" t="str">
        <f>IFERROR(__xludf.DUMMYFUNCTION("""COMPUTED_VALUE"""),"#N/A")</f>
        <v>#N/A</v>
      </c>
      <c r="G1325" s="6" t="str">
        <f>IFERROR(__xludf.DUMMYFUNCTION("""COMPUTED_VALUE"""),"#N/A")</f>
        <v>#N/A</v>
      </c>
      <c r="H1325" s="6"/>
      <c r="I1325" s="19"/>
      <c r="J1325" s="50"/>
      <c r="K1325" s="58"/>
      <c r="L1325" s="6">
        <v>30.0</v>
      </c>
      <c r="M1325" s="52" t="s">
        <v>655</v>
      </c>
      <c r="N1325" s="53" t="s">
        <v>698</v>
      </c>
      <c r="O1325" s="19" t="s">
        <v>1354</v>
      </c>
      <c r="P1325" s="6"/>
      <c r="Q1325" s="6" t="str">
        <f t="shared" si="1"/>
        <v>#N/A</v>
      </c>
      <c r="R1325" s="6"/>
    </row>
    <row r="1326" hidden="1">
      <c r="A1326" s="31" t="str">
        <f>IFERROR(__xludf.DUMMYFUNCTION("""COMPUTED_VALUE"""),"НД")</f>
        <v>НД</v>
      </c>
      <c r="B1326" s="14" t="str">
        <f>IFERROR(__xludf.DUMMYFUNCTION("""COMPUTED_VALUE"""),"ВНЕ СПИСКА")</f>
        <v>ВНЕ СПИСКА</v>
      </c>
      <c r="C1326" s="14" t="str">
        <f>IFERROR(__xludf.DUMMYFUNCTION("""COMPUTED_VALUE"""),"УДС")</f>
        <v>УДС</v>
      </c>
      <c r="D1326" s="6"/>
      <c r="E1326" s="14" t="str">
        <f>IFERROR(__xludf.DUMMYFUNCTION("""COMPUTED_VALUE"""),"Выполнение проектно-изыскательских работ и работ по строительству объекта капитального строительства «Улично-дорожная сеть к ТПУ «Терешково», включая проезд от ул. 50 лет Октября до ул. Татьянин парк» 2 этап» Улично-дорожная сеть к ТПУ ""Терешково"", вклю"&amp;"чая проезд от ул. 50 лет Октября до ул. Татьянин парк")</f>
        <v>Выполнение проектно-изыскательских работ и работ по строительству объекта капитального строительства «Улично-дорожная сеть к ТПУ «Терешково», включая проезд от ул. 50 лет Октября до ул. Татьянин парк» 2 этап» Улично-дорожная сеть к ТПУ "Терешково", включая проезд от ул. 50 лет Октября до ул. Татьянин парк</v>
      </c>
      <c r="F1326" s="25" t="str">
        <f>IFERROR(__xludf.DUMMYFUNCTION("""COMPUTED_VALUE"""),"#N/A")</f>
        <v>#N/A</v>
      </c>
      <c r="G1326" s="6" t="str">
        <f>IFERROR(__xludf.DUMMYFUNCTION("""COMPUTED_VALUE"""),"#N/A")</f>
        <v>#N/A</v>
      </c>
      <c r="H1326" s="6"/>
      <c r="I1326" s="19"/>
      <c r="J1326" s="50"/>
      <c r="K1326" s="58"/>
      <c r="L1326" s="6">
        <v>30.0</v>
      </c>
      <c r="M1326" s="52" t="s">
        <v>655</v>
      </c>
      <c r="N1326" s="53" t="s">
        <v>698</v>
      </c>
      <c r="O1326" s="19" t="s">
        <v>1355</v>
      </c>
      <c r="P1326" s="6"/>
      <c r="Q1326" s="6" t="str">
        <f t="shared" si="1"/>
        <v>#N/A</v>
      </c>
      <c r="R1326" s="6"/>
    </row>
    <row r="1327" hidden="1">
      <c r="A1327" s="31" t="str">
        <f>IFERROR(__xludf.DUMMYFUNCTION("""COMPUTED_VALUE"""),"НД")</f>
        <v>НД</v>
      </c>
      <c r="B1327" s="14" t="str">
        <f>IFERROR(__xludf.DUMMYFUNCTION("""COMPUTED_VALUE"""),"ВНЕ СПИСКА")</f>
        <v>ВНЕ СПИСКА</v>
      </c>
      <c r="C1327" s="14" t="str">
        <f>IFERROR(__xludf.DUMMYFUNCTION("""COMPUTED_VALUE"""),"ОКС")</f>
        <v>ОКС</v>
      </c>
      <c r="D1327" s="6" t="str">
        <f>IFERROR(__xludf.DUMMYFUNCTION("""COMPUTED_VALUE"""),"да")</f>
        <v>да</v>
      </c>
      <c r="E1327" s="14" t="str">
        <f>IFERROR(__xludf.DUMMYFUNCTION("""COMPUTED_VALUE"""),"О размещении Национального центра ""Россия"" Краснопресненская набережная, влд. 14")</f>
        <v>О размещении Национального центра "Россия" Краснопресненская набережная, влд. 14</v>
      </c>
      <c r="F1327" s="25" t="str">
        <f>IFERROR(__xludf.DUMMYFUNCTION("""COMPUTED_VALUE"""),"#N/A")</f>
        <v>#N/A</v>
      </c>
      <c r="G1327" s="6" t="str">
        <f>IFERROR(__xludf.DUMMYFUNCTION("""COMPUTED_VALUE"""),"#N/A")</f>
        <v>#N/A</v>
      </c>
      <c r="H1327" s="6"/>
      <c r="I1327" s="6" t="str">
        <f>IFERROR(__xludf.DUMMYFUNCTION("""COMPUTED_VALUE"""),"https://disk.yandex.ru/client/disk/Осмотры%20объектов%20АНО%20СМГ/Национальный%20центр%20%22РОССИЯ%22%20%2C%20Краснопресненская%20набережная%2C%20вл.14%2C%20ЦАО")</f>
        <v>https://disk.yandex.ru/client/disk/Осмотры%20объектов%20АНО%20СМГ/Национальный%20центр%20%22РОССИЯ%22%20%2C%20Краснопресненская%20набережная%2C%20вл.14%2C%20ЦАО</v>
      </c>
      <c r="J1327" s="50"/>
      <c r="K1327" s="58"/>
      <c r="L1327" s="6">
        <v>30.0</v>
      </c>
      <c r="M1327" s="52" t="s">
        <v>655</v>
      </c>
      <c r="N1327" s="53" t="s">
        <v>698</v>
      </c>
      <c r="O1327" s="6" t="s">
        <v>1356</v>
      </c>
      <c r="P1327" s="6"/>
      <c r="Q1327" s="6" t="str">
        <f t="shared" si="1"/>
        <v>#N/A</v>
      </c>
      <c r="R1327" s="6"/>
    </row>
    <row r="1328" hidden="1">
      <c r="A1328" s="31" t="str">
        <f>IFERROR(__xludf.DUMMYFUNCTION("""COMPUTED_VALUE"""),"058")</f>
        <v>058</v>
      </c>
      <c r="B1328" s="14" t="str">
        <f>IFERROR(__xludf.DUMMYFUNCTION("""COMPUTED_VALUE"""),"ВНЕ СПИСКА")</f>
        <v>ВНЕ СПИСКА</v>
      </c>
      <c r="C1328" s="14" t="str">
        <f>IFERROR(__xludf.DUMMYFUNCTION("""COMPUTED_VALUE"""),"ОКС")</f>
        <v>ОКС</v>
      </c>
      <c r="D1328" s="6" t="str">
        <f>IFERROR(__xludf.DUMMYFUNCTION("""COMPUTED_VALUE"""),"да")</f>
        <v>да</v>
      </c>
      <c r="E1328" s="14" t="str">
        <f>IFERROR(__xludf.DUMMYFUNCTION("""COMPUTED_VALUE"""),"Комплекс СОШ+ДОУ Образовательный комплекс (СОШ 750, ДОУ 300) п. Филимонковское, ОАО «Марьинская птицефабрика», вблизи д. Марьино, ЖК «Квартал Марьино» вблизи д. Марьино, квартал 176, земельный участок 1/3")</f>
        <v>Комплекс СОШ+ДОУ Образовательный комплекс (СОШ 750, ДОУ 300) п. Филимонковское, ОАО «Марьинская птицефабрика», вблизи д. Марьино, ЖК «Квартал Марьино» вблизи д. Марьино, квартал 176, земельный участок 1/3</v>
      </c>
      <c r="F1328" s="25" t="str">
        <f>IFERROR(__xludf.DUMMYFUNCTION("""COMPUTED_VALUE"""),"55.549503401242475")</f>
        <v>55.549503401242475</v>
      </c>
      <c r="G1328" s="6" t="str">
        <f>IFERROR(__xludf.DUMMYFUNCTION("""COMPUTED_VALUE"""),"37.305016193144255")</f>
        <v>37.305016193144255</v>
      </c>
      <c r="H1328" s="18" t="str">
        <f>IFERROR(__xludf.DUMMYFUNCTION("""COMPUTED_VALUE"""),"https://docs.google.com/spreadsheets/d/1EI7qusa674eJhuaw-nWWtWMEHVSYMQv7HLsInEZTWpE/edit?gid=1499291407#gid=1499291407")</f>
        <v>https://docs.google.com/spreadsheets/d/1EI7qusa674eJhuaw-nWWtWMEHVSYMQv7HLsInEZTWpE/edit?gid=1499291407#gid=1499291407</v>
      </c>
      <c r="I1328" s="19" t="str">
        <f>IFERROR(__xludf.DUMMYFUNCTION("""COMPUTED_VALUE"""),"https://disk.yandex.ru/client/disk/Осмотры%20объектов%20АНО%20СМГ/058.%20Образовательный%20комплекс%20(СОШ%20750%2C%20ДОУ%20300)%20НАО%2C%20п.%20Филимонковское%2C%20ОАО%20«Марьинская%20птицефабрика»%2C%20вблизи%20д.%20Марьино%2C%20ЖК%20«Квартал%20Марьино»")</f>
        <v>https://disk.yandex.ru/client/disk/Осмотры%20объектов%20АНО%20СМГ/058.%20Образовательный%20комплекс%20(СОШ%20750%2C%20ДОУ%20300)%20НАО%2C%20п.%20Филимонковское%2C%20ОАО%20«Марьинская%20птицефабрика»%2C%20вблизи%20д.%20Марьино%2C%20ЖК%20«Квартал%20Марьино»</v>
      </c>
      <c r="J1328" s="50">
        <f>IFERROR(__xludf.DUMMYFUNCTION("""COMPUTED_VALUE"""),28.003657500000003)</f>
        <v>28.0036575</v>
      </c>
      <c r="K1328" s="58">
        <f>IFERROR(__xludf.DUMMYFUNCTION("""COMPUTED_VALUE"""),45959.0)</f>
        <v>45959</v>
      </c>
      <c r="L1328" s="6">
        <v>30.0</v>
      </c>
      <c r="M1328" s="52">
        <v>45989.0</v>
      </c>
      <c r="N1328" s="53" t="s">
        <v>692</v>
      </c>
      <c r="O1328" s="19" t="s">
        <v>1357</v>
      </c>
      <c r="P1328" s="6"/>
      <c r="Q1328" s="6" t="str">
        <f t="shared" si="1"/>
        <v>#N/A</v>
      </c>
      <c r="R1328" s="6"/>
    </row>
    <row r="1329" hidden="1">
      <c r="A1329" s="31" t="str">
        <f>IFERROR(__xludf.DUMMYFUNCTION("""COMPUTED_VALUE"""),"395")</f>
        <v>395</v>
      </c>
      <c r="B1329" s="14" t="str">
        <f>IFERROR(__xludf.DUMMYFUNCTION("""COMPUTED_VALUE"""),"РЕН-25")</f>
        <v>РЕН-25</v>
      </c>
      <c r="C1329" s="14" t="str">
        <f>IFERROR(__xludf.DUMMYFUNCTION("""COMPUTED_VALUE"""),"ОКС")</f>
        <v>ОКС</v>
      </c>
      <c r="D1329" s="6"/>
      <c r="E1329" s="14" t="str">
        <f>IFERROR(__xludf.DUMMYFUNCTION("""COMPUTED_VALUE"""),"Жилой дом с инженерными сетями и благоустройством территории (со сносом жилого дома по адресу: г. Москва, ул. Артюхиной, д.26А), ЮВАО, район Текстильщики, ул. Артюхиной дом 26А (ул. Артюхиной, земелный участок 26А/1) улица Артюхиной, земельный участок 26А"&amp;"/2")</f>
        <v>Жилой дом с инженерными сетями и благоустройством территории (со сносом жилого дома по адресу: г. Москва, ул. Артюхиной, д.26А), ЮВАО, район Текстильщики, ул. Артюхиной дом 26А (ул. Артюхиной, земелный участок 26А/1) улица Артюхиной, земельный участок 26А/2</v>
      </c>
      <c r="F1329" s="25" t="str">
        <f>IFERROR(__xludf.DUMMYFUNCTION("""COMPUTED_VALUE"""),"#N/A")</f>
        <v>#N/A</v>
      </c>
      <c r="G1329" s="6" t="str">
        <f>IFERROR(__xludf.DUMMYFUNCTION("""COMPUTED_VALUE"""),"#N/A")</f>
        <v>#N/A</v>
      </c>
      <c r="H1329" s="18" t="str">
        <f>IFERROR(__xludf.DUMMYFUNCTION("""COMPUTED_VALUE"""),"https://docs.google.com/spreadsheets/d/1H1MjbG2y0oC0hhID4do1G0_gfyI1jag72lQd7nL3WDQ/edit?gid=64389007#gid=64389007")</f>
        <v>https://docs.google.com/spreadsheets/d/1H1MjbG2y0oC0hhID4do1G0_gfyI1jag72lQd7nL3WDQ/edit?gid=64389007#gid=64389007</v>
      </c>
      <c r="I1329" s="19" t="str">
        <f>IFERROR(__xludf.DUMMYFUNCTION("""COMPUTED_VALUE"""),"https://disk.yandex.ru/client/disk/Осмотры%20объектов%20АНО%20СМГ/395.%20ул.%20Артюхиной%20д.26%20А")</f>
        <v>https://disk.yandex.ru/client/disk/Осмотры%20объектов%20АНО%20СМГ/395.%20ул.%20Артюхиной%20д.26%20А</v>
      </c>
      <c r="J1329" s="50">
        <f>IFERROR(__xludf.DUMMYFUNCTION("""COMPUTED_VALUE"""),99.919)</f>
        <v>99.919</v>
      </c>
      <c r="K1329" s="58">
        <f>IFERROR(__xludf.DUMMYFUNCTION("""COMPUTED_VALUE"""),45859.0)</f>
        <v>45859</v>
      </c>
      <c r="L1329" s="6">
        <v>7.0</v>
      </c>
      <c r="M1329" s="52">
        <v>45866.0</v>
      </c>
      <c r="N1329" s="53" t="s">
        <v>652</v>
      </c>
      <c r="O1329" s="19" t="s">
        <v>1358</v>
      </c>
      <c r="P1329" s="6"/>
      <c r="Q1329" s="6" t="str">
        <f t="shared" si="1"/>
        <v>#N/A</v>
      </c>
      <c r="R1329" s="6"/>
    </row>
    <row r="1330" hidden="1">
      <c r="A1330" s="31" t="str">
        <f>IFERROR(__xludf.DUMMYFUNCTION("""COMPUTED_VALUE"""),"НД")</f>
        <v>НД</v>
      </c>
      <c r="B1330" s="14" t="str">
        <f>IFERROR(__xludf.DUMMYFUNCTION("""COMPUTED_VALUE"""),"ВНЕ СПИСКА")</f>
        <v>ВНЕ СПИСКА</v>
      </c>
      <c r="C1330" s="14"/>
      <c r="D1330" s="6"/>
      <c r="E1330" s="14" t="str">
        <f>IFERROR(__xludf.DUMMYFUNCTION("""COMPUTED_VALUE"""),"Троицкая линия метрополитена на уч. ""Новаторская""- ""Коммунарка"" (Метро ""Славянский Мир"" переименовано в ""Тютчевская"" районе Коммунарка")</f>
        <v>Троицкая линия метрополитена на уч. "Новаторская"- "Коммунарка" (Метро "Славянский Мир" переименовано в "Тютчевская" районе Коммунарка</v>
      </c>
      <c r="F1330" s="25" t="str">
        <f>IFERROR(__xludf.DUMMYFUNCTION("""COMPUTED_VALUE"""),"#N/A")</f>
        <v>#N/A</v>
      </c>
      <c r="G1330" s="6" t="str">
        <f>IFERROR(__xludf.DUMMYFUNCTION("""COMPUTED_VALUE"""),"#N/A")</f>
        <v>#N/A</v>
      </c>
      <c r="H1330" s="6"/>
      <c r="I1330" s="19"/>
      <c r="J1330" s="50"/>
      <c r="K1330" s="58"/>
      <c r="L1330" s="6">
        <v>30.0</v>
      </c>
      <c r="M1330" s="52" t="s">
        <v>655</v>
      </c>
      <c r="N1330" s="53" t="s">
        <v>698</v>
      </c>
      <c r="O1330" s="19"/>
      <c r="P1330" s="6"/>
      <c r="Q1330" s="6" t="str">
        <f t="shared" si="1"/>
        <v>#N/A</v>
      </c>
      <c r="R1330" s="6"/>
    </row>
    <row r="1331" hidden="1">
      <c r="A1331" s="31" t="str">
        <f>IFERROR(__xludf.DUMMYFUNCTION("""COMPUTED_VALUE"""),"947")</f>
        <v>947</v>
      </c>
      <c r="B1331" s="14" t="str">
        <f>IFERROR(__xludf.DUMMYFUNCTION("""COMPUTED_VALUE"""),"ВНЕ СПИСКА")</f>
        <v>ВНЕ СПИСКА</v>
      </c>
      <c r="C1331" s="14" t="str">
        <f>IFERROR(__xludf.DUMMYFUNCTION("""COMPUTED_VALUE"""),"ОКС")</f>
        <v>ОКС</v>
      </c>
      <c r="D1331" s="6"/>
      <c r="E1331" s="14" t="str">
        <f>IFERROR(__xludf.DUMMYFUNCTION("""COMPUTED_VALUE"""),"Реконструкция со строительством культурно-образовательного центра, ул. Вавилова, д. 57, стр. 1 ул. Вавилова, д. 57, стр. 1")</f>
        <v>Реконструкция со строительством культурно-образовательного центра, ул. Вавилова, д. 57, стр. 1 ул. Вавилова, д. 57, стр. 1</v>
      </c>
      <c r="F1331" s="25" t="str">
        <f>IFERROR(__xludf.DUMMYFUNCTION("""COMPUTED_VALUE"""),"#N/A")</f>
        <v>#N/A</v>
      </c>
      <c r="G1331" s="6" t="str">
        <f>IFERROR(__xludf.DUMMYFUNCTION("""COMPUTED_VALUE"""),"#N/A")</f>
        <v>#N/A</v>
      </c>
      <c r="H1331" s="18" t="str">
        <f>IFERROR(__xludf.DUMMYFUNCTION("""COMPUTED_VALUE"""),"https://docs.google.com/spreadsheets/d/1EI7qusa674eJhuaw-nWWtWMEHVSYMQv7HLsInEZTWpE/edit?gid=1454177438#gid=1454177438")</f>
        <v>https://docs.google.com/spreadsheets/d/1EI7qusa674eJhuaw-nWWtWMEHVSYMQv7HLsInEZTWpE/edit?gid=1454177438#gid=1454177438</v>
      </c>
      <c r="I1331" s="19" t="str">
        <f>IFERROR(__xludf.DUMMYFUNCTION("""COMPUTED_VALUE"""),"https://disk.yandex.ru/client/disk/Осмотры%20объектов%20АНО%20СМГ/947.Вавилова%2057%20стр.1%20реконструкция%20со%20строительством%20культурно-образовательного%20центра")</f>
        <v>https://disk.yandex.ru/client/disk/Осмотры%20объектов%20АНО%20СМГ/947.Вавилова%2057%20стр.1%20реконструкция%20со%20строительством%20культурно-образовательного%20центра</v>
      </c>
      <c r="J1331" s="50">
        <f>IFERROR(__xludf.DUMMYFUNCTION("""COMPUTED_VALUE"""),0.0)</f>
        <v>0</v>
      </c>
      <c r="K1331" s="58">
        <f>IFERROR(__xludf.DUMMYFUNCTION("""COMPUTED_VALUE"""),45865.0)</f>
        <v>45865</v>
      </c>
      <c r="L1331" s="6">
        <v>30.0</v>
      </c>
      <c r="M1331" s="52">
        <v>45895.0</v>
      </c>
      <c r="N1331" s="53" t="s">
        <v>668</v>
      </c>
      <c r="O1331" s="19" t="s">
        <v>1359</v>
      </c>
      <c r="P1331" s="6"/>
      <c r="Q1331" s="6" t="str">
        <f t="shared" si="1"/>
        <v>#N/A</v>
      </c>
      <c r="R1331" s="6"/>
    </row>
    <row r="1332" hidden="1">
      <c r="A1332" s="31" t="str">
        <f>IFERROR(__xludf.DUMMYFUNCTION("""COMPUTED_VALUE"""),"479")</f>
        <v>479</v>
      </c>
      <c r="B1332" s="14" t="str">
        <f>IFERROR(__xludf.DUMMYFUNCTION("""COMPUTED_VALUE"""),"РЕН-25")</f>
        <v>РЕН-25</v>
      </c>
      <c r="C1332" s="14" t="str">
        <f>IFERROR(__xludf.DUMMYFUNCTION("""COMPUTED_VALUE"""),"ОКС")</f>
        <v>ОКС</v>
      </c>
      <c r="D1332" s="6"/>
      <c r="E1332" s="14" t="str">
        <f>IFERROR(__xludf.DUMMYFUNCTION("""COMPUTED_VALUE"""),"Жилой дом с инженерными сетями и благоустройством территории по адресу: район Царицыно, кварталы 1,4,14,14Б, ул. Бехтерева д. 29, корп. 1, 2 (ул. Севанская, земельный участок 60, зона 38.1) район Царицыно, кварталы 1,4,14,14Б, ул. Севанская, земельный уча"&amp;"сток 60, зона 38.1 3 секц.")</f>
        <v>Жилой дом с инженерными сетями и благоустройством территории по адресу: район Царицыно, кварталы 1,4,14,14Б, ул. Бехтерева д. 29, корп. 1, 2 (ул. Севанская, земельный участок 60, зона 38.1) район Царицыно, кварталы 1,4,14,14Б, ул. Севанская, земельный участок 60, зона 38.1 3 секц.</v>
      </c>
      <c r="F1332" s="25" t="str">
        <f>IFERROR(__xludf.DUMMYFUNCTION("""COMPUTED_VALUE"""),"#N/A")</f>
        <v>#N/A</v>
      </c>
      <c r="G1332" s="6" t="str">
        <f>IFERROR(__xludf.DUMMYFUNCTION("""COMPUTED_VALUE"""),"#N/A")</f>
        <v>#N/A</v>
      </c>
      <c r="H1332" s="18" t="str">
        <f>IFERROR(__xludf.DUMMYFUNCTION("""COMPUTED_VALUE"""),"https://docs.google.com/spreadsheets/d/1H1MjbG2y0oC0hhID4do1G0_gfyI1jag72lQd7nL3WDQ/edit?gid=305005516#gid=305005516")</f>
        <v>https://docs.google.com/spreadsheets/d/1H1MjbG2y0oC0hhID4do1G0_gfyI1jag72lQd7nL3WDQ/edit?gid=305005516#gid=305005516</v>
      </c>
      <c r="I1332" s="19" t="str">
        <f>IFERROR(__xludf.DUMMYFUNCTION("""COMPUTED_VALUE"""),"https://disk.yandex.ru/client/disk/Осмотры%20объектов%20АНО%20СМГ/479.%20Севанская%20ул.%2C%20з-у%2060%20(зона%2038.1)")</f>
        <v>https://disk.yandex.ru/client/disk/Осмотры%20объектов%20АНО%20СМГ/479.%20Севанская%20ул.%2C%20з-у%2060%20(зона%2038.1)</v>
      </c>
      <c r="J1332" s="50">
        <f>IFERROR(__xludf.DUMMYFUNCTION("""COMPUTED_VALUE"""),100.0)</f>
        <v>100</v>
      </c>
      <c r="K1332" s="58">
        <f>IFERROR(__xludf.DUMMYFUNCTION("""COMPUTED_VALUE"""),45859.0)</f>
        <v>45859</v>
      </c>
      <c r="L1332" s="6" t="s">
        <v>654</v>
      </c>
      <c r="M1332" s="52" t="s">
        <v>655</v>
      </c>
      <c r="N1332" s="53" t="s">
        <v>656</v>
      </c>
      <c r="O1332" s="19" t="s">
        <v>1360</v>
      </c>
      <c r="P1332" s="6"/>
      <c r="Q1332" s="6" t="str">
        <f t="shared" si="1"/>
        <v>#N/A</v>
      </c>
      <c r="R1332" s="6"/>
    </row>
    <row r="1333" hidden="1">
      <c r="A1333" s="31" t="str">
        <f>IFERROR(__xludf.DUMMYFUNCTION("""COMPUTED_VALUE"""),"379")</f>
        <v>379</v>
      </c>
      <c r="B1333" s="14" t="str">
        <f>IFERROR(__xludf.DUMMYFUNCTION("""COMPUTED_VALUE"""),"РЕН-25")</f>
        <v>РЕН-25</v>
      </c>
      <c r="C1333" s="14" t="str">
        <f>IFERROR(__xludf.DUMMYFUNCTION("""COMPUTED_VALUE"""),"ОКС")</f>
        <v>ОКС</v>
      </c>
      <c r="D1333" s="6"/>
      <c r="E1333" s="14" t="str">
        <f>IFERROR(__xludf.DUMMYFUNCTION("""COMPUTED_VALUE"""),"Жилой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район Новогиреево, Кусковская улица, д. 12/1 (Кусковская ул., зу 12"&amp;"/1) район Новогиреево, Кусковская улица, земельный участок 12/1 (Кусковская ул., вл. 12)")</f>
        <v>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по адресу: г. Москва, район Новогиреево, Кусковская улица, д. 12/1 (Кусковская ул., зу 12/1) район Новогиреево, Кусковская улица, земельный участок 12/1 (Кусковская ул., вл. 12)</v>
      </c>
      <c r="F1333" s="25" t="str">
        <f>IFERROR(__xludf.DUMMYFUNCTION("""COMPUTED_VALUE"""),"#N/A")</f>
        <v>#N/A</v>
      </c>
      <c r="G1333" s="6" t="str">
        <f>IFERROR(__xludf.DUMMYFUNCTION("""COMPUTED_VALUE"""),"#N/A")</f>
        <v>#N/A</v>
      </c>
      <c r="H1333" s="18" t="str">
        <f>IFERROR(__xludf.DUMMYFUNCTION("""COMPUTED_VALUE"""),"https://docs.google.com/spreadsheets/d/1H1MjbG2y0oC0hhID4do1G0_gfyI1jag72lQd7nL3WDQ/edit?gid=2058620396#gid=2058620396")</f>
        <v>https://docs.google.com/spreadsheets/d/1H1MjbG2y0oC0hhID4do1G0_gfyI1jag72lQd7nL3WDQ/edit?gid=2058620396#gid=2058620396</v>
      </c>
      <c r="I1333" s="19" t="str">
        <f>IFERROR(__xludf.DUMMYFUNCTION("""COMPUTED_VALUE"""),"https://disk.yandex.ru/client/disk/Осмотры%20объектов%20АНО%20СМГ/379.%20Новогиреево%2C%20Кусковская%20ул.%20вл12")</f>
        <v>https://disk.yandex.ru/client/disk/Осмотры%20объектов%20АНО%20СМГ/379.%20Новогиреево%2C%20Кусковская%20ул.%20вл12</v>
      </c>
      <c r="J1333" s="50">
        <f>IFERROR(__xludf.DUMMYFUNCTION("""COMPUTED_VALUE"""),99.58349999999999)</f>
        <v>99.5835</v>
      </c>
      <c r="K1333" s="58">
        <f>IFERROR(__xludf.DUMMYFUNCTION("""COMPUTED_VALUE"""),45859.0)</f>
        <v>45859</v>
      </c>
      <c r="L1333" s="6">
        <v>7.0</v>
      </c>
      <c r="M1333" s="52">
        <v>45866.0</v>
      </c>
      <c r="N1333" s="53" t="s">
        <v>652</v>
      </c>
      <c r="O1333" s="19" t="s">
        <v>1361</v>
      </c>
      <c r="P1333" s="6"/>
      <c r="Q1333" s="6" t="str">
        <f t="shared" si="1"/>
        <v>#N/A</v>
      </c>
      <c r="R1333" s="6"/>
    </row>
    <row r="1334" hidden="1">
      <c r="A1334" s="31" t="str">
        <f>IFERROR(__xludf.DUMMYFUNCTION("""COMPUTED_VALUE"""),"1240")</f>
        <v>1240</v>
      </c>
      <c r="B1334" s="14" t="str">
        <f>IFERROR(__xludf.DUMMYFUNCTION("""COMPUTED_VALUE"""),"ВНЕ СПИСКА")</f>
        <v>ВНЕ СПИСКА</v>
      </c>
      <c r="C1334" s="14" t="str">
        <f>IFERROR(__xludf.DUMMYFUNCTION("""COMPUTED_VALUE"""),"ОКС")</f>
        <v>ОКС</v>
      </c>
      <c r="D1334" s="6" t="str">
        <f>IFERROR(__xludf.DUMMYFUNCTION("""COMPUTED_VALUE"""),"да")</f>
        <v>да</v>
      </c>
      <c r="E1334" s="14" t="str">
        <f>IFERROR(__xludf.DUMMYFUNCTION("""COMPUTED_VALUE"""),"Храм Успения Пресвятой Богородицы в Останкино Березовая аллея, вл. 5 /1")</f>
        <v>Храм Успения Пресвятой Богородицы в Останкино Березовая аллея, вл. 5 /1</v>
      </c>
      <c r="F1334" s="25" t="str">
        <f>IFERROR(__xludf.DUMMYFUNCTION("""COMPUTED_VALUE"""),"#N/A")</f>
        <v>#N/A</v>
      </c>
      <c r="G1334" s="6" t="str">
        <f>IFERROR(__xludf.DUMMYFUNCTION("""COMPUTED_VALUE"""),"#N/A")</f>
        <v>#N/A</v>
      </c>
      <c r="H1334" s="18" t="str">
        <f>IFERROR(__xludf.DUMMYFUNCTION("""COMPUTED_VALUE"""),"https://docs.google.com/spreadsheets/d/1EI7qusa674eJhuaw-nWWtWMEHVSYMQv7HLsInEZTWpE/edit?gid=1295237501#gid=1295237501")</f>
        <v>https://docs.google.com/spreadsheets/d/1EI7qusa674eJhuaw-nWWtWMEHVSYMQv7HLsInEZTWpE/edit?gid=1295237501#gid=1295237501</v>
      </c>
      <c r="I1334" s="19" t="str">
        <f>IFERROR(__xludf.DUMMYFUNCTION("""COMPUTED_VALUE"""),"https://disk.yandex.ru/client/disk/Осмотры%20объектов%20АНО%20СМГ/1240.%20Храм%20Успения%20Пресвятой%20Богородицы%20СВАО%2C%20р-н%20Останкинский")</f>
        <v>https://disk.yandex.ru/client/disk/Осмотры%20объектов%20АНО%20СМГ/1240.%20Храм%20Успения%20Пресвятой%20Богородицы%20СВАО%2C%20р-н%20Останкинский</v>
      </c>
      <c r="J1334" s="50">
        <f>IFERROR(__xludf.DUMMYFUNCTION("""COMPUTED_VALUE"""),99.64999999999999)</f>
        <v>99.65</v>
      </c>
      <c r="K1334" s="58">
        <f>IFERROR(__xludf.DUMMYFUNCTION("""COMPUTED_VALUE"""),45853.0)</f>
        <v>45853</v>
      </c>
      <c r="L1334" s="6">
        <v>7.0</v>
      </c>
      <c r="M1334" s="52">
        <v>45860.0</v>
      </c>
      <c r="N1334" s="53" t="s">
        <v>668</v>
      </c>
      <c r="O1334" s="19"/>
      <c r="P1334" s="6"/>
      <c r="Q1334" s="6" t="str">
        <f t="shared" si="1"/>
        <v>#N/A</v>
      </c>
      <c r="R1334" s="6"/>
    </row>
    <row r="1335" hidden="1">
      <c r="A1335" s="31" t="str">
        <f>IFERROR(__xludf.DUMMYFUNCTION("""COMPUTED_VALUE"""),"НД")</f>
        <v>НД</v>
      </c>
      <c r="B1335" s="14" t="str">
        <f>IFERROR(__xludf.DUMMYFUNCTION("""COMPUTED_VALUE"""),"ВНЕ СПИСКА")</f>
        <v>ВНЕ СПИСКА</v>
      </c>
      <c r="C1335" s="14" t="str">
        <f>IFERROR(__xludf.DUMMYFUNCTION("""COMPUTED_VALUE"""),"ОКС")</f>
        <v>ОКС</v>
      </c>
      <c r="D1335" s="6" t="str">
        <f>IFERROR(__xludf.DUMMYFUNCTION("""COMPUTED_VALUE"""),"да")</f>
        <v>да</v>
      </c>
      <c r="E1335" s="14" t="str">
        <f>IFERROR(__xludf.DUMMYFUNCTION("""COMPUTED_VALUE"""),"Многофункциональный комплекс «Порт Савеловск»  Марьина Роща, Сущевский Вал, влд. 5, стр.1")</f>
        <v>Многофункциональный комплекс «Порт Савеловск»  Марьина Роща, Сущевский Вал, влд. 5, стр.1</v>
      </c>
      <c r="F1335" s="25" t="str">
        <f>IFERROR(__xludf.DUMMYFUNCTION("""COMPUTED_VALUE"""),"#N/A")</f>
        <v>#N/A</v>
      </c>
      <c r="G1335" s="6" t="str">
        <f>IFERROR(__xludf.DUMMYFUNCTION("""COMPUTED_VALUE"""),"#N/A")</f>
        <v>#N/A</v>
      </c>
      <c r="H1335" s="6"/>
      <c r="I1335" s="19"/>
      <c r="J1335" s="50"/>
      <c r="K1335" s="58"/>
      <c r="L1335" s="6">
        <v>30.0</v>
      </c>
      <c r="M1335" s="52" t="s">
        <v>655</v>
      </c>
      <c r="N1335" s="53" t="s">
        <v>698</v>
      </c>
      <c r="O1335" s="19" t="s">
        <v>1362</v>
      </c>
      <c r="P1335" s="6"/>
      <c r="Q1335" s="6" t="str">
        <f t="shared" si="1"/>
        <v>#N/A</v>
      </c>
      <c r="R1335" s="6"/>
    </row>
    <row r="1336" hidden="1">
      <c r="A1336" s="31" t="str">
        <f>IFERROR(__xludf.DUMMYFUNCTION("""COMPUTED_VALUE"""),"НД")</f>
        <v>НД</v>
      </c>
      <c r="B1336" s="14" t="str">
        <f>IFERROR(__xludf.DUMMYFUNCTION("""COMPUTED_VALUE"""),"ВНЕ СПИСКА")</f>
        <v>ВНЕ СПИСКА</v>
      </c>
      <c r="C1336" s="14" t="str">
        <f>IFERROR(__xludf.DUMMYFUNCTION("""COMPUTED_VALUE"""),"ОКС")</f>
        <v>ОКС</v>
      </c>
      <c r="D1336" s="6"/>
      <c r="E1336" s="14" t="str">
        <f>IFERROR(__xludf.DUMMYFUNCTION("""COMPUTED_VALUE"""),"Прокладка водопровода Д1000 мм от д. Сосенки до г. Троицк со строительством регулирующих водопроводных узлов «Станиславль» и «Красная Пахра» от деревни Сосенки до города Троицк")</f>
        <v>Прокладка водопровода Д1000 мм от д. Сосенки до г. Троицк со строительством регулирующих водопроводных узлов «Станиславль» и «Красная Пахра» от деревни Сосенки до города Троицк</v>
      </c>
      <c r="F1336" s="25" t="str">
        <f>IFERROR(__xludf.DUMMYFUNCTION("""COMPUTED_VALUE"""),"#N/A")</f>
        <v>#N/A</v>
      </c>
      <c r="G1336" s="6" t="str">
        <f>IFERROR(__xludf.DUMMYFUNCTION("""COMPUTED_VALUE"""),"#N/A")</f>
        <v>#N/A</v>
      </c>
      <c r="H1336" s="6"/>
      <c r="I1336" s="19" t="str">
        <f>IFERROR(__xludf.DUMMYFUNCTION("""COMPUTED_VALUE"""),"https://disk.yandex.ru/client/disk/Осмотры%20объектов%20АНО%20СМГ/1153.%20РВУ%20Станиславль%20этап%201")</f>
        <v>https://disk.yandex.ru/client/disk/Осмотры%20объектов%20АНО%20СМГ/1153.%20РВУ%20Станиславль%20этап%201</v>
      </c>
      <c r="J1336" s="50"/>
      <c r="K1336" s="58"/>
      <c r="L1336" s="6">
        <v>30.0</v>
      </c>
      <c r="M1336" s="52" t="s">
        <v>655</v>
      </c>
      <c r="N1336" s="53" t="s">
        <v>698</v>
      </c>
      <c r="O1336" s="19"/>
      <c r="P1336" s="6"/>
      <c r="Q1336" s="6" t="str">
        <f t="shared" si="1"/>
        <v>#N/A</v>
      </c>
      <c r="R1336" s="6"/>
    </row>
    <row r="1337" hidden="1">
      <c r="A1337" s="31" t="str">
        <f>IFERROR(__xludf.DUMMYFUNCTION("""COMPUTED_VALUE"""),"НД")</f>
        <v>НД</v>
      </c>
      <c r="B1337" s="14" t="str">
        <f>IFERROR(__xludf.DUMMYFUNCTION("""COMPUTED_VALUE"""),"ВНЕ СПИСКА")</f>
        <v>ВНЕ СПИСКА</v>
      </c>
      <c r="C1337" s="14"/>
      <c r="D1337" s="6" t="str">
        <f>IFERROR(__xludf.DUMMYFUNCTION("""COMPUTED_VALUE"""),"да")</f>
        <v>да</v>
      </c>
      <c r="E1337" s="14" t="str">
        <f>IFERROR(__xludf.DUMMYFUNCTION("""COMPUTED_VALUE"""),"Разработка  стандарта ""Мой детский сад"" Разработка  стандарта ""Мой детский сад""")</f>
        <v>Разработка  стандарта "Мой детский сад" Разработка  стандарта "Мой детский сад"</v>
      </c>
      <c r="F1337" s="25" t="str">
        <f>IFERROR(__xludf.DUMMYFUNCTION("""COMPUTED_VALUE"""),"#N/A")</f>
        <v>#N/A</v>
      </c>
      <c r="G1337" s="6" t="str">
        <f>IFERROR(__xludf.DUMMYFUNCTION("""COMPUTED_VALUE"""),"#N/A")</f>
        <v>#N/A</v>
      </c>
      <c r="H1337" s="6"/>
      <c r="I1337" s="19"/>
      <c r="J1337" s="50"/>
      <c r="K1337" s="58"/>
      <c r="L1337" s="6">
        <v>30.0</v>
      </c>
      <c r="M1337" s="52" t="s">
        <v>655</v>
      </c>
      <c r="N1337" s="53" t="s">
        <v>698</v>
      </c>
      <c r="O1337" s="19"/>
      <c r="P1337" s="6"/>
      <c r="Q1337" s="6" t="str">
        <f t="shared" si="1"/>
        <v>#N/A</v>
      </c>
      <c r="R1337" s="6"/>
    </row>
    <row r="1338" hidden="1">
      <c r="A1338" s="31" t="str">
        <f>IFERROR(__xludf.DUMMYFUNCTION("""COMPUTED_VALUE"""),"1241")</f>
        <v>1241</v>
      </c>
      <c r="B1338" s="14" t="str">
        <f>IFERROR(__xludf.DUMMYFUNCTION("""COMPUTED_VALUE"""),"ВНЕ СПИСКА")</f>
        <v>ВНЕ СПИСКА</v>
      </c>
      <c r="C1338" s="14" t="str">
        <f>IFERROR(__xludf.DUMMYFUNCTION("""COMPUTED_VALUE"""),"ОКС")</f>
        <v>ОКС</v>
      </c>
      <c r="D1338" s="6" t="str">
        <f>IFERROR(__xludf.DUMMYFUNCTION("""COMPUTED_VALUE"""),"да")</f>
        <v>да</v>
      </c>
      <c r="E1338" s="14" t="str">
        <f>IFERROR(__xludf.DUMMYFUNCTION("""COMPUTED_VALUE"""),"Здание с дошкольными группами на 350 мест поселение Десеновское, проект 46/ А ( кадастровый номер земельного участка 77:17:015039:1243)")</f>
        <v>Здание с дошкольными группами на 350 мест поселение Десеновское, проект 46/ А ( кадастровый номер земельного участка 77:17:015039:1243)</v>
      </c>
      <c r="F1338" s="25" t="str">
        <f>IFERROR(__xludf.DUMMYFUNCTION("""COMPUTED_VALUE"""),"#N/A")</f>
        <v>#N/A</v>
      </c>
      <c r="G1338" s="6" t="str">
        <f>IFERROR(__xludf.DUMMYFUNCTION("""COMPUTED_VALUE"""),"#N/A")</f>
        <v>#N/A</v>
      </c>
      <c r="H1338" s="18" t="str">
        <f>IFERROR(__xludf.DUMMYFUNCTION("""COMPUTED_VALUE"""),"https://docs.google.com/spreadsheets/d/1EI7qusa674eJhuaw-nWWtWMEHVSYMQv7HLsInEZTWpE/edit?gid=1445477701#gid=1445477701")</f>
        <v>https://docs.google.com/spreadsheets/d/1EI7qusa674eJhuaw-nWWtWMEHVSYMQv7HLsInEZTWpE/edit?gid=1445477701#gid=1445477701</v>
      </c>
      <c r="I1338" s="19" t="str">
        <f>IFERROR(__xludf.DUMMYFUNCTION("""COMPUTED_VALUE"""),"https://disk.yandex.ru/client/disk/Осмотры%20объектов%20АНО%20СМГ/1241.%20ДОУ%20на%20350%20мест%2C%20Десеновское%2C%20проект%2046-А")</f>
        <v>https://disk.yandex.ru/client/disk/Осмотры%20объектов%20АНО%20СМГ/1241.%20ДОУ%20на%20350%20мест%2C%20Десеновское%2C%20проект%2046-А</v>
      </c>
      <c r="J1338" s="50">
        <f>IFERROR(__xludf.DUMMYFUNCTION("""COMPUTED_VALUE"""),47.5)</f>
        <v>47.5</v>
      </c>
      <c r="K1338" s="58">
        <f>IFERROR(__xludf.DUMMYFUNCTION("""COMPUTED_VALUE"""),45847.0)</f>
        <v>45847</v>
      </c>
      <c r="L1338" s="6">
        <v>30.0</v>
      </c>
      <c r="M1338" s="52">
        <v>45877.0</v>
      </c>
      <c r="N1338" s="53" t="s">
        <v>652</v>
      </c>
      <c r="O1338" s="19" t="s">
        <v>1363</v>
      </c>
      <c r="P1338" s="6"/>
      <c r="Q1338" s="6" t="str">
        <f t="shared" si="1"/>
        <v>#N/A</v>
      </c>
      <c r="R1338" s="6"/>
    </row>
    <row r="1339" hidden="1">
      <c r="A1339" s="31" t="str">
        <f>IFERROR(__xludf.DUMMYFUNCTION("""COMPUTED_VALUE"""),"1242")</f>
        <v>1242</v>
      </c>
      <c r="B1339" s="14" t="str">
        <f>IFERROR(__xludf.DUMMYFUNCTION("""COMPUTED_VALUE"""),"ВНЕ СПИСКА")</f>
        <v>ВНЕ СПИСКА</v>
      </c>
      <c r="C1339" s="14" t="str">
        <f>IFERROR(__xludf.DUMMYFUNCTION("""COMPUTED_VALUE"""),"ОКС")</f>
        <v>ОКС</v>
      </c>
      <c r="D1339" s="6" t="str">
        <f>IFERROR(__xludf.DUMMYFUNCTION("""COMPUTED_VALUE"""),"да")</f>
        <v>да</v>
      </c>
      <c r="E1339" s="14" t="str">
        <f>IFERROR(__xludf.DUMMYFUNCTION("""COMPUTED_VALUE"""),"Дошкольное здание на 250 мест с бассейном г. Москва, ЗАО, ул. Озерная, вл.44, корп. 7")</f>
        <v>Дошкольное здание на 250 мест с бассейном г. Москва, ЗАО, ул. Озерная, вл.44, корп. 7</v>
      </c>
      <c r="F1339" s="25" t="str">
        <f>IFERROR(__xludf.DUMMYFUNCTION("""COMPUTED_VALUE"""),"#N/A")</f>
        <v>#N/A</v>
      </c>
      <c r="G1339" s="6" t="str">
        <f>IFERROR(__xludf.DUMMYFUNCTION("""COMPUTED_VALUE"""),"#N/A")</f>
        <v>#N/A</v>
      </c>
      <c r="H1339" s="18" t="str">
        <f>IFERROR(__xludf.DUMMYFUNCTION("""COMPUTED_VALUE"""),"https://docs.google.com/spreadsheets/d/1EI7qusa674eJhuaw-nWWtWMEHVSYMQv7HLsInEZTWpE/edit?gid=789970235#gid=789970235")</f>
        <v>https://docs.google.com/spreadsheets/d/1EI7qusa674eJhuaw-nWWtWMEHVSYMQv7HLsInEZTWpE/edit?gid=789970235#gid=789970235</v>
      </c>
      <c r="I1339" s="19" t="str">
        <f>IFERROR(__xludf.DUMMYFUNCTION("""COMPUTED_VALUE"""),"https://disk.yandex.ru/client/disk/Осмотры%20объектов%20АНО%20СМГ/1242%20Малая%20Очаковская%20д.%205А%20Садик%20%201741%20на%20250%20мест")</f>
        <v>https://disk.yandex.ru/client/disk/Осмотры%20объектов%20АНО%20СМГ/1242%20Малая%20Очаковская%20д.%205А%20Садик%20%201741%20на%20250%20мест</v>
      </c>
      <c r="J1339" s="50">
        <f>IFERROR(__xludf.DUMMYFUNCTION("""COMPUTED_VALUE"""),100.0)</f>
        <v>100</v>
      </c>
      <c r="K1339" s="58">
        <f>IFERROR(__xludf.DUMMYFUNCTION("""COMPUTED_VALUE"""),45847.0)</f>
        <v>45847</v>
      </c>
      <c r="L1339" s="6" t="s">
        <v>654</v>
      </c>
      <c r="M1339" s="52" t="s">
        <v>655</v>
      </c>
      <c r="N1339" s="53" t="s">
        <v>656</v>
      </c>
      <c r="O1339" s="19" t="s">
        <v>1364</v>
      </c>
      <c r="P1339" s="6"/>
      <c r="Q1339" s="6" t="str">
        <f t="shared" si="1"/>
        <v>#N/A</v>
      </c>
      <c r="R1339" s="6"/>
    </row>
    <row r="1340" hidden="1">
      <c r="A1340" s="31" t="str">
        <f>IFERROR(__xludf.DUMMYFUNCTION("""COMPUTED_VALUE"""),"1243")</f>
        <v>1243</v>
      </c>
      <c r="B1340" s="14" t="str">
        <f>IFERROR(__xludf.DUMMYFUNCTION("""COMPUTED_VALUE"""),"ВНЕ СПИСКА")</f>
        <v>ВНЕ СПИСКА</v>
      </c>
      <c r="C1340" s="14" t="str">
        <f>IFERROR(__xludf.DUMMYFUNCTION("""COMPUTED_VALUE"""),"ОКС")</f>
        <v>ОКС</v>
      </c>
      <c r="D1340" s="6" t="str">
        <f>IFERROR(__xludf.DUMMYFUNCTION("""COMPUTED_VALUE"""),"да")</f>
        <v>да</v>
      </c>
      <c r="E1340" s="14" t="str">
        <f>IFERROR(__xludf.DUMMYFUNCTION("""COMPUTED_VALUE""")," Общеобразовательная организация на 550 мест  г. Москва, 2-й Грайвороновский пр-д, вл. 38, стр.1-10; Рязанский пр-т, вл. 6а")</f>
        <v> Общеобразовательная организация на 550 мест  г. Москва, 2-й Грайвороновский пр-д, вл. 38, стр.1-10; Рязанский пр-т, вл. 6а</v>
      </c>
      <c r="F1340" s="25" t="str">
        <f>IFERROR(__xludf.DUMMYFUNCTION("""COMPUTED_VALUE"""),"#N/A")</f>
        <v>#N/A</v>
      </c>
      <c r="G1340" s="6" t="str">
        <f>IFERROR(__xludf.DUMMYFUNCTION("""COMPUTED_VALUE"""),"#N/A")</f>
        <v>#N/A</v>
      </c>
      <c r="H1340" s="18" t="str">
        <f>IFERROR(__xludf.DUMMYFUNCTION("""COMPUTED_VALUE"""),"https://docs.google.com/spreadsheets/d/1EI7qusa674eJhuaw-nWWtWMEHVSYMQv7HLsInEZTWpE/edit?gid=166966295#gid=166966295")</f>
        <v>https://docs.google.com/spreadsheets/d/1EI7qusa674eJhuaw-nWWtWMEHVSYMQv7HLsInEZTWpE/edit?gid=166966295#gid=166966295</v>
      </c>
      <c r="I1340" s="19" t="str">
        <f>IFERROR(__xludf.DUMMYFUNCTION("""COMPUTED_VALUE"""),"https://disk.yandex.ru/client/disk/Осмотры%20объектов%20АНО%20СМГ/1243%20ГБОУ%20Школа%20№1367%20по%20адресу%202-й%20Грайвороновский%20проезд%2044А.")</f>
        <v>https://disk.yandex.ru/client/disk/Осмотры%20объектов%20АНО%20СМГ/1243%20ГБОУ%20Школа%20№1367%20по%20адресу%202-й%20Грайвороновский%20проезд%2044А.</v>
      </c>
      <c r="J1340" s="50">
        <f>IFERROR(__xludf.DUMMYFUNCTION("""COMPUTED_VALUE"""),90.25)</f>
        <v>90.25</v>
      </c>
      <c r="K1340" s="58">
        <f>IFERROR(__xludf.DUMMYFUNCTION("""COMPUTED_VALUE"""),45847.0)</f>
        <v>45847</v>
      </c>
      <c r="L1340" s="6">
        <v>14.0</v>
      </c>
      <c r="M1340" s="52">
        <v>45861.0</v>
      </c>
      <c r="N1340" s="53" t="s">
        <v>652</v>
      </c>
      <c r="O1340" s="19" t="s">
        <v>1365</v>
      </c>
      <c r="P1340" s="6"/>
      <c r="Q1340" s="6" t="str">
        <f t="shared" si="1"/>
        <v>#N/A</v>
      </c>
      <c r="R1340" s="6"/>
    </row>
    <row r="1341" hidden="1">
      <c r="A1341" s="31" t="str">
        <f>IFERROR(__xludf.DUMMYFUNCTION("""COMPUTED_VALUE"""),"1244")</f>
        <v>1244</v>
      </c>
      <c r="B1341" s="14" t="str">
        <f>IFERROR(__xludf.DUMMYFUNCTION("""COMPUTED_VALUE"""),"ВНЕ СПИСКА")</f>
        <v>ВНЕ СПИСКА</v>
      </c>
      <c r="C1341" s="14" t="str">
        <f>IFERROR(__xludf.DUMMYFUNCTION("""COMPUTED_VALUE"""),"ОКС")</f>
        <v>ОКС</v>
      </c>
      <c r="D1341" s="6" t="str">
        <f>IFERROR(__xludf.DUMMYFUNCTION("""COMPUTED_VALUE"""),"да")</f>
        <v>да</v>
      </c>
      <c r="E1341" s="14" t="str">
        <f>IFERROR(__xludf.DUMMYFUNCTION("""COMPUTED_VALUE"""),"ДОО на 275 мест г. Москва, ВАО, Тюменский проезд, влд. 3, стр. 10, 11, 12")</f>
        <v>ДОО на 275 мест г. Москва, ВАО, Тюменский проезд, влд. 3, стр. 10, 11, 12</v>
      </c>
      <c r="F1341" s="25" t="str">
        <f>IFERROR(__xludf.DUMMYFUNCTION("""COMPUTED_VALUE"""),"#N/A")</f>
        <v>#N/A</v>
      </c>
      <c r="G1341" s="6" t="str">
        <f>IFERROR(__xludf.DUMMYFUNCTION("""COMPUTED_VALUE"""),"#N/A")</f>
        <v>#N/A</v>
      </c>
      <c r="H1341" s="18" t="str">
        <f>IFERROR(__xludf.DUMMYFUNCTION("""COMPUTED_VALUE"""),"https://docs.google.com/spreadsheets/d/1EI7qusa674eJhuaw-nWWtWMEHVSYMQv7HLsInEZTWpE/edit?gid=316384092#gid=316384092")</f>
        <v>https://docs.google.com/spreadsheets/d/1EI7qusa674eJhuaw-nWWtWMEHVSYMQv7HLsInEZTWpE/edit?gid=316384092#gid=316384092</v>
      </c>
      <c r="I1341" s="19" t="str">
        <f>IFERROR(__xludf.DUMMYFUNCTION("""COMPUTED_VALUE"""),"https://disk.yandex.ru/client/disk/Осмотры%20объектов%20АНО%20СМГ/1244.%20ДОО%20на%20275%20мест%20по%20адресу%3A%20г.%20Москва%2C%20ВАО%2C%20Тюменский%20проезд%2C%20влд.%203%2C%20стр.%2010%2C%2011%2C%2012")</f>
        <v>https://disk.yandex.ru/client/disk/Осмотры%20объектов%20АНО%20СМГ/1244.%20ДОО%20на%20275%20мест%20по%20адресу%3A%20г.%20Москва%2C%20ВАО%2C%20Тюменский%20проезд%2C%20влд.%203%2C%20стр.%2010%2C%2011%2C%2012</v>
      </c>
      <c r="J1341" s="50">
        <f>IFERROR(__xludf.DUMMYFUNCTION("""COMPUTED_VALUE"""),98.01087750000002)</f>
        <v>98.0108775</v>
      </c>
      <c r="K1341" s="58">
        <f>IFERROR(__xludf.DUMMYFUNCTION("""COMPUTED_VALUE"""),45847.0)</f>
        <v>45847</v>
      </c>
      <c r="L1341" s="6">
        <v>7.0</v>
      </c>
      <c r="M1341" s="52">
        <v>45854.0</v>
      </c>
      <c r="N1341" s="53" t="s">
        <v>652</v>
      </c>
      <c r="O1341" s="19" t="s">
        <v>1366</v>
      </c>
      <c r="P1341" s="6"/>
      <c r="Q1341" s="6" t="str">
        <f t="shared" si="1"/>
        <v>#N/A</v>
      </c>
      <c r="R1341" s="6"/>
    </row>
    <row r="1342" hidden="1">
      <c r="A1342" s="31" t="str">
        <f>IFERROR(__xludf.DUMMYFUNCTION("""COMPUTED_VALUE"""),"1245")</f>
        <v>1245</v>
      </c>
      <c r="B1342" s="14" t="str">
        <f>IFERROR(__xludf.DUMMYFUNCTION("""COMPUTED_VALUE"""),"ВНЕ СПИСКА")</f>
        <v>ВНЕ СПИСКА</v>
      </c>
      <c r="C1342" s="14" t="str">
        <f>IFERROR(__xludf.DUMMYFUNCTION("""COMPUTED_VALUE"""),"ОКС")</f>
        <v>ОКС</v>
      </c>
      <c r="D1342" s="6" t="str">
        <f>IFERROR(__xludf.DUMMYFUNCTION("""COMPUTED_VALUE"""),"да")</f>
        <v>да</v>
      </c>
      <c r="E1342" s="14" t="str">
        <f>IFERROR(__xludf.DUMMYFUNCTION("""COMPUTED_VALUE"""),"Здание общеобразовательного учреждения на 825 мест Москва, р-н Покровское-Стрешнево, ул. Лётная, вл. 95Б")</f>
        <v>Здание общеобразовательного учреждения на 825 мест Москва, р-н Покровское-Стрешнево, ул. Лётная, вл. 95Б</v>
      </c>
      <c r="F1342" s="25" t="str">
        <f>IFERROR(__xludf.DUMMYFUNCTION("""COMPUTED_VALUE"""),"#N/A")</f>
        <v>#N/A</v>
      </c>
      <c r="G1342" s="6" t="str">
        <f>IFERROR(__xludf.DUMMYFUNCTION("""COMPUTED_VALUE"""),"#N/A")</f>
        <v>#N/A</v>
      </c>
      <c r="H1342" s="18" t="str">
        <f>IFERROR(__xludf.DUMMYFUNCTION("""COMPUTED_VALUE"""),"https://docs.google.com/spreadsheets/d/1EI7qusa674eJhuaw-nWWtWMEHVSYMQv7HLsInEZTWpE/edit?gid=1823447590#gid=1823447590")</f>
        <v>https://docs.google.com/spreadsheets/d/1EI7qusa674eJhuaw-nWWtWMEHVSYMQv7HLsInEZTWpE/edit?gid=1823447590#gid=1823447590</v>
      </c>
      <c r="I1342" s="19"/>
      <c r="J1342" s="50">
        <f>IFERROR(__xludf.DUMMYFUNCTION("""COMPUTED_VALUE"""),99.9145)</f>
        <v>99.9145</v>
      </c>
      <c r="K1342" s="58">
        <f>IFERROR(__xludf.DUMMYFUNCTION("""COMPUTED_VALUE"""),45847.0)</f>
        <v>45847</v>
      </c>
      <c r="L1342" s="6">
        <v>7.0</v>
      </c>
      <c r="M1342" s="52">
        <v>45854.0</v>
      </c>
      <c r="N1342" s="53" t="s">
        <v>652</v>
      </c>
      <c r="O1342" s="19" t="s">
        <v>1367</v>
      </c>
      <c r="P1342" s="6"/>
      <c r="Q1342" s="6" t="str">
        <f t="shared" si="1"/>
        <v>#N/A</v>
      </c>
      <c r="R1342" s="6"/>
    </row>
    <row r="1343" hidden="1">
      <c r="A1343" s="31" t="str">
        <f>IFERROR(__xludf.DUMMYFUNCTION("""COMPUTED_VALUE"""),"1246")</f>
        <v>1246</v>
      </c>
      <c r="B1343" s="14" t="str">
        <f>IFERROR(__xludf.DUMMYFUNCTION("""COMPUTED_VALUE"""),"ВНЕ СПИСКА")</f>
        <v>ВНЕ СПИСКА</v>
      </c>
      <c r="C1343" s="14" t="str">
        <f>IFERROR(__xludf.DUMMYFUNCTION("""COMPUTED_VALUE"""),"ОКС")</f>
        <v>ОКС</v>
      </c>
      <c r="D1343" s="6" t="str">
        <f>IFERROR(__xludf.DUMMYFUNCTION("""COMPUTED_VALUE"""),"да")</f>
        <v>да</v>
      </c>
      <c r="E1343" s="14" t="str">
        <f>IFERROR(__xludf.DUMMYFUNCTION("""COMPUTED_VALUE"""),"Здание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f>
        <v>Здание дошкольной образовательной организации на 350 мест с бассейном (Шелепихинская наб., д. 38А) г. Москва, внутригородское муниципальное образование Хорошёво-Мнёвники, улица Шеногина, земельный участок 2/21 с кадастровым номером 77:08:0012003:2846</v>
      </c>
      <c r="F1343" s="25" t="str">
        <f>IFERROR(__xludf.DUMMYFUNCTION("""COMPUTED_VALUE"""),"55.766754")</f>
        <v>55.766754</v>
      </c>
      <c r="G1343" s="6" t="str">
        <f>IFERROR(__xludf.DUMMYFUNCTION("""COMPUTED_VALUE"""),"37.503549")</f>
        <v>37.503549</v>
      </c>
      <c r="H1343" s="18" t="str">
        <f>IFERROR(__xludf.DUMMYFUNCTION("""COMPUTED_VALUE"""),"https://docs.google.com/spreadsheets/d/1EI7qusa674eJhuaw-nWWtWMEHVSYMQv7HLsInEZTWpE/edit?gid=1839942165#gid=1839942165")</f>
        <v>https://docs.google.com/spreadsheets/d/1EI7qusa674eJhuaw-nWWtWMEHVSYMQv7HLsInEZTWpE/edit?gid=1839942165#gid=1839942165</v>
      </c>
      <c r="I1343" s="19" t="str">
        <f>IFERROR(__xludf.DUMMYFUNCTION("""COMPUTED_VALUE"""),"https://disk.yandex.ru/client/disk/Осмотры%20объектов%20АНО%20СМГ/1246.%20ДОО%20НА%20350%20мест%2C%20ул.Шеногина%2C%20зу%202-21")</f>
        <v>https://disk.yandex.ru/client/disk/Осмотры%20объектов%20АНО%20СМГ/1246.%20ДОО%20НА%20350%20мест%2C%20ул.Шеногина%2C%20зу%202-21</v>
      </c>
      <c r="J1343" s="50">
        <f>IFERROR(__xludf.DUMMYFUNCTION("""COMPUTED_VALUE"""),99.99448)</f>
        <v>99.99448</v>
      </c>
      <c r="K1343" s="58">
        <f>IFERROR(__xludf.DUMMYFUNCTION("""COMPUTED_VALUE"""),45973.0)</f>
        <v>45973</v>
      </c>
      <c r="L1343" s="6">
        <v>7.0</v>
      </c>
      <c r="M1343" s="52">
        <v>45980.0</v>
      </c>
      <c r="N1343" s="53" t="s">
        <v>652</v>
      </c>
      <c r="O1343" s="19" t="s">
        <v>1368</v>
      </c>
      <c r="P1343" s="6"/>
      <c r="Q1343" s="6" t="str">
        <f t="shared" si="1"/>
        <v>#N/A</v>
      </c>
      <c r="R1343" s="6"/>
    </row>
    <row r="1344" hidden="1">
      <c r="A1344" s="31" t="str">
        <f>IFERROR(__xludf.DUMMYFUNCTION("""COMPUTED_VALUE"""),"1247")</f>
        <v>1247</v>
      </c>
      <c r="B1344" s="14" t="str">
        <f>IFERROR(__xludf.DUMMYFUNCTION("""COMPUTED_VALUE"""),"ВНЕ СПИСКА")</f>
        <v>ВНЕ СПИСКА</v>
      </c>
      <c r="C1344" s="14" t="str">
        <f>IFERROR(__xludf.DUMMYFUNCTION("""COMPUTED_VALUE"""),"ОКС")</f>
        <v>ОКС</v>
      </c>
      <c r="D1344" s="6" t="str">
        <f>IFERROR(__xludf.DUMMYFUNCTION("""COMPUTED_VALUE"""),"да")</f>
        <v>да</v>
      </c>
      <c r="E1344" s="14" t="str">
        <f>IFERROR(__xludf.DUMMYFUNCTION("""COMPUTED_VALUE"""),"Здание образовательной организации (дошкольное образование) на 150 мест, корпус 16 Москва, внутригородское муниципальное образование Южное Бутово, промышленная зона ЮБ-1 в границах производственной зоны «Южное Бутово»")</f>
        <v>Здание образовательной организации (дошкольное образование) на 150 мест, корпус 16 Москва, внутригородское муниципальное образование Южное Бутово, промышленная зона ЮБ-1 в границах производственной зоны «Южное Бутово»</v>
      </c>
      <c r="F1344" s="25" t="str">
        <f>IFERROR(__xludf.DUMMYFUNCTION("""COMPUTED_VALUE"""),"#N/A")</f>
        <v>#N/A</v>
      </c>
      <c r="G1344" s="6" t="str">
        <f>IFERROR(__xludf.DUMMYFUNCTION("""COMPUTED_VALUE"""),"#N/A")</f>
        <v>#N/A</v>
      </c>
      <c r="H1344" s="18" t="str">
        <f>IFERROR(__xludf.DUMMYFUNCTION("""COMPUTED_VALUE"""),"https://docs.google.com/spreadsheets/d/1EI7qusa674eJhuaw-nWWtWMEHVSYMQv7HLsInEZTWpE/edit?gid=104937382#gid=104937382")</f>
        <v>https://docs.google.com/spreadsheets/d/1EI7qusa674eJhuaw-nWWtWMEHVSYMQv7HLsInEZTWpE/edit?gid=104937382#gid=104937382</v>
      </c>
      <c r="I1344" s="19" t="str">
        <f>IFERROR(__xludf.DUMMYFUNCTION("""COMPUTED_VALUE"""),"https://disk.yandex.ru/client/disk/Осмотры%20объектов%20АНО%20СМГ/1247.%20ДОУ%20на%20150%20мест%2C%20к.16%2C%20Варшавское%20ш.%2C%20280А%2C%20школа%20№1355")</f>
        <v>https://disk.yandex.ru/client/disk/Осмотры%20объектов%20АНО%20СМГ/1247.%20ДОУ%20на%20150%20мест%2C%20к.16%2C%20Варшавское%20ш.%2C%20280А%2C%20школа%20№1355</v>
      </c>
      <c r="J1344" s="50">
        <f>IFERROR(__xludf.DUMMYFUNCTION("""COMPUTED_VALUE"""),99.0389)</f>
        <v>99.0389</v>
      </c>
      <c r="K1344" s="58">
        <f>IFERROR(__xludf.DUMMYFUNCTION("""COMPUTED_VALUE"""),45847.0)</f>
        <v>45847</v>
      </c>
      <c r="L1344" s="6">
        <v>7.0</v>
      </c>
      <c r="M1344" s="52">
        <v>45854.0</v>
      </c>
      <c r="N1344" s="53" t="s">
        <v>668</v>
      </c>
      <c r="O1344" s="19" t="s">
        <v>669</v>
      </c>
      <c r="P1344" s="6"/>
      <c r="Q1344" s="6" t="str">
        <f t="shared" si="1"/>
        <v>#N/A</v>
      </c>
      <c r="R1344" s="6"/>
    </row>
    <row r="1345" hidden="1">
      <c r="A1345" s="31" t="str">
        <f>IFERROR(__xludf.DUMMYFUNCTION("""COMPUTED_VALUE"""),"1248")</f>
        <v>1248</v>
      </c>
      <c r="B1345" s="14" t="str">
        <f>IFERROR(__xludf.DUMMYFUNCTION("""COMPUTED_VALUE"""),"ВНЕ СПИСКА")</f>
        <v>ВНЕ СПИСКА</v>
      </c>
      <c r="C1345" s="14" t="str">
        <f>IFERROR(__xludf.DUMMYFUNCTION("""COMPUTED_VALUE"""),"ОКС")</f>
        <v>ОКС</v>
      </c>
      <c r="D1345" s="6" t="str">
        <f>IFERROR(__xludf.DUMMYFUNCTION("""COMPUTED_VALUE"""),"да")</f>
        <v>да</v>
      </c>
      <c r="E1345" s="14" t="str">
        <f>IFERROR(__xludf.DUMMYFUNCTION("""COMPUTED_VALUE"""),"Дошкольная образовательная организация на 350 мест г. Москва, поселение Внуковское, деревня Рассказовка")</f>
        <v>Дошкольная образовательная организация на 350 мест г. Москва, поселение Внуковское, деревня Рассказовка</v>
      </c>
      <c r="F1345" s="25" t="str">
        <f>IFERROR(__xludf.DUMMYFUNCTION("""COMPUTED_VALUE"""),"#N/A")</f>
        <v>#N/A</v>
      </c>
      <c r="G1345" s="6" t="str">
        <f>IFERROR(__xludf.DUMMYFUNCTION("""COMPUTED_VALUE"""),"#N/A")</f>
        <v>#N/A</v>
      </c>
      <c r="H1345" s="18" t="str">
        <f>IFERROR(__xludf.DUMMYFUNCTION("""COMPUTED_VALUE"""),"https://docs.google.com/spreadsheets/d/1EI7qusa674eJhuaw-nWWtWMEHVSYMQv7HLsInEZTWpE/edit?gid=371216580#gid=371216580")</f>
        <v>https://docs.google.com/spreadsheets/d/1EI7qusa674eJhuaw-nWWtWMEHVSYMQv7HLsInEZTWpE/edit?gid=371216580#gid=371216580</v>
      </c>
      <c r="I1345" s="19" t="str">
        <f>IFERROR(__xludf.DUMMYFUNCTION("""COMPUTED_VALUE"""),"https://disk.yandex.ru/client/disk/Осмотры%20объектов%20АНО%20СМГ/1248.%20ДОО%20на%20350%20мест%20Школа%201788.%20Бульвар%20Андрея%20Тарковского%202")</f>
        <v>https://disk.yandex.ru/client/disk/Осмотры%20объектов%20АНО%20СМГ/1248.%20ДОО%20на%20350%20мест%20Школа%201788.%20Бульвар%20Андрея%20Тарковского%202</v>
      </c>
      <c r="J1345" s="50">
        <f>IFERROR(__xludf.DUMMYFUNCTION("""COMPUTED_VALUE"""),100.0)</f>
        <v>100</v>
      </c>
      <c r="K1345" s="58">
        <f>IFERROR(__xludf.DUMMYFUNCTION("""COMPUTED_VALUE"""),45847.0)</f>
        <v>45847</v>
      </c>
      <c r="L1345" s="6" t="s">
        <v>654</v>
      </c>
      <c r="M1345" s="52" t="s">
        <v>655</v>
      </c>
      <c r="N1345" s="53" t="s">
        <v>656</v>
      </c>
      <c r="O1345" s="19" t="s">
        <v>1369</v>
      </c>
      <c r="P1345" s="6"/>
      <c r="Q1345" s="6" t="str">
        <f t="shared" si="1"/>
        <v>#N/A</v>
      </c>
      <c r="R1345" s="6"/>
    </row>
    <row r="1346" hidden="1">
      <c r="A1346" s="31" t="str">
        <f>IFERROR(__xludf.DUMMYFUNCTION("""COMPUTED_VALUE"""),"1249")</f>
        <v>1249</v>
      </c>
      <c r="B1346" s="14" t="str">
        <f>IFERROR(__xludf.DUMMYFUNCTION("""COMPUTED_VALUE"""),"ВНЕ СПИСКА")</f>
        <v>ВНЕ СПИСКА</v>
      </c>
      <c r="C1346" s="14" t="str">
        <f>IFERROR(__xludf.DUMMYFUNCTION("""COMPUTED_VALUE"""),"ОКС")</f>
        <v>ОКС</v>
      </c>
      <c r="D1346" s="6" t="str">
        <f>IFERROR(__xludf.DUMMYFUNCTION("""COMPUTED_VALUE"""),"да")</f>
        <v>да</v>
      </c>
      <c r="E1346" s="14" t="str">
        <f>IFERROR(__xludf.DUMMYFUNCTION("""COMPUTED_VALUE"""),"Встроенно-пристроенное к корп.4 дошкольное образовательное учреждение на 125 мест жилого комплекса г. Москва, Рублевское шоссе, вл.68-70")</f>
        <v>Встроенно-пристроенное к корп.4 дошкольное образовательное учреждение на 125 мест жилого комплекса г. Москва, Рублевское шоссе, вл.68-70</v>
      </c>
      <c r="F1346" s="25" t="str">
        <f>IFERROR(__xludf.DUMMYFUNCTION("""COMPUTED_VALUE"""),"#N/A")</f>
        <v>#N/A</v>
      </c>
      <c r="G1346" s="6" t="str">
        <f>IFERROR(__xludf.DUMMYFUNCTION("""COMPUTED_VALUE"""),"#N/A")</f>
        <v>#N/A</v>
      </c>
      <c r="H1346" s="18" t="str">
        <f>IFERROR(__xludf.DUMMYFUNCTION("""COMPUTED_VALUE"""),"https://docs.google.com/spreadsheets/d/1EI7qusa674eJhuaw-nWWtWMEHVSYMQv7HLsInEZTWpE/edit?gid=1431037231#gid=1431037231")</f>
        <v>https://docs.google.com/spreadsheets/d/1EI7qusa674eJhuaw-nWWtWMEHVSYMQv7HLsInEZTWpE/edit?gid=1431037231#gid=1431037231</v>
      </c>
      <c r="I1346" s="19" t="str">
        <f>IFERROR(__xludf.DUMMYFUNCTION("""COMPUTED_VALUE"""),"https://disk.yandex.ru/client/disk/Осмотры%20объектов%20АНО%20СМГ/1249.%20Встроенное-пристроенное%20ДОУ%20на%20125_Рублевское%20шоссе%20вл.%2068-70")</f>
        <v>https://disk.yandex.ru/client/disk/Осмотры%20объектов%20АНО%20СМГ/1249.%20Встроенное-пристроенное%20ДОУ%20на%20125_Рублевское%20шоссе%20вл.%2068-70</v>
      </c>
      <c r="J1346" s="50">
        <f>IFERROR(__xludf.DUMMYFUNCTION("""COMPUTED_VALUE"""),0.0)</f>
        <v>0</v>
      </c>
      <c r="K1346" s="58">
        <f>IFERROR(__xludf.DUMMYFUNCTION("""COMPUTED_VALUE"""),45847.0)</f>
        <v>45847</v>
      </c>
      <c r="L1346" s="6">
        <v>30.0</v>
      </c>
      <c r="M1346" s="52">
        <v>45877.0</v>
      </c>
      <c r="N1346" s="53" t="s">
        <v>652</v>
      </c>
      <c r="O1346" s="19" t="s">
        <v>1370</v>
      </c>
      <c r="P1346" s="6"/>
      <c r="Q1346" s="6" t="str">
        <f t="shared" si="1"/>
        <v>#N/A</v>
      </c>
      <c r="R1346" s="6"/>
    </row>
    <row r="1347" hidden="1">
      <c r="A1347" s="31" t="str">
        <f>IFERROR(__xludf.DUMMYFUNCTION("""COMPUTED_VALUE"""),"1252")</f>
        <v>1252</v>
      </c>
      <c r="B1347" s="14" t="str">
        <f>IFERROR(__xludf.DUMMYFUNCTION("""COMPUTED_VALUE"""),"ВНЕ СПИСКА")</f>
        <v>ВНЕ СПИСКА</v>
      </c>
      <c r="C1347" s="14" t="str">
        <f>IFERROR(__xludf.DUMMYFUNCTION("""COMPUTED_VALUE"""),"ОКС")</f>
        <v>ОКС</v>
      </c>
      <c r="D1347" s="6" t="str">
        <f>IFERROR(__xludf.DUMMYFUNCTION("""COMPUTED_VALUE"""),"да")</f>
        <v>да</v>
      </c>
      <c r="E1347" s="14" t="str">
        <f>IFERROR(__xludf.DUMMYFUNCTION("""COMPUTED_VALUE"""),"Школа на 350 мест, д. Румянцево, ЖК ""Home City"" г. Москва, ул. Инженера Балинского, д. 5")</f>
        <v>Школа на 350 мест, д. Румянцево, ЖК "Home City" г. Москва, ул. Инженера Балинского, д. 5</v>
      </c>
      <c r="F1347" s="25" t="str">
        <f>IFERROR(__xludf.DUMMYFUNCTION("""COMPUTED_VALUE"""),"#N/A")</f>
        <v>#N/A</v>
      </c>
      <c r="G1347" s="6" t="str">
        <f>IFERROR(__xludf.DUMMYFUNCTION("""COMPUTED_VALUE"""),"#N/A")</f>
        <v>#N/A</v>
      </c>
      <c r="H1347" s="18" t="str">
        <f>IFERROR(__xludf.DUMMYFUNCTION("""COMPUTED_VALUE"""),"https://docs.google.com/spreadsheets/d/1EI7qusa674eJhuaw-nWWtWMEHVSYMQv7HLsInEZTWpE/edit?gid=1963162360#gid=1963162360")</f>
        <v>https://docs.google.com/spreadsheets/d/1EI7qusa674eJhuaw-nWWtWMEHVSYMQv7HLsInEZTWpE/edit?gid=1963162360#gid=1963162360</v>
      </c>
      <c r="I1347" s="19" t="str">
        <f>IFERROR(__xludf.DUMMYFUNCTION("""COMPUTED_VALUE"""),"https://disk.yandex.ru/client/disk/Осмотры%20объектов%20АНО%20СМГ/1252%20г.%20Москва%2C%20ул.%20Инженера%20Балинского%2C%20д.%205%20Школа%20на%20350%20мест%2C%20д.%20Румянцево%2C%20ЖК%20%22Home%20City%22")</f>
        <v>https://disk.yandex.ru/client/disk/Осмотры%20объектов%20АНО%20СМГ/1252%20г.%20Москва%2C%20ул.%20Инженера%20Балинского%2C%20д.%205%20Школа%20на%20350%20мест%2C%20д.%20Румянцево%2C%20ЖК%20%22Home%20City%22</v>
      </c>
      <c r="J1347" s="50">
        <f>IFERROR(__xludf.DUMMYFUNCTION("""COMPUTED_VALUE"""),100.0)</f>
        <v>100</v>
      </c>
      <c r="K1347" s="58">
        <f>IFERROR(__xludf.DUMMYFUNCTION("""COMPUTED_VALUE"""),45849.0)</f>
        <v>45849</v>
      </c>
      <c r="L1347" s="6" t="s">
        <v>654</v>
      </c>
      <c r="M1347" s="52" t="s">
        <v>655</v>
      </c>
      <c r="N1347" s="53" t="s">
        <v>656</v>
      </c>
      <c r="O1347" s="19" t="s">
        <v>1371</v>
      </c>
      <c r="P1347" s="6"/>
      <c r="Q1347" s="6" t="str">
        <f t="shared" si="1"/>
        <v>#N/A</v>
      </c>
      <c r="R1347" s="6"/>
    </row>
    <row r="1348" hidden="1">
      <c r="A1348" s="31" t="str">
        <f>IFERROR(__xludf.DUMMYFUNCTION("""COMPUTED_VALUE"""),"292д")</f>
        <v>292д</v>
      </c>
      <c r="B1348" s="14" t="str">
        <f>IFERROR(__xludf.DUMMYFUNCTION("""COMPUTED_VALUE"""),"ВНЕ СПИСКА")</f>
        <v>ВНЕ СПИСКА</v>
      </c>
      <c r="C1348" s="14" t="str">
        <f>IFERROR(__xludf.DUMMYFUNCTION("""COMPUTED_VALUE"""),"УДС")</f>
        <v>УДС</v>
      </c>
      <c r="D1348" s="6"/>
      <c r="E1348" s="14" t="str">
        <f>IFERROR(__xludf.DUMMYFUNCTION("""COMPUTED_VALUE"""),"Реконструкция ул. Верхние Поля на участке от ул. Марьинский парк до МКАД. Этап 4.2 (ЮР-4) ул. Верхние Поля на участке от ул. Марьинский парк до МКАД")</f>
        <v>Реконструкция ул. Верхние Поля на участке от ул. Марьинский парк до МКАД. Этап 4.2 (ЮР-4) ул. Верхние Поля на участке от ул. Марьинский парк до МКАД</v>
      </c>
      <c r="F1348" s="25" t="str">
        <f>IFERROR(__xludf.DUMMYFUNCTION("""COMPUTED_VALUE"""),"#N/A")</f>
        <v>#N/A</v>
      </c>
      <c r="G1348" s="6" t="str">
        <f>IFERROR(__xludf.DUMMYFUNCTION("""COMPUTED_VALUE"""),"#N/A")</f>
        <v>#N/A</v>
      </c>
      <c r="H1348" s="6"/>
      <c r="I1348" s="19"/>
      <c r="J1348" s="50">
        <f>IFERROR(__xludf.DUMMYFUNCTION("""COMPUTED_VALUE"""),100.0)</f>
        <v>100</v>
      </c>
      <c r="K1348" s="58">
        <f>IFERROR(__xludf.DUMMYFUNCTION("""COMPUTED_VALUE"""),45852.0)</f>
        <v>45852</v>
      </c>
      <c r="L1348" s="6" t="s">
        <v>654</v>
      </c>
      <c r="M1348" s="52" t="s">
        <v>655</v>
      </c>
      <c r="N1348" s="53" t="s">
        <v>656</v>
      </c>
      <c r="O1348" s="19"/>
      <c r="P1348" s="6"/>
      <c r="Q1348" s="6" t="str">
        <f t="shared" si="1"/>
        <v>#N/A</v>
      </c>
      <c r="R1348" s="6"/>
    </row>
    <row r="1349" hidden="1">
      <c r="A1349" s="31" t="str">
        <f>IFERROR(__xludf.DUMMYFUNCTION("""COMPUTED_VALUE"""),"1253")</f>
        <v>1253</v>
      </c>
      <c r="B1349" s="14" t="str">
        <f>IFERROR(__xludf.DUMMYFUNCTION("""COMPUTED_VALUE"""),"ВНЕ СПИСКА")</f>
        <v>ВНЕ СПИСКА</v>
      </c>
      <c r="C1349" s="14" t="str">
        <f>IFERROR(__xludf.DUMMYFUNCTION("""COMPUTED_VALUE"""),"ОКС")</f>
        <v>ОКС</v>
      </c>
      <c r="D1349" s="6" t="str">
        <f>IFERROR(__xludf.DUMMYFUNCTION("""COMPUTED_VALUE"""),"да")</f>
        <v>да</v>
      </c>
      <c r="E1349" s="14" t="str">
        <f>IFERROR(__xludf.DUMMYFUNCTION("""COMPUTED_VALUE"""),"Офисное здание ул. Заречная, вл. 2/1")</f>
        <v>Офисное здание ул. Заречная, вл. 2/1</v>
      </c>
      <c r="F1349" s="25" t="str">
        <f>IFERROR(__xludf.DUMMYFUNCTION("""COMPUTED_VALUE"""),"#N/A")</f>
        <v>#N/A</v>
      </c>
      <c r="G1349" s="6" t="str">
        <f>IFERROR(__xludf.DUMMYFUNCTION("""COMPUTED_VALUE"""),"#N/A")</f>
        <v>#N/A</v>
      </c>
      <c r="H1349" s="18" t="str">
        <f>IFERROR(__xludf.DUMMYFUNCTION("""COMPUTED_VALUE"""),"https://docs.google.com/spreadsheets/d/1EI7qusa674eJhuaw-nWWtWMEHVSYMQv7HLsInEZTWpE/edit?gid=1488450314#gid=1488450314")</f>
        <v>https://docs.google.com/spreadsheets/d/1EI7qusa674eJhuaw-nWWtWMEHVSYMQv7HLsInEZTWpE/edit?gid=1488450314#gid=1488450314</v>
      </c>
      <c r="I1349" s="18" t="str">
        <f>IFERROR(__xludf.DUMMYFUNCTION("""COMPUTED_VALUE"""),"https://disk.yandex.ru/client/disk/%D0%9E%D1%81%D0%BC%D0%BE%D1%82%D1%80%D1%8B%20%D0%BE%D0%B1%D1%8A%D0%B5%D0%BA%D1%82%D0%BE%D0%B2%20%D0%90%D0%9D%D0%9E%20%D0%A1%D0%9C%D0%93/1253%20%D1%83%D0%BB.%20%D0%97%D0%B0%D1%80%D0%B5%D1%87%D0%BD%D0%B0%D1%8F%2C%20%D0%B2%"&amp;"D0%BB.%202%20%D0%B4%D1%80%D0%BE%D0%B1%D1%8C%201.%20%D0%9E%D1%84%D0%B8%D1%81%D0%BD%D0%BE%D0%B5%20%D0%B7%D0%B4%D0%B0%D0%BD%D0%B8%D0%B5.")</f>
        <v>https://disk.yandex.ru/client/disk/%D0%9E%D1%81%D0%BC%D0%BE%D1%82%D1%80%D1%8B%20%D0%BE%D0%B1%D1%8A%D0%B5%D0%BA%D1%82%D0%BE%D0%B2%20%D0%90%D0%9D%D0%9E%20%D0%A1%D0%9C%D0%93/1253%20%D1%83%D0%BB.%20%D0%97%D0%B0%D1%80%D0%B5%D1%87%D0%BD%D0%B0%D1%8F%2C%20%D0%B2%D0%BB.%202%20%D0%B4%D1%80%D0%BE%D0%B1%D1%8C%201.%20%D0%9E%D1%84%D0%B8%D1%81%D0%BD%D0%BE%D0%B5%20%D0%B7%D0%B4%D0%B0%D0%BD%D0%B8%D0%B5.</v>
      </c>
      <c r="J1349" s="50">
        <f>IFERROR(__xludf.DUMMYFUNCTION("""COMPUTED_VALUE"""),60.670424999999994)</f>
        <v>60.670425</v>
      </c>
      <c r="K1349" s="58">
        <f>IFERROR(__xludf.DUMMYFUNCTION("""COMPUTED_VALUE"""),45861.0)</f>
        <v>45861</v>
      </c>
      <c r="L1349" s="6">
        <v>14.0</v>
      </c>
      <c r="M1349" s="52">
        <v>45875.0</v>
      </c>
      <c r="N1349" s="53" t="s">
        <v>668</v>
      </c>
      <c r="O1349" s="6" t="s">
        <v>1372</v>
      </c>
      <c r="P1349" s="6"/>
      <c r="Q1349" s="6" t="str">
        <f t="shared" si="1"/>
        <v>#N/A</v>
      </c>
      <c r="R1349" s="6"/>
    </row>
    <row r="1350" hidden="1">
      <c r="A1350" s="31" t="str">
        <f>IFERROR(__xludf.DUMMYFUNCTION("""COMPUTED_VALUE"""),"1254")</f>
        <v>1254</v>
      </c>
      <c r="B1350" s="14" t="str">
        <f>IFERROR(__xludf.DUMMYFUNCTION("""COMPUTED_VALUE"""),"ВНЕ СПИСКА")</f>
        <v>ВНЕ СПИСКА</v>
      </c>
      <c r="C1350" s="14" t="str">
        <f>IFERROR(__xludf.DUMMYFUNCTION("""COMPUTED_VALUE"""),"ОКС")</f>
        <v>ОКС</v>
      </c>
      <c r="D1350" s="6" t="str">
        <f>IFERROR(__xludf.DUMMYFUNCTION("""COMPUTED_VALUE"""),"да")</f>
        <v>да</v>
      </c>
      <c r="E1350" s="14" t="str">
        <f>IFERROR(__xludf.DUMMYFUNCTION("""COMPUTED_VALUE"""),"Административное здание с подземной автостоянкой Промышленный проезд, вл. 5")</f>
        <v>Административное здание с подземной автостоянкой Промышленный проезд, вл. 5</v>
      </c>
      <c r="F1350" s="25" t="str">
        <f>IFERROR(__xludf.DUMMYFUNCTION("""COMPUTED_VALUE"""),"#N/A")</f>
        <v>#N/A</v>
      </c>
      <c r="G1350" s="6" t="str">
        <f>IFERROR(__xludf.DUMMYFUNCTION("""COMPUTED_VALUE"""),"#N/A")</f>
        <v>#N/A</v>
      </c>
      <c r="H1350" s="18" t="str">
        <f>IFERROR(__xludf.DUMMYFUNCTION("""COMPUTED_VALUE"""),"https://docs.google.com/spreadsheets/d/1EI7qusa674eJhuaw-nWWtWMEHVSYMQv7HLsInEZTWpE/edit?gid=1656230982#gid=1656230982")</f>
        <v>https://docs.google.com/spreadsheets/d/1EI7qusa674eJhuaw-nWWtWMEHVSYMQv7HLsInEZTWpE/edit?gid=1656230982#gid=1656230982</v>
      </c>
      <c r="I1350" s="21" t="str">
        <f>IFERROR(__xludf.DUMMYFUNCTION("""COMPUTED_VALUE"""),"https://disk.yandex.ru/client/disk/%D0%9E%D1%81%D0%BC%D0%BE%D1%82%D1%80%D1%8B%20%D0%BE%D0%B1%D1%8A%D0%B5%D0%BA%D1%82%D0%BE%D0%B2%20%D0%90%D0%9D%D0%9E%20%D0%A1%D0%9C%D0%93/1254%20%D0%9F%D1%80%D0%BE%D0%BC%D1%8B%D1%88%D0%BB%D0%B5%D0%BD%D0%BD%D1%8B%D0%B9%20%D"&amp;"0%BF%D1%80%D0%BE%D0%B5%D0%B7%D0%B4%2C%20%D0%B2%D0%BB.%205.%20%D0%90%D0%B4%D0%BC%D0%B8%D0%BD%D0%B8%D1%81%D1%82%D1%80%D0%B0%D1%82%D0%B8%D0%B2%D0%BD%D0%BE%D0%B5%20%D0%B7%D0%B4%D0%B0%D0%BD%D0%B8%D0%B5%20%D1%81%20%D0%BF%D0%BE%D0%B4%D0%B7%D0%B5%D0%BC%D0%BD%D0%B"&amp;"E%D0%B9%20%D0%B0%D0%B2%D1%82%D0%BE%D1%81%D1%82%D0%BE%D1%8F%D0%BD%D0%BA%D0%BE%D0%B9.")</f>
        <v>https://disk.yandex.ru/client/disk/%D0%9E%D1%81%D0%BC%D0%BE%D1%82%D1%80%D1%8B%20%D0%BE%D0%B1%D1%8A%D0%B5%D0%BA%D1%82%D0%BE%D0%B2%20%D0%90%D0%9D%D0%9E%20%D0%A1%D0%9C%D0%93/1254%20%D0%9F%D1%80%D0%BE%D0%BC%D1%8B%D1%88%D0%BB%D0%B5%D0%BD%D0%BD%D1%8B%D0%B9%20%D0%BF%D1%80%D0%BE%D0%B5%D0%B7%D0%B4%2C%20%D0%B2%D0%BB.%205.%20%D0%90%D0%B4%D0%BC%D0%B8%D0%BD%D0%B8%D1%81%D1%82%D1%80%D0%B0%D1%82%D0%B8%D0%B2%D0%BD%D0%BE%D0%B5%20%D0%B7%D0%B4%D0%B0%D0%BD%D0%B8%D0%B5%20%D1%81%20%D0%BF%D0%BE%D0%B4%D0%B7%D0%B5%D0%BC%D0%BD%D0%BE%D0%B9%20%D0%B0%D0%B2%D1%82%D0%BE%D1%81%D1%82%D0%BE%D1%8F%D0%BD%D0%BA%D0%BE%D0%B9.</v>
      </c>
      <c r="J1350" s="50">
        <f>IFERROR(__xludf.DUMMYFUNCTION("""COMPUTED_VALUE"""),80.8343625)</f>
        <v>80.8343625</v>
      </c>
      <c r="K1350" s="58">
        <f>IFERROR(__xludf.DUMMYFUNCTION("""COMPUTED_VALUE"""),45862.0)</f>
        <v>45862</v>
      </c>
      <c r="L1350" s="6">
        <v>14.0</v>
      </c>
      <c r="M1350" s="52">
        <v>45876.0</v>
      </c>
      <c r="N1350" s="53" t="s">
        <v>668</v>
      </c>
      <c r="O1350" s="19" t="s">
        <v>1373</v>
      </c>
      <c r="P1350" s="6"/>
      <c r="Q1350" s="6" t="str">
        <f t="shared" si="1"/>
        <v>#N/A</v>
      </c>
      <c r="R1350" s="6"/>
    </row>
    <row r="1351" hidden="1">
      <c r="A1351" s="31" t="str">
        <f>IFERROR(__xludf.DUMMYFUNCTION("""COMPUTED_VALUE"""),"1255")</f>
        <v>1255</v>
      </c>
      <c r="B1351" s="14" t="str">
        <f>IFERROR(__xludf.DUMMYFUNCTION("""COMPUTED_VALUE"""),"ВНЕ СПИСКА")</f>
        <v>ВНЕ СПИСКА</v>
      </c>
      <c r="C1351" s="14" t="str">
        <f>IFERROR(__xludf.DUMMYFUNCTION("""COMPUTED_VALUE"""),"ОКС")</f>
        <v>ОКС</v>
      </c>
      <c r="D1351" s="6" t="str">
        <f>IFERROR(__xludf.DUMMYFUNCTION("""COMPUTED_VALUE"""),"да")</f>
        <v>да</v>
      </c>
      <c r="E1351" s="14" t="str">
        <f>IFERROR(__xludf.DUMMYFUNCTION("""COMPUTED_VALUE"""),"Административно-торговый комплекс с подземной автостоянкой, корпус В и Г Пересечение Кутузовского проспекта и улицы Кульнева")</f>
        <v>Административно-торговый комплекс с подземной автостоянкой, корпус В и Г Пересечение Кутузовского проспекта и улицы Кульнева</v>
      </c>
      <c r="F1351" s="25" t="str">
        <f>IFERROR(__xludf.DUMMYFUNCTION("""COMPUTED_VALUE"""),"#N/A")</f>
        <v>#N/A</v>
      </c>
      <c r="G1351" s="6" t="str">
        <f>IFERROR(__xludf.DUMMYFUNCTION("""COMPUTED_VALUE"""),"#N/A")</f>
        <v>#N/A</v>
      </c>
      <c r="H1351" s="18" t="str">
        <f>IFERROR(__xludf.DUMMYFUNCTION("""COMPUTED_VALUE"""),"https://docs.google.com/spreadsheets/d/1EI7qusa674eJhuaw-nWWtWMEHVSYMQv7HLsInEZTWpE/edit?gid=2128549332#gid=2128549332")</f>
        <v>https://docs.google.com/spreadsheets/d/1EI7qusa674eJhuaw-nWWtWMEHVSYMQv7HLsInEZTWpE/edit?gid=2128549332#gid=2128549332</v>
      </c>
      <c r="I1351" s="21" t="str">
        <f>IFERROR(__xludf.DUMMYFUNCTION("""COMPUTED_VALUE"""),"https://disk.yandex.ru/client/disk/%D0%9E%D1%81%D0%BC%D0%BE%D1%82%D1%80%D1%8B%20%D0%BE%D0%B1%D1%8A%D0%B5%D0%BA%D1%82%D0%BE%D0%B2%20%D0%90%D0%9D%D0%9E%20%D0%A1%D0%9C%D0%93/1255%20%D0%9F%D0%B5%D1%80%D0%B5%D1%81%D0%B5%D1%87%D0%B5%D0%BD%D0%B8%D0%B5%20%D0%9A%D"&amp;"1%83%D1%82%D1%83%D0%B7%D0%BE%D0%B2%D1%81%D0%BA%D0%BE%D0%B3%D0%BE%20%D0%BF%D1%80%D0%BE%D1%81%D0%BF%D0%B5%D0%BA%D1%82%D0%B0%20%D0%B8%20%D1%83%D0%BB%D0%B8%D1%86%D1%8B%20%D0%9A%D1%83%D0%BB%D1%8C%D0%BD%D0%B5%D0%B2%D0%B0.%20%D0%90%D0%B4%D0%BC%D0%B8%D0%BD%D0%B8%"&amp;"D1%81%D1%82%D1%80%D0%B0%D1%82%D0%B8%D0%B2%D0%BD%D0%BE-%D1%82%D0%BE%D1%80%D0%B3%D0%BE%D0%B2%D1%8B%D0%B9%20%D0%BA%D0%BE%D0%BC%D0%BF%D0%BB%D0%B5%D0%BA%D1%81%20%D1%81%20%D0%BF%D0%BE%D0%B4%D0%B7%D0%B5%D0%BC%D0%BD%D0%BE%D0%B9%20%D0%B0%D0%B2%D1%82%D0%BE%D1%81%D1"&amp;"%82%D0%BE%D1%8F%D0%BD%D0%BA%D0%BE%D0%B9%2C%20%D0%BA%D0%BE%D1%80%D0%BF%D1%83%D1%81%20%D0%92%20%D0%B8%20%D0%93.")</f>
        <v>https://disk.yandex.ru/client/disk/%D0%9E%D1%81%D0%BC%D0%BE%D1%82%D1%80%D1%8B%20%D0%BE%D0%B1%D1%8A%D0%B5%D0%BA%D1%82%D0%BE%D0%B2%20%D0%90%D0%9D%D0%9E%20%D0%A1%D0%9C%D0%93/1255%20%D0%9F%D0%B5%D1%80%D0%B5%D1%81%D0%B5%D1%87%D0%B5%D0%BD%D0%B8%D0%B5%20%D0%9A%D1%83%D1%82%D1%83%D0%B7%D0%BE%D0%B2%D1%81%D0%BA%D0%BE%D0%B3%D0%BE%20%D0%BF%D1%80%D0%BE%D1%81%D0%BF%D0%B5%D0%BA%D1%82%D0%B0%20%D0%B8%20%D1%83%D0%BB%D0%B8%D1%86%D1%8B%20%D0%9A%D1%83%D0%BB%D1%8C%D0%BD%D0%B5%D0%B2%D0%B0.%20%D0%90%D0%B4%D0%BC%D0%B8%D0%BD%D0%B8%D1%81%D1%82%D1%80%D0%B0%D1%82%D0%B8%D0%B2%D0%BD%D0%BE-%D1%82%D0%BE%D1%80%D0%B3%D0%BE%D0%B2%D1%8B%D0%B9%20%D0%BA%D0%BE%D0%BC%D0%BF%D0%BB%D0%B5%D0%BA%D1%81%20%D1%81%20%D0%BF%D0%BE%D0%B4%D0%B7%D0%B5%D0%BC%D0%BD%D0%BE%D0%B9%20%D0%B0%D0%B2%D1%82%D0%BE%D1%81%D1%82%D0%BE%D1%8F%D0%BD%D0%BA%D0%BE%D0%B9%2C%20%D0%BA%D0%BE%D1%80%D0%BF%D1%83%D1%81%20%D0%92%20%D0%B8%20%D0%93.</v>
      </c>
      <c r="J1351" s="50">
        <f>IFERROR(__xludf.DUMMYFUNCTION("""COMPUTED_VALUE"""),52.170075000000004)</f>
        <v>52.170075</v>
      </c>
      <c r="K1351" s="58">
        <f>IFERROR(__xludf.DUMMYFUNCTION("""COMPUTED_VALUE"""),45862.0)</f>
        <v>45862</v>
      </c>
      <c r="L1351" s="6">
        <v>14.0</v>
      </c>
      <c r="M1351" s="52">
        <v>45876.0</v>
      </c>
      <c r="N1351" s="53" t="s">
        <v>668</v>
      </c>
      <c r="O1351" s="19" t="s">
        <v>1374</v>
      </c>
      <c r="P1351" s="6"/>
      <c r="Q1351" s="6" t="str">
        <f t="shared" si="1"/>
        <v>#N/A</v>
      </c>
      <c r="R1351" s="6"/>
    </row>
    <row r="1352" hidden="1">
      <c r="A1352" s="31" t="str">
        <f>IFERROR(__xludf.DUMMYFUNCTION("""COMPUTED_VALUE"""),"1256")</f>
        <v>1256</v>
      </c>
      <c r="B1352" s="14" t="str">
        <f>IFERROR(__xludf.DUMMYFUNCTION("""COMPUTED_VALUE"""),"ВНЕ СПИСКА")</f>
        <v>ВНЕ СПИСКА</v>
      </c>
      <c r="C1352" s="14" t="str">
        <f>IFERROR(__xludf.DUMMYFUNCTION("""COMPUTED_VALUE"""),"ОКС")</f>
        <v>ОКС</v>
      </c>
      <c r="D1352" s="6" t="str">
        <f>IFERROR(__xludf.DUMMYFUNCTION("""COMPUTED_VALUE"""),"да")</f>
        <v>да</v>
      </c>
      <c r="E1352" s="14" t="str">
        <f>IFERROR(__xludf.DUMMYFUNCTION("""COMPUTED_VALUE"""),"Центр обработки данных (МегаЦОД-3) Южнопортовый 2-й пр. вл. 12а")</f>
        <v>Центр обработки данных (МегаЦОД-3) Южнопортовый 2-й пр. вл. 12а</v>
      </c>
      <c r="F1352" s="25" t="str">
        <f>IFERROR(__xludf.DUMMYFUNCTION("""COMPUTED_VALUE"""),"#N/A")</f>
        <v>#N/A</v>
      </c>
      <c r="G1352" s="6" t="str">
        <f>IFERROR(__xludf.DUMMYFUNCTION("""COMPUTED_VALUE"""),"#N/A")</f>
        <v>#N/A</v>
      </c>
      <c r="H1352" s="18" t="str">
        <f>IFERROR(__xludf.DUMMYFUNCTION("""COMPUTED_VALUE"""),"https://docs.google.com/spreadsheets/d/1EI7qusa674eJhuaw-nWWtWMEHVSYMQv7HLsInEZTWpE/edit?gid=721503388#gid=721503388")</f>
        <v>https://docs.google.com/spreadsheets/d/1EI7qusa674eJhuaw-nWWtWMEHVSYMQv7HLsInEZTWpE/edit?gid=721503388#gid=721503388</v>
      </c>
      <c r="I1352" s="21" t="str">
        <f>IFERROR(__xludf.DUMMYFUNCTION("""COMPUTED_VALUE"""),"https://disk.yandex.ru/client/disk/%D0%9E%D1%81%D0%BC%D0%BE%D1%82%D1%80%D1%8B%20%D0%BE%D0%B1%D1%8A%D0%B5%D0%BA%D1%82%D0%BE%D0%B2%20%D0%90%D0%9D%D0%9E%20%D0%A1%D0%9C%D0%93/1256.%20%D0%A6%D0%B5%D0%BD%D1%82%D1%80%20%D0%BE%D0%B1%D1%80%D0%B0%D0%B1%D0%BE%D1%82%"&amp;"D0%BA%D0%B8%20%D0%B4%D0%B0%D0%BD%D0%BD%D1%8B%D1%85(%D0%9C%D0%B5%D0%B3%D0%B0%D0%A6%D0%9E%D0%94-3)%D0%9C%D0%BE%D1%81%D0%BA%D0%B2%D0%B0%2C%202-%D0%B9%20%D0%AE%D0%B6%D0%BD%D0%BE%D0%BF%D0%BE%D1%80%D1%82%D0%BE%D0%B2%D1%8B%D0%B9%20%D0%BF%D1%80%D0%BE%D0%B5%D0%B7%"&amp;"D0%B4%2C%2012%20%D0%90")</f>
        <v>https://disk.yandex.ru/client/disk/%D0%9E%D1%81%D0%BC%D0%BE%D1%82%D1%80%D1%8B%20%D0%BE%D0%B1%D1%8A%D0%B5%D0%BA%D1%82%D0%BE%D0%B2%20%D0%90%D0%9D%D0%9E%20%D0%A1%D0%9C%D0%93/1256.%20%D0%A6%D0%B5%D0%BD%D1%82%D1%80%20%D0%BE%D0%B1%D1%80%D0%B0%D0%B1%D0%BE%D1%82%D0%BA%D0%B8%20%D0%B4%D0%B0%D0%BD%D0%BD%D1%8B%D1%85(%D0%9C%D0%B5%D0%B3%D0%B0%D0%A6%D0%9E%D0%94-3)%D0%9C%D0%BE%D1%81%D0%BA%D0%B2%D0%B0%2C%202-%D0%B9%20%D0%AE%D0%B6%D0%BD%D0%BE%D0%BF%D0%BE%D1%80%D1%82%D0%BE%D0%B2%D1%8B%D0%B9%20%D0%BF%D1%80%D0%BE%D0%B5%D0%B7%D0%B4%2C%2012%20%D0%90</v>
      </c>
      <c r="J1352" s="50">
        <f>IFERROR(__xludf.DUMMYFUNCTION("""COMPUTED_VALUE"""),0.0)</f>
        <v>0</v>
      </c>
      <c r="K1352" s="58">
        <f>IFERROR(__xludf.DUMMYFUNCTION("""COMPUTED_VALUE"""),45862.0)</f>
        <v>45862</v>
      </c>
      <c r="L1352" s="6">
        <v>30.0</v>
      </c>
      <c r="M1352" s="52">
        <v>45892.0</v>
      </c>
      <c r="N1352" s="53" t="s">
        <v>668</v>
      </c>
      <c r="O1352" s="19"/>
      <c r="P1352" s="6"/>
      <c r="Q1352" s="6" t="str">
        <f t="shared" si="1"/>
        <v>#N/A</v>
      </c>
      <c r="R1352" s="6"/>
    </row>
    <row r="1353" hidden="1">
      <c r="A1353" s="31" t="str">
        <f>IFERROR(__xludf.DUMMYFUNCTION("""COMPUTED_VALUE"""),"1257")</f>
        <v>1257</v>
      </c>
      <c r="B1353" s="14" t="str">
        <f>IFERROR(__xludf.DUMMYFUNCTION("""COMPUTED_VALUE"""),"ВНЕ СПИСКА")</f>
        <v>ВНЕ СПИСКА</v>
      </c>
      <c r="C1353" s="14" t="str">
        <f>IFERROR(__xludf.DUMMYFUNCTION("""COMPUTED_VALUE"""),"ОКС")</f>
        <v>ОКС</v>
      </c>
      <c r="D1353" s="6" t="str">
        <f>IFERROR(__xludf.DUMMYFUNCTION("""COMPUTED_VALUE"""),"да")</f>
        <v>да</v>
      </c>
      <c r="E1353" s="14" t="str">
        <f>IFERROR(__xludf.DUMMYFUNCTION("""COMPUTED_VALUE"""),"Офисно-деловой центр, Строения 2 и  3 ул. Лобненская, земельный участок 19А")</f>
        <v>Офисно-деловой центр, Строения 2 и  3 ул. Лобненская, земельный участок 19А</v>
      </c>
      <c r="F1353" s="25" t="str">
        <f>IFERROR(__xludf.DUMMYFUNCTION("""COMPUTED_VALUE"""),"#N/A")</f>
        <v>#N/A</v>
      </c>
      <c r="G1353" s="6" t="str">
        <f>IFERROR(__xludf.DUMMYFUNCTION("""COMPUTED_VALUE"""),"#N/A")</f>
        <v>#N/A</v>
      </c>
      <c r="H1353" s="18" t="str">
        <f>IFERROR(__xludf.DUMMYFUNCTION("""COMPUTED_VALUE"""),"https://docs.google.com/spreadsheets/d/1EI7qusa674eJhuaw-nWWtWMEHVSYMQv7HLsInEZTWpE/edit?gid=1028732980#gid=1028732980")</f>
        <v>https://docs.google.com/spreadsheets/d/1EI7qusa674eJhuaw-nWWtWMEHVSYMQv7HLsInEZTWpE/edit?gid=1028732980#gid=1028732980</v>
      </c>
      <c r="I1353" s="19"/>
      <c r="J1353" s="50">
        <f>IFERROR(__xludf.DUMMYFUNCTION("""COMPUTED_VALUE"""),0.0)</f>
        <v>0</v>
      </c>
      <c r="K1353" s="58">
        <f>IFERROR(__xludf.DUMMYFUNCTION("""COMPUTED_VALUE"""),45860.0)</f>
        <v>45860</v>
      </c>
      <c r="L1353" s="6">
        <v>30.0</v>
      </c>
      <c r="M1353" s="52">
        <v>45890.0</v>
      </c>
      <c r="N1353" s="53" t="s">
        <v>668</v>
      </c>
      <c r="O1353" s="19"/>
      <c r="P1353" s="6"/>
      <c r="Q1353" s="6" t="str">
        <f t="shared" si="1"/>
        <v>#N/A</v>
      </c>
      <c r="R1353" s="6"/>
    </row>
    <row r="1354" hidden="1">
      <c r="A1354" s="31" t="str">
        <f>IFERROR(__xludf.DUMMYFUNCTION("""COMPUTED_VALUE"""),"1258")</f>
        <v>1258</v>
      </c>
      <c r="B1354" s="14" t="str">
        <f>IFERROR(__xludf.DUMMYFUNCTION("""COMPUTED_VALUE"""),"ВНЕ СПИСКА")</f>
        <v>ВНЕ СПИСКА</v>
      </c>
      <c r="C1354" s="14" t="str">
        <f>IFERROR(__xludf.DUMMYFUNCTION("""COMPUTED_VALUE"""),"ОКС")</f>
        <v>ОКС</v>
      </c>
      <c r="D1354" s="6" t="str">
        <f>IFERROR(__xludf.DUMMYFUNCTION("""COMPUTED_VALUE"""),"да")</f>
        <v>да</v>
      </c>
      <c r="E1354" s="14" t="str">
        <f>IFERROR(__xludf.DUMMYFUNCTION("""COMPUTED_VALUE"""),"Многофункциональный компекс (с аппартаментами квартирного типа) 2 этап (очередь) Корпуса 4-5 Никулинская ул. вл. 11Г")</f>
        <v>Многофункциональный компекс (с аппартаментами квартирного типа) 2 этап (очередь) Корпуса 4-5 Никулинская ул. вл. 11Г</v>
      </c>
      <c r="F1354" s="25" t="str">
        <f>IFERROR(__xludf.DUMMYFUNCTION("""COMPUTED_VALUE"""),"#N/A")</f>
        <v>#N/A</v>
      </c>
      <c r="G1354" s="6" t="str">
        <f>IFERROR(__xludf.DUMMYFUNCTION("""COMPUTED_VALUE"""),"#N/A")</f>
        <v>#N/A</v>
      </c>
      <c r="H1354" s="18" t="str">
        <f>IFERROR(__xludf.DUMMYFUNCTION("""COMPUTED_VALUE"""),"https://docs.google.com/spreadsheets/d/1EI7qusa674eJhuaw-nWWtWMEHVSYMQv7HLsInEZTWpE/edit?gid=1050204202#gid=1050204202")</f>
        <v>https://docs.google.com/spreadsheets/d/1EI7qusa674eJhuaw-nWWtWMEHVSYMQv7HLsInEZTWpE/edit?gid=1050204202#gid=1050204202</v>
      </c>
      <c r="I1354" s="21" t="str">
        <f>IFERROR(__xludf.DUMMYFUNCTION("""COMPUTED_VALUE"""),"https://disk.yandex.ru/client/disk/%D0%9E%D1%81%D0%BC%D0%BE%D1%82%D1%80%D1%8B%20%D0%BE%D0%B1%D1%8A%D0%B5%D0%BA%D1%82%D0%BE%D0%B2%20%D0%90%D0%9D%D0%9E%20%D0%A1%D0%9C%D0%93/1258.%20%D0%9C%D0%BD%D0%BE%D0%B3%D0%BE%D1%84%D1%83%D0%BD%D0%BA%D1%86%D0%B8%D0%BE%D0%"&amp;"BD%D0%B0%D0%BB%D1%8C%D0%BD%D1%8B%D0%B9%20%D0%BA%D0%BE%D0%BC%D0%BF%D0%BB%D0%B5%D0%BA%D1%81%2C%20%D0%BA.%204-5%2C%20%D0%9D%D0%B8%D0%BA%D1%83%D0%BB%D0%B8%D0%BD%D1%81%D0%BA%D0%B0%D1%8F%2C%20%D0%B2%D0%BB.%2011%D0%B3")</f>
        <v>https://disk.yandex.ru/client/disk/%D0%9E%D1%81%D0%BC%D0%BE%D1%82%D1%80%D1%8B%20%D0%BE%D0%B1%D1%8A%D0%B5%D0%BA%D1%82%D0%BE%D0%B2%20%D0%90%D0%9D%D0%9E%20%D0%A1%D0%9C%D0%93/1258.%20%D0%9C%D0%BD%D0%BE%D0%B3%D0%BE%D1%84%D1%83%D0%BD%D0%BA%D1%86%D0%B8%D0%BE%D0%BD%D0%B0%D0%BB%D1%8C%D0%BD%D1%8B%D0%B9%20%D0%BA%D0%BE%D0%BC%D0%BF%D0%BB%D0%B5%D0%BA%D1%81%2C%20%D0%BA.%204-5%2C%20%D0%9D%D0%B8%D0%BA%D1%83%D0%BB%D0%B8%D0%BD%D1%81%D0%BA%D0%B0%D1%8F%2C%20%D0%B2%D0%BB.%2011%D0%B3</v>
      </c>
      <c r="J1354" s="50">
        <f>IFERROR(__xludf.DUMMYFUNCTION("""COMPUTED_VALUE"""),100.0)</f>
        <v>100</v>
      </c>
      <c r="K1354" s="58">
        <f>IFERROR(__xludf.DUMMYFUNCTION("""COMPUTED_VALUE"""),45860.0)</f>
        <v>45860</v>
      </c>
      <c r="L1354" s="6" t="s">
        <v>654</v>
      </c>
      <c r="M1354" s="52" t="s">
        <v>655</v>
      </c>
      <c r="N1354" s="53" t="s">
        <v>656</v>
      </c>
      <c r="O1354" s="19" t="s">
        <v>1375</v>
      </c>
      <c r="P1354" s="6"/>
      <c r="Q1354" s="6" t="str">
        <f t="shared" si="1"/>
        <v>#N/A</v>
      </c>
      <c r="R1354" s="6"/>
    </row>
    <row r="1355" hidden="1">
      <c r="A1355" s="31" t="str">
        <f>IFERROR(__xludf.DUMMYFUNCTION("""COMPUTED_VALUE"""),"1259")</f>
        <v>1259</v>
      </c>
      <c r="B1355" s="14" t="str">
        <f>IFERROR(__xludf.DUMMYFUNCTION("""COMPUTED_VALUE"""),"ВНЕ СПИСКА")</f>
        <v>ВНЕ СПИСКА</v>
      </c>
      <c r="C1355" s="14" t="str">
        <f>IFERROR(__xludf.DUMMYFUNCTION("""COMPUTED_VALUE"""),"ОКС")</f>
        <v>ОКС</v>
      </c>
      <c r="D1355" s="6" t="str">
        <f>IFERROR(__xludf.DUMMYFUNCTION("""COMPUTED_VALUE"""),"да")</f>
        <v>да</v>
      </c>
      <c r="E1355" s="14" t="str">
        <f>IFERROR(__xludf.DUMMYFUNCTION("""COMPUTED_VALUE"""),"Территория инновационного цетра Сколково Творческий квартал, корп. 3, 7, 8, 9, 10")</f>
        <v>Территория инновационного цетра Сколково Творческий квартал, корп. 3, 7, 8, 9, 10</v>
      </c>
      <c r="F1355" s="25" t="str">
        <f>IFERROR(__xludf.DUMMYFUNCTION("""COMPUTED_VALUE"""),"#N/A")</f>
        <v>#N/A</v>
      </c>
      <c r="G1355" s="6" t="str">
        <f>IFERROR(__xludf.DUMMYFUNCTION("""COMPUTED_VALUE"""),"#N/A")</f>
        <v>#N/A</v>
      </c>
      <c r="H1355" s="18" t="str">
        <f>IFERROR(__xludf.DUMMYFUNCTION("""COMPUTED_VALUE"""),"https://docs.google.com/spreadsheets/d/1EI7qusa674eJhuaw-nWWtWMEHVSYMQv7HLsInEZTWpE/edit?gid=394346053#gid=394346053")</f>
        <v>https://docs.google.com/spreadsheets/d/1EI7qusa674eJhuaw-nWWtWMEHVSYMQv7HLsInEZTWpE/edit?gid=394346053#gid=394346053</v>
      </c>
      <c r="I1355" s="21" t="str">
        <f>IFERROR(__xludf.DUMMYFUNCTION("""COMPUTED_VALUE"""),"https://disk.yandex.ru/client/disk/%D0%9E%D1%81%D0%BC%D0%BE%D1%82%D1%80%D1%8B%20%D0%BE%D0%B1%D1%8A%D0%B5%D0%BA%D1%82%D0%BE%D0%B2%20%D0%90%D0%9D%D0%9E%20%D0%A1%D0%9C%D0%93/1259.%20%D1%82%D0%B5%D1%80.%20%D0%A1%D0%BA%D0%BE%D0%BB%D0%BA%D0%BE%D0%B2%D0%BE%2C%20"&amp;"%D0%A2%D0%B2%D0%BE%D1%80%D1%87%D0%B5%D1%81%D0%BA%D0%B8%D0%B9%20%D0%BA%D0%B2%D0%B0%D1%80%D1%82%D0%B0%D0%BB%2C%20%D0%BA%D0%BE%D1%80%D0%BF.%203%2C%207%2C%208%2C%209%2C%2010")</f>
        <v>https://disk.yandex.ru/client/disk/%D0%9E%D1%81%D0%BC%D0%BE%D1%82%D1%80%D1%8B%20%D0%BE%D0%B1%D1%8A%D0%B5%D0%BA%D1%82%D0%BE%D0%B2%20%D0%90%D0%9D%D0%9E%20%D0%A1%D0%9C%D0%93/1259.%20%D1%82%D0%B5%D1%80.%20%D0%A1%D0%BA%D0%BE%D0%BB%D0%BA%D0%BE%D0%B2%D0%BE%2C%20%D0%A2%D0%B2%D0%BE%D1%80%D1%87%D0%B5%D1%81%D0%BA%D0%B8%D0%B9%20%D0%BA%D0%B2%D0%B0%D1%80%D1%82%D0%B0%D0%BB%2C%20%D0%BA%D0%BE%D1%80%D0%BF.%203%2C%207%2C%208%2C%209%2C%2010</v>
      </c>
      <c r="J1355" s="50">
        <f>IFERROR(__xludf.DUMMYFUNCTION("""COMPUTED_VALUE"""),52.7209225)</f>
        <v>52.7209225</v>
      </c>
      <c r="K1355" s="58">
        <f>IFERROR(__xludf.DUMMYFUNCTION("""COMPUTED_VALUE"""),45861.0)</f>
        <v>45861</v>
      </c>
      <c r="L1355" s="6">
        <v>14.0</v>
      </c>
      <c r="M1355" s="52">
        <v>45875.0</v>
      </c>
      <c r="N1355" s="53" t="s">
        <v>668</v>
      </c>
      <c r="O1355" s="19" t="s">
        <v>1376</v>
      </c>
      <c r="P1355" s="6"/>
      <c r="Q1355" s="6" t="str">
        <f t="shared" si="1"/>
        <v>#N/A</v>
      </c>
      <c r="R1355" s="6"/>
    </row>
    <row r="1356" hidden="1">
      <c r="A1356" s="31" t="str">
        <f>IFERROR(__xludf.DUMMYFUNCTION("""COMPUTED_VALUE"""),"1260")</f>
        <v>1260</v>
      </c>
      <c r="B1356" s="14" t="str">
        <f>IFERROR(__xludf.DUMMYFUNCTION("""COMPUTED_VALUE"""),"ВНЕ СПИСКА")</f>
        <v>ВНЕ СПИСКА</v>
      </c>
      <c r="C1356" s="14" t="str">
        <f>IFERROR(__xludf.DUMMYFUNCTION("""COMPUTED_VALUE"""),"ОКС")</f>
        <v>ОКС</v>
      </c>
      <c r="D1356" s="6" t="str">
        <f>IFERROR(__xludf.DUMMYFUNCTION("""COMPUTED_VALUE"""),"да")</f>
        <v>да</v>
      </c>
      <c r="E1356" s="14" t="str">
        <f>IFERROR(__xludf.DUMMYFUNCTION("""COMPUTED_VALUE"""),"Жилая и офисная застройк. Бизнес-центр. Этап 2 Дербеневская ул. вл. 1")</f>
        <v>Жилая и офисная застройк. Бизнес-центр. Этап 2 Дербеневская ул. вл. 1</v>
      </c>
      <c r="F1356" s="25" t="str">
        <f>IFERROR(__xludf.DUMMYFUNCTION("""COMPUTED_VALUE"""),"#N/A")</f>
        <v>#N/A</v>
      </c>
      <c r="G1356" s="6" t="str">
        <f>IFERROR(__xludf.DUMMYFUNCTION("""COMPUTED_VALUE"""),"#N/A")</f>
        <v>#N/A</v>
      </c>
      <c r="H1356" s="18" t="str">
        <f>IFERROR(__xludf.DUMMYFUNCTION("""COMPUTED_VALUE"""),"https://docs.google.com/spreadsheets/d/1EI7qusa674eJhuaw-nWWtWMEHVSYMQv7HLsInEZTWpE/edit?gid=1924857156#gid=1924857156")</f>
        <v>https://docs.google.com/spreadsheets/d/1EI7qusa674eJhuaw-nWWtWMEHVSYMQv7HLsInEZTWpE/edit?gid=1924857156#gid=1924857156</v>
      </c>
      <c r="I1356" s="21" t="str">
        <f>IFERROR(__xludf.DUMMYFUNCTION("""COMPUTED_VALUE"""),"https://disk.yandex.ru/client/disk/%D0%9E%D1%81%D0%BC%D0%BE%D1%82%D1%80%D1%8B%20%D0%BE%D0%B1%D1%8A%D0%B5%D0%BA%D1%82%D0%BE%D0%B2%20%D0%90%D0%9D%D0%9E%20%D0%A1%D0%9C%D0%93/1260%20%D0%96%D0%B8%D0%BB%D0%B0%D1%8F%20%D0%B8%20%D0%BE%D1%84%D0%B8%D1%81%D0%BD%D0%B"&amp;"0%D1%8F%20%D0%B7%D0%B0%D1%81%D1%82%D1%80%D0%BE%D0%B9%D0%BA%D0%B0.%20%D0%91%D0%B8%D0%B7%D0%BD%D0%B5%D1%81-%D1%86%D0%B5%D0%BD%D1%82%D1%80.%20%D0%AD%D1%82%D0%B0%D0%BF2%20%D0%9C%D0%BE%D1%81%D0%BA%D0%B2%D0%B0%2C%20%D0%94%D0%B5%D1%80%D0%B1%D0%B5%D0%BD%D0%B5%D0%"&amp;"B2%D1%81%D0%BA%D0%B0%D1%8F%20%D1%83%D0%BB%D0%B8%D1%86%D0%B0%2C%20%D0%B2%D0%BB1")</f>
        <v>https://disk.yandex.ru/client/disk/%D0%9E%D1%81%D0%BC%D0%BE%D1%82%D1%80%D1%8B%20%D0%BE%D0%B1%D1%8A%D0%B5%D0%BA%D1%82%D0%BE%D0%B2%20%D0%90%D0%9D%D0%9E%20%D0%A1%D0%9C%D0%93/1260%20%D0%96%D0%B8%D0%BB%D0%B0%D1%8F%20%D0%B8%20%D0%BE%D1%84%D0%B8%D1%81%D0%BD%D0%B0%D1%8F%20%D0%B7%D0%B0%D1%81%D1%82%D1%80%D0%BE%D0%B9%D0%BA%D0%B0.%20%D0%91%D0%B8%D0%B7%D0%BD%D0%B5%D1%81-%D1%86%D0%B5%D0%BD%D1%82%D1%80.%20%D0%AD%D1%82%D0%B0%D0%BF2%20%D0%9C%D0%BE%D1%81%D0%BA%D0%B2%D0%B0%2C%20%D0%94%D0%B5%D1%80%D0%B1%D0%B5%D0%BD%D0%B5%D0%B2%D1%81%D0%BA%D0%B0%D1%8F%20%D1%83%D0%BB%D0%B8%D1%86%D0%B0%2C%20%D0%B2%D0%BB1</v>
      </c>
      <c r="J1356" s="50">
        <f>IFERROR(__xludf.DUMMYFUNCTION("""COMPUTED_VALUE"""),24.272600000000004)</f>
        <v>24.2726</v>
      </c>
      <c r="K1356" s="58">
        <f>IFERROR(__xludf.DUMMYFUNCTION("""COMPUTED_VALUE"""),45861.0)</f>
        <v>45861</v>
      </c>
      <c r="L1356" s="6">
        <v>30.0</v>
      </c>
      <c r="M1356" s="52">
        <v>45891.0</v>
      </c>
      <c r="N1356" s="53" t="s">
        <v>668</v>
      </c>
      <c r="O1356" s="19"/>
      <c r="P1356" s="6"/>
      <c r="Q1356" s="6" t="str">
        <f t="shared" si="1"/>
        <v>#N/A</v>
      </c>
      <c r="R1356" s="6"/>
    </row>
    <row r="1357" hidden="1">
      <c r="A1357" s="31" t="str">
        <f>IFERROR(__xludf.DUMMYFUNCTION("""COMPUTED_VALUE"""),"1261")</f>
        <v>1261</v>
      </c>
      <c r="B1357" s="14" t="str">
        <f>IFERROR(__xludf.DUMMYFUNCTION("""COMPUTED_VALUE"""),"ВНЕ СПИСКА")</f>
        <v>ВНЕ СПИСКА</v>
      </c>
      <c r="C1357" s="14" t="str">
        <f>IFERROR(__xludf.DUMMYFUNCTION("""COMPUTED_VALUE"""),"ОКС")</f>
        <v>ОКС</v>
      </c>
      <c r="D1357" s="6" t="str">
        <f>IFERROR(__xludf.DUMMYFUNCTION("""COMPUTED_VALUE"""),"да")</f>
        <v>да</v>
      </c>
      <c r="E1357" s="14" t="str">
        <f>IFERROR(__xludf.DUMMYFUNCTION("""COMPUTED_VALUE"""),"Многофункциональный деловой компекс с гостиничными номерами и подземной парковкой ул. Василисы Кожиной, вл. 25/1")</f>
        <v>Многофункциональный деловой компекс с гостиничными номерами и подземной парковкой ул. Василисы Кожиной, вл. 25/1</v>
      </c>
      <c r="F1357" s="25" t="str">
        <f>IFERROR(__xludf.DUMMYFUNCTION("""COMPUTED_VALUE"""),"#N/A")</f>
        <v>#N/A</v>
      </c>
      <c r="G1357" s="6" t="str">
        <f>IFERROR(__xludf.DUMMYFUNCTION("""COMPUTED_VALUE"""),"#N/A")</f>
        <v>#N/A</v>
      </c>
      <c r="H1357" s="18" t="str">
        <f>IFERROR(__xludf.DUMMYFUNCTION("""COMPUTED_VALUE"""),"https://docs.google.com/spreadsheets/d/1EI7qusa674eJhuaw-nWWtWMEHVSYMQv7HLsInEZTWpE/edit?gid=1420606721#gid=1420606721")</f>
        <v>https://docs.google.com/spreadsheets/d/1EI7qusa674eJhuaw-nWWtWMEHVSYMQv7HLsInEZTWpE/edit?gid=1420606721#gid=1420606721</v>
      </c>
      <c r="I1357" s="21" t="str">
        <f>IFERROR(__xludf.DUMMYFUNCTION("""COMPUTED_VALUE"""),"https://disk.yandex.ru/client/disk/%D0%9E%D1%81%D0%BC%D0%BE%D1%82%D1%80%D1%8B%20%D0%BE%D0%B1%D1%8A%D0%B5%D0%BA%D1%82%D0%BE%D0%B2%20%D0%90%D0%9D%D0%9E%20%D0%A1%D0%9C%D0%93/1261%20%D1%83%D0%BB.%20%D0%92%D0%B0%D1%81%D0%B8%D0%BB%D0%B8%D1%81%D1%8B%20%D0%9A%D0%"&amp;"BE%D0%B6%D0%B8%D0%BD%D0%BE%D0%B9%2C%20%D0%B2%D0%BB.%2025%20%D0%B4%D1%80%D0%BE%D0%B1%D1%8C%201.%20%D0%9C%D0%BD%D0%BE%D0%B3%D0%BE%D1%84%D1%83%D0%BD%D0%BA%D1%86%D0%B8%D0%BE%D0%BD%D0%B0%D0%BB%D1%8C%D0%BD%D1%8B%D0%B9%20%D0%B4%D0%B5%D0%BB%D0%BE%D0%B2%D0%BE%D0%B"&amp;"9%20%D0%BA%D0%BE%D0%BC%D0%BF%D0%B5%D0%BA%D1%81%20%D1%81%20%D0%B3%D0%BE%D1%81%D1%82%D0%B8%D0%BD%D0%B8%D1%87%D0%BD%D1%8B%D0%BC%D0%B8%20%D0%BD%D0%BE%D0%BC%D0%B5%D1%80%D0%B0%D0%BC%D0%B8%20%D0%B8%20%D0%BF%D0%BE%D0%B4%D0%B7%D0%B5%D0%BC%D0%BD%D0%BE%D0%B9%20%D0%B"&amp;"F%D0%B0%D1%80%D0%BA%D0%BE%D0%B2%D0%BA%D0%BE%D0%B9")</f>
        <v>https://disk.yandex.ru/client/disk/%D0%9E%D1%81%D0%BC%D0%BE%D1%82%D1%80%D1%8B%20%D0%BE%D0%B1%D1%8A%D0%B5%D0%BA%D1%82%D0%BE%D0%B2%20%D0%90%D0%9D%D0%9E%20%D0%A1%D0%9C%D0%93/1261%20%D1%83%D0%BB.%20%D0%92%D0%B0%D1%81%D0%B8%D0%BB%D0%B8%D1%81%D1%8B%20%D0%9A%D0%BE%D0%B6%D0%B8%D0%BD%D0%BE%D0%B9%2C%20%D0%B2%D0%BB.%2025%20%D0%B4%D1%80%D0%BE%D0%B1%D1%8C%201.%20%D0%9C%D0%BD%D0%BE%D0%B3%D0%BE%D1%84%D1%83%D0%BD%D0%BA%D1%86%D0%B8%D0%BE%D0%BD%D0%B0%D0%BB%D1%8C%D0%BD%D1%8B%D0%B9%20%D0%B4%D0%B5%D0%BB%D0%BE%D0%B2%D0%BE%D0%B9%20%D0%BA%D0%BE%D0%BC%D0%BF%D0%B5%D0%BA%D1%81%20%D1%81%20%D0%B3%D0%BE%D1%81%D1%82%D0%B8%D0%BD%D0%B8%D1%87%D0%BD%D1%8B%D0%BC%D0%B8%20%D0%BD%D0%BE%D0%BC%D0%B5%D1%80%D0%B0%D0%BC%D0%B8%20%D0%B8%20%D0%BF%D0%BE%D0%B4%D0%B7%D0%B5%D0%BC%D0%BD%D0%BE%D0%B9%20%D0%BF%D0%B0%D1%80%D0%BA%D0%BE%D0%B2%D0%BA%D0%BE%D0%B9</v>
      </c>
      <c r="J1357" s="50">
        <f>IFERROR(__xludf.DUMMYFUNCTION("""COMPUTED_VALUE"""),77.38480000000001)</f>
        <v>77.3848</v>
      </c>
      <c r="K1357" s="58">
        <f>IFERROR(__xludf.DUMMYFUNCTION("""COMPUTED_VALUE"""),45860.0)</f>
        <v>45860</v>
      </c>
      <c r="L1357" s="6">
        <v>14.0</v>
      </c>
      <c r="M1357" s="52">
        <v>45874.0</v>
      </c>
      <c r="N1357" s="53" t="s">
        <v>668</v>
      </c>
      <c r="O1357" s="19" t="s">
        <v>1377</v>
      </c>
      <c r="P1357" s="6"/>
      <c r="Q1357" s="6" t="str">
        <f t="shared" si="1"/>
        <v>#N/A</v>
      </c>
      <c r="R1357" s="6"/>
    </row>
    <row r="1358" hidden="1">
      <c r="A1358" s="31" t="str">
        <f>IFERROR(__xludf.DUMMYFUNCTION("""COMPUTED_VALUE"""),"1262")</f>
        <v>1262</v>
      </c>
      <c r="B1358" s="14" t="str">
        <f>IFERROR(__xludf.DUMMYFUNCTION("""COMPUTED_VALUE"""),"ВНЕ СПИСКА")</f>
        <v>ВНЕ СПИСКА</v>
      </c>
      <c r="C1358" s="14" t="str">
        <f>IFERROR(__xludf.DUMMYFUNCTION("""COMPUTED_VALUE"""),"ОКС")</f>
        <v>ОКС</v>
      </c>
      <c r="D1358" s="6" t="str">
        <f>IFERROR(__xludf.DUMMYFUNCTION("""COMPUTED_VALUE"""),"да")</f>
        <v>да</v>
      </c>
      <c r="E1358" s="14" t="str">
        <f>IFERROR(__xludf.DUMMYFUNCTION("""COMPUTED_VALUE"""),"Офисное здание со встроенно-пристроенными торговыми площадями и подземным паркингом, корпус 12.1 ул. Озерная, вл. 42")</f>
        <v>Офисное здание со встроенно-пристроенными торговыми площадями и подземным паркингом, корпус 12.1 ул. Озерная, вл. 42</v>
      </c>
      <c r="F1358" s="25" t="str">
        <f>IFERROR(__xludf.DUMMYFUNCTION("""COMPUTED_VALUE"""),"#N/A")</f>
        <v>#N/A</v>
      </c>
      <c r="G1358" s="6" t="str">
        <f>IFERROR(__xludf.DUMMYFUNCTION("""COMPUTED_VALUE"""),"#N/A")</f>
        <v>#N/A</v>
      </c>
      <c r="H1358" s="18" t="str">
        <f>IFERROR(__xludf.DUMMYFUNCTION("""COMPUTED_VALUE"""),"https://docs.google.com/spreadsheets/d/1EI7qusa674eJhuaw-nWWtWMEHVSYMQv7HLsInEZTWpE/edit?gid=1959905549#gid=1959905549")</f>
        <v>https://docs.google.com/spreadsheets/d/1EI7qusa674eJhuaw-nWWtWMEHVSYMQv7HLsInEZTWpE/edit?gid=1959905549#gid=1959905549</v>
      </c>
      <c r="I1358" s="21" t="str">
        <f>IFERROR(__xludf.DUMMYFUNCTION("""COMPUTED_VALUE"""),"https://disk.yandex.ru/client/disk/%D0%9E%D1%81%D0%BC%D0%BE%D1%82%D1%80%D1%8B%20%D0%BE%D0%B1%D1%8A%D0%B5%D0%BA%D1%82%D0%BE%D0%B2%20%D0%90%D0%9D%D0%9E%20%D0%A1%D0%9C%D0%93/1262.%20%D0%9E%D1%84%D0%B8%D1%81%D0%BD%D0%BE%D0%B5%20%D0%B7%D0%B4%D0%B0%D0%BD%D0%B8%"&amp;"D0%B5%2C%20%D0%BA.%2012.1%2C%20%D0%9E%D0%B7%D1%91%D1%80%D0%BD%D0%B0%D1%8F%20%D1%83%D0%BB.%2C%20%D0%B2%D0%BB.%2042")</f>
        <v>https://disk.yandex.ru/client/disk/%D0%9E%D1%81%D0%BC%D0%BE%D1%82%D1%80%D1%8B%20%D0%BE%D0%B1%D1%8A%D0%B5%D0%BA%D1%82%D0%BE%D0%B2%20%D0%90%D0%9D%D0%9E%20%D0%A1%D0%9C%D0%93/1262.%20%D0%9E%D1%84%D0%B8%D1%81%D0%BD%D0%BE%D0%B5%20%D0%B7%D0%B4%D0%B0%D0%BD%D0%B8%D0%B5%2C%20%D0%BA.%2012.1%2C%20%D0%9E%D0%B7%D1%91%D1%80%D0%BD%D0%B0%D1%8F%20%D1%83%D0%BB.%2C%20%D0%B2%D0%BB.%2042</v>
      </c>
      <c r="J1358" s="50">
        <f>IFERROR(__xludf.DUMMYFUNCTION("""COMPUTED_VALUE"""),75.5214)</f>
        <v>75.5214</v>
      </c>
      <c r="K1358" s="58">
        <f>IFERROR(__xludf.DUMMYFUNCTION("""COMPUTED_VALUE"""),45860.0)</f>
        <v>45860</v>
      </c>
      <c r="L1358" s="6">
        <v>14.0</v>
      </c>
      <c r="M1358" s="52">
        <v>45874.0</v>
      </c>
      <c r="N1358" s="53" t="s">
        <v>668</v>
      </c>
      <c r="O1358" s="19" t="s">
        <v>1378</v>
      </c>
      <c r="P1358" s="6"/>
      <c r="Q1358" s="6" t="str">
        <f t="shared" si="1"/>
        <v>#N/A</v>
      </c>
      <c r="R1358" s="6"/>
    </row>
    <row r="1359" hidden="1">
      <c r="A1359" s="31" t="str">
        <f>IFERROR(__xludf.DUMMYFUNCTION("""COMPUTED_VALUE"""),"1263")</f>
        <v>1263</v>
      </c>
      <c r="B1359" s="14" t="str">
        <f>IFERROR(__xludf.DUMMYFUNCTION("""COMPUTED_VALUE"""),"ВНЕ СПИСКА")</f>
        <v>ВНЕ СПИСКА</v>
      </c>
      <c r="C1359" s="14" t="str">
        <f>IFERROR(__xludf.DUMMYFUNCTION("""COMPUTED_VALUE"""),"ОКС")</f>
        <v>ОКС</v>
      </c>
      <c r="D1359" s="6" t="str">
        <f>IFERROR(__xludf.DUMMYFUNCTION("""COMPUTED_VALUE"""),"да")</f>
        <v>да</v>
      </c>
      <c r="E1359" s="14" t="str">
        <f>IFERROR(__xludf.DUMMYFUNCTION("""COMPUTED_VALUE"""),"Офисно-деловой центр Жуков пр. вл. 8")</f>
        <v>Офисно-деловой центр Жуков пр. вл. 8</v>
      </c>
      <c r="F1359" s="25" t="str">
        <f>IFERROR(__xludf.DUMMYFUNCTION("""COMPUTED_VALUE"""),"#N/A")</f>
        <v>#N/A</v>
      </c>
      <c r="G1359" s="6" t="str">
        <f>IFERROR(__xludf.DUMMYFUNCTION("""COMPUTED_VALUE"""),"#N/A")</f>
        <v>#N/A</v>
      </c>
      <c r="H1359" s="18" t="str">
        <f>IFERROR(__xludf.DUMMYFUNCTION("""COMPUTED_VALUE"""),"https://docs.google.com/spreadsheets/d/1EI7qusa674eJhuaw-nWWtWMEHVSYMQv7HLsInEZTWpE/edit?gid=407138877#gid=407138877")</f>
        <v>https://docs.google.com/spreadsheets/d/1EI7qusa674eJhuaw-nWWtWMEHVSYMQv7HLsInEZTWpE/edit?gid=407138877#gid=407138877</v>
      </c>
      <c r="I1359" s="21" t="str">
        <f>IFERROR(__xludf.DUMMYFUNCTION("""COMPUTED_VALUE"""),"https://disk.yandex.ru/client/disk/%D0%9E%D1%81%D0%BC%D0%BE%D1%82%D1%80%D1%8B%20%D0%BE%D0%B1%D1%8A%D0%B5%D0%BA%D1%82%D0%BE%D0%B2%20%D0%90%D0%9D%D0%9E%20%D0%A1%D0%9C%D0%93/1263%20%D0%9E%D1%84%D0%B8%D1%81%D0%BD%D0%BE-%D0%B4%D0%B5%D0%BB%D0%BE%D0%B2%D0%BE%D0%"&amp;"B9%20%D1%86%D0%B5%D0%BD%D1%82%D1%80.%20%D0%96%D1%83%D0%BA%D0%BE%D0%B2%D0%B0%20%D0%BC%D1%80.%2C%20%D0%B2%D0%BB.%208")</f>
        <v>https://disk.yandex.ru/client/disk/%D0%9E%D1%81%D0%BC%D0%BE%D1%82%D1%80%D1%8B%20%D0%BE%D0%B1%D1%8A%D0%B5%D0%BA%D1%82%D0%BE%D0%B2%20%D0%90%D0%9D%D0%9E%20%D0%A1%D0%9C%D0%93/1263%20%D0%9E%D1%84%D0%B8%D1%81%D0%BD%D0%BE-%D0%B4%D0%B5%D0%BB%D0%BE%D0%B2%D0%BE%D0%B9%20%D1%86%D0%B5%D0%BD%D1%82%D1%80.%20%D0%96%D1%83%D0%BA%D0%BE%D0%B2%D0%B0%20%D0%BC%D1%80.%2C%20%D0%B2%D0%BB.%208</v>
      </c>
      <c r="J1359" s="50">
        <f>IFERROR(__xludf.DUMMYFUNCTION("""COMPUTED_VALUE"""),99.752)</f>
        <v>99.752</v>
      </c>
      <c r="K1359" s="58">
        <f>IFERROR(__xludf.DUMMYFUNCTION("""COMPUTED_VALUE"""),45861.0)</f>
        <v>45861</v>
      </c>
      <c r="L1359" s="6">
        <v>7.0</v>
      </c>
      <c r="M1359" s="52">
        <v>45868.0</v>
      </c>
      <c r="N1359" s="53" t="s">
        <v>668</v>
      </c>
      <c r="O1359" s="19" t="s">
        <v>1379</v>
      </c>
      <c r="P1359" s="6"/>
      <c r="Q1359" s="6" t="str">
        <f t="shared" si="1"/>
        <v>#N/A</v>
      </c>
      <c r="R1359" s="6"/>
    </row>
    <row r="1360" hidden="1">
      <c r="A1360" s="31" t="str">
        <f>IFERROR(__xludf.DUMMYFUNCTION("""COMPUTED_VALUE"""),"1264")</f>
        <v>1264</v>
      </c>
      <c r="B1360" s="14" t="str">
        <f>IFERROR(__xludf.DUMMYFUNCTION("""COMPUTED_VALUE"""),"ВНЕ СПИСКА")</f>
        <v>ВНЕ СПИСКА</v>
      </c>
      <c r="C1360" s="14" t="str">
        <f>IFERROR(__xludf.DUMMYFUNCTION("""COMPUTED_VALUE"""),"ОКС")</f>
        <v>ОКС</v>
      </c>
      <c r="D1360" s="6" t="str">
        <f>IFERROR(__xludf.DUMMYFUNCTION("""COMPUTED_VALUE"""),"да")</f>
        <v>да</v>
      </c>
      <c r="E1360" s="14" t="str">
        <f>IFERROR(__xludf.DUMMYFUNCTION("""COMPUTED_VALUE"""),"Административно-торговый комплекс, многоуровневая стоянка автомобилей. Административно-деловой центр ул. Двинцев, вл. 3")</f>
        <v>Административно-торговый комплекс, многоуровневая стоянка автомобилей. Административно-деловой центр ул. Двинцев, вл. 3</v>
      </c>
      <c r="F1360" s="25" t="str">
        <f>IFERROR(__xludf.DUMMYFUNCTION("""COMPUTED_VALUE"""),"#N/A")</f>
        <v>#N/A</v>
      </c>
      <c r="G1360" s="6" t="str">
        <f>IFERROR(__xludf.DUMMYFUNCTION("""COMPUTED_VALUE"""),"#N/A")</f>
        <v>#N/A</v>
      </c>
      <c r="H1360" s="18" t="str">
        <f>IFERROR(__xludf.DUMMYFUNCTION("""COMPUTED_VALUE"""),"https://docs.google.com/spreadsheets/d/1EI7qusa674eJhuaw-nWWtWMEHVSYMQv7HLsInEZTWpE/edit?gid=493919396#gid=493919396")</f>
        <v>https://docs.google.com/spreadsheets/d/1EI7qusa674eJhuaw-nWWtWMEHVSYMQv7HLsInEZTWpE/edit?gid=493919396#gid=493919396</v>
      </c>
      <c r="I1360" s="21" t="str">
        <f>IFERROR(__xludf.DUMMYFUNCTION("""COMPUTED_VALUE"""),"https://disk.yandex.ru/client/disk/%D0%9E%D1%81%D0%BC%D0%BE%D1%82%D1%80%D1%8B%20%D0%BE%D0%B1%D1%8A%D0%B5%D0%BA%D1%82%D0%BE%D0%B2%20%D0%90%D0%9D%D0%9E%20%D0%A1%D0%9C%D0%93/1264.%20%D0%90%D0%B4%D0%BC%D0%B8%D0%BD%D0%B8%D1%81%D1%82%D1%80%D0%B0%D1%82%D0%B8%D0%"&amp;"B2%D0%BD%D0%BE-%D0%B4%D0%B5%D0%BB%D0%BE%D0%B2%D0%BE%D0%B9%20%D0%BA%D0%BE%D0%BC%D0%BF%D0%BB%D0%B5%D0%BA%D1%81%2C%20%D0%BC%D0%BD%D0%BE%D0%B3%D0%BE%D1%83%D1%80%D0%BE%D0%B2%D0%BD%D0%B5%D0%B2%D0%B0%D1%8F%20%D1%81%D1%82%D0%BE%D1%8F%D0%BD%D0%BA%D0%B0%20%D0%B0%D0"&amp;"%B2%D1%82%D0%BE%D0%BC%D0%BE%D0%B1%D0%B8%D0%BB%D0%B5%D0%B9.%20%D0%90%D0%B4%D0%BC%D0%B8%D0%BD%D0%B8%D1%81%D1%82%D1%80%D0%B0%D1%82%D0%B8%D0%B2%D0%BD%D0%BE-%D0%B4%D0%B5%D0%BB%D0%BE%D0%B2%D0%BE%D0%B9%20%D1%86%D0%B5%D0%BD%D1%82%D1%80.%20%D0%9C%D0%BE%D1%81%D0%BA"&amp;"%D0%B2%D0%B0%2C%20%D1%83%D0%BB%D0%B8%D1%86%D0%B0%20%D0%94%D0%B2%D0%B8%D0%BD%D1%86%D0%B5%D0%B2%2C%20%D0%B2%D0%BB.%203")</f>
        <v>https://disk.yandex.ru/client/disk/%D0%9E%D1%81%D0%BC%D0%BE%D1%82%D1%80%D1%8B%20%D0%BE%D0%B1%D1%8A%D0%B5%D0%BA%D1%82%D0%BE%D0%B2%20%D0%90%D0%9D%D0%9E%20%D0%A1%D0%9C%D0%93/1264.%20%D0%90%D0%B4%D0%BC%D0%B8%D0%BD%D0%B8%D1%81%D1%82%D1%80%D0%B0%D1%82%D0%B8%D0%B2%D0%BD%D0%BE-%D0%B4%D0%B5%D0%BB%D0%BE%D0%B2%D0%BE%D0%B9%20%D0%BA%D0%BE%D0%BC%D0%BF%D0%BB%D0%B5%D0%BA%D1%81%2C%20%D0%BC%D0%BD%D0%BE%D0%B3%D0%BE%D1%83%D1%80%D0%BE%D0%B2%D0%BD%D0%B5%D0%B2%D0%B0%D1%8F%20%D1%81%D1%82%D0%BE%D1%8F%D0%BD%D0%BA%D0%B0%20%D0%B0%D0%B2%D1%82%D0%BE%D0%BC%D0%BE%D0%B1%D0%B8%D0%BB%D0%B5%D0%B9.%20%D0%90%D0%B4%D0%BC%D0%B8%D0%BD%D0%B8%D1%81%D1%82%D1%80%D0%B0%D1%82%D0%B8%D0%B2%D0%BD%D0%BE-%D0%B4%D0%B5%D0%BB%D0%BE%D0%B2%D0%BE%D0%B9%20%D1%86%D0%B5%D0%BD%D1%82%D1%80.%20%D0%9C%D0%BE%D1%81%D0%BA%D0%B2%D0%B0%2C%20%D1%83%D0%BB%D0%B8%D1%86%D0%B0%20%D0%94%D0%B2%D0%B8%D0%BD%D1%86%D0%B5%D0%B2%2C%20%D0%B2%D0%BB.%203</v>
      </c>
      <c r="J1360" s="50">
        <f>IFERROR(__xludf.DUMMYFUNCTION("""COMPUTED_VALUE"""),77.97005)</f>
        <v>77.97005</v>
      </c>
      <c r="K1360" s="58">
        <f>IFERROR(__xludf.DUMMYFUNCTION("""COMPUTED_VALUE"""),45862.0)</f>
        <v>45862</v>
      </c>
      <c r="L1360" s="6">
        <v>14.0</v>
      </c>
      <c r="M1360" s="52">
        <v>45876.0</v>
      </c>
      <c r="N1360" s="53" t="s">
        <v>668</v>
      </c>
      <c r="O1360" s="19" t="s">
        <v>1380</v>
      </c>
      <c r="P1360" s="6"/>
      <c r="Q1360" s="6" t="str">
        <f t="shared" si="1"/>
        <v>#N/A</v>
      </c>
      <c r="R1360" s="6"/>
    </row>
    <row r="1361" hidden="1">
      <c r="A1361" s="31" t="str">
        <f>IFERROR(__xludf.DUMMYFUNCTION("""COMPUTED_VALUE"""),"1265")</f>
        <v>1265</v>
      </c>
      <c r="B1361" s="14" t="str">
        <f>IFERROR(__xludf.DUMMYFUNCTION("""COMPUTED_VALUE"""),"ВНЕ СПИСКА")</f>
        <v>ВНЕ СПИСКА</v>
      </c>
      <c r="C1361" s="14" t="str">
        <f>IFERROR(__xludf.DUMMYFUNCTION("""COMPUTED_VALUE"""),"ОКС")</f>
        <v>ОКС</v>
      </c>
      <c r="D1361" s="6" t="str">
        <f>IFERROR(__xludf.DUMMYFUNCTION("""COMPUTED_VALUE"""),"да")</f>
        <v>да</v>
      </c>
      <c r="E1361" s="14" t="str">
        <f>IFERROR(__xludf.DUMMYFUNCTION("""COMPUTED_VALUE"""),"Многофункциональное здание Заречная ул. вл. 6, з/у 1")</f>
        <v>Многофункциональное здание Заречная ул. вл. 6, з/у 1</v>
      </c>
      <c r="F1361" s="25" t="str">
        <f>IFERROR(__xludf.DUMMYFUNCTION("""COMPUTED_VALUE"""),"#N/A")</f>
        <v>#N/A</v>
      </c>
      <c r="G1361" s="6" t="str">
        <f>IFERROR(__xludf.DUMMYFUNCTION("""COMPUTED_VALUE"""),"#N/A")</f>
        <v>#N/A</v>
      </c>
      <c r="H1361" s="18" t="str">
        <f>IFERROR(__xludf.DUMMYFUNCTION("""COMPUTED_VALUE"""),"https://docs.google.com/spreadsheets/d/1EI7qusa674eJhuaw-nWWtWMEHVSYMQv7HLsInEZTWpE/edit?gid=969432712#gid=969432712")</f>
        <v>https://docs.google.com/spreadsheets/d/1EI7qusa674eJhuaw-nWWtWMEHVSYMQv7HLsInEZTWpE/edit?gid=969432712#gid=969432712</v>
      </c>
      <c r="I1361" s="21" t="str">
        <f>IFERROR(__xludf.DUMMYFUNCTION("""COMPUTED_VALUE"""),"https://disk.yandex.ru/client/disk/%D0%9E%D1%81%D0%BC%D0%BE%D1%82%D1%80%D1%8B%20%D0%BE%D0%B1%D1%8A%D0%B5%D0%BA%D1%82%D0%BE%D0%B2%20%D0%90%D0%9D%D0%9E%20%D0%A1%D0%9C%D0%93/1265%20%D0%97%D0%B0%D1%80%D0%B5%D1%87%D0%BD%D0%B0%D1%8F%20%D1%83%D0%BB.%20%D0%B2%D0%"&amp;"BB.%206%2C%20%D0%B7.%D1%83.%201.%20%D0%9C%D0%BD%D0%BE%D0%B3%D0%BE%D1%84%D1%83%D0%BD%D0%BA%D1%86%D0%B8%D0%BE%D0%BD%D0%B0%D0%BB%D1%8C%D0%BD%D0%BE%D0%B5%20%D0%B7%D0%B4%D0%B0%D0%BD%D0%B8%D0%B5.")</f>
        <v>https://disk.yandex.ru/client/disk/%D0%9E%D1%81%D0%BC%D0%BE%D1%82%D1%80%D1%8B%20%D0%BE%D0%B1%D1%8A%D0%B5%D0%BA%D1%82%D0%BE%D0%B2%20%D0%90%D0%9D%D0%9E%20%D0%A1%D0%9C%D0%93/1265%20%D0%97%D0%B0%D1%80%D0%B5%D1%87%D0%BD%D0%B0%D1%8F%20%D1%83%D0%BB.%20%D0%B2%D0%BB.%206%2C%20%D0%B7.%D1%83.%201.%20%D0%9C%D0%BD%D0%BE%D0%B3%D0%BE%D1%84%D1%83%D0%BD%D0%BA%D1%86%D0%B8%D0%BE%D0%BD%D0%B0%D0%BB%D1%8C%D0%BD%D0%BE%D0%B5%20%D0%B7%D0%B4%D0%B0%D0%BD%D0%B8%D0%B5.</v>
      </c>
      <c r="J1361" s="50">
        <f>IFERROR(__xludf.DUMMYFUNCTION("""COMPUTED_VALUE"""),84.86852999999999)</f>
        <v>84.86853</v>
      </c>
      <c r="K1361" s="58">
        <f>IFERROR(__xludf.DUMMYFUNCTION("""COMPUTED_VALUE"""),45898.0)</f>
        <v>45898</v>
      </c>
      <c r="L1361" s="6">
        <v>14.0</v>
      </c>
      <c r="M1361" s="52">
        <v>45912.0</v>
      </c>
      <c r="N1361" s="53" t="s">
        <v>668</v>
      </c>
      <c r="O1361" s="19" t="s">
        <v>1381</v>
      </c>
      <c r="P1361" s="6"/>
      <c r="Q1361" s="6" t="str">
        <f t="shared" si="1"/>
        <v>#N/A</v>
      </c>
      <c r="R1361" s="6"/>
    </row>
    <row r="1362" hidden="1">
      <c r="A1362" s="31" t="str">
        <f>IFERROR(__xludf.DUMMYFUNCTION("""COMPUTED_VALUE"""),"н/д")</f>
        <v>н/д</v>
      </c>
      <c r="B1362" s="14" t="str">
        <f>IFERROR(__xludf.DUMMYFUNCTION("""COMPUTED_VALUE"""),"ВНЕ СПИСКА")</f>
        <v>ВНЕ СПИСКА</v>
      </c>
      <c r="C1362" s="14" t="str">
        <f>IFERROR(__xludf.DUMMYFUNCTION("""COMPUTED_VALUE"""),"ОКС")</f>
        <v>ОКС</v>
      </c>
      <c r="D1362" s="6" t="str">
        <f>IFERROR(__xludf.DUMMYFUNCTION("""COMPUTED_VALUE"""),"да")</f>
        <v>да</v>
      </c>
      <c r="E1362" s="14" t="str">
        <f>IFERROR(__xludf.DUMMYFUNCTION("""COMPUTED_VALUE"""),"Жилой комплекс многоэтажных домов с подземными паркингами и нежилыми встроенно-пристроенными помещениями. Корпус 1 ЖК Береговой 2 (Береговой проезд, вл.2Б)")</f>
        <v>Жилой комплекс многоэтажных домов с подземными паркингами и нежилыми встроенно-пристроенными помещениями. Корпус 1 ЖК Береговой 2 (Береговой проезд, вл.2Б)</v>
      </c>
      <c r="F1362" s="25" t="str">
        <f>IFERROR(__xludf.DUMMYFUNCTION("""COMPUTED_VALUE"""),"#N/A")</f>
        <v>#N/A</v>
      </c>
      <c r="G1362" s="6" t="str">
        <f>IFERROR(__xludf.DUMMYFUNCTION("""COMPUTED_VALUE"""),"#N/A")</f>
        <v>#N/A</v>
      </c>
      <c r="H1362" s="6"/>
      <c r="I1362" s="19"/>
      <c r="J1362" s="50"/>
      <c r="K1362" s="58"/>
      <c r="L1362" s="6">
        <v>30.0</v>
      </c>
      <c r="M1362" s="52" t="s">
        <v>655</v>
      </c>
      <c r="N1362" s="53" t="s">
        <v>652</v>
      </c>
      <c r="O1362" s="19" t="s">
        <v>1382</v>
      </c>
      <c r="P1362" s="6"/>
      <c r="Q1362" s="6" t="str">
        <f t="shared" si="1"/>
        <v>#N/A</v>
      </c>
      <c r="R1362" s="6"/>
    </row>
    <row r="1363" hidden="1">
      <c r="A1363" s="31" t="str">
        <f>IFERROR(__xludf.DUMMYFUNCTION("""COMPUTED_VALUE"""),"н/д")</f>
        <v>н/д</v>
      </c>
      <c r="B1363" s="14" t="str">
        <f>IFERROR(__xludf.DUMMYFUNCTION("""COMPUTED_VALUE"""),"ВНЕ СПИСКА")</f>
        <v>ВНЕ СПИСКА</v>
      </c>
      <c r="C1363" s="14" t="str">
        <f>IFERROR(__xludf.DUMMYFUNCTION("""COMPUTED_VALUE"""),"ОКС")</f>
        <v>ОКС</v>
      </c>
      <c r="D1363" s="6" t="str">
        <f>IFERROR(__xludf.DUMMYFUNCTION("""COMPUTED_VALUE"""),"да")</f>
        <v>да</v>
      </c>
      <c r="E1363" s="14" t="str">
        <f>IFERROR(__xludf.DUMMYFUNCTION("""COMPUTED_VALUE"""),"Жилой комплекс многоэтажных домов с подземными паркингами и нежилыми встроенно-пристроенными помещениями. Корпус 2,3 ЖК Береговой 2 (Береговой проезд, вл.2Б)")</f>
        <v>Жилой комплекс многоэтажных домов с подземными паркингами и нежилыми встроенно-пристроенными помещениями. Корпус 2,3 ЖК Береговой 2 (Береговой проезд, вл.2Б)</v>
      </c>
      <c r="F1363" s="25" t="str">
        <f>IFERROR(__xludf.DUMMYFUNCTION("""COMPUTED_VALUE"""),"#N/A")</f>
        <v>#N/A</v>
      </c>
      <c r="G1363" s="6" t="str">
        <f>IFERROR(__xludf.DUMMYFUNCTION("""COMPUTED_VALUE"""),"#N/A")</f>
        <v>#N/A</v>
      </c>
      <c r="H1363" s="6"/>
      <c r="I1363" s="19"/>
      <c r="J1363" s="50"/>
      <c r="K1363" s="58"/>
      <c r="L1363" s="6">
        <v>30.0</v>
      </c>
      <c r="M1363" s="52" t="s">
        <v>655</v>
      </c>
      <c r="N1363" s="53" t="s">
        <v>698</v>
      </c>
      <c r="O1363" s="19" t="s">
        <v>669</v>
      </c>
      <c r="P1363" s="6"/>
      <c r="Q1363" s="6" t="str">
        <f t="shared" si="1"/>
        <v>#N/A</v>
      </c>
      <c r="R1363" s="6"/>
    </row>
    <row r="1364" hidden="1">
      <c r="A1364" s="31" t="str">
        <f>IFERROR(__xludf.DUMMYFUNCTION("""COMPUTED_VALUE"""),"н/д")</f>
        <v>н/д</v>
      </c>
      <c r="B1364" s="14" t="str">
        <f>IFERROR(__xludf.DUMMYFUNCTION("""COMPUTED_VALUE"""),"ВНЕ СПИСКА")</f>
        <v>ВНЕ СПИСКА</v>
      </c>
      <c r="C1364" s="14" t="str">
        <f>IFERROR(__xludf.DUMMYFUNCTION("""COMPUTED_VALUE"""),"ОКС")</f>
        <v>ОКС</v>
      </c>
      <c r="D1364" s="6" t="str">
        <f>IFERROR(__xludf.DUMMYFUNCTION("""COMPUTED_VALUE"""),"да")</f>
        <v>да</v>
      </c>
      <c r="E1364" s="14" t="str">
        <f>IFERROR(__xludf.DUMMYFUNCTION("""COMPUTED_VALUE"""),"Жилой комплекс с подземной автотоянкой. Этап 3. Корпус 4. Поликдиника с подземной стоянкой. РП, ТП ЖК Береговой 2 (Береговой проезд, вл.2Б)")</f>
        <v>Жилой комплекс с подземной автотоянкой. Этап 3. Корпус 4. Поликдиника с подземной стоянкой. РП, ТП ЖК Береговой 2 (Береговой проезд, вл.2Б)</v>
      </c>
      <c r="F1364" s="25" t="str">
        <f>IFERROR(__xludf.DUMMYFUNCTION("""COMPUTED_VALUE"""),"#N/A")</f>
        <v>#N/A</v>
      </c>
      <c r="G1364" s="6" t="str">
        <f>IFERROR(__xludf.DUMMYFUNCTION("""COMPUTED_VALUE"""),"#N/A")</f>
        <v>#N/A</v>
      </c>
      <c r="H1364" s="6"/>
      <c r="I1364" s="19"/>
      <c r="J1364" s="50"/>
      <c r="K1364" s="58"/>
      <c r="L1364" s="6">
        <v>30.0</v>
      </c>
      <c r="M1364" s="52" t="s">
        <v>655</v>
      </c>
      <c r="N1364" s="53" t="s">
        <v>698</v>
      </c>
      <c r="O1364" s="19" t="s">
        <v>669</v>
      </c>
      <c r="P1364" s="6"/>
      <c r="Q1364" s="6" t="str">
        <f t="shared" si="1"/>
        <v>#N/A</v>
      </c>
      <c r="R1364" s="6"/>
    </row>
    <row r="1365" hidden="1">
      <c r="A1365" s="31" t="str">
        <f>IFERROR(__xludf.DUMMYFUNCTION("""COMPUTED_VALUE"""),"1266")</f>
        <v>1266</v>
      </c>
      <c r="B1365" s="14" t="str">
        <f>IFERROR(__xludf.DUMMYFUNCTION("""COMPUTED_VALUE"""),"ВНЕ СПИСКА")</f>
        <v>ВНЕ СПИСКА</v>
      </c>
      <c r="C1365" s="14" t="str">
        <f>IFERROR(__xludf.DUMMYFUNCTION("""COMPUTED_VALUE"""),"ОКС")</f>
        <v>ОКС</v>
      </c>
      <c r="D1365" s="6" t="str">
        <f>IFERROR(__xludf.DUMMYFUNCTION("""COMPUTED_VALUE"""),"да")</f>
        <v>да</v>
      </c>
      <c r="E1365" s="14" t="str">
        <f>IFERROR(__xludf.DUMMYFUNCTION("""COMPUTED_VALUE"""),"Центр обработки данных Сбербанка, фаза 4 территория инновационного центра ""Сколково""")</f>
        <v>Центр обработки данных Сбербанка, фаза 4 территория инновационного центра "Сколково"</v>
      </c>
      <c r="F1365" s="25" t="str">
        <f>IFERROR(__xludf.DUMMYFUNCTION("""COMPUTED_VALUE"""),"#N/A")</f>
        <v>#N/A</v>
      </c>
      <c r="G1365" s="6" t="str">
        <f>IFERROR(__xludf.DUMMYFUNCTION("""COMPUTED_VALUE"""),"#N/A")</f>
        <v>#N/A</v>
      </c>
      <c r="H1365" s="18" t="str">
        <f>IFERROR(__xludf.DUMMYFUNCTION("""COMPUTED_VALUE"""),"https://docs.google.com/spreadsheets/d/1EI7qusa674eJhuaw-nWWtWMEHVSYMQv7HLsInEZTWpE/edit?gid=51775177#gid=51775177")</f>
        <v>https://docs.google.com/spreadsheets/d/1EI7qusa674eJhuaw-nWWtWMEHVSYMQv7HLsInEZTWpE/edit?gid=51775177#gid=51775177</v>
      </c>
      <c r="I1365" s="21" t="str">
        <f>IFERROR(__xludf.DUMMYFUNCTION("""COMPUTED_VALUE"""),"https://disk.yandex.ru/client/disk/%D0%9E%D1%81%D0%BC%D0%BE%D1%82%D1%80%D1%8B%20%D0%BE%D0%B1%D1%8A%D0%B5%D0%BA%D1%82%D0%BE%D0%B2%20%D0%90%D0%9D%D0%9E%20%D0%A1%D0%9C%D0%93/1266.%20%D0%A6%D0%B5%D0%BD%D1%82%D1%80%20%D0%BE%D0%B1%D1%80%D0%B0%D0%B1%D0%BE%D1%82%"&amp;"D0%BA%D0%B8%20%D0%B4%D0%B0%D0%BD%D0%BD%D1%8B%D1%85%20%D0%A1%D0%B1%D0%B5%D1%80%D0%B1%D0%B0%D0%BD%D0%BA%D0%B0%2C%20%D1%84%D0%B0%D0%B7%D0%B0%204")</f>
        <v>https://disk.yandex.ru/client/disk/%D0%9E%D1%81%D0%BC%D0%BE%D1%82%D1%80%D1%8B%20%D0%BE%D0%B1%D1%8A%D0%B5%D0%BA%D1%82%D0%BE%D0%B2%20%D0%90%D0%9D%D0%9E%20%D0%A1%D0%9C%D0%93/1266.%20%D0%A6%D0%B5%D0%BD%D1%82%D1%80%20%D0%BE%D0%B1%D1%80%D0%B0%D0%B1%D0%BE%D1%82%D0%BA%D0%B8%20%D0%B4%D0%B0%D0%BD%D0%BD%D1%8B%D1%85%20%D0%A1%D0%B1%D0%B5%D1%80%D0%B1%D0%B0%D0%BD%D0%BA%D0%B0%2C%20%D1%84%D0%B0%D0%B7%D0%B0%204</v>
      </c>
      <c r="J1365" s="50">
        <f>IFERROR(__xludf.DUMMYFUNCTION("""COMPUTED_VALUE"""),99.944)</f>
        <v>99.944</v>
      </c>
      <c r="K1365" s="58">
        <f>IFERROR(__xludf.DUMMYFUNCTION("""COMPUTED_VALUE"""),45861.0)</f>
        <v>45861</v>
      </c>
      <c r="L1365" s="6">
        <v>7.0</v>
      </c>
      <c r="M1365" s="52">
        <v>45868.0</v>
      </c>
      <c r="N1365" s="53" t="s">
        <v>668</v>
      </c>
      <c r="O1365" s="19" t="s">
        <v>1383</v>
      </c>
      <c r="P1365" s="6"/>
      <c r="Q1365" s="6" t="str">
        <f t="shared" si="1"/>
        <v>#N/A</v>
      </c>
      <c r="R1365" s="6"/>
    </row>
    <row r="1366" hidden="1">
      <c r="A1366" s="31" t="str">
        <f>IFERROR(__xludf.DUMMYFUNCTION("""COMPUTED_VALUE"""),"1271")</f>
        <v>1271</v>
      </c>
      <c r="B1366" s="14" t="str">
        <f>IFERROR(__xludf.DUMMYFUNCTION("""COMPUTED_VALUE"""),"ВНЕ СПИСКА")</f>
        <v>ВНЕ СПИСКА</v>
      </c>
      <c r="C1366" s="14" t="str">
        <f>IFERROR(__xludf.DUMMYFUNCTION("""COMPUTED_VALUE"""),"ОКС")</f>
        <v>ОКС</v>
      </c>
      <c r="D1366" s="6"/>
      <c r="E1366" s="14" t="str">
        <f>IFERROR(__xludf.DUMMYFUNCTION("""COMPUTED_VALUE"""),"ЖК ""Легенда"" к1 г.о. Троицк, 42-й км Калужского шоссе, корп. 1")</f>
        <v>ЖК "Легенда" к1 г.о. Троицк, 42-й км Калужского шоссе, корп. 1</v>
      </c>
      <c r="F1366" s="25" t="str">
        <f>IFERROR(__xludf.DUMMYFUNCTION("""COMPUTED_VALUE"""),"#N/A")</f>
        <v>#N/A</v>
      </c>
      <c r="G1366" s="6" t="str">
        <f>IFERROR(__xludf.DUMMYFUNCTION("""COMPUTED_VALUE"""),"#N/A")</f>
        <v>#N/A</v>
      </c>
      <c r="H1366" s="18" t="str">
        <f>IFERROR(__xludf.DUMMYFUNCTION("""COMPUTED_VALUE"""),"https://docs.google.com/spreadsheets/d/1EI7qusa674eJhuaw-nWWtWMEHVSYMQv7HLsInEZTWpE/edit?gid=1470173465#gid=1470173465")</f>
        <v>https://docs.google.com/spreadsheets/d/1EI7qusa674eJhuaw-nWWtWMEHVSYMQv7HLsInEZTWpE/edit?gid=1470173465#gid=1470173465</v>
      </c>
      <c r="I1366"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6" s="50">
        <f>IFERROR(__xludf.DUMMYFUNCTION("""COMPUTED_VALUE"""),100.0)</f>
        <v>100</v>
      </c>
      <c r="K1366" s="58">
        <f>IFERROR(__xludf.DUMMYFUNCTION("""COMPUTED_VALUE"""),45861.0)</f>
        <v>45861</v>
      </c>
      <c r="L1366" s="6" t="s">
        <v>654</v>
      </c>
      <c r="M1366" s="52" t="s">
        <v>655</v>
      </c>
      <c r="N1366" s="53" t="s">
        <v>656</v>
      </c>
      <c r="O1366" s="19"/>
      <c r="P1366" s="6"/>
      <c r="Q1366" s="6" t="str">
        <f t="shared" si="1"/>
        <v>#N/A</v>
      </c>
      <c r="R1366" s="6"/>
    </row>
    <row r="1367" hidden="1">
      <c r="A1367" s="31" t="str">
        <f>IFERROR(__xludf.DUMMYFUNCTION("""COMPUTED_VALUE"""),"1272")</f>
        <v>1272</v>
      </c>
      <c r="B1367" s="14" t="str">
        <f>IFERROR(__xludf.DUMMYFUNCTION("""COMPUTED_VALUE"""),"ВНЕ СПИСКА")</f>
        <v>ВНЕ СПИСКА</v>
      </c>
      <c r="C1367" s="14" t="str">
        <f>IFERROR(__xludf.DUMMYFUNCTION("""COMPUTED_VALUE"""),"ОКС")</f>
        <v>ОКС</v>
      </c>
      <c r="D1367" s="6"/>
      <c r="E1367" s="14" t="str">
        <f>IFERROR(__xludf.DUMMYFUNCTION("""COMPUTED_VALUE"""),"ЖК Легенда к2 г.о. Троицк, 42-й км Калужского шоссе, корп. 2")</f>
        <v>ЖК Легенда к2 г.о. Троицк, 42-й км Калужского шоссе, корп. 2</v>
      </c>
      <c r="F1367" s="25" t="str">
        <f>IFERROR(__xludf.DUMMYFUNCTION("""COMPUTED_VALUE"""),"#N/A")</f>
        <v>#N/A</v>
      </c>
      <c r="G1367" s="6" t="str">
        <f>IFERROR(__xludf.DUMMYFUNCTION("""COMPUTED_VALUE"""),"#N/A")</f>
        <v>#N/A</v>
      </c>
      <c r="H1367" s="18" t="str">
        <f>IFERROR(__xludf.DUMMYFUNCTION("""COMPUTED_VALUE"""),"https://docs.google.com/spreadsheets/d/1EI7qusa674eJhuaw-nWWtWMEHVSYMQv7HLsInEZTWpE/edit?gid=1866713504#gid=1866713504")</f>
        <v>https://docs.google.com/spreadsheets/d/1EI7qusa674eJhuaw-nWWtWMEHVSYMQv7HLsInEZTWpE/edit?gid=1866713504#gid=1866713504</v>
      </c>
      <c r="I1367"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7" s="50">
        <f>IFERROR(__xludf.DUMMYFUNCTION("""COMPUTED_VALUE"""),100.0)</f>
        <v>100</v>
      </c>
      <c r="K1367" s="58">
        <f>IFERROR(__xludf.DUMMYFUNCTION("""COMPUTED_VALUE"""),45861.0)</f>
        <v>45861</v>
      </c>
      <c r="L1367" s="6" t="s">
        <v>654</v>
      </c>
      <c r="M1367" s="52" t="s">
        <v>655</v>
      </c>
      <c r="N1367" s="53" t="s">
        <v>656</v>
      </c>
      <c r="O1367" s="19"/>
      <c r="P1367" s="6"/>
      <c r="Q1367" s="6" t="str">
        <f t="shared" si="1"/>
        <v>#N/A</v>
      </c>
      <c r="R1367" s="6"/>
    </row>
    <row r="1368" hidden="1">
      <c r="A1368" s="31" t="str">
        <f>IFERROR(__xludf.DUMMYFUNCTION("""COMPUTED_VALUE"""),"1273")</f>
        <v>1273</v>
      </c>
      <c r="B1368" s="14" t="str">
        <f>IFERROR(__xludf.DUMMYFUNCTION("""COMPUTED_VALUE"""),"ВНЕ СПИСКА")</f>
        <v>ВНЕ СПИСКА</v>
      </c>
      <c r="C1368" s="14" t="str">
        <f>IFERROR(__xludf.DUMMYFUNCTION("""COMPUTED_VALUE"""),"ОКС")</f>
        <v>ОКС</v>
      </c>
      <c r="D1368" s="6"/>
      <c r="E1368" s="14" t="str">
        <f>IFERROR(__xludf.DUMMYFUNCTION("""COMPUTED_VALUE"""),"ЖК Легенда к3 г.о. Троицк, 42-й км Калужского шоссе, корп. 3")</f>
        <v>ЖК Легенда к3 г.о. Троицк, 42-й км Калужского шоссе, корп. 3</v>
      </c>
      <c r="F1368" s="25" t="str">
        <f>IFERROR(__xludf.DUMMYFUNCTION("""COMPUTED_VALUE"""),"#N/A")</f>
        <v>#N/A</v>
      </c>
      <c r="G1368" s="6" t="str">
        <f>IFERROR(__xludf.DUMMYFUNCTION("""COMPUTED_VALUE"""),"#N/A")</f>
        <v>#N/A</v>
      </c>
      <c r="H1368" s="18" t="str">
        <f>IFERROR(__xludf.DUMMYFUNCTION("""COMPUTED_VALUE"""),"https://docs.google.com/spreadsheets/d/1EI7qusa674eJhuaw-nWWtWMEHVSYMQv7HLsInEZTWpE/edit?gid=944669618#gid=944669618")</f>
        <v>https://docs.google.com/spreadsheets/d/1EI7qusa674eJhuaw-nWWtWMEHVSYMQv7HLsInEZTWpE/edit?gid=944669618#gid=944669618</v>
      </c>
      <c r="I1368"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8" s="50">
        <f>IFERROR(__xludf.DUMMYFUNCTION("""COMPUTED_VALUE"""),100.0)</f>
        <v>100</v>
      </c>
      <c r="K1368" s="58">
        <f>IFERROR(__xludf.DUMMYFUNCTION("""COMPUTED_VALUE"""),45861.0)</f>
        <v>45861</v>
      </c>
      <c r="L1368" s="6" t="s">
        <v>654</v>
      </c>
      <c r="M1368" s="52" t="s">
        <v>655</v>
      </c>
      <c r="N1368" s="53" t="s">
        <v>656</v>
      </c>
      <c r="O1368" s="19"/>
      <c r="P1368" s="6"/>
      <c r="Q1368" s="6" t="str">
        <f t="shared" si="1"/>
        <v>#N/A</v>
      </c>
      <c r="R1368" s="6"/>
    </row>
    <row r="1369" hidden="1">
      <c r="A1369" s="31" t="str">
        <f>IFERROR(__xludf.DUMMYFUNCTION("""COMPUTED_VALUE"""),"1274")</f>
        <v>1274</v>
      </c>
      <c r="B1369" s="14" t="str">
        <f>IFERROR(__xludf.DUMMYFUNCTION("""COMPUTED_VALUE"""),"ВНЕ СПИСКА")</f>
        <v>ВНЕ СПИСКА</v>
      </c>
      <c r="C1369" s="14" t="str">
        <f>IFERROR(__xludf.DUMMYFUNCTION("""COMPUTED_VALUE"""),"ОКС")</f>
        <v>ОКС</v>
      </c>
      <c r="D1369" s="6"/>
      <c r="E1369" s="14" t="str">
        <f>IFERROR(__xludf.DUMMYFUNCTION("""COMPUTED_VALUE"""),"ЖК Легенда к4 г.о. Троицк, 42-й км Калужского шоссе, корп. 4")</f>
        <v>ЖК Легенда к4 г.о. Троицк, 42-й км Калужского шоссе, корп. 4</v>
      </c>
      <c r="F1369" s="25" t="str">
        <f>IFERROR(__xludf.DUMMYFUNCTION("""COMPUTED_VALUE"""),"#N/A")</f>
        <v>#N/A</v>
      </c>
      <c r="G1369" s="6" t="str">
        <f>IFERROR(__xludf.DUMMYFUNCTION("""COMPUTED_VALUE"""),"#N/A")</f>
        <v>#N/A</v>
      </c>
      <c r="H1369" s="18" t="str">
        <f>IFERROR(__xludf.DUMMYFUNCTION("""COMPUTED_VALUE"""),"https://docs.google.com/spreadsheets/d/1EI7qusa674eJhuaw-nWWtWMEHVSYMQv7HLsInEZTWpE/edit?gid=322677971#gid=322677971")</f>
        <v>https://docs.google.com/spreadsheets/d/1EI7qusa674eJhuaw-nWWtWMEHVSYMQv7HLsInEZTWpE/edit?gid=322677971#gid=322677971</v>
      </c>
      <c r="I1369" s="21" t="str">
        <f>IFERROR(__xludf.DUMMYFUNCTION("""COMPUTED_VALUE"""),"https://disk.yandex.ru/client/disk/%D0%9E%D1%81%D0%BC%D0%BE%D1%82%D1%80%D1%8B%20%D0%BE%D0%B1%D1%8A%D0%B5%D0%BA%D1%82%D0%BE%D0%B2%20%D0%90%D0%9D%D0%9E%20%D0%A1%D0%9C%D0%93/1271-1274%20%D0%96%D0%9A%20%D0%9B%D0%B5%D0%B3%D0%B5%D0%BD%D0%B4%D0%B0%20%D0%BA%D0%BE"&amp;"%D1%80%D0%BF%D1%83%D1%81%D0%B0%201%2C2%2C3%2C4%2C7")</f>
        <v>https://disk.yandex.ru/client/disk/%D0%9E%D1%81%D0%BC%D0%BE%D1%82%D1%80%D1%8B%20%D0%BE%D0%B1%D1%8A%D0%B5%D0%BA%D1%82%D0%BE%D0%B2%20%D0%90%D0%9D%D0%9E%20%D0%A1%D0%9C%D0%93/1271-1274%20%D0%96%D0%9A%20%D0%9B%D0%B5%D0%B3%D0%B5%D0%BD%D0%B4%D0%B0%20%D0%BA%D0%BE%D1%80%D0%BF%D1%83%D1%81%D0%B0%201%2C2%2C3%2C4%2C7</v>
      </c>
      <c r="J1369" s="50">
        <f>IFERROR(__xludf.DUMMYFUNCTION("""COMPUTED_VALUE"""),100.0)</f>
        <v>100</v>
      </c>
      <c r="K1369" s="58">
        <f>IFERROR(__xludf.DUMMYFUNCTION("""COMPUTED_VALUE"""),45861.0)</f>
        <v>45861</v>
      </c>
      <c r="L1369" s="6" t="s">
        <v>654</v>
      </c>
      <c r="M1369" s="52" t="s">
        <v>655</v>
      </c>
      <c r="N1369" s="53" t="s">
        <v>656</v>
      </c>
      <c r="O1369" s="19"/>
      <c r="P1369" s="6"/>
      <c r="Q1369" s="6" t="str">
        <f t="shared" si="1"/>
        <v>#N/A</v>
      </c>
      <c r="R1369" s="6"/>
    </row>
    <row r="1370" hidden="1">
      <c r="A1370" s="31" t="str">
        <f>IFERROR(__xludf.DUMMYFUNCTION("""COMPUTED_VALUE"""),"1275")</f>
        <v>1275</v>
      </c>
      <c r="B1370" s="14" t="str">
        <f>IFERROR(__xludf.DUMMYFUNCTION("""COMPUTED_VALUE"""),"ВНЕ СПИСКА")</f>
        <v>ВНЕ СПИСКА</v>
      </c>
      <c r="C1370" s="14" t="str">
        <f>IFERROR(__xludf.DUMMYFUNCTION("""COMPUTED_VALUE"""),"ОКС")</f>
        <v>ОКС</v>
      </c>
      <c r="D1370" s="6" t="str">
        <f>IFERROR(__xludf.DUMMYFUNCTION("""COMPUTED_VALUE"""),"да")</f>
        <v>да</v>
      </c>
      <c r="E1370" s="14" t="str">
        <f>IFERROR(__xludf.DUMMYFUNCTION("""COMPUTED_VALUE"""),"Многофункциональный жилой комплекс, 1-й этап строительства. Корпуса 1, 2, 3, 4 (Шарикоподшипниковская вл. 13, стр2) Шарикоподшипниковская ул. вл. 11, стр.1,2,4,10, стр.5, стр.7")</f>
        <v>Многофункциональный жилой комплекс, 1-й этап строительства. Корпуса 1, 2, 3, 4 (Шарикоподшипниковская вл. 13, стр2) Шарикоподшипниковская ул. вл. 11, стр.1,2,4,10, стр.5, стр.7</v>
      </c>
      <c r="F1370" s="25" t="str">
        <f>IFERROR(__xludf.DUMMYFUNCTION("""COMPUTED_VALUE"""),"#N/A")</f>
        <v>#N/A</v>
      </c>
      <c r="G1370" s="6" t="str">
        <f>IFERROR(__xludf.DUMMYFUNCTION("""COMPUTED_VALUE"""),"#N/A")</f>
        <v>#N/A</v>
      </c>
      <c r="H1370" s="18" t="str">
        <f>IFERROR(__xludf.DUMMYFUNCTION("""COMPUTED_VALUE"""),"https://docs.google.com/spreadsheets/d/1EI7qusa674eJhuaw-nWWtWMEHVSYMQv7HLsInEZTWpE/edit?gid=948129229#gid=948129229")</f>
        <v>https://docs.google.com/spreadsheets/d/1EI7qusa674eJhuaw-nWWtWMEHVSYMQv7HLsInEZTWpE/edit?gid=948129229#gid=948129229</v>
      </c>
      <c r="I1370" s="21" t="str">
        <f>IFERROR(__xludf.DUMMYFUNCTION("""COMPUTED_VALUE"""),"https://disk.yandex.ru/client/disk/%D0%9E%D1%81%D0%BC%D0%BE%D1%82%D1%80%D1%8B%20%D0%BE%D0%B1%D1%8A%D0%B5%D0%BA%D1%82%D0%BE%D0%B2%20%D0%90%D0%9D%D0%9E%20%D0%A1%D0%9C%D0%93/1275.%20%D0%A8%D0%B0%D1%80%D0%B8%D0%BA%D0%BE%D0%BF%D0%BE%D0%B4%D1%88%D0%B8%D0%BF%D0%"&amp;"BD%D0%B8%D0%BA%D0%BE%D0%B2%D1%81%D0%BA%D0%B0%D1%8F%20%D0%B2%D0%BB.%2013%2C%20%D1%81%D1%82%D1%802")</f>
        <v>https://disk.yandex.ru/client/disk/%D0%9E%D1%81%D0%BC%D0%BE%D1%82%D1%80%D1%8B%20%D0%BE%D0%B1%D1%8A%D0%B5%D0%BA%D1%82%D0%BE%D0%B2%20%D0%90%D0%9D%D0%9E%20%D0%A1%D0%9C%D0%93/1275.%20%D0%A8%D0%B0%D1%80%D0%B8%D0%BA%D0%BE%D0%BF%D0%BE%D0%B4%D1%88%D0%B8%D0%BF%D0%BD%D0%B8%D0%BA%D0%BE%D0%B2%D1%81%D0%BA%D0%B0%D1%8F%20%D0%B2%D0%BB.%2013%2C%20%D1%81%D1%82%D1%802</v>
      </c>
      <c r="J1370" s="50">
        <f>IFERROR(__xludf.DUMMYFUNCTION("""COMPUTED_VALUE"""),0.0)</f>
        <v>0</v>
      </c>
      <c r="K1370" s="58">
        <f>IFERROR(__xludf.DUMMYFUNCTION("""COMPUTED_VALUE"""),45937.0)</f>
        <v>45937</v>
      </c>
      <c r="L1370" s="6">
        <v>30.0</v>
      </c>
      <c r="M1370" s="52">
        <v>45967.0</v>
      </c>
      <c r="N1370" s="53" t="s">
        <v>668</v>
      </c>
      <c r="O1370" s="19" t="s">
        <v>1384</v>
      </c>
      <c r="P1370" s="6"/>
      <c r="Q1370" s="6" t="str">
        <f t="shared" si="1"/>
        <v>#N/A</v>
      </c>
      <c r="R1370" s="6"/>
    </row>
    <row r="1371" hidden="1">
      <c r="A1371" s="31" t="str">
        <f>IFERROR(__xludf.DUMMYFUNCTION("""COMPUTED_VALUE"""),"1276")</f>
        <v>1276</v>
      </c>
      <c r="B1371" s="14" t="str">
        <f>IFERROR(__xludf.DUMMYFUNCTION("""COMPUTED_VALUE"""),"ВНЕ СПИСКА")</f>
        <v>ВНЕ СПИСКА</v>
      </c>
      <c r="C1371" s="14" t="str">
        <f>IFERROR(__xludf.DUMMYFUNCTION("""COMPUTED_VALUE"""),"ОКС")</f>
        <v>ОКС</v>
      </c>
      <c r="D1371" s="6"/>
      <c r="E1371" s="14" t="str">
        <f>IFERROR(__xludf.DUMMYFUNCTION("""COMPUTED_VALUE"""),"Колледж СЗАО, р-н Южное Тушино, пр-д Походный, вл. 6")</f>
        <v>Колледж СЗАО, р-н Южное Тушино, пр-д Походный, вл. 6</v>
      </c>
      <c r="F1371" s="25" t="str">
        <f>IFERROR(__xludf.DUMMYFUNCTION("""COMPUTED_VALUE"""),"#N/A")</f>
        <v>#N/A</v>
      </c>
      <c r="G1371" s="6" t="str">
        <f>IFERROR(__xludf.DUMMYFUNCTION("""COMPUTED_VALUE"""),"#N/A")</f>
        <v>#N/A</v>
      </c>
      <c r="H1371" s="18" t="str">
        <f>IFERROR(__xludf.DUMMYFUNCTION("""COMPUTED_VALUE"""),"https://docs.google.com/spreadsheets/d/1EI7qusa674eJhuaw-nWWtWMEHVSYMQv7HLsInEZTWpE/edit?gid=411393776#gid=411393776")</f>
        <v>https://docs.google.com/spreadsheets/d/1EI7qusa674eJhuaw-nWWtWMEHVSYMQv7HLsInEZTWpE/edit?gid=411393776#gid=411393776</v>
      </c>
      <c r="I1371" s="21" t="str">
        <f>IFERROR(__xludf.DUMMYFUNCTION("""COMPUTED_VALUE"""),"https://disk.yandex.ru/client/disk/%D0%9E%D1%81%D0%BC%D0%BE%D1%82%D1%80%D1%8B%20%D0%BE%D0%B1%D1%8A%D0%B5%D0%BA%D1%82%D0%BE%D0%B2%20%D0%90%D0%9D%D0%9E%20%D0%A1%D0%9C%D0%93/1276.%20%D0%9A%D0%BE%D0%BB%D0%BB%D0%B5%D0%B4%D0%B6%20%D0%9F%D0%BE%D1%85%D0%BE%D0%B4%"&amp;"D0%BD%D1%8B%D0%B9%20%D0%BF%D1%80%D0%BE%D0%B5%D0%B7%D0%B4%20%D0%B2%D0%BB6")</f>
        <v>https://disk.yandex.ru/client/disk/%D0%9E%D1%81%D0%BC%D0%BE%D1%82%D1%80%D1%8B%20%D0%BE%D0%B1%D1%8A%D0%B5%D0%BA%D1%82%D0%BE%D0%B2%20%D0%90%D0%9D%D0%9E%20%D0%A1%D0%9C%D0%93/1276.%20%D0%9A%D0%BE%D0%BB%D0%BB%D0%B5%D0%B4%D0%B6%20%D0%9F%D0%BE%D1%85%D0%BE%D0%B4%D0%BD%D1%8B%D0%B9%20%D0%BF%D1%80%D0%BE%D0%B5%D0%B7%D0%B4%20%D0%B2%D0%BB6</v>
      </c>
      <c r="J1371" s="50">
        <f>IFERROR(__xludf.DUMMYFUNCTION("""COMPUTED_VALUE"""),0.0)</f>
        <v>0</v>
      </c>
      <c r="K1371" s="58">
        <f>IFERROR(__xludf.DUMMYFUNCTION("""COMPUTED_VALUE"""),45866.0)</f>
        <v>45866</v>
      </c>
      <c r="L1371" s="6">
        <v>30.0</v>
      </c>
      <c r="M1371" s="52">
        <v>45896.0</v>
      </c>
      <c r="N1371" s="53" t="s">
        <v>668</v>
      </c>
      <c r="O1371" s="19" t="s">
        <v>1385</v>
      </c>
      <c r="P1371" s="6"/>
      <c r="Q1371" s="6" t="str">
        <f t="shared" si="1"/>
        <v>#N/A</v>
      </c>
      <c r="R1371" s="6"/>
    </row>
    <row r="1372" hidden="1">
      <c r="A1372" s="31" t="str">
        <f>IFERROR(__xludf.DUMMYFUNCTION("""COMPUTED_VALUE"""),"1277")</f>
        <v>1277</v>
      </c>
      <c r="B1372" s="14" t="str">
        <f>IFERROR(__xludf.DUMMYFUNCTION("""COMPUTED_VALUE"""),"РЕН-26")</f>
        <v>РЕН-26</v>
      </c>
      <c r="C1372" s="14" t="str">
        <f>IFERROR(__xludf.DUMMYFUNCTION("""COMPUTED_VALUE"""),"ОКС")</f>
        <v>ОКС</v>
      </c>
      <c r="D1372" s="6"/>
      <c r="E1372" s="14" t="str">
        <f>IFERROR(__xludf.DUMMYFUNCTION("""COMPUTED_VALUE"""),"р-н Троицк, тер. СНТ ""Ветеран-1"", корп.1 Троицк, тер. СНТ ""Ветеран-1"", ул. Городская ")</f>
        <v>р-н Троицк, тер. СНТ "Ветеран-1", корп.1 Троицк, тер. СНТ "Ветеран-1", ул. Городская </v>
      </c>
      <c r="F1372" s="25" t="str">
        <f>IFERROR(__xludf.DUMMYFUNCTION("""COMPUTED_VALUE"""),"55.492717")</f>
        <v>55.492717</v>
      </c>
      <c r="G1372" s="6" t="str">
        <f>IFERROR(__xludf.DUMMYFUNCTION("""COMPUTED_VALUE"""),"37.319359")</f>
        <v>37.319359</v>
      </c>
      <c r="H1372" s="18" t="str">
        <f>IFERROR(__xludf.DUMMYFUNCTION("""COMPUTED_VALUE"""),"https://docs.google.com/spreadsheets/d/1rbCD10ySi4YZEkJW2_Slmn9z7AI1WEsGsZaIJmnnT18/edit?gid=1030101240#gid=1030101240")</f>
        <v>https://docs.google.com/spreadsheets/d/1rbCD10ySi4YZEkJW2_Slmn9z7AI1WEsGsZaIJmnnT18/edit?gid=1030101240#gid=1030101240</v>
      </c>
      <c r="I1372" s="21" t="str">
        <f>IFERROR(__xludf.DUMMYFUNCTION("""COMPUTED_VALUE"""),"https://disk.yandex.ru/client/disk/%D0%9E%D1%81%D0%BC%D0%BE%D1%82%D1%80%D1%8B%20%D0%BE%D0%B1%D1%8A%D0%B5%D0%BA%D1%82%D0%BE%D0%B2%20%D0%90%D0%9D%D0%9E%20%D0%A1%D0%9C%D0%93/1277%20%D1%80-%D0%BD%20%D0%A2%D1%80%D0%BE%D0%B8%D1%86%D0%BA%2C%20%D1%82%D0%B5%D1%80."&amp;"%20%D0%A1%D0%9D%D0%A2%20%22%D0%92%D0%B5%D1%82%D0%B5%D1%80%D0%B0%D0%BD-1%22%20%D0%BA%D0%BE%D1%80%D0%BF.%201")</f>
        <v>https://disk.yandex.ru/client/disk/%D0%9E%D1%81%D0%BC%D0%BE%D1%82%D1%80%D1%8B%20%D0%BE%D0%B1%D1%8A%D0%B5%D0%BA%D1%82%D0%BE%D0%B2%20%D0%90%D0%9D%D0%9E%20%D0%A1%D0%9C%D0%93/1277%20%D1%80-%D0%BD%20%D0%A2%D1%80%D0%BE%D0%B8%D1%86%D0%BA%2C%20%D1%82%D0%B5%D1%80.%20%D0%A1%D0%9D%D0%A2%20%22%D0%92%D0%B5%D1%82%D0%B5%D1%80%D0%B0%D0%BD-1%22%20%D0%BA%D0%BE%D1%80%D0%BF.%201</v>
      </c>
      <c r="J1372" s="50">
        <f>IFERROR(__xludf.DUMMYFUNCTION("""COMPUTED_VALUE"""),100.0)</f>
        <v>100</v>
      </c>
      <c r="K1372" s="58">
        <f>IFERROR(__xludf.DUMMYFUNCTION("""COMPUTED_VALUE"""),45957.0)</f>
        <v>45957</v>
      </c>
      <c r="L1372" s="6" t="s">
        <v>654</v>
      </c>
      <c r="M1372" s="52" t="s">
        <v>655</v>
      </c>
      <c r="N1372" s="53" t="s">
        <v>656</v>
      </c>
      <c r="O1372" s="19" t="s">
        <v>1386</v>
      </c>
      <c r="P1372" s="6"/>
      <c r="Q1372" s="6" t="str">
        <f t="shared" si="1"/>
        <v>#N/A</v>
      </c>
      <c r="R1372" s="6"/>
    </row>
    <row r="1373" hidden="1">
      <c r="A1373" s="31" t="str">
        <f>IFERROR(__xludf.DUMMYFUNCTION("""COMPUTED_VALUE"""),"1278")</f>
        <v>1278</v>
      </c>
      <c r="B1373" s="14" t="str">
        <f>IFERROR(__xludf.DUMMYFUNCTION("""COMPUTED_VALUE"""),"ВНЕ СПИСКА")</f>
        <v>ВНЕ СПИСКА</v>
      </c>
      <c r="C1373" s="14" t="str">
        <f>IFERROR(__xludf.DUMMYFUNCTION("""COMPUTED_VALUE"""),"ОКС")</f>
        <v>ОКС</v>
      </c>
      <c r="D1373" s="6" t="str">
        <f>IFERROR(__xludf.DUMMYFUNCTION("""COMPUTED_VALUE"""),"да")</f>
        <v>да</v>
      </c>
      <c r="E1373" s="14" t="str">
        <f>IFERROR(__xludf.DUMMYFUNCTION("""COMPUTED_VALUE"""),"Реконструкция существующего объекта некапитального строительства под физкультурно-оздоровительный комплекс р-н Строгино, ул. Маршала Катукова, д.26
 (кад. номер ЗУ №77:08:0008009:48)")</f>
        <v>Реконструкция существующего объекта некапитального строительства под физкультурно-оздоровительный комплекс р-н Строгино, ул. Маршала Катукова, д.26
 (кад. номер ЗУ №77:08:0008009:48)</v>
      </c>
      <c r="F1373" s="25" t="str">
        <f>IFERROR(__xludf.DUMMYFUNCTION("""COMPUTED_VALUE"""),"#N/A")</f>
        <v>#N/A</v>
      </c>
      <c r="G1373" s="6" t="str">
        <f>IFERROR(__xludf.DUMMYFUNCTION("""COMPUTED_VALUE"""),"#N/A")</f>
        <v>#N/A</v>
      </c>
      <c r="H1373" s="18" t="str">
        <f>IFERROR(__xludf.DUMMYFUNCTION("""COMPUTED_VALUE"""),"https://docs.google.com/spreadsheets/d/1EI7qusa674eJhuaw-nWWtWMEHVSYMQv7HLsInEZTWpE/edit?gid=594480118#gid=594480118")</f>
        <v>https://docs.google.com/spreadsheets/d/1EI7qusa674eJhuaw-nWWtWMEHVSYMQv7HLsInEZTWpE/edit?gid=594480118#gid=594480118</v>
      </c>
      <c r="I1373" s="21" t="str">
        <f>IFERROR(__xludf.DUMMYFUNCTION("""COMPUTED_VALUE"""),"https://disk.yandex.ru/client/disk/%D0%9E%D1%81%D0%BC%D0%BE%D1%82%D1%80%D1%8B%20%D0%BE%D0%B1%D1%8A%D0%B5%D0%BA%D1%82%D0%BE%D0%B2%20%D0%90%D0%9D%D0%9E%20%D0%A1%D0%9C%D0%93/1278.%20%D0%A4%D1%83%D1%82%D0%B1%D0%BE%D0%BB%D1%8C%D0%BD%D1%8B%D0%B9%20%D0%BC%D0%B0%"&amp;"D0%BD%D0%B5%D0%B6.%20%D1%83%D0%BB.%20%D0%9C%D0%B0%D1%80%D1%88%D0%B0%D0%BB%D0%B0%20%D0%9A%D0%B0%D1%82%D1%83%D0%BA%D0%BE%D0%B2%D0%B0%2C%20%D0%B4.%2026")</f>
        <v>https://disk.yandex.ru/client/disk/%D0%9E%D1%81%D0%BC%D0%BE%D1%82%D1%80%D1%8B%20%D0%BE%D0%B1%D1%8A%D0%B5%D0%BA%D1%82%D0%BE%D0%B2%20%D0%90%D0%9D%D0%9E%20%D0%A1%D0%9C%D0%93/1278.%20%D0%A4%D1%83%D1%82%D0%B1%D0%BE%D0%BB%D1%8C%D0%BD%D1%8B%D0%B9%20%D0%BC%D0%B0%D0%BD%D0%B5%D0%B6.%20%D1%83%D0%BB.%20%D0%9C%D0%B0%D1%80%D1%88%D0%B0%D0%BB%D0%B0%20%D0%9A%D0%B0%D1%82%D1%83%D0%BA%D0%BE%D0%B2%D0%B0%2C%20%D0%B4.%2026</v>
      </c>
      <c r="J1373" s="50">
        <f>IFERROR(__xludf.DUMMYFUNCTION("""COMPUTED_VALUE"""),4.0337499999999995)</f>
        <v>4.03375</v>
      </c>
      <c r="K1373" s="58">
        <f>IFERROR(__xludf.DUMMYFUNCTION("""COMPUTED_VALUE"""),45930.0)</f>
        <v>45930</v>
      </c>
      <c r="L1373" s="6">
        <v>30.0</v>
      </c>
      <c r="M1373" s="52">
        <v>45960.0</v>
      </c>
      <c r="N1373" s="53" t="s">
        <v>668</v>
      </c>
      <c r="O1373" s="19" t="s">
        <v>1387</v>
      </c>
      <c r="P1373" s="6"/>
      <c r="Q1373" s="6" t="str">
        <f t="shared" si="1"/>
        <v>#N/A</v>
      </c>
      <c r="R1373" s="6"/>
    </row>
    <row r="1374" hidden="1">
      <c r="A1374" s="31" t="str">
        <f>IFERROR(__xludf.DUMMYFUNCTION("""COMPUTED_VALUE"""),"НД")</f>
        <v>НД</v>
      </c>
      <c r="B1374" s="14" t="str">
        <f>IFERROR(__xludf.DUMMYFUNCTION("""COMPUTED_VALUE"""),"ВНЕ СПИСКА")</f>
        <v>ВНЕ СПИСКА</v>
      </c>
      <c r="C1374" s="14" t="str">
        <f>IFERROR(__xludf.DUMMYFUNCTION("""COMPUTED_VALUE"""),"ОКС")</f>
        <v>ОКС</v>
      </c>
      <c r="D1374" s="6"/>
      <c r="E1374" s="14" t="str">
        <f>IFERROR(__xludf.DUMMYFUNCTION("""COMPUTED_VALUE"""),"Административное здание района Филимонковский р-н Филимонковский, вблизи ул. Мешковский лес, квартал № 40, 1с1")</f>
        <v>Административное здание района Филимонковский р-н Филимонковский, вблизи ул. Мешковский лес, квартал № 40, 1с1</v>
      </c>
      <c r="F1374" s="25" t="str">
        <f>IFERROR(__xludf.DUMMYFUNCTION("""COMPUTED_VALUE"""),"#N/A")</f>
        <v>#N/A</v>
      </c>
      <c r="G1374" s="6" t="str">
        <f>IFERROR(__xludf.DUMMYFUNCTION("""COMPUTED_VALUE"""),"#N/A")</f>
        <v>#N/A</v>
      </c>
      <c r="H1374" s="6"/>
      <c r="I1374" s="19"/>
      <c r="J1374" s="50"/>
      <c r="K1374" s="58"/>
      <c r="L1374" s="6">
        <v>30.0</v>
      </c>
      <c r="M1374" s="52" t="s">
        <v>655</v>
      </c>
      <c r="N1374" s="53" t="s">
        <v>698</v>
      </c>
      <c r="O1374" s="19" t="s">
        <v>1388</v>
      </c>
      <c r="P1374" s="6"/>
      <c r="Q1374" s="6" t="str">
        <f t="shared" si="1"/>
        <v>#N/A</v>
      </c>
      <c r="R1374" s="6"/>
    </row>
    <row r="1375" hidden="1">
      <c r="A1375" s="31" t="str">
        <f>IFERROR(__xludf.DUMMYFUNCTION("""COMPUTED_VALUE"""),"НД")</f>
        <v>НД</v>
      </c>
      <c r="B1375" s="14" t="str">
        <f>IFERROR(__xludf.DUMMYFUNCTION("""COMPUTED_VALUE"""),"ВНЕ СПИСКА")</f>
        <v>ВНЕ СПИСКА</v>
      </c>
      <c r="C1375" s="14" t="str">
        <f>IFERROR(__xludf.DUMMYFUNCTION("""COMPUTED_VALUE"""),"ОКС")</f>
        <v>ОКС</v>
      </c>
      <c r="D1375" s="6"/>
      <c r="E1375" s="14" t="str">
        <f>IFERROR(__xludf.DUMMYFUNCTION("""COMPUTED_VALUE"""),"Производственная база ГБУ ""Жилищник района Печатники"" 1-ый Курьяновский пр., 15 с35")</f>
        <v>Производственная база ГБУ "Жилищник района Печатники" 1-ый Курьяновский пр., 15 с35</v>
      </c>
      <c r="F1375" s="25" t="str">
        <f>IFERROR(__xludf.DUMMYFUNCTION("""COMPUTED_VALUE"""),"#N/A")</f>
        <v>#N/A</v>
      </c>
      <c r="G1375" s="6" t="str">
        <f>IFERROR(__xludf.DUMMYFUNCTION("""COMPUTED_VALUE"""),"#N/A")</f>
        <v>#N/A</v>
      </c>
      <c r="H1375" s="6"/>
      <c r="I1375" s="19"/>
      <c r="J1375" s="50"/>
      <c r="K1375" s="58"/>
      <c r="L1375" s="6">
        <v>30.0</v>
      </c>
      <c r="M1375" s="52" t="s">
        <v>655</v>
      </c>
      <c r="N1375" s="53" t="s">
        <v>698</v>
      </c>
      <c r="O1375" s="19" t="s">
        <v>1389</v>
      </c>
      <c r="P1375" s="6"/>
      <c r="Q1375" s="6" t="str">
        <f t="shared" si="1"/>
        <v>#N/A</v>
      </c>
      <c r="R1375" s="6"/>
    </row>
    <row r="1376" hidden="1">
      <c r="A1376" s="31" t="str">
        <f>IFERROR(__xludf.DUMMYFUNCTION("""COMPUTED_VALUE"""),"1333")</f>
        <v>1333</v>
      </c>
      <c r="B1376" s="14" t="str">
        <f>IFERROR(__xludf.DUMMYFUNCTION("""COMPUTED_VALUE"""),"ВНЕ СПИСКА")</f>
        <v>ВНЕ СПИСКА</v>
      </c>
      <c r="C1376" s="14" t="str">
        <f>IFERROR(__xludf.DUMMYFUNCTION("""COMPUTED_VALUE"""),"ОКС")</f>
        <v>ОКС</v>
      </c>
      <c r="D1376" s="6"/>
      <c r="E1376" s="14" t="str">
        <f>IFERROR(__xludf.DUMMYFUNCTION("""COMPUTED_VALUE"""),"Жилой дом с инженерными коммуникациями и благоустройством, р-н Раменки, ул. Лобачевского, д. 106 (со сносом жилого дома по адресу: ул. Лобачевского, д. 106) р-н Раменки, ул. Лобачевского, д. 106")</f>
        <v>Жилой дом с инженерными коммуникациями и благоустройством, р-н Раменки, ул. Лобачевского, д. 106 (со сносом жилого дома по адресу: ул. Лобачевского, д. 106) р-н Раменки, ул. Лобачевского, д. 106</v>
      </c>
      <c r="F1376" s="25" t="str">
        <f>IFERROR(__xludf.DUMMYFUNCTION("""COMPUTED_VALUE"""),"#N/A")</f>
        <v>#N/A</v>
      </c>
      <c r="G1376" s="6" t="str">
        <f>IFERROR(__xludf.DUMMYFUNCTION("""COMPUTED_VALUE"""),"#N/A")</f>
        <v>#N/A</v>
      </c>
      <c r="H1376" s="18" t="str">
        <f>IFERROR(__xludf.DUMMYFUNCTION("""COMPUTED_VALUE"""),"https://docs.google.com/spreadsheets/d/1EI7qusa674eJhuaw-nWWtWMEHVSYMQv7HLsInEZTWpE/edit?gid=1880951633#gid=1880951633")</f>
        <v>https://docs.google.com/spreadsheets/d/1EI7qusa674eJhuaw-nWWtWMEHVSYMQv7HLsInEZTWpE/edit?gid=1880951633#gid=1880951633</v>
      </c>
      <c r="I1376" s="19"/>
      <c r="J1376" s="50">
        <f>IFERROR(__xludf.DUMMYFUNCTION("""COMPUTED_VALUE"""),0.028499999999999998)</f>
        <v>0.0285</v>
      </c>
      <c r="K1376" s="58"/>
      <c r="L1376" s="6">
        <v>30.0</v>
      </c>
      <c r="M1376" s="52" t="s">
        <v>655</v>
      </c>
      <c r="N1376" s="53" t="s">
        <v>698</v>
      </c>
      <c r="O1376" s="19" t="s">
        <v>1390</v>
      </c>
      <c r="P1376" s="6"/>
      <c r="Q1376" s="6" t="str">
        <f t="shared" si="1"/>
        <v>#N/A</v>
      </c>
      <c r="R1376" s="6"/>
    </row>
    <row r="1377" hidden="1">
      <c r="A1377" s="31" t="str">
        <f>IFERROR(__xludf.DUMMYFUNCTION("""COMPUTED_VALUE"""),"315")</f>
        <v>315</v>
      </c>
      <c r="B1377" s="14" t="str">
        <f>IFERROR(__xludf.DUMMYFUNCTION("""COMPUTED_VALUE"""),"ВНЕ СПИСКА")</f>
        <v>ВНЕ СПИСКА</v>
      </c>
      <c r="C1377" s="14" t="str">
        <f>IFERROR(__xludf.DUMMYFUNCTION("""COMPUTED_VALUE"""),"ОКС")</f>
        <v>ОКС</v>
      </c>
      <c r="D1377" s="6"/>
      <c r="E1377" s="14" t="str">
        <f>IFERROR(__xludf.DUMMYFUNCTION("""COMPUTED_VALUE"""),"Взрослая поликлиника на 750 посещений в смену, р-н Головинский, ул. Онежская, влд. 14Б район Головинский, ул. Онежская, вл. 14Б")</f>
        <v>Взрослая поликлиника на 750 посещений в смену, р-н Головинский, ул. Онежская, влд. 14Б район Головинский, ул. Онежская, вл. 14Б</v>
      </c>
      <c r="F1377" s="25" t="str">
        <f>IFERROR(__xludf.DUMMYFUNCTION("""COMPUTED_VALUE"""),"#N/A")</f>
        <v>#N/A</v>
      </c>
      <c r="G1377" s="6" t="str">
        <f>IFERROR(__xludf.DUMMYFUNCTION("""COMPUTED_VALUE"""),"#N/A")</f>
        <v>#N/A</v>
      </c>
      <c r="H1377" s="18" t="str">
        <f>IFERROR(__xludf.DUMMYFUNCTION("""COMPUTED_VALUE"""),"https://docs.google.com/spreadsheets/d/1EI7qusa674eJhuaw-nWWtWMEHVSYMQv7HLsInEZTWpE/edit?gid=849348771#gid=849348771")</f>
        <v>https://docs.google.com/spreadsheets/d/1EI7qusa674eJhuaw-nWWtWMEHVSYMQv7HLsInEZTWpE/edit?gid=849348771#gid=849348771</v>
      </c>
      <c r="I1377" s="21" t="str">
        <f>IFERROR(__xludf.DUMMYFUNCTION("""COMPUTED_VALUE"""),"https://disk.yandex.ru/client/disk/%D0%9E%D1%81%D0%BC%D0%BE%D1%82%D1%80%D1%8B%20%D0%BE%D0%B1%D1%8A%D0%B5%D0%BA%D1%82%D0%BE%D0%B2%20%D0%90%D0%9D%D0%9E%20%D0%A1%D0%9C%D0%93/315.%20%D0%9E%D0%BD%D0%B5%D0%B6%D1%81%D0%BA%D0%B0%D1%8F%2C%20%D0%B2%D0%BB%D0%B4.%201"&amp;"4%D0%91")</f>
        <v>https://disk.yandex.ru/client/disk/%D0%9E%D1%81%D0%BC%D0%BE%D1%82%D1%80%D1%8B%20%D0%BE%D0%B1%D1%8A%D0%B5%D0%BA%D1%82%D0%BE%D0%B2%20%D0%90%D0%9D%D0%9E%20%D0%A1%D0%9C%D0%93/315.%20%D0%9E%D0%BD%D0%B5%D0%B6%D1%81%D0%BA%D0%B0%D1%8F%2C%20%D0%B2%D0%BB%D0%B4.%2014%D0%91</v>
      </c>
      <c r="J1377" s="50">
        <f>IFERROR(__xludf.DUMMYFUNCTION("""COMPUTED_VALUE"""),0.0)</f>
        <v>0</v>
      </c>
      <c r="K1377" s="58">
        <f>IFERROR(__xludf.DUMMYFUNCTION("""COMPUTED_VALUE"""),45874.0)</f>
        <v>45874</v>
      </c>
      <c r="L1377" s="6">
        <v>30.0</v>
      </c>
      <c r="M1377" s="52">
        <v>45904.0</v>
      </c>
      <c r="N1377" s="53" t="s">
        <v>668</v>
      </c>
      <c r="O1377" s="19" t="s">
        <v>1391</v>
      </c>
      <c r="P1377" s="6"/>
      <c r="Q1377" s="6" t="str">
        <f t="shared" si="1"/>
        <v>#N/A</v>
      </c>
      <c r="R1377" s="6"/>
    </row>
    <row r="1378" hidden="1">
      <c r="A1378" s="31" t="str">
        <f>IFERROR(__xludf.DUMMYFUNCTION("""COMPUTED_VALUE"""),"НД")</f>
        <v>НД</v>
      </c>
      <c r="B1378" s="14" t="str">
        <f>IFERROR(__xludf.DUMMYFUNCTION("""COMPUTED_VALUE"""),"ВНЕ СПИСКА")</f>
        <v>ВНЕ СПИСКА</v>
      </c>
      <c r="C1378" s="14" t="str">
        <f>IFERROR(__xludf.DUMMYFUNCTION("""COMPUTED_VALUE"""),"ОКС")</f>
        <v>ОКС</v>
      </c>
      <c r="D1378" s="6" t="str">
        <f>IFERROR(__xludf.DUMMYFUNCTION("""COMPUTED_VALUE"""),"да")</f>
        <v>да</v>
      </c>
      <c r="E1378" s="14" t="str">
        <f>IFERROR(__xludf.DUMMYFUNCTION("""COMPUTED_VALUE"""),"Многофункциоеальный жилой комплекс Краснопресненская наб. уч. 14/15")</f>
        <v>Многофункциоеальный жилой комплекс Краснопресненская наб. уч. 14/15</v>
      </c>
      <c r="F1378" s="25" t="str">
        <f>IFERROR(__xludf.DUMMYFUNCTION("""COMPUTED_VALUE"""),"#N/A")</f>
        <v>#N/A</v>
      </c>
      <c r="G1378" s="6" t="str">
        <f>IFERROR(__xludf.DUMMYFUNCTION("""COMPUTED_VALUE"""),"#N/A")</f>
        <v>#N/A</v>
      </c>
      <c r="H1378" s="6"/>
      <c r="I1378" s="19"/>
      <c r="J1378" s="50"/>
      <c r="K1378" s="58"/>
      <c r="L1378" s="6">
        <v>30.0</v>
      </c>
      <c r="M1378" s="52" t="s">
        <v>655</v>
      </c>
      <c r="N1378" s="53" t="s">
        <v>698</v>
      </c>
      <c r="O1378" s="19" t="s">
        <v>669</v>
      </c>
      <c r="P1378" s="6"/>
      <c r="Q1378" s="6" t="str">
        <f t="shared" si="1"/>
        <v>#N/A</v>
      </c>
      <c r="R1378" s="6"/>
    </row>
    <row r="1379" hidden="1">
      <c r="A1379" s="31" t="str">
        <f>IFERROR(__xludf.DUMMYFUNCTION("""COMPUTED_VALUE"""),"1282")</f>
        <v>1282</v>
      </c>
      <c r="B1379" s="14" t="str">
        <f>IFERROR(__xludf.DUMMYFUNCTION("""COMPUTED_VALUE"""),"ВНЕ СПИСКА")</f>
        <v>ВНЕ СПИСКА</v>
      </c>
      <c r="C1379" s="14" t="str">
        <f>IFERROR(__xludf.DUMMYFUNCTION("""COMPUTED_VALUE"""),"ОКС")</f>
        <v>ОКС</v>
      </c>
      <c r="D1379" s="6" t="str">
        <f>IFERROR(__xludf.DUMMYFUNCTION("""COMPUTED_VALUE"""),"да")</f>
        <v>да</v>
      </c>
      <c r="E1379" s="14" t="str">
        <f>IFERROR(__xludf.DUMMYFUNCTION("""COMPUTED_VALUE"""),"Реализация спортивной инфраструктуры в рамках проекта территории в Сокольниках Здание спортивной базы; задние службы эксплуатации
 Малый Олений пер. 23")</f>
        <v>Реализация спортивной инфраструктуры в рамках проекта территории в Сокольниках Здание спортивной базы; задние службы эксплуатации
 Малый Олений пер. 23</v>
      </c>
      <c r="F1379" s="25" t="str">
        <f>IFERROR(__xludf.DUMMYFUNCTION("""COMPUTED_VALUE"""),"55.803874")</f>
        <v>55.803874</v>
      </c>
      <c r="G1379" s="6" t="str">
        <f>IFERROR(__xludf.DUMMYFUNCTION("""COMPUTED_VALUE"""),"37.695999")</f>
        <v>37.695999</v>
      </c>
      <c r="H1379" s="18" t="str">
        <f>IFERROR(__xludf.DUMMYFUNCTION("""COMPUTED_VALUE"""),"https://docs.google.com/spreadsheets/d/1EI7qusa674eJhuaw-nWWtWMEHVSYMQv7HLsInEZTWpE/edit?gid=741067591#gid=741067591")</f>
        <v>https://docs.google.com/spreadsheets/d/1EI7qusa674eJhuaw-nWWtWMEHVSYMQv7HLsInEZTWpE/edit?gid=741067591#gid=741067591</v>
      </c>
      <c r="I1379" s="19" t="str">
        <f>IFERROR(__xludf.DUMMYFUNCTION("""COMPUTED_VALUE"""),"https://disk.yandex.ru/client/disk/%D0%9E%D1%81%D0%BC%D0%BE%D1%82%D1%80%D1%8B%20%D0%BE%D0%B1%D1%8A%D0%B5%D0%BA%D1%82%D0%BE%D0%B2%20%D0%90%D0%9D%D0%9E%20%D0%A1%D0%9C%D0%93/1282.%20%D0%A0%D0%B5%D0%B0%D0%BB%D0%B8%D0%B7%D0%B0%D1%86%D0%B8%D1%8F%20%D1%81%D1%82%"&amp;"D1%80%D0%BE%D0%B8%D1%82%D0%B5%D0%BB%D1%8C%D0%BD%D0%BE%D0%B9%20%D0%B8%D0%BD%D1%84%D1%80%D0%B0%D1%81%D1%82%D1%80%D1%83%D0%BA%D1%82%D1%83%D1%80%D1%8B%20%D0%B2%20%D1%80%D0%B0%D0%BC%D0%BA%D0%B0%D1%85%20%D0%BF%D1%80%D0%BE%D0%B5%D0%BA%D1%82%D0%B0%20%D1%82%D0%B5%"&amp;"D1%80%D1%80%D0%B8%D1%82%D0%BE%D1%80%D0%B8%D0%B8%20%D0%B2%20%D0%A1%D0%BE%D0%BA%D0%BE%D0%BB%D1%8C%D0%BD%D0%B8%D0%BA%D0%B0%D1%85%20%D0%97%D0%B4%D0%B0%D0%BD%D0%B8%D0%B5%20%D1%81%D0%BF%D0%BE%D1%80%D1%82%D0%B8%D0%B2%D0%BD%D0%BE%D0%B9%20%D0%B1%D0%B0%D0%B7%D1%8B%"&amp;"3B%20%D0%B7%D0%B4%D0%B0%D0%BD%D0%B8%D0%B5%20%D1%81%D0%BB%D1%83%D0%B6%D0%B1%D1%8B%20%D1%8D%D0%BA%D1%81%D0%BF%D0%BB%D1%83%D0%B0%D1%82%D0%B0%D1%86%D0%B8%D0%B8%20%D0%9C%D0%BE%D1%81%D0%BA%D0%B2%D0%B0%2C%20%D0%9C%D0%B0%D0%BB%D1%8B%D0%B9%20%D0%9E%D0%BB%D0%B5%D0%"&amp;"BD%D0%B8%D0%B9%20%D0%BF%D0%B5%D1%80%D0%B5%D1%83%D0%BB%D0%BE%D0%BA%2C%2023")</f>
        <v>https://disk.yandex.ru/client/disk/%D0%9E%D1%81%D0%BC%D0%BE%D1%82%D1%80%D1%8B%20%D0%BE%D0%B1%D1%8A%D0%B5%D0%BA%D1%82%D0%BE%D0%B2%20%D0%90%D0%9D%D0%9E%20%D0%A1%D0%9C%D0%93/1282.%20%D0%A0%D0%B5%D0%B0%D0%BB%D0%B8%D0%B7%D0%B0%D1%86%D0%B8%D1%8F%20%D1%81%D1%82%D1%80%D0%BE%D0%B8%D1%82%D0%B5%D0%BB%D1%8C%D0%BD%D0%BE%D0%B9%20%D0%B8%D0%BD%D1%84%D1%80%D0%B0%D1%81%D1%82%D1%80%D1%83%D0%BA%D1%82%D1%83%D1%80%D1%8B%20%D0%B2%20%D1%80%D0%B0%D0%BC%D0%BA%D0%B0%D1%85%20%D0%BF%D1%80%D0%BE%D0%B5%D0%BA%D1%82%D0%B0%20%D1%82%D0%B5%D1%80%D1%80%D0%B8%D1%82%D0%BE%D1%80%D0%B8%D0%B8%20%D0%B2%20%D0%A1%D0%BE%D0%BA%D0%BE%D0%BB%D1%8C%D0%BD%D0%B8%D0%BA%D0%B0%D1%85%20%D0%97%D0%B4%D0%B0%D0%BD%D0%B8%D0%B5%20%D1%81%D0%BF%D0%BE%D1%80%D1%82%D0%B8%D0%B2%D0%BD%D0%BE%D0%B9%20%D0%B1%D0%B0%D0%B7%D1%8B%3B%20%D0%B7%D0%B4%D0%B0%D0%BD%D0%B8%D0%B5%20%D1%81%D0%BB%D1%83%D0%B6%D0%B1%D1%8B%20%D1%8D%D0%BA%D1%81%D0%BF%D0%BB%D1%83%D0%B0%D1%82%D0%B0%D1%86%D0%B8%D0%B8%20%D0%9C%D0%BE%D1%81%D0%BA%D0%B2%D0%B0%2C%20%D0%9C%D0%B0%D0%BB%D1%8B%D0%B9%20%D0%9E%D0%BB%D0%B5%D0%BD%D0%B8%D0%B9%20%D0%BF%D0%B5%D1%80%D0%B5%D1%83%D0%BB%D0%BE%D0%BA%2C%2023</v>
      </c>
      <c r="J1379" s="50">
        <f>IFERROR(__xludf.DUMMYFUNCTION("""COMPUTED_VALUE"""),0.0)</f>
        <v>0</v>
      </c>
      <c r="K1379" s="58">
        <f>IFERROR(__xludf.DUMMYFUNCTION("""COMPUTED_VALUE"""),45966.0)</f>
        <v>45966</v>
      </c>
      <c r="L1379" s="6">
        <v>30.0</v>
      </c>
      <c r="M1379" s="52">
        <v>45996.0</v>
      </c>
      <c r="N1379" s="53" t="s">
        <v>711</v>
      </c>
      <c r="O1379" s="19" t="s">
        <v>1392</v>
      </c>
      <c r="P1379" s="6"/>
      <c r="Q1379" s="6" t="str">
        <f t="shared" si="1"/>
        <v>#N/A</v>
      </c>
      <c r="R1379" s="6"/>
    </row>
    <row r="1380" hidden="1">
      <c r="A1380" s="31" t="str">
        <f>IFERROR(__xludf.DUMMYFUNCTION("""COMPUTED_VALUE"""),"1281")</f>
        <v>1281</v>
      </c>
      <c r="B1380" s="14" t="str">
        <f>IFERROR(__xludf.DUMMYFUNCTION("""COMPUTED_VALUE"""),"ВНЕ СПИСКА")</f>
        <v>ВНЕ СПИСКА</v>
      </c>
      <c r="C1380" s="14" t="str">
        <f>IFERROR(__xludf.DUMMYFUNCTION("""COMPUTED_VALUE"""),"ОКС")</f>
        <v>ОКС</v>
      </c>
      <c r="D1380" s="6" t="str">
        <f>IFERROR(__xludf.DUMMYFUNCTION("""COMPUTED_VALUE"""),"да")</f>
        <v>да</v>
      </c>
      <c r="E1380" s="14" t="str">
        <f>IFERROR(__xludf.DUMMYFUNCTION("""COMPUTED_VALUE"""),"Инновационный научно-технологический центр МГУ «Воробьевы горы», кластеры «Космос», «Инфотех», «Инжиниринг», «Геотех», «Нанотех», «Биомед» Москва, Раменский бульвар")</f>
        <v>Инновационный научно-технологический центр МГУ «Воробьевы горы», кластеры «Космос», «Инфотех», «Инжиниринг», «Геотех», «Нанотех», «Биомед» Москва, Раменский бульвар</v>
      </c>
      <c r="F1380" s="25" t="str">
        <f>IFERROR(__xludf.DUMMYFUNCTION("""COMPUTED_VALUE"""),"#N/A")</f>
        <v>#N/A</v>
      </c>
      <c r="G1380" s="6" t="str">
        <f>IFERROR(__xludf.DUMMYFUNCTION("""COMPUTED_VALUE"""),"#N/A")</f>
        <v>#N/A</v>
      </c>
      <c r="H1380" s="18" t="str">
        <f>IFERROR(__xludf.DUMMYFUNCTION("""COMPUTED_VALUE"""),"https://docs.google.com/spreadsheets/d/1EI7qusa674eJhuaw-nWWtWMEHVSYMQv7HLsInEZTWpE/edit?gid=1740138408#gid=1740138408")</f>
        <v>https://docs.google.com/spreadsheets/d/1EI7qusa674eJhuaw-nWWtWMEHVSYMQv7HLsInEZTWpE/edit?gid=1740138408#gid=1740138408</v>
      </c>
      <c r="I1380" s="21" t="str">
        <f>IFERROR(__xludf.DUMMYFUNCTION("""COMPUTED_VALUE"""),"https://disk.yandex.ru/client/disk/%D0%9E%D1%81%D0%BC%D0%BE%D1%82%D1%80%D1%8B%20%D0%BE%D0%B1%D1%8A%D0%B5%D0%BA%D1%82%D0%BE%D0%B2%20%D0%90%D0%9D%D0%9E%20%D0%A1%D0%9C%D0%93/1281.%20%D0%98%D0%9D%D0%A2%D0%A6%20%D0%9C%D0%93%D0%A3%20%D0%92%D0%BE%D1%80%D0%BE%D0%"&amp;"B1%D1%8C%D0%B5%D0%B2%D1%8B%20%D0%B3%D0%BE%D1%80%D1%8B%20(%D0%BA%D0%BE%D1%81%D0%BC%D0%BE%D1%81%2C%20%D0%B8%D0%BD%D1%84%D0%BE%D1%82%D0%B5%D1%85%2C%20%D0%B8%D0%BD%D0%B6%D0%B8%D0%BD%D0%B8%D1%80%D0%B8%D0%BD%D0%B3%2C%20%D0%B3%D0%B5%D0%BE%D1%82%D0%B5%D1%85%2C%20"&amp;"%D0%BD%D0%B0%D0%BD%D0%BE%D1%82%D0%B5%D1%85%2C%20%D0%B1%D0%B8%D0%BE%D0%BC%D0%B5%D0%B4)")</f>
        <v>https://disk.yandex.ru/client/disk/%D0%9E%D1%81%D0%BC%D0%BE%D1%82%D1%80%D1%8B%20%D0%BE%D0%B1%D1%8A%D0%B5%D0%BA%D1%82%D0%BE%D0%B2%20%D0%90%D0%9D%D0%9E%20%D0%A1%D0%9C%D0%93/1281.%20%D0%98%D0%9D%D0%A2%D0%A6%20%D0%9C%D0%93%D0%A3%20%D0%92%D0%BE%D1%80%D0%BE%D0%B1%D1%8C%D0%B5%D0%B2%D1%8B%20%D0%B3%D0%BE%D1%80%D1%8B%20(%D0%BA%D0%BE%D1%81%D0%BC%D0%BE%D1%81%2C%20%D0%B8%D0%BD%D1%84%D0%BE%D1%82%D0%B5%D1%85%2C%20%D0%B8%D0%BD%D0%B6%D0%B8%D0%BD%D0%B8%D1%80%D0%B8%D0%BD%D0%B3%2C%20%D0%B3%D0%B5%D0%BE%D1%82%D0%B5%D1%85%2C%20%D0%BD%D0%B0%D0%BD%D0%BE%D1%82%D0%B5%D1%85%2C%20%D0%B1%D0%B8%D0%BE%D0%BC%D0%B5%D0%B4)</v>
      </c>
      <c r="J1380" s="50">
        <f>IFERROR(__xludf.DUMMYFUNCTION("""COMPUTED_VALUE"""),0.0)</f>
        <v>0</v>
      </c>
      <c r="K1380" s="58">
        <f>IFERROR(__xludf.DUMMYFUNCTION("""COMPUTED_VALUE"""),45882.0)</f>
        <v>45882</v>
      </c>
      <c r="L1380" s="6">
        <v>30.0</v>
      </c>
      <c r="M1380" s="52">
        <v>45912.0</v>
      </c>
      <c r="N1380" s="53" t="s">
        <v>668</v>
      </c>
      <c r="O1380" s="19"/>
      <c r="P1380" s="6"/>
      <c r="Q1380" s="6" t="str">
        <f t="shared" si="1"/>
        <v>#N/A</v>
      </c>
      <c r="R1380" s="6"/>
    </row>
    <row r="1381" hidden="1">
      <c r="A1381" s="31" t="str">
        <f>IFERROR(__xludf.DUMMYFUNCTION("""COMPUTED_VALUE"""),"НД")</f>
        <v>НД</v>
      </c>
      <c r="B1381" s="14" t="str">
        <f>IFERROR(__xludf.DUMMYFUNCTION("""COMPUTED_VALUE"""),"ВНЕ СПИСКА")</f>
        <v>ВНЕ СПИСКА</v>
      </c>
      <c r="C1381" s="14" t="str">
        <f>IFERROR(__xludf.DUMMYFUNCTION("""COMPUTED_VALUE"""),"ОКС")</f>
        <v>ОКС</v>
      </c>
      <c r="D1381" s="6"/>
      <c r="E1381" s="14" t="str">
        <f>IFERROR(__xludf.DUMMYFUNCTION("""COMPUTED_VALUE"""),"Соинвестирование проектирования и строительства 47,5% общей площади корпусов территории застройки района Левобережный, мкр. 1,2, подлежащих реализации. ул. Фестивальная, влд. 15, район Левобережный")</f>
        <v>Соинвестирование проектирования и строительства 47,5% общей площади корпусов территории застройки района Левобережный, мкр. 1,2, подлежащих реализации. ул. Фестивальная, влд. 15, район Левобережный</v>
      </c>
      <c r="F1381" s="25" t="str">
        <f>IFERROR(__xludf.DUMMYFUNCTION("""COMPUTED_VALUE"""),"#N/A")</f>
        <v>#N/A</v>
      </c>
      <c r="G1381" s="6" t="str">
        <f>IFERROR(__xludf.DUMMYFUNCTION("""COMPUTED_VALUE"""),"#N/A")</f>
        <v>#N/A</v>
      </c>
      <c r="H1381" s="6"/>
      <c r="I1381" s="19"/>
      <c r="J1381" s="50"/>
      <c r="K1381" s="58"/>
      <c r="L1381" s="6">
        <v>30.0</v>
      </c>
      <c r="M1381" s="52" t="s">
        <v>655</v>
      </c>
      <c r="N1381" s="53" t="s">
        <v>698</v>
      </c>
      <c r="O1381" s="19" t="s">
        <v>1393</v>
      </c>
      <c r="P1381" s="6"/>
      <c r="Q1381" s="6" t="str">
        <f t="shared" si="1"/>
        <v>#N/A</v>
      </c>
      <c r="R1381" s="6"/>
    </row>
    <row r="1382" hidden="1">
      <c r="A1382" s="31" t="str">
        <f>IFERROR(__xludf.DUMMYFUNCTION("""COMPUTED_VALUE"""),"НД")</f>
        <v>НД</v>
      </c>
      <c r="B1382" s="14" t="str">
        <f>IFERROR(__xludf.DUMMYFUNCTION("""COMPUTED_VALUE"""),"ВНЕ СПИСКА")</f>
        <v>ВНЕ СПИСКА</v>
      </c>
      <c r="C1382" s="14" t="str">
        <f>IFERROR(__xludf.DUMMYFUNCTION("""COMPUTED_VALUE"""),"ОКС")</f>
        <v>ОКС</v>
      </c>
      <c r="D1382" s="6"/>
      <c r="E1382" s="14" t="str">
        <f>IFERROR(__xludf.DUMMYFUNCTION("""COMPUTED_VALUE"""),"Административное здание, по адресу: 2-я ул. Измайловского зверинца, вл. 3а, район Измайлово  2-я ул. Измайловского зверинца, вл.3а")</f>
        <v>Административное здание, по адресу: 2-я ул. Измайловского зверинца, вл. 3а, район Измайлово  2-я ул. Измайловского зверинца, вл.3а</v>
      </c>
      <c r="F1382" s="25" t="str">
        <f>IFERROR(__xludf.DUMMYFUNCTION("""COMPUTED_VALUE"""),"#N/A")</f>
        <v>#N/A</v>
      </c>
      <c r="G1382" s="6" t="str">
        <f>IFERROR(__xludf.DUMMYFUNCTION("""COMPUTED_VALUE"""),"#N/A")</f>
        <v>#N/A</v>
      </c>
      <c r="H1382" s="6"/>
      <c r="I1382" s="19"/>
      <c r="J1382" s="50"/>
      <c r="K1382" s="58"/>
      <c r="L1382" s="6">
        <v>30.0</v>
      </c>
      <c r="M1382" s="52" t="s">
        <v>655</v>
      </c>
      <c r="N1382" s="53" t="s">
        <v>698</v>
      </c>
      <c r="O1382" s="19" t="s">
        <v>1394</v>
      </c>
      <c r="P1382" s="6"/>
      <c r="Q1382" s="6" t="str">
        <f t="shared" si="1"/>
        <v>#N/A</v>
      </c>
      <c r="R1382" s="6"/>
    </row>
    <row r="1383" hidden="1">
      <c r="A1383" s="31" t="str">
        <f>IFERROR(__xludf.DUMMYFUNCTION("""COMPUTED_VALUE"""),"464д (этап 1)")</f>
        <v>464д (этап 1)</v>
      </c>
      <c r="B1383" s="14" t="str">
        <f>IFERROR(__xludf.DUMMYFUNCTION("""COMPUTED_VALUE"""),"ВНЕ СПИСКА")</f>
        <v>ВНЕ СПИСКА</v>
      </c>
      <c r="C1383" s="14" t="str">
        <f>IFERROR(__xludf.DUMMYFUNCTION("""COMPUTED_VALUE"""),"УДС")</f>
        <v>УДС</v>
      </c>
      <c r="D1383" s="6"/>
      <c r="E1383" s="14" t="str">
        <f>IFERROR(__xludf.DUMMYFUNCTION("""COMPUTED_VALUE"""),"Набержная вдоль ЖК ""City Bay"" ГК ""MR group"" ")</f>
        <v>Набержная вдоль ЖК "City Bay" ГК "MR group" </v>
      </c>
      <c r="F1383" s="25" t="str">
        <f>IFERROR(__xludf.DUMMYFUNCTION("""COMPUTED_VALUE"""),"#N/A")</f>
        <v>#N/A</v>
      </c>
      <c r="G1383" s="6" t="str">
        <f>IFERROR(__xludf.DUMMYFUNCTION("""COMPUTED_VALUE"""),"#N/A")</f>
        <v>#N/A</v>
      </c>
      <c r="H1383" s="6"/>
      <c r="I1383" s="19"/>
      <c r="J1383" s="50">
        <f>IFERROR(__xludf.DUMMYFUNCTION("""COMPUTED_VALUE"""),93.44)</f>
        <v>93.44</v>
      </c>
      <c r="K1383" s="58">
        <f>IFERROR(__xludf.DUMMYFUNCTION("""COMPUTED_VALUE"""),45966.0)</f>
        <v>45966</v>
      </c>
      <c r="L1383" s="6">
        <v>14.0</v>
      </c>
      <c r="M1383" s="52">
        <v>45980.0</v>
      </c>
      <c r="N1383" s="53" t="s">
        <v>741</v>
      </c>
      <c r="O1383" s="19" t="s">
        <v>1395</v>
      </c>
      <c r="P1383" s="6"/>
      <c r="Q1383" s="6" t="str">
        <f t="shared" si="1"/>
        <v>#N/A</v>
      </c>
      <c r="R1383" s="6"/>
    </row>
    <row r="1384" hidden="1">
      <c r="A1384" s="31" t="str">
        <f>IFERROR(__xludf.DUMMYFUNCTION("""COMPUTED_VALUE"""),"464д (этап 2)")</f>
        <v>464д (этап 2)</v>
      </c>
      <c r="B1384" s="14" t="str">
        <f>IFERROR(__xludf.DUMMYFUNCTION("""COMPUTED_VALUE"""),"ВНЕ СПИСКА")</f>
        <v>ВНЕ СПИСКА</v>
      </c>
      <c r="C1384" s="14" t="str">
        <f>IFERROR(__xludf.DUMMYFUNCTION("""COMPUTED_VALUE"""),"УДС")</f>
        <v>УДС</v>
      </c>
      <c r="D1384" s="6"/>
      <c r="E1384" s="14" t="str">
        <f>IFERROR(__xludf.DUMMYFUNCTION("""COMPUTED_VALUE"""),"Набержная вдоль ЖК ""City Bay"" ГК ""MR group"" ")</f>
        <v>Набержная вдоль ЖК "City Bay" ГК "MR group" </v>
      </c>
      <c r="F1384" s="25" t="str">
        <f>IFERROR(__xludf.DUMMYFUNCTION("""COMPUTED_VALUE"""),"#N/A")</f>
        <v>#N/A</v>
      </c>
      <c r="G1384" s="6" t="str">
        <f>IFERROR(__xludf.DUMMYFUNCTION("""COMPUTED_VALUE"""),"#N/A")</f>
        <v>#N/A</v>
      </c>
      <c r="H1384" s="6"/>
      <c r="I1384" s="6"/>
      <c r="J1384" s="50">
        <f>IFERROR(__xludf.DUMMYFUNCTION("""COMPUTED_VALUE"""),48.1315)</f>
        <v>48.1315</v>
      </c>
      <c r="K1384" s="58">
        <f>IFERROR(__xludf.DUMMYFUNCTION("""COMPUTED_VALUE"""),45966.0)</f>
        <v>45966</v>
      </c>
      <c r="L1384" s="6">
        <v>30.0</v>
      </c>
      <c r="M1384" s="52">
        <v>45996.0</v>
      </c>
      <c r="N1384" s="53" t="s">
        <v>711</v>
      </c>
      <c r="O1384" s="6" t="s">
        <v>1395</v>
      </c>
      <c r="P1384" s="6"/>
      <c r="Q1384" s="6" t="str">
        <f t="shared" si="1"/>
        <v>#N/A</v>
      </c>
      <c r="R1384" s="6"/>
    </row>
    <row r="1385" hidden="1">
      <c r="A1385" s="31" t="str">
        <f>IFERROR(__xludf.DUMMYFUNCTION("""COMPUTED_VALUE"""),"463 (пока чек не делали)")</f>
        <v>463 (пока чек не делали)</v>
      </c>
      <c r="B1385" s="14"/>
      <c r="C1385" s="14" t="str">
        <f>IFERROR(__xludf.DUMMYFUNCTION("""COMPUTED_VALUE"""),"УДС")</f>
        <v>УДС</v>
      </c>
      <c r="D1385" s="6" t="str">
        <f>IFERROR(__xludf.DUMMYFUNCTION("""COMPUTED_VALUE"""),"да")</f>
        <v>да</v>
      </c>
      <c r="E1385" s="14" t="str">
        <f>IFERROR(__xludf.DUMMYFUNCTION("""COMPUTED_VALUE"""),"Мероприятия по  развитию  территории   набережной Москвы-реки от желзнодорожного моста Курского направления Московоской  железной дороги до Братеевского каскадного парка ")</f>
        <v>Мероприятия по  развитию  территории   набережной Москвы-реки от желзнодорожного моста Курского направления Московоской  железной дороги до Братеевского каскадного парка </v>
      </c>
      <c r="F1385" s="25" t="str">
        <f>IFERROR(__xludf.DUMMYFUNCTION("""COMPUTED_VALUE"""),"#N/A")</f>
        <v>#N/A</v>
      </c>
      <c r="G1385" s="6" t="str">
        <f>IFERROR(__xludf.DUMMYFUNCTION("""COMPUTED_VALUE"""),"#N/A")</f>
        <v>#N/A</v>
      </c>
      <c r="H1385" s="6"/>
      <c r="I1385" s="6"/>
      <c r="J1385" s="50"/>
      <c r="K1385" s="58"/>
      <c r="L1385" s="6">
        <v>30.0</v>
      </c>
      <c r="M1385" s="52" t="s">
        <v>655</v>
      </c>
      <c r="N1385" s="53" t="s">
        <v>698</v>
      </c>
      <c r="O1385" s="6"/>
      <c r="P1385" s="6"/>
      <c r="Q1385" s="6" t="str">
        <f t="shared" si="1"/>
        <v>#N/A</v>
      </c>
      <c r="R1385" s="6"/>
    </row>
    <row r="1386" hidden="1">
      <c r="A1386" s="31" t="str">
        <f>IFERROR(__xludf.DUMMYFUNCTION("""COMPUTED_VALUE"""),"1284")</f>
        <v>1284</v>
      </c>
      <c r="B1386" s="14" t="str">
        <f>IFERROR(__xludf.DUMMYFUNCTION("""COMPUTED_VALUE"""),"ВНЕ СПИСКА")</f>
        <v>ВНЕ СПИСКА</v>
      </c>
      <c r="C1386" s="14" t="str">
        <f>IFERROR(__xludf.DUMMYFUNCTION("""COMPUTED_VALUE"""),"ОКС")</f>
        <v>ОКС</v>
      </c>
      <c r="D1386" s="6" t="str">
        <f>IFERROR(__xludf.DUMMYFUNCTION("""COMPUTED_VALUE"""),"да")</f>
        <v>да</v>
      </c>
      <c r="E1386" s="14" t="str">
        <f>IFERROR(__xludf.DUMMYFUNCTION("""COMPUTED_VALUE"""),"Открытие завода крупномодульного домостроения ООО «Комбинат Инновационных Технологий – МонАрх» («Технополис модульного домостроения (завод по производству крупногабаритных модулей (квартир)» Этап 4. Строительство завода крупномодульного домостроения, скла"&amp;"да готовой продукции, бетоносмесительного узла, лаборатории) район Марушкинское, ОНО «ОПХ «Толстопальцево», к.н. 50:26:0170908:16")</f>
        <v>Открытие завода крупномодульного домостроения ООО «Комбинат Инновационных Технологий – МонАрх» («Технополис модульного домостроения (завод по производству крупногабаритных модулей (квартир)» Этап 4. Строительство завода крупномодульного домостроения, склада готовой продукции, бетоносмесительного узла, лаборатории) район Марушкинское, ОНО «ОПХ «Толстопальцево», к.н. 50:26:0170908:16</v>
      </c>
      <c r="F1386" s="25" t="str">
        <f>IFERROR(__xludf.DUMMYFUNCTION("""COMPUTED_VALUE"""),"#N/A")</f>
        <v>#N/A</v>
      </c>
      <c r="G1386" s="6" t="str">
        <f>IFERROR(__xludf.DUMMYFUNCTION("""COMPUTED_VALUE"""),"#N/A")</f>
        <v>#N/A</v>
      </c>
      <c r="H1386" s="18" t="str">
        <f>IFERROR(__xludf.DUMMYFUNCTION("""COMPUTED_VALUE"""),"https://docs.google.com/spreadsheets/d/1EI7qusa674eJhuaw-nWWtWMEHVSYMQv7HLsInEZTWpE/edit?gid=481612285#gid=481612285")</f>
        <v>https://docs.google.com/spreadsheets/d/1EI7qusa674eJhuaw-nWWtWMEHVSYMQv7HLsInEZTWpE/edit?gid=481612285#gid=481612285</v>
      </c>
      <c r="I1386" s="6"/>
      <c r="J1386" s="50">
        <f>IFERROR(__xludf.DUMMYFUNCTION("""COMPUTED_VALUE"""),99.78521500000001)</f>
        <v>99.785215</v>
      </c>
      <c r="K1386" s="58">
        <f>IFERROR(__xludf.DUMMYFUNCTION("""COMPUTED_VALUE"""),45936.0)</f>
        <v>45936</v>
      </c>
      <c r="L1386" s="6">
        <v>7.0</v>
      </c>
      <c r="M1386" s="52">
        <v>45943.0</v>
      </c>
      <c r="N1386" s="53" t="s">
        <v>668</v>
      </c>
      <c r="O1386" s="6" t="s">
        <v>1396</v>
      </c>
      <c r="P1386" s="6"/>
      <c r="Q1386" s="6" t="str">
        <f t="shared" si="1"/>
        <v>#N/A</v>
      </c>
      <c r="R1386" s="6"/>
    </row>
    <row r="1387" hidden="1">
      <c r="A1387" s="31" t="str">
        <f>IFERROR(__xludf.DUMMYFUNCTION("""COMPUTED_VALUE"""),"1285")</f>
        <v>1285</v>
      </c>
      <c r="B1387" s="14" t="str">
        <f>IFERROR(__xludf.DUMMYFUNCTION("""COMPUTED_VALUE"""),"ВНЕ СПИСКА")</f>
        <v>ВНЕ СПИСКА</v>
      </c>
      <c r="C1387" s="14" t="str">
        <f>IFERROR(__xludf.DUMMYFUNCTION("""COMPUTED_VALUE"""),"ОКС")</f>
        <v>ОКС</v>
      </c>
      <c r="D1387" s="6"/>
      <c r="E1387" s="14" t="str">
        <f>IFERROR(__xludf.DUMMYFUNCTION("""COMPUTED_VALUE"""),"Ремонтно-восстановительные работы по восстановлению прочностных и эксплуатационных характеристик стилобатной части с балюстрадой комплекса Храма Христа Спасителя по адресу: ул. Волхонка, д.15 (1) ВОЛХОНКА УЛ., Д.15")</f>
        <v>Ремонтно-восстановительные работы по восстановлению прочностных и эксплуатационных характеристик стилобатной части с балюстрадой комплекса Храма Христа Спасителя по адресу: ул. Волхонка, д.15 (1) ВОЛХОНКА УЛ., Д.15</v>
      </c>
      <c r="F1387" s="25" t="str">
        <f>IFERROR(__xludf.DUMMYFUNCTION("""COMPUTED_VALUE"""),"55.744585")</f>
        <v>55.744585</v>
      </c>
      <c r="G1387" s="6" t="str">
        <f>IFERROR(__xludf.DUMMYFUNCTION("""COMPUTED_VALUE"""),"37.604712")</f>
        <v>37.604712</v>
      </c>
      <c r="H1387" s="18" t="str">
        <f>IFERROR(__xludf.DUMMYFUNCTION("""COMPUTED_VALUE"""),"https://docs.google.com/spreadsheets/d/1EI7qusa674eJhuaw-nWWtWMEHVSYMQv7HLsInEZTWpE/edit?gid=1944955293#gid=1944955293")</f>
        <v>https://docs.google.com/spreadsheets/d/1EI7qusa674eJhuaw-nWWtWMEHVSYMQv7HLsInEZTWpE/edit?gid=1944955293#gid=1944955293</v>
      </c>
      <c r="I1387" s="21" t="str">
        <f>IFERROR(__xludf.DUMMYFUNCTION("""COMPUTED_VALUE"""),"https://disk.yandex.ru/d/BmVvbN_-KVryzA")</f>
        <v>https://disk.yandex.ru/d/BmVvbN_-KVryzA</v>
      </c>
      <c r="J1387" s="50">
        <f>IFERROR(__xludf.DUMMYFUNCTION("""COMPUTED_VALUE"""),99.475)</f>
        <v>99.475</v>
      </c>
      <c r="K1387" s="58">
        <f>IFERROR(__xludf.DUMMYFUNCTION("""COMPUTED_VALUE"""),45972.0)</f>
        <v>45972</v>
      </c>
      <c r="L1387" s="6">
        <v>7.0</v>
      </c>
      <c r="M1387" s="52">
        <v>45979.0</v>
      </c>
      <c r="N1387" s="53" t="s">
        <v>692</v>
      </c>
      <c r="O1387" s="19" t="s">
        <v>1397</v>
      </c>
      <c r="P1387" s="6"/>
      <c r="Q1387" s="6" t="str">
        <f t="shared" si="1"/>
        <v>#N/A</v>
      </c>
      <c r="R1387" s="6"/>
    </row>
    <row r="1388" hidden="1">
      <c r="A1388" s="31" t="str">
        <f>IFERROR(__xludf.DUMMYFUNCTION("""COMPUTED_VALUE"""),"002")</f>
        <v>002</v>
      </c>
      <c r="B1388" s="14" t="str">
        <f>IFERROR(__xludf.DUMMYFUNCTION("""COMPUTED_VALUE"""),"ДРНТ")</f>
        <v>ДРНТ</v>
      </c>
      <c r="C1388" s="14" t="str">
        <f>IFERROR(__xludf.DUMMYFUNCTION("""COMPUTED_VALUE"""),"ОКС")</f>
        <v>ОКС</v>
      </c>
      <c r="D1388" s="6"/>
      <c r="E1388" s="14" t="str">
        <f>IFERROR(__xludf.DUMMYFUNCTION("""COMPUTED_VALUE"""),"Выполнение подрядных работ по завершению строительства на объекте: «Пожарное депо на 4 машиноместа, пос. Рязановское» пос. Рязановсккое")</f>
        <v>Выполнение подрядных работ по завершению строительства на объекте: «Пожарное депо на 4 машиноместа, пос. Рязановское» пос. Рязановсккое</v>
      </c>
      <c r="F1388" s="25" t="str">
        <f>IFERROR(__xludf.DUMMYFUNCTION("""COMPUTED_VALUE"""),"#N/A")</f>
        <v>#N/A</v>
      </c>
      <c r="G1388" s="6" t="str">
        <f>IFERROR(__xludf.DUMMYFUNCTION("""COMPUTED_VALUE"""),"#N/A")</f>
        <v>#N/A</v>
      </c>
      <c r="H1388" s="18" t="str">
        <f>IFERROR(__xludf.DUMMYFUNCTION("""COMPUTED_VALUE"""),"https://docs.google.com/spreadsheets/d/19THEBTE9q0fhN2eApZr6BgenIvLGh0AckaYxHQfHk5w/edit?gid=555355320#gid=555355320")</f>
        <v>https://docs.google.com/spreadsheets/d/19THEBTE9q0fhN2eApZr6BgenIvLGh0AckaYxHQfHk5w/edit?gid=555355320#gid=555355320</v>
      </c>
      <c r="I1388" s="19"/>
      <c r="J1388" s="50">
        <f>IFERROR(__xludf.DUMMYFUNCTION("""COMPUTED_VALUE"""),99.97749999999999)</f>
        <v>99.9775</v>
      </c>
      <c r="K1388" s="58">
        <f>IFERROR(__xludf.DUMMYFUNCTION("""COMPUTED_VALUE"""),45923.0)</f>
        <v>45923</v>
      </c>
      <c r="L1388" s="6">
        <v>7.0</v>
      </c>
      <c r="M1388" s="52">
        <v>45930.0</v>
      </c>
      <c r="N1388" s="53" t="s">
        <v>652</v>
      </c>
      <c r="O1388" s="19" t="s">
        <v>1398</v>
      </c>
      <c r="P1388" s="6"/>
      <c r="Q1388" s="6" t="str">
        <f t="shared" si="1"/>
        <v>#N/A</v>
      </c>
      <c r="R1388" s="6"/>
    </row>
    <row r="1389" hidden="1">
      <c r="A1389" s="31" t="str">
        <f>IFERROR(__xludf.DUMMYFUNCTION("""COMPUTED_VALUE"""),"1280")</f>
        <v>1280</v>
      </c>
      <c r="B1389" s="14" t="str">
        <f>IFERROR(__xludf.DUMMYFUNCTION("""COMPUTED_VALUE"""),"ВНЕ СПИСКА")</f>
        <v>ВНЕ СПИСКА</v>
      </c>
      <c r="C1389" s="14" t="str">
        <f>IFERROR(__xludf.DUMMYFUNCTION("""COMPUTED_VALUE"""),"ОКС")</f>
        <v>ОКС</v>
      </c>
      <c r="D1389" s="6" t="str">
        <f>IFERROR(__xludf.DUMMYFUNCTION("""COMPUTED_VALUE"""),"да")</f>
        <v>да</v>
      </c>
      <c r="E1389" s="14" t="str">
        <f>IFERROR(__xludf.DUMMYFUNCTION("""COMPUTED_VALUE"""),"Круглогодичный водный комплекс отдыха и развлечений (ГК Регионы). Бассейновый комплекс с инфраструктурой, СПА комплекс, банные дома, футбольная Академия ")</f>
        <v>Круглогодичный водный комплекс отдыха и развлечений (ГК Регионы). Бассейновый комплекс с инфраструктурой, СПА комплекс, банные дома, футбольная Академия </v>
      </c>
      <c r="F1389" s="25" t="str">
        <f>IFERROR(__xludf.DUMMYFUNCTION("""COMPUTED_VALUE"""),"55.748698")</f>
        <v>55.748698</v>
      </c>
      <c r="G1389" s="6" t="str">
        <f>IFERROR(__xludf.DUMMYFUNCTION("""COMPUTED_VALUE"""),"37.472151")</f>
        <v>37.472151</v>
      </c>
      <c r="H1389" s="18" t="str">
        <f>IFERROR(__xludf.DUMMYFUNCTION("""COMPUTED_VALUE"""),"https://docs.google.com/spreadsheets/d/1EI7qusa674eJhuaw-nWWtWMEHVSYMQv7HLsInEZTWpE/edit?gid=1395505896#gid=1395505896")</f>
        <v>https://docs.google.com/spreadsheets/d/1EI7qusa674eJhuaw-nWWtWMEHVSYMQv7HLsInEZTWpE/edit?gid=1395505896#gid=1395505896</v>
      </c>
      <c r="I1389" s="19"/>
      <c r="J1389" s="50"/>
      <c r="K1389" s="58">
        <f>IFERROR(__xludf.DUMMYFUNCTION("""COMPUTED_VALUE"""),45937.0)</f>
        <v>45937</v>
      </c>
      <c r="L1389" s="6">
        <v>30.0</v>
      </c>
      <c r="M1389" s="52">
        <v>45967.0</v>
      </c>
      <c r="N1389" s="53" t="s">
        <v>668</v>
      </c>
      <c r="O1389" s="19" t="s">
        <v>1399</v>
      </c>
      <c r="P1389" s="6"/>
      <c r="Q1389" s="6" t="str">
        <f t="shared" si="1"/>
        <v>#N/A</v>
      </c>
      <c r="R1389" s="6"/>
    </row>
    <row r="1390" hidden="1">
      <c r="A1390" s="31" t="str">
        <f>IFERROR(__xludf.DUMMYFUNCTION("""COMPUTED_VALUE"""),"1202")</f>
        <v>1202</v>
      </c>
      <c r="B1390" s="14" t="str">
        <f>IFERROR(__xludf.DUMMYFUNCTION("""COMPUTED_VALUE"""),"ВНЕ СПИСКА")</f>
        <v>ВНЕ СПИСКА</v>
      </c>
      <c r="C1390" s="14" t="str">
        <f>IFERROR(__xludf.DUMMYFUNCTION("""COMPUTED_VALUE"""),"ОКС")</f>
        <v>ОКС</v>
      </c>
      <c r="D1390" s="6" t="str">
        <f>IFERROR(__xludf.DUMMYFUNCTION("""COMPUTED_VALUE"""),"да")</f>
        <v>да</v>
      </c>
      <c r="E1390" s="14" t="str">
        <f>IFERROR(__xludf.DUMMYFUNCTION("""COMPUTED_VALUE"""),"Развитие футбольной инфраструктуры ФК ""Спартак Москва"" в Покровско-Стрешнево
Дворец спорта, Стадион
р-н Покровское-Стрешнево ")</f>
        <v>Развитие футбольной инфраструктуры ФК "Спартак Москва" в Покровско-Стрешнево
Дворец спорта, Стадион
р-н Покровское-Стрешнево </v>
      </c>
      <c r="F1390" s="25" t="str">
        <f>IFERROR(__xludf.DUMMYFUNCTION("""COMPUTED_VALUE"""),"55.815362")</f>
        <v>55.815362</v>
      </c>
      <c r="G1390" s="6" t="str">
        <f>IFERROR(__xludf.DUMMYFUNCTION("""COMPUTED_VALUE"""),"37.441073")</f>
        <v>37.441073</v>
      </c>
      <c r="H1390" s="6"/>
      <c r="I1390" s="19"/>
      <c r="J1390" s="50">
        <f>IFERROR(__xludf.DUMMYFUNCTION("""COMPUTED_VALUE"""),0.0)</f>
        <v>0</v>
      </c>
      <c r="K1390" s="58">
        <f>IFERROR(__xludf.DUMMYFUNCTION("""COMPUTED_VALUE"""),45966.0)</f>
        <v>45966</v>
      </c>
      <c r="L1390" s="6">
        <v>30.0</v>
      </c>
      <c r="M1390" s="52">
        <v>45996.0</v>
      </c>
      <c r="N1390" s="53" t="s">
        <v>711</v>
      </c>
      <c r="O1390" s="19" t="s">
        <v>1400</v>
      </c>
      <c r="P1390" s="6"/>
      <c r="Q1390" s="6" t="str">
        <f t="shared" si="1"/>
        <v>#N/A</v>
      </c>
      <c r="R1390" s="6"/>
    </row>
    <row r="1391" hidden="1">
      <c r="A1391" s="31" t="str">
        <f>IFERROR(__xludf.DUMMYFUNCTION("""COMPUTED_VALUE"""),"467д")</f>
        <v>467д</v>
      </c>
      <c r="B1391" s="14"/>
      <c r="C1391" s="14" t="str">
        <f>IFERROR(__xludf.DUMMYFUNCTION("""COMPUTED_VALUE"""),"УДС")</f>
        <v>УДС</v>
      </c>
      <c r="D1391" s="6"/>
      <c r="E1391" s="14" t="str">
        <f>IFERROR(__xludf.DUMMYFUNCTION("""COMPUTED_VALUE"""),"Улично-дорожная сеть для транспортного обслуживания территории Южного порта ")</f>
        <v>Улично-дорожная сеть для транспортного обслуживания территории Южного порта </v>
      </c>
      <c r="F1391" s="25" t="str">
        <f>IFERROR(__xludf.DUMMYFUNCTION("""COMPUTED_VALUE"""),"#N/A")</f>
        <v>#N/A</v>
      </c>
      <c r="G1391" s="6" t="str">
        <f>IFERROR(__xludf.DUMMYFUNCTION("""COMPUTED_VALUE"""),"#N/A")</f>
        <v>#N/A</v>
      </c>
      <c r="H1391" s="6"/>
      <c r="I1391" s="19"/>
      <c r="J1391" s="50"/>
      <c r="K1391" s="58"/>
      <c r="L1391" s="6">
        <v>30.0</v>
      </c>
      <c r="M1391" s="52" t="s">
        <v>655</v>
      </c>
      <c r="N1391" s="53" t="s">
        <v>698</v>
      </c>
      <c r="O1391" s="19"/>
      <c r="P1391" s="6"/>
      <c r="Q1391" s="6" t="str">
        <f t="shared" si="1"/>
        <v>#N/A</v>
      </c>
      <c r="R1391" s="6"/>
    </row>
    <row r="1392" hidden="1">
      <c r="A1392" s="31" t="str">
        <f>IFERROR(__xludf.DUMMYFUNCTION("""COMPUTED_VALUE"""),"1295")</f>
        <v>1295</v>
      </c>
      <c r="B1392" s="14" t="str">
        <f>IFERROR(__xludf.DUMMYFUNCTION("""COMPUTED_VALUE"""),"ВНЕ СПИСКА")</f>
        <v>ВНЕ СПИСКА</v>
      </c>
      <c r="C1392" s="14" t="str">
        <f>IFERROR(__xludf.DUMMYFUNCTION("""COMPUTED_VALUE"""),"ОКС")</f>
        <v>ОКС</v>
      </c>
      <c r="D1392" s="6" t="str">
        <f>IFERROR(__xludf.DUMMYFUNCTION("""COMPUTED_VALUE"""),"да")</f>
        <v>да</v>
      </c>
      <c r="E1392" s="14" t="str">
        <f>IFERROR(__xludf.DUMMYFUNCTION("""COMPUTED_VALUE"""),"Монумент ""Метростроителям России"" Сокольническая пл., сквер Московского метро")</f>
        <v>Монумент "Метростроителям России" Сокольническая пл., сквер Московского метро</v>
      </c>
      <c r="F1392" s="25" t="str">
        <f>IFERROR(__xludf.DUMMYFUNCTION("""COMPUTED_VALUE"""),"#N/A")</f>
        <v>#N/A</v>
      </c>
      <c r="G1392" s="6" t="str">
        <f>IFERROR(__xludf.DUMMYFUNCTION("""COMPUTED_VALUE"""),"#N/A")</f>
        <v>#N/A</v>
      </c>
      <c r="H1392" s="18" t="str">
        <f>IFERROR(__xludf.DUMMYFUNCTION("""COMPUTED_VALUE"""),"https://docs.google.com/spreadsheets/d/1EI7qusa674eJhuaw-nWWtWMEHVSYMQv7HLsInEZTWpE/edit?gid=1378814711#gid=1378814711")</f>
        <v>https://docs.google.com/spreadsheets/d/1EI7qusa674eJhuaw-nWWtWMEHVSYMQv7HLsInEZTWpE/edit?gid=1378814711#gid=1378814711</v>
      </c>
      <c r="I1392" s="6"/>
      <c r="J1392" s="50"/>
      <c r="K1392" s="58">
        <f>IFERROR(__xludf.DUMMYFUNCTION("""COMPUTED_VALUE"""),45936.0)</f>
        <v>45936</v>
      </c>
      <c r="L1392" s="6">
        <v>30.0</v>
      </c>
      <c r="M1392" s="52">
        <v>45966.0</v>
      </c>
      <c r="N1392" s="53" t="s">
        <v>668</v>
      </c>
      <c r="O1392" s="6" t="s">
        <v>1401</v>
      </c>
      <c r="P1392" s="6"/>
      <c r="Q1392" s="6" t="str">
        <f t="shared" si="1"/>
        <v>#N/A</v>
      </c>
      <c r="R1392" s="6"/>
    </row>
    <row r="1393" hidden="1">
      <c r="A1393" s="31" t="str">
        <f>IFERROR(__xludf.DUMMYFUNCTION("""COMPUTED_VALUE"""),"1297")</f>
        <v>1297</v>
      </c>
      <c r="B1393" s="14" t="str">
        <f>IFERROR(__xludf.DUMMYFUNCTION("""COMPUTED_VALUE"""),"ВНЕ СПИСКА")</f>
        <v>ВНЕ СПИСКА</v>
      </c>
      <c r="C1393" s="14" t="str">
        <f>IFERROR(__xludf.DUMMYFUNCTION("""COMPUTED_VALUE"""),"ОКС")</f>
        <v>ОКС</v>
      </c>
      <c r="D1393" s="6" t="str">
        <f>IFERROR(__xludf.DUMMYFUNCTION("""COMPUTED_VALUE"""),"да")</f>
        <v>да</v>
      </c>
      <c r="E1393" s="14" t="str">
        <f>IFERROR(__xludf.DUMMYFUNCTION("""COMPUTED_VALUE"""),"Открытие завода префаб-конструкций ООО «Модуль-555», МО, Ленинский г.о., г. Видное, Белокаменное шоссе, вл. 10/2 ")</f>
        <v>Открытие завода префаб-конструкций ООО «Модуль-555», МО, Ленинский г.о., г. Видное, Белокаменное шоссе, вл. 10/2 </v>
      </c>
      <c r="F1393" s="25" t="str">
        <f>IFERROR(__xludf.DUMMYFUNCTION("""COMPUTED_VALUE"""),"#N/A")</f>
        <v>#N/A</v>
      </c>
      <c r="G1393" s="6" t="str">
        <f>IFERROR(__xludf.DUMMYFUNCTION("""COMPUTED_VALUE"""),"#N/A")</f>
        <v>#N/A</v>
      </c>
      <c r="H1393" s="18" t="str">
        <f>IFERROR(__xludf.DUMMYFUNCTION("""COMPUTED_VALUE"""),"https://docs.google.com/spreadsheets/d/1EI7qusa674eJhuaw-nWWtWMEHVSYMQv7HLsInEZTWpE/edit?gid=532300797#gid=532300797")</f>
        <v>https://docs.google.com/spreadsheets/d/1EI7qusa674eJhuaw-nWWtWMEHVSYMQv7HLsInEZTWpE/edit?gid=532300797#gid=532300797</v>
      </c>
      <c r="I1393" s="19"/>
      <c r="J1393" s="50"/>
      <c r="K1393" s="58">
        <f>IFERROR(__xludf.DUMMYFUNCTION("""COMPUTED_VALUE"""),45936.0)</f>
        <v>45936</v>
      </c>
      <c r="L1393" s="6">
        <v>30.0</v>
      </c>
      <c r="M1393" s="52">
        <v>45966.0</v>
      </c>
      <c r="N1393" s="53" t="s">
        <v>668</v>
      </c>
      <c r="O1393" s="19" t="s">
        <v>1402</v>
      </c>
      <c r="P1393" s="6"/>
      <c r="Q1393" s="6" t="str">
        <f t="shared" si="1"/>
        <v>#N/A</v>
      </c>
      <c r="R1393" s="6"/>
    </row>
    <row r="1394" hidden="1">
      <c r="A1394" s="31" t="str">
        <f>IFERROR(__xludf.DUMMYFUNCTION("""COMPUTED_VALUE"""),"1296")</f>
        <v>1296</v>
      </c>
      <c r="B1394" s="14" t="str">
        <f>IFERROR(__xludf.DUMMYFUNCTION("""COMPUTED_VALUE"""),"ВНЕ СПИСКА")</f>
        <v>ВНЕ СПИСКА</v>
      </c>
      <c r="C1394" s="14" t="str">
        <f>IFERROR(__xludf.DUMMYFUNCTION("""COMPUTED_VALUE"""),"ОКС")</f>
        <v>ОКС</v>
      </c>
      <c r="D1394" s="6"/>
      <c r="E1394" s="14" t="str">
        <f>IFERROR(__xludf.DUMMYFUNCTION("""COMPUTED_VALUE"""),"Освобождение территории (снос зданий, строений, сооружений) в целях реализации комплексного развития территории по адресу: Москворечье ул., влд.12  г.Москва, ул. Москворечье, вл.12")</f>
        <v>Освобождение территории (снос зданий, строений, сооружений) в целях реализации комплексного развития территории по адресу: Москворечье ул., влд.12  г.Москва, ул. Москворечье, вл.12</v>
      </c>
      <c r="F1394" s="25" t="str">
        <f>IFERROR(__xludf.DUMMYFUNCTION("""COMPUTED_VALUE"""),"55.643900")</f>
        <v>55.643900</v>
      </c>
      <c r="G1394" s="6" t="str">
        <f>IFERROR(__xludf.DUMMYFUNCTION("""COMPUTED_VALUE"""),"37.664500")</f>
        <v>37.664500</v>
      </c>
      <c r="H1394" s="18" t="str">
        <f>IFERROR(__xludf.DUMMYFUNCTION("""COMPUTED_VALUE"""),"https://docs.google.com/spreadsheets/d/1EI7qusa674eJhuaw-nWWtWMEHVSYMQv7HLsInEZTWpE/edit?gid=259875385#gid=259875385")</f>
        <v>https://docs.google.com/spreadsheets/d/1EI7qusa674eJhuaw-nWWtWMEHVSYMQv7HLsInEZTWpE/edit?gid=259875385#gid=259875385</v>
      </c>
      <c r="I1394" s="21" t="str">
        <f>IFERROR(__xludf.DUMMYFUNCTION("""COMPUTED_VALUE"""),"https://disk.yandex.ru/d/k7Rlj_WUN9ArOQ")</f>
        <v>https://disk.yandex.ru/d/k7Rlj_WUN9ArOQ</v>
      </c>
      <c r="J1394" s="50">
        <f>IFERROR(__xludf.DUMMYFUNCTION("""COMPUTED_VALUE"""),40.0)</f>
        <v>40</v>
      </c>
      <c r="K1394" s="58">
        <f>IFERROR(__xludf.DUMMYFUNCTION("""COMPUTED_VALUE"""),45902.0)</f>
        <v>45902</v>
      </c>
      <c r="L1394" s="6">
        <v>30.0</v>
      </c>
      <c r="M1394" s="52">
        <v>45932.0</v>
      </c>
      <c r="N1394" s="53" t="s">
        <v>668</v>
      </c>
      <c r="O1394" s="19" t="s">
        <v>1403</v>
      </c>
      <c r="P1394" s="6"/>
      <c r="Q1394" s="6" t="str">
        <f t="shared" si="1"/>
        <v>#N/A</v>
      </c>
      <c r="R1394" s="6"/>
    </row>
    <row r="1395" hidden="1">
      <c r="A1395" s="31" t="str">
        <f>IFERROR(__xludf.DUMMYFUNCTION("""COMPUTED_VALUE"""),"1298")</f>
        <v>1298</v>
      </c>
      <c r="B1395" s="14" t="str">
        <f>IFERROR(__xludf.DUMMYFUNCTION("""COMPUTED_VALUE"""),"ВНЕ СПИСКА")</f>
        <v>ВНЕ СПИСКА</v>
      </c>
      <c r="C1395" s="14" t="str">
        <f>IFERROR(__xludf.DUMMYFUNCTION("""COMPUTED_VALUE"""),"ОКС")</f>
        <v>ОКС</v>
      </c>
      <c r="D1395" s="6"/>
      <c r="E1395" s="14" t="str">
        <f>IFERROR(__xludf.DUMMYFUNCTION("""COMPUTED_VALUE"""),"«Освобождение территории (снос зданий, строений и сооружений) в целях комплексного развития территории нежилой застройки города Москвы № 62, расположенной в производственной зоне № 21 «Кирпичные улицы» ул. Кирпичная, д. 43 (учреждение)
ул. Кирпичная, д. 4"&amp;"3, строен. 2 (учреждение)
ул. Кирпичная, д. 43, строен. 3 (учреждение)
ул. Кирпичная, д. 43, строен. 4 (учреждение)
ул. Кирпичная, д. 43, строен. 5 (гараж)
ул. Кирпичная, д. 43, строен. 6 (проходная)
ул. Кирпичная, д. 43, строен. 7 (склад)
ул. Кирпичная, "&amp;"д. 43, строен. 8 (склад)")</f>
        <v>«Освобождение территории (снос зданий, строений и сооружений) в целях комплексного развития территории нежилой застройки города Москвы № 62, расположенной в производственной зоне № 21 «Кирпичные улицы» ул. Кирпичная, д. 43 (учреждение)
ул. Кирпичная, д. 43, строен. 2 (учреждение)
ул. Кирпичная, д. 43, строен. 3 (учреждение)
ул. Кирпичная, д. 43, строен. 4 (учреждение)
ул. Кирпичная, д. 43, строен. 5 (гараж)
ул. Кирпичная, д. 43, строен. 6 (проходная)
ул. Кирпичная, д. 43, строен. 7 (склад)
ул. Кирпичная, д. 43, строен. 8 (склад)</v>
      </c>
      <c r="F1395" s="25" t="str">
        <f>IFERROR(__xludf.DUMMYFUNCTION("""COMPUTED_VALUE"""),"#N/A")</f>
        <v>#N/A</v>
      </c>
      <c r="G1395" s="6" t="str">
        <f>IFERROR(__xludf.DUMMYFUNCTION("""COMPUTED_VALUE"""),"#N/A")</f>
        <v>#N/A</v>
      </c>
      <c r="H1395" s="18" t="str">
        <f>IFERROR(__xludf.DUMMYFUNCTION("""COMPUTED_VALUE"""),"https://docs.google.com/spreadsheets/d/1EI7qusa674eJhuaw-nWWtWMEHVSYMQv7HLsInEZTWpE/edit?gid=1779752983#gid=1779752983")</f>
        <v>https://docs.google.com/spreadsheets/d/1EI7qusa674eJhuaw-nWWtWMEHVSYMQv7HLsInEZTWpE/edit?gid=1779752983#gid=1779752983</v>
      </c>
      <c r="I1395" s="19"/>
      <c r="J1395" s="50">
        <f>IFERROR(__xludf.DUMMYFUNCTION("""COMPUTED_VALUE"""),40.0)</f>
        <v>40</v>
      </c>
      <c r="K1395" s="58">
        <f>IFERROR(__xludf.DUMMYFUNCTION("""COMPUTED_VALUE"""),45902.0)</f>
        <v>45902</v>
      </c>
      <c r="L1395" s="6">
        <v>30.0</v>
      </c>
      <c r="M1395" s="52">
        <v>45932.0</v>
      </c>
      <c r="N1395" s="53" t="s">
        <v>668</v>
      </c>
      <c r="O1395" s="19" t="s">
        <v>1404</v>
      </c>
      <c r="P1395" s="6"/>
      <c r="Q1395" s="6" t="str">
        <f t="shared" si="1"/>
        <v>#N/A</v>
      </c>
      <c r="R1395" s="6"/>
    </row>
    <row r="1396" hidden="1">
      <c r="A1396" s="31" t="str">
        <f>IFERROR(__xludf.DUMMYFUNCTION("""COMPUTED_VALUE"""),"470д")</f>
        <v>470д</v>
      </c>
      <c r="B1396" s="14" t="str">
        <f>IFERROR(__xludf.DUMMYFUNCTION("""COMPUTED_VALUE"""),"ДСТИ")</f>
        <v>ДСТИ</v>
      </c>
      <c r="C1396" s="14" t="str">
        <f>IFERROR(__xludf.DUMMYFUNCTION("""COMPUTED_VALUE"""),"УДС")</f>
        <v>УДС</v>
      </c>
      <c r="D1396" s="6"/>
      <c r="E1396" s="14" t="str">
        <f>IFERROR(__xludf.DUMMYFUNCTION("""COMPUTED_VALUE"""),"Строительство и благоустройство участка набережной Москвы-реки в нагатинской пойме ")</f>
        <v>Строительство и благоустройство участка набережной Москвы-реки в нагатинской пойме </v>
      </c>
      <c r="F1396" s="25" t="str">
        <f>IFERROR(__xludf.DUMMYFUNCTION("""COMPUTED_VALUE"""),"#N/A")</f>
        <v>#N/A</v>
      </c>
      <c r="G1396" s="6" t="str">
        <f>IFERROR(__xludf.DUMMYFUNCTION("""COMPUTED_VALUE"""),"#N/A")</f>
        <v>#N/A</v>
      </c>
      <c r="H1396" s="6"/>
      <c r="I1396" s="19"/>
      <c r="J1396" s="50"/>
      <c r="K1396" s="58"/>
      <c r="L1396" s="6">
        <v>30.0</v>
      </c>
      <c r="M1396" s="52" t="s">
        <v>655</v>
      </c>
      <c r="N1396" s="53" t="s">
        <v>698</v>
      </c>
      <c r="O1396" s="19"/>
      <c r="P1396" s="6"/>
      <c r="Q1396" s="6" t="str">
        <f t="shared" si="1"/>
        <v>#N/A</v>
      </c>
      <c r="R1396" s="6"/>
    </row>
    <row r="1397" hidden="1">
      <c r="A1397" s="31" t="str">
        <f>IFERROR(__xludf.DUMMYFUNCTION("""COMPUTED_VALUE"""),"468д")</f>
        <v>468д</v>
      </c>
      <c r="B1397" s="14" t="str">
        <f>IFERROR(__xludf.DUMMYFUNCTION("""COMPUTED_VALUE"""),"ДСТИ")</f>
        <v>ДСТИ</v>
      </c>
      <c r="C1397" s="14" t="str">
        <f>IFERROR(__xludf.DUMMYFUNCTION("""COMPUTED_VALUE"""),"УДС")</f>
        <v>УДС</v>
      </c>
      <c r="D1397" s="6"/>
      <c r="E1397" s="14" t="str">
        <f>IFERROR(__xludf.DUMMYFUNCTION("""COMPUTED_VALUE"""),"Эстакады-съезда к ЖК «Will Towers» в рамках реконструкции  участка Мосфильмовской улицы с ее продлением от Минской улицы  до Аминьевского шоссе ")</f>
        <v>Эстакады-съезда к ЖК «Will Towers» в рамках реконструкции  участка Мосфильмовской улицы с ее продлением от Минской улицы  до Аминьевского шоссе </v>
      </c>
      <c r="F1397" s="25" t="str">
        <f>IFERROR(__xludf.DUMMYFUNCTION("""COMPUTED_VALUE"""),"#N/A")</f>
        <v>#N/A</v>
      </c>
      <c r="G1397" s="6" t="str">
        <f>IFERROR(__xludf.DUMMYFUNCTION("""COMPUTED_VALUE"""),"#N/A")</f>
        <v>#N/A</v>
      </c>
      <c r="H1397" s="6"/>
      <c r="I1397" s="6"/>
      <c r="J1397" s="50"/>
      <c r="K1397" s="58"/>
      <c r="L1397" s="6">
        <v>30.0</v>
      </c>
      <c r="M1397" s="52" t="s">
        <v>655</v>
      </c>
      <c r="N1397" s="53" t="s">
        <v>698</v>
      </c>
      <c r="O1397" s="6"/>
      <c r="P1397" s="6"/>
      <c r="Q1397" s="6" t="str">
        <f t="shared" si="1"/>
        <v>#N/A</v>
      </c>
      <c r="R1397" s="6"/>
    </row>
    <row r="1398" hidden="1">
      <c r="A1398" s="31" t="str">
        <f>IFERROR(__xludf.DUMMYFUNCTION("""COMPUTED_VALUE"""),"469д")</f>
        <v>469д</v>
      </c>
      <c r="B1398" s="14" t="str">
        <f>IFERROR(__xludf.DUMMYFUNCTION("""COMPUTED_VALUE"""),"ДСТИ")</f>
        <v>ДСТИ</v>
      </c>
      <c r="C1398" s="14" t="str">
        <f>IFERROR(__xludf.DUMMYFUNCTION("""COMPUTED_VALUE"""),"УДС")</f>
        <v>УДС</v>
      </c>
      <c r="D1398" s="6"/>
      <c r="E1398" s="14" t="str">
        <f>IFERROR(__xludf.DUMMYFUNCTION("""COMPUTED_VALUE"""),"Направленный съезд от ЖК «West Garden» на проспект  Генерала Дорохова в сторону МКАД в рамках строительства Южного  дублера Кутузовского проспекта ")</f>
        <v>Направленный съезд от ЖК «West Garden» на проспект  Генерала Дорохова в сторону МКАД в рамках строительства Южного  дублера Кутузовского проспекта </v>
      </c>
      <c r="F1398" s="25" t="str">
        <f>IFERROR(__xludf.DUMMYFUNCTION("""COMPUTED_VALUE"""),"#N/A")</f>
        <v>#N/A</v>
      </c>
      <c r="G1398" s="6" t="str">
        <f>IFERROR(__xludf.DUMMYFUNCTION("""COMPUTED_VALUE"""),"#N/A")</f>
        <v>#N/A</v>
      </c>
      <c r="H1398" s="6"/>
      <c r="I1398" s="6"/>
      <c r="J1398" s="50"/>
      <c r="K1398" s="58"/>
      <c r="L1398" s="6">
        <v>30.0</v>
      </c>
      <c r="M1398" s="52" t="s">
        <v>655</v>
      </c>
      <c r="N1398" s="53" t="s">
        <v>698</v>
      </c>
      <c r="O1398" s="6"/>
      <c r="P1398" s="6"/>
      <c r="Q1398" s="6" t="str">
        <f t="shared" si="1"/>
        <v>#N/A</v>
      </c>
      <c r="R1398" s="6"/>
    </row>
    <row r="1399" hidden="1">
      <c r="A1399" s="31" t="str">
        <f>IFERROR(__xludf.DUMMYFUNCTION("""COMPUTED_VALUE"""),"нд")</f>
        <v>нд</v>
      </c>
      <c r="B1399" s="14"/>
      <c r="C1399" s="14" t="str">
        <f>IFERROR(__xludf.DUMMYFUNCTION("""COMPUTED_VALUE"""),"ОКС")</f>
        <v>ОКС</v>
      </c>
      <c r="D1399" s="6" t="str">
        <f>IFERROR(__xludf.DUMMYFUNCTION("""COMPUTED_VALUE"""),"да")</f>
        <v>да</v>
      </c>
      <c r="E1399" s="14" t="str">
        <f>IFERROR(__xludf.DUMMYFUNCTION("""COMPUTED_VALUE"""),"Строительство спального корпуса с медицинским блоком на территории ФГБУ «Санаторий РОП РФ «Россия» Республика Крым, г. Ялта, ул. Коммунаров, д. 12")</f>
        <v>Строительство спального корпуса с медицинским блоком на территории ФГБУ «Санаторий РОП РФ «Россия» Республика Крым, г. Ялта, ул. Коммунаров, д. 12</v>
      </c>
      <c r="F1399" s="25" t="str">
        <f>IFERROR(__xludf.DUMMYFUNCTION("""COMPUTED_VALUE"""),"#N/A")</f>
        <v>#N/A</v>
      </c>
      <c r="G1399" s="6" t="str">
        <f>IFERROR(__xludf.DUMMYFUNCTION("""COMPUTED_VALUE"""),"#N/A")</f>
        <v>#N/A</v>
      </c>
      <c r="H1399" s="6"/>
      <c r="I1399" s="6"/>
      <c r="J1399" s="50"/>
      <c r="K1399" s="58"/>
      <c r="L1399" s="6">
        <v>30.0</v>
      </c>
      <c r="M1399" s="52" t="s">
        <v>655</v>
      </c>
      <c r="N1399" s="53" t="s">
        <v>698</v>
      </c>
      <c r="O1399" s="6" t="s">
        <v>1405</v>
      </c>
      <c r="P1399" s="6"/>
      <c r="Q1399" s="6" t="str">
        <f t="shared" si="1"/>
        <v>#N/A</v>
      </c>
      <c r="R1399" s="6"/>
    </row>
    <row r="1400" hidden="1">
      <c r="A1400" s="31" t="str">
        <f>IFERROR(__xludf.DUMMYFUNCTION("""COMPUTED_VALUE"""),"1302")</f>
        <v>1302</v>
      </c>
      <c r="B1400" s="14" t="str">
        <f>IFERROR(__xludf.DUMMYFUNCTION("""COMPUTED_VALUE"""),"ВНЕ СПИСКА")</f>
        <v>ВНЕ СПИСКА</v>
      </c>
      <c r="C1400" s="14" t="str">
        <f>IFERROR(__xludf.DUMMYFUNCTION("""COMPUTED_VALUE"""),"ОКС")</f>
        <v>ОКС</v>
      </c>
      <c r="D1400" s="6"/>
      <c r="E1400" s="14" t="str">
        <f>IFERROR(__xludf.DUMMYFUNCTION("""COMPUTED_VALUE"""),"Подстанция скорой медицинской помощи р-н Ивановское, ул. Прокатная, влд. 4")</f>
        <v>Подстанция скорой медицинской помощи р-н Ивановское, ул. Прокатная, влд. 4</v>
      </c>
      <c r="F1400" s="25" t="str">
        <f>IFERROR(__xludf.DUMMYFUNCTION("""COMPUTED_VALUE"""),"#N/A")</f>
        <v>#N/A</v>
      </c>
      <c r="G1400" s="6" t="str">
        <f>IFERROR(__xludf.DUMMYFUNCTION("""COMPUTED_VALUE"""),"#N/A")</f>
        <v>#N/A</v>
      </c>
      <c r="H1400" s="18" t="str">
        <f>IFERROR(__xludf.DUMMYFUNCTION("""COMPUTED_VALUE"""),"https://docs.google.com/spreadsheets/d/1EI7qusa674eJhuaw-nWWtWMEHVSYMQv7HLsInEZTWpE/edit?gid=255205459#gid=255205459")</f>
        <v>https://docs.google.com/spreadsheets/d/1EI7qusa674eJhuaw-nWWtWMEHVSYMQv7HLsInEZTWpE/edit?gid=255205459#gid=255205459</v>
      </c>
      <c r="I1400" s="19"/>
      <c r="J1400" s="50">
        <f>IFERROR(__xludf.DUMMYFUNCTION("""COMPUTED_VALUE"""),0.0)</f>
        <v>0</v>
      </c>
      <c r="K1400" s="58">
        <f>IFERROR(__xludf.DUMMYFUNCTION("""COMPUTED_VALUE"""),45912.0)</f>
        <v>45912</v>
      </c>
      <c r="L1400" s="6">
        <v>30.0</v>
      </c>
      <c r="M1400" s="52">
        <v>45942.0</v>
      </c>
      <c r="N1400" s="53" t="s">
        <v>668</v>
      </c>
      <c r="O1400" s="19" t="s">
        <v>1406</v>
      </c>
      <c r="P1400" s="6"/>
      <c r="Q1400" s="6" t="str">
        <f t="shared" si="1"/>
        <v>#N/A</v>
      </c>
      <c r="R1400" s="6"/>
    </row>
    <row r="1401" hidden="1">
      <c r="A1401" s="31" t="str">
        <f>IFERROR(__xludf.DUMMYFUNCTION("""COMPUTED_VALUE"""),"1300")</f>
        <v>1300</v>
      </c>
      <c r="B1401" s="14" t="str">
        <f>IFERROR(__xludf.DUMMYFUNCTION("""COMPUTED_VALUE"""),"ВНЕ СПИСКА")</f>
        <v>ВНЕ СПИСКА</v>
      </c>
      <c r="C1401" s="14" t="str">
        <f>IFERROR(__xludf.DUMMYFUNCTION("""COMPUTED_VALUE"""),"ОКС")</f>
        <v>ОКС</v>
      </c>
      <c r="D1401" s="6" t="str">
        <f>IFERROR(__xludf.DUMMYFUNCTION("""COMPUTED_VALUE"""),"да")</f>
        <v>да</v>
      </c>
      <c r="E1401" s="14" t="str">
        <f>IFERROR(__xludf.DUMMYFUNCTION("""COMPUTED_VALUE"""),"Новый корпус ГБУЗ ММКЦ ""Коммунарка"" ДЗМ"" ")</f>
        <v>Новый корпус ГБУЗ ММКЦ "Коммунарка" ДЗМ" </v>
      </c>
      <c r="F1401" s="25" t="str">
        <f>IFERROR(__xludf.DUMMYFUNCTION("""COMPUTED_VALUE"""),"#N/A")</f>
        <v>#N/A</v>
      </c>
      <c r="G1401" s="6" t="str">
        <f>IFERROR(__xludf.DUMMYFUNCTION("""COMPUTED_VALUE"""),"#N/A")</f>
        <v>#N/A</v>
      </c>
      <c r="H1401" s="18" t="str">
        <f>IFERROR(__xludf.DUMMYFUNCTION("""COMPUTED_VALUE"""),"https://docs.google.com/spreadsheets/d/1EI7qusa674eJhuaw-nWWtWMEHVSYMQv7HLsInEZTWpE/edit?gid=254963674#gid=254963674")</f>
        <v>https://docs.google.com/spreadsheets/d/1EI7qusa674eJhuaw-nWWtWMEHVSYMQv7HLsInEZTWpE/edit?gid=254963674#gid=254963674</v>
      </c>
      <c r="I1401" s="19"/>
      <c r="J1401" s="50"/>
      <c r="K1401" s="58">
        <f>IFERROR(__xludf.DUMMYFUNCTION("""COMPUTED_VALUE"""),45912.0)</f>
        <v>45912</v>
      </c>
      <c r="L1401" s="6">
        <v>30.0</v>
      </c>
      <c r="M1401" s="52">
        <v>45942.0</v>
      </c>
      <c r="N1401" s="53" t="s">
        <v>668</v>
      </c>
      <c r="O1401" s="19"/>
      <c r="P1401" s="6"/>
      <c r="Q1401" s="6" t="str">
        <f t="shared" si="1"/>
        <v>#N/A</v>
      </c>
      <c r="R1401" s="6"/>
    </row>
    <row r="1402" hidden="1">
      <c r="A1402" s="31" t="str">
        <f>IFERROR(__xludf.DUMMYFUNCTION("""COMPUTED_VALUE"""),"1303")</f>
        <v>1303</v>
      </c>
      <c r="B1402" s="14" t="str">
        <f>IFERROR(__xludf.DUMMYFUNCTION("""COMPUTED_VALUE"""),"ВНЕ СПИСКА")</f>
        <v>ВНЕ СПИСКА</v>
      </c>
      <c r="C1402" s="14" t="str">
        <f>IFERROR(__xludf.DUMMYFUNCTION("""COMPUTED_VALUE"""),"ОКС")</f>
        <v>ОКС</v>
      </c>
      <c r="D1402" s="6" t="str">
        <f>IFERROR(__xludf.DUMMYFUNCTION("""COMPUTED_VALUE"""),"да")</f>
        <v>да</v>
      </c>
      <c r="E1402" s="14" t="str">
        <f>IFERROR(__xludf.DUMMYFUNCTION("""COMPUTED_VALUE"""),"Осмотр итогов строительства ЖК Событие-4.1, ЗАО, р-н Раменки между ул. Лобачевского и платформой ""Матвеевское""")</f>
        <v>Осмотр итогов строительства ЖК Событие-4.1, ЗАО, р-н Раменки между ул. Лобачевского и платформой "Матвеевское"</v>
      </c>
      <c r="F1402" s="25" t="str">
        <f>IFERROR(__xludf.DUMMYFUNCTION("""COMPUTED_VALUE"""),"#N/A")</f>
        <v>#N/A</v>
      </c>
      <c r="G1402" s="6" t="str">
        <f>IFERROR(__xludf.DUMMYFUNCTION("""COMPUTED_VALUE"""),"#N/A")</f>
        <v>#N/A</v>
      </c>
      <c r="H1402" s="18" t="str">
        <f>IFERROR(__xludf.DUMMYFUNCTION("""COMPUTED_VALUE"""),"https://docs.google.com/spreadsheets/d/1EI7qusa674eJhuaw-nWWtWMEHVSYMQv7HLsInEZTWpE/edit?gid=2138110336#gid=2138110336")</f>
        <v>https://docs.google.com/spreadsheets/d/1EI7qusa674eJhuaw-nWWtWMEHVSYMQv7HLsInEZTWpE/edit?gid=2138110336#gid=2138110336</v>
      </c>
      <c r="I1402" s="19"/>
      <c r="J1402" s="50"/>
      <c r="K1402" s="58">
        <f>IFERROR(__xludf.DUMMYFUNCTION("""COMPUTED_VALUE"""),45930.0)</f>
        <v>45930</v>
      </c>
      <c r="L1402" s="6">
        <v>30.0</v>
      </c>
      <c r="M1402" s="52">
        <v>45960.0</v>
      </c>
      <c r="N1402" s="53" t="s">
        <v>668</v>
      </c>
      <c r="O1402" s="19" t="s">
        <v>1407</v>
      </c>
      <c r="P1402" s="6"/>
      <c r="Q1402" s="6" t="str">
        <f t="shared" si="1"/>
        <v>#N/A</v>
      </c>
      <c r="R1402" s="6"/>
    </row>
    <row r="1403" hidden="1">
      <c r="A1403" s="31" t="str">
        <f>IFERROR(__xludf.DUMMYFUNCTION("""COMPUTED_VALUE"""),"1304")</f>
        <v>1304</v>
      </c>
      <c r="B1403" s="14" t="str">
        <f>IFERROR(__xludf.DUMMYFUNCTION("""COMPUTED_VALUE"""),"ВНЕ СПИСКА")</f>
        <v>ВНЕ СПИСКА</v>
      </c>
      <c r="C1403" s="14" t="str">
        <f>IFERROR(__xludf.DUMMYFUNCTION("""COMPUTED_VALUE"""),"ОКС")</f>
        <v>ОКС</v>
      </c>
      <c r="D1403" s="6" t="str">
        <f>IFERROR(__xludf.DUMMYFUNCTION("""COMPUTED_VALUE"""),"да")</f>
        <v>да</v>
      </c>
      <c r="E1403" s="14" t="str">
        <f>IFERROR(__xludf.DUMMYFUNCTION("""COMPUTED_VALUE"""),"Осмотр хода строительства ЖК Событие-4.2, ЗАО, р-н Раменки  между ул. Лобачевского и платформой ""Матвеевское""")</f>
        <v>Осмотр хода строительства ЖК Событие-4.2, ЗАО, р-н Раменки  между ул. Лобачевского и платформой "Матвеевское"</v>
      </c>
      <c r="F1403" s="25" t="str">
        <f>IFERROR(__xludf.DUMMYFUNCTION("""COMPUTED_VALUE"""),"#N/A")</f>
        <v>#N/A</v>
      </c>
      <c r="G1403" s="6" t="str">
        <f>IFERROR(__xludf.DUMMYFUNCTION("""COMPUTED_VALUE"""),"#N/A")</f>
        <v>#N/A</v>
      </c>
      <c r="H1403" s="18" t="str">
        <f>IFERROR(__xludf.DUMMYFUNCTION("""COMPUTED_VALUE"""),"https://docs.google.com/spreadsheets/d/1EI7qusa674eJhuaw-nWWtWMEHVSYMQv7HLsInEZTWpE/edit?gid=1064274892#gid=1064274892")</f>
        <v>https://docs.google.com/spreadsheets/d/1EI7qusa674eJhuaw-nWWtWMEHVSYMQv7HLsInEZTWpE/edit?gid=1064274892#gid=1064274892</v>
      </c>
      <c r="I1403" s="19"/>
      <c r="J1403" s="50"/>
      <c r="K1403" s="58">
        <f>IFERROR(__xludf.DUMMYFUNCTION("""COMPUTED_VALUE"""),45930.0)</f>
        <v>45930</v>
      </c>
      <c r="L1403" s="6">
        <v>30.0</v>
      </c>
      <c r="M1403" s="52">
        <v>45960.0</v>
      </c>
      <c r="N1403" s="53" t="s">
        <v>668</v>
      </c>
      <c r="O1403" s="19" t="s">
        <v>1408</v>
      </c>
      <c r="P1403" s="6"/>
      <c r="Q1403" s="6" t="str">
        <f t="shared" si="1"/>
        <v>#N/A</v>
      </c>
      <c r="R1403" s="6"/>
    </row>
    <row r="1404" hidden="1">
      <c r="A1404" s="31" t="str">
        <f>IFERROR(__xludf.DUMMYFUNCTION("""COMPUTED_VALUE"""),"1306")</f>
        <v>1306</v>
      </c>
      <c r="B1404" s="14" t="str">
        <f>IFERROR(__xludf.DUMMYFUNCTION("""COMPUTED_VALUE"""),"ВНЕ СПИСКА")</f>
        <v>ВНЕ СПИСКА</v>
      </c>
      <c r="C1404" s="14" t="str">
        <f>IFERROR(__xludf.DUMMYFUNCTION("""COMPUTED_VALUE"""),"ОКС")</f>
        <v>ОКС</v>
      </c>
      <c r="D1404" s="6" t="str">
        <f>IFERROR(__xludf.DUMMYFUNCTION("""COMPUTED_VALUE"""),"да")</f>
        <v>да</v>
      </c>
      <c r="E1404" s="14" t="str">
        <f>IFERROR(__xludf.DUMMYFUNCTION("""COMPUTED_VALUE"""),"ЖК СОБЫТИЕ-3 между ул. Лобачевского и платформой «Матвеевское», квартал 9.2")</f>
        <v>ЖК СОБЫТИЕ-3 между ул. Лобачевского и платформой «Матвеевское», квартал 9.2</v>
      </c>
      <c r="F1404" s="25" t="str">
        <f>IFERROR(__xludf.DUMMYFUNCTION("""COMPUTED_VALUE"""),"#N/A")</f>
        <v>#N/A</v>
      </c>
      <c r="G1404" s="6" t="str">
        <f>IFERROR(__xludf.DUMMYFUNCTION("""COMPUTED_VALUE"""),"#N/A")</f>
        <v>#N/A</v>
      </c>
      <c r="H1404" s="18" t="str">
        <f>IFERROR(__xludf.DUMMYFUNCTION("""COMPUTED_VALUE"""),"https://docs.google.com/spreadsheets/d/1EI7qusa674eJhuaw-nWWtWMEHVSYMQv7HLsInEZTWpE/edit?gid=188255576#gid=188255576")</f>
        <v>https://docs.google.com/spreadsheets/d/1EI7qusa674eJhuaw-nWWtWMEHVSYMQv7HLsInEZTWpE/edit?gid=188255576#gid=188255576</v>
      </c>
      <c r="I1404" s="19"/>
      <c r="J1404" s="50"/>
      <c r="K1404" s="58">
        <f>IFERROR(__xludf.DUMMYFUNCTION("""COMPUTED_VALUE"""),45930.0)</f>
        <v>45930</v>
      </c>
      <c r="L1404" s="6">
        <v>30.0</v>
      </c>
      <c r="M1404" s="52">
        <v>45960.0</v>
      </c>
      <c r="N1404" s="53" t="s">
        <v>652</v>
      </c>
      <c r="O1404" s="19" t="s">
        <v>1409</v>
      </c>
      <c r="P1404" s="6"/>
      <c r="Q1404" s="6" t="str">
        <f t="shared" si="1"/>
        <v>#N/A</v>
      </c>
      <c r="R1404" s="6"/>
    </row>
    <row r="1405" hidden="1">
      <c r="A1405" s="31" t="str">
        <f>IFERROR(__xludf.DUMMYFUNCTION("""COMPUTED_VALUE"""),"1305")</f>
        <v>1305</v>
      </c>
      <c r="B1405" s="14" t="str">
        <f>IFERROR(__xludf.DUMMYFUNCTION("""COMPUTED_VALUE"""),"ВНЕ СПИСКА")</f>
        <v>ВНЕ СПИСКА</v>
      </c>
      <c r="C1405" s="14" t="str">
        <f>IFERROR(__xludf.DUMMYFUNCTION("""COMPUTED_VALUE"""),"ОКС")</f>
        <v>ОКС</v>
      </c>
      <c r="D1405" s="6" t="str">
        <f>IFERROR(__xludf.DUMMYFUNCTION("""COMPUTED_VALUE"""),"да")</f>
        <v>да</v>
      </c>
      <c r="E1405" s="14" t="str">
        <f>IFERROR(__xludf.DUMMYFUNCTION("""COMPUTED_VALUE"""),"Строительство смотровой площадки р-н Раменки")</f>
        <v>Строительство смотровой площадки р-н Раменки</v>
      </c>
      <c r="F1405" s="25" t="str">
        <f>IFERROR(__xludf.DUMMYFUNCTION("""COMPUTED_VALUE"""),"#N/A")</f>
        <v>#N/A</v>
      </c>
      <c r="G1405" s="6" t="str">
        <f>IFERROR(__xludf.DUMMYFUNCTION("""COMPUTED_VALUE"""),"#N/A")</f>
        <v>#N/A</v>
      </c>
      <c r="H1405" s="18" t="str">
        <f>IFERROR(__xludf.DUMMYFUNCTION("""COMPUTED_VALUE"""),"https://docs.google.com/spreadsheets/d/1EI7qusa674eJhuaw-nWWtWMEHVSYMQv7HLsInEZTWpE/edit?gid=1237877981#gid=1237877981")</f>
        <v>https://docs.google.com/spreadsheets/d/1EI7qusa674eJhuaw-nWWtWMEHVSYMQv7HLsInEZTWpE/edit?gid=1237877981#gid=1237877981</v>
      </c>
      <c r="I1405" s="19"/>
      <c r="J1405" s="50"/>
      <c r="K1405" s="58">
        <f>IFERROR(__xludf.DUMMYFUNCTION("""COMPUTED_VALUE"""),45930.0)</f>
        <v>45930</v>
      </c>
      <c r="L1405" s="6">
        <v>30.0</v>
      </c>
      <c r="M1405" s="52">
        <v>45960.0</v>
      </c>
      <c r="N1405" s="53" t="s">
        <v>668</v>
      </c>
      <c r="O1405" s="19" t="s">
        <v>1410</v>
      </c>
      <c r="P1405" s="6"/>
      <c r="Q1405" s="6" t="str">
        <f t="shared" si="1"/>
        <v>#N/A</v>
      </c>
      <c r="R1405" s="6"/>
    </row>
    <row r="1406" hidden="1">
      <c r="A1406" s="31" t="str">
        <f>IFERROR(__xludf.DUMMYFUNCTION("""COMPUTED_VALUE"""),"1317")</f>
        <v>1317</v>
      </c>
      <c r="B1406" s="14" t="str">
        <f>IFERROR(__xludf.DUMMYFUNCTION("""COMPUTED_VALUE"""),"ВНЕ СПИСКА")</f>
        <v>ВНЕ СПИСКА</v>
      </c>
      <c r="C1406" s="14" t="str">
        <f>IFERROR(__xludf.DUMMYFUNCTION("""COMPUTED_VALUE"""),"ОКС")</f>
        <v>ОКС</v>
      </c>
      <c r="D1406" s="6"/>
      <c r="E1406" s="14" t="str">
        <f>IFERROR(__xludf.DUMMYFUNCTION("""COMPUTED_VALUE"""),"Проектирование и строительство объектов инженерной инфраструктуры для жилых домов в пос. Марушкинское (5 зданий) поселение Марушкинское, д. Марушкино")</f>
        <v>Проектирование и строительство объектов инженерной инфраструктуры для жилых домов в пос. Марушкинское (5 зданий) поселение Марушкинское, д. Марушкино</v>
      </c>
      <c r="F1406" s="25" t="str">
        <f>IFERROR(__xludf.DUMMYFUNCTION("""COMPUTED_VALUE"""),"#N/A")</f>
        <v>#N/A</v>
      </c>
      <c r="G1406" s="6" t="str">
        <f>IFERROR(__xludf.DUMMYFUNCTION("""COMPUTED_VALUE"""),"#N/A")</f>
        <v>#N/A</v>
      </c>
      <c r="H1406" s="18" t="str">
        <f>IFERROR(__xludf.DUMMYFUNCTION("""COMPUTED_VALUE"""),"https://docs.google.com/spreadsheets/d/1EI7qusa674eJhuaw-nWWtWMEHVSYMQv7HLsInEZTWpE/edit?gid=1217792882#gid=1217792882")</f>
        <v>https://docs.google.com/spreadsheets/d/1EI7qusa674eJhuaw-nWWtWMEHVSYMQv7HLsInEZTWpE/edit?gid=1217792882#gid=1217792882</v>
      </c>
      <c r="I1406" s="19"/>
      <c r="J1406" s="50">
        <f>IFERROR(__xludf.DUMMYFUNCTION("""COMPUTED_VALUE"""),100.0)</f>
        <v>100</v>
      </c>
      <c r="K1406" s="58">
        <f>IFERROR(__xludf.DUMMYFUNCTION("""COMPUTED_VALUE"""),45919.0)</f>
        <v>45919</v>
      </c>
      <c r="L1406" s="6" t="s">
        <v>654</v>
      </c>
      <c r="M1406" s="52" t="s">
        <v>655</v>
      </c>
      <c r="N1406" s="53" t="s">
        <v>656</v>
      </c>
      <c r="O1406" s="19" t="s">
        <v>1411</v>
      </c>
      <c r="P1406" s="6"/>
      <c r="Q1406" s="6" t="str">
        <f t="shared" si="1"/>
        <v>#N/A</v>
      </c>
      <c r="R1406" s="6"/>
    </row>
    <row r="1407" hidden="1">
      <c r="A1407" s="31" t="str">
        <f>IFERROR(__xludf.DUMMYFUNCTION("""COMPUTED_VALUE"""),"1319")</f>
        <v>1319</v>
      </c>
      <c r="B1407" s="14" t="str">
        <f>IFERROR(__xludf.DUMMYFUNCTION("""COMPUTED_VALUE"""),"ВНЕ СПИСКА")</f>
        <v>ВНЕ СПИСКА</v>
      </c>
      <c r="C1407" s="14" t="str">
        <f>IFERROR(__xludf.DUMMYFUNCTION("""COMPUTED_VALUE"""),"ОКС")</f>
        <v>ОКС</v>
      </c>
      <c r="D1407" s="6"/>
      <c r="E1407" s="14" t="str">
        <f>IFERROR(__xludf.DUMMYFUNCTION("""COMPUTED_VALUE"""),"3099-06 Реконструкция очистных сооружений дождевой канализации, п. Некрасовка ПОС. НЕКРАСОВКА, СНТ Зеленая Зона")</f>
        <v>3099-06 Реконструкция очистных сооружений дождевой канализации, п. Некрасовка ПОС. НЕКРАСОВКА, СНТ Зеленая Зона</v>
      </c>
      <c r="F1407" s="25" t="str">
        <f>IFERROR(__xludf.DUMMYFUNCTION("""COMPUTED_VALUE"""),"#N/A")</f>
        <v>#N/A</v>
      </c>
      <c r="G1407" s="6" t="str">
        <f>IFERROR(__xludf.DUMMYFUNCTION("""COMPUTED_VALUE"""),"#N/A")</f>
        <v>#N/A</v>
      </c>
      <c r="H1407" s="18" t="str">
        <f>IFERROR(__xludf.DUMMYFUNCTION("""COMPUTED_VALUE"""),"https://docs.google.com/spreadsheets/d/1EI7qusa674eJhuaw-nWWtWMEHVSYMQv7HLsInEZTWpE/edit?gid=1201892812#gid=1201892812")</f>
        <v>https://docs.google.com/spreadsheets/d/1EI7qusa674eJhuaw-nWWtWMEHVSYMQv7HLsInEZTWpE/edit?gid=1201892812#gid=1201892812</v>
      </c>
      <c r="I1407" s="19"/>
      <c r="J1407" s="50">
        <f>IFERROR(__xludf.DUMMYFUNCTION("""COMPUTED_VALUE"""),0.0)</f>
        <v>0</v>
      </c>
      <c r="K1407" s="58">
        <f>IFERROR(__xludf.DUMMYFUNCTION("""COMPUTED_VALUE"""),45919.0)</f>
        <v>45919</v>
      </c>
      <c r="L1407" s="6">
        <v>30.0</v>
      </c>
      <c r="M1407" s="52">
        <v>45949.0</v>
      </c>
      <c r="N1407" s="53" t="s">
        <v>668</v>
      </c>
      <c r="O1407" s="19" t="s">
        <v>1412</v>
      </c>
      <c r="P1407" s="6"/>
      <c r="Q1407" s="6" t="str">
        <f t="shared" si="1"/>
        <v>#N/A</v>
      </c>
      <c r="R1407" s="6"/>
    </row>
    <row r="1408" hidden="1">
      <c r="A1408" s="31" t="str">
        <f>IFERROR(__xludf.DUMMYFUNCTION("""COMPUTED_VALUE"""),"нд")</f>
        <v>нд</v>
      </c>
      <c r="B1408" s="14" t="str">
        <f>IFERROR(__xludf.DUMMYFUNCTION("""COMPUTED_VALUE"""),"ВНЕ СПИСКА")</f>
        <v>ВНЕ СПИСКА</v>
      </c>
      <c r="C1408" s="14" t="str">
        <f>IFERROR(__xludf.DUMMYFUNCTION("""COMPUTED_VALUE"""),"ОКС")</f>
        <v>ОКС</v>
      </c>
      <c r="D1408" s="6"/>
      <c r="E1408" s="14" t="str">
        <f>IFERROR(__xludf.DUMMYFUNCTION("""COMPUTED_VALUE"""),"Реабилитационный комплекс (1-я очередь) ДКС № 20 «Красная Пахра». 2 этап Г.ТРОИЦК, ДКРС №20 ""КРАСНАЯ ПАХРА""")</f>
        <v>Реабилитационный комплекс (1-я очередь) ДКС № 20 «Красная Пахра». 2 этап Г.ТРОИЦК, ДКРС №20 "КРАСНАЯ ПАХРА"</v>
      </c>
      <c r="F1408" s="25" t="str">
        <f>IFERROR(__xludf.DUMMYFUNCTION("""COMPUTED_VALUE"""),"#N/A")</f>
        <v>#N/A</v>
      </c>
      <c r="G1408" s="6" t="str">
        <f>IFERROR(__xludf.DUMMYFUNCTION("""COMPUTED_VALUE"""),"#N/A")</f>
        <v>#N/A</v>
      </c>
      <c r="H1408" s="6"/>
      <c r="I1408" s="19"/>
      <c r="J1408" s="50"/>
      <c r="K1408" s="58"/>
      <c r="L1408" s="6">
        <v>30.0</v>
      </c>
      <c r="M1408" s="52" t="s">
        <v>655</v>
      </c>
      <c r="N1408" s="53" t="s">
        <v>698</v>
      </c>
      <c r="O1408" s="19" t="s">
        <v>1413</v>
      </c>
      <c r="P1408" s="6"/>
      <c r="Q1408" s="6" t="str">
        <f t="shared" si="1"/>
        <v>#N/A</v>
      </c>
      <c r="R1408" s="6"/>
    </row>
    <row r="1409" hidden="1">
      <c r="A1409" s="31" t="str">
        <f>IFERROR(__xludf.DUMMYFUNCTION("""COMPUTED_VALUE"""),"1316")</f>
        <v>1316</v>
      </c>
      <c r="B1409" s="14" t="str">
        <f>IFERROR(__xludf.DUMMYFUNCTION("""COMPUTED_VALUE"""),"ВНЕ СПИСКА")</f>
        <v>ВНЕ СПИСКА</v>
      </c>
      <c r="C1409" s="14" t="str">
        <f>IFERROR(__xludf.DUMMYFUNCTION("""COMPUTED_VALUE"""),"ОКС")</f>
        <v>ОКС</v>
      </c>
      <c r="D1409" s="6"/>
      <c r="E1409" s="14" t="str">
        <f>IFERROR(__xludf.DUMMYFUNCTION("""COMPUTED_VALUE"""),"Здание кожно-венерологического диспансера № 9 Большой Предтеченский переулок, дом 15/8, стр. 3")</f>
        <v>Здание кожно-венерологического диспансера № 9 Большой Предтеченский переулок, дом 15/8, стр. 3</v>
      </c>
      <c r="F1409" s="25" t="str">
        <f>IFERROR(__xludf.DUMMYFUNCTION("""COMPUTED_VALUE"""),"#N/A")</f>
        <v>#N/A</v>
      </c>
      <c r="G1409" s="6" t="str">
        <f>IFERROR(__xludf.DUMMYFUNCTION("""COMPUTED_VALUE"""),"#N/A")</f>
        <v>#N/A</v>
      </c>
      <c r="H1409" s="18" t="str">
        <f>IFERROR(__xludf.DUMMYFUNCTION("""COMPUTED_VALUE"""),"https://docs.google.com/spreadsheets/d/1EI7qusa674eJhuaw-nWWtWMEHVSYMQv7HLsInEZTWpE/edit?gid=1513915226#gid=1513915226")</f>
        <v>https://docs.google.com/spreadsheets/d/1EI7qusa674eJhuaw-nWWtWMEHVSYMQv7HLsInEZTWpE/edit?gid=1513915226#gid=1513915226</v>
      </c>
      <c r="I1409" s="19"/>
      <c r="J1409" s="50">
        <f>IFERROR(__xludf.DUMMYFUNCTION("""COMPUTED_VALUE"""),0.0125)</f>
        <v>0.0125</v>
      </c>
      <c r="K1409" s="58">
        <f>IFERROR(__xludf.DUMMYFUNCTION("""COMPUTED_VALUE"""),45919.0)</f>
        <v>45919</v>
      </c>
      <c r="L1409" s="6">
        <v>30.0</v>
      </c>
      <c r="M1409" s="52">
        <v>45949.0</v>
      </c>
      <c r="N1409" s="53" t="s">
        <v>668</v>
      </c>
      <c r="O1409" s="19" t="s">
        <v>1414</v>
      </c>
      <c r="P1409" s="6"/>
      <c r="Q1409" s="6" t="str">
        <f t="shared" si="1"/>
        <v>#N/A</v>
      </c>
      <c r="R1409" s="6"/>
    </row>
    <row r="1410" hidden="1">
      <c r="A1410" s="31" t="str">
        <f>IFERROR(__xludf.DUMMYFUNCTION("""COMPUTED_VALUE"""),"1324")</f>
        <v>1324</v>
      </c>
      <c r="B1410" s="14" t="str">
        <f>IFERROR(__xludf.DUMMYFUNCTION("""COMPUTED_VALUE"""),"ВНЕ СПИСКА")</f>
        <v>ВНЕ СПИСКА</v>
      </c>
      <c r="C1410" s="14" t="str">
        <f>IFERROR(__xludf.DUMMYFUNCTION("""COMPUTED_VALUE"""),"ОКС")</f>
        <v>ОКС</v>
      </c>
      <c r="D1410" s="6" t="str">
        <f>IFERROR(__xludf.DUMMYFUNCTION("""COMPUTED_VALUE"""),"да")</f>
        <v>да</v>
      </c>
      <c r="E1410" s="14" t="str">
        <f>IFERROR(__xludf.DUMMYFUNCTION("""COMPUTED_VALUE"""),"Нежилое помещение (здание Центра социальной адаптации им. Е.П. Глинки) Дмитровский р-он, ул. Ижорская, д.21, стр.3")</f>
        <v>Нежилое помещение (здание Центра социальной адаптации им. Е.П. Глинки) Дмитровский р-он, ул. Ижорская, д.21, стр.3</v>
      </c>
      <c r="F1410" s="25" t="str">
        <f>IFERROR(__xludf.DUMMYFUNCTION("""COMPUTED_VALUE"""),"#N/A")</f>
        <v>#N/A</v>
      </c>
      <c r="G1410" s="6" t="str">
        <f>IFERROR(__xludf.DUMMYFUNCTION("""COMPUTED_VALUE"""),"#N/A")</f>
        <v>#N/A</v>
      </c>
      <c r="H1410" s="18" t="str">
        <f>IFERROR(__xludf.DUMMYFUNCTION("""COMPUTED_VALUE"""),"https://docs.google.com/spreadsheets/d/1EI7qusa674eJhuaw-nWWtWMEHVSYMQv7HLsInEZTWpE/edit?gid=1698914895#gid=1698914895")</f>
        <v>https://docs.google.com/spreadsheets/d/1EI7qusa674eJhuaw-nWWtWMEHVSYMQv7HLsInEZTWpE/edit?gid=1698914895#gid=1698914895</v>
      </c>
      <c r="I1410" s="19"/>
      <c r="J1410" s="50"/>
      <c r="K1410" s="58">
        <f>IFERROR(__xludf.DUMMYFUNCTION("""COMPUTED_VALUE"""),45919.0)</f>
        <v>45919</v>
      </c>
      <c r="L1410" s="6">
        <v>30.0</v>
      </c>
      <c r="M1410" s="52">
        <v>45949.0</v>
      </c>
      <c r="N1410" s="53" t="s">
        <v>668</v>
      </c>
      <c r="O1410" s="19" t="s">
        <v>1193</v>
      </c>
      <c r="P1410" s="6"/>
      <c r="Q1410" s="6" t="str">
        <f t="shared" si="1"/>
        <v>#N/A</v>
      </c>
      <c r="R1410" s="6"/>
    </row>
    <row r="1411" hidden="1">
      <c r="A1411" s="31" t="str">
        <f>IFERROR(__xludf.DUMMYFUNCTION("""COMPUTED_VALUE"""),"1327")</f>
        <v>1327</v>
      </c>
      <c r="B1411" s="14" t="str">
        <f>IFERROR(__xludf.DUMMYFUNCTION("""COMPUTED_VALUE"""),"ВНЕ СПИСКА")</f>
        <v>ВНЕ СПИСКА</v>
      </c>
      <c r="C1411" s="14" t="str">
        <f>IFERROR(__xludf.DUMMYFUNCTION("""COMPUTED_VALUE"""),"ОКС")</f>
        <v>ОКС</v>
      </c>
      <c r="D1411" s="6"/>
      <c r="E1411" s="14" t="str">
        <f>IFERROR(__xludf.DUMMYFUNCTION("""COMPUTED_VALUE"""),"Здание развлекательного центра комплекса ""Аквапарк"" (Центр социального обслуживания населения) (Центр социального обслуживания населения, р-н Матушкино, ул. Березовая ал., д. 15, стр. 1) ул. Березовая аллея, д. 15, стр. 1")</f>
        <v>Здание развлекательного центра комплекса "Аквапарк" (Центр социального обслуживания населения) (Центр социального обслуживания населения, р-н Матушкино, ул. Березовая ал., д. 15, стр. 1) ул. Березовая аллея, д. 15, стр. 1</v>
      </c>
      <c r="F1411" s="25" t="str">
        <f>IFERROR(__xludf.DUMMYFUNCTION("""COMPUTED_VALUE"""),"#N/A")</f>
        <v>#N/A</v>
      </c>
      <c r="G1411" s="6" t="str">
        <f>IFERROR(__xludf.DUMMYFUNCTION("""COMPUTED_VALUE"""),"#N/A")</f>
        <v>#N/A</v>
      </c>
      <c r="H1411" s="18" t="str">
        <f>IFERROR(__xludf.DUMMYFUNCTION("""COMPUTED_VALUE"""),"https://docs.google.com/spreadsheets/d/1EI7qusa674eJhuaw-nWWtWMEHVSYMQv7HLsInEZTWpE/edit?gid=239550778#gid=239550778")</f>
        <v>https://docs.google.com/spreadsheets/d/1EI7qusa674eJhuaw-nWWtWMEHVSYMQv7HLsInEZTWpE/edit?gid=239550778#gid=239550778</v>
      </c>
      <c r="I1411" s="19"/>
      <c r="J1411" s="50">
        <f>IFERROR(__xludf.DUMMYFUNCTION("""COMPUTED_VALUE"""),23.912499999999998)</f>
        <v>23.9125</v>
      </c>
      <c r="K1411" s="58">
        <f>IFERROR(__xludf.DUMMYFUNCTION("""COMPUTED_VALUE"""),45923.0)</f>
        <v>45923</v>
      </c>
      <c r="L1411" s="6">
        <v>30.0</v>
      </c>
      <c r="M1411" s="52">
        <v>45953.0</v>
      </c>
      <c r="N1411" s="53" t="s">
        <v>668</v>
      </c>
      <c r="O1411" s="19" t="s">
        <v>1193</v>
      </c>
      <c r="P1411" s="6"/>
      <c r="Q1411" s="6" t="str">
        <f t="shared" si="1"/>
        <v>#N/A</v>
      </c>
      <c r="R1411" s="6"/>
    </row>
    <row r="1412" hidden="1">
      <c r="A1412" s="31" t="str">
        <f>IFERROR(__xludf.DUMMYFUNCTION("""COMPUTED_VALUE"""),"1326")</f>
        <v>1326</v>
      </c>
      <c r="B1412" s="14" t="str">
        <f>IFERROR(__xludf.DUMMYFUNCTION("""COMPUTED_VALUE"""),"ВНЕ СПИСКА")</f>
        <v>ВНЕ СПИСКА</v>
      </c>
      <c r="C1412" s="14" t="str">
        <f>IFERROR(__xludf.DUMMYFUNCTION("""COMPUTED_VALUE"""),"ОКС")</f>
        <v>ОКС</v>
      </c>
      <c r="D1412" s="6"/>
      <c r="E1412" s="14" t="str">
        <f>IFERROR(__xludf.DUMMYFUNCTION("""COMPUTED_VALUE"""),"Здание отдыха локомотивных бригад на ст. ""Рассказовка"". Этап 5.1 Внуковское, дер. Рассказовка, вл.13/2")</f>
        <v>Здание отдыха локомотивных бригад на ст. "Рассказовка". Этап 5.1 Внуковское, дер. Рассказовка, вл.13/2</v>
      </c>
      <c r="F1412" s="25" t="str">
        <f>IFERROR(__xludf.DUMMYFUNCTION("""COMPUTED_VALUE"""),"#N/A")</f>
        <v>#N/A</v>
      </c>
      <c r="G1412" s="6" t="str">
        <f>IFERROR(__xludf.DUMMYFUNCTION("""COMPUTED_VALUE"""),"#N/A")</f>
        <v>#N/A</v>
      </c>
      <c r="H1412" s="18" t="str">
        <f>IFERROR(__xludf.DUMMYFUNCTION("""COMPUTED_VALUE"""),"https://docs.google.com/spreadsheets/d/1EI7qusa674eJhuaw-nWWtWMEHVSYMQv7HLsInEZTWpE/edit?gid=1264665053#gid=1264665053")</f>
        <v>https://docs.google.com/spreadsheets/d/1EI7qusa674eJhuaw-nWWtWMEHVSYMQv7HLsInEZTWpE/edit?gid=1264665053#gid=1264665053</v>
      </c>
      <c r="I1412" s="19"/>
      <c r="J1412" s="50">
        <f>IFERROR(__xludf.DUMMYFUNCTION("""COMPUTED_VALUE"""),100.0)</f>
        <v>100</v>
      </c>
      <c r="K1412" s="58">
        <f>IFERROR(__xludf.DUMMYFUNCTION("""COMPUTED_VALUE"""),45919.0)</f>
        <v>45919</v>
      </c>
      <c r="L1412" s="6" t="s">
        <v>654</v>
      </c>
      <c r="M1412" s="52" t="s">
        <v>655</v>
      </c>
      <c r="N1412" s="53" t="s">
        <v>656</v>
      </c>
      <c r="O1412" s="19" t="s">
        <v>905</v>
      </c>
      <c r="P1412" s="6"/>
      <c r="Q1412" s="6" t="str">
        <f t="shared" si="1"/>
        <v>#N/A</v>
      </c>
      <c r="R1412" s="6"/>
    </row>
    <row r="1413" hidden="1">
      <c r="A1413" s="31" t="str">
        <f>IFERROR(__xludf.DUMMYFUNCTION("""COMPUTED_VALUE"""),"1320")</f>
        <v>1320</v>
      </c>
      <c r="B1413" s="14" t="str">
        <f>IFERROR(__xludf.DUMMYFUNCTION("""COMPUTED_VALUE"""),"ВНЕ СПИСКА")</f>
        <v>ВНЕ СПИСКА</v>
      </c>
      <c r="C1413" s="14" t="str">
        <f>IFERROR(__xludf.DUMMYFUNCTION("""COMPUTED_VALUE"""),"ОКС")</f>
        <v>ОКС</v>
      </c>
      <c r="D1413" s="6"/>
      <c r="E1413" s="14" t="str">
        <f>IFERROR(__xludf.DUMMYFUNCTION("""COMPUTED_VALUE"""),"Жилой дом Е.А. Свечиной-С.Ф. Циммерман-С.П. Моргунова, 1-я треть ХIХв., 1902 г., гражданский инженер А.С. Гребенщиков», строение 1 и строение 2 (Реставрация и приспособление для современного использования объекта культурного наследия регионального значени"&amp;"я ""Жилой дом Е.А. Свечиной - С.Ф. Циммерман - С.П. Моргунова, 1-я треть XIX в., 1902 г., гражданский инженер А.С. Гребенщиков"" по адресу: пр-кт Мира, д. 25, стр. 1, 2) проспект Мира, д. 25, стр.1, 2")</f>
        <v>Жилой дом Е.А. Свечиной-С.Ф. Циммерман-С.П. Моргунова, 1-я треть ХIХв., 1902 г., гражданский инженер А.С. Гребенщиков», строение 1 и строение 2 (Реставрация и приспособление для современного использования объекта культурного наследия регионального значения "Жилой дом Е.А. Свечиной - С.Ф. Циммерман - С.П. Моргунова, 1-я треть XIX в., 1902 г., гражданский инженер А.С. Гребенщиков" по адресу: пр-кт Мира, д. 25, стр. 1, 2) проспект Мира, д. 25, стр.1, 2</v>
      </c>
      <c r="F1413" s="25" t="str">
        <f>IFERROR(__xludf.DUMMYFUNCTION("""COMPUTED_VALUE"""),"#N/A")</f>
        <v>#N/A</v>
      </c>
      <c r="G1413" s="6" t="str">
        <f>IFERROR(__xludf.DUMMYFUNCTION("""COMPUTED_VALUE"""),"#N/A")</f>
        <v>#N/A</v>
      </c>
      <c r="H1413" s="18" t="str">
        <f>IFERROR(__xludf.DUMMYFUNCTION("""COMPUTED_VALUE"""),"https://docs.google.com/spreadsheets/d/1EI7qusa674eJhuaw-nWWtWMEHVSYMQv7HLsInEZTWpE/edit?gid=5854245#gid=5854245")</f>
        <v>https://docs.google.com/spreadsheets/d/1EI7qusa674eJhuaw-nWWtWMEHVSYMQv7HLsInEZTWpE/edit?gid=5854245#gid=5854245</v>
      </c>
      <c r="I1413" s="19"/>
      <c r="J1413" s="50">
        <f>IFERROR(__xludf.DUMMYFUNCTION("""COMPUTED_VALUE"""),0.0)</f>
        <v>0</v>
      </c>
      <c r="K1413" s="58">
        <f>IFERROR(__xludf.DUMMYFUNCTION("""COMPUTED_VALUE"""),45919.0)</f>
        <v>45919</v>
      </c>
      <c r="L1413" s="6">
        <v>30.0</v>
      </c>
      <c r="M1413" s="52">
        <v>45949.0</v>
      </c>
      <c r="N1413" s="53" t="s">
        <v>668</v>
      </c>
      <c r="O1413" s="19" t="s">
        <v>1415</v>
      </c>
      <c r="P1413" s="6"/>
      <c r="Q1413" s="6" t="str">
        <f t="shared" si="1"/>
        <v>#N/A</v>
      </c>
      <c r="R1413" s="6"/>
    </row>
    <row r="1414" hidden="1">
      <c r="A1414" s="31" t="str">
        <f>IFERROR(__xludf.DUMMYFUNCTION("""COMPUTED_VALUE"""),"1315")</f>
        <v>1315</v>
      </c>
      <c r="B1414" s="14" t="str">
        <f>IFERROR(__xludf.DUMMYFUNCTION("""COMPUTED_VALUE"""),"ВНЕ СПИСКА")</f>
        <v>ВНЕ СПИСКА</v>
      </c>
      <c r="C1414" s="14" t="str">
        <f>IFERROR(__xludf.DUMMYFUNCTION("""COMPUTED_VALUE"""),"ОКС+УДС")</f>
        <v>ОКС+УДС</v>
      </c>
      <c r="D1414" s="6"/>
      <c r="E1414" s="14" t="str">
        <f>IFERROR(__xludf.DUMMYFUNCTION("""COMPUTED_VALUE"""),"Конечная станция городского пассажирского транспорта р-н Хорошевский, ул. Авиаконструктора Сухого, 1А, стр.1")</f>
        <v>Конечная станция городского пассажирского транспорта р-н Хорошевский, ул. Авиаконструктора Сухого, 1А, стр.1</v>
      </c>
      <c r="F1414" s="25" t="str">
        <f>IFERROR(__xludf.DUMMYFUNCTION("""COMPUTED_VALUE"""),"#N/A")</f>
        <v>#N/A</v>
      </c>
      <c r="G1414" s="6" t="str">
        <f>IFERROR(__xludf.DUMMYFUNCTION("""COMPUTED_VALUE"""),"#N/A")</f>
        <v>#N/A</v>
      </c>
      <c r="H1414" s="18" t="str">
        <f>IFERROR(__xludf.DUMMYFUNCTION("""COMPUTED_VALUE"""),"https://docs.google.com/spreadsheets/d/1EI7qusa674eJhuaw-nWWtWMEHVSYMQv7HLsInEZTWpE/edit?gid=547129883#gid=547129883")</f>
        <v>https://docs.google.com/spreadsheets/d/1EI7qusa674eJhuaw-nWWtWMEHVSYMQv7HLsInEZTWpE/edit?gid=547129883#gid=547129883</v>
      </c>
      <c r="I1414" s="19"/>
      <c r="J1414" s="50">
        <f>IFERROR(__xludf.DUMMYFUNCTION("""COMPUTED_VALUE"""),100.0)</f>
        <v>100</v>
      </c>
      <c r="K1414" s="58">
        <f>IFERROR(__xludf.DUMMYFUNCTION("""COMPUTED_VALUE"""),45919.0)</f>
        <v>45919</v>
      </c>
      <c r="L1414" s="6" t="s">
        <v>654</v>
      </c>
      <c r="M1414" s="52" t="s">
        <v>655</v>
      </c>
      <c r="N1414" s="53" t="s">
        <v>656</v>
      </c>
      <c r="O1414" s="19" t="s">
        <v>1416</v>
      </c>
      <c r="P1414" s="6"/>
      <c r="Q1414" s="6" t="str">
        <f t="shared" si="1"/>
        <v>#N/A</v>
      </c>
      <c r="R1414" s="6"/>
    </row>
    <row r="1415" hidden="1">
      <c r="A1415" s="31" t="str">
        <f>IFERROR(__xludf.DUMMYFUNCTION("""COMPUTED_VALUE"""),"1289")</f>
        <v>1289</v>
      </c>
      <c r="B1415" s="14" t="str">
        <f>IFERROR(__xludf.DUMMYFUNCTION("""COMPUTED_VALUE"""),"АИП-25")</f>
        <v>АИП-25</v>
      </c>
      <c r="C1415" s="14" t="str">
        <f>IFERROR(__xludf.DUMMYFUNCTION("""COMPUTED_VALUE"""),"УДС")</f>
        <v>УДС</v>
      </c>
      <c r="D1415" s="6"/>
      <c r="E1415" s="14" t="str">
        <f>IFERROR(__xludf.DUMMYFUNCTION("""COMPUTED_VALUE"""),"ПР-543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1 ЛЮБЛИНО, ТИХОРЕЦКИЙ Б-Р")</f>
        <v>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1 ЛЮБЛИНО, ТИХОРЕЦКИЙ Б-Р</v>
      </c>
      <c r="F1415" s="25" t="str">
        <f>IFERROR(__xludf.DUMMYFUNCTION("""COMPUTED_VALUE"""),"#N/A")</f>
        <v>#N/A</v>
      </c>
      <c r="G1415" s="6" t="str">
        <f>IFERROR(__xludf.DUMMYFUNCTION("""COMPUTED_VALUE"""),"#N/A")</f>
        <v>#N/A</v>
      </c>
      <c r="H1415" s="18" t="str">
        <f>IFERROR(__xludf.DUMMYFUNCTION("""COMPUTED_VALUE"""),"https://docs.google.com/spreadsheets/d/1MW8OIVEKRJEaLcG-KS0zwZPEQ0eRUWE2y9Gj77rgoxo/edit?gid=641965304#gid=641965304")</f>
        <v>https://docs.google.com/spreadsheets/d/1MW8OIVEKRJEaLcG-KS0zwZPEQ0eRUWE2y9Gj77rgoxo/edit?gid=641965304#gid=641965304</v>
      </c>
      <c r="I1415" s="19"/>
      <c r="J1415" s="50"/>
      <c r="K1415" s="58">
        <f>IFERROR(__xludf.DUMMYFUNCTION("""COMPUTED_VALUE"""),45954.0)</f>
        <v>45954</v>
      </c>
      <c r="L1415" s="6">
        <v>30.0</v>
      </c>
      <c r="M1415" s="52">
        <v>45984.0</v>
      </c>
      <c r="N1415" s="53" t="s">
        <v>741</v>
      </c>
      <c r="O1415" s="19" t="s">
        <v>1417</v>
      </c>
      <c r="P1415" s="6"/>
      <c r="Q1415" s="6" t="str">
        <f t="shared" si="1"/>
        <v>#N/A</v>
      </c>
      <c r="R1415" s="6"/>
    </row>
    <row r="1416" hidden="1">
      <c r="A1416" s="31" t="str">
        <f>IFERROR(__xludf.DUMMYFUNCTION("""COMPUTED_VALUE"""),"1289")</f>
        <v>1289</v>
      </c>
      <c r="B1416" s="14" t="str">
        <f>IFERROR(__xludf.DUMMYFUNCTION("""COMPUTED_VALUE"""),"АИП-25")</f>
        <v>АИП-25</v>
      </c>
      <c r="C1416" s="14" t="str">
        <f>IFERROR(__xludf.DUMMYFUNCTION("""COMPUTED_VALUE"""),"УДС")</f>
        <v>УДС</v>
      </c>
      <c r="D1416" s="6"/>
      <c r="E1416" s="14" t="str">
        <f>IFERROR(__xludf.DUMMYFUNCTION("""COMPUTED_VALUE"""),"ПР-543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2 ЛЮБЛИНО, ТИХОРЕЦКИЙ Б-Р")</f>
        <v>ПР-543 Дорога и инженерные коммуникации для оптово-розничного центра "Москва" на территории ГПЗ-1 в р-не Люблино на участке по Тихорецкому б-ру, проектируемым пр-дам № 813,5381 (завершение строительства). Этап 2 ЛЮБЛИНО, ТИХОРЕЦКИЙ Б-Р</v>
      </c>
      <c r="F1416" s="25" t="str">
        <f>IFERROR(__xludf.DUMMYFUNCTION("""COMPUTED_VALUE"""),"#N/A")</f>
        <v>#N/A</v>
      </c>
      <c r="G1416" s="6" t="str">
        <f>IFERROR(__xludf.DUMMYFUNCTION("""COMPUTED_VALUE"""),"#N/A")</f>
        <v>#N/A</v>
      </c>
      <c r="H1416" s="18" t="str">
        <f>IFERROR(__xludf.DUMMYFUNCTION("""COMPUTED_VALUE"""),"https://docs.google.com/spreadsheets/d/1MW8OIVEKRJEaLcG-KS0zwZPEQ0eRUWE2y9Gj77rgoxo/edit?gid=641965304#gid=641965304")</f>
        <v>https://docs.google.com/spreadsheets/d/1MW8OIVEKRJEaLcG-KS0zwZPEQ0eRUWE2y9Gj77rgoxo/edit?gid=641965304#gid=641965304</v>
      </c>
      <c r="I1416" s="6"/>
      <c r="J1416" s="50"/>
      <c r="K1416" s="58">
        <f>IFERROR(__xludf.DUMMYFUNCTION("""COMPUTED_VALUE"""),45954.0)</f>
        <v>45954</v>
      </c>
      <c r="L1416" s="6">
        <v>30.0</v>
      </c>
      <c r="M1416" s="52">
        <v>45984.0</v>
      </c>
      <c r="N1416" s="53" t="s">
        <v>741</v>
      </c>
      <c r="O1416" s="6" t="s">
        <v>1418</v>
      </c>
      <c r="P1416" s="6"/>
      <c r="Q1416" s="6" t="str">
        <f t="shared" si="1"/>
        <v>#N/A</v>
      </c>
      <c r="R1416" s="6"/>
    </row>
    <row r="1417" hidden="1">
      <c r="A1417" s="31" t="str">
        <f>IFERROR(__xludf.DUMMYFUNCTION("""COMPUTED_VALUE"""),"1312")</f>
        <v>1312</v>
      </c>
      <c r="B1417" s="14" t="str">
        <f>IFERROR(__xludf.DUMMYFUNCTION("""COMPUTED_VALUE"""),"ВНЕ СПИСКА")</f>
        <v>ВНЕ СПИСКА</v>
      </c>
      <c r="C1417" s="14" t="str">
        <f>IFERROR(__xludf.DUMMYFUNCTION("""COMPUTED_VALUE"""),"ОКС")</f>
        <v>ОКС</v>
      </c>
      <c r="D1417" s="6"/>
      <c r="E1417" s="14" t="str">
        <f>IFERROR(__xludf.DUMMYFUNCTION("""COMPUTED_VALUE"""),"Здание центрального павильона проката улица Крымский Вал, д. 9, стр. 38")</f>
        <v>Здание центрального павильона проката улица Крымский Вал, д. 9, стр. 38</v>
      </c>
      <c r="F1417" s="25" t="str">
        <f>IFERROR(__xludf.DUMMYFUNCTION("""COMPUTED_VALUE"""),"#N/A")</f>
        <v>#N/A</v>
      </c>
      <c r="G1417" s="6" t="str">
        <f>IFERROR(__xludf.DUMMYFUNCTION("""COMPUTED_VALUE"""),"#N/A")</f>
        <v>#N/A</v>
      </c>
      <c r="H1417" s="18" t="str">
        <f>IFERROR(__xludf.DUMMYFUNCTION("""COMPUTED_VALUE"""),"https://docs.google.com/spreadsheets/d/1EI7qusa674eJhuaw-nWWtWMEHVSYMQv7HLsInEZTWpE/edit?gid=1075878373#gid=1075878373")</f>
        <v>https://docs.google.com/spreadsheets/d/1EI7qusa674eJhuaw-nWWtWMEHVSYMQv7HLsInEZTWpE/edit?gid=1075878373#gid=1075878373</v>
      </c>
      <c r="I1417" s="6"/>
      <c r="J1417" s="50">
        <f>IFERROR(__xludf.DUMMYFUNCTION("""COMPUTED_VALUE"""),0.0)</f>
        <v>0</v>
      </c>
      <c r="K1417" s="58">
        <f>IFERROR(__xludf.DUMMYFUNCTION("""COMPUTED_VALUE"""),45919.0)</f>
        <v>45919</v>
      </c>
      <c r="L1417" s="6">
        <v>30.0</v>
      </c>
      <c r="M1417" s="52">
        <v>45949.0</v>
      </c>
      <c r="N1417" s="53" t="s">
        <v>668</v>
      </c>
      <c r="O1417" s="6" t="s">
        <v>1193</v>
      </c>
      <c r="P1417" s="6"/>
      <c r="Q1417" s="6" t="str">
        <f t="shared" si="1"/>
        <v>#N/A</v>
      </c>
      <c r="R1417" s="6"/>
    </row>
    <row r="1418" hidden="1">
      <c r="A1418" s="31" t="str">
        <f>IFERROR(__xludf.DUMMYFUNCTION("""COMPUTED_VALUE"""),"1321")</f>
        <v>1321</v>
      </c>
      <c r="B1418" s="14" t="str">
        <f>IFERROR(__xludf.DUMMYFUNCTION("""COMPUTED_VALUE"""),"ВНЕ СПИСКА")</f>
        <v>ВНЕ СПИСКА</v>
      </c>
      <c r="C1418" s="14" t="str">
        <f>IFERROR(__xludf.DUMMYFUNCTION("""COMPUTED_VALUE"""),"ОКС")</f>
        <v>ОКС</v>
      </c>
      <c r="D1418" s="6"/>
      <c r="E1418" s="14" t="str">
        <f>IFERROR(__xludf.DUMMYFUNCTION("""COMPUTED_VALUE"""),"02-6015 Строительство инженерных коммуникаций на территории ""Дьяково"" (1, 2  пусковые  комплексы) проспект Андропова, вл. 39")</f>
        <v>02-6015 Строительство инженерных коммуникаций на территории "Дьяково" (1, 2  пусковые  комплексы) проспект Андропова, вл. 39</v>
      </c>
      <c r="F1418" s="25" t="str">
        <f>IFERROR(__xludf.DUMMYFUNCTION("""COMPUTED_VALUE"""),"#N/A")</f>
        <v>#N/A</v>
      </c>
      <c r="G1418" s="6" t="str">
        <f>IFERROR(__xludf.DUMMYFUNCTION("""COMPUTED_VALUE"""),"#N/A")</f>
        <v>#N/A</v>
      </c>
      <c r="H1418" s="18" t="str">
        <f>IFERROR(__xludf.DUMMYFUNCTION("""COMPUTED_VALUE"""),"https://docs.google.com/spreadsheets/d/1EI7qusa674eJhuaw-nWWtWMEHVSYMQv7HLsInEZTWpE/edit?gid=1502613642#gid=1502613642")</f>
        <v>https://docs.google.com/spreadsheets/d/1EI7qusa674eJhuaw-nWWtWMEHVSYMQv7HLsInEZTWpE/edit?gid=1502613642#gid=1502613642</v>
      </c>
      <c r="I1418" s="19"/>
      <c r="J1418" s="50">
        <f>IFERROR(__xludf.DUMMYFUNCTION("""COMPUTED_VALUE"""),0.0)</f>
        <v>0</v>
      </c>
      <c r="K1418" s="58">
        <f>IFERROR(__xludf.DUMMYFUNCTION("""COMPUTED_VALUE"""),45919.0)</f>
        <v>45919</v>
      </c>
      <c r="L1418" s="6">
        <v>30.0</v>
      </c>
      <c r="M1418" s="52">
        <v>45949.0</v>
      </c>
      <c r="N1418" s="53" t="s">
        <v>668</v>
      </c>
      <c r="O1418" s="19" t="s">
        <v>1419</v>
      </c>
      <c r="P1418" s="6"/>
      <c r="Q1418" s="6" t="str">
        <f t="shared" si="1"/>
        <v>#N/A</v>
      </c>
      <c r="R1418" s="6"/>
    </row>
    <row r="1419" hidden="1">
      <c r="A1419" s="31" t="str">
        <f>IFERROR(__xludf.DUMMYFUNCTION("""COMPUTED_VALUE"""),"1323")</f>
        <v>1323</v>
      </c>
      <c r="B1419" s="14" t="str">
        <f>IFERROR(__xludf.DUMMYFUNCTION("""COMPUTED_VALUE"""),"ВНЕ СПИСКА")</f>
        <v>ВНЕ СПИСКА</v>
      </c>
      <c r="C1419" s="14" t="str">
        <f>IFERROR(__xludf.DUMMYFUNCTION("""COMPUTED_VALUE"""),"УДС")</f>
        <v>УДС</v>
      </c>
      <c r="D1419" s="6"/>
      <c r="E1419" s="14" t="str">
        <f>IFERROR(__xludf.DUMMYFUNCTION("""COMPUTED_VALUE"""),"Развитие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 2.2 Очистные сооружения поверхностного стока и главный коллект"&amp;"ор с водовыпуском. Этап 2.2.1 Трубопровод Городской округ Троицк, ул. Промышленная")</f>
        <v>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 2.2 Очистные сооружения поверхностного стока и главный коллектор с водовыпуском. Этап 2.2.1 Трубопровод Городской округ Троицк, ул. Промышленная</v>
      </c>
      <c r="F1419" s="25" t="str">
        <f>IFERROR(__xludf.DUMMYFUNCTION("""COMPUTED_VALUE"""),"#N/A")</f>
        <v>#N/A</v>
      </c>
      <c r="G1419" s="6" t="str">
        <f>IFERROR(__xludf.DUMMYFUNCTION("""COMPUTED_VALUE"""),"#N/A")</f>
        <v>#N/A</v>
      </c>
      <c r="H1419" s="18" t="str">
        <f>IFERROR(__xludf.DUMMYFUNCTION("""COMPUTED_VALUE"""),"https://docs.google.com/spreadsheets/d/1EI7qusa674eJhuaw-nWWtWMEHVSYMQv7HLsInEZTWpE/edit?gid=1360222736#gid=1360222736")</f>
        <v>https://docs.google.com/spreadsheets/d/1EI7qusa674eJhuaw-nWWtWMEHVSYMQv7HLsInEZTWpE/edit?gid=1360222736#gid=1360222736</v>
      </c>
      <c r="I1419" s="19"/>
      <c r="J1419" s="50"/>
      <c r="K1419" s="58">
        <f>IFERROR(__xludf.DUMMYFUNCTION("""COMPUTED_VALUE"""),45919.0)</f>
        <v>45919</v>
      </c>
      <c r="L1419" s="6">
        <v>30.0</v>
      </c>
      <c r="M1419" s="52">
        <v>45949.0</v>
      </c>
      <c r="N1419" s="53" t="s">
        <v>668</v>
      </c>
      <c r="O1419" s="19" t="s">
        <v>1420</v>
      </c>
      <c r="P1419" s="6"/>
      <c r="Q1419" s="6" t="str">
        <f t="shared" si="1"/>
        <v>#N/A</v>
      </c>
      <c r="R1419" s="6"/>
    </row>
    <row r="1420" hidden="1">
      <c r="A1420" s="31" t="str">
        <f>IFERROR(__xludf.DUMMYFUNCTION("""COMPUTED_VALUE"""),"1323")</f>
        <v>1323</v>
      </c>
      <c r="B1420" s="14" t="str">
        <f>IFERROR(__xludf.DUMMYFUNCTION("""COMPUTED_VALUE"""),"ВНЕ СПИСКА")</f>
        <v>ВНЕ СПИСКА</v>
      </c>
      <c r="C1420" s="14" t="str">
        <f>IFERROR(__xludf.DUMMYFUNCTION("""COMPUTED_VALUE"""),"УДС")</f>
        <v>УДС</v>
      </c>
      <c r="D1420" s="6"/>
      <c r="E1420" s="14" t="str">
        <f>IFERROR(__xludf.DUMMYFUNCTION("""COMPUTED_VALUE"""),"Строительство многоуровневых транспортных развязок на участке магистрали Солнцево-Бутово-Варшавское шоссе от ТПУ Столбово до улицы Поляны с необходимой для их функционирования улично-дорожной сетью». Этап 1.2. Участок улично-дорожной сети от ТПУ Столбово "&amp;"до улицы Поляны. Этап 1.2.2.3. (Инфраструктура зарядных станций электробусов) ")</f>
        <v>Строительство многоуровневых транспортных развязок на участке магистрали Солнцево-Бутово-Варшавское шоссе от ТПУ Столбово до улицы Поляны с необходимой для их функционирования улично-дорожной сетью». Этап 1.2. Участок улично-дорожной сети от ТПУ Столбово до улицы Поляны. Этап 1.2.2.3. (Инфраструктура зарядных станций электробусов) </v>
      </c>
      <c r="F1420" s="25" t="str">
        <f>IFERROR(__xludf.DUMMYFUNCTION("""COMPUTED_VALUE"""),"#N/A")</f>
        <v>#N/A</v>
      </c>
      <c r="G1420" s="6" t="str">
        <f>IFERROR(__xludf.DUMMYFUNCTION("""COMPUTED_VALUE"""),"#N/A")</f>
        <v>#N/A</v>
      </c>
      <c r="H1420" s="18" t="str">
        <f>IFERROR(__xludf.DUMMYFUNCTION("""COMPUTED_VALUE"""),"https://docs.google.com/spreadsheets/d/1EI7qusa674eJhuaw-nWWtWMEHVSYMQv7HLsInEZTWpE/edit?gid=1360222736#gid=1360222736")</f>
        <v>https://docs.google.com/spreadsheets/d/1EI7qusa674eJhuaw-nWWtWMEHVSYMQv7HLsInEZTWpE/edit?gid=1360222736#gid=1360222736</v>
      </c>
      <c r="I1420" s="6"/>
      <c r="J1420" s="50"/>
      <c r="K1420" s="58">
        <f>IFERROR(__xludf.DUMMYFUNCTION("""COMPUTED_VALUE"""),45919.0)</f>
        <v>45919</v>
      </c>
      <c r="L1420" s="6">
        <v>30.0</v>
      </c>
      <c r="M1420" s="52">
        <v>45949.0</v>
      </c>
      <c r="N1420" s="53" t="s">
        <v>668</v>
      </c>
      <c r="O1420" s="6" t="s">
        <v>1421</v>
      </c>
      <c r="P1420" s="6"/>
      <c r="Q1420" s="6" t="str">
        <f t="shared" si="1"/>
        <v>#N/A</v>
      </c>
      <c r="R1420" s="6"/>
    </row>
    <row r="1421" hidden="1">
      <c r="A1421" s="31" t="str">
        <f>IFERROR(__xludf.DUMMYFUNCTION("""COMPUTED_VALUE"""),"1318")</f>
        <v>1318</v>
      </c>
      <c r="B1421" s="14" t="str">
        <f>IFERROR(__xludf.DUMMYFUNCTION("""COMPUTED_VALUE"""),"ВНЕ СПИСКА")</f>
        <v>ВНЕ СПИСКА</v>
      </c>
      <c r="C1421" s="14" t="str">
        <f>IFERROR(__xludf.DUMMYFUNCTION("""COMPUTED_VALUE"""),"ОКС")</f>
        <v>ОКС</v>
      </c>
      <c r="D1421" s="6"/>
      <c r="E1421" s="14" t="str">
        <f>IFERROR(__xludf.DUMMYFUNCTION("""COMPUTED_VALUE"""),"Очистные сооружения для застройки м/р 9 Кожухово (Заказ № 05-015)  Очистные сооружения для застройки м/р 9 Кожухово (Заказ № 05-015)         Кожухово, мкр. 9 (ул. Лухмановская, вл.11 Б)        55.719384, 37.899356")</f>
        <v>Очистные сооружения для застройки м/р 9 Кожухово (Заказ № 05-015)  Очистные сооружения для застройки м/р 9 Кожухово (Заказ № 05-015)         Кожухово, мкр. 9 (ул. Лухмановская, вл.11 Б)        55.719384, 37.899356</v>
      </c>
      <c r="F1421" s="25" t="str">
        <f>IFERROR(__xludf.DUMMYFUNCTION("""COMPUTED_VALUE"""),"#N/A")</f>
        <v>#N/A</v>
      </c>
      <c r="G1421" s="6" t="str">
        <f>IFERROR(__xludf.DUMMYFUNCTION("""COMPUTED_VALUE"""),"#N/A")</f>
        <v>#N/A</v>
      </c>
      <c r="H1421" s="18" t="str">
        <f>IFERROR(__xludf.DUMMYFUNCTION("""COMPUTED_VALUE"""),"https://docs.google.com/spreadsheets/d/1EI7qusa674eJhuaw-nWWtWMEHVSYMQv7HLsInEZTWpE/edit?gid=874601105#gid=874601105")</f>
        <v>https://docs.google.com/spreadsheets/d/1EI7qusa674eJhuaw-nWWtWMEHVSYMQv7HLsInEZTWpE/edit?gid=874601105#gid=874601105</v>
      </c>
      <c r="I1421" s="6"/>
      <c r="J1421" s="50">
        <f>IFERROR(__xludf.DUMMYFUNCTION("""COMPUTED_VALUE"""),55.539)</f>
        <v>55.539</v>
      </c>
      <c r="K1421" s="58">
        <f>IFERROR(__xludf.DUMMYFUNCTION("""COMPUTED_VALUE"""),45919.0)</f>
        <v>45919</v>
      </c>
      <c r="L1421" s="6">
        <v>14.0</v>
      </c>
      <c r="M1421" s="52">
        <v>45933.0</v>
      </c>
      <c r="N1421" s="53" t="s">
        <v>668</v>
      </c>
      <c r="O1421" s="6" t="s">
        <v>1422</v>
      </c>
      <c r="P1421" s="6"/>
      <c r="Q1421" s="6" t="str">
        <f t="shared" si="1"/>
        <v>#N/A</v>
      </c>
      <c r="R1421" s="6"/>
    </row>
    <row r="1422" hidden="1">
      <c r="A1422" s="31" t="str">
        <f>IFERROR(__xludf.DUMMYFUNCTION("""COMPUTED_VALUE"""),"1307")</f>
        <v>1307</v>
      </c>
      <c r="B1422" s="14" t="str">
        <f>IFERROR(__xludf.DUMMYFUNCTION("""COMPUTED_VALUE"""),"МЕТРО")</f>
        <v>МЕТРО</v>
      </c>
      <c r="C1422" s="14" t="str">
        <f>IFERROR(__xludf.DUMMYFUNCTION("""COMPUTED_VALUE"""),"УДС")</f>
        <v>УДС</v>
      </c>
      <c r="D1422" s="6"/>
      <c r="E1422" s="14" t="str">
        <f>IFERROR(__xludf.DUMMYFUNCTION("""COMPUTED_VALUE"""),"Технологическая часть ТПУ на станции метро ""Тимирязевская"" ")</f>
        <v>Технологическая часть ТПУ на станции метро "Тимирязевская" </v>
      </c>
      <c r="F1422" s="25" t="str">
        <f>IFERROR(__xludf.DUMMYFUNCTION("""COMPUTED_VALUE"""),"#N/A")</f>
        <v>#N/A</v>
      </c>
      <c r="G1422" s="6" t="str">
        <f>IFERROR(__xludf.DUMMYFUNCTION("""COMPUTED_VALUE"""),"#N/A")</f>
        <v>#N/A</v>
      </c>
      <c r="H1422" s="18" t="str">
        <f>IFERROR(__xludf.DUMMYFUNCTION("""COMPUTED_VALUE"""),"https://docs.google.com/spreadsheets/d/1jonEGMB3UFHiUZpltF1zURon8gYN7jGSHu-k9t5TXnA/edit?gid=658853919#gid=658853919")</f>
        <v>https://docs.google.com/spreadsheets/d/1jonEGMB3UFHiUZpltF1zURon8gYN7jGSHu-k9t5TXnA/edit?gid=658853919#gid=658853919</v>
      </c>
      <c r="I1422" s="19"/>
      <c r="J1422" s="50"/>
      <c r="K1422" s="58">
        <f>IFERROR(__xludf.DUMMYFUNCTION("""COMPUTED_VALUE"""),45918.0)</f>
        <v>45918</v>
      </c>
      <c r="L1422" s="6">
        <v>30.0</v>
      </c>
      <c r="M1422" s="52">
        <v>45948.0</v>
      </c>
      <c r="N1422" s="53" t="s">
        <v>668</v>
      </c>
      <c r="O1422" s="19"/>
      <c r="P1422" s="6"/>
      <c r="Q1422" s="6" t="str">
        <f t="shared" si="1"/>
        <v>#N/A</v>
      </c>
      <c r="R1422" s="6"/>
    </row>
    <row r="1423" hidden="1">
      <c r="A1423" s="31" t="str">
        <f>IFERROR(__xludf.DUMMYFUNCTION("""COMPUTED_VALUE"""),"1308")</f>
        <v>1308</v>
      </c>
      <c r="B1423" s="14" t="str">
        <f>IFERROR(__xludf.DUMMYFUNCTION("""COMPUTED_VALUE"""),"МЕТРО")</f>
        <v>МЕТРО</v>
      </c>
      <c r="C1423" s="14" t="str">
        <f>IFERROR(__xludf.DUMMYFUNCTION("""COMPUTED_VALUE"""),"УДС")</f>
        <v>УДС</v>
      </c>
      <c r="D1423" s="6"/>
      <c r="E1423" s="14" t="str">
        <f>IFERROR(__xludf.DUMMYFUNCTION("""COMPUTED_VALUE"""),"Технологическая часть ТПУ на станции метро ""Люблино"" ")</f>
        <v>Технологическая часть ТПУ на станции метро "Люблино" </v>
      </c>
      <c r="F1423" s="25" t="str">
        <f>IFERROR(__xludf.DUMMYFUNCTION("""COMPUTED_VALUE"""),"55.676615644663535")</f>
        <v>55.676615644663535</v>
      </c>
      <c r="G1423" s="6" t="str">
        <f>IFERROR(__xludf.DUMMYFUNCTION("""COMPUTED_VALUE"""),"37.76245908598237")</f>
        <v>37.76245908598237</v>
      </c>
      <c r="H1423" s="18" t="str">
        <f>IFERROR(__xludf.DUMMYFUNCTION("""COMPUTED_VALUE"""),"https://docs.google.com/spreadsheets/d/1jonEGMB3UFHiUZpltF1zURon8gYN7jGSHu-k9t5TXnA/edit?gid=2025902554#gid=2025902554")</f>
        <v>https://docs.google.com/spreadsheets/d/1jonEGMB3UFHiUZpltF1zURon8gYN7jGSHu-k9t5TXnA/edit?gid=2025902554#gid=2025902554</v>
      </c>
      <c r="I1423" s="6"/>
      <c r="J1423" s="50"/>
      <c r="K1423" s="58">
        <f>IFERROR(__xludf.DUMMYFUNCTION("""COMPUTED_VALUE"""),45954.0)</f>
        <v>45954</v>
      </c>
      <c r="L1423" s="6">
        <v>30.0</v>
      </c>
      <c r="M1423" s="52">
        <v>45984.0</v>
      </c>
      <c r="N1423" s="53" t="s">
        <v>741</v>
      </c>
      <c r="O1423" s="6"/>
      <c r="P1423" s="6"/>
      <c r="Q1423" s="6" t="str">
        <f t="shared" si="1"/>
        <v>#N/A</v>
      </c>
      <c r="R1423" s="6"/>
    </row>
    <row r="1424" hidden="1">
      <c r="A1424" s="31" t="str">
        <f>IFERROR(__xludf.DUMMYFUNCTION("""COMPUTED_VALUE"""),"1309")</f>
        <v>1309</v>
      </c>
      <c r="B1424" s="14" t="str">
        <f>IFERROR(__xludf.DUMMYFUNCTION("""COMPUTED_VALUE"""),"МЕТРО")</f>
        <v>МЕТРО</v>
      </c>
      <c r="C1424" s="14" t="str">
        <f>IFERROR(__xludf.DUMMYFUNCTION("""COMPUTED_VALUE"""),"УДС")</f>
        <v>УДС</v>
      </c>
      <c r="D1424" s="6"/>
      <c r="E1424" s="14" t="str">
        <f>IFERROR(__xludf.DUMMYFUNCTION("""COMPUTED_VALUE"""),"Технологическая часть ТПУ на станции метро ""Нагатинская"" ")</f>
        <v>Технологическая часть ТПУ на станции метро "Нагатинская" </v>
      </c>
      <c r="F1424" s="25" t="str">
        <f>IFERROR(__xludf.DUMMYFUNCTION("""COMPUTED_VALUE"""),"55.683452983520034")</f>
        <v>55.683452983520034</v>
      </c>
      <c r="G1424" s="6" t="str">
        <f>IFERROR(__xludf.DUMMYFUNCTION("""COMPUTED_VALUE"""),"37.6210443359666")</f>
        <v>37.6210443359666</v>
      </c>
      <c r="H1424" s="18" t="str">
        <f>IFERROR(__xludf.DUMMYFUNCTION("""COMPUTED_VALUE"""),"https://docs.google.com/spreadsheets/d/1jonEGMB3UFHiUZpltF1zURon8gYN7jGSHu-k9t5TXnA/edit?gid=1885490900#gid=1885490900")</f>
        <v>https://docs.google.com/spreadsheets/d/1jonEGMB3UFHiUZpltF1zURon8gYN7jGSHu-k9t5TXnA/edit?gid=1885490900#gid=1885490900</v>
      </c>
      <c r="I1424" s="6"/>
      <c r="J1424" s="50"/>
      <c r="K1424" s="58">
        <f>IFERROR(__xludf.DUMMYFUNCTION("""COMPUTED_VALUE"""),45954.0)</f>
        <v>45954</v>
      </c>
      <c r="L1424" s="6">
        <v>30.0</v>
      </c>
      <c r="M1424" s="52">
        <v>45984.0</v>
      </c>
      <c r="N1424" s="53" t="s">
        <v>741</v>
      </c>
      <c r="O1424" s="6"/>
      <c r="P1424" s="6"/>
      <c r="Q1424" s="6" t="str">
        <f t="shared" si="1"/>
        <v>#N/A</v>
      </c>
      <c r="R1424" s="6"/>
    </row>
    <row r="1425" hidden="1">
      <c r="A1425" s="31" t="str">
        <f>IFERROR(__xludf.DUMMYFUNCTION("""COMPUTED_VALUE"""),"1310")</f>
        <v>1310</v>
      </c>
      <c r="B1425" s="14" t="str">
        <f>IFERROR(__xludf.DUMMYFUNCTION("""COMPUTED_VALUE"""),"МЕТРО")</f>
        <v>МЕТРО</v>
      </c>
      <c r="C1425" s="14" t="str">
        <f>IFERROR(__xludf.DUMMYFUNCTION("""COMPUTED_VALUE"""),"УДС")</f>
        <v>УДС</v>
      </c>
      <c r="D1425" s="6"/>
      <c r="E1425" s="14" t="str">
        <f>IFERROR(__xludf.DUMMYFUNCTION("""COMPUTED_VALUE"""),"Технологическая часть ТПУ на станции метро ""Молодежная"" ")</f>
        <v>Технологическая часть ТПУ на станции метро "Молодежная" </v>
      </c>
      <c r="F1425" s="25" t="str">
        <f>IFERROR(__xludf.DUMMYFUNCTION("""COMPUTED_VALUE"""),"55.74093068293902")</f>
        <v>55.74093068293902</v>
      </c>
      <c r="G1425" s="6" t="str">
        <f>IFERROR(__xludf.DUMMYFUNCTION("""COMPUTED_VALUE"""),"37.414742165328526")</f>
        <v>37.414742165328526</v>
      </c>
      <c r="H1425" s="18" t="str">
        <f>IFERROR(__xludf.DUMMYFUNCTION("""COMPUTED_VALUE"""),"https://docs.google.com/spreadsheets/d/1jonEGMB3UFHiUZpltF1zURon8gYN7jGSHu-k9t5TXnA/edit?gid=1197282762#gid=1197282762")</f>
        <v>https://docs.google.com/spreadsheets/d/1jonEGMB3UFHiUZpltF1zURon8gYN7jGSHu-k9t5TXnA/edit?gid=1197282762#gid=1197282762</v>
      </c>
      <c r="I1425" s="6"/>
      <c r="J1425" s="50"/>
      <c r="K1425" s="58">
        <f>IFERROR(__xludf.DUMMYFUNCTION("""COMPUTED_VALUE"""),45954.0)</f>
        <v>45954</v>
      </c>
      <c r="L1425" s="6">
        <v>30.0</v>
      </c>
      <c r="M1425" s="52">
        <v>45984.0</v>
      </c>
      <c r="N1425" s="53" t="s">
        <v>741</v>
      </c>
      <c r="O1425" s="6"/>
      <c r="P1425" s="6"/>
      <c r="Q1425" s="6" t="str">
        <f t="shared" si="1"/>
        <v>#N/A</v>
      </c>
      <c r="R1425" s="6"/>
    </row>
    <row r="1426" hidden="1">
      <c r="A1426" s="31" t="str">
        <f>IFERROR(__xludf.DUMMYFUNCTION("""COMPUTED_VALUE"""),"н/д")</f>
        <v>н/д</v>
      </c>
      <c r="B1426" s="14"/>
      <c r="C1426" s="14" t="str">
        <f>IFERROR(__xludf.DUMMYFUNCTION("""COMPUTED_VALUE"""),"УДС")</f>
        <v>УДС</v>
      </c>
      <c r="D1426" s="6"/>
      <c r="E1426" s="14" t="str">
        <f>IFERROR(__xludf.DUMMYFUNCTION("""COMPUTED_VALUE""")," 
«Размещение отстойно-разворотной площадки наземного городского пассажирского транспорта площадью 0,87 га и строительство здания конечной станции (зона № 28.1)   г.Москва, внутригородское муниципальное образование Зюзино, Балаклавский проспект,"&amp;" владение 28А, строение 5»")</f>
        <v> 
«Размещение отстойно-разворотной площадки наземного городского пассажирского транспорта площадью 0,87 га и строительство здания конечной станции (зона № 28.1)   г.Москва, внутригородское муниципальное образование Зюзино, Балаклавский проспект, владение 28А, строение 5»</v>
      </c>
      <c r="F1426" s="25" t="str">
        <f>IFERROR(__xludf.DUMMYFUNCTION("""COMPUTED_VALUE"""),"#N/A")</f>
        <v>#N/A</v>
      </c>
      <c r="G1426" s="6" t="str">
        <f>IFERROR(__xludf.DUMMYFUNCTION("""COMPUTED_VALUE"""),"#N/A")</f>
        <v>#N/A</v>
      </c>
      <c r="H1426" s="6"/>
      <c r="I1426" s="6"/>
      <c r="J1426" s="50"/>
      <c r="K1426" s="58"/>
      <c r="L1426" s="6">
        <v>30.0</v>
      </c>
      <c r="M1426" s="52" t="s">
        <v>655</v>
      </c>
      <c r="N1426" s="53" t="s">
        <v>698</v>
      </c>
      <c r="O1426" s="6" t="s">
        <v>669</v>
      </c>
      <c r="P1426" s="6"/>
      <c r="Q1426" s="6" t="str">
        <f t="shared" si="1"/>
        <v>#N/A</v>
      </c>
      <c r="R1426" s="6"/>
    </row>
    <row r="1427" hidden="1">
      <c r="A1427" s="31"/>
      <c r="B1427" s="14" t="str">
        <f>IFERROR(__xludf.DUMMYFUNCTION("""COMPUTED_VALUE"""),"МЕТРО")</f>
        <v>МЕТРО</v>
      </c>
      <c r="C1427" s="14" t="str">
        <f>IFERROR(__xludf.DUMMYFUNCTION("""COMPUTED_VALUE"""),"УДС")</f>
        <v>УДС</v>
      </c>
      <c r="D1427" s="6"/>
      <c r="E1427" s="14" t="str">
        <f>IFERROR(__xludf.DUMMYFUNCTION("""COMPUTED_VALUE"""),"Калининско-Солнцевскаялиния метрополитена от станции метро «Рассказовка» до станции
метро «Внуково». Этап «Благоустройство». Этап 1.3: «Благоустройство станции «Пыхтино».
Отстойно-разворотная площадка со зданием конечной станции» ")</f>
        <v>Калининско-Солнцевскаялиния метрополитена от станции метро «Рассказовка» до станции
метро «Внуково». Этап «Благоустройство». Этап 1.3: «Благоустройство станции «Пыхтино».
Отстойно-разворотная площадка со зданием конечной станции» </v>
      </c>
      <c r="F1427" s="25" t="str">
        <f>IFERROR(__xludf.DUMMYFUNCTION("""COMPUTED_VALUE"""),"#N/A")</f>
        <v>#N/A</v>
      </c>
      <c r="G1427" s="6" t="str">
        <f>IFERROR(__xludf.DUMMYFUNCTION("""COMPUTED_VALUE"""),"#N/A")</f>
        <v>#N/A</v>
      </c>
      <c r="H1427" s="6"/>
      <c r="I1427" s="6"/>
      <c r="J1427" s="50"/>
      <c r="K1427" s="58"/>
      <c r="L1427" s="6" t="s">
        <v>655</v>
      </c>
      <c r="M1427" s="52" t="s">
        <v>655</v>
      </c>
      <c r="N1427" s="53" t="s">
        <v>655</v>
      </c>
      <c r="O1427" s="6"/>
      <c r="P1427" s="6"/>
      <c r="Q1427" s="6" t="str">
        <f t="shared" si="1"/>
        <v>#N/A</v>
      </c>
      <c r="R1427" s="6"/>
    </row>
    <row r="1428" hidden="1">
      <c r="A1428" s="31"/>
      <c r="B1428" s="14" t="str">
        <f>IFERROR(__xludf.DUMMYFUNCTION("""COMPUTED_VALUE"""),"МЕТРО")</f>
        <v>МЕТРО</v>
      </c>
      <c r="C1428" s="14" t="str">
        <f>IFERROR(__xludf.DUMMYFUNCTION("""COMPUTED_VALUE"""),"УДС")</f>
        <v>УДС</v>
      </c>
      <c r="D1428" s="6"/>
      <c r="E1428" s="14" t="str">
        <f>IFERROR(__xludf.DUMMYFUNCTION("""COMPUTED_VALUE"""),"Технологическая часть транспортно пересадочного узла на станции метро «Селигерская улица». Уширение Коровинского шоссе и Селигерской улицы. Этап 1.3 Станция метро ""Селигерская""")</f>
        <v>Технологическая часть транспортно пересадочного узла на станции метро «Селигерская улица». Уширение Коровинского шоссе и Селигерской улицы. Этап 1.3 Станция метро "Селигерская"</v>
      </c>
      <c r="F1428" s="25" t="str">
        <f>IFERROR(__xludf.DUMMYFUNCTION("""COMPUTED_VALUE"""),"#N/A")</f>
        <v>#N/A</v>
      </c>
      <c r="G1428" s="6" t="str">
        <f>IFERROR(__xludf.DUMMYFUNCTION("""COMPUTED_VALUE"""),"#N/A")</f>
        <v>#N/A</v>
      </c>
      <c r="H1428" s="6"/>
      <c r="I1428" s="6"/>
      <c r="J1428" s="50"/>
      <c r="K1428" s="58"/>
      <c r="L1428" s="6" t="s">
        <v>655</v>
      </c>
      <c r="M1428" s="52" t="s">
        <v>655</v>
      </c>
      <c r="N1428" s="53" t="s">
        <v>655</v>
      </c>
      <c r="O1428" s="6"/>
      <c r="P1428" s="6"/>
      <c r="Q1428" s="6" t="str">
        <f t="shared" si="1"/>
        <v>#N/A</v>
      </c>
      <c r="R1428" s="6"/>
    </row>
    <row r="1429" hidden="1">
      <c r="A1429" s="31"/>
      <c r="B1429" s="14" t="str">
        <f>IFERROR(__xludf.DUMMYFUNCTION("""COMPUTED_VALUE"""),"МЕТРО")</f>
        <v>МЕТРО</v>
      </c>
      <c r="C1429" s="14" t="str">
        <f>IFERROR(__xludf.DUMMYFUNCTION("""COMPUTED_VALUE"""),"УДС")</f>
        <v>УДС</v>
      </c>
      <c r="D1429" s="6"/>
      <c r="E1429" s="14" t="str">
        <f>IFERROR(__xludf.DUMMYFUNCTION("""COMPUTED_VALUE"""),"Технологическая часть ТПУ на станции метро «Лесопарковая. Этап 1 Станция метро ""Лесопарковая""")</f>
        <v>Технологическая часть ТПУ на станции метро «Лесопарковая. Этап 1 Станция метро "Лесопарковая"</v>
      </c>
      <c r="F1429" s="25" t="str">
        <f>IFERROR(__xludf.DUMMYFUNCTION("""COMPUTED_VALUE"""),"#N/A")</f>
        <v>#N/A</v>
      </c>
      <c r="G1429" s="6" t="str">
        <f>IFERROR(__xludf.DUMMYFUNCTION("""COMPUTED_VALUE"""),"#N/A")</f>
        <v>#N/A</v>
      </c>
      <c r="H1429" s="6"/>
      <c r="I1429" s="6"/>
      <c r="J1429" s="50"/>
      <c r="K1429" s="58"/>
      <c r="L1429" s="6" t="s">
        <v>655</v>
      </c>
      <c r="M1429" s="52" t="s">
        <v>655</v>
      </c>
      <c r="N1429" s="53" t="s">
        <v>655</v>
      </c>
      <c r="O1429" s="6" t="s">
        <v>1423</v>
      </c>
      <c r="P1429" s="6"/>
      <c r="Q1429" s="6" t="str">
        <f t="shared" si="1"/>
        <v>#N/A</v>
      </c>
      <c r="R1429" s="6"/>
    </row>
    <row r="1430" hidden="1">
      <c r="A1430" s="31"/>
      <c r="B1430" s="14" t="str">
        <f>IFERROR(__xludf.DUMMYFUNCTION("""COMPUTED_VALUE"""),"МЕТРО")</f>
        <v>МЕТРО</v>
      </c>
      <c r="C1430" s="14" t="str">
        <f>IFERROR(__xludf.DUMMYFUNCTION("""COMPUTED_VALUE"""),"УДС")</f>
        <v>УДС</v>
      </c>
      <c r="D1430" s="6"/>
      <c r="E1430" s="14" t="str">
        <f>IFERROR(__xludf.DUMMYFUNCTION("""COMPUTED_VALUE"""),"Технологическая часть ТПУ на станции метро «Лесопарковая. Этап 2 Станция метро ""Лесопарковая""")</f>
        <v>Технологическая часть ТПУ на станции метро «Лесопарковая. Этап 2 Станция метро "Лесопарковая"</v>
      </c>
      <c r="F1430" s="25" t="str">
        <f>IFERROR(__xludf.DUMMYFUNCTION("""COMPUTED_VALUE"""),"#N/A")</f>
        <v>#N/A</v>
      </c>
      <c r="G1430" s="6" t="str">
        <f>IFERROR(__xludf.DUMMYFUNCTION("""COMPUTED_VALUE"""),"#N/A")</f>
        <v>#N/A</v>
      </c>
      <c r="H1430" s="6"/>
      <c r="I1430" s="6"/>
      <c r="J1430" s="50"/>
      <c r="K1430" s="58"/>
      <c r="L1430" s="6" t="s">
        <v>655</v>
      </c>
      <c r="M1430" s="52" t="s">
        <v>655</v>
      </c>
      <c r="N1430" s="53" t="s">
        <v>655</v>
      </c>
      <c r="O1430" s="6" t="s">
        <v>893</v>
      </c>
      <c r="P1430" s="6"/>
      <c r="Q1430" s="6" t="str">
        <f t="shared" si="1"/>
        <v>#N/A</v>
      </c>
      <c r="R1430" s="6"/>
    </row>
    <row r="1431" hidden="1">
      <c r="A1431" s="31"/>
      <c r="B1431" s="14"/>
      <c r="C1431" s="14" t="str">
        <f>IFERROR(__xludf.DUMMYFUNCTION("""COMPUTED_VALUE"""),"УДС")</f>
        <v>УДС</v>
      </c>
      <c r="D1431" s="6"/>
      <c r="E1431" s="14" t="str">
        <f>IFERROR(__xludf.DUMMYFUNCTION("""COMPUTED_VALUE"""),"Выполнение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необх"&amp;"одимыми для их функционирования подъездными дорогами, с переустройством инженерных сетей и коммуникаций (1 этап). 1.2 этап: Улично-дорожная сеть территории застройки Мневниковской поймы, инженерные коммуникации и сооружения, ОРП». ")</f>
        <v>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1.2 этап: Улично-дорожная сеть территории застройки Мневниковской поймы, инженерные коммуникации и сооружения, ОРП». </v>
      </c>
      <c r="F1431" s="25" t="str">
        <f>IFERROR(__xludf.DUMMYFUNCTION("""COMPUTED_VALUE"""),"#N/A")</f>
        <v>#N/A</v>
      </c>
      <c r="G1431" s="6" t="str">
        <f>IFERROR(__xludf.DUMMYFUNCTION("""COMPUTED_VALUE"""),"#N/A")</f>
        <v>#N/A</v>
      </c>
      <c r="H1431" s="6"/>
      <c r="I1431" s="6"/>
      <c r="J1431" s="50"/>
      <c r="K1431" s="58"/>
      <c r="L1431" s="6" t="s">
        <v>655</v>
      </c>
      <c r="M1431" s="52" t="s">
        <v>655</v>
      </c>
      <c r="N1431" s="53" t="s">
        <v>655</v>
      </c>
      <c r="O1431" s="6"/>
      <c r="P1431" s="6"/>
      <c r="Q1431" s="6" t="str">
        <f t="shared" si="1"/>
        <v>#N/A</v>
      </c>
      <c r="R1431" s="6"/>
    </row>
    <row r="1432" hidden="1">
      <c r="A1432" s="31"/>
      <c r="B1432" s="14"/>
      <c r="C1432" s="14" t="str">
        <f>IFERROR(__xludf.DUMMYFUNCTION("""COMPUTED_VALUE"""),"УДС")</f>
        <v>УДС</v>
      </c>
      <c r="D1432" s="6"/>
      <c r="E1432" s="14" t="str">
        <f>IFERROR(__xludf.DUMMYFUNCTION("""COMPUTED_VALUE"""),"Выполнение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необх"&amp;"одимыми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f>
        <v>Выполнение проектно-изыскательских работ и работ по строительству объекта капитального строительства: «Строительство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v>
      </c>
      <c r="F1432" s="25" t="str">
        <f>IFERROR(__xludf.DUMMYFUNCTION("""COMPUTED_VALUE"""),"#N/A")</f>
        <v>#N/A</v>
      </c>
      <c r="G1432" s="6" t="str">
        <f>IFERROR(__xludf.DUMMYFUNCTION("""COMPUTED_VALUE"""),"#N/A")</f>
        <v>#N/A</v>
      </c>
      <c r="H1432" s="6"/>
      <c r="I1432" s="6"/>
      <c r="J1432" s="50"/>
      <c r="K1432" s="58"/>
      <c r="L1432" s="6" t="s">
        <v>655</v>
      </c>
      <c r="M1432" s="52" t="s">
        <v>655</v>
      </c>
      <c r="N1432" s="53" t="s">
        <v>655</v>
      </c>
      <c r="O1432" s="6"/>
      <c r="P1432" s="6"/>
      <c r="Q1432" s="6" t="str">
        <f t="shared" si="1"/>
        <v>#N/A</v>
      </c>
      <c r="R1432" s="6"/>
    </row>
    <row r="1433" hidden="1">
      <c r="A1433" s="31"/>
      <c r="B1433" s="14"/>
      <c r="C1433" s="14" t="str">
        <f>IFERROR(__xludf.DUMMYFUNCTION("""COMPUTED_VALUE"""),"УДС")</f>
        <v>УДС</v>
      </c>
      <c r="D1433" s="6"/>
      <c r="E1433" s="14" t="str">
        <f>IFERROR(__xludf.DUMMYFUNCTION("""COMPUTED_VALUE"""),"Выполнение подрядных работ по строительству объекта капитального строительства: ""Строительство многоуровневой транспортной развязки на дороге ""Солнцево-Бутово-Видное"" и прилегающая улично-дорожная сеть. Этап 2. Переустройство ВЛ 110кВ и 220кВ. "" ")</f>
        <v>Выполнение подрядных работ по строительству объекта капитального строительства: "Строительство многоуровневой транспортной развязки на дороге "Солнцево-Бутово-Видное" и прилегающая улично-дорожная сеть. Этап 2. Переустройство ВЛ 110кВ и 220кВ. " </v>
      </c>
      <c r="F1433" s="25" t="str">
        <f>IFERROR(__xludf.DUMMYFUNCTION("""COMPUTED_VALUE"""),"#N/A")</f>
        <v>#N/A</v>
      </c>
      <c r="G1433" s="6" t="str">
        <f>IFERROR(__xludf.DUMMYFUNCTION("""COMPUTED_VALUE"""),"#N/A")</f>
        <v>#N/A</v>
      </c>
      <c r="H1433" s="6"/>
      <c r="I1433" s="6"/>
      <c r="J1433" s="50"/>
      <c r="K1433" s="58"/>
      <c r="L1433" s="6" t="s">
        <v>655</v>
      </c>
      <c r="M1433" s="52" t="s">
        <v>655</v>
      </c>
      <c r="N1433" s="53" t="s">
        <v>655</v>
      </c>
      <c r="O1433" s="6" t="s">
        <v>893</v>
      </c>
      <c r="P1433" s="6"/>
      <c r="Q1433" s="6" t="str">
        <f t="shared" si="1"/>
        <v>#N/A</v>
      </c>
      <c r="R1433" s="6"/>
    </row>
    <row r="1434" hidden="1">
      <c r="A1434" s="31" t="str">
        <f>IFERROR(__xludf.DUMMYFUNCTION("""COMPUTED_VALUE"""),"н/д")</f>
        <v>н/д</v>
      </c>
      <c r="B1434" s="14" t="str">
        <f>IFERROR(__xludf.DUMMYFUNCTION("""COMPUTED_VALUE"""),"ВНЕ СПИСКА")</f>
        <v>ВНЕ СПИСКА</v>
      </c>
      <c r="C1434" s="14" t="str">
        <f>IFERROR(__xludf.DUMMYFUNCTION("""COMPUTED_VALUE"""),"ОКС")</f>
        <v>ОКС</v>
      </c>
      <c r="D1434" s="6"/>
      <c r="E1434" s="14" t="str">
        <f>IFERROR(__xludf.DUMMYFUNCTION("""COMPUTED_VALUE"""),"Индивидуальный монолитный 4-х секционный 16-18-этажный жилой дом с подземной автостоянкой Бирюлево Восточное, 6-я Радиальная ул., вл.7, корп.24")</f>
        <v>Индивидуальный монолитный 4-х секционный 16-18-этажный жилой дом с подземной автостоянкой Бирюлево Восточное, 6-я Радиальная ул., вл.7, корп.24</v>
      </c>
      <c r="F1434" s="25" t="str">
        <f>IFERROR(__xludf.DUMMYFUNCTION("""COMPUTED_VALUE"""),"#N/A")</f>
        <v>#N/A</v>
      </c>
      <c r="G1434" s="6" t="str">
        <f>IFERROR(__xludf.DUMMYFUNCTION("""COMPUTED_VALUE"""),"#N/A")</f>
        <v>#N/A</v>
      </c>
      <c r="H1434" s="6"/>
      <c r="I1434" s="6"/>
      <c r="J1434" s="50"/>
      <c r="K1434" s="58"/>
      <c r="L1434" s="6">
        <v>30.0</v>
      </c>
      <c r="M1434" s="52" t="s">
        <v>655</v>
      </c>
      <c r="N1434" s="53" t="s">
        <v>652</v>
      </c>
      <c r="O1434" s="6" t="s">
        <v>1424</v>
      </c>
      <c r="P1434" s="6"/>
      <c r="Q1434" s="6" t="str">
        <f t="shared" si="1"/>
        <v>#N/A</v>
      </c>
      <c r="R1434" s="6"/>
    </row>
    <row r="1435" hidden="1">
      <c r="A1435" s="31" t="str">
        <f>IFERROR(__xludf.DUMMYFUNCTION("""COMPUTED_VALUE"""),"н/д")</f>
        <v>н/д</v>
      </c>
      <c r="B1435" s="14" t="str">
        <f>IFERROR(__xludf.DUMMYFUNCTION("""COMPUTED_VALUE"""),"ВНЕ СПИСКА")</f>
        <v>ВНЕ СПИСКА</v>
      </c>
      <c r="C1435" s="14" t="str">
        <f>IFERROR(__xludf.DUMMYFUNCTION("""COMPUTED_VALUE"""),"ОКС")</f>
        <v>ОКС</v>
      </c>
      <c r="D1435" s="6"/>
      <c r="E1435" s="14" t="str">
        <f>IFERROR(__xludf.DUMMYFUNCTION("""COMPUTED_VALUE"""),"Индивидуальный монолитный 4-х секционный 16-18-этажный жилой дом с подземной автостоянкой Бирюлево Восточное, 6-я Радиальная ул., вл.7, корп.23")</f>
        <v>Индивидуальный монолитный 4-х секционный 16-18-этажный жилой дом с подземной автостоянкой Бирюлево Восточное, 6-я Радиальная ул., вл.7, корп.23</v>
      </c>
      <c r="F1435" s="25" t="str">
        <f>IFERROR(__xludf.DUMMYFUNCTION("""COMPUTED_VALUE"""),"#N/A")</f>
        <v>#N/A</v>
      </c>
      <c r="G1435" s="6" t="str">
        <f>IFERROR(__xludf.DUMMYFUNCTION("""COMPUTED_VALUE"""),"#N/A")</f>
        <v>#N/A</v>
      </c>
      <c r="H1435" s="6"/>
      <c r="I1435" s="19"/>
      <c r="J1435" s="50"/>
      <c r="K1435" s="58"/>
      <c r="L1435" s="6">
        <v>30.0</v>
      </c>
      <c r="M1435" s="52" t="s">
        <v>655</v>
      </c>
      <c r="N1435" s="53" t="s">
        <v>652</v>
      </c>
      <c r="O1435" s="19" t="s">
        <v>1425</v>
      </c>
      <c r="P1435" s="6"/>
      <c r="Q1435" s="6" t="str">
        <f t="shared" si="1"/>
        <v>#N/A</v>
      </c>
      <c r="R1435" s="6"/>
    </row>
    <row r="1436" hidden="1">
      <c r="A1436" s="31" t="str">
        <f>IFERROR(__xludf.DUMMYFUNCTION("""COMPUTED_VALUE"""),"н/д")</f>
        <v>н/д</v>
      </c>
      <c r="B1436" s="14" t="str">
        <f>IFERROR(__xludf.DUMMYFUNCTION("""COMPUTED_VALUE"""),"ВНЕ СПИСКА")</f>
        <v>ВНЕ СПИСКА</v>
      </c>
      <c r="C1436" s="14" t="str">
        <f>IFERROR(__xludf.DUMMYFUNCTION("""COMPUTED_VALUE"""),"ОКС")</f>
        <v>ОКС</v>
      </c>
      <c r="D1436" s="6"/>
      <c r="E1436" s="14" t="str">
        <f>IFERROR(__xludf.DUMMYFUNCTION("""COMPUTED_VALUE"""),"Индивидуальный монолитный 11-и секционный 16-18-этажный жилой дом с подземной автостоянкой Бирюлево Восточное, 6-я Радиальная ул., вл.7, корп.25")</f>
        <v>Индивидуальный монолитный 11-и секционный 16-18-этажный жилой дом с подземной автостоянкой Бирюлево Восточное, 6-я Радиальная ул., вл.7, корп.25</v>
      </c>
      <c r="F1436" s="25" t="str">
        <f>IFERROR(__xludf.DUMMYFUNCTION("""COMPUTED_VALUE"""),"#N/A")</f>
        <v>#N/A</v>
      </c>
      <c r="G1436" s="6" t="str">
        <f>IFERROR(__xludf.DUMMYFUNCTION("""COMPUTED_VALUE"""),"#N/A")</f>
        <v>#N/A</v>
      </c>
      <c r="H1436" s="6"/>
      <c r="I1436" s="19"/>
      <c r="J1436" s="50"/>
      <c r="K1436" s="58"/>
      <c r="L1436" s="6">
        <v>30.0</v>
      </c>
      <c r="M1436" s="52" t="s">
        <v>655</v>
      </c>
      <c r="N1436" s="53" t="s">
        <v>652</v>
      </c>
      <c r="O1436" s="19" t="s">
        <v>1426</v>
      </c>
      <c r="P1436" s="6"/>
      <c r="Q1436" s="6" t="str">
        <f t="shared" si="1"/>
        <v>#N/A</v>
      </c>
      <c r="R1436" s="6"/>
    </row>
    <row r="1437" hidden="1">
      <c r="A1437" s="31" t="str">
        <f>IFERROR(__xludf.DUMMYFUNCTION("""COMPUTED_VALUE"""),"н/д")</f>
        <v>н/д</v>
      </c>
      <c r="B1437" s="14" t="str">
        <f>IFERROR(__xludf.DUMMYFUNCTION("""COMPUTED_VALUE"""),"ВНЕ СПИСКА")</f>
        <v>ВНЕ СПИСКА</v>
      </c>
      <c r="C1437" s="14" t="str">
        <f>IFERROR(__xludf.DUMMYFUNCTION("""COMPUTED_VALUE"""),"ОКС")</f>
        <v>ОКС</v>
      </c>
      <c r="D1437" s="6"/>
      <c r="E1437" s="14" t="str">
        <f>IFERROR(__xludf.DUMMYFUNCTION("""COMPUTED_VALUE"""),"Административно-деловой центр Бирюлево Восточное, 6-я Радиальная ул., вл.7, корп.35")</f>
        <v>Административно-деловой центр Бирюлево Восточное, 6-я Радиальная ул., вл.7, корп.35</v>
      </c>
      <c r="F1437" s="25" t="str">
        <f>IFERROR(__xludf.DUMMYFUNCTION("""COMPUTED_VALUE"""),"#N/A")</f>
        <v>#N/A</v>
      </c>
      <c r="G1437" s="6" t="str">
        <f>IFERROR(__xludf.DUMMYFUNCTION("""COMPUTED_VALUE"""),"#N/A")</f>
        <v>#N/A</v>
      </c>
      <c r="H1437" s="6"/>
      <c r="I1437" s="19"/>
      <c r="J1437" s="50"/>
      <c r="K1437" s="58"/>
      <c r="L1437" s="6">
        <v>30.0</v>
      </c>
      <c r="M1437" s="52" t="s">
        <v>655</v>
      </c>
      <c r="N1437" s="53" t="s">
        <v>698</v>
      </c>
      <c r="O1437" s="19" t="s">
        <v>1427</v>
      </c>
      <c r="P1437" s="6"/>
      <c r="Q1437" s="6" t="str">
        <f t="shared" si="1"/>
        <v>#N/A</v>
      </c>
      <c r="R1437" s="6"/>
    </row>
    <row r="1438" hidden="1">
      <c r="A1438" s="31" t="str">
        <f>IFERROR(__xludf.DUMMYFUNCTION("""COMPUTED_VALUE"""),"нд")</f>
        <v>нд</v>
      </c>
      <c r="B1438" s="14" t="str">
        <f>IFERROR(__xludf.DUMMYFUNCTION("""COMPUTED_VALUE"""),"ВНЕ СПИСКА")</f>
        <v>ВНЕ СПИСКА</v>
      </c>
      <c r="C1438" s="14"/>
      <c r="D1438" s="6"/>
      <c r="E1438" s="14" t="str">
        <f>IFERROR(__xludf.DUMMYFUNCTION("""COMPUTED_VALUE"""),"Выполнение проектно-изыскательских работ по объекту капитального строительства: «Реконструкция очистного сооружения «Пруд-отстойник «Нищенка» Шоссейная улица, 72")</f>
        <v>Выполнение проектно-изыскательских работ по объекту капитального строительства: «Реконструкция очистного сооружения «Пруд-отстойник «Нищенка» Шоссейная улица, 72</v>
      </c>
      <c r="F1438" s="25" t="str">
        <f>IFERROR(__xludf.DUMMYFUNCTION("""COMPUTED_VALUE"""),"#N/A")</f>
        <v>#N/A</v>
      </c>
      <c r="G1438" s="6" t="str">
        <f>IFERROR(__xludf.DUMMYFUNCTION("""COMPUTED_VALUE"""),"#N/A")</f>
        <v>#N/A</v>
      </c>
      <c r="H1438" s="6"/>
      <c r="I1438" s="19"/>
      <c r="J1438" s="50"/>
      <c r="K1438" s="58"/>
      <c r="L1438" s="6">
        <v>30.0</v>
      </c>
      <c r="M1438" s="52" t="s">
        <v>655</v>
      </c>
      <c r="N1438" s="53" t="s">
        <v>698</v>
      </c>
      <c r="O1438" s="19" t="s">
        <v>1428</v>
      </c>
      <c r="P1438" s="6"/>
      <c r="Q1438" s="6" t="str">
        <f t="shared" si="1"/>
        <v>#N/A</v>
      </c>
      <c r="R1438" s="6"/>
    </row>
    <row r="1439" hidden="1">
      <c r="A1439" s="31" t="str">
        <f>IFERROR(__xludf.DUMMYFUNCTION("""COMPUTED_VALUE"""),"нд")</f>
        <v>нд</v>
      </c>
      <c r="B1439" s="14" t="str">
        <f>IFERROR(__xludf.DUMMYFUNCTION("""COMPUTED_VALUE"""),"ВНЕ СПИСКА")</f>
        <v>ВНЕ СПИСКА</v>
      </c>
      <c r="C1439" s="14" t="str">
        <f>IFERROR(__xludf.DUMMYFUNCTION("""COMPUTED_VALUE"""),"УДС")</f>
        <v>УДС</v>
      </c>
      <c r="D1439" s="6"/>
      <c r="E1439" s="14" t="str">
        <f>IFERROR(__xludf.DUMMYFUNCTION("""COMPUTED_VALUE"""),"Строительство улицы районного значения к ж/д ст. Санино (с ОРП и конечной станцией) дер. Санино, СНТ Крекшино (вдоль путей Киевского направления МЖД)")</f>
        <v>Строительство улицы районного значения к ж/д ст. Санино (с ОРП и конечной станцией) дер. Санино, СНТ Крекшино (вдоль путей Киевского направления МЖД)</v>
      </c>
      <c r="F1439" s="25" t="str">
        <f>IFERROR(__xludf.DUMMYFUNCTION("""COMPUTED_VALUE"""),"#N/A")</f>
        <v>#N/A</v>
      </c>
      <c r="G1439" s="6" t="str">
        <f>IFERROR(__xludf.DUMMYFUNCTION("""COMPUTED_VALUE"""),"#N/A")</f>
        <v>#N/A</v>
      </c>
      <c r="H1439" s="6"/>
      <c r="I1439" s="19"/>
      <c r="J1439" s="50"/>
      <c r="K1439" s="58"/>
      <c r="L1439" s="6">
        <v>30.0</v>
      </c>
      <c r="M1439" s="52" t="s">
        <v>655</v>
      </c>
      <c r="N1439" s="53" t="s">
        <v>698</v>
      </c>
      <c r="O1439" s="19" t="s">
        <v>1429</v>
      </c>
      <c r="P1439" s="6"/>
      <c r="Q1439" s="6" t="str">
        <f t="shared" si="1"/>
        <v>#N/A</v>
      </c>
      <c r="R1439" s="6"/>
    </row>
    <row r="1440" hidden="1">
      <c r="A1440" s="31" t="str">
        <f>IFERROR(__xludf.DUMMYFUNCTION("""COMPUTED_VALUE"""),"нд")</f>
        <v>нд</v>
      </c>
      <c r="B1440" s="14" t="str">
        <f>IFERROR(__xludf.DUMMYFUNCTION("""COMPUTED_VALUE"""),"ВНЕ СПИСКА")</f>
        <v>ВНЕ СПИСКА</v>
      </c>
      <c r="C1440" s="14" t="str">
        <f>IFERROR(__xludf.DUMMYFUNCTION("""COMPUTED_VALUE"""),"УДС")</f>
        <v>УДС</v>
      </c>
      <c r="D1440" s="6"/>
      <c r="E1440" s="14" t="str">
        <f>IFERROR(__xludf.DUMMYFUNCTION("""COMPUTED_VALUE"""),"Выполнение подрядных работ по строительству объекта капитального строительства ""Мероприятия по развитию территории набережной Москвы-реки от железнодорожного моста Курского направления Московской железной дороги до Братеевского каскадного парка. Этап 2.1"&amp;". Благоустройство набережной Москвы-реки от существующих очистных сооружений до Братеевского каскадного парка"" Ул.Борисовские пруды, Братеевский парк")</f>
        <v>Выполнение подрядных работ по строительству объекта капитального строительства "Мероприятия по развитию территории набережной Москвы-реки от железнодорожного моста Курского направления Московской железной дороги до Братеевского каскадного парка. Этап 2.1. Благоустройство набережной Москвы-реки от существующих очистных сооружений до Братеевского каскадного парка" Ул.Борисовские пруды, Братеевский парк</v>
      </c>
      <c r="F1440" s="25" t="str">
        <f>IFERROR(__xludf.DUMMYFUNCTION("""COMPUTED_VALUE"""),"#N/A")</f>
        <v>#N/A</v>
      </c>
      <c r="G1440" s="6" t="str">
        <f>IFERROR(__xludf.DUMMYFUNCTION("""COMPUTED_VALUE"""),"#N/A")</f>
        <v>#N/A</v>
      </c>
      <c r="H1440" s="6"/>
      <c r="I1440" s="6"/>
      <c r="J1440" s="50"/>
      <c r="K1440" s="58"/>
      <c r="L1440" s="6">
        <v>30.0</v>
      </c>
      <c r="M1440" s="52" t="s">
        <v>655</v>
      </c>
      <c r="N1440" s="53" t="s">
        <v>698</v>
      </c>
      <c r="O1440" s="6" t="s">
        <v>936</v>
      </c>
      <c r="P1440" s="6"/>
      <c r="Q1440" s="6" t="str">
        <f t="shared" si="1"/>
        <v>#N/A</v>
      </c>
      <c r="R1440" s="6"/>
    </row>
    <row r="1441" hidden="1">
      <c r="A1441" s="31" t="str">
        <f>IFERROR(__xludf.DUMMYFUNCTION("""COMPUTED_VALUE"""),"1328")</f>
        <v>1328</v>
      </c>
      <c r="B1441" s="14" t="str">
        <f>IFERROR(__xludf.DUMMYFUNCTION("""COMPUTED_VALUE"""),"МЕТРО")</f>
        <v>МЕТРО</v>
      </c>
      <c r="C1441" s="14" t="str">
        <f>IFERROR(__xludf.DUMMYFUNCTION("""COMPUTED_VALUE"""),"УДС")</f>
        <v>УДС</v>
      </c>
      <c r="D1441" s="6"/>
      <c r="E1441" s="14" t="str">
        <f>IFERROR(__xludf.DUMMYFUNCTION("""COMPUTED_VALUE"""),"Технологическая часть ТПУ на станции метро ""Ховрино"" (""ул. Дыбенко""). Этап 4.1 ""Технологическая часть транспортно-пересадочноо узла на станции метро ""Ховрино"" (""Улица Дыбенко""). Развитие транспортной и пешеходной инфраструктуры. Благоустройство С"&amp;"танция метро ""Ховрино""")</f>
        <v>Технологическая часть ТПУ на станции метро "Ховрино" ("ул. Дыбенко"). Этап 4.1 "Технологическая часть транспортно-пересадочноо узла на станции метро "Ховрино" ("Улица Дыбенко"). Развитие транспортной и пешеходной инфраструктуры. Благоустройство Станция метро "Ховрино"</v>
      </c>
      <c r="F1441" s="25" t="str">
        <f>IFERROR(__xludf.DUMMYFUNCTION("""COMPUTED_VALUE"""),"#N/A")</f>
        <v>#N/A</v>
      </c>
      <c r="G1441" s="6" t="str">
        <f>IFERROR(__xludf.DUMMYFUNCTION("""COMPUTED_VALUE"""),"#N/A")</f>
        <v>#N/A</v>
      </c>
      <c r="H1441" s="18" t="str">
        <f>IFERROR(__xludf.DUMMYFUNCTION("""COMPUTED_VALUE"""),"https://docs.google.com/spreadsheets/d/1jonEGMB3UFHiUZpltF1zURon8gYN7jGSHu-k9t5TXnA/edit?gid=1276297244#gid=1276297244")</f>
        <v>https://docs.google.com/spreadsheets/d/1jonEGMB3UFHiUZpltF1zURon8gYN7jGSHu-k9t5TXnA/edit?gid=1276297244#gid=1276297244</v>
      </c>
      <c r="I1441" s="6"/>
      <c r="J1441" s="50"/>
      <c r="K1441" s="58">
        <f>IFERROR(__xludf.DUMMYFUNCTION("""COMPUTED_VALUE"""),45973.0)</f>
        <v>45973</v>
      </c>
      <c r="L1441" s="6">
        <v>30.0</v>
      </c>
      <c r="M1441" s="52">
        <v>46003.0</v>
      </c>
      <c r="N1441" s="53" t="s">
        <v>711</v>
      </c>
      <c r="O1441" s="6" t="s">
        <v>1430</v>
      </c>
      <c r="P1441" s="6"/>
      <c r="Q1441" s="6" t="str">
        <f t="shared" si="1"/>
        <v>#N/A</v>
      </c>
      <c r="R1441" s="6"/>
    </row>
    <row r="1442" hidden="1">
      <c r="A1442" s="31" t="str">
        <f>IFERROR(__xludf.DUMMYFUNCTION("""COMPUTED_VALUE"""),"1329")</f>
        <v>1329</v>
      </c>
      <c r="B1442" s="14" t="str">
        <f>IFERROR(__xludf.DUMMYFUNCTION("""COMPUTED_VALUE"""),"ВНЕ СПИСКА")</f>
        <v>ВНЕ СПИСКА</v>
      </c>
      <c r="C1442" s="14" t="str">
        <f>IFERROR(__xludf.DUMMYFUNCTION("""COMPUTED_VALUE"""),"ОКС")</f>
        <v>ОКС</v>
      </c>
      <c r="D1442" s="6" t="str">
        <f>IFERROR(__xludf.DUMMYFUNCTION("""COMPUTED_VALUE"""),"да")</f>
        <v>да</v>
      </c>
      <c r="E1442" s="14" t="str">
        <f>IFERROR(__xludf.DUMMYFUNCTION("""COMPUTED_VALUE"""),"Многоэтажный многоквартирный дом. Очередь 1. Этап 1.1. Корпуса 1-5 ул. Вишневая вл. 7")</f>
        <v>Многоэтажный многоквартирный дом. Очередь 1. Этап 1.1. Корпуса 1-5 ул. Вишневая вл. 7</v>
      </c>
      <c r="F1442" s="25" t="str">
        <f>IFERROR(__xludf.DUMMYFUNCTION("""COMPUTED_VALUE"""),"#N/A")</f>
        <v>#N/A</v>
      </c>
      <c r="G1442" s="6" t="str">
        <f>IFERROR(__xludf.DUMMYFUNCTION("""COMPUTED_VALUE"""),"#N/A")</f>
        <v>#N/A</v>
      </c>
      <c r="H1442" s="18" t="str">
        <f>IFERROR(__xludf.DUMMYFUNCTION("""COMPUTED_VALUE"""),"https://docs.google.com/spreadsheets/d/1EI7qusa674eJhuaw-nWWtWMEHVSYMQv7HLsInEZTWpE/edit?gid=757624793#gid=757624793")</f>
        <v>https://docs.google.com/spreadsheets/d/1EI7qusa674eJhuaw-nWWtWMEHVSYMQv7HLsInEZTWpE/edit?gid=757624793#gid=757624793</v>
      </c>
      <c r="I1442" s="6"/>
      <c r="J1442" s="50"/>
      <c r="K1442" s="58">
        <f>IFERROR(__xludf.DUMMYFUNCTION("""COMPUTED_VALUE"""),45933.0)</f>
        <v>45933</v>
      </c>
      <c r="L1442" s="6">
        <v>30.0</v>
      </c>
      <c r="M1442" s="52">
        <v>45963.0</v>
      </c>
      <c r="N1442" s="53" t="s">
        <v>668</v>
      </c>
      <c r="O1442" s="6" t="s">
        <v>669</v>
      </c>
      <c r="P1442" s="6"/>
      <c r="Q1442" s="6" t="str">
        <f t="shared" si="1"/>
        <v>#N/A</v>
      </c>
      <c r="R1442" s="6"/>
    </row>
    <row r="1443" hidden="1">
      <c r="A1443" s="31" t="str">
        <f>IFERROR(__xludf.DUMMYFUNCTION("""COMPUTED_VALUE"""),"1329")</f>
        <v>1329</v>
      </c>
      <c r="B1443" s="14" t="str">
        <f>IFERROR(__xludf.DUMMYFUNCTION("""COMPUTED_VALUE"""),"ВНЕ СПИСКА")</f>
        <v>ВНЕ СПИСКА</v>
      </c>
      <c r="C1443" s="14" t="str">
        <f>IFERROR(__xludf.DUMMYFUNCTION("""COMPUTED_VALUE"""),"ОКС")</f>
        <v>ОКС</v>
      </c>
      <c r="D1443" s="6" t="str">
        <f>IFERROR(__xludf.DUMMYFUNCTION("""COMPUTED_VALUE"""),"да")</f>
        <v>да</v>
      </c>
      <c r="E1443" s="14" t="str">
        <f>IFERROR(__xludf.DUMMYFUNCTION("""COMPUTED_VALUE"""),"Многоэтажный многоквартирный дом. Очередь 1. Этап 1.2. Корпуса 6-9 ул. Вишневая вл. 7")</f>
        <v>Многоэтажный многоквартирный дом. Очередь 1. Этап 1.2. Корпуса 6-9 ул. Вишневая вл. 7</v>
      </c>
      <c r="F1443" s="25" t="str">
        <f>IFERROR(__xludf.DUMMYFUNCTION("""COMPUTED_VALUE"""),"#N/A")</f>
        <v>#N/A</v>
      </c>
      <c r="G1443" s="6" t="str">
        <f>IFERROR(__xludf.DUMMYFUNCTION("""COMPUTED_VALUE"""),"#N/A")</f>
        <v>#N/A</v>
      </c>
      <c r="H1443" s="18" t="str">
        <f>IFERROR(__xludf.DUMMYFUNCTION("""COMPUTED_VALUE"""),"https://docs.google.com/spreadsheets/d/1EI7qusa674eJhuaw-nWWtWMEHVSYMQv7HLsInEZTWpE/edit?gid=757624793#gid=757624793")</f>
        <v>https://docs.google.com/spreadsheets/d/1EI7qusa674eJhuaw-nWWtWMEHVSYMQv7HLsInEZTWpE/edit?gid=757624793#gid=757624793</v>
      </c>
      <c r="I1443" s="19"/>
      <c r="J1443" s="50"/>
      <c r="K1443" s="58">
        <f>IFERROR(__xludf.DUMMYFUNCTION("""COMPUTED_VALUE"""),45933.0)</f>
        <v>45933</v>
      </c>
      <c r="L1443" s="6">
        <v>30.0</v>
      </c>
      <c r="M1443" s="52">
        <v>45963.0</v>
      </c>
      <c r="N1443" s="53" t="s">
        <v>668</v>
      </c>
      <c r="O1443" s="19" t="s">
        <v>669</v>
      </c>
      <c r="P1443" s="6"/>
      <c r="Q1443" s="6" t="str">
        <f t="shared" si="1"/>
        <v>#N/A</v>
      </c>
      <c r="R1443" s="6"/>
    </row>
    <row r="1444" hidden="1">
      <c r="A1444" s="31" t="str">
        <f>IFERROR(__xludf.DUMMYFUNCTION("""COMPUTED_VALUE"""),"н/д")</f>
        <v>н/д</v>
      </c>
      <c r="B1444" s="14"/>
      <c r="C1444" s="14" t="str">
        <f>IFERROR(__xludf.DUMMYFUNCTION("""COMPUTED_VALUE"""),"ОКС")</f>
        <v>ОКС</v>
      </c>
      <c r="D1444" s="6" t="str">
        <f>IFERROR(__xludf.DUMMYFUNCTION("""COMPUTED_VALUE"""),"да")</f>
        <v>да</v>
      </c>
      <c r="E1444" s="14" t="str">
        <f>IFERROR(__xludf.DUMMYFUNCTION("""COMPUTED_VALUE"""),"Реконструкция здания Энтузиастов ш., з/у 31/2")</f>
        <v>Реконструкция здания Энтузиастов ш., з/у 31/2</v>
      </c>
      <c r="F1444" s="25" t="str">
        <f>IFERROR(__xludf.DUMMYFUNCTION("""COMPUTED_VALUE"""),"#N/A")</f>
        <v>#N/A</v>
      </c>
      <c r="G1444" s="6" t="str">
        <f>IFERROR(__xludf.DUMMYFUNCTION("""COMPUTED_VALUE"""),"#N/A")</f>
        <v>#N/A</v>
      </c>
      <c r="H1444" s="6"/>
      <c r="I1444" s="19"/>
      <c r="J1444" s="50"/>
      <c r="K1444" s="58"/>
      <c r="L1444" s="6">
        <v>30.0</v>
      </c>
      <c r="M1444" s="52" t="s">
        <v>655</v>
      </c>
      <c r="N1444" s="53" t="s">
        <v>698</v>
      </c>
      <c r="O1444" s="19"/>
      <c r="P1444" s="6"/>
      <c r="Q1444" s="6" t="str">
        <f t="shared" si="1"/>
        <v>#N/A</v>
      </c>
      <c r="R1444" s="6"/>
    </row>
    <row r="1445" hidden="1">
      <c r="A1445" s="31" t="str">
        <f>IFERROR(__xludf.DUMMYFUNCTION("""COMPUTED_VALUE"""),"н/д")</f>
        <v>н/д</v>
      </c>
      <c r="B1445" s="14" t="str">
        <f>IFERROR(__xludf.DUMMYFUNCTION("""COMPUTED_VALUE"""),"ВНЕ СПИСКА")</f>
        <v>ВНЕ СПИСКА</v>
      </c>
      <c r="C1445" s="14" t="str">
        <f>IFERROR(__xludf.DUMMYFUNCTION("""COMPUTED_VALUE"""),"ОКС")</f>
        <v>ОКС</v>
      </c>
      <c r="D1445" s="6" t="str">
        <f>IFERROR(__xludf.DUMMYFUNCTION("""COMPUTED_VALUE"""),"да")</f>
        <v>да</v>
      </c>
      <c r="E1445" s="14" t="str">
        <f>IFERROR(__xludf.DUMMYFUNCTION("""COMPUTED_VALUE"""),"Реконструкция жилого дома ул. Пятницкая, вл. 37, стр. 2")</f>
        <v>Реконструкция жилого дома ул. Пятницкая, вл. 37, стр. 2</v>
      </c>
      <c r="F1445" s="25" t="str">
        <f>IFERROR(__xludf.DUMMYFUNCTION("""COMPUTED_VALUE"""),"#N/A")</f>
        <v>#N/A</v>
      </c>
      <c r="G1445" s="6" t="str">
        <f>IFERROR(__xludf.DUMMYFUNCTION("""COMPUTED_VALUE"""),"#N/A")</f>
        <v>#N/A</v>
      </c>
      <c r="H1445" s="6"/>
      <c r="I1445" s="19"/>
      <c r="J1445" s="50"/>
      <c r="K1445" s="58"/>
      <c r="L1445" s="6">
        <v>30.0</v>
      </c>
      <c r="M1445" s="52" t="s">
        <v>655</v>
      </c>
      <c r="N1445" s="53" t="s">
        <v>698</v>
      </c>
      <c r="O1445" s="19"/>
      <c r="P1445" s="6"/>
      <c r="Q1445" s="6" t="str">
        <f t="shared" si="1"/>
        <v>#N/A</v>
      </c>
      <c r="R1445" s="6"/>
    </row>
    <row r="1446" hidden="1">
      <c r="A1446" s="31"/>
      <c r="B1446" s="14" t="str">
        <f>IFERROR(__xludf.DUMMYFUNCTION("""COMPUTED_VALUE"""),"ВНЕ СПИСКА")</f>
        <v>ВНЕ СПИСКА</v>
      </c>
      <c r="C1446" s="14" t="str">
        <f>IFERROR(__xludf.DUMMYFUNCTION("""COMPUTED_VALUE"""),"ОКС")</f>
        <v>ОКС</v>
      </c>
      <c r="D1446" s="6" t="str">
        <f>IFERROR(__xludf.DUMMYFUNCTION("""COMPUTED_VALUE"""),"да")</f>
        <v>да</v>
      </c>
      <c r="E1446" s="14" t="str">
        <f>IFERROR(__xludf.DUMMYFUNCTION("""COMPUTED_VALUE"""),"Петропавловская церковь Вернадского пр-кт, влд. 76")</f>
        <v>Петропавловская церковь Вернадского пр-кт, влд. 76</v>
      </c>
      <c r="F1446" s="25" t="str">
        <f>IFERROR(__xludf.DUMMYFUNCTION("""COMPUTED_VALUE"""),"#N/A")</f>
        <v>#N/A</v>
      </c>
      <c r="G1446" s="6" t="str">
        <f>IFERROR(__xludf.DUMMYFUNCTION("""COMPUTED_VALUE"""),"#N/A")</f>
        <v>#N/A</v>
      </c>
      <c r="H1446" s="6"/>
      <c r="I1446" s="19"/>
      <c r="J1446" s="50"/>
      <c r="K1446" s="58"/>
      <c r="L1446" s="6" t="s">
        <v>655</v>
      </c>
      <c r="M1446" s="52" t="s">
        <v>655</v>
      </c>
      <c r="N1446" s="53" t="s">
        <v>655</v>
      </c>
      <c r="O1446" s="19"/>
      <c r="P1446" s="6"/>
      <c r="Q1446" s="6" t="str">
        <f t="shared" si="1"/>
        <v>#N/A</v>
      </c>
      <c r="R1446" s="6"/>
    </row>
    <row r="1447" hidden="1">
      <c r="A1447" s="31"/>
      <c r="B1447" s="14"/>
      <c r="C1447" s="14"/>
      <c r="D1447" s="6" t="str">
        <f>IFERROR(__xludf.DUMMYFUNCTION("""COMPUTED_VALUE"""),"да")</f>
        <v>да</v>
      </c>
      <c r="E1447" s="14" t="str">
        <f>IFERROR(__xludf.DUMMYFUNCTION("""COMPUTED_VALUE"""),"- Боровское шоссе, 17Б")</f>
        <v>- Боровское шоссе, 17Б</v>
      </c>
      <c r="F1447" s="25" t="str">
        <f>IFERROR(__xludf.DUMMYFUNCTION("""COMPUTED_VALUE"""),"#N/A")</f>
        <v>#N/A</v>
      </c>
      <c r="G1447" s="6" t="str">
        <f>IFERROR(__xludf.DUMMYFUNCTION("""COMPUTED_VALUE"""),"#N/A")</f>
        <v>#N/A</v>
      </c>
      <c r="H1447" s="6"/>
      <c r="I1447" s="19"/>
      <c r="J1447" s="50"/>
      <c r="K1447" s="58"/>
      <c r="L1447" s="6" t="s">
        <v>655</v>
      </c>
      <c r="M1447" s="52" t="s">
        <v>655</v>
      </c>
      <c r="N1447" s="53" t="s">
        <v>655</v>
      </c>
      <c r="O1447" s="19"/>
      <c r="P1447" s="6"/>
      <c r="Q1447" s="6" t="str">
        <f t="shared" si="1"/>
        <v>#N/A</v>
      </c>
      <c r="R1447" s="6"/>
    </row>
    <row r="1448" hidden="1">
      <c r="A1448" s="31" t="str">
        <f>IFERROR(__xludf.DUMMYFUNCTION("""COMPUTED_VALUE"""),"н/д")</f>
        <v>н/д</v>
      </c>
      <c r="B1448" s="14" t="str">
        <f>IFERROR(__xludf.DUMMYFUNCTION("""COMPUTED_VALUE"""),"ВНЕ СПИСКА")</f>
        <v>ВНЕ СПИСКА</v>
      </c>
      <c r="C1448" s="14" t="str">
        <f>IFERROR(__xludf.DUMMYFUNCTION("""COMPUTED_VALUE"""),"ОКС")</f>
        <v>ОКС</v>
      </c>
      <c r="D1448" s="6" t="str">
        <f>IFERROR(__xludf.DUMMYFUNCTION("""COMPUTED_VALUE"""),"да")</f>
        <v>да</v>
      </c>
      <c r="E1448" s="14" t="str">
        <f>IFERROR(__xludf.DUMMYFUNCTION("""COMPUTED_VALUE"""),"Многофункциональная комплексная жилая застройка ""Событие 6.2"" г.Москва, ЗАО, район Раменки, между ул. Лобачевского и платформой «Матвеевское», квартал 3, 2-я очередь, этап 2")</f>
        <v>Многофункциональная комплексная жилая застройка "Событие 6.2" г.Москва, ЗАО, район Раменки, между ул. Лобачевского и платформой «Матвеевское», квартал 3, 2-я очередь, этап 2</v>
      </c>
      <c r="F1448" s="25" t="str">
        <f>IFERROR(__xludf.DUMMYFUNCTION("""COMPUTED_VALUE"""),"#N/A")</f>
        <v>#N/A</v>
      </c>
      <c r="G1448" s="6" t="str">
        <f>IFERROR(__xludf.DUMMYFUNCTION("""COMPUTED_VALUE"""),"#N/A")</f>
        <v>#N/A</v>
      </c>
      <c r="H1448" s="6"/>
      <c r="I1448" s="19"/>
      <c r="J1448" s="50"/>
      <c r="K1448" s="58"/>
      <c r="L1448" s="6">
        <v>30.0</v>
      </c>
      <c r="M1448" s="52" t="s">
        <v>655</v>
      </c>
      <c r="N1448" s="53" t="s">
        <v>698</v>
      </c>
      <c r="O1448" s="19"/>
      <c r="P1448" s="6"/>
      <c r="Q1448" s="6" t="str">
        <f t="shared" si="1"/>
        <v>#N/A</v>
      </c>
      <c r="R1448" s="6"/>
    </row>
    <row r="1449" hidden="1">
      <c r="A1449" s="31" t="str">
        <f>IFERROR(__xludf.DUMMYFUNCTION("""COMPUTED_VALUE"""),"н/д")</f>
        <v>н/д</v>
      </c>
      <c r="B1449" s="14" t="str">
        <f>IFERROR(__xludf.DUMMYFUNCTION("""COMPUTED_VALUE"""),"ВНЕ СПИСКА")</f>
        <v>ВНЕ СПИСКА</v>
      </c>
      <c r="C1449" s="14" t="str">
        <f>IFERROR(__xludf.DUMMYFUNCTION("""COMPUTED_VALUE"""),"ОКС")</f>
        <v>ОКС</v>
      </c>
      <c r="D1449" s="6" t="str">
        <f>IFERROR(__xludf.DUMMYFUNCTION("""COMPUTED_VALUE"""),"да")</f>
        <v>да</v>
      </c>
      <c r="E1449" s="14" t="str">
        <f>IFERROR(__xludf.DUMMYFUNCTION("""COMPUTED_VALUE"""),"Многофункциональная комплексная жилая застройка ""Событие 6.1"" г.Москва, ЗАО, район Раменки, между ул. Лобачевского и платформой «Матвеевское», квартал 3, 2-я очередь, этап 2")</f>
        <v>Многофункциональная комплексная жилая застройка "Событие 6.1" г.Москва, ЗАО, район Раменки, между ул. Лобачевского и платформой «Матвеевское», квартал 3, 2-я очередь, этап 2</v>
      </c>
      <c r="F1449" s="25" t="str">
        <f>IFERROR(__xludf.DUMMYFUNCTION("""COMPUTED_VALUE"""),"#N/A")</f>
        <v>#N/A</v>
      </c>
      <c r="G1449" s="6" t="str">
        <f>IFERROR(__xludf.DUMMYFUNCTION("""COMPUTED_VALUE"""),"#N/A")</f>
        <v>#N/A</v>
      </c>
      <c r="H1449" s="6"/>
      <c r="I1449" s="19"/>
      <c r="J1449" s="50"/>
      <c r="K1449" s="58"/>
      <c r="L1449" s="6">
        <v>30.0</v>
      </c>
      <c r="M1449" s="52" t="s">
        <v>655</v>
      </c>
      <c r="N1449" s="53" t="s">
        <v>698</v>
      </c>
      <c r="O1449" s="19"/>
      <c r="P1449" s="6"/>
      <c r="Q1449" s="6" t="str">
        <f t="shared" si="1"/>
        <v>#N/A</v>
      </c>
      <c r="R1449" s="6"/>
    </row>
    <row r="1450" hidden="1">
      <c r="A1450" s="31" t="str">
        <f>IFERROR(__xludf.DUMMYFUNCTION("""COMPUTED_VALUE"""),"н/д")</f>
        <v>н/д</v>
      </c>
      <c r="B1450" s="14" t="str">
        <f>IFERROR(__xludf.DUMMYFUNCTION("""COMPUTED_VALUE"""),"ВНЕ СПИСКА")</f>
        <v>ВНЕ СПИСКА</v>
      </c>
      <c r="C1450" s="14" t="str">
        <f>IFERROR(__xludf.DUMMYFUNCTION("""COMPUTED_VALUE"""),"ОКС")</f>
        <v>ОКС</v>
      </c>
      <c r="D1450" s="6" t="str">
        <f>IFERROR(__xludf.DUMMYFUNCTION("""COMPUTED_VALUE"""),"да")</f>
        <v>да</v>
      </c>
      <c r="E1450" s="14" t="str">
        <f>IFERROR(__xludf.DUMMYFUNCTION("""COMPUTED_VALUE"""),"Здание ГК Росатом Китайгородский проезд, д. 7, стр. 1")</f>
        <v>Здание ГК Росатом Китайгородский проезд, д. 7, стр. 1</v>
      </c>
      <c r="F1450" s="25" t="str">
        <f>IFERROR(__xludf.DUMMYFUNCTION("""COMPUTED_VALUE"""),"#N/A")</f>
        <v>#N/A</v>
      </c>
      <c r="G1450" s="6" t="str">
        <f>IFERROR(__xludf.DUMMYFUNCTION("""COMPUTED_VALUE"""),"#N/A")</f>
        <v>#N/A</v>
      </c>
      <c r="H1450" s="6"/>
      <c r="I1450" s="19"/>
      <c r="J1450" s="50"/>
      <c r="K1450" s="58"/>
      <c r="L1450" s="6">
        <v>30.0</v>
      </c>
      <c r="M1450" s="52" t="s">
        <v>655</v>
      </c>
      <c r="N1450" s="53" t="s">
        <v>698</v>
      </c>
      <c r="O1450" s="19"/>
      <c r="P1450" s="6"/>
      <c r="Q1450" s="6" t="str">
        <f t="shared" si="1"/>
        <v>#N/A</v>
      </c>
      <c r="R1450" s="6"/>
    </row>
    <row r="1451" hidden="1">
      <c r="A1451" s="31"/>
      <c r="B1451" s="14"/>
      <c r="C1451" s="14"/>
      <c r="D1451" s="6" t="str">
        <f>IFERROR(__xludf.DUMMYFUNCTION("""COMPUTED_VALUE"""),"да")</f>
        <v>да</v>
      </c>
      <c r="E1451" s="14" t="str">
        <f>IFERROR(__xludf.DUMMYFUNCTION("""COMPUTED_VALUE"""),"- Рязанский пр-кт., влд.65,к.2")</f>
        <v>- Рязанский пр-кт., влд.65,к.2</v>
      </c>
      <c r="F1451" s="25" t="str">
        <f>IFERROR(__xludf.DUMMYFUNCTION("""COMPUTED_VALUE"""),"#N/A")</f>
        <v>#N/A</v>
      </c>
      <c r="G1451" s="6" t="str">
        <f>IFERROR(__xludf.DUMMYFUNCTION("""COMPUTED_VALUE"""),"#N/A")</f>
        <v>#N/A</v>
      </c>
      <c r="H1451" s="6"/>
      <c r="I1451" s="19"/>
      <c r="J1451" s="50"/>
      <c r="K1451" s="58"/>
      <c r="L1451" s="6" t="s">
        <v>655</v>
      </c>
      <c r="M1451" s="52" t="s">
        <v>655</v>
      </c>
      <c r="N1451" s="53" t="s">
        <v>655</v>
      </c>
      <c r="O1451" s="19"/>
      <c r="P1451" s="6"/>
      <c r="Q1451" s="6" t="str">
        <f t="shared" si="1"/>
        <v>#N/A</v>
      </c>
      <c r="R1451" s="6"/>
    </row>
    <row r="1452" hidden="1">
      <c r="A1452" s="31"/>
      <c r="B1452" s="14"/>
      <c r="C1452" s="14"/>
      <c r="D1452" s="6"/>
      <c r="E1452" s="14" t="str">
        <f>IFERROR(__xludf.DUMMYFUNCTION("""COMPUTED_VALUE"""),"- Комсомольская станция метро")</f>
        <v>- Комсомольская станция метро</v>
      </c>
      <c r="F1452" s="25" t="str">
        <f>IFERROR(__xludf.DUMMYFUNCTION("""COMPUTED_VALUE"""),"#N/A")</f>
        <v>#N/A</v>
      </c>
      <c r="G1452" s="6" t="str">
        <f>IFERROR(__xludf.DUMMYFUNCTION("""COMPUTED_VALUE"""),"#N/A")</f>
        <v>#N/A</v>
      </c>
      <c r="H1452" s="6"/>
      <c r="I1452" s="19"/>
      <c r="J1452" s="50"/>
      <c r="K1452" s="58"/>
      <c r="L1452" s="6" t="s">
        <v>655</v>
      </c>
      <c r="M1452" s="52" t="s">
        <v>655</v>
      </c>
      <c r="N1452" s="53" t="s">
        <v>655</v>
      </c>
      <c r="O1452" s="19"/>
      <c r="P1452" s="6"/>
      <c r="Q1452" s="6" t="str">
        <f t="shared" si="1"/>
        <v>#N/A</v>
      </c>
      <c r="R1452" s="6"/>
    </row>
    <row r="1453" hidden="1">
      <c r="A1453" s="31"/>
      <c r="B1453" s="14"/>
      <c r="C1453" s="14"/>
      <c r="D1453" s="6"/>
      <c r="E1453" s="14" t="str">
        <f>IFERROR(__xludf.DUMMYFUNCTION("""COMPUTED_VALUE"""),"- станция метро ""Фили""")</f>
        <v>- станция метро "Фили"</v>
      </c>
      <c r="F1453" s="25" t="str">
        <f>IFERROR(__xludf.DUMMYFUNCTION("""COMPUTED_VALUE"""),"#N/A")</f>
        <v>#N/A</v>
      </c>
      <c r="G1453" s="6" t="str">
        <f>IFERROR(__xludf.DUMMYFUNCTION("""COMPUTED_VALUE"""),"#N/A")</f>
        <v>#N/A</v>
      </c>
      <c r="H1453" s="6"/>
      <c r="I1453" s="19"/>
      <c r="J1453" s="50"/>
      <c r="K1453" s="58"/>
      <c r="L1453" s="6" t="s">
        <v>655</v>
      </c>
      <c r="M1453" s="52" t="s">
        <v>655</v>
      </c>
      <c r="N1453" s="53" t="s">
        <v>655</v>
      </c>
      <c r="O1453" s="19"/>
      <c r="P1453" s="6"/>
      <c r="Q1453" s="6" t="str">
        <f t="shared" si="1"/>
        <v>#N/A</v>
      </c>
      <c r="R1453" s="6"/>
    </row>
    <row r="1454" hidden="1">
      <c r="A1454" s="31" t="str">
        <f>IFERROR(__xludf.DUMMYFUNCTION("""COMPUTED_VALUE"""),"н/д")</f>
        <v>н/д</v>
      </c>
      <c r="B1454" s="14" t="str">
        <f>IFERROR(__xludf.DUMMYFUNCTION("""COMPUTED_VALUE"""),"ВНЕ СПИСКА")</f>
        <v>ВНЕ СПИСКА</v>
      </c>
      <c r="C1454" s="14" t="str">
        <f>IFERROR(__xludf.DUMMYFUNCTION("""COMPUTED_VALUE"""),"ОКС")</f>
        <v>ОКС</v>
      </c>
      <c r="D1454" s="6"/>
      <c r="E1454" s="14" t="str">
        <f>IFERROR(__xludf.DUMMYFUNCTION("""COMPUTED_VALUE"""),"Жилой дом с подземной автостоянкой, инженерными сетями и благоустройством территории (со сносом жилого дома по адресу: Волгоградский пр-т, д. 143, корп.2) по адресу: вн. тер. г. Кузьминки, Волгоградский проспект, земельный участок 143/2/8 Волгоградский пр"&amp;"-т, з/у 143/2/8 (зона 2.8)")</f>
        <v>Жилой дом с подземной автостоянкой, инженерными сетями и благоустройством территории (со сносом жилого дома по адресу: Волгоградский пр-т, д. 143, корп.2) по адресу: вн. тер. г. Кузьминки, Волгоградский проспект, земельный участок 143/2/8 Волгоградский пр-т, з/у 143/2/8 (зона 2.8)</v>
      </c>
      <c r="F1454" s="25" t="str">
        <f>IFERROR(__xludf.DUMMYFUNCTION("""COMPUTED_VALUE"""),"#N/A")</f>
        <v>#N/A</v>
      </c>
      <c r="G1454" s="6" t="str">
        <f>IFERROR(__xludf.DUMMYFUNCTION("""COMPUTED_VALUE"""),"#N/A")</f>
        <v>#N/A</v>
      </c>
      <c r="H1454" s="6"/>
      <c r="I1454" s="19"/>
      <c r="J1454" s="50"/>
      <c r="K1454" s="58"/>
      <c r="L1454" s="6">
        <v>30.0</v>
      </c>
      <c r="M1454" s="52" t="s">
        <v>655</v>
      </c>
      <c r="N1454" s="53" t="s">
        <v>698</v>
      </c>
      <c r="O1454" s="19" t="s">
        <v>914</v>
      </c>
      <c r="P1454" s="6"/>
      <c r="Q1454" s="6" t="str">
        <f t="shared" si="1"/>
        <v>#N/A</v>
      </c>
      <c r="R1454" s="6"/>
    </row>
    <row r="1455" hidden="1">
      <c r="A1455" s="31" t="str">
        <f>IFERROR(__xludf.DUMMYFUNCTION("""COMPUTED_VALUE"""),"н/д")</f>
        <v>н/д</v>
      </c>
      <c r="B1455" s="14" t="str">
        <f>IFERROR(__xludf.DUMMYFUNCTION("""COMPUTED_VALUE"""),"ВНЕ СПИСКА")</f>
        <v>ВНЕ СПИСКА</v>
      </c>
      <c r="C1455" s="14" t="str">
        <f>IFERROR(__xludf.DUMMYFUNCTION("""COMPUTED_VALUE"""),"ОКС")</f>
        <v>ОКС</v>
      </c>
      <c r="D1455" s="6"/>
      <c r="E1455" s="14" t="str">
        <f>IFERROR(__xludf.DUMMYFUNCTION("""COMPUTED_VALUE"""),"Надземный пешеходный переход (мост), соединяющий многофункциональный терминальный комплекс на участке 11 ММДЦ ""Москва-Сити"" Пресненская наб., д.10, стр.2")</f>
        <v>Надземный пешеходный переход (мост), соединяющий многофункциональный терминальный комплекс на участке 11 ММДЦ "Москва-Сити" Пресненская наб., д.10, стр.2</v>
      </c>
      <c r="F1455" s="25" t="str">
        <f>IFERROR(__xludf.DUMMYFUNCTION("""COMPUTED_VALUE"""),"#N/A")</f>
        <v>#N/A</v>
      </c>
      <c r="G1455" s="6" t="str">
        <f>IFERROR(__xludf.DUMMYFUNCTION("""COMPUTED_VALUE"""),"#N/A")</f>
        <v>#N/A</v>
      </c>
      <c r="H1455" s="6"/>
      <c r="I1455" s="19"/>
      <c r="J1455" s="50"/>
      <c r="K1455" s="58"/>
      <c r="L1455" s="6">
        <v>30.0</v>
      </c>
      <c r="M1455" s="52" t="s">
        <v>655</v>
      </c>
      <c r="N1455" s="53" t="s">
        <v>698</v>
      </c>
      <c r="O1455" s="19" t="s">
        <v>1431</v>
      </c>
      <c r="P1455" s="6"/>
      <c r="Q1455" s="6" t="str">
        <f t="shared" si="1"/>
        <v>#N/A</v>
      </c>
      <c r="R1455" s="6"/>
    </row>
    <row r="1456" hidden="1">
      <c r="A1456" s="31"/>
      <c r="B1456" s="14"/>
      <c r="C1456" s="14"/>
      <c r="D1456" s="6" t="str">
        <f>IFERROR(__xludf.DUMMYFUNCTION("""COMPUTED_VALUE"""),"да")</f>
        <v>да</v>
      </c>
      <c r="E1456" s="14" t="str">
        <f>IFERROR(__xludf.DUMMYFUNCTION("""COMPUTED_VALUE"""),"- Орджоникидзе ул.")</f>
        <v>- Орджоникидзе ул.</v>
      </c>
      <c r="F1456" s="25" t="str">
        <f>IFERROR(__xludf.DUMMYFUNCTION("""COMPUTED_VALUE"""),"#N/A")</f>
        <v>#N/A</v>
      </c>
      <c r="G1456" s="6" t="str">
        <f>IFERROR(__xludf.DUMMYFUNCTION("""COMPUTED_VALUE"""),"#N/A")</f>
        <v>#N/A</v>
      </c>
      <c r="H1456" s="6"/>
      <c r="I1456" s="19"/>
      <c r="J1456" s="50"/>
      <c r="K1456" s="58"/>
      <c r="L1456" s="6" t="s">
        <v>655</v>
      </c>
      <c r="M1456" s="52" t="s">
        <v>655</v>
      </c>
      <c r="N1456" s="53" t="s">
        <v>655</v>
      </c>
      <c r="O1456" s="19"/>
      <c r="P1456" s="6"/>
      <c r="Q1456" s="6" t="str">
        <f t="shared" si="1"/>
        <v>#N/A</v>
      </c>
      <c r="R1456" s="6"/>
    </row>
    <row r="1457" hidden="1">
      <c r="A1457" s="31"/>
      <c r="B1457" s="14"/>
      <c r="C1457" s="14"/>
      <c r="D1457" s="6" t="str">
        <f>IFERROR(__xludf.DUMMYFUNCTION("""COMPUTED_VALUE"""),"да")</f>
        <v>да</v>
      </c>
      <c r="E1457" s="14" t="str">
        <f>IFERROR(__xludf.DUMMYFUNCTION("""COMPUTED_VALUE"""),"- 1-й Силикатный пр-д., з/у 13/1")</f>
        <v>- 1-й Силикатный пр-д., з/у 13/1</v>
      </c>
      <c r="F1457" s="25" t="str">
        <f>IFERROR(__xludf.DUMMYFUNCTION("""COMPUTED_VALUE"""),"#N/A")</f>
        <v>#N/A</v>
      </c>
      <c r="G1457" s="6" t="str">
        <f>IFERROR(__xludf.DUMMYFUNCTION("""COMPUTED_VALUE"""),"#N/A")</f>
        <v>#N/A</v>
      </c>
      <c r="H1457" s="6"/>
      <c r="I1457" s="19"/>
      <c r="J1457" s="50"/>
      <c r="K1457" s="58"/>
      <c r="L1457" s="6" t="s">
        <v>655</v>
      </c>
      <c r="M1457" s="52" t="s">
        <v>655</v>
      </c>
      <c r="N1457" s="53" t="s">
        <v>655</v>
      </c>
      <c r="O1457" s="19"/>
      <c r="P1457" s="6"/>
      <c r="Q1457" s="6" t="str">
        <f t="shared" si="1"/>
        <v>#N/A</v>
      </c>
      <c r="R1457" s="6"/>
    </row>
    <row r="1458" hidden="1">
      <c r="A1458" s="31" t="str">
        <f>IFERROR(__xludf.DUMMYFUNCTION("""COMPUTED_VALUE"""),"н/д")</f>
        <v>н/д</v>
      </c>
      <c r="B1458" s="14" t="str">
        <f>IFERROR(__xludf.DUMMYFUNCTION("""COMPUTED_VALUE"""),"ВНЕ СПИСКА")</f>
        <v>ВНЕ СПИСКА</v>
      </c>
      <c r="C1458" s="14" t="str">
        <f>IFERROR(__xludf.DUMMYFUNCTION("""COMPUTED_VALUE"""),"ОКС")</f>
        <v>ОКС</v>
      </c>
      <c r="D1458" s="6"/>
      <c r="E1458" s="14" t="str">
        <f>IFERROR(__xludf.DUMMYFUNCTION("""COMPUTED_VALUE"""),"Жилой дом с подземной автостоянкой, инженерными сетями и благоустройством территории по адресу: район Северное Измайлово, зона 72.1 (к.31) г. Москва, район Северное Измайлово, зона 72.1 (к.31)")</f>
        <v>Жилой дом с подземной автостоянкой, инженерными сетями и благоустройством территории по адресу: район Северное Измайлово, зона 72.1 (к.31) г. Москва, район Северное Измайлово, зона 72.1 (к.31)</v>
      </c>
      <c r="F1458" s="25" t="str">
        <f>IFERROR(__xludf.DUMMYFUNCTION("""COMPUTED_VALUE"""),"#N/A")</f>
        <v>#N/A</v>
      </c>
      <c r="G1458" s="6" t="str">
        <f>IFERROR(__xludf.DUMMYFUNCTION("""COMPUTED_VALUE"""),"#N/A")</f>
        <v>#N/A</v>
      </c>
      <c r="H1458" s="6"/>
      <c r="I1458" s="19"/>
      <c r="J1458" s="50"/>
      <c r="K1458" s="58"/>
      <c r="L1458" s="6">
        <v>30.0</v>
      </c>
      <c r="M1458" s="52" t="s">
        <v>655</v>
      </c>
      <c r="N1458" s="53" t="s">
        <v>698</v>
      </c>
      <c r="O1458" s="19" t="s">
        <v>1432</v>
      </c>
      <c r="P1458" s="6"/>
      <c r="Q1458" s="6" t="str">
        <f t="shared" si="1"/>
        <v>#N/A</v>
      </c>
      <c r="R1458" s="6"/>
    </row>
    <row r="1459" hidden="1">
      <c r="A1459" s="31" t="str">
        <f>IFERROR(__xludf.DUMMYFUNCTION("""COMPUTED_VALUE"""),"н/д")</f>
        <v>н/д</v>
      </c>
      <c r="B1459" s="14" t="str">
        <f>IFERROR(__xludf.DUMMYFUNCTION("""COMPUTED_VALUE"""),"ВНЕ СПИСКА")</f>
        <v>ВНЕ СПИСКА</v>
      </c>
      <c r="C1459" s="14" t="str">
        <f>IFERROR(__xludf.DUMMYFUNCTION("""COMPUTED_VALUE"""),"ОКС")</f>
        <v>ОКС</v>
      </c>
      <c r="D1459" s="6"/>
      <c r="E1459" s="14" t="str">
        <f>IFERROR(__xludf.DUMMYFUNCTION("""COMPUTED_VALUE"""),"Снос 5-ти этажных жилых домов ул. 9-я Парковая, д. 62, стр. 2, 14, 13, 4, 5 и д. 62")</f>
        <v>Снос 5-ти этажных жилых домов ул. 9-я Парковая, д. 62, стр. 2, 14, 13, 4, 5 и д. 62</v>
      </c>
      <c r="F1459" s="25" t="str">
        <f>IFERROR(__xludf.DUMMYFUNCTION("""COMPUTED_VALUE"""),"#N/A")</f>
        <v>#N/A</v>
      </c>
      <c r="G1459" s="6" t="str">
        <f>IFERROR(__xludf.DUMMYFUNCTION("""COMPUTED_VALUE"""),"#N/A")</f>
        <v>#N/A</v>
      </c>
      <c r="H1459" s="6"/>
      <c r="I1459" s="19"/>
      <c r="J1459" s="50"/>
      <c r="K1459" s="58"/>
      <c r="L1459" s="6">
        <v>30.0</v>
      </c>
      <c r="M1459" s="52" t="s">
        <v>655</v>
      </c>
      <c r="N1459" s="53" t="s">
        <v>698</v>
      </c>
      <c r="O1459" s="19"/>
      <c r="P1459" s="6"/>
      <c r="Q1459" s="6" t="str">
        <f t="shared" si="1"/>
        <v>#N/A</v>
      </c>
      <c r="R1459" s="6"/>
    </row>
    <row r="1460" hidden="1">
      <c r="A1460" s="31" t="str">
        <f>IFERROR(__xludf.DUMMYFUNCTION("""COMPUTED_VALUE"""),"1353")</f>
        <v>1353</v>
      </c>
      <c r="B1460" s="14" t="str">
        <f>IFERROR(__xludf.DUMMYFUNCTION("""COMPUTED_VALUE"""),"ДРНТ")</f>
        <v>ДРНТ</v>
      </c>
      <c r="C1460" s="14" t="str">
        <f>IFERROR(__xludf.DUMMYFUNCTION("""COMPUTED_VALUE"""),"ОКС")</f>
        <v>ОКС</v>
      </c>
      <c r="D1460" s="6"/>
      <c r="E1460" s="14" t="str">
        <f>IFERROR(__xludf.DUMMYFUNCTION("""COMPUTED_VALUE"""),"Реконструкция Здания корпусов № 5, 6, подземной автостоянки и трансформаторной подстанции МАРХИ улица Рождественка, вл. 11/3, корп. 5, 6")</f>
        <v>Реконструкция Здания корпусов № 5, 6, подземной автостоянки и трансформаторной подстанции МАРХИ улица Рождественка, вл. 11/3, корп. 5, 6</v>
      </c>
      <c r="F1460" s="25" t="str">
        <f>IFERROR(__xludf.DUMMYFUNCTION("""COMPUTED_VALUE"""),"55.762566")</f>
        <v>55.762566</v>
      </c>
      <c r="G1460" s="6" t="str">
        <f>IFERROR(__xludf.DUMMYFUNCTION("""COMPUTED_VALUE"""),"37.62255")</f>
        <v>37.62255</v>
      </c>
      <c r="H1460" s="18" t="str">
        <f>IFERROR(__xludf.DUMMYFUNCTION("""COMPUTED_VALUE"""),"https://docs.google.com/spreadsheets/d/19THEBTE9q0fhN2eApZr6BgenIvLGh0AckaYxHQfHk5w/edit?gid=549577801#gid=549577801")</f>
        <v>https://docs.google.com/spreadsheets/d/19THEBTE9q0fhN2eApZr6BgenIvLGh0AckaYxHQfHk5w/edit?gid=549577801#gid=549577801</v>
      </c>
      <c r="I1460" s="19"/>
      <c r="J1460" s="50"/>
      <c r="K1460" s="58">
        <f>IFERROR(__xludf.DUMMYFUNCTION("""COMPUTED_VALUE"""),45960.0)</f>
        <v>45960</v>
      </c>
      <c r="L1460" s="6">
        <v>30.0</v>
      </c>
      <c r="M1460" s="52">
        <v>45990.0</v>
      </c>
      <c r="N1460" s="53" t="s">
        <v>692</v>
      </c>
      <c r="O1460" s="19" t="s">
        <v>669</v>
      </c>
      <c r="P1460" s="6"/>
      <c r="Q1460" s="6" t="str">
        <f t="shared" si="1"/>
        <v>#N/A</v>
      </c>
      <c r="R1460" s="6"/>
    </row>
    <row r="1461" hidden="1">
      <c r="A1461" s="31" t="str">
        <f>IFERROR(__xludf.DUMMYFUNCTION("""COMPUTED_VALUE"""),"н/д")</f>
        <v>н/д</v>
      </c>
      <c r="B1461" s="14" t="str">
        <f>IFERROR(__xludf.DUMMYFUNCTION("""COMPUTED_VALUE"""),"ВНЕ СПИСКА")</f>
        <v>ВНЕ СПИСКА</v>
      </c>
      <c r="C1461" s="14" t="str">
        <f>IFERROR(__xludf.DUMMYFUNCTION("""COMPUTED_VALUE"""),"ОКС")</f>
        <v>ОКС</v>
      </c>
      <c r="D1461" s="6" t="str">
        <f>IFERROR(__xludf.DUMMYFUNCTION("""COMPUTED_VALUE"""),"да")</f>
        <v>да</v>
      </c>
      <c r="E1461" s="14" t="str">
        <f>IFERROR(__xludf.DUMMYFUNCTION("""COMPUTED_VALUE"""),"Многофункциональный деловой комплекс с назначением ""деловое управления"". Этап 1 3-я Хорошевская ул., з/у 18/2")</f>
        <v>Многофункциональный деловой комплекс с назначением "деловое управления". Этап 1 3-я Хорошевская ул., з/у 18/2</v>
      </c>
      <c r="F1461" s="25" t="str">
        <f>IFERROR(__xludf.DUMMYFUNCTION("""COMPUTED_VALUE"""),"#N/A")</f>
        <v>#N/A</v>
      </c>
      <c r="G1461" s="6" t="str">
        <f>IFERROR(__xludf.DUMMYFUNCTION("""COMPUTED_VALUE"""),"#N/A")</f>
        <v>#N/A</v>
      </c>
      <c r="H1461" s="6"/>
      <c r="I1461" s="19"/>
      <c r="J1461" s="50"/>
      <c r="K1461" s="58"/>
      <c r="L1461" s="6">
        <v>30.0</v>
      </c>
      <c r="M1461" s="52" t="s">
        <v>655</v>
      </c>
      <c r="N1461" s="53" t="s">
        <v>698</v>
      </c>
      <c r="O1461" s="19" t="s">
        <v>669</v>
      </c>
      <c r="P1461" s="6"/>
      <c r="Q1461" s="6" t="str">
        <f t="shared" si="1"/>
        <v>#N/A</v>
      </c>
      <c r="R1461" s="6"/>
    </row>
    <row r="1462" hidden="1">
      <c r="A1462" s="31" t="str">
        <f>IFERROR(__xludf.DUMMYFUNCTION("""COMPUTED_VALUE"""),"н/д")</f>
        <v>н/д</v>
      </c>
      <c r="B1462" s="14" t="str">
        <f>IFERROR(__xludf.DUMMYFUNCTION("""COMPUTED_VALUE"""),"ВНЕ СПИСКА")</f>
        <v>ВНЕ СПИСКА</v>
      </c>
      <c r="C1462" s="14"/>
      <c r="D1462" s="6" t="str">
        <f>IFERROR(__xludf.DUMMYFUNCTION("""COMPUTED_VALUE"""),"да")</f>
        <v>да</v>
      </c>
      <c r="E1462" s="14" t="str">
        <f>IFERROR(__xludf.DUMMYFUNCTION("""COMPUTED_VALUE"""),"- Парковая 9-я ул., влд. 62-64")</f>
        <v>- Парковая 9-я ул., влд. 62-64</v>
      </c>
      <c r="F1462" s="25" t="str">
        <f>IFERROR(__xludf.DUMMYFUNCTION("""COMPUTED_VALUE"""),"#N/A")</f>
        <v>#N/A</v>
      </c>
      <c r="G1462" s="6" t="str">
        <f>IFERROR(__xludf.DUMMYFUNCTION("""COMPUTED_VALUE"""),"#N/A")</f>
        <v>#N/A</v>
      </c>
      <c r="H1462" s="6"/>
      <c r="I1462" s="19"/>
      <c r="J1462" s="50"/>
      <c r="K1462" s="58"/>
      <c r="L1462" s="6">
        <v>30.0</v>
      </c>
      <c r="M1462" s="52" t="s">
        <v>655</v>
      </c>
      <c r="N1462" s="53" t="s">
        <v>698</v>
      </c>
      <c r="O1462" s="19"/>
      <c r="P1462" s="6"/>
      <c r="Q1462" s="6" t="str">
        <f t="shared" si="1"/>
        <v>#N/A</v>
      </c>
      <c r="R1462" s="6"/>
    </row>
    <row r="1463" hidden="1">
      <c r="A1463" s="31" t="str">
        <f>IFERROR(__xludf.DUMMYFUNCTION("""COMPUTED_VALUE"""),"н/д")</f>
        <v>н/д</v>
      </c>
      <c r="B1463" s="14" t="str">
        <f>IFERROR(__xludf.DUMMYFUNCTION("""COMPUTED_VALUE"""),"ВНЕ СПИСКА")</f>
        <v>ВНЕ СПИСКА</v>
      </c>
      <c r="C1463" s="14" t="str">
        <f>IFERROR(__xludf.DUMMYFUNCTION("""COMPUTED_VALUE"""),"УДС")</f>
        <v>УДС</v>
      </c>
      <c r="D1463" s="6"/>
      <c r="E1463" s="14" t="str">
        <f>IFERROR(__xludf.DUMMYFUNCTION("""COMPUTED_VALUE"""),"Строительство проезжей части пр. проезда №6121 на участке от существующего общественного здания по адресу: 9-я Парковая улица, вл.68, корпус 5 до 11-й Парковой улицы шириной в красных линиях УДС – 20,0 м пр.пр. № 6121 от ул.9-я Парковая, влд.68к.5 до 11-й"&amp;" Парковой ул.")</f>
        <v>Строительство проезжей части пр. проезда №6121 на участке от существующего общественного здания по адресу: 9-я Парковая улица, вл.68, корпус 5 до 11-й Парковой улицы шириной в красных линиях УДС – 20,0 м пр.пр. № 6121 от ул.9-я Парковая, влд.68к.5 до 11-й Парковой ул.</v>
      </c>
      <c r="F1463" s="25" t="str">
        <f>IFERROR(__xludf.DUMMYFUNCTION("""COMPUTED_VALUE"""),"#N/A")</f>
        <v>#N/A</v>
      </c>
      <c r="G1463" s="6" t="str">
        <f>IFERROR(__xludf.DUMMYFUNCTION("""COMPUTED_VALUE"""),"#N/A")</f>
        <v>#N/A</v>
      </c>
      <c r="H1463" s="6"/>
      <c r="I1463" s="19"/>
      <c r="J1463" s="50"/>
      <c r="K1463" s="58"/>
      <c r="L1463" s="6">
        <v>30.0</v>
      </c>
      <c r="M1463" s="52" t="s">
        <v>655</v>
      </c>
      <c r="N1463" s="53" t="s">
        <v>698</v>
      </c>
      <c r="O1463" s="19" t="s">
        <v>1433</v>
      </c>
      <c r="P1463" s="6"/>
      <c r="Q1463" s="6" t="str">
        <f t="shared" si="1"/>
        <v>#N/A</v>
      </c>
      <c r="R1463" s="6"/>
    </row>
    <row r="1464" hidden="1">
      <c r="A1464" s="31" t="str">
        <f>IFERROR(__xludf.DUMMYFUNCTION("""COMPUTED_VALUE"""),"н/д")</f>
        <v>н/д</v>
      </c>
      <c r="B1464" s="14" t="str">
        <f>IFERROR(__xludf.DUMMYFUNCTION("""COMPUTED_VALUE"""),"ВНЕ СПИСКА")</f>
        <v>ВНЕ СПИСКА</v>
      </c>
      <c r="C1464" s="14" t="str">
        <f>IFERROR(__xludf.DUMMYFUNCTION("""COMPUTED_VALUE"""),"ОКС")</f>
        <v>ОКС</v>
      </c>
      <c r="D1464" s="6" t="str">
        <f>IFERROR(__xludf.DUMMYFUNCTION("""COMPUTED_VALUE"""),"да")</f>
        <v>да</v>
      </c>
      <c r="E1464" s="14" t="str">
        <f>IFERROR(__xludf.DUMMYFUNCTION("""COMPUTED_VALUE"""),"Многоквартирный дом ЖК LUCE Крестовоздвиженский пер., д. 4")</f>
        <v>Многоквартирный дом ЖК LUCE Крестовоздвиженский пер., д. 4</v>
      </c>
      <c r="F1464" s="25" t="str">
        <f>IFERROR(__xludf.DUMMYFUNCTION("""COMPUTED_VALUE"""),"#N/A")</f>
        <v>#N/A</v>
      </c>
      <c r="G1464" s="6" t="str">
        <f>IFERROR(__xludf.DUMMYFUNCTION("""COMPUTED_VALUE"""),"#N/A")</f>
        <v>#N/A</v>
      </c>
      <c r="H1464" s="6"/>
      <c r="I1464" s="6"/>
      <c r="J1464" s="50"/>
      <c r="K1464" s="58"/>
      <c r="L1464" s="6">
        <v>30.0</v>
      </c>
      <c r="M1464" s="52" t="s">
        <v>655</v>
      </c>
      <c r="N1464" s="53" t="s">
        <v>698</v>
      </c>
      <c r="O1464" s="6" t="s">
        <v>669</v>
      </c>
      <c r="P1464" s="6"/>
      <c r="Q1464" s="6" t="str">
        <f t="shared" si="1"/>
        <v>#N/A</v>
      </c>
      <c r="R1464" s="6"/>
    </row>
    <row r="1465" hidden="1">
      <c r="A1465" s="31"/>
      <c r="B1465" s="14"/>
      <c r="C1465" s="14"/>
      <c r="D1465" s="6"/>
      <c r="E1465" s="14" t="str">
        <f>IFERROR(__xludf.DUMMYFUNCTION("""COMPUTED_VALUE"""),"- Царицино ст. м")</f>
        <v>- Царицино ст. м</v>
      </c>
      <c r="F1465" s="25" t="str">
        <f>IFERROR(__xludf.DUMMYFUNCTION("""COMPUTED_VALUE"""),"#N/A")</f>
        <v>#N/A</v>
      </c>
      <c r="G1465" s="6" t="str">
        <f>IFERROR(__xludf.DUMMYFUNCTION("""COMPUTED_VALUE"""),"#N/A")</f>
        <v>#N/A</v>
      </c>
      <c r="H1465" s="6"/>
      <c r="I1465" s="19"/>
      <c r="J1465" s="50"/>
      <c r="K1465" s="58"/>
      <c r="L1465" s="6" t="s">
        <v>655</v>
      </c>
      <c r="M1465" s="52" t="s">
        <v>655</v>
      </c>
      <c r="N1465" s="53" t="s">
        <v>655</v>
      </c>
      <c r="O1465" s="19"/>
      <c r="P1465" s="6"/>
      <c r="Q1465" s="6" t="str">
        <f t="shared" si="1"/>
        <v>#N/A</v>
      </c>
      <c r="R1465" s="6"/>
    </row>
    <row r="1466" hidden="1">
      <c r="A1466" s="31"/>
      <c r="B1466" s="14"/>
      <c r="C1466" s="14"/>
      <c r="D1466" s="6" t="str">
        <f>IFERROR(__xludf.DUMMYFUNCTION("""COMPUTED_VALUE"""),"да")</f>
        <v>да</v>
      </c>
      <c r="E1466" s="14" t="str">
        <f>IFERROR(__xludf.DUMMYFUNCTION("""COMPUTED_VALUE"""),"- Кировоградская ул., д. 5")</f>
        <v>- Кировоградская ул., д. 5</v>
      </c>
      <c r="F1466" s="25" t="str">
        <f>IFERROR(__xludf.DUMMYFUNCTION("""COMPUTED_VALUE"""),"#N/A")</f>
        <v>#N/A</v>
      </c>
      <c r="G1466" s="6" t="str">
        <f>IFERROR(__xludf.DUMMYFUNCTION("""COMPUTED_VALUE"""),"#N/A")</f>
        <v>#N/A</v>
      </c>
      <c r="H1466" s="6"/>
      <c r="I1466" s="19"/>
      <c r="J1466" s="50"/>
      <c r="K1466" s="58"/>
      <c r="L1466" s="6" t="s">
        <v>655</v>
      </c>
      <c r="M1466" s="52" t="s">
        <v>655</v>
      </c>
      <c r="N1466" s="53" t="s">
        <v>655</v>
      </c>
      <c r="O1466" s="19"/>
      <c r="P1466" s="6"/>
      <c r="Q1466" s="6" t="str">
        <f t="shared" si="1"/>
        <v>#N/A</v>
      </c>
      <c r="R1466" s="6"/>
    </row>
    <row r="1467" hidden="1">
      <c r="A1467" s="31"/>
      <c r="B1467" s="14"/>
      <c r="C1467" s="14"/>
      <c r="D1467" s="6" t="str">
        <f>IFERROR(__xludf.DUMMYFUNCTION("""COMPUTED_VALUE"""),"да")</f>
        <v>да</v>
      </c>
      <c r="E1467" s="14" t="str">
        <f>IFERROR(__xludf.DUMMYFUNCTION("""COMPUTED_VALUE"""),"- Халтуринская ул.")</f>
        <v>- Халтуринская ул.</v>
      </c>
      <c r="F1467" s="25" t="str">
        <f>IFERROR(__xludf.DUMMYFUNCTION("""COMPUTED_VALUE"""),"#N/A")</f>
        <v>#N/A</v>
      </c>
      <c r="G1467" s="6" t="str">
        <f>IFERROR(__xludf.DUMMYFUNCTION("""COMPUTED_VALUE"""),"#N/A")</f>
        <v>#N/A</v>
      </c>
      <c r="H1467" s="6"/>
      <c r="I1467" s="19"/>
      <c r="J1467" s="50"/>
      <c r="K1467" s="58"/>
      <c r="L1467" s="6" t="s">
        <v>655</v>
      </c>
      <c r="M1467" s="52" t="s">
        <v>655</v>
      </c>
      <c r="N1467" s="53" t="s">
        <v>655</v>
      </c>
      <c r="O1467" s="19"/>
      <c r="P1467" s="6"/>
      <c r="Q1467" s="6" t="str">
        <f t="shared" si="1"/>
        <v>#N/A</v>
      </c>
      <c r="R1467" s="6"/>
    </row>
    <row r="1468" hidden="1">
      <c r="A1468" s="31"/>
      <c r="B1468" s="14"/>
      <c r="C1468" s="14"/>
      <c r="D1468" s="6" t="str">
        <f>IFERROR(__xludf.DUMMYFUNCTION("""COMPUTED_VALUE"""),"да")</f>
        <v>да</v>
      </c>
      <c r="E1468" s="14" t="str">
        <f>IFERROR(__xludf.DUMMYFUNCTION("""COMPUTED_VALUE"""),"- Бутырская ул., д.,д.15,д.17А,21,д.19,д.53к.1,д.53к.2,д.53к.,д.65/68")</f>
        <v>- Бутырская ул., д.,д.15,д.17А,21,д.19,д.53к.1,д.53к.2,д.53к.,д.65/68</v>
      </c>
      <c r="F1468" s="25" t="str">
        <f>IFERROR(__xludf.DUMMYFUNCTION("""COMPUTED_VALUE"""),"#N/A")</f>
        <v>#N/A</v>
      </c>
      <c r="G1468" s="6" t="str">
        <f>IFERROR(__xludf.DUMMYFUNCTION("""COMPUTED_VALUE"""),"#N/A")</f>
        <v>#N/A</v>
      </c>
      <c r="H1468" s="6"/>
      <c r="I1468" s="19"/>
      <c r="J1468" s="50"/>
      <c r="K1468" s="58"/>
      <c r="L1468" s="6" t="s">
        <v>655</v>
      </c>
      <c r="M1468" s="52" t="s">
        <v>655</v>
      </c>
      <c r="N1468" s="53" t="s">
        <v>655</v>
      </c>
      <c r="O1468" s="19"/>
      <c r="P1468" s="6"/>
      <c r="Q1468" s="6" t="str">
        <f t="shared" si="1"/>
        <v>#N/A</v>
      </c>
      <c r="R1468" s="6"/>
    </row>
    <row r="1469" hidden="1">
      <c r="A1469" s="31"/>
      <c r="B1469" s="14"/>
      <c r="C1469" s="14"/>
      <c r="D1469" s="6"/>
      <c r="E1469" s="14" t="str">
        <f>IFERROR(__xludf.DUMMYFUNCTION("""COMPUTED_VALUE"""),"- МЖД Киевское направление, ул.Лобачевского, Мичуринский пр-кт.,Каменка река")</f>
        <v>- МЖД Киевское направление, ул.Лобачевского, Мичуринский пр-кт.,Каменка река</v>
      </c>
      <c r="F1469" s="25" t="str">
        <f>IFERROR(__xludf.DUMMYFUNCTION("""COMPUTED_VALUE"""),"#N/A")</f>
        <v>#N/A</v>
      </c>
      <c r="G1469" s="6" t="str">
        <f>IFERROR(__xludf.DUMMYFUNCTION("""COMPUTED_VALUE"""),"#N/A")</f>
        <v>#N/A</v>
      </c>
      <c r="H1469" s="6"/>
      <c r="I1469" s="19"/>
      <c r="J1469" s="50"/>
      <c r="K1469" s="58"/>
      <c r="L1469" s="6" t="s">
        <v>655</v>
      </c>
      <c r="M1469" s="52" t="s">
        <v>655</v>
      </c>
      <c r="N1469" s="53" t="s">
        <v>655</v>
      </c>
      <c r="O1469" s="19"/>
      <c r="P1469" s="6"/>
      <c r="Q1469" s="6" t="str">
        <f t="shared" si="1"/>
        <v>#N/A</v>
      </c>
      <c r="R1469" s="6"/>
    </row>
    <row r="1470" hidden="1">
      <c r="A1470" s="31"/>
      <c r="B1470" s="14"/>
      <c r="C1470" s="14"/>
      <c r="D1470" s="6"/>
      <c r="E1470" s="14" t="str">
        <f>IFERROR(__xludf.DUMMYFUNCTION("""COMPUTED_VALUE"""),"- Дмитровское ш. перед пересечением с Красностуденческим пр-дом.")</f>
        <v>- Дмитровское ш. перед пересечением с Красностуденческим пр-дом.</v>
      </c>
      <c r="F1470" s="25" t="str">
        <f>IFERROR(__xludf.DUMMYFUNCTION("""COMPUTED_VALUE"""),"#N/A")</f>
        <v>#N/A</v>
      </c>
      <c r="G1470" s="6" t="str">
        <f>IFERROR(__xludf.DUMMYFUNCTION("""COMPUTED_VALUE"""),"#N/A")</f>
        <v>#N/A</v>
      </c>
      <c r="H1470" s="6"/>
      <c r="I1470" s="19"/>
      <c r="J1470" s="50"/>
      <c r="K1470" s="58"/>
      <c r="L1470" s="6" t="s">
        <v>655</v>
      </c>
      <c r="M1470" s="52" t="s">
        <v>655</v>
      </c>
      <c r="N1470" s="53" t="s">
        <v>655</v>
      </c>
      <c r="O1470" s="19"/>
      <c r="P1470" s="6"/>
      <c r="Q1470" s="6" t="str">
        <f t="shared" si="1"/>
        <v>#N/A</v>
      </c>
      <c r="R1470" s="6"/>
    </row>
    <row r="1471" hidden="1">
      <c r="A1471" s="31"/>
      <c r="B1471" s="14"/>
      <c r="C1471" s="14" t="str">
        <f>IFERROR(__xludf.DUMMYFUNCTION("""COMPUTED_VALUE"""),"ОКС")</f>
        <v>ОКС</v>
      </c>
      <c r="D1471" s="6" t="str">
        <f>IFERROR(__xludf.DUMMYFUNCTION("""COMPUTED_VALUE"""),"да")</f>
        <v>да</v>
      </c>
      <c r="E1471" s="14" t="str">
        <f>IFERROR(__xludf.DUMMYFUNCTION("""COMPUTED_VALUE"""),"Производственная база Джаамгаровская, влд.7")</f>
        <v>Производственная база Джаамгаровская, влд.7</v>
      </c>
      <c r="F1471" s="25" t="str">
        <f>IFERROR(__xludf.DUMMYFUNCTION("""COMPUTED_VALUE"""),"#N/A")</f>
        <v>#N/A</v>
      </c>
      <c r="G1471" s="6" t="str">
        <f>IFERROR(__xludf.DUMMYFUNCTION("""COMPUTED_VALUE"""),"#N/A")</f>
        <v>#N/A</v>
      </c>
      <c r="H1471" s="6"/>
      <c r="I1471" s="19"/>
      <c r="J1471" s="50"/>
      <c r="K1471" s="58"/>
      <c r="L1471" s="6" t="s">
        <v>655</v>
      </c>
      <c r="M1471" s="52" t="s">
        <v>655</v>
      </c>
      <c r="N1471" s="53" t="s">
        <v>655</v>
      </c>
      <c r="O1471" s="19"/>
      <c r="P1471" s="6"/>
      <c r="Q1471" s="6" t="str">
        <f t="shared" si="1"/>
        <v>#N/A</v>
      </c>
      <c r="R1471" s="6"/>
    </row>
    <row r="1472" hidden="1">
      <c r="A1472" s="31"/>
      <c r="B1472" s="14"/>
      <c r="C1472" s="14"/>
      <c r="D1472" s="6" t="str">
        <f>IFERROR(__xludf.DUMMYFUNCTION("""COMPUTED_VALUE"""),"да")</f>
        <v>да</v>
      </c>
      <c r="E1472" s="14" t="str">
        <f>IFERROR(__xludf.DUMMYFUNCTION("""COMPUTED_VALUE"""),"- Вернадского пр-кт, влд.6А")</f>
        <v>- Вернадского пр-кт, влд.6А</v>
      </c>
      <c r="F1472" s="25" t="str">
        <f>IFERROR(__xludf.DUMMYFUNCTION("""COMPUTED_VALUE"""),"#N/A")</f>
        <v>#N/A</v>
      </c>
      <c r="G1472" s="6" t="str">
        <f>IFERROR(__xludf.DUMMYFUNCTION("""COMPUTED_VALUE"""),"#N/A")</f>
        <v>#N/A</v>
      </c>
      <c r="H1472" s="6"/>
      <c r="I1472" s="19"/>
      <c r="J1472" s="50"/>
      <c r="K1472" s="58"/>
      <c r="L1472" s="6" t="s">
        <v>655</v>
      </c>
      <c r="M1472" s="52" t="s">
        <v>655</v>
      </c>
      <c r="N1472" s="53" t="s">
        <v>655</v>
      </c>
      <c r="O1472" s="19"/>
      <c r="P1472" s="6"/>
      <c r="Q1472" s="6" t="str">
        <f t="shared" si="1"/>
        <v>#N/A</v>
      </c>
      <c r="R1472" s="6"/>
    </row>
    <row r="1473" hidden="1">
      <c r="A1473" s="31"/>
      <c r="B1473" s="14"/>
      <c r="C1473" s="14"/>
      <c r="D1473" s="6"/>
      <c r="E1473" s="14" t="str">
        <f>IFERROR(__xludf.DUMMYFUNCTION("""COMPUTED_VALUE"""),"- Кутузово о.п., Кутузовская ст.м.")</f>
        <v>- Кутузово о.п., Кутузовская ст.м.</v>
      </c>
      <c r="F1473" s="25" t="str">
        <f>IFERROR(__xludf.DUMMYFUNCTION("""COMPUTED_VALUE"""),"#N/A")</f>
        <v>#N/A</v>
      </c>
      <c r="G1473" s="6" t="str">
        <f>IFERROR(__xludf.DUMMYFUNCTION("""COMPUTED_VALUE"""),"#N/A")</f>
        <v>#N/A</v>
      </c>
      <c r="H1473" s="6"/>
      <c r="I1473" s="19"/>
      <c r="J1473" s="50"/>
      <c r="K1473" s="58"/>
      <c r="L1473" s="6" t="s">
        <v>655</v>
      </c>
      <c r="M1473" s="52" t="s">
        <v>655</v>
      </c>
      <c r="N1473" s="53" t="s">
        <v>655</v>
      </c>
      <c r="O1473" s="19"/>
      <c r="P1473" s="6"/>
      <c r="Q1473" s="6" t="str">
        <f t="shared" si="1"/>
        <v>#N/A</v>
      </c>
      <c r="R1473" s="6"/>
    </row>
    <row r="1474" hidden="1">
      <c r="A1474" s="31"/>
      <c r="B1474" s="14"/>
      <c r="C1474" s="14"/>
      <c r="D1474" s="6" t="str">
        <f>IFERROR(__xludf.DUMMYFUNCTION("""COMPUTED_VALUE"""),"да")</f>
        <v>да</v>
      </c>
      <c r="E1474" s="14" t="str">
        <f>IFERROR(__xludf.DUMMYFUNCTION("""COMPUTED_VALUE"""),"- Аминьевское шоссе, з/у 2А")</f>
        <v>- Аминьевское шоссе, з/у 2А</v>
      </c>
      <c r="F1474" s="25" t="str">
        <f>IFERROR(__xludf.DUMMYFUNCTION("""COMPUTED_VALUE"""),"#N/A")</f>
        <v>#N/A</v>
      </c>
      <c r="G1474" s="6" t="str">
        <f>IFERROR(__xludf.DUMMYFUNCTION("""COMPUTED_VALUE"""),"#N/A")</f>
        <v>#N/A</v>
      </c>
      <c r="H1474" s="6"/>
      <c r="I1474" s="19"/>
      <c r="J1474" s="50"/>
      <c r="K1474" s="58"/>
      <c r="L1474" s="6" t="s">
        <v>655</v>
      </c>
      <c r="M1474" s="52" t="s">
        <v>655</v>
      </c>
      <c r="N1474" s="53" t="s">
        <v>655</v>
      </c>
      <c r="O1474" s="19"/>
      <c r="P1474" s="6"/>
      <c r="Q1474" s="6" t="str">
        <f t="shared" si="1"/>
        <v>#N/A</v>
      </c>
      <c r="R1474" s="6"/>
    </row>
    <row r="1475" hidden="1">
      <c r="A1475" s="31" t="str">
        <f>IFERROR(__xludf.DUMMYFUNCTION("""COMPUTED_VALUE"""),"н/д")</f>
        <v>н/д</v>
      </c>
      <c r="B1475" s="14" t="str">
        <f>IFERROR(__xludf.DUMMYFUNCTION("""COMPUTED_VALUE"""),"ВНЕ СПИСКА")</f>
        <v>ВНЕ СПИСКА</v>
      </c>
      <c r="C1475" s="14" t="str">
        <f>IFERROR(__xludf.DUMMYFUNCTION("""COMPUTED_VALUE"""),"ОКС")</f>
        <v>ОКС</v>
      </c>
      <c r="D1475" s="6" t="str">
        <f>IFERROR(__xludf.DUMMYFUNCTION("""COMPUTED_VALUE"""),"да")</f>
        <v>да</v>
      </c>
      <c r="E1475" s="14" t="str">
        <f>IFERROR(__xludf.DUMMYFUNCTION("""COMPUTED_VALUE"""),"Деловой центр ш. Хорошевское, вл. 39")</f>
        <v>Деловой центр ш. Хорошевское, вл. 39</v>
      </c>
      <c r="F1475" s="25" t="str">
        <f>IFERROR(__xludf.DUMMYFUNCTION("""COMPUTED_VALUE"""),"#N/A")</f>
        <v>#N/A</v>
      </c>
      <c r="G1475" s="6" t="str">
        <f>IFERROR(__xludf.DUMMYFUNCTION("""COMPUTED_VALUE"""),"#N/A")</f>
        <v>#N/A</v>
      </c>
      <c r="H1475" s="6"/>
      <c r="I1475" s="19"/>
      <c r="J1475" s="50"/>
      <c r="K1475" s="58"/>
      <c r="L1475" s="6">
        <v>30.0</v>
      </c>
      <c r="M1475" s="52" t="s">
        <v>655</v>
      </c>
      <c r="N1475" s="53" t="s">
        <v>698</v>
      </c>
      <c r="O1475" s="19" t="s">
        <v>669</v>
      </c>
      <c r="P1475" s="6"/>
      <c r="Q1475" s="6" t="str">
        <f t="shared" si="1"/>
        <v>#N/A</v>
      </c>
      <c r="R1475" s="6"/>
    </row>
    <row r="1476" hidden="1">
      <c r="A1476" s="31"/>
      <c r="B1476" s="14"/>
      <c r="C1476" s="14"/>
      <c r="D1476" s="6" t="str">
        <f>IFERROR(__xludf.DUMMYFUNCTION("""COMPUTED_VALUE"""),"да")</f>
        <v>да</v>
      </c>
      <c r="E1476" s="14" t="str">
        <f>IFERROR(__xludf.DUMMYFUNCTION("""COMPUTED_VALUE"""),"- Хачатуряна ул., д.20А")</f>
        <v>- Хачатуряна ул., д.20А</v>
      </c>
      <c r="F1476" s="25" t="str">
        <f>IFERROR(__xludf.DUMMYFUNCTION("""COMPUTED_VALUE"""),"#N/A")</f>
        <v>#N/A</v>
      </c>
      <c r="G1476" s="6" t="str">
        <f>IFERROR(__xludf.DUMMYFUNCTION("""COMPUTED_VALUE"""),"#N/A")</f>
        <v>#N/A</v>
      </c>
      <c r="H1476" s="6"/>
      <c r="I1476" s="19"/>
      <c r="J1476" s="50"/>
      <c r="K1476" s="58"/>
      <c r="L1476" s="6" t="s">
        <v>655</v>
      </c>
      <c r="M1476" s="52" t="s">
        <v>655</v>
      </c>
      <c r="N1476" s="53" t="s">
        <v>655</v>
      </c>
      <c r="O1476" s="19"/>
      <c r="P1476" s="6"/>
      <c r="Q1476" s="6" t="str">
        <f t="shared" si="1"/>
        <v>#N/A</v>
      </c>
      <c r="R1476" s="6"/>
    </row>
    <row r="1477" hidden="1">
      <c r="A1477" s="31"/>
      <c r="B1477" s="14"/>
      <c r="C1477" s="14"/>
      <c r="D1477" s="6" t="str">
        <f>IFERROR(__xludf.DUMMYFUNCTION("""COMPUTED_VALUE"""),"да")</f>
        <v>да</v>
      </c>
      <c r="E1477" s="14" t="str">
        <f>IFERROR(__xludf.DUMMYFUNCTION("""COMPUTED_VALUE"""),"- Новосслободская ул.,к.н. 77:01:0004009:3829")</f>
        <v>- Новосслободская ул.,к.н. 77:01:0004009:3829</v>
      </c>
      <c r="F1477" s="25" t="str">
        <f>IFERROR(__xludf.DUMMYFUNCTION("""COMPUTED_VALUE"""),"#N/A")</f>
        <v>#N/A</v>
      </c>
      <c r="G1477" s="6" t="str">
        <f>IFERROR(__xludf.DUMMYFUNCTION("""COMPUTED_VALUE"""),"#N/A")</f>
        <v>#N/A</v>
      </c>
      <c r="H1477" s="6"/>
      <c r="I1477" s="19"/>
      <c r="J1477" s="50"/>
      <c r="K1477" s="58"/>
      <c r="L1477" s="6" t="s">
        <v>655</v>
      </c>
      <c r="M1477" s="52" t="s">
        <v>655</v>
      </c>
      <c r="N1477" s="53" t="s">
        <v>655</v>
      </c>
      <c r="O1477" s="19"/>
      <c r="P1477" s="6"/>
      <c r="Q1477" s="6" t="str">
        <f t="shared" si="1"/>
        <v>#N/A</v>
      </c>
      <c r="R1477" s="6"/>
    </row>
    <row r="1478" hidden="1">
      <c r="A1478" s="31" t="str">
        <f>IFERROR(__xludf.DUMMYFUNCTION("""COMPUTED_VALUE"""),"н/д")</f>
        <v>н/д</v>
      </c>
      <c r="B1478" s="14" t="str">
        <f>IFERROR(__xludf.DUMMYFUNCTION("""COMPUTED_VALUE"""),"ВНЕ СПИСКА")</f>
        <v>ВНЕ СПИСКА</v>
      </c>
      <c r="C1478" s="14" t="str">
        <f>IFERROR(__xludf.DUMMYFUNCTION("""COMPUTED_VALUE"""),"ОКС")</f>
        <v>ОКС</v>
      </c>
      <c r="D1478" s="6" t="str">
        <f>IFERROR(__xludf.DUMMYFUNCTION("""COMPUTED_VALUE"""),"да")</f>
        <v>да</v>
      </c>
      <c r="E1478" s="14" t="str">
        <f>IFERROR(__xludf.DUMMYFUNCTION("""COMPUTED_VALUE"""),"Среднеэтажный многоквартирный дом Ильменский проезд, вл. 1")</f>
        <v>Среднеэтажный многоквартирный дом Ильменский проезд, вл. 1</v>
      </c>
      <c r="F1478" s="25" t="str">
        <f>IFERROR(__xludf.DUMMYFUNCTION("""COMPUTED_VALUE"""),"#N/A")</f>
        <v>#N/A</v>
      </c>
      <c r="G1478" s="6" t="str">
        <f>IFERROR(__xludf.DUMMYFUNCTION("""COMPUTED_VALUE"""),"#N/A")</f>
        <v>#N/A</v>
      </c>
      <c r="H1478" s="6"/>
      <c r="I1478" s="19"/>
      <c r="J1478" s="50"/>
      <c r="K1478" s="58"/>
      <c r="L1478" s="6">
        <v>30.0</v>
      </c>
      <c r="M1478" s="52" t="s">
        <v>655</v>
      </c>
      <c r="N1478" s="53" t="s">
        <v>698</v>
      </c>
      <c r="O1478" s="19" t="s">
        <v>669</v>
      </c>
      <c r="P1478" s="6"/>
      <c r="Q1478" s="6" t="str">
        <f t="shared" si="1"/>
        <v>#N/A</v>
      </c>
      <c r="R1478" s="6"/>
    </row>
    <row r="1479" hidden="1">
      <c r="A1479" s="31"/>
      <c r="B1479" s="14"/>
      <c r="C1479" s="14" t="str">
        <f>IFERROR(__xludf.DUMMYFUNCTION("""COMPUTED_VALUE"""),"ОКС")</f>
        <v>ОКС</v>
      </c>
      <c r="D1479" s="6" t="str">
        <f>IFERROR(__xludf.DUMMYFUNCTION("""COMPUTED_VALUE"""),"да")</f>
        <v>да</v>
      </c>
      <c r="E1479" s="14" t="str">
        <f>IFERROR(__xludf.DUMMYFUNCTION("""COMPUTED_VALUE"""),"«Торговый Комплекс» Динамовская ул. вл. 1А")</f>
        <v>«Торговый Комплекс» Динамовская ул. вл. 1А</v>
      </c>
      <c r="F1479" s="25" t="str">
        <f>IFERROR(__xludf.DUMMYFUNCTION("""COMPUTED_VALUE"""),"#N/A")</f>
        <v>#N/A</v>
      </c>
      <c r="G1479" s="6" t="str">
        <f>IFERROR(__xludf.DUMMYFUNCTION("""COMPUTED_VALUE"""),"#N/A")</f>
        <v>#N/A</v>
      </c>
      <c r="H1479" s="6"/>
      <c r="I1479" s="19"/>
      <c r="J1479" s="50"/>
      <c r="K1479" s="58"/>
      <c r="L1479" s="6" t="s">
        <v>655</v>
      </c>
      <c r="M1479" s="52" t="s">
        <v>655</v>
      </c>
      <c r="N1479" s="53" t="s">
        <v>655</v>
      </c>
      <c r="O1479" s="19"/>
      <c r="P1479" s="6"/>
      <c r="Q1479" s="6" t="str">
        <f t="shared" si="1"/>
        <v>#N/A</v>
      </c>
      <c r="R1479" s="6"/>
    </row>
    <row r="1480" hidden="1">
      <c r="A1480" s="31"/>
      <c r="B1480" s="14"/>
      <c r="C1480" s="14" t="str">
        <f>IFERROR(__xludf.DUMMYFUNCTION("""COMPUTED_VALUE"""),"ОКС")</f>
        <v>ОКС</v>
      </c>
      <c r="D1480" s="6" t="str">
        <f>IFERROR(__xludf.DUMMYFUNCTION("""COMPUTED_VALUE"""),"да")</f>
        <v>да</v>
      </c>
      <c r="E1480" s="14" t="str">
        <f>IFERROR(__xludf.DUMMYFUNCTION("""COMPUTED_VALUE"""),"Проект по реставрации и приспособлению для современного использования выявленного объекта культурного наследия ""Жилой дом Н.В. Лаврова, 1837 г., 1880-е гг., начало XX в. В этом доме в 1837-1877 гг. проживали артисты Императорских Большого и Малого театро"&amp;"в: Н.В. Лавров, Д.М. Сабурова, В.С. Васильев Е.Н. Васильева, Москва, ул. Остоженка, д. 26/1")</f>
        <v>Проект по реставрации и приспособлению для современного использования выявленного объекта культурного наследия "Жилой дом Н.В. Лаврова, 1837 г., 1880-е гг., начало XX в. В этом доме в 1837-1877 гг. проживали артисты Императорских Большого и Малого театров: Н.В. Лавров, Д.М. Сабурова, В.С. Васильев Е.Н. Васильева, Москва, ул. Остоженка, д. 26/1</v>
      </c>
      <c r="F1480" s="25" t="str">
        <f>IFERROR(__xludf.DUMMYFUNCTION("""COMPUTED_VALUE"""),"#N/A")</f>
        <v>#N/A</v>
      </c>
      <c r="G1480" s="6" t="str">
        <f>IFERROR(__xludf.DUMMYFUNCTION("""COMPUTED_VALUE"""),"#N/A")</f>
        <v>#N/A</v>
      </c>
      <c r="H1480" s="6"/>
      <c r="I1480" s="19"/>
      <c r="J1480" s="50"/>
      <c r="K1480" s="58"/>
      <c r="L1480" s="6" t="s">
        <v>655</v>
      </c>
      <c r="M1480" s="52" t="s">
        <v>655</v>
      </c>
      <c r="N1480" s="53" t="s">
        <v>655</v>
      </c>
      <c r="O1480" s="19"/>
      <c r="P1480" s="6"/>
      <c r="Q1480" s="6" t="str">
        <f t="shared" si="1"/>
        <v>#N/A</v>
      </c>
      <c r="R1480" s="6"/>
    </row>
    <row r="1481" hidden="1">
      <c r="A1481" s="31"/>
      <c r="B1481" s="14"/>
      <c r="C1481" s="14" t="str">
        <f>IFERROR(__xludf.DUMMYFUNCTION("""COMPUTED_VALUE"""),"ОКС")</f>
        <v>ОКС</v>
      </c>
      <c r="D1481" s="6" t="str">
        <f>IFERROR(__xludf.DUMMYFUNCTION("""COMPUTED_VALUE"""),"да")</f>
        <v>да</v>
      </c>
      <c r="E1481" s="14" t="str">
        <f>IFERROR(__xludf.DUMMYFUNCTION("""COMPUTED_VALUE"""),"«Многофункциональный жилой комплекс с апартаментами, коммерческими помещениями и автостоянкой» по адресу: Москва, ЦАО, Замоскворечье, Москва, ЦАО, район Замоскворечье, ул. Пятницкая, вл. 16, стр. 3, 6-8, 9-10, 11, 12; Климентовский пер., вл. 12, стр. 4, 6"&amp;"-18; ул. Пятницкая, вл. 16, стр.13; ул. Пятницкая, вл. 20, стр.3; ул. Большая Ордынка, 17/8; ул. Большая Ордынка, вл.19, стр.9 ")</f>
        <v>«Многофункциональный жилой комплекс с апартаментами, коммерческими помещениями и автостоянкой» по адресу: Москва, ЦАО, Замоскворечье, Москва, ЦАО, район Замоскворечье, ул. Пятницкая, вл. 16, стр. 3, 6-8, 9-10, 11, 12; Климентовский пер., вл. 12, стр. 4, 6-18; ул. Пятницкая, вл. 16, стр.13; ул. Пятницкая, вл. 20, стр.3; ул. Большая Ордынка, 17/8; ул. Большая Ордынка, вл.19, стр.9 </v>
      </c>
      <c r="F1481" s="25" t="str">
        <f>IFERROR(__xludf.DUMMYFUNCTION("""COMPUTED_VALUE"""),"#N/A")</f>
        <v>#N/A</v>
      </c>
      <c r="G1481" s="6" t="str">
        <f>IFERROR(__xludf.DUMMYFUNCTION("""COMPUTED_VALUE"""),"#N/A")</f>
        <v>#N/A</v>
      </c>
      <c r="H1481" s="6"/>
      <c r="I1481" s="19"/>
      <c r="J1481" s="50"/>
      <c r="K1481" s="58"/>
      <c r="L1481" s="6" t="s">
        <v>655</v>
      </c>
      <c r="M1481" s="52" t="s">
        <v>655</v>
      </c>
      <c r="N1481" s="53" t="s">
        <v>655</v>
      </c>
      <c r="O1481" s="19"/>
      <c r="P1481" s="6"/>
      <c r="Q1481" s="6" t="str">
        <f t="shared" si="1"/>
        <v>#N/A</v>
      </c>
      <c r="R1481" s="6"/>
    </row>
    <row r="1482" hidden="1">
      <c r="A1482" s="31"/>
      <c r="B1482" s="14"/>
      <c r="C1482" s="14" t="str">
        <f>IFERROR(__xludf.DUMMYFUNCTION("""COMPUTED_VALUE"""),"ОКС")</f>
        <v>ОКС</v>
      </c>
      <c r="D1482" s="6" t="str">
        <f>IFERROR(__xludf.DUMMYFUNCTION("""COMPUTED_VALUE"""),"да")</f>
        <v>да</v>
      </c>
      <c r="E1482" s="14" t="str">
        <f>IFERROR(__xludf.DUMMYFUNCTION("""COMPUTED_VALUE"""),"Многофункциональный жилищно-общественный комплекс с подземной автостоянкой Москва, Берсеневская наб., вл.6 ")</f>
        <v>Многофункциональный жилищно-общественный комплекс с подземной автостоянкой Москва, Берсеневская наб., вл.6 </v>
      </c>
      <c r="F1482" s="25" t="str">
        <f>IFERROR(__xludf.DUMMYFUNCTION("""COMPUTED_VALUE"""),"#N/A")</f>
        <v>#N/A</v>
      </c>
      <c r="G1482" s="6" t="str">
        <f>IFERROR(__xludf.DUMMYFUNCTION("""COMPUTED_VALUE"""),"#N/A")</f>
        <v>#N/A</v>
      </c>
      <c r="H1482" s="6"/>
      <c r="I1482" s="19"/>
      <c r="J1482" s="50"/>
      <c r="K1482" s="58"/>
      <c r="L1482" s="6" t="s">
        <v>655</v>
      </c>
      <c r="M1482" s="52" t="s">
        <v>655</v>
      </c>
      <c r="N1482" s="53" t="s">
        <v>655</v>
      </c>
      <c r="O1482" s="19"/>
      <c r="P1482" s="6"/>
      <c r="Q1482" s="6" t="str">
        <f t="shared" si="1"/>
        <v>#N/A</v>
      </c>
      <c r="R1482" s="6"/>
    </row>
    <row r="1483" hidden="1">
      <c r="A1483" s="31"/>
      <c r="B1483" s="14"/>
      <c r="C1483" s="14" t="str">
        <f>IFERROR(__xludf.DUMMYFUNCTION("""COMPUTED_VALUE"""),"ОКС")</f>
        <v>ОКС</v>
      </c>
      <c r="D1483" s="6" t="str">
        <f>IFERROR(__xludf.DUMMYFUNCTION("""COMPUTED_VALUE"""),"да")</f>
        <v>да</v>
      </c>
      <c r="E1483" s="14" t="str">
        <f>IFERROR(__xludf.DUMMYFUNCTION("""COMPUTED_VALUE"""),"Строительство многофункционального комплекса с гостиницей в рамках специальных мер, направленных на восстановление (регенерацию) историко-градостроительной среды, Москва, ул. Никольская, 4/5 ")</f>
        <v>Строительство многофункционального комплекса с гостиницей в рамках специальных мер, направленных на восстановление (регенерацию) историко-градостроительной среды, Москва, ул. Никольская, 4/5 </v>
      </c>
      <c r="F1483" s="25" t="str">
        <f>IFERROR(__xludf.DUMMYFUNCTION("""COMPUTED_VALUE"""),"#N/A")</f>
        <v>#N/A</v>
      </c>
      <c r="G1483" s="6" t="str">
        <f>IFERROR(__xludf.DUMMYFUNCTION("""COMPUTED_VALUE"""),"#N/A")</f>
        <v>#N/A</v>
      </c>
      <c r="H1483" s="6"/>
      <c r="I1483" s="19"/>
      <c r="J1483" s="50"/>
      <c r="K1483" s="58"/>
      <c r="L1483" s="6" t="s">
        <v>655</v>
      </c>
      <c r="M1483" s="52" t="s">
        <v>655</v>
      </c>
      <c r="N1483" s="53" t="s">
        <v>655</v>
      </c>
      <c r="O1483" s="19"/>
      <c r="P1483" s="6"/>
      <c r="Q1483" s="6" t="str">
        <f t="shared" si="1"/>
        <v>#N/A</v>
      </c>
      <c r="R1483" s="6"/>
    </row>
    <row r="1484" hidden="1">
      <c r="A1484" s="31"/>
      <c r="B1484" s="14"/>
      <c r="C1484" s="14" t="str">
        <f>IFERROR(__xludf.DUMMYFUNCTION("""COMPUTED_VALUE"""),"ОКС")</f>
        <v>ОКС</v>
      </c>
      <c r="D1484" s="6" t="str">
        <f>IFERROR(__xludf.DUMMYFUNCTION("""COMPUTED_VALUE"""),"да")</f>
        <v>да</v>
      </c>
      <c r="E1484" s="14" t="str">
        <f>IFERROR(__xludf.DUMMYFUNCTION("""COMPUTED_VALUE"""),"«Реконструкция общественного здания по адресу: г. Москва, Тверская ул., д. 24, стр. 1» ")</f>
        <v>«Реконструкция общественного здания по адресу: г. Москва, Тверская ул., д. 24, стр. 1» </v>
      </c>
      <c r="F1484" s="25" t="str">
        <f>IFERROR(__xludf.DUMMYFUNCTION("""COMPUTED_VALUE"""),"#N/A")</f>
        <v>#N/A</v>
      </c>
      <c r="G1484" s="6" t="str">
        <f>IFERROR(__xludf.DUMMYFUNCTION("""COMPUTED_VALUE"""),"#N/A")</f>
        <v>#N/A</v>
      </c>
      <c r="H1484" s="6"/>
      <c r="I1484" s="19"/>
      <c r="J1484" s="50"/>
      <c r="K1484" s="58"/>
      <c r="L1484" s="6" t="s">
        <v>655</v>
      </c>
      <c r="M1484" s="52" t="s">
        <v>655</v>
      </c>
      <c r="N1484" s="53" t="s">
        <v>655</v>
      </c>
      <c r="O1484" s="19"/>
      <c r="P1484" s="6"/>
      <c r="Q1484" s="6" t="str">
        <f t="shared" si="1"/>
        <v>#N/A</v>
      </c>
      <c r="R1484" s="6"/>
    </row>
    <row r="1485" hidden="1">
      <c r="A1485" s="31"/>
      <c r="B1485" s="14"/>
      <c r="C1485" s="14" t="str">
        <f>IFERROR(__xludf.DUMMYFUNCTION("""COMPUTED_VALUE"""),"ОКС")</f>
        <v>ОКС</v>
      </c>
      <c r="D1485" s="6" t="str">
        <f>IFERROR(__xludf.DUMMYFUNCTION("""COMPUTED_VALUE"""),"да")</f>
        <v>да</v>
      </c>
      <c r="E1485" s="14" t="str">
        <f>IFERROR(__xludf.DUMMYFUNCTION("""COMPUTED_VALUE"""),"Многофункциональный комплекс с квартирами, коммерческими площадями и подземной автостоянкой по адресу: ул Никольская, д. 10,2, стр.2 АВ, Никольская ул.8/1 стр.1, 5, Б.Черкасский пер., д.4 стр.1,2, 6 ")</f>
        <v>Многофункциональный комплекс с квартирами, коммерческими площадями и подземной автостоянкой по адресу: ул Никольская, д. 10,2, стр.2 АВ, Никольская ул.8/1 стр.1, 5, Б.Черкасский пер., д.4 стр.1,2, 6 </v>
      </c>
      <c r="F1485" s="25" t="str">
        <f>IFERROR(__xludf.DUMMYFUNCTION("""COMPUTED_VALUE"""),"#N/A")</f>
        <v>#N/A</v>
      </c>
      <c r="G1485" s="6" t="str">
        <f>IFERROR(__xludf.DUMMYFUNCTION("""COMPUTED_VALUE"""),"#N/A")</f>
        <v>#N/A</v>
      </c>
      <c r="H1485" s="6"/>
      <c r="I1485" s="19"/>
      <c r="J1485" s="50"/>
      <c r="K1485" s="58"/>
      <c r="L1485" s="6" t="s">
        <v>655</v>
      </c>
      <c r="M1485" s="52" t="s">
        <v>655</v>
      </c>
      <c r="N1485" s="53" t="s">
        <v>655</v>
      </c>
      <c r="O1485" s="19"/>
      <c r="P1485" s="6"/>
      <c r="Q1485" s="6" t="str">
        <f t="shared" si="1"/>
        <v>#N/A</v>
      </c>
      <c r="R1485" s="6"/>
    </row>
    <row r="1486" hidden="1">
      <c r="A1486" s="31"/>
      <c r="B1486" s="14"/>
      <c r="C1486" s="14" t="str">
        <f>IFERROR(__xludf.DUMMYFUNCTION("""COMPUTED_VALUE"""),"ОКС")</f>
        <v>ОКС</v>
      </c>
      <c r="D1486" s="6" t="str">
        <f>IFERROR(__xludf.DUMMYFUNCTION("""COMPUTED_VALUE"""),"да")</f>
        <v>да</v>
      </c>
      <c r="E1486" s="14" t="str">
        <f>IFERROR(__xludf.DUMMYFUNCTION("""COMPUTED_VALUE"""),"Многоэтажный многоквартирный дом между ул. Лобачевского и платформой ""Матвеевское"" (ул. Лобачевского, з/у 118Б)")</f>
        <v>Многоэтажный многоквартирный дом между ул. Лобачевского и платформой "Матвеевское" (ул. Лобачевского, з/у 118Б)</v>
      </c>
      <c r="F1486" s="25" t="str">
        <f>IFERROR(__xludf.DUMMYFUNCTION("""COMPUTED_VALUE"""),"#N/A")</f>
        <v>#N/A</v>
      </c>
      <c r="G1486" s="6" t="str">
        <f>IFERROR(__xludf.DUMMYFUNCTION("""COMPUTED_VALUE"""),"#N/A")</f>
        <v>#N/A</v>
      </c>
      <c r="H1486" s="6"/>
      <c r="I1486" s="19"/>
      <c r="J1486" s="50"/>
      <c r="K1486" s="58"/>
      <c r="L1486" s="6" t="s">
        <v>655</v>
      </c>
      <c r="M1486" s="52" t="s">
        <v>655</v>
      </c>
      <c r="N1486" s="53" t="s">
        <v>655</v>
      </c>
      <c r="O1486" s="19"/>
      <c r="P1486" s="6"/>
      <c r="Q1486" s="6" t="str">
        <f t="shared" si="1"/>
        <v>#N/A</v>
      </c>
      <c r="R1486" s="6"/>
    </row>
    <row r="1487" hidden="1">
      <c r="A1487" s="31"/>
      <c r="B1487" s="14"/>
      <c r="C1487" s="14" t="str">
        <f>IFERROR(__xludf.DUMMYFUNCTION("""COMPUTED_VALUE"""),"ОКС")</f>
        <v>ОКС</v>
      </c>
      <c r="D1487" s="6" t="str">
        <f>IFERROR(__xludf.DUMMYFUNCTION("""COMPUTED_VALUE"""),"да")</f>
        <v>да</v>
      </c>
      <c r="E1487" s="14" t="str">
        <f>IFERROR(__xludf.DUMMYFUNCTION("""COMPUTED_VALUE"""),"Многофункциональный жилой комплекс с квартирами и коммерческими помещениями г. Москва, ЦАО, Тверской, Богоявленский пер., Старопанский пер., влд. 3, стр. 1, влд. 1/5, стр. 1 ")</f>
        <v>Многофункциональный жилой комплекс с квартирами и коммерческими помещениями г. Москва, ЦАО, Тверской, Богоявленский пер., Старопанский пер., влд. 3, стр. 1, влд. 1/5, стр. 1 </v>
      </c>
      <c r="F1487" s="25" t="str">
        <f>IFERROR(__xludf.DUMMYFUNCTION("""COMPUTED_VALUE"""),"#N/A")</f>
        <v>#N/A</v>
      </c>
      <c r="G1487" s="6" t="str">
        <f>IFERROR(__xludf.DUMMYFUNCTION("""COMPUTED_VALUE"""),"#N/A")</f>
        <v>#N/A</v>
      </c>
      <c r="H1487" s="6"/>
      <c r="I1487" s="19"/>
      <c r="J1487" s="50"/>
      <c r="K1487" s="58"/>
      <c r="L1487" s="6" t="s">
        <v>655</v>
      </c>
      <c r="M1487" s="52" t="s">
        <v>655</v>
      </c>
      <c r="N1487" s="53" t="s">
        <v>655</v>
      </c>
      <c r="O1487" s="19"/>
      <c r="P1487" s="6"/>
      <c r="Q1487" s="6" t="str">
        <f t="shared" si="1"/>
        <v>#N/A</v>
      </c>
      <c r="R1487" s="6"/>
    </row>
    <row r="1488" hidden="1">
      <c r="A1488" s="31"/>
      <c r="B1488" s="14"/>
      <c r="C1488" s="14" t="str">
        <f>IFERROR(__xludf.DUMMYFUNCTION("""COMPUTED_VALUE"""),"ОКС")</f>
        <v>ОКС</v>
      </c>
      <c r="D1488" s="6" t="str">
        <f>IFERROR(__xludf.DUMMYFUNCTION("""COMPUTED_VALUE"""),"да")</f>
        <v>да</v>
      </c>
      <c r="E1488" s="14" t="str">
        <f>IFERROR(__xludf.DUMMYFUNCTION("""COMPUTED_VALUE"""),"ЖК LEVEL СЕЛИГЕРСКАЯ проезд Ильменский, вл.8, к.3, з/у 8А, з/у 10/1")</f>
        <v>ЖК LEVEL СЕЛИГЕРСКАЯ проезд Ильменский, вл.8, к.3, з/у 8А, з/у 10/1</v>
      </c>
      <c r="F1488" s="25" t="str">
        <f>IFERROR(__xludf.DUMMYFUNCTION("""COMPUTED_VALUE"""),"#N/A")</f>
        <v>#N/A</v>
      </c>
      <c r="G1488" s="6" t="str">
        <f>IFERROR(__xludf.DUMMYFUNCTION("""COMPUTED_VALUE"""),"#N/A")</f>
        <v>#N/A</v>
      </c>
      <c r="H1488" s="6"/>
      <c r="I1488" s="19"/>
      <c r="J1488" s="50"/>
      <c r="K1488" s="58"/>
      <c r="L1488" s="6" t="s">
        <v>655</v>
      </c>
      <c r="M1488" s="52" t="s">
        <v>655</v>
      </c>
      <c r="N1488" s="53" t="s">
        <v>655</v>
      </c>
      <c r="O1488" s="19"/>
      <c r="P1488" s="6"/>
      <c r="Q1488" s="6" t="str">
        <f t="shared" si="1"/>
        <v>#N/A</v>
      </c>
      <c r="R1488" s="6"/>
    </row>
    <row r="1489" hidden="1">
      <c r="A1489" s="31"/>
      <c r="B1489" s="14"/>
      <c r="C1489" s="14" t="str">
        <f>IFERROR(__xludf.DUMMYFUNCTION("""COMPUTED_VALUE"""),"ОКС")</f>
        <v>ОКС</v>
      </c>
      <c r="D1489" s="6" t="str">
        <f>IFERROR(__xludf.DUMMYFUNCTION("""COMPUTED_VALUE"""),"да")</f>
        <v>да</v>
      </c>
      <c r="E1489" s="14" t="str">
        <f>IFERROR(__xludf.DUMMYFUNCTION("""COMPUTED_VALUE"""),"Офисное здание с подземной автостоянкой расположенное по адресу: Колпачный переулок, д. 9а, строение 1 ")</f>
        <v>Офисное здание с подземной автостоянкой расположенное по адресу: Колпачный переулок, д. 9а, строение 1 </v>
      </c>
      <c r="F1489" s="25" t="str">
        <f>IFERROR(__xludf.DUMMYFUNCTION("""COMPUTED_VALUE"""),"#N/A")</f>
        <v>#N/A</v>
      </c>
      <c r="G1489" s="6" t="str">
        <f>IFERROR(__xludf.DUMMYFUNCTION("""COMPUTED_VALUE"""),"#N/A")</f>
        <v>#N/A</v>
      </c>
      <c r="H1489" s="6"/>
      <c r="I1489" s="19"/>
      <c r="J1489" s="50"/>
      <c r="K1489" s="58"/>
      <c r="L1489" s="6" t="s">
        <v>655</v>
      </c>
      <c r="M1489" s="52" t="s">
        <v>655</v>
      </c>
      <c r="N1489" s="53" t="s">
        <v>655</v>
      </c>
      <c r="O1489" s="19"/>
      <c r="P1489" s="6"/>
      <c r="Q1489" s="6" t="str">
        <f t="shared" si="1"/>
        <v>#N/A</v>
      </c>
      <c r="R1489" s="6"/>
    </row>
    <row r="1490" hidden="1">
      <c r="A1490" s="31"/>
      <c r="B1490" s="14"/>
      <c r="C1490" s="14" t="str">
        <f>IFERROR(__xludf.DUMMYFUNCTION("""COMPUTED_VALUE"""),"ОКС")</f>
        <v>ОКС</v>
      </c>
      <c r="D1490" s="6" t="str">
        <f>IFERROR(__xludf.DUMMYFUNCTION("""COMPUTED_VALUE"""),"да")</f>
        <v>да</v>
      </c>
      <c r="E1490" s="14" t="str">
        <f>IFERROR(__xludf.DUMMYFUNCTION("""COMPUTED_VALUE"""),"Жилой комплекс с торговой зоной и подземным паркингом в составе транспортно-пересадочного узла (ТПУ). Шмитовский проезд, вл. 40")</f>
        <v>Жилой комплекс с торговой зоной и подземным паркингом в составе транспортно-пересадочного узла (ТПУ). Шмитовский проезд, вл. 40</v>
      </c>
      <c r="F1490" s="25" t="str">
        <f>IFERROR(__xludf.DUMMYFUNCTION("""COMPUTED_VALUE"""),"#N/A")</f>
        <v>#N/A</v>
      </c>
      <c r="G1490" s="6" t="str">
        <f>IFERROR(__xludf.DUMMYFUNCTION("""COMPUTED_VALUE"""),"#N/A")</f>
        <v>#N/A</v>
      </c>
      <c r="H1490" s="6"/>
      <c r="I1490" s="19"/>
      <c r="J1490" s="50"/>
      <c r="K1490" s="58"/>
      <c r="L1490" s="6" t="s">
        <v>655</v>
      </c>
      <c r="M1490" s="52" t="s">
        <v>655</v>
      </c>
      <c r="N1490" s="53" t="s">
        <v>655</v>
      </c>
      <c r="O1490" s="19"/>
      <c r="P1490" s="6"/>
      <c r="Q1490" s="6" t="str">
        <f t="shared" si="1"/>
        <v>#N/A</v>
      </c>
      <c r="R1490" s="6"/>
    </row>
    <row r="1491" hidden="1">
      <c r="A1491" s="31"/>
      <c r="B1491" s="14"/>
      <c r="C1491" s="14" t="str">
        <f>IFERROR(__xludf.DUMMYFUNCTION("""COMPUTED_VALUE"""),"ОКС")</f>
        <v>ОКС</v>
      </c>
      <c r="D1491" s="6" t="str">
        <f>IFERROR(__xludf.DUMMYFUNCTION("""COMPUTED_VALUE"""),"да")</f>
        <v>да</v>
      </c>
      <c r="E1491" s="14" t="str">
        <f>IFERROR(__xludf.DUMMYFUNCTION("""COMPUTED_VALUE"""),"г. Москва, ЦАО, район Хамовники, ул. Остоженка, 9/14 ")</f>
        <v>г. Москва, ЦАО, район Хамовники, ул. Остоженка, 9/14 </v>
      </c>
      <c r="F1491" s="25" t="str">
        <f>IFERROR(__xludf.DUMMYFUNCTION("""COMPUTED_VALUE"""),"#N/A")</f>
        <v>#N/A</v>
      </c>
      <c r="G1491" s="6" t="str">
        <f>IFERROR(__xludf.DUMMYFUNCTION("""COMPUTED_VALUE"""),"#N/A")</f>
        <v>#N/A</v>
      </c>
      <c r="H1491" s="6"/>
      <c r="I1491" s="19"/>
      <c r="J1491" s="50"/>
      <c r="K1491" s="58"/>
      <c r="L1491" s="6" t="s">
        <v>655</v>
      </c>
      <c r="M1491" s="52" t="s">
        <v>655</v>
      </c>
      <c r="N1491" s="53" t="s">
        <v>655</v>
      </c>
      <c r="O1491" s="19"/>
      <c r="P1491" s="6"/>
      <c r="Q1491" s="6" t="str">
        <f t="shared" si="1"/>
        <v>#N/A</v>
      </c>
      <c r="R1491" s="6"/>
    </row>
    <row r="1492" hidden="1">
      <c r="A1492" s="31"/>
      <c r="B1492" s="14"/>
      <c r="C1492" s="14" t="str">
        <f>IFERROR(__xludf.DUMMYFUNCTION("""COMPUTED_VALUE"""),"ОКС")</f>
        <v>ОКС</v>
      </c>
      <c r="D1492" s="6" t="str">
        <f>IFERROR(__xludf.DUMMYFUNCTION("""COMPUTED_VALUE"""),"да")</f>
        <v>да</v>
      </c>
      <c r="E1492" s="14" t="str">
        <f>IFERROR(__xludf.DUMMYFUNCTION("""COMPUTED_VALUE"""),"""Многоквартирный жилой дом», расположенного на земельном участке по адресу: г. Москва, ЦАО, Крестовоздвиженский переулок, з/у 4» ")</f>
        <v>"Многоквартирный жилой дом», расположенного на земельном участке по адресу: г. Москва, ЦАО, Крестовоздвиженский переулок, з/у 4» </v>
      </c>
      <c r="F1492" s="25" t="str">
        <f>IFERROR(__xludf.DUMMYFUNCTION("""COMPUTED_VALUE"""),"#N/A")</f>
        <v>#N/A</v>
      </c>
      <c r="G1492" s="6" t="str">
        <f>IFERROR(__xludf.DUMMYFUNCTION("""COMPUTED_VALUE"""),"#N/A")</f>
        <v>#N/A</v>
      </c>
      <c r="H1492" s="6"/>
      <c r="I1492" s="19"/>
      <c r="J1492" s="50"/>
      <c r="K1492" s="58"/>
      <c r="L1492" s="6" t="s">
        <v>655</v>
      </c>
      <c r="M1492" s="52" t="s">
        <v>655</v>
      </c>
      <c r="N1492" s="53" t="s">
        <v>655</v>
      </c>
      <c r="O1492" s="19"/>
      <c r="P1492" s="6"/>
      <c r="Q1492" s="6" t="str">
        <f t="shared" si="1"/>
        <v>#N/A</v>
      </c>
      <c r="R1492" s="6"/>
    </row>
    <row r="1493" hidden="1">
      <c r="A1493" s="31"/>
      <c r="B1493" s="14"/>
      <c r="C1493" s="14" t="str">
        <f>IFERROR(__xludf.DUMMYFUNCTION("""COMPUTED_VALUE"""),"ОКС")</f>
        <v>ОКС</v>
      </c>
      <c r="D1493" s="6" t="str">
        <f>IFERROR(__xludf.DUMMYFUNCTION("""COMPUTED_VALUE"""),"да")</f>
        <v>да</v>
      </c>
      <c r="E1493" s="14" t="str">
        <f>IFERROR(__xludf.DUMMYFUNCTION("""COMPUTED_VALUE"""),"«Многофункциональный комлпекс на земельном участке с
 адресными ориентирами: г. Москва, ул. Летниковская, вл.
 6а, стр. 1, 2, 3, 7, 10» расположенного по адресу: ул.
 Летниковская вл. 6а, стр. 1, 2, 3, 7, 10 район
 Замоскворечье, ЦАО и «Иногофункциональны"&amp;"й комплекс
 на земельном участке с адресными ориентирами: г.
 Москва, ул. Летниковская, вл. 4, стр. 1-4, 12-14, вл. 6а, стр.
 6, 8, 9» расположенного по адресу: ул. Летниковская, вл. 4,
 стр. 1-4, 12-14, вл. 6а, стр. 6, 8, 9, район Заомскворечье,
 ЦАО ")</f>
        <v>«Многофункциональный комлпекс на земельном участке с
 адресными ориентирами: г. Москва, ул. Летниковская, вл.
 6а, стр. 1, 2, 3, 7, 10» расположенного по адресу: ул.
 Летниковская вл. 6а, стр. 1, 2, 3, 7, 10 район
 Замоскворечье, ЦАО и «Иногофункциональный комплекс
 на земельном участке с адресными ориентирами: г.
 Москва, ул. Летниковская, вл. 4, стр. 1-4, 12-14, вл. 6а, стр.
 6, 8, 9» расположенного по адресу: ул. Летниковская, вл. 4,
 стр. 1-4, 12-14, вл. 6а, стр. 6, 8, 9, район Заомскворечье,
 ЦАО </v>
      </c>
      <c r="F1493" s="25" t="str">
        <f>IFERROR(__xludf.DUMMYFUNCTION("""COMPUTED_VALUE"""),"#N/A")</f>
        <v>#N/A</v>
      </c>
      <c r="G1493" s="6" t="str">
        <f>IFERROR(__xludf.DUMMYFUNCTION("""COMPUTED_VALUE"""),"#N/A")</f>
        <v>#N/A</v>
      </c>
      <c r="H1493" s="6"/>
      <c r="I1493" s="19"/>
      <c r="J1493" s="50"/>
      <c r="K1493" s="58"/>
      <c r="L1493" s="6" t="s">
        <v>655</v>
      </c>
      <c r="M1493" s="52" t="s">
        <v>655</v>
      </c>
      <c r="N1493" s="53" t="s">
        <v>655</v>
      </c>
      <c r="O1493" s="19"/>
      <c r="P1493" s="6"/>
      <c r="Q1493" s="6" t="str">
        <f t="shared" si="1"/>
        <v>#N/A</v>
      </c>
      <c r="R1493" s="6"/>
    </row>
    <row r="1494" hidden="1">
      <c r="A1494" s="31"/>
      <c r="B1494" s="14"/>
      <c r="C1494" s="14" t="str">
        <f>IFERROR(__xludf.DUMMYFUNCTION("""COMPUTED_VALUE"""),"ОКС")</f>
        <v>ОКС</v>
      </c>
      <c r="D1494" s="6" t="str">
        <f>IFERROR(__xludf.DUMMYFUNCTION("""COMPUTED_VALUE"""),"да")</f>
        <v>да</v>
      </c>
      <c r="E1494" s="14" t="str">
        <f>IFERROR(__xludf.DUMMYFUNCTION("""COMPUTED_VALUE"""),"Многоэтажный многоквартирный дом 3-й Силикатный проезд")</f>
        <v>Многоэтажный многоквартирный дом 3-й Силикатный проезд</v>
      </c>
      <c r="F1494" s="25" t="str">
        <f>IFERROR(__xludf.DUMMYFUNCTION("""COMPUTED_VALUE"""),"#N/A")</f>
        <v>#N/A</v>
      </c>
      <c r="G1494" s="6" t="str">
        <f>IFERROR(__xludf.DUMMYFUNCTION("""COMPUTED_VALUE"""),"#N/A")</f>
        <v>#N/A</v>
      </c>
      <c r="H1494" s="6"/>
      <c r="I1494" s="19"/>
      <c r="J1494" s="50"/>
      <c r="K1494" s="58"/>
      <c r="L1494" s="6" t="s">
        <v>655</v>
      </c>
      <c r="M1494" s="52" t="s">
        <v>655</v>
      </c>
      <c r="N1494" s="53" t="s">
        <v>655</v>
      </c>
      <c r="O1494" s="19"/>
      <c r="P1494" s="6"/>
      <c r="Q1494" s="6" t="str">
        <f t="shared" si="1"/>
        <v>#N/A</v>
      </c>
      <c r="R1494" s="6"/>
    </row>
    <row r="1495" hidden="1">
      <c r="A1495" s="31"/>
      <c r="B1495" s="14"/>
      <c r="C1495" s="14" t="str">
        <f>IFERROR(__xludf.DUMMYFUNCTION("""COMPUTED_VALUE"""),"ОКС")</f>
        <v>ОКС</v>
      </c>
      <c r="D1495" s="6" t="str">
        <f>IFERROR(__xludf.DUMMYFUNCTION("""COMPUTED_VALUE"""),"да")</f>
        <v>да</v>
      </c>
      <c r="E1495" s="14" t="str">
        <f>IFERROR(__xludf.DUMMYFUNCTION("""COMPUTED_VALUE"""),"Реставрация и приспособление выявленных 
 объектов культурного наследия, в рамках применения специальных мер, направленных на сохранение и регенерацию историко-градостроительной среды 
 исторического квартала под гостиничный комплекс с подземной автостоян"&amp;"кой по адресу: г. Москва, ул. Ильинка д. 3/8 стр. 3, 4, Богоявленский пер., д. 6 стр.1 ")</f>
        <v>Реставрация и приспособление выявленных 
 объектов культурного наследия, в рамках применения специальных мер, направленных на сохранение и регенерацию историко-градостроительной среды 
 исторического квартала под гостиничный комплекс с подземной автостоянкой по адресу: г. Москва, ул. Ильинка д. 3/8 стр. 3, 4, Богоявленский пер., д. 6 стр.1 </v>
      </c>
      <c r="F1495" s="25" t="str">
        <f>IFERROR(__xludf.DUMMYFUNCTION("""COMPUTED_VALUE"""),"#N/A")</f>
        <v>#N/A</v>
      </c>
      <c r="G1495" s="6" t="str">
        <f>IFERROR(__xludf.DUMMYFUNCTION("""COMPUTED_VALUE"""),"#N/A")</f>
        <v>#N/A</v>
      </c>
      <c r="H1495" s="6"/>
      <c r="I1495" s="19"/>
      <c r="J1495" s="50"/>
      <c r="K1495" s="58"/>
      <c r="L1495" s="6" t="s">
        <v>655</v>
      </c>
      <c r="M1495" s="52" t="s">
        <v>655</v>
      </c>
      <c r="N1495" s="53" t="s">
        <v>655</v>
      </c>
      <c r="O1495" s="19"/>
      <c r="P1495" s="6"/>
      <c r="Q1495" s="6" t="str">
        <f t="shared" si="1"/>
        <v>#N/A</v>
      </c>
      <c r="R1495" s="6"/>
    </row>
    <row r="1496" hidden="1">
      <c r="A1496" s="31"/>
      <c r="B1496" s="14"/>
      <c r="C1496" s="14" t="str">
        <f>IFERROR(__xludf.DUMMYFUNCTION("""COMPUTED_VALUE"""),"ОКС")</f>
        <v>ОКС</v>
      </c>
      <c r="D1496" s="6" t="str">
        <f>IFERROR(__xludf.DUMMYFUNCTION("""COMPUTED_VALUE"""),"да")</f>
        <v>да</v>
      </c>
      <c r="E1496" s="14" t="str">
        <f>IFERROR(__xludf.DUMMYFUNCTION("""COMPUTED_VALUE"""),"""Комплекс, расположенный по адресу: г. Москва, ЮАО, Даниловский район, ул. Летниковская, вл. 11/10, 2-й Этап"" улица Летниковская, земельный участок 11/10/6")</f>
        <v>"Комплекс, расположенный по адресу: г. Москва, ЮАО, Даниловский район, ул. Летниковская, вл. 11/10, 2-й Этап" улица Летниковская, земельный участок 11/10/6</v>
      </c>
      <c r="F1496" s="25" t="str">
        <f>IFERROR(__xludf.DUMMYFUNCTION("""COMPUTED_VALUE"""),"#N/A")</f>
        <v>#N/A</v>
      </c>
      <c r="G1496" s="6" t="str">
        <f>IFERROR(__xludf.DUMMYFUNCTION("""COMPUTED_VALUE"""),"#N/A")</f>
        <v>#N/A</v>
      </c>
      <c r="H1496" s="6"/>
      <c r="I1496" s="19"/>
      <c r="J1496" s="50"/>
      <c r="K1496" s="58"/>
      <c r="L1496" s="6" t="s">
        <v>655</v>
      </c>
      <c r="M1496" s="52" t="s">
        <v>655</v>
      </c>
      <c r="N1496" s="53" t="s">
        <v>655</v>
      </c>
      <c r="O1496" s="19"/>
      <c r="P1496" s="6"/>
      <c r="Q1496" s="6" t="str">
        <f t="shared" si="1"/>
        <v>#N/A</v>
      </c>
      <c r="R1496" s="6"/>
    </row>
    <row r="1497" hidden="1">
      <c r="A1497" s="31"/>
      <c r="B1497" s="14"/>
      <c r="C1497" s="14" t="str">
        <f>IFERROR(__xludf.DUMMYFUNCTION("""COMPUTED_VALUE"""),"ОКС")</f>
        <v>ОКС</v>
      </c>
      <c r="D1497" s="6" t="str">
        <f>IFERROR(__xludf.DUMMYFUNCTION("""COMPUTED_VALUE"""),"да")</f>
        <v>да</v>
      </c>
      <c r="E1497" s="14" t="str">
        <f>IFERROR(__xludf.DUMMYFUNCTION("""COMPUTED_VALUE"""),"«Высотное здание-комплекс, расположенное по адресу г. Москва, Семёновская набережная, вл. 3, стр. 13А, в составе транспортно-пересадочного узла (ТПУ) 
 Электрозаводская» ")</f>
        <v>«Высотное здание-комплекс, расположенное по адресу г. Москва, Семёновская набережная, вл. 3, стр. 13А, в составе транспортно-пересадочного узла (ТПУ) 
 Электрозаводская» </v>
      </c>
      <c r="F1497" s="25" t="str">
        <f>IFERROR(__xludf.DUMMYFUNCTION("""COMPUTED_VALUE"""),"#N/A")</f>
        <v>#N/A</v>
      </c>
      <c r="G1497" s="6" t="str">
        <f>IFERROR(__xludf.DUMMYFUNCTION("""COMPUTED_VALUE"""),"#N/A")</f>
        <v>#N/A</v>
      </c>
      <c r="H1497" s="6"/>
      <c r="I1497" s="19"/>
      <c r="J1497" s="50"/>
      <c r="K1497" s="58"/>
      <c r="L1497" s="6" t="s">
        <v>655</v>
      </c>
      <c r="M1497" s="52" t="s">
        <v>655</v>
      </c>
      <c r="N1497" s="53" t="s">
        <v>655</v>
      </c>
      <c r="O1497" s="19"/>
      <c r="P1497" s="6"/>
      <c r="Q1497" s="6" t="str">
        <f t="shared" si="1"/>
        <v>#N/A</v>
      </c>
      <c r="R1497" s="6"/>
    </row>
    <row r="1498" hidden="1">
      <c r="A1498" s="31"/>
      <c r="B1498" s="14"/>
      <c r="C1498" s="14" t="str">
        <f>IFERROR(__xludf.DUMMYFUNCTION("""COMPUTED_VALUE"""),"ОКС")</f>
        <v>ОКС</v>
      </c>
      <c r="D1498" s="6" t="str">
        <f>IFERROR(__xludf.DUMMYFUNCTION("""COMPUTED_VALUE"""),"да")</f>
        <v>да</v>
      </c>
      <c r="E1498" s="14" t="str">
        <f>IFERROR(__xludf.DUMMYFUNCTION("""COMPUTED_VALUE"""),"""Росатом 2.0"" расположенный по адресу г. Москва, Китайгородский проезд, д. 7, стр. 1 ")</f>
        <v>"Росатом 2.0" расположенный по адресу г. Москва, Китайгородский проезд, д. 7, стр. 1 </v>
      </c>
      <c r="F1498" s="25" t="str">
        <f>IFERROR(__xludf.DUMMYFUNCTION("""COMPUTED_VALUE"""),"#N/A")</f>
        <v>#N/A</v>
      </c>
      <c r="G1498" s="6" t="str">
        <f>IFERROR(__xludf.DUMMYFUNCTION("""COMPUTED_VALUE"""),"#N/A")</f>
        <v>#N/A</v>
      </c>
      <c r="H1498" s="6"/>
      <c r="I1498" s="19"/>
      <c r="J1498" s="50"/>
      <c r="K1498" s="58"/>
      <c r="L1498" s="6" t="s">
        <v>655</v>
      </c>
      <c r="M1498" s="52" t="s">
        <v>655</v>
      </c>
      <c r="N1498" s="53" t="s">
        <v>655</v>
      </c>
      <c r="O1498" s="19"/>
      <c r="P1498" s="6"/>
      <c r="Q1498" s="6" t="str">
        <f t="shared" si="1"/>
        <v>#N/A</v>
      </c>
      <c r="R1498" s="6"/>
    </row>
    <row r="1499" hidden="1">
      <c r="A1499" s="31"/>
      <c r="B1499" s="14"/>
      <c r="C1499" s="14" t="str">
        <f>IFERROR(__xludf.DUMMYFUNCTION("""COMPUTED_VALUE"""),"ОКС")</f>
        <v>ОКС</v>
      </c>
      <c r="D1499" s="6" t="str">
        <f>IFERROR(__xludf.DUMMYFUNCTION("""COMPUTED_VALUE"""),"да")</f>
        <v>да</v>
      </c>
      <c r="E1499" s="14" t="str">
        <f>IFERROR(__xludf.DUMMYFUNCTION("""COMPUTED_VALUE"""),"«Административно-деловой комплекс», по адресу: г. Москва,внутригородское муниципальное образование Хорошево-Мневники,проезд 3-й Силикатный, земельный участок 10/12, земельный участок 10/2,с кадастровыми номерами 77:08:0012002:1929, 77:08:0012002:1931 ")</f>
        <v>«Административно-деловой комплекс», по адресу: г. Москва,внутригородское муниципальное образование Хорошево-Мневники,проезд 3-й Силикатный, земельный участок 10/12, земельный участок 10/2,с кадастровыми номерами 77:08:0012002:1929, 77:08:0012002:1931 </v>
      </c>
      <c r="F1499" s="25" t="str">
        <f>IFERROR(__xludf.DUMMYFUNCTION("""COMPUTED_VALUE"""),"#N/A")</f>
        <v>#N/A</v>
      </c>
      <c r="G1499" s="6" t="str">
        <f>IFERROR(__xludf.DUMMYFUNCTION("""COMPUTED_VALUE"""),"#N/A")</f>
        <v>#N/A</v>
      </c>
      <c r="H1499" s="6"/>
      <c r="I1499" s="19"/>
      <c r="J1499" s="50"/>
      <c r="K1499" s="58"/>
      <c r="L1499" s="6" t="s">
        <v>655</v>
      </c>
      <c r="M1499" s="52" t="s">
        <v>655</v>
      </c>
      <c r="N1499" s="53" t="s">
        <v>655</v>
      </c>
      <c r="O1499" s="19"/>
      <c r="P1499" s="6"/>
      <c r="Q1499" s="6" t="str">
        <f t="shared" si="1"/>
        <v>#N/A</v>
      </c>
      <c r="R1499" s="6"/>
    </row>
    <row r="1500" hidden="1">
      <c r="A1500" s="31"/>
      <c r="B1500" s="14"/>
      <c r="C1500" s="14" t="str">
        <f>IFERROR(__xludf.DUMMYFUNCTION("""COMPUTED_VALUE"""),"ОКС")</f>
        <v>ОКС</v>
      </c>
      <c r="D1500" s="6" t="str">
        <f>IFERROR(__xludf.DUMMYFUNCTION("""COMPUTED_VALUE"""),"да")</f>
        <v>да</v>
      </c>
      <c r="E1500" s="14" t="str">
        <f>IFERROR(__xludf.DUMMYFUNCTION("""COMPUTED_VALUE"""),"«Жилой дом по адресу: г. Москва, ул. Тимура Фрунзе, 10» ")</f>
        <v>«Жилой дом по адресу: г. Москва, ул. Тимура Фрунзе, 10» </v>
      </c>
      <c r="F1500" s="25" t="str">
        <f>IFERROR(__xludf.DUMMYFUNCTION("""COMPUTED_VALUE"""),"#N/A")</f>
        <v>#N/A</v>
      </c>
      <c r="G1500" s="6" t="str">
        <f>IFERROR(__xludf.DUMMYFUNCTION("""COMPUTED_VALUE"""),"#N/A")</f>
        <v>#N/A</v>
      </c>
      <c r="H1500" s="6"/>
      <c r="I1500" s="19"/>
      <c r="J1500" s="50"/>
      <c r="K1500" s="58"/>
      <c r="L1500" s="6" t="s">
        <v>655</v>
      </c>
      <c r="M1500" s="52" t="s">
        <v>655</v>
      </c>
      <c r="N1500" s="53" t="s">
        <v>655</v>
      </c>
      <c r="O1500" s="19"/>
      <c r="P1500" s="6"/>
      <c r="Q1500" s="6" t="str">
        <f t="shared" si="1"/>
        <v>#N/A</v>
      </c>
      <c r="R1500" s="6"/>
    </row>
    <row r="1501" hidden="1">
      <c r="A1501" s="31"/>
      <c r="B1501" s="14"/>
      <c r="C1501" s="14" t="str">
        <f>IFERROR(__xludf.DUMMYFUNCTION("""COMPUTED_VALUE"""),"ОКС")</f>
        <v>ОКС</v>
      </c>
      <c r="D1501" s="6" t="str">
        <f>IFERROR(__xludf.DUMMYFUNCTION("""COMPUTED_VALUE"""),"да")</f>
        <v>да</v>
      </c>
      <c r="E1501" s="14" t="str">
        <f>IFERROR(__xludf.DUMMYFUNCTION("""COMPUTED_VALUE"""),"«Многофункциональный жилой комплекс, расположенный по адресу: г. Москва, ВАО, внутригородская территория муниципальный округ Богородское, Открытое шоссе, земельные участки 9/14А, 9/14, 9/1, 9/1/1» ")</f>
        <v>«Многофункциональный жилой комплекс, расположенный по адресу: г. Москва, ВАО, внутригородская территория муниципальный округ Богородское, Открытое шоссе, земельные участки 9/14А, 9/14, 9/1, 9/1/1» </v>
      </c>
      <c r="F1501" s="25" t="str">
        <f>IFERROR(__xludf.DUMMYFUNCTION("""COMPUTED_VALUE"""),"#N/A")</f>
        <v>#N/A</v>
      </c>
      <c r="G1501" s="6" t="str">
        <f>IFERROR(__xludf.DUMMYFUNCTION("""COMPUTED_VALUE"""),"#N/A")</f>
        <v>#N/A</v>
      </c>
      <c r="H1501" s="6"/>
      <c r="I1501" s="19"/>
      <c r="J1501" s="50"/>
      <c r="K1501" s="58"/>
      <c r="L1501" s="6" t="s">
        <v>655</v>
      </c>
      <c r="M1501" s="52" t="s">
        <v>655</v>
      </c>
      <c r="N1501" s="53" t="s">
        <v>655</v>
      </c>
      <c r="O1501" s="19"/>
      <c r="P1501" s="6"/>
      <c r="Q1501" s="6" t="str">
        <f t="shared" si="1"/>
        <v>#N/A</v>
      </c>
      <c r="R1501" s="6"/>
    </row>
    <row r="1502" hidden="1">
      <c r="A1502" s="31"/>
      <c r="B1502" s="14"/>
      <c r="C1502" s="14" t="str">
        <f>IFERROR(__xludf.DUMMYFUNCTION("""COMPUTED_VALUE"""),"ОКС")</f>
        <v>ОКС</v>
      </c>
      <c r="D1502" s="6" t="str">
        <f>IFERROR(__xludf.DUMMYFUNCTION("""COMPUTED_VALUE"""),"да")</f>
        <v>да</v>
      </c>
      <c r="E1502" s="14" t="str">
        <f>IFERROR(__xludf.DUMMYFUNCTION("""COMPUTED_VALUE"""),"«Федеральное государственное бюджетное учреждение «Больница с поликлиникой» Управления делами Президента Российской Федерации, по адресу: г. Москва, Романов пер., д. 2/6, стр. 2. Реконструкция (в режиме реставрации с приспособлением к современному использ"&amp;"ованию) здания»;
 - «Федеральное государственное бюджетное учреждение «Больница с поликлиникой» Управления делами Президента Российской Федерации. Реконструкция административного здания с перепрофилированием его под отделение скорой медицинской помощи по "&amp;"адресу: г. Москва, Романов пер., д. 2/6, стр. 4, стр. 5»;
 - «Федеральное государственное бюджетное учреждение «Больница с поликлиникой» Управления делами Президента Российской Федерации. Реконструкция (в режиме реставрации с приспособлением к современном"&amp;"у использованию) здания по адресу: г. Москва, Романов пер., д. 2/6, стр. 3 под создание научно-медицинского центра с устройством подземного паркинга» ")</f>
        <v>«Федеральное государственное бюджетное учреждение «Больница с поликлиникой» Управления делами Президента Российской Федерации, по адресу: г. Москва, Романов пер., д. 2/6, стр. 2. Реконструкция (в режиме реставрации с приспособлением к современному использованию) здания»;
 - «Федеральное государственное бюджетное учреждение «Больница с поликлиникой» Управления делами Президента Российской Федерации. Реконструкция административного здания с перепрофилированием его под отделение скорой медицинской помощи по адресу: г. Москва, Романов пер., д. 2/6, стр. 4, стр. 5»;
 - «Федеральное государственное бюджетное учреждение «Больница с поликлиникой» Управления делами Президента Российской Федерации. Реконструкция (в режиме реставрации с приспособлением к современному использованию) здания по адресу: г. Москва, Романов пер., д. 2/6, стр. 3 под создание научно-медицинского центра с устройством подземного паркинга» </v>
      </c>
      <c r="F1502" s="25" t="str">
        <f>IFERROR(__xludf.DUMMYFUNCTION("""COMPUTED_VALUE"""),"#N/A")</f>
        <v>#N/A</v>
      </c>
      <c r="G1502" s="6" t="str">
        <f>IFERROR(__xludf.DUMMYFUNCTION("""COMPUTED_VALUE"""),"#N/A")</f>
        <v>#N/A</v>
      </c>
      <c r="H1502" s="6"/>
      <c r="I1502" s="19"/>
      <c r="J1502" s="50"/>
      <c r="K1502" s="58"/>
      <c r="L1502" s="6" t="s">
        <v>655</v>
      </c>
      <c r="M1502" s="52" t="s">
        <v>655</v>
      </c>
      <c r="N1502" s="53" t="s">
        <v>655</v>
      </c>
      <c r="O1502" s="19"/>
      <c r="P1502" s="6"/>
      <c r="Q1502" s="6" t="str">
        <f t="shared" si="1"/>
        <v>#N/A</v>
      </c>
      <c r="R1502" s="6"/>
    </row>
    <row r="1503" hidden="1">
      <c r="A1503" s="31"/>
      <c r="B1503" s="14"/>
      <c r="C1503" s="14" t="str">
        <f>IFERROR(__xludf.DUMMYFUNCTION("""COMPUTED_VALUE"""),"ОКС")</f>
        <v>ОКС</v>
      </c>
      <c r="D1503" s="6" t="str">
        <f>IFERROR(__xludf.DUMMYFUNCTION("""COMPUTED_VALUE"""),"да")</f>
        <v>да</v>
      </c>
      <c r="E1503" s="14" t="str">
        <f>IFERROR(__xludf.DUMMYFUNCTION("""COMPUTED_VALUE"""),"""Многофункциональный киноконцертный зал в составе Центрального Ядра ММДЦ ""Москва-Сити"" на участке 6"" ")</f>
        <v>"Многофункциональный киноконцертный зал в составе Центрального Ядра ММДЦ "Москва-Сити" на участке 6" </v>
      </c>
      <c r="F1503" s="25" t="str">
        <f>IFERROR(__xludf.DUMMYFUNCTION("""COMPUTED_VALUE"""),"#N/A")</f>
        <v>#N/A</v>
      </c>
      <c r="G1503" s="6" t="str">
        <f>IFERROR(__xludf.DUMMYFUNCTION("""COMPUTED_VALUE"""),"#N/A")</f>
        <v>#N/A</v>
      </c>
      <c r="H1503" s="6"/>
      <c r="I1503" s="19"/>
      <c r="J1503" s="50"/>
      <c r="K1503" s="58"/>
      <c r="L1503" s="6" t="s">
        <v>655</v>
      </c>
      <c r="M1503" s="52" t="s">
        <v>655</v>
      </c>
      <c r="N1503" s="53" t="s">
        <v>655</v>
      </c>
      <c r="O1503" s="19"/>
      <c r="P1503" s="6"/>
      <c r="Q1503" s="6" t="str">
        <f t="shared" si="1"/>
        <v>#N/A</v>
      </c>
      <c r="R1503" s="6"/>
    </row>
    <row r="1504" hidden="1">
      <c r="A1504" s="31"/>
      <c r="B1504" s="14"/>
      <c r="C1504" s="14" t="str">
        <f>IFERROR(__xludf.DUMMYFUNCTION("""COMPUTED_VALUE"""),"ОКС")</f>
        <v>ОКС</v>
      </c>
      <c r="D1504" s="6"/>
      <c r="E1504" s="14" t="str">
        <f>IFERROR(__xludf.DUMMYFUNCTION("""COMPUTED_VALUE"""),"«Многофункциональный центр транспортно-пересадочного узла «Хорошевская» («Полежаевская») Участок № 1) ")</f>
        <v>«Многофункциональный центр транспортно-пересадочного узла «Хорошевская» («Полежаевская») Участок № 1) </v>
      </c>
      <c r="F1504" s="25" t="str">
        <f>IFERROR(__xludf.DUMMYFUNCTION("""COMPUTED_VALUE"""),"#N/A")</f>
        <v>#N/A</v>
      </c>
      <c r="G1504" s="6" t="str">
        <f>IFERROR(__xludf.DUMMYFUNCTION("""COMPUTED_VALUE"""),"#N/A")</f>
        <v>#N/A</v>
      </c>
      <c r="H1504" s="6"/>
      <c r="I1504" s="19"/>
      <c r="J1504" s="50"/>
      <c r="K1504" s="58"/>
      <c r="L1504" s="6" t="s">
        <v>655</v>
      </c>
      <c r="M1504" s="52" t="s">
        <v>655</v>
      </c>
      <c r="N1504" s="53" t="s">
        <v>655</v>
      </c>
      <c r="O1504" s="19"/>
      <c r="P1504" s="6"/>
      <c r="Q1504" s="6" t="str">
        <f t="shared" si="1"/>
        <v>#N/A</v>
      </c>
      <c r="R1504" s="6"/>
    </row>
    <row r="1505" hidden="1">
      <c r="A1505" s="31"/>
      <c r="B1505" s="14"/>
      <c r="C1505" s="14" t="str">
        <f>IFERROR(__xludf.DUMMYFUNCTION("""COMPUTED_VALUE"""),"ОКС")</f>
        <v>ОКС</v>
      </c>
      <c r="D1505" s="6" t="str">
        <f>IFERROR(__xludf.DUMMYFUNCTION("""COMPUTED_VALUE"""),"да")</f>
        <v>да</v>
      </c>
      <c r="E1505" s="14" t="str">
        <f>IFERROR(__xludf.DUMMYFUNCTION("""COMPUTED_VALUE"""),"""Многофункциональный жилой комплекс. Этап 1"" по адресу: г. Москва, ул. Адмирала Макарова, земельный участок 2/16"" ")</f>
        <v>"Многофункциональный жилой комплекс. Этап 1" по адресу: г. Москва, ул. Адмирала Макарова, земельный участок 2/16" </v>
      </c>
      <c r="F1505" s="25" t="str">
        <f>IFERROR(__xludf.DUMMYFUNCTION("""COMPUTED_VALUE"""),"#N/A")</f>
        <v>#N/A</v>
      </c>
      <c r="G1505" s="6" t="str">
        <f>IFERROR(__xludf.DUMMYFUNCTION("""COMPUTED_VALUE"""),"#N/A")</f>
        <v>#N/A</v>
      </c>
      <c r="H1505" s="6"/>
      <c r="I1505" s="19"/>
      <c r="J1505" s="50"/>
      <c r="K1505" s="58"/>
      <c r="L1505" s="6" t="s">
        <v>655</v>
      </c>
      <c r="M1505" s="52" t="s">
        <v>655</v>
      </c>
      <c r="N1505" s="53" t="s">
        <v>655</v>
      </c>
      <c r="O1505" s="19"/>
      <c r="P1505" s="6"/>
      <c r="Q1505" s="6" t="str">
        <f t="shared" si="1"/>
        <v>#N/A</v>
      </c>
      <c r="R1505" s="6"/>
    </row>
    <row r="1506" hidden="1">
      <c r="A1506" s="31"/>
      <c r="B1506" s="14"/>
      <c r="C1506" s="14" t="str">
        <f>IFERROR(__xludf.DUMMYFUNCTION("""COMPUTED_VALUE"""),"ОКС")</f>
        <v>ОКС</v>
      </c>
      <c r="D1506" s="6" t="str">
        <f>IFERROR(__xludf.DUMMYFUNCTION("""COMPUTED_VALUE"""),"да")</f>
        <v>да</v>
      </c>
      <c r="E1506" s="14" t="str">
        <f>IFERROR(__xludf.DUMMYFUNCTION("""COMPUTED_VALUE"""),"«Многофункциональный жилой комплекс сподземной автостоянкой» по адресу: Москва, Краснопресненская наб., вл. 14, стр. 1», ")</f>
        <v>«Многофункциональный жилой комплекс сподземной автостоянкой» по адресу: Москва, Краснопресненская наб., вл. 14, стр. 1», </v>
      </c>
      <c r="F1506" s="25" t="str">
        <f>IFERROR(__xludf.DUMMYFUNCTION("""COMPUTED_VALUE"""),"#N/A")</f>
        <v>#N/A</v>
      </c>
      <c r="G1506" s="6" t="str">
        <f>IFERROR(__xludf.DUMMYFUNCTION("""COMPUTED_VALUE"""),"#N/A")</f>
        <v>#N/A</v>
      </c>
      <c r="H1506" s="6"/>
      <c r="I1506" s="19"/>
      <c r="J1506" s="50"/>
      <c r="K1506" s="58"/>
      <c r="L1506" s="6" t="s">
        <v>655</v>
      </c>
      <c r="M1506" s="52" t="s">
        <v>655</v>
      </c>
      <c r="N1506" s="53" t="s">
        <v>655</v>
      </c>
      <c r="O1506" s="19"/>
      <c r="P1506" s="6"/>
      <c r="Q1506" s="6" t="str">
        <f t="shared" si="1"/>
        <v>#N/A</v>
      </c>
      <c r="R1506" s="6"/>
    </row>
    <row r="1507" hidden="1">
      <c r="A1507" s="31"/>
      <c r="B1507" s="14"/>
      <c r="C1507" s="14" t="str">
        <f>IFERROR(__xludf.DUMMYFUNCTION("""COMPUTED_VALUE"""),"ОКС")</f>
        <v>ОКС</v>
      </c>
      <c r="D1507" s="6" t="str">
        <f>IFERROR(__xludf.DUMMYFUNCTION("""COMPUTED_VALUE"""),"да")</f>
        <v>да</v>
      </c>
      <c r="E1507" s="14" t="str">
        <f>IFERROR(__xludf.DUMMYFUNCTION("""COMPUTED_VALUE"""),"Здание общественно делового назначения с подземной парковкой (участок № 2)» с адресным ориентиром: Хорошевское шоссе на пересечении с ул. Куусинена» ")</f>
        <v>Здание общественно делового назначения с подземной парковкой (участок № 2)» с адресным ориентиром: Хорошевское шоссе на пересечении с ул. Куусинена» </v>
      </c>
      <c r="F1507" s="25" t="str">
        <f>IFERROR(__xludf.DUMMYFUNCTION("""COMPUTED_VALUE"""),"#N/A")</f>
        <v>#N/A</v>
      </c>
      <c r="G1507" s="6" t="str">
        <f>IFERROR(__xludf.DUMMYFUNCTION("""COMPUTED_VALUE"""),"#N/A")</f>
        <v>#N/A</v>
      </c>
      <c r="H1507" s="6"/>
      <c r="I1507" s="19"/>
      <c r="J1507" s="50"/>
      <c r="K1507" s="58"/>
      <c r="L1507" s="6" t="s">
        <v>655</v>
      </c>
      <c r="M1507" s="52" t="s">
        <v>655</v>
      </c>
      <c r="N1507" s="53" t="s">
        <v>655</v>
      </c>
      <c r="O1507" s="19"/>
      <c r="P1507" s="6"/>
      <c r="Q1507" s="6" t="str">
        <f t="shared" si="1"/>
        <v>#N/A</v>
      </c>
      <c r="R1507" s="6"/>
    </row>
    <row r="1508" hidden="1">
      <c r="A1508" s="31"/>
      <c r="B1508" s="14"/>
      <c r="C1508" s="14" t="str">
        <f>IFERROR(__xludf.DUMMYFUNCTION("""COMPUTED_VALUE"""),"ОКС")</f>
        <v>ОКС</v>
      </c>
      <c r="D1508" s="6" t="str">
        <f>IFERROR(__xludf.DUMMYFUNCTION("""COMPUTED_VALUE"""),"да")</f>
        <v>да</v>
      </c>
      <c r="E1508" s="14" t="str">
        <f>IFERROR(__xludf.DUMMYFUNCTION("""COMPUTED_VALUE"""),"«Многофункциональный центр по адресу: г. Москва, Бутырская ул., з/у 1 с кадастровым номером 77:09:0004019:3591» ")</f>
        <v>«Многофункциональный центр по адресу: г. Москва, Бутырская ул., з/у 1 с кадастровым номером 77:09:0004019:3591» </v>
      </c>
      <c r="F1508" s="25" t="str">
        <f>IFERROR(__xludf.DUMMYFUNCTION("""COMPUTED_VALUE"""),"#N/A")</f>
        <v>#N/A</v>
      </c>
      <c r="G1508" s="6" t="str">
        <f>IFERROR(__xludf.DUMMYFUNCTION("""COMPUTED_VALUE"""),"#N/A")</f>
        <v>#N/A</v>
      </c>
      <c r="H1508" s="6"/>
      <c r="I1508" s="19"/>
      <c r="J1508" s="50"/>
      <c r="K1508" s="58"/>
      <c r="L1508" s="6" t="s">
        <v>655</v>
      </c>
      <c r="M1508" s="52" t="s">
        <v>655</v>
      </c>
      <c r="N1508" s="53" t="s">
        <v>655</v>
      </c>
      <c r="O1508" s="19"/>
      <c r="P1508" s="6"/>
      <c r="Q1508" s="6" t="str">
        <f t="shared" si="1"/>
        <v>#N/A</v>
      </c>
      <c r="R1508" s="6"/>
    </row>
    <row r="1509" hidden="1">
      <c r="A1509" s="31"/>
      <c r="B1509" s="14"/>
      <c r="C1509" s="14" t="str">
        <f>IFERROR(__xludf.DUMMYFUNCTION("""COMPUTED_VALUE"""),"ОКС")</f>
        <v>ОКС</v>
      </c>
      <c r="D1509" s="6" t="str">
        <f>IFERROR(__xludf.DUMMYFUNCTION("""COMPUTED_VALUE"""),"да")</f>
        <v>да</v>
      </c>
      <c r="E1509" s="14" t="str">
        <f>IFERROR(__xludf.DUMMYFUNCTION("""COMPUTED_VALUE"""),"Многофункциональный жилой комплекс с торговой составляющей, встроенным паркингом, в составе транспортно-пересадочного узла ""Мичуринский проспект"", ""Вестибюль №2 станции метрополитена ""Мичуринский проспект"" Калининско-Солнцевской линии Московского мет"&amp;"рополитена ")</f>
        <v>Многофункциональный жилой комплекс с торговой составляющей, встроенным паркингом, в составе транспортно-пересадочного узла "Мичуринский проспект", "Вестибюль №2 станции метрополитена "Мичуринский проспект" Калининско-Солнцевской линии Московского метрополитена </v>
      </c>
      <c r="F1509" s="25" t="str">
        <f>IFERROR(__xludf.DUMMYFUNCTION("""COMPUTED_VALUE"""),"#N/A")</f>
        <v>#N/A</v>
      </c>
      <c r="G1509" s="6" t="str">
        <f>IFERROR(__xludf.DUMMYFUNCTION("""COMPUTED_VALUE"""),"#N/A")</f>
        <v>#N/A</v>
      </c>
      <c r="H1509" s="6"/>
      <c r="I1509" s="19"/>
      <c r="J1509" s="50"/>
      <c r="K1509" s="58"/>
      <c r="L1509" s="6" t="s">
        <v>655</v>
      </c>
      <c r="M1509" s="52" t="s">
        <v>655</v>
      </c>
      <c r="N1509" s="53" t="s">
        <v>655</v>
      </c>
      <c r="O1509" s="19"/>
      <c r="P1509" s="6"/>
      <c r="Q1509" s="6" t="str">
        <f t="shared" si="1"/>
        <v>#N/A</v>
      </c>
      <c r="R1509" s="6"/>
    </row>
    <row r="1510" hidden="1">
      <c r="A1510" s="31"/>
      <c r="B1510" s="14"/>
      <c r="C1510" s="14" t="str">
        <f>IFERROR(__xludf.DUMMYFUNCTION("""COMPUTED_VALUE"""),"ОКС")</f>
        <v>ОКС</v>
      </c>
      <c r="D1510" s="6" t="str">
        <f>IFERROR(__xludf.DUMMYFUNCTION("""COMPUTED_VALUE"""),"да")</f>
        <v>да</v>
      </c>
      <c r="E1510" s="14" t="str">
        <f>IFERROR(__xludf.DUMMYFUNCTION("""COMPUTED_VALUE"""),"Жилой комплекс по адресу: г. Москва, Дмитровское шоссе, вл . 75» (1-ый этап) ")</f>
        <v>Жилой комплекс по адресу: г. Москва, Дмитровское шоссе, вл . 75» (1-ый этап) </v>
      </c>
      <c r="F1510" s="25" t="str">
        <f>IFERROR(__xludf.DUMMYFUNCTION("""COMPUTED_VALUE"""),"#N/A")</f>
        <v>#N/A</v>
      </c>
      <c r="G1510" s="6" t="str">
        <f>IFERROR(__xludf.DUMMYFUNCTION("""COMPUTED_VALUE"""),"#N/A")</f>
        <v>#N/A</v>
      </c>
      <c r="H1510" s="6"/>
      <c r="I1510" s="19"/>
      <c r="J1510" s="50"/>
      <c r="K1510" s="58"/>
      <c r="L1510" s="6" t="s">
        <v>655</v>
      </c>
      <c r="M1510" s="52" t="s">
        <v>655</v>
      </c>
      <c r="N1510" s="53" t="s">
        <v>655</v>
      </c>
      <c r="O1510" s="19"/>
      <c r="P1510" s="6"/>
      <c r="Q1510" s="6" t="str">
        <f t="shared" si="1"/>
        <v>#N/A</v>
      </c>
      <c r="R1510" s="6"/>
    </row>
    <row r="1511" hidden="1">
      <c r="A1511" s="31"/>
      <c r="B1511" s="14"/>
      <c r="C1511" s="14" t="str">
        <f>IFERROR(__xludf.DUMMYFUNCTION("""COMPUTED_VALUE"""),"ОКС")</f>
        <v>ОКС</v>
      </c>
      <c r="D1511" s="6" t="str">
        <f>IFERROR(__xludf.DUMMYFUNCTION("""COMPUTED_VALUE"""),"да")</f>
        <v>да</v>
      </c>
      <c r="E1511" s="14" t="str">
        <f>IFERROR(__xludf.DUMMYFUNCTION("""COMPUTED_VALUE"""),"Административно-деловой комплекс По адресу: г. Москва, САО, бульвар Ходынский, земельный участок 20А/2 (САО, Хорошевский) ")</f>
        <v>Административно-деловой комплекс По адресу: г. Москва, САО, бульвар Ходынский, земельный участок 20А/2 (САО, Хорошевский) </v>
      </c>
      <c r="F1511" s="25" t="str">
        <f>IFERROR(__xludf.DUMMYFUNCTION("""COMPUTED_VALUE"""),"#N/A")</f>
        <v>#N/A</v>
      </c>
      <c r="G1511" s="6" t="str">
        <f>IFERROR(__xludf.DUMMYFUNCTION("""COMPUTED_VALUE"""),"#N/A")</f>
        <v>#N/A</v>
      </c>
      <c r="H1511" s="6"/>
      <c r="I1511" s="19"/>
      <c r="J1511" s="50"/>
      <c r="K1511" s="58"/>
      <c r="L1511" s="6" t="s">
        <v>655</v>
      </c>
      <c r="M1511" s="52" t="s">
        <v>655</v>
      </c>
      <c r="N1511" s="53" t="s">
        <v>655</v>
      </c>
      <c r="O1511" s="19"/>
      <c r="P1511" s="6"/>
      <c r="Q1511" s="6" t="str">
        <f t="shared" si="1"/>
        <v>#N/A</v>
      </c>
      <c r="R1511" s="6"/>
    </row>
    <row r="1512" hidden="1">
      <c r="A1512" s="31"/>
      <c r="B1512" s="14"/>
      <c r="C1512" s="14" t="str">
        <f>IFERROR(__xludf.DUMMYFUNCTION("""COMPUTED_VALUE"""),"ОКС")</f>
        <v>ОКС</v>
      </c>
      <c r="D1512" s="6" t="str">
        <f>IFERROR(__xludf.DUMMYFUNCTION("""COMPUTED_VALUE"""),"да")</f>
        <v>да</v>
      </c>
      <c r="E1512" s="14" t="str">
        <f>IFERROR(__xludf.DUMMYFUNCTION("""COMPUTED_VALUE"""),"Реконструкция делового комплекса в составе корп. ""А"", ""Б"", ""В"", ""Г"", ""Е"" с единой стилобатной (подземной) частью и устройством надземной объединительной аркады пересечение Кутузовского проспекта и улицы Кульнева ")</f>
        <v>Реконструкция делового комплекса в составе корп. "А", "Б", "В", "Г", "Е" с единой стилобатной (подземной) частью и устройством надземной объединительной аркады пересечение Кутузовского проспекта и улицы Кульнева </v>
      </c>
      <c r="F1512" s="25" t="str">
        <f>IFERROR(__xludf.DUMMYFUNCTION("""COMPUTED_VALUE"""),"#N/A")</f>
        <v>#N/A</v>
      </c>
      <c r="G1512" s="6" t="str">
        <f>IFERROR(__xludf.DUMMYFUNCTION("""COMPUTED_VALUE"""),"#N/A")</f>
        <v>#N/A</v>
      </c>
      <c r="H1512" s="6"/>
      <c r="I1512" s="19"/>
      <c r="J1512" s="50"/>
      <c r="K1512" s="58"/>
      <c r="L1512" s="6" t="s">
        <v>655</v>
      </c>
      <c r="M1512" s="52" t="s">
        <v>655</v>
      </c>
      <c r="N1512" s="53" t="s">
        <v>655</v>
      </c>
      <c r="O1512" s="19"/>
      <c r="P1512" s="6"/>
      <c r="Q1512" s="6" t="str">
        <f t="shared" si="1"/>
        <v>#N/A</v>
      </c>
      <c r="R1512" s="6"/>
    </row>
    <row r="1513" hidden="1">
      <c r="A1513" s="31"/>
      <c r="B1513" s="14"/>
      <c r="C1513" s="14" t="str">
        <f>IFERROR(__xludf.DUMMYFUNCTION("""COMPUTED_VALUE"""),"УДС")</f>
        <v>УДС</v>
      </c>
      <c r="D1513" s="6" t="str">
        <f>IFERROR(__xludf.DUMMYFUNCTION("""COMPUTED_VALUE"""),"да")</f>
        <v>да</v>
      </c>
      <c r="E1513" s="14" t="str">
        <f>IFERROR(__xludf.DUMMYFUNCTION("""COMPUTED_VALUE"""),"«г. Москва, Хорошевское шоссе на пересечении с ул. Куусинена» временно присвоенный адрес: г. Москва, тер. ТПУ «Хорошевская», з/у 1, з/у 2, з/у 3, з/у 4, з/у 5, з/у 6, з/у 7, з/у 8, з/у 9, з/у 10, з/у 11 ")</f>
        <v>«г. Москва, Хорошевское шоссе на пересечении с ул. Куусинена» временно присвоенный адрес: г. Москва, тер. ТПУ «Хорошевская», з/у 1, з/у 2, з/у 3, з/у 4, з/у 5, з/у 6, з/у 7, з/у 8, з/у 9, з/у 10, з/у 11 </v>
      </c>
      <c r="F1513" s="25" t="str">
        <f>IFERROR(__xludf.DUMMYFUNCTION("""COMPUTED_VALUE"""),"#N/A")</f>
        <v>#N/A</v>
      </c>
      <c r="G1513" s="6" t="str">
        <f>IFERROR(__xludf.DUMMYFUNCTION("""COMPUTED_VALUE"""),"#N/A")</f>
        <v>#N/A</v>
      </c>
      <c r="H1513" s="6"/>
      <c r="I1513" s="19"/>
      <c r="J1513" s="50"/>
      <c r="K1513" s="58"/>
      <c r="L1513" s="6" t="s">
        <v>655</v>
      </c>
      <c r="M1513" s="52" t="s">
        <v>655</v>
      </c>
      <c r="N1513" s="53" t="s">
        <v>655</v>
      </c>
      <c r="O1513" s="19"/>
      <c r="P1513" s="6"/>
      <c r="Q1513" s="6" t="str">
        <f t="shared" si="1"/>
        <v>#N/A</v>
      </c>
      <c r="R1513" s="6"/>
    </row>
    <row r="1514" hidden="1">
      <c r="A1514" s="31"/>
      <c r="B1514" s="14"/>
      <c r="C1514" s="14" t="str">
        <f>IFERROR(__xludf.DUMMYFUNCTION("""COMPUTED_VALUE"""),"ОКС")</f>
        <v>ОКС</v>
      </c>
      <c r="D1514" s="6" t="str">
        <f>IFERROR(__xludf.DUMMYFUNCTION("""COMPUTED_VALUE"""),"да")</f>
        <v>да</v>
      </c>
      <c r="E1514" s="14" t="str">
        <f>IFERROR(__xludf.DUMMYFUNCTION("""COMPUTED_VALUE"""),"«Объект капитального строительства на участке с кадастровым номером 
 77:09:0005007:17079 (около Ходынский бульвар 6с1, офисный квартал Стоун Ходынка 1) ")</f>
        <v>«Объект капитального строительства на участке с кадастровым номером 
 77:09:0005007:17079 (около Ходынский бульвар 6с1, офисный квартал Стоун Ходынка 1) </v>
      </c>
      <c r="F1514" s="25" t="str">
        <f>IFERROR(__xludf.DUMMYFUNCTION("""COMPUTED_VALUE"""),"#N/A")</f>
        <v>#N/A</v>
      </c>
      <c r="G1514" s="6" t="str">
        <f>IFERROR(__xludf.DUMMYFUNCTION("""COMPUTED_VALUE"""),"#N/A")</f>
        <v>#N/A</v>
      </c>
      <c r="H1514" s="6"/>
      <c r="I1514" s="6"/>
      <c r="J1514" s="50"/>
      <c r="K1514" s="58"/>
      <c r="L1514" s="6" t="s">
        <v>655</v>
      </c>
      <c r="M1514" s="52" t="s">
        <v>655</v>
      </c>
      <c r="N1514" s="53" t="s">
        <v>655</v>
      </c>
      <c r="O1514" s="6"/>
      <c r="P1514" s="6"/>
      <c r="Q1514" s="6" t="str">
        <f t="shared" si="1"/>
        <v>#N/A</v>
      </c>
      <c r="R1514" s="6"/>
    </row>
    <row r="1515" hidden="1">
      <c r="A1515" s="31"/>
      <c r="B1515" s="14"/>
      <c r="C1515" s="14" t="str">
        <f>IFERROR(__xludf.DUMMYFUNCTION("""COMPUTED_VALUE"""),"ОКС")</f>
        <v>ОКС</v>
      </c>
      <c r="D1515" s="6" t="str">
        <f>IFERROR(__xludf.DUMMYFUNCTION("""COMPUTED_VALUE"""),"да")</f>
        <v>да</v>
      </c>
      <c r="E1515" s="14" t="str">
        <f>IFERROR(__xludf.DUMMYFUNCTION("""COMPUTED_VALUE"""),"Многофункциональный центр ТПУ ""Селигерская улица"" с подземно-надземными паркингами и автостанцией ТПУ с надземным паркингом Дмитровский, Дмитровское шоссе, Коровинское шоссе, Селигерская ул., Пяловская ул. (пересечение) ")</f>
        <v>Многофункциональный центр ТПУ "Селигерская улица" с подземно-надземными паркингами и автостанцией ТПУ с надземным паркингом Дмитровский, Дмитровское шоссе, Коровинское шоссе, Селигерская ул., Пяловская ул. (пересечение) </v>
      </c>
      <c r="F1515" s="25" t="str">
        <f>IFERROR(__xludf.DUMMYFUNCTION("""COMPUTED_VALUE"""),"#N/A")</f>
        <v>#N/A</v>
      </c>
      <c r="G1515" s="6" t="str">
        <f>IFERROR(__xludf.DUMMYFUNCTION("""COMPUTED_VALUE"""),"#N/A")</f>
        <v>#N/A</v>
      </c>
      <c r="H1515" s="6"/>
      <c r="I1515" s="19"/>
      <c r="J1515" s="50"/>
      <c r="K1515" s="58"/>
      <c r="L1515" s="6" t="s">
        <v>655</v>
      </c>
      <c r="M1515" s="52" t="s">
        <v>655</v>
      </c>
      <c r="N1515" s="53" t="s">
        <v>655</v>
      </c>
      <c r="O1515" s="19"/>
      <c r="P1515" s="6"/>
      <c r="Q1515" s="6" t="str">
        <f t="shared" si="1"/>
        <v>#N/A</v>
      </c>
      <c r="R1515" s="6"/>
    </row>
    <row r="1516" hidden="1">
      <c r="A1516" s="31"/>
      <c r="B1516" s="14"/>
      <c r="C1516" s="14" t="str">
        <f>IFERROR(__xludf.DUMMYFUNCTION("""COMPUTED_VALUE"""),"ОКС")</f>
        <v>ОКС</v>
      </c>
      <c r="D1516" s="6" t="str">
        <f>IFERROR(__xludf.DUMMYFUNCTION("""COMPUTED_VALUE"""),"да")</f>
        <v>да</v>
      </c>
      <c r="E1516" s="14" t="str">
        <f>IFERROR(__xludf.DUMMYFUNCTION("""COMPUTED_VALUE"""),"Жилой комплекс с подземной автостоянкой, встроенно-пристроенными помещениями общественного назначения и встроенно-пристроенной дошкольной образовательной организацией на 100 мест. 2-й этап строительства Дмитровское шоссе, з/у 73Б ")</f>
        <v>Жилой комплекс с подземной автостоянкой, встроенно-пристроенными помещениями общественного назначения и встроенно-пристроенной дошкольной образовательной организацией на 100 мест. 2-й этап строительства Дмитровское шоссе, з/у 73Б </v>
      </c>
      <c r="F1516" s="25" t="str">
        <f>IFERROR(__xludf.DUMMYFUNCTION("""COMPUTED_VALUE"""),"#N/A")</f>
        <v>#N/A</v>
      </c>
      <c r="G1516" s="6" t="str">
        <f>IFERROR(__xludf.DUMMYFUNCTION("""COMPUTED_VALUE"""),"#N/A")</f>
        <v>#N/A</v>
      </c>
      <c r="H1516" s="6"/>
      <c r="I1516" s="19"/>
      <c r="J1516" s="50"/>
      <c r="K1516" s="58"/>
      <c r="L1516" s="6" t="s">
        <v>655</v>
      </c>
      <c r="M1516" s="52" t="s">
        <v>655</v>
      </c>
      <c r="N1516" s="53" t="s">
        <v>655</v>
      </c>
      <c r="O1516" s="19"/>
      <c r="P1516" s="6"/>
      <c r="Q1516" s="6" t="str">
        <f t="shared" si="1"/>
        <v>#N/A</v>
      </c>
      <c r="R1516" s="6"/>
    </row>
    <row r="1517" hidden="1">
      <c r="A1517" s="31"/>
      <c r="B1517" s="14"/>
      <c r="C1517" s="14" t="str">
        <f>IFERROR(__xludf.DUMMYFUNCTION("""COMPUTED_VALUE"""),"ОКС")</f>
        <v>ОКС</v>
      </c>
      <c r="D1517" s="6" t="str">
        <f>IFERROR(__xludf.DUMMYFUNCTION("""COMPUTED_VALUE"""),"да")</f>
        <v>да</v>
      </c>
      <c r="E1517" s="14" t="str">
        <f>IFERROR(__xludf.DUMMYFUNCTION("""COMPUTED_VALUE"""),"Общественно-деловая застройка Хорошёвское ш., владение 39 ")</f>
        <v>Общественно-деловая застройка Хорошёвское ш., владение 39 </v>
      </c>
      <c r="F1517" s="25" t="str">
        <f>IFERROR(__xludf.DUMMYFUNCTION("""COMPUTED_VALUE"""),"#N/A")</f>
        <v>#N/A</v>
      </c>
      <c r="G1517" s="6" t="str">
        <f>IFERROR(__xludf.DUMMYFUNCTION("""COMPUTED_VALUE"""),"#N/A")</f>
        <v>#N/A</v>
      </c>
      <c r="H1517" s="6"/>
      <c r="I1517" s="19"/>
      <c r="J1517" s="50"/>
      <c r="K1517" s="58"/>
      <c r="L1517" s="6" t="s">
        <v>655</v>
      </c>
      <c r="M1517" s="52" t="s">
        <v>655</v>
      </c>
      <c r="N1517" s="53" t="s">
        <v>655</v>
      </c>
      <c r="O1517" s="19"/>
      <c r="P1517" s="6"/>
      <c r="Q1517" s="6" t="str">
        <f t="shared" si="1"/>
        <v>#N/A</v>
      </c>
      <c r="R1517" s="6"/>
    </row>
    <row r="1518" hidden="1">
      <c r="A1518" s="31"/>
      <c r="B1518" s="14"/>
      <c r="C1518" s="14" t="str">
        <f>IFERROR(__xludf.DUMMYFUNCTION("""COMPUTED_VALUE"""),"ОКС")</f>
        <v>ОКС</v>
      </c>
      <c r="D1518" s="6" t="str">
        <f>IFERROR(__xludf.DUMMYFUNCTION("""COMPUTED_VALUE"""),"да")</f>
        <v>да</v>
      </c>
      <c r="E1518" s="14" t="str">
        <f>IFERROR(__xludf.DUMMYFUNCTION("""COMPUTED_VALUE"""),"«Жилой комплекс» г. Москва, поселение Внуковское, улица Анны Ахматовой, земельный участок 11, Боровское шоссе, 28-й километр, земельный участок 2Б (НАО, Внуковское) ")</f>
        <v>«Жилой комплекс» г. Москва, поселение Внуковское, улица Анны Ахматовой, земельный участок 11, Боровское шоссе, 28-й километр, земельный участок 2Б (НАО, Внуковское) </v>
      </c>
      <c r="F1518" s="25" t="str">
        <f>IFERROR(__xludf.DUMMYFUNCTION("""COMPUTED_VALUE"""),"#N/A")</f>
        <v>#N/A</v>
      </c>
      <c r="G1518" s="6" t="str">
        <f>IFERROR(__xludf.DUMMYFUNCTION("""COMPUTED_VALUE"""),"#N/A")</f>
        <v>#N/A</v>
      </c>
      <c r="H1518" s="6"/>
      <c r="I1518" s="19"/>
      <c r="J1518" s="50"/>
      <c r="K1518" s="58"/>
      <c r="L1518" s="6" t="s">
        <v>655</v>
      </c>
      <c r="M1518" s="52" t="s">
        <v>655</v>
      </c>
      <c r="N1518" s="53" t="s">
        <v>655</v>
      </c>
      <c r="O1518" s="19"/>
      <c r="P1518" s="6"/>
      <c r="Q1518" s="6" t="str">
        <f t="shared" si="1"/>
        <v>#N/A</v>
      </c>
      <c r="R1518" s="6"/>
    </row>
    <row r="1519" hidden="1">
      <c r="A1519" s="31"/>
      <c r="B1519" s="14"/>
      <c r="C1519" s="14" t="str">
        <f>IFERROR(__xludf.DUMMYFUNCTION("""COMPUTED_VALUE"""),"ОКС")</f>
        <v>ОКС</v>
      </c>
      <c r="D1519" s="6" t="str">
        <f>IFERROR(__xludf.DUMMYFUNCTION("""COMPUTED_VALUE"""),"да")</f>
        <v>да</v>
      </c>
      <c r="E1519" s="14" t="str">
        <f>IFERROR(__xludf.DUMMYFUNCTION("""COMPUTED_VALUE"""),"Жилой комплекс Западное Дегунино р-н ")</f>
        <v>Жилой комплекс Западное Дегунино р-н </v>
      </c>
      <c r="F1519" s="25" t="str">
        <f>IFERROR(__xludf.DUMMYFUNCTION("""COMPUTED_VALUE"""),"#N/A")</f>
        <v>#N/A</v>
      </c>
      <c r="G1519" s="6" t="str">
        <f>IFERROR(__xludf.DUMMYFUNCTION("""COMPUTED_VALUE"""),"#N/A")</f>
        <v>#N/A</v>
      </c>
      <c r="H1519" s="6"/>
      <c r="I1519" s="19"/>
      <c r="J1519" s="50"/>
      <c r="K1519" s="58"/>
      <c r="L1519" s="6" t="s">
        <v>655</v>
      </c>
      <c r="M1519" s="52" t="s">
        <v>655</v>
      </c>
      <c r="N1519" s="53" t="s">
        <v>655</v>
      </c>
      <c r="O1519" s="19"/>
      <c r="P1519" s="6"/>
      <c r="Q1519" s="6" t="str">
        <f t="shared" si="1"/>
        <v>#N/A</v>
      </c>
      <c r="R1519" s="6"/>
    </row>
    <row r="1520" hidden="1">
      <c r="A1520" s="31"/>
      <c r="B1520" s="14"/>
      <c r="C1520" s="14" t="str">
        <f>IFERROR(__xludf.DUMMYFUNCTION("""COMPUTED_VALUE"""),"ОКС")</f>
        <v>ОКС</v>
      </c>
      <c r="D1520" s="6" t="str">
        <f>IFERROR(__xludf.DUMMYFUNCTION("""COMPUTED_VALUE"""),"да")</f>
        <v>да</v>
      </c>
      <c r="E1520" s="14" t="str">
        <f>IFERROR(__xludf.DUMMYFUNCTION("""COMPUTED_VALUE"""),"«Многофункциональная комплексная жилая застройка, квартал 5 ул. Лобачевского, з/у 1, район Раменки, Западный административный округ города Москвы» по адресу: Москва, ЗАО, Раменки, Лобачевского ул., з/у 1 ")</f>
        <v>«Многофункциональная комплексная жилая застройка, квартал 5 ул. Лобачевского, з/у 1, район Раменки, Западный административный округ города Москвы» по адресу: Москва, ЗАО, Раменки, Лобачевского ул., з/у 1 </v>
      </c>
      <c r="F1520" s="25" t="str">
        <f>IFERROR(__xludf.DUMMYFUNCTION("""COMPUTED_VALUE"""),"#N/A")</f>
        <v>#N/A</v>
      </c>
      <c r="G1520" s="6" t="str">
        <f>IFERROR(__xludf.DUMMYFUNCTION("""COMPUTED_VALUE"""),"#N/A")</f>
        <v>#N/A</v>
      </c>
      <c r="H1520" s="6"/>
      <c r="I1520" s="19"/>
      <c r="J1520" s="50"/>
      <c r="K1520" s="58"/>
      <c r="L1520" s="6" t="s">
        <v>655</v>
      </c>
      <c r="M1520" s="52" t="s">
        <v>655</v>
      </c>
      <c r="N1520" s="53" t="s">
        <v>655</v>
      </c>
      <c r="O1520" s="19"/>
      <c r="P1520" s="6"/>
      <c r="Q1520" s="6" t="str">
        <f t="shared" si="1"/>
        <v>#N/A</v>
      </c>
      <c r="R1520" s="6"/>
    </row>
    <row r="1521" hidden="1">
      <c r="A1521" s="31"/>
      <c r="B1521" s="14"/>
      <c r="C1521" s="14" t="str">
        <f>IFERROR(__xludf.DUMMYFUNCTION("""COMPUTED_VALUE"""),"ОКС")</f>
        <v>ОКС</v>
      </c>
      <c r="D1521" s="6" t="str">
        <f>IFERROR(__xludf.DUMMYFUNCTION("""COMPUTED_VALUE"""),"да")</f>
        <v>да</v>
      </c>
      <c r="E1521" s="14" t="str">
        <f>IFERROR(__xludf.DUMMYFUNCTION("""COMPUTED_VALUE"""),"«Гостиничный комплекс с нежилыми помещениями» по адресу: г. Москва, СВАО, р-н Марьина Роща, ул. Октябрьская, вл. 98, в границах земельного участка с кадастровым номером: 77:02:0024003:1424 ")</f>
        <v>«Гостиничный комплекс с нежилыми помещениями» по адресу: г. Москва, СВАО, р-н Марьина Роща, ул. Октябрьская, вл. 98, в границах земельного участка с кадастровым номером: 77:02:0024003:1424 </v>
      </c>
      <c r="F1521" s="25" t="str">
        <f>IFERROR(__xludf.DUMMYFUNCTION("""COMPUTED_VALUE"""),"#N/A")</f>
        <v>#N/A</v>
      </c>
      <c r="G1521" s="6" t="str">
        <f>IFERROR(__xludf.DUMMYFUNCTION("""COMPUTED_VALUE"""),"#N/A")</f>
        <v>#N/A</v>
      </c>
      <c r="H1521" s="6"/>
      <c r="I1521" s="19"/>
      <c r="J1521" s="50"/>
      <c r="K1521" s="58"/>
      <c r="L1521" s="6" t="s">
        <v>655</v>
      </c>
      <c r="M1521" s="52" t="s">
        <v>655</v>
      </c>
      <c r="N1521" s="53" t="s">
        <v>655</v>
      </c>
      <c r="O1521" s="19"/>
      <c r="P1521" s="6"/>
      <c r="Q1521" s="6" t="str">
        <f t="shared" si="1"/>
        <v>#N/A</v>
      </c>
      <c r="R1521" s="6"/>
    </row>
    <row r="1522" hidden="1">
      <c r="A1522" s="31"/>
      <c r="B1522" s="14"/>
      <c r="C1522" s="14" t="str">
        <f>IFERROR(__xludf.DUMMYFUNCTION("""COMPUTED_VALUE"""),"ОКС")</f>
        <v>ОКС</v>
      </c>
      <c r="D1522" s="6" t="str">
        <f>IFERROR(__xludf.DUMMYFUNCTION("""COMPUTED_VALUE"""),"да")</f>
        <v>да</v>
      </c>
      <c r="E1522" s="14" t="str">
        <f>IFERROR(__xludf.DUMMYFUNCTION("""COMPUTED_VALUE"""),"""Многоэтажный жилой комплекс с подземным паркингом, в том числе: Очередь 1, Очередь 2, Очередь 3, общественно-деловым центром, физкультурно-оздоровительным комплексом, расположенный по адресу: г. Москва, ул. Сельскохозяйственная, вл. 26"" ")</f>
        <v>"Многоэтажный жилой комплекс с подземным паркингом, в том числе: Очередь 1, Очередь 2, Очередь 3, общественно-деловым центром, физкультурно-оздоровительным комплексом, расположенный по адресу: г. Москва, ул. Сельскохозяйственная, вл. 26" </v>
      </c>
      <c r="F1522" s="25" t="str">
        <f>IFERROR(__xludf.DUMMYFUNCTION("""COMPUTED_VALUE"""),"#N/A")</f>
        <v>#N/A</v>
      </c>
      <c r="G1522" s="6" t="str">
        <f>IFERROR(__xludf.DUMMYFUNCTION("""COMPUTED_VALUE"""),"#N/A")</f>
        <v>#N/A</v>
      </c>
      <c r="H1522" s="6"/>
      <c r="I1522" s="19"/>
      <c r="J1522" s="50"/>
      <c r="K1522" s="58"/>
      <c r="L1522" s="6" t="s">
        <v>655</v>
      </c>
      <c r="M1522" s="52" t="s">
        <v>655</v>
      </c>
      <c r="N1522" s="53" t="s">
        <v>655</v>
      </c>
      <c r="O1522" s="19"/>
      <c r="P1522" s="6"/>
      <c r="Q1522" s="6" t="str">
        <f t="shared" si="1"/>
        <v>#N/A</v>
      </c>
      <c r="R1522" s="6"/>
    </row>
    <row r="1523" hidden="1">
      <c r="A1523" s="31"/>
      <c r="B1523" s="14"/>
      <c r="C1523" s="14" t="str">
        <f>IFERROR(__xludf.DUMMYFUNCTION("""COMPUTED_VALUE"""),"ОКС")</f>
        <v>ОКС</v>
      </c>
      <c r="D1523" s="6" t="str">
        <f>IFERROR(__xludf.DUMMYFUNCTION("""COMPUTED_VALUE"""),"да")</f>
        <v>да</v>
      </c>
      <c r="E1523" s="14" t="str">
        <f>IFERROR(__xludf.DUMMYFUNCTION("""COMPUTED_VALUE"""),"Комплекс жилых домов переменной этажности со встроенно-пристроенными помещениями общественного назначения и подземной автостоянкой Огородный пр., д.20 ")</f>
        <v>Комплекс жилых домов переменной этажности со встроенно-пристроенными помещениями общественного назначения и подземной автостоянкой Огородный пр., д.20 </v>
      </c>
      <c r="F1523" s="25" t="str">
        <f>IFERROR(__xludf.DUMMYFUNCTION("""COMPUTED_VALUE"""),"#N/A")</f>
        <v>#N/A</v>
      </c>
      <c r="G1523" s="6" t="str">
        <f>IFERROR(__xludf.DUMMYFUNCTION("""COMPUTED_VALUE"""),"#N/A")</f>
        <v>#N/A</v>
      </c>
      <c r="H1523" s="6"/>
      <c r="I1523" s="19"/>
      <c r="J1523" s="50"/>
      <c r="K1523" s="58"/>
      <c r="L1523" s="6" t="s">
        <v>655</v>
      </c>
      <c r="M1523" s="52" t="s">
        <v>655</v>
      </c>
      <c r="N1523" s="53" t="s">
        <v>655</v>
      </c>
      <c r="O1523" s="19"/>
      <c r="P1523" s="6"/>
      <c r="Q1523" s="6" t="str">
        <f t="shared" si="1"/>
        <v>#N/A</v>
      </c>
      <c r="R1523" s="6"/>
    </row>
    <row r="1524" hidden="1">
      <c r="A1524" s="31"/>
      <c r="B1524" s="14"/>
      <c r="C1524" s="14" t="str">
        <f>IFERROR(__xludf.DUMMYFUNCTION("""COMPUTED_VALUE"""),"ОКС")</f>
        <v>ОКС</v>
      </c>
      <c r="D1524" s="6" t="str">
        <f>IFERROR(__xludf.DUMMYFUNCTION("""COMPUTED_VALUE"""),"да")</f>
        <v>да</v>
      </c>
      <c r="E1524" s="14" t="str">
        <f>IFERROR(__xludf.DUMMYFUNCTION("""COMPUTED_VALUE"""),"«Отдельно стоящая многоуровневая гараж-стоянка по адресу: аэропорт ""Внуково"", привокзальная площадь, участок № 8, район Внуково Западного административного округа города Москвы» по адресу: г. Москва, ЗАО, аэропорт «Внуково», уч. 8. ")</f>
        <v>«Отдельно стоящая многоуровневая гараж-стоянка по адресу: аэропорт "Внуково", привокзальная площадь, участок № 8, район Внуково Западного административного округа города Москвы» по адресу: г. Москва, ЗАО, аэропорт «Внуково», уч. 8. </v>
      </c>
      <c r="F1524" s="25" t="str">
        <f>IFERROR(__xludf.DUMMYFUNCTION("""COMPUTED_VALUE"""),"#N/A")</f>
        <v>#N/A</v>
      </c>
      <c r="G1524" s="6" t="str">
        <f>IFERROR(__xludf.DUMMYFUNCTION("""COMPUTED_VALUE"""),"#N/A")</f>
        <v>#N/A</v>
      </c>
      <c r="H1524" s="6"/>
      <c r="I1524" s="19"/>
      <c r="J1524" s="50"/>
      <c r="K1524" s="58"/>
      <c r="L1524" s="6" t="s">
        <v>655</v>
      </c>
      <c r="M1524" s="52" t="s">
        <v>655</v>
      </c>
      <c r="N1524" s="53" t="s">
        <v>655</v>
      </c>
      <c r="O1524" s="19"/>
      <c r="P1524" s="6"/>
      <c r="Q1524" s="6" t="str">
        <f t="shared" si="1"/>
        <v>#N/A</v>
      </c>
      <c r="R1524" s="6"/>
    </row>
    <row r="1525" hidden="1">
      <c r="A1525" s="31"/>
      <c r="B1525" s="14"/>
      <c r="C1525" s="14" t="str">
        <f>IFERROR(__xludf.DUMMYFUNCTION("""COMPUTED_VALUE"""),"ОКС")</f>
        <v>ОКС</v>
      </c>
      <c r="D1525" s="6" t="str">
        <f>IFERROR(__xludf.DUMMYFUNCTION("""COMPUTED_VALUE"""),"да")</f>
        <v>да</v>
      </c>
      <c r="E1525" s="14" t="str">
        <f>IFERROR(__xludf.DUMMYFUNCTION("""COMPUTED_VALUE"""),"Жилой комплекс с подземной автостоянкой, отдельно стоящими ДОУ и Школой. 2 этап. Жилой комплекс по адресу: г. Москва, ВАО, Преображенское, 1-я ул. Бухвостова, вл. 12/11 ")</f>
        <v>Жилой комплекс с подземной автостоянкой, отдельно стоящими ДОУ и Школой. 2 этап. Жилой комплекс по адресу: г. Москва, ВАО, Преображенское, 1-я ул. Бухвостова, вл. 12/11 </v>
      </c>
      <c r="F1525" s="25" t="str">
        <f>IFERROR(__xludf.DUMMYFUNCTION("""COMPUTED_VALUE"""),"#N/A")</f>
        <v>#N/A</v>
      </c>
      <c r="G1525" s="6" t="str">
        <f>IFERROR(__xludf.DUMMYFUNCTION("""COMPUTED_VALUE"""),"#N/A")</f>
        <v>#N/A</v>
      </c>
      <c r="H1525" s="6"/>
      <c r="I1525" s="19"/>
      <c r="J1525" s="50"/>
      <c r="K1525" s="58"/>
      <c r="L1525" s="6" t="s">
        <v>655</v>
      </c>
      <c r="M1525" s="52" t="s">
        <v>655</v>
      </c>
      <c r="N1525" s="53" t="s">
        <v>655</v>
      </c>
      <c r="O1525" s="19"/>
      <c r="P1525" s="6"/>
      <c r="Q1525" s="6" t="str">
        <f t="shared" si="1"/>
        <v>#N/A</v>
      </c>
      <c r="R1525" s="6"/>
    </row>
    <row r="1526" hidden="1">
      <c r="A1526" s="31"/>
      <c r="B1526" s="14"/>
      <c r="C1526" s="14" t="str">
        <f>IFERROR(__xludf.DUMMYFUNCTION("""COMPUTED_VALUE"""),"ОКС")</f>
        <v>ОКС</v>
      </c>
      <c r="D1526" s="6" t="str">
        <f>IFERROR(__xludf.DUMMYFUNCTION("""COMPUTED_VALUE"""),"да")</f>
        <v>да</v>
      </c>
      <c r="E1526" s="14" t="str">
        <f>IFERROR(__xludf.DUMMYFUNCTION("""COMPUTED_VALUE"""),"Бизнес-центр класса ""А"", с подземной автостоянкой и объектами коммерческой инфраструктуры Силикатный 2-й пр., вл.13 ")</f>
        <v>Бизнес-центр класса "А", с подземной автостоянкой и объектами коммерческой инфраструктуры Силикатный 2-й пр., вл.13 </v>
      </c>
      <c r="F1526" s="25" t="str">
        <f>IFERROR(__xludf.DUMMYFUNCTION("""COMPUTED_VALUE"""),"#N/A")</f>
        <v>#N/A</v>
      </c>
      <c r="G1526" s="6" t="str">
        <f>IFERROR(__xludf.DUMMYFUNCTION("""COMPUTED_VALUE"""),"#N/A")</f>
        <v>#N/A</v>
      </c>
      <c r="H1526" s="6"/>
      <c r="I1526" s="19"/>
      <c r="J1526" s="50"/>
      <c r="K1526" s="58"/>
      <c r="L1526" s="6" t="s">
        <v>655</v>
      </c>
      <c r="M1526" s="52" t="s">
        <v>655</v>
      </c>
      <c r="N1526" s="53" t="s">
        <v>655</v>
      </c>
      <c r="O1526" s="19"/>
      <c r="P1526" s="6"/>
      <c r="Q1526" s="6" t="str">
        <f t="shared" si="1"/>
        <v>#N/A</v>
      </c>
      <c r="R1526" s="6"/>
    </row>
    <row r="1527" hidden="1">
      <c r="A1527" s="31"/>
      <c r="B1527" s="14"/>
      <c r="C1527" s="14" t="str">
        <f>IFERROR(__xludf.DUMMYFUNCTION("""COMPUTED_VALUE"""),"ОКС")</f>
        <v>ОКС</v>
      </c>
      <c r="D1527" s="6" t="str">
        <f>IFERROR(__xludf.DUMMYFUNCTION("""COMPUTED_VALUE"""),"да")</f>
        <v>да</v>
      </c>
      <c r="E1527" s="14" t="str">
        <f>IFERROR(__xludf.DUMMYFUNCTION("""COMPUTED_VALUE"""),"Торгово-развлекательный комплекс, по адресу: г. Москва, ЮВАО, Рязанский (микрорайона 126 района Рязанский) ")</f>
        <v>Торгово-развлекательный комплекс, по адресу: г. Москва, ЮВАО, Рязанский (микрорайона 126 района Рязанский) </v>
      </c>
      <c r="F1527" s="25" t="str">
        <f>IFERROR(__xludf.DUMMYFUNCTION("""COMPUTED_VALUE"""),"#N/A")</f>
        <v>#N/A</v>
      </c>
      <c r="G1527" s="6" t="str">
        <f>IFERROR(__xludf.DUMMYFUNCTION("""COMPUTED_VALUE"""),"#N/A")</f>
        <v>#N/A</v>
      </c>
      <c r="H1527" s="6"/>
      <c r="I1527" s="19"/>
      <c r="J1527" s="50"/>
      <c r="K1527" s="58"/>
      <c r="L1527" s="6" t="s">
        <v>655</v>
      </c>
      <c r="M1527" s="52" t="s">
        <v>655</v>
      </c>
      <c r="N1527" s="53" t="s">
        <v>655</v>
      </c>
      <c r="O1527" s="19"/>
      <c r="P1527" s="6"/>
      <c r="Q1527" s="6" t="str">
        <f t="shared" si="1"/>
        <v>#N/A</v>
      </c>
      <c r="R1527" s="6"/>
    </row>
    <row r="1528" hidden="1">
      <c r="A1528" s="31"/>
      <c r="B1528" s="14"/>
      <c r="C1528" s="14" t="str">
        <f>IFERROR(__xludf.DUMMYFUNCTION("""COMPUTED_VALUE"""),"ОКС")</f>
        <v>ОКС</v>
      </c>
      <c r="D1528" s="6" t="str">
        <f>IFERROR(__xludf.DUMMYFUNCTION("""COMPUTED_VALUE"""),"да")</f>
        <v>да</v>
      </c>
      <c r="E1528" s="14" t="str">
        <f>IFERROR(__xludf.DUMMYFUNCTION("""COMPUTED_VALUE"""),"Комплексная реконструкция микрорайона 126 района Рязанский (корпус 1), расположенный по адресному ориентиру: Российская Федерация, г. Москва, внутригородское муниципальное образование Рязанское, пр-кт Рязанский (кадастровый номер земельного участка: 77:04"&amp;":0002013:12849), по адресу Рязанский проспект, мкр. 126 ")</f>
        <v>Комплексная реконструкция микрорайона 126 района Рязанский (корпус 1), расположенный по адресному ориентиру: Российская Федерация, г. Москва, внутригородское муниципальное образование Рязанское, пр-кт Рязанский (кадастровый номер земельного участка: 77:04:0002013:12849), по адресу Рязанский проспект, мкр. 126 </v>
      </c>
      <c r="F1528" s="25" t="str">
        <f>IFERROR(__xludf.DUMMYFUNCTION("""COMPUTED_VALUE"""),"#N/A")</f>
        <v>#N/A</v>
      </c>
      <c r="G1528" s="6" t="str">
        <f>IFERROR(__xludf.DUMMYFUNCTION("""COMPUTED_VALUE"""),"#N/A")</f>
        <v>#N/A</v>
      </c>
      <c r="H1528" s="6"/>
      <c r="I1528" s="19"/>
      <c r="J1528" s="50"/>
      <c r="K1528" s="58"/>
      <c r="L1528" s="6" t="s">
        <v>655</v>
      </c>
      <c r="M1528" s="52" t="s">
        <v>655</v>
      </c>
      <c r="N1528" s="53" t="s">
        <v>655</v>
      </c>
      <c r="O1528" s="19"/>
      <c r="P1528" s="6"/>
      <c r="Q1528" s="6" t="str">
        <f t="shared" si="1"/>
        <v>#N/A</v>
      </c>
      <c r="R1528" s="6"/>
    </row>
    <row r="1529" hidden="1">
      <c r="A1529" s="31"/>
      <c r="B1529" s="14"/>
      <c r="C1529" s="14" t="str">
        <f>IFERROR(__xludf.DUMMYFUNCTION("""COMPUTED_VALUE"""),"ОКС")</f>
        <v>ОКС</v>
      </c>
      <c r="D1529" s="6" t="str">
        <f>IFERROR(__xludf.DUMMYFUNCTION("""COMPUTED_VALUE"""),"да")</f>
        <v>да</v>
      </c>
      <c r="E1529" s="14" t="str">
        <f>IFERROR(__xludf.DUMMYFUNCTION("""COMPUTED_VALUE"""),"Многофункциональная застройка по адресу: г. Москва, внутригородское муниципальное образование Нижегородское, Рязанский проспект, земельный участок 2/25 с кадастровым номером 77:04:0002003:7927. 1 этап, по адресу: г. Москва, ЮВАО, внутригородская территори"&amp;"я муниципальный округ Нижегородский, Рязанский проспект, земельный участок 2/25 ")</f>
        <v>Многофункциональная застройка по адресу: г. Москва, внутригородское муниципальное образование Нижегородское, Рязанский проспект, земельный участок 2/25 с кадастровым номером 77:04:0002003:7927. 1 этап, по адресу: г. Москва, ЮВАО, внутригородская территория муниципальный округ Нижегородский, Рязанский проспект, земельный участок 2/25 </v>
      </c>
      <c r="F1529" s="25" t="str">
        <f>IFERROR(__xludf.DUMMYFUNCTION("""COMPUTED_VALUE"""),"#N/A")</f>
        <v>#N/A</v>
      </c>
      <c r="G1529" s="6" t="str">
        <f>IFERROR(__xludf.DUMMYFUNCTION("""COMPUTED_VALUE"""),"#N/A")</f>
        <v>#N/A</v>
      </c>
      <c r="H1529" s="6"/>
      <c r="I1529" s="19"/>
      <c r="J1529" s="50"/>
      <c r="K1529" s="58"/>
      <c r="L1529" s="6" t="s">
        <v>655</v>
      </c>
      <c r="M1529" s="52" t="s">
        <v>655</v>
      </c>
      <c r="N1529" s="53" t="s">
        <v>655</v>
      </c>
      <c r="O1529" s="19"/>
      <c r="P1529" s="6"/>
      <c r="Q1529" s="6" t="str">
        <f t="shared" si="1"/>
        <v>#N/A</v>
      </c>
      <c r="R1529" s="6"/>
    </row>
    <row r="1530" hidden="1">
      <c r="A1530" s="31"/>
      <c r="B1530" s="14"/>
      <c r="C1530" s="14" t="str">
        <f>IFERROR(__xludf.DUMMYFUNCTION("""COMPUTED_VALUE"""),"ОКС")</f>
        <v>ОКС</v>
      </c>
      <c r="D1530" s="6" t="str">
        <f>IFERROR(__xludf.DUMMYFUNCTION("""COMPUTED_VALUE"""),"да")</f>
        <v>да</v>
      </c>
      <c r="E1530" s="14" t="str">
        <f>IFERROR(__xludf.DUMMYFUNCTION("""COMPUTED_VALUE"""),"Многофункциональная комплексная жилая застройка, квартал 8, корпуса 1, 2 (Объект 2) Нижние Мнёвники ул., з/у 12А ")</f>
        <v>Многофункциональная комплексная жилая застройка, квартал 8, корпуса 1, 2 (Объект 2) Нижние Мнёвники ул., з/у 12А </v>
      </c>
      <c r="F1530" s="25" t="str">
        <f>IFERROR(__xludf.DUMMYFUNCTION("""COMPUTED_VALUE"""),"#N/A")</f>
        <v>#N/A</v>
      </c>
      <c r="G1530" s="6" t="str">
        <f>IFERROR(__xludf.DUMMYFUNCTION("""COMPUTED_VALUE"""),"#N/A")</f>
        <v>#N/A</v>
      </c>
      <c r="H1530" s="6"/>
      <c r="I1530" s="19"/>
      <c r="J1530" s="50"/>
      <c r="K1530" s="58"/>
      <c r="L1530" s="6" t="s">
        <v>655</v>
      </c>
      <c r="M1530" s="52" t="s">
        <v>655</v>
      </c>
      <c r="N1530" s="53" t="s">
        <v>655</v>
      </c>
      <c r="O1530" s="19"/>
      <c r="P1530" s="6"/>
      <c r="Q1530" s="6" t="str">
        <f t="shared" si="1"/>
        <v>#N/A</v>
      </c>
      <c r="R1530" s="6"/>
    </row>
    <row r="1531" hidden="1">
      <c r="A1531" s="31"/>
      <c r="B1531" s="14"/>
      <c r="C1531" s="14" t="str">
        <f>IFERROR(__xludf.DUMMYFUNCTION("""COMPUTED_VALUE"""),"ОКС")</f>
        <v>ОКС</v>
      </c>
      <c r="D1531" s="6" t="str">
        <f>IFERROR(__xludf.DUMMYFUNCTION("""COMPUTED_VALUE"""),"да")</f>
        <v>да</v>
      </c>
      <c r="E1531" s="14" t="str">
        <f>IFERROR(__xludf.DUMMYFUNCTION("""COMPUTED_VALUE"""),"Многофункциональный комплекс с торговой составляющей и встроенным паркингом, по адресу: Авиамоторная ул. вл. 39/1 вл. 39, стр. 2 (ЮВАО, Лефортово) ")</f>
        <v>Многофункциональный комплекс с торговой составляющей и встроенным паркингом, по адресу: Авиамоторная ул. вл. 39/1 вл. 39, стр. 2 (ЮВАО, Лефортово) </v>
      </c>
      <c r="F1531" s="25" t="str">
        <f>IFERROR(__xludf.DUMMYFUNCTION("""COMPUTED_VALUE"""),"#N/A")</f>
        <v>#N/A</v>
      </c>
      <c r="G1531" s="6" t="str">
        <f>IFERROR(__xludf.DUMMYFUNCTION("""COMPUTED_VALUE"""),"#N/A")</f>
        <v>#N/A</v>
      </c>
      <c r="H1531" s="6"/>
      <c r="I1531" s="19"/>
      <c r="J1531" s="50"/>
      <c r="K1531" s="58"/>
      <c r="L1531" s="6" t="s">
        <v>655</v>
      </c>
      <c r="M1531" s="52" t="s">
        <v>655</v>
      </c>
      <c r="N1531" s="53" t="s">
        <v>655</v>
      </c>
      <c r="O1531" s="19"/>
      <c r="P1531" s="6"/>
      <c r="Q1531" s="6" t="str">
        <f t="shared" si="1"/>
        <v>#N/A</v>
      </c>
      <c r="R1531" s="6"/>
    </row>
    <row r="1532" hidden="1">
      <c r="A1532" s="31"/>
      <c r="B1532" s="14"/>
      <c r="C1532" s="14" t="str">
        <f>IFERROR(__xludf.DUMMYFUNCTION("""COMPUTED_VALUE"""),"ОКС")</f>
        <v>ОКС</v>
      </c>
      <c r="D1532" s="6" t="str">
        <f>IFERROR(__xludf.DUMMYFUNCTION("""COMPUTED_VALUE"""),"да")</f>
        <v>да</v>
      </c>
      <c r="E1532" s="14" t="str">
        <f>IFERROR(__xludf.DUMMYFUNCTION("""COMPUTED_VALUE"""),"«Многофункциональный гостиничный комплекс с подземной автостоянкой по адресу: г. Москва, 2-й Силикатный проезд, вл.8» ")</f>
        <v>«Многофункциональный гостиничный комплекс с подземной автостоянкой по адресу: г. Москва, 2-й Силикатный проезд, вл.8» </v>
      </c>
      <c r="F1532" s="25" t="str">
        <f>IFERROR(__xludf.DUMMYFUNCTION("""COMPUTED_VALUE"""),"#N/A")</f>
        <v>#N/A</v>
      </c>
      <c r="G1532" s="6" t="str">
        <f>IFERROR(__xludf.DUMMYFUNCTION("""COMPUTED_VALUE"""),"#N/A")</f>
        <v>#N/A</v>
      </c>
      <c r="H1532" s="6"/>
      <c r="I1532" s="19"/>
      <c r="J1532" s="50"/>
      <c r="K1532" s="58"/>
      <c r="L1532" s="6" t="s">
        <v>655</v>
      </c>
      <c r="M1532" s="52" t="s">
        <v>655</v>
      </c>
      <c r="N1532" s="53" t="s">
        <v>655</v>
      </c>
      <c r="O1532" s="19"/>
      <c r="P1532" s="6"/>
      <c r="Q1532" s="6" t="str">
        <f t="shared" si="1"/>
        <v>#N/A</v>
      </c>
      <c r="R1532" s="6"/>
    </row>
    <row r="1533" hidden="1">
      <c r="A1533" s="31"/>
      <c r="B1533" s="14"/>
      <c r="C1533" s="14" t="str">
        <f>IFERROR(__xludf.DUMMYFUNCTION("""COMPUTED_VALUE"""),"ОКС")</f>
        <v>ОКС</v>
      </c>
      <c r="D1533" s="6" t="str">
        <f>IFERROR(__xludf.DUMMYFUNCTION("""COMPUTED_VALUE"""),"да")</f>
        <v>да</v>
      </c>
      <c r="E1533" s="14" t="str">
        <f>IFERROR(__xludf.DUMMYFUNCTION("""COMPUTED_VALUE"""),"Нежилое здание общей площадью 7 137,9 кв. м, кадастровый номер 77:04:0003004:1045(выплаты собственникам нежилого здания в рамках освоения территории для реализации комплексного развития территории ""Южный порт""), по адресу: Волгоградский просп. вл. 42, к"&amp;"орп. 8 ")</f>
        <v>Нежилое здание общей площадью 7 137,9 кв. м, кадастровый номер 77:04:0003004:1045(выплаты собственникам нежилого здания в рамках освоения территории для реализации комплексного развития территории "Южный порт"), по адресу: Волгоградский просп. вл. 42, корп. 8 </v>
      </c>
      <c r="F1533" s="25" t="str">
        <f>IFERROR(__xludf.DUMMYFUNCTION("""COMPUTED_VALUE"""),"#N/A")</f>
        <v>#N/A</v>
      </c>
      <c r="G1533" s="6" t="str">
        <f>IFERROR(__xludf.DUMMYFUNCTION("""COMPUTED_VALUE"""),"#N/A")</f>
        <v>#N/A</v>
      </c>
      <c r="H1533" s="6"/>
      <c r="I1533" s="19"/>
      <c r="J1533" s="50"/>
      <c r="K1533" s="58"/>
      <c r="L1533" s="6" t="s">
        <v>655</v>
      </c>
      <c r="M1533" s="52" t="s">
        <v>655</v>
      </c>
      <c r="N1533" s="53" t="s">
        <v>655</v>
      </c>
      <c r="O1533" s="19"/>
      <c r="P1533" s="6"/>
      <c r="Q1533" s="6" t="str">
        <f t="shared" si="1"/>
        <v>#N/A</v>
      </c>
      <c r="R1533" s="6"/>
    </row>
    <row r="1534" hidden="1">
      <c r="A1534" s="31"/>
      <c r="B1534" s="14"/>
      <c r="C1534" s="14" t="str">
        <f>IFERROR(__xludf.DUMMYFUNCTION("""COMPUTED_VALUE"""),"ОКС")</f>
        <v>ОКС</v>
      </c>
      <c r="D1534" s="6" t="str">
        <f>IFERROR(__xludf.DUMMYFUNCTION("""COMPUTED_VALUE"""),"да")</f>
        <v>да</v>
      </c>
      <c r="E1534" s="14" t="str">
        <f>IFERROR(__xludf.DUMMYFUNCTION("""COMPUTED_VALUE"""),"«Комплексная жилая застройка по адресу: г. Москва, ЮАО, р-н Донской, ул. Орджоникидзе влд. 10, 2-й Донской пр-д, влд. 10. 1 этап строительства Жилой комплекс» по адресу: г. Москва, ЮАО, район Донской, ул. Орджоникидзе; 2-й Донской пр-д, вл. 10; вл. 10 и в"&amp;"л.10 стр. 4 ")</f>
        <v>«Комплексная жилая застройка по адресу: г. Москва, ЮАО, р-н Донской, ул. Орджоникидзе влд. 10, 2-й Донской пр-д, влд. 10. 1 этап строительства Жилой комплекс» по адресу: г. Москва, ЮАО, район Донской, ул. Орджоникидзе; 2-й Донской пр-д, вл. 10; вл. 10 и вл.10 стр. 4 </v>
      </c>
      <c r="F1534" s="25" t="str">
        <f>IFERROR(__xludf.DUMMYFUNCTION("""COMPUTED_VALUE"""),"#N/A")</f>
        <v>#N/A</v>
      </c>
      <c r="G1534" s="6" t="str">
        <f>IFERROR(__xludf.DUMMYFUNCTION("""COMPUTED_VALUE"""),"#N/A")</f>
        <v>#N/A</v>
      </c>
      <c r="H1534" s="6"/>
      <c r="I1534" s="19"/>
      <c r="J1534" s="50"/>
      <c r="K1534" s="58"/>
      <c r="L1534" s="6" t="s">
        <v>655</v>
      </c>
      <c r="M1534" s="52" t="s">
        <v>655</v>
      </c>
      <c r="N1534" s="53" t="s">
        <v>655</v>
      </c>
      <c r="O1534" s="19"/>
      <c r="P1534" s="6"/>
      <c r="Q1534" s="6" t="str">
        <f t="shared" si="1"/>
        <v>#N/A</v>
      </c>
      <c r="R1534" s="6"/>
    </row>
    <row r="1535" hidden="1">
      <c r="A1535" s="31" t="str">
        <f>IFERROR(__xludf.DUMMYFUNCTION("""COMPUTED_VALUE"""),"н/д")</f>
        <v>н/д</v>
      </c>
      <c r="B1535" s="14" t="str">
        <f>IFERROR(__xludf.DUMMYFUNCTION("""COMPUTED_VALUE"""),"ВНЕ СПИСКА")</f>
        <v>ВНЕ СПИСКА</v>
      </c>
      <c r="C1535" s="14" t="str">
        <f>IFERROR(__xludf.DUMMYFUNCTION("""COMPUTED_VALUE"""),"ОКС")</f>
        <v>ОКС</v>
      </c>
      <c r="D1535" s="6" t="str">
        <f>IFERROR(__xludf.DUMMYFUNCTION("""COMPUTED_VALUE"""),"да")</f>
        <v>да</v>
      </c>
      <c r="E1535" s="14" t="str">
        <f>IFERROR(__xludf.DUMMYFUNCTION("""COMPUTED_VALUE"""),"Многофункциональный центр Мусы Джалиля ул., вл.23/56 Мусы Джалиля ул., вл. 23/56")</f>
        <v>Многофункциональный центр Мусы Джалиля ул., вл.23/56 Мусы Джалиля ул., вл. 23/56</v>
      </c>
      <c r="F1535" s="25" t="str">
        <f>IFERROR(__xludf.DUMMYFUNCTION("""COMPUTED_VALUE"""),"#N/A")</f>
        <v>#N/A</v>
      </c>
      <c r="G1535" s="6" t="str">
        <f>IFERROR(__xludf.DUMMYFUNCTION("""COMPUTED_VALUE"""),"#N/A")</f>
        <v>#N/A</v>
      </c>
      <c r="H1535" s="6"/>
      <c r="I1535" s="19"/>
      <c r="J1535" s="50"/>
      <c r="K1535" s="58"/>
      <c r="L1535" s="6">
        <v>30.0</v>
      </c>
      <c r="M1535" s="52" t="s">
        <v>655</v>
      </c>
      <c r="N1535" s="53" t="s">
        <v>698</v>
      </c>
      <c r="O1535" s="19" t="s">
        <v>669</v>
      </c>
      <c r="P1535" s="6"/>
      <c r="Q1535" s="6" t="str">
        <f t="shared" si="1"/>
        <v>#N/A</v>
      </c>
      <c r="R1535" s="6"/>
    </row>
    <row r="1536" hidden="1">
      <c r="A1536" s="31"/>
      <c r="B1536" s="14"/>
      <c r="C1536" s="14" t="str">
        <f>IFERROR(__xludf.DUMMYFUNCTION("""COMPUTED_VALUE"""),"ОКС")</f>
        <v>ОКС</v>
      </c>
      <c r="D1536" s="6" t="str">
        <f>IFERROR(__xludf.DUMMYFUNCTION("""COMPUTED_VALUE"""),"да")</f>
        <v>да</v>
      </c>
      <c r="E1536" s="14" t="str">
        <f>IFERROR(__xludf.DUMMYFUNCTION("""COMPUTED_VALUE"""),"Офисно-торговый центр «Нагатинская» Этап 2 Нагорный р-н ")</f>
        <v>Офисно-торговый центр «Нагатинская» Этап 2 Нагорный р-н </v>
      </c>
      <c r="F1536" s="25" t="str">
        <f>IFERROR(__xludf.DUMMYFUNCTION("""COMPUTED_VALUE"""),"#N/A")</f>
        <v>#N/A</v>
      </c>
      <c r="G1536" s="6" t="str">
        <f>IFERROR(__xludf.DUMMYFUNCTION("""COMPUTED_VALUE"""),"#N/A")</f>
        <v>#N/A</v>
      </c>
      <c r="H1536" s="6"/>
      <c r="I1536" s="19"/>
      <c r="J1536" s="50"/>
      <c r="K1536" s="58"/>
      <c r="L1536" s="6" t="s">
        <v>655</v>
      </c>
      <c r="M1536" s="52" t="s">
        <v>655</v>
      </c>
      <c r="N1536" s="53" t="s">
        <v>655</v>
      </c>
      <c r="O1536" s="19"/>
      <c r="P1536" s="6"/>
      <c r="Q1536" s="6" t="str">
        <f t="shared" si="1"/>
        <v>#N/A</v>
      </c>
      <c r="R1536" s="6"/>
    </row>
    <row r="1537" hidden="1">
      <c r="A1537" s="31"/>
      <c r="B1537" s="14"/>
      <c r="C1537" s="14" t="str">
        <f>IFERROR(__xludf.DUMMYFUNCTION("""COMPUTED_VALUE"""),"ОКС")</f>
        <v>ОКС</v>
      </c>
      <c r="D1537" s="6" t="str">
        <f>IFERROR(__xludf.DUMMYFUNCTION("""COMPUTED_VALUE"""),"да")</f>
        <v>да</v>
      </c>
      <c r="E1537" s="14" t="str">
        <f>IFERROR(__xludf.DUMMYFUNCTION("""COMPUTED_VALUE"""),"Деловой квартал-1 Андропова просп., з/у 11/1 ")</f>
        <v>Деловой квартал-1 Андропова просп., з/у 11/1 </v>
      </c>
      <c r="F1537" s="25" t="str">
        <f>IFERROR(__xludf.DUMMYFUNCTION("""COMPUTED_VALUE"""),"#N/A")</f>
        <v>#N/A</v>
      </c>
      <c r="G1537" s="6" t="str">
        <f>IFERROR(__xludf.DUMMYFUNCTION("""COMPUTED_VALUE"""),"#N/A")</f>
        <v>#N/A</v>
      </c>
      <c r="H1537" s="6"/>
      <c r="I1537" s="19"/>
      <c r="J1537" s="50"/>
      <c r="K1537" s="58"/>
      <c r="L1537" s="6" t="s">
        <v>655</v>
      </c>
      <c r="M1537" s="52" t="s">
        <v>655</v>
      </c>
      <c r="N1537" s="53" t="s">
        <v>655</v>
      </c>
      <c r="O1537" s="19"/>
      <c r="P1537" s="6"/>
      <c r="Q1537" s="6" t="str">
        <f t="shared" si="1"/>
        <v>#N/A</v>
      </c>
      <c r="R1537" s="6"/>
    </row>
    <row r="1538" hidden="1">
      <c r="A1538" s="31"/>
      <c r="B1538" s="14"/>
      <c r="C1538" s="14" t="str">
        <f>IFERROR(__xludf.DUMMYFUNCTION("""COMPUTED_VALUE"""),"ОКС")</f>
        <v>ОКС</v>
      </c>
      <c r="D1538" s="6" t="str">
        <f>IFERROR(__xludf.DUMMYFUNCTION("""COMPUTED_VALUE"""),"да")</f>
        <v>да</v>
      </c>
      <c r="E1538" s="14" t="str">
        <f>IFERROR(__xludf.DUMMYFUNCTION("""COMPUTED_VALUE"""),"г. Москва, поселение Сосенское, квартал 35, земельный участок 12/8. «Здание многофункционального общественно-делового комплекса 3-ей очереди комплексной застройки, расположенной на земельном участке с кадастровым номером 77:17:0120114:27995» ")</f>
        <v>г. Москва, поселение Сосенское, квартал 35, земельный участок 12/8. «Здание многофункционального общественно-делового комплекса 3-ей очереди комплексной застройки, расположенной на земельном участке с кадастровым номером 77:17:0120114:27995» </v>
      </c>
      <c r="F1538" s="25" t="str">
        <f>IFERROR(__xludf.DUMMYFUNCTION("""COMPUTED_VALUE"""),"#N/A")</f>
        <v>#N/A</v>
      </c>
      <c r="G1538" s="6" t="str">
        <f>IFERROR(__xludf.DUMMYFUNCTION("""COMPUTED_VALUE"""),"#N/A")</f>
        <v>#N/A</v>
      </c>
      <c r="H1538" s="6"/>
      <c r="I1538" s="19"/>
      <c r="J1538" s="50"/>
      <c r="K1538" s="58"/>
      <c r="L1538" s="6" t="s">
        <v>655</v>
      </c>
      <c r="M1538" s="52" t="s">
        <v>655</v>
      </c>
      <c r="N1538" s="53" t="s">
        <v>655</v>
      </c>
      <c r="O1538" s="19"/>
      <c r="P1538" s="6"/>
      <c r="Q1538" s="6" t="str">
        <f t="shared" si="1"/>
        <v>#N/A</v>
      </c>
      <c r="R1538" s="6"/>
    </row>
    <row r="1539" hidden="1">
      <c r="A1539" s="31"/>
      <c r="B1539" s="14"/>
      <c r="C1539" s="14" t="str">
        <f>IFERROR(__xludf.DUMMYFUNCTION("""COMPUTED_VALUE"""),"ОКС")</f>
        <v>ОКС</v>
      </c>
      <c r="D1539" s="6" t="str">
        <f>IFERROR(__xludf.DUMMYFUNCTION("""COMPUTED_VALUE"""),"да")</f>
        <v>да</v>
      </c>
      <c r="E1539" s="14" t="str">
        <f>IFERROR(__xludf.DUMMYFUNCTION("""COMPUTED_VALUE"""),"Административно-деловой комплекс, по адресу: Российская Федерация, город Москва, внутригородская территория муниципальный округ Обручевский, шоссе Старокалужское, земельный участок 64/1, ")</f>
        <v>Административно-деловой комплекс, по адресу: Российская Федерация, город Москва, внутригородская территория муниципальный округ Обручевский, шоссе Старокалужское, земельный участок 64/1, </v>
      </c>
      <c r="F1539" s="25" t="str">
        <f>IFERROR(__xludf.DUMMYFUNCTION("""COMPUTED_VALUE"""),"#N/A")</f>
        <v>#N/A</v>
      </c>
      <c r="G1539" s="6" t="str">
        <f>IFERROR(__xludf.DUMMYFUNCTION("""COMPUTED_VALUE"""),"#N/A")</f>
        <v>#N/A</v>
      </c>
      <c r="H1539" s="6"/>
      <c r="I1539" s="19"/>
      <c r="J1539" s="50"/>
      <c r="K1539" s="58"/>
      <c r="L1539" s="6" t="s">
        <v>655</v>
      </c>
      <c r="M1539" s="52" t="s">
        <v>655</v>
      </c>
      <c r="N1539" s="53" t="s">
        <v>655</v>
      </c>
      <c r="O1539" s="19"/>
      <c r="P1539" s="6"/>
      <c r="Q1539" s="6" t="str">
        <f t="shared" si="1"/>
        <v>#N/A</v>
      </c>
      <c r="R1539" s="6"/>
    </row>
    <row r="1540" hidden="1">
      <c r="A1540" s="31"/>
      <c r="B1540" s="14"/>
      <c r="C1540" s="14" t="str">
        <f>IFERROR(__xludf.DUMMYFUNCTION("""COMPUTED_VALUE"""),"ОКС")</f>
        <v>ОКС</v>
      </c>
      <c r="D1540" s="6" t="str">
        <f>IFERROR(__xludf.DUMMYFUNCTION("""COMPUTED_VALUE"""),"да")</f>
        <v>да</v>
      </c>
      <c r="E1540" s="14" t="str">
        <f>IFERROR(__xludf.DUMMYFUNCTION("""COMPUTED_VALUE"""),"г. Москва, НАО, Сосенское, квартал 35, земельный участок 12/8 вблизи деревни Николо-Хованское (НАО, Сосенское). «Здание многофункционального общественно-делового комплекса 2-ой очереди комплексной застройки, расположенной на земельном участке с кадастровы"&amp;"м номером 77:17:0120114:27995» ")</f>
        <v>г. Москва, НАО, Сосенское, квартал 35, земельный участок 12/8 вблизи деревни Николо-Хованское (НАО, Сосенское). «Здание многофункционального общественно-делового комплекса 2-ой очереди комплексной застройки, расположенной на земельном участке с кадастровым номером 77:17:0120114:27995» </v>
      </c>
      <c r="F1540" s="25" t="str">
        <f>IFERROR(__xludf.DUMMYFUNCTION("""COMPUTED_VALUE"""),"#N/A")</f>
        <v>#N/A</v>
      </c>
      <c r="G1540" s="6" t="str">
        <f>IFERROR(__xludf.DUMMYFUNCTION("""COMPUTED_VALUE"""),"#N/A")</f>
        <v>#N/A</v>
      </c>
      <c r="H1540" s="6"/>
      <c r="I1540" s="19"/>
      <c r="J1540" s="50"/>
      <c r="K1540" s="58"/>
      <c r="L1540" s="6" t="s">
        <v>655</v>
      </c>
      <c r="M1540" s="52" t="s">
        <v>655</v>
      </c>
      <c r="N1540" s="53" t="s">
        <v>655</v>
      </c>
      <c r="O1540" s="19"/>
      <c r="P1540" s="6"/>
      <c r="Q1540" s="6" t="str">
        <f t="shared" si="1"/>
        <v>#N/A</v>
      </c>
      <c r="R1540" s="6"/>
    </row>
    <row r="1541" hidden="1">
      <c r="A1541" s="31"/>
      <c r="B1541" s="14"/>
      <c r="C1541" s="14" t="str">
        <f>IFERROR(__xludf.DUMMYFUNCTION("""COMPUTED_VALUE"""),"ОКС")</f>
        <v>ОКС</v>
      </c>
      <c r="D1541" s="6" t="str">
        <f>IFERROR(__xludf.DUMMYFUNCTION("""COMPUTED_VALUE"""),"да")</f>
        <v>да</v>
      </c>
      <c r="E1541" s="14" t="str">
        <f>IFERROR(__xludf.DUMMYFUNCTION("""COMPUTED_VALUE"""),"Многофункциональный жилой комплекс с подземной автостоянкой по адресу: г. Москва, ул. Профсоюзная, д. 2/22 по адресу: г. Москва, ЮЗАО, внутригородская территория муниципальный округ, Обручевский, шоссе Старокалужское, земельный участок 64/1 (ЮЗАО, Обручев"&amp;"ский) ")</f>
        <v>Многофункциональный жилой комплекс с подземной автостоянкой по адресу: г. Москва, ул. Профсоюзная, д. 2/22 по адресу: г. Москва, ЮЗАО, внутригородская территория муниципальный округ, Обручевский, шоссе Старокалужское, земельный участок 64/1 (ЮЗАО, Обручевский) </v>
      </c>
      <c r="F1541" s="25" t="str">
        <f>IFERROR(__xludf.DUMMYFUNCTION("""COMPUTED_VALUE"""),"#N/A")</f>
        <v>#N/A</v>
      </c>
      <c r="G1541" s="6" t="str">
        <f>IFERROR(__xludf.DUMMYFUNCTION("""COMPUTED_VALUE"""),"#N/A")</f>
        <v>#N/A</v>
      </c>
      <c r="H1541" s="6"/>
      <c r="I1541" s="19"/>
      <c r="J1541" s="50"/>
      <c r="K1541" s="58"/>
      <c r="L1541" s="6" t="s">
        <v>655</v>
      </c>
      <c r="M1541" s="52" t="s">
        <v>655</v>
      </c>
      <c r="N1541" s="53" t="s">
        <v>655</v>
      </c>
      <c r="O1541" s="19"/>
      <c r="P1541" s="6"/>
      <c r="Q1541" s="6" t="str">
        <f t="shared" si="1"/>
        <v>#N/A</v>
      </c>
      <c r="R1541" s="6"/>
    </row>
    <row r="1542" hidden="1">
      <c r="A1542" s="31"/>
      <c r="B1542" s="14"/>
      <c r="C1542" s="14" t="str">
        <f>IFERROR(__xludf.DUMMYFUNCTION("""COMPUTED_VALUE"""),"ОКС")</f>
        <v>ОКС</v>
      </c>
      <c r="D1542" s="6" t="str">
        <f>IFERROR(__xludf.DUMMYFUNCTION("""COMPUTED_VALUE"""),"да")</f>
        <v>да</v>
      </c>
      <c r="E1542" s="14" t="str">
        <f>IFERROR(__xludf.DUMMYFUNCTION("""COMPUTED_VALUE"""),"Многофункциональный офисный комплекс с подземной автостоянкой и помещениями общественного назначения, по адресу: г. Москва, ЮЗАО, Обручевский, ул. Академика Семенихина, земельный участок 2 (ЮЗАО, Обручевский) ")</f>
        <v>Многофункциональный офисный комплекс с подземной автостоянкой и помещениями общественного назначения, по адресу: г. Москва, ЮЗАО, Обручевский, ул. Академика Семенихина, земельный участок 2 (ЮЗАО, Обручевский) </v>
      </c>
      <c r="F1542" s="25" t="str">
        <f>IFERROR(__xludf.DUMMYFUNCTION("""COMPUTED_VALUE"""),"#N/A")</f>
        <v>#N/A</v>
      </c>
      <c r="G1542" s="6" t="str">
        <f>IFERROR(__xludf.DUMMYFUNCTION("""COMPUTED_VALUE"""),"#N/A")</f>
        <v>#N/A</v>
      </c>
      <c r="H1542" s="6"/>
      <c r="I1542" s="19"/>
      <c r="J1542" s="50"/>
      <c r="K1542" s="58"/>
      <c r="L1542" s="6" t="s">
        <v>655</v>
      </c>
      <c r="M1542" s="52" t="s">
        <v>655</v>
      </c>
      <c r="N1542" s="53" t="s">
        <v>655</v>
      </c>
      <c r="O1542" s="19"/>
      <c r="P1542" s="6"/>
      <c r="Q1542" s="6" t="str">
        <f t="shared" si="1"/>
        <v>#N/A</v>
      </c>
      <c r="R1542" s="6"/>
    </row>
    <row r="1543" hidden="1">
      <c r="A1543" s="31"/>
      <c r="B1543" s="14"/>
      <c r="C1543" s="14" t="str">
        <f>IFERROR(__xludf.DUMMYFUNCTION("""COMPUTED_VALUE"""),"ОКС")</f>
        <v>ОКС</v>
      </c>
      <c r="D1543" s="6" t="str">
        <f>IFERROR(__xludf.DUMMYFUNCTION("""COMPUTED_VALUE"""),"да")</f>
        <v>да</v>
      </c>
      <c r="E1543" s="14" t="str">
        <f>IFERROR(__xludf.DUMMYFUNCTION("""COMPUTED_VALUE"""),"Многофункциональный комплекс ""Мневники"" в составе ""Транспортно-пересадочного узла ""Мневники"" Мневники Нижн. ул. земельный участок 70 ")</f>
        <v>Многофункциональный комплекс "Мневники" в составе "Транспортно-пересадочного узла "Мневники" Мневники Нижн. ул. земельный участок 70 </v>
      </c>
      <c r="F1543" s="25" t="str">
        <f>IFERROR(__xludf.DUMMYFUNCTION("""COMPUTED_VALUE"""),"#N/A")</f>
        <v>#N/A</v>
      </c>
      <c r="G1543" s="6" t="str">
        <f>IFERROR(__xludf.DUMMYFUNCTION("""COMPUTED_VALUE"""),"#N/A")</f>
        <v>#N/A</v>
      </c>
      <c r="H1543" s="6"/>
      <c r="I1543" s="19"/>
      <c r="J1543" s="50"/>
      <c r="K1543" s="58"/>
      <c r="L1543" s="6" t="s">
        <v>655</v>
      </c>
      <c r="M1543" s="52" t="s">
        <v>655</v>
      </c>
      <c r="N1543" s="53" t="s">
        <v>655</v>
      </c>
      <c r="O1543" s="19"/>
      <c r="P1543" s="6"/>
      <c r="Q1543" s="6" t="str">
        <f t="shared" si="1"/>
        <v>#N/A</v>
      </c>
      <c r="R1543" s="6"/>
    </row>
    <row r="1544" hidden="1">
      <c r="A1544" s="31"/>
      <c r="B1544" s="14"/>
      <c r="C1544" s="14" t="str">
        <f>IFERROR(__xludf.DUMMYFUNCTION("""COMPUTED_VALUE"""),"ОКС")</f>
        <v>ОКС</v>
      </c>
      <c r="D1544" s="6" t="str">
        <f>IFERROR(__xludf.DUMMYFUNCTION("""COMPUTED_VALUE"""),"да")</f>
        <v>да</v>
      </c>
      <c r="E1544" s="14" t="str">
        <f>IFERROR(__xludf.DUMMYFUNCTION("""COMPUTED_VALUE"""),"Спортивный комплекс Минская ул., з/у 2А ")</f>
        <v>Спортивный комплекс Минская ул., з/у 2А </v>
      </c>
      <c r="F1544" s="25" t="str">
        <f>IFERROR(__xludf.DUMMYFUNCTION("""COMPUTED_VALUE"""),"#N/A")</f>
        <v>#N/A</v>
      </c>
      <c r="G1544" s="6" t="str">
        <f>IFERROR(__xludf.DUMMYFUNCTION("""COMPUTED_VALUE"""),"#N/A")</f>
        <v>#N/A</v>
      </c>
      <c r="H1544" s="6"/>
      <c r="I1544" s="19"/>
      <c r="J1544" s="50"/>
      <c r="K1544" s="58"/>
      <c r="L1544" s="6" t="s">
        <v>655</v>
      </c>
      <c r="M1544" s="52" t="s">
        <v>655</v>
      </c>
      <c r="N1544" s="53" t="s">
        <v>655</v>
      </c>
      <c r="O1544" s="19"/>
      <c r="P1544" s="6"/>
      <c r="Q1544" s="6" t="str">
        <f t="shared" si="1"/>
        <v>#N/A</v>
      </c>
      <c r="R1544" s="6"/>
    </row>
    <row r="1545" hidden="1">
      <c r="A1545" s="31"/>
      <c r="B1545" s="14"/>
      <c r="C1545" s="14" t="str">
        <f>IFERROR(__xludf.DUMMYFUNCTION("""COMPUTED_VALUE"""),"ОКС")</f>
        <v>ОКС</v>
      </c>
      <c r="D1545" s="6" t="str">
        <f>IFERROR(__xludf.DUMMYFUNCTION("""COMPUTED_VALUE"""),"да")</f>
        <v>да</v>
      </c>
      <c r="E1545" s="14" t="str">
        <f>IFERROR(__xludf.DUMMYFUNCTION("""COMPUTED_VALUE"""),"«Многофункциональный жилой комплекс «ЛУЧИ-2», расположенного по адресу: г. Москва, ЗАО, ул. Производственная, вл.15, вл. 21, вл. 25, вл. 17А, вл. 21Б, вл. 23 ")</f>
        <v>«Многофункциональный жилой комплекс «ЛУЧИ-2», расположенного по адресу: г. Москва, ЗАО, ул. Производственная, вл.15, вл. 21, вл. 25, вл. 17А, вл. 21Б, вл. 23 </v>
      </c>
      <c r="F1545" s="25" t="str">
        <f>IFERROR(__xludf.DUMMYFUNCTION("""COMPUTED_VALUE"""),"#N/A")</f>
        <v>#N/A</v>
      </c>
      <c r="G1545" s="6" t="str">
        <f>IFERROR(__xludf.DUMMYFUNCTION("""COMPUTED_VALUE"""),"#N/A")</f>
        <v>#N/A</v>
      </c>
      <c r="H1545" s="6"/>
      <c r="I1545" s="19"/>
      <c r="J1545" s="50"/>
      <c r="K1545" s="58"/>
      <c r="L1545" s="6" t="s">
        <v>655</v>
      </c>
      <c r="M1545" s="52" t="s">
        <v>655</v>
      </c>
      <c r="N1545" s="53" t="s">
        <v>655</v>
      </c>
      <c r="O1545" s="19"/>
      <c r="P1545" s="6"/>
      <c r="Q1545" s="6" t="str">
        <f t="shared" si="1"/>
        <v>#N/A</v>
      </c>
      <c r="R1545" s="6"/>
    </row>
    <row r="1546" hidden="1">
      <c r="A1546" s="31"/>
      <c r="B1546" s="14"/>
      <c r="C1546" s="14" t="str">
        <f>IFERROR(__xludf.DUMMYFUNCTION("""COMPUTED_VALUE"""),"ОКС")</f>
        <v>ОКС</v>
      </c>
      <c r="D1546" s="6" t="str">
        <f>IFERROR(__xludf.DUMMYFUNCTION("""COMPUTED_VALUE"""),"да")</f>
        <v>да</v>
      </c>
      <c r="E1546" s="14" t="str">
        <f>IFERROR(__xludf.DUMMYFUNCTION("""COMPUTED_VALUE"""),"г. Москва, р-н Дорогомилово, Кутузовский пр-т, вл. 12/3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наследия"&amp;" на территории Бадаевского пивоваренного завода. Этапы 2 и 4. Этап 2. ")</f>
        <v>г. Москва, р-н Дорогомилово, Кутузовский пр-т, вл. 12/3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2 и 4. Этап 2. </v>
      </c>
      <c r="F1546" s="25" t="str">
        <f>IFERROR(__xludf.DUMMYFUNCTION("""COMPUTED_VALUE"""),"#N/A")</f>
        <v>#N/A</v>
      </c>
      <c r="G1546" s="6" t="str">
        <f>IFERROR(__xludf.DUMMYFUNCTION("""COMPUTED_VALUE"""),"#N/A")</f>
        <v>#N/A</v>
      </c>
      <c r="H1546" s="6"/>
      <c r="I1546" s="19"/>
      <c r="J1546" s="50"/>
      <c r="K1546" s="58"/>
      <c r="L1546" s="6" t="s">
        <v>655</v>
      </c>
      <c r="M1546" s="52" t="s">
        <v>655</v>
      </c>
      <c r="N1546" s="53" t="s">
        <v>655</v>
      </c>
      <c r="O1546" s="19"/>
      <c r="P1546" s="6"/>
      <c r="Q1546" s="6" t="str">
        <f t="shared" si="1"/>
        <v>#N/A</v>
      </c>
      <c r="R1546" s="6"/>
    </row>
    <row r="1547" hidden="1">
      <c r="A1547" s="31"/>
      <c r="B1547" s="14"/>
      <c r="C1547" s="14" t="str">
        <f>IFERROR(__xludf.DUMMYFUNCTION("""COMPUTED_VALUE"""),"ОКС")</f>
        <v>ОКС</v>
      </c>
      <c r="D1547" s="6" t="str">
        <f>IFERROR(__xludf.DUMMYFUNCTION("""COMPUTED_VALUE"""),"да")</f>
        <v>да</v>
      </c>
      <c r="E1547" s="14" t="str">
        <f>IFERROR(__xludf.DUMMYFUNCTION("""COMPUTED_VALUE"""),"г. Москва, р-н Дорогомилово, Кутузовский пр-т, вл. 12/5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наследия"&amp;" на территории Бадаевского пивоваренного завода. Этапы 2 и 4. Этап 4. ")</f>
        <v>г. Москва, р-н Дорогомилово, Кутузовский пр-т, вл. 12/5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2 и 4. Этап 4. </v>
      </c>
      <c r="F1547" s="25" t="str">
        <f>IFERROR(__xludf.DUMMYFUNCTION("""COMPUTED_VALUE"""),"#N/A")</f>
        <v>#N/A</v>
      </c>
      <c r="G1547" s="6" t="str">
        <f>IFERROR(__xludf.DUMMYFUNCTION("""COMPUTED_VALUE"""),"#N/A")</f>
        <v>#N/A</v>
      </c>
      <c r="H1547" s="6"/>
      <c r="I1547" s="19"/>
      <c r="J1547" s="50"/>
      <c r="K1547" s="58"/>
      <c r="L1547" s="6" t="s">
        <v>655</v>
      </c>
      <c r="M1547" s="52" t="s">
        <v>655</v>
      </c>
      <c r="N1547" s="53" t="s">
        <v>655</v>
      </c>
      <c r="O1547" s="19"/>
      <c r="P1547" s="6"/>
      <c r="Q1547" s="6" t="str">
        <f t="shared" si="1"/>
        <v>#N/A</v>
      </c>
      <c r="R1547" s="6"/>
    </row>
    <row r="1548" hidden="1">
      <c r="A1548" s="31"/>
      <c r="B1548" s="14"/>
      <c r="C1548" s="14" t="str">
        <f>IFERROR(__xludf.DUMMYFUNCTION("""COMPUTED_VALUE"""),"ОКС")</f>
        <v>ОКС</v>
      </c>
      <c r="D1548" s="6" t="str">
        <f>IFERROR(__xludf.DUMMYFUNCTION("""COMPUTED_VALUE"""),"да")</f>
        <v>да</v>
      </c>
      <c r="E1548" s="14" t="str">
        <f>IFERROR(__xludf.DUMMYFUNCTION("""COMPUTED_VALUE"""),"""«Многофункциональная комплексная жилая 
 застройка» по адресу: г. Москва, ЗАО, район Раменки, между ул. Лобачевского и 
 платформой «Матвеевское», 3-я очередь, квартал 10, корпус 3»"" ")</f>
        <v>"«Многофункциональная комплексная жилая 
 застройка» по адресу: г. Москва, ЗАО, район Раменки, между ул. Лобачевского и 
 платформой «Матвеевское», 3-я очередь, квартал 10, корпус 3»" </v>
      </c>
      <c r="F1548" s="25" t="str">
        <f>IFERROR(__xludf.DUMMYFUNCTION("""COMPUTED_VALUE"""),"#N/A")</f>
        <v>#N/A</v>
      </c>
      <c r="G1548" s="6" t="str">
        <f>IFERROR(__xludf.DUMMYFUNCTION("""COMPUTED_VALUE"""),"#N/A")</f>
        <v>#N/A</v>
      </c>
      <c r="H1548" s="6"/>
      <c r="I1548" s="19"/>
      <c r="J1548" s="50"/>
      <c r="K1548" s="58"/>
      <c r="L1548" s="6" t="s">
        <v>655</v>
      </c>
      <c r="M1548" s="52" t="s">
        <v>655</v>
      </c>
      <c r="N1548" s="53" t="s">
        <v>655</v>
      </c>
      <c r="O1548" s="19"/>
      <c r="P1548" s="6"/>
      <c r="Q1548" s="6" t="str">
        <f t="shared" si="1"/>
        <v>#N/A</v>
      </c>
      <c r="R1548" s="6"/>
    </row>
    <row r="1549" hidden="1">
      <c r="A1549" s="31"/>
      <c r="B1549" s="14"/>
      <c r="C1549" s="14" t="str">
        <f>IFERROR(__xludf.DUMMYFUNCTION("""COMPUTED_VALUE"""),"ОКС")</f>
        <v>ОКС</v>
      </c>
      <c r="D1549" s="6" t="str">
        <f>IFERROR(__xludf.DUMMYFUNCTION("""COMPUTED_VALUE"""),"да")</f>
        <v>да</v>
      </c>
      <c r="E1549" s="14" t="str">
        <f>IFERROR(__xludf.DUMMYFUNCTION("""COMPUTED_VALUE"""),"Кутузовский просп. вл. 12/2, 12/6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Бадаевс"&amp;"кого пивоваренного завода», Этапы 1 и 3 (1 этап строительства. Новое строительство. Западный жилой корпус) ")</f>
        <v>Кутузовский просп. вл. 12/2, 12/6 Многофункциональный жилой комплекс с подземной автостоянкой, апартаментами и встроенно-пристроенными нежилыми помещениями, c фрагментарной реставрацией и приспособлением объектов культурного наследия на территории Бадаевского пивоваренного завода», Этапы 1 и 3 (1 этап строительства. Новое строительство. Западный жилой корпус) </v>
      </c>
      <c r="F1549" s="25" t="str">
        <f>IFERROR(__xludf.DUMMYFUNCTION("""COMPUTED_VALUE"""),"#N/A")</f>
        <v>#N/A</v>
      </c>
      <c r="G1549" s="6" t="str">
        <f>IFERROR(__xludf.DUMMYFUNCTION("""COMPUTED_VALUE"""),"#N/A")</f>
        <v>#N/A</v>
      </c>
      <c r="H1549" s="6"/>
      <c r="I1549" s="19"/>
      <c r="J1549" s="50"/>
      <c r="K1549" s="58"/>
      <c r="L1549" s="6" t="s">
        <v>655</v>
      </c>
      <c r="M1549" s="52" t="s">
        <v>655</v>
      </c>
      <c r="N1549" s="53" t="s">
        <v>655</v>
      </c>
      <c r="O1549" s="19"/>
      <c r="P1549" s="6"/>
      <c r="Q1549" s="6" t="str">
        <f t="shared" si="1"/>
        <v>#N/A</v>
      </c>
      <c r="R1549" s="6"/>
    </row>
    <row r="1550" hidden="1">
      <c r="A1550" s="31"/>
      <c r="B1550" s="14"/>
      <c r="C1550" s="14" t="str">
        <f>IFERROR(__xludf.DUMMYFUNCTION("""COMPUTED_VALUE"""),"ОКС")</f>
        <v>ОКС</v>
      </c>
      <c r="D1550" s="6" t="str">
        <f>IFERROR(__xludf.DUMMYFUNCTION("""COMPUTED_VALUE"""),"да")</f>
        <v>да</v>
      </c>
      <c r="E1550" s="14" t="str">
        <f>IFERROR(__xludf.DUMMYFUNCTION("""COMPUTED_VALUE"""),"Кутузовский просп. вл. 12/2, 12/6 Многофункциональный жилой комплекс с подземной автостоянкой, апартаментами и встроенно-пристроенными нежилыми помещениями, с фрагментарной реставрацией и приспособлением объектов культурного наследия на территории Бадаевс"&amp;"кого пивоваренного завода, этап: Этап 3. Новое строительство. Восточный жилой корпус ")</f>
        <v>Кутузовский просп. вл. 12/2, 12/6 Многофункциональный жилой комплекс с подземной автостоянкой, апартаментами и встроенно-пристроенными нежилыми помещениями, с фрагментарной реставрацией и приспособлением объектов культурного наследия на территории Бадаевского пивоваренного завода, этап: Этап 3. Новое строительство. Восточный жилой корпус </v>
      </c>
      <c r="F1550" s="25" t="str">
        <f>IFERROR(__xludf.DUMMYFUNCTION("""COMPUTED_VALUE"""),"#N/A")</f>
        <v>#N/A</v>
      </c>
      <c r="G1550" s="6" t="str">
        <f>IFERROR(__xludf.DUMMYFUNCTION("""COMPUTED_VALUE"""),"#N/A")</f>
        <v>#N/A</v>
      </c>
      <c r="H1550" s="6"/>
      <c r="I1550" s="19"/>
      <c r="J1550" s="50"/>
      <c r="K1550" s="58"/>
      <c r="L1550" s="6" t="s">
        <v>655</v>
      </c>
      <c r="M1550" s="52" t="s">
        <v>655</v>
      </c>
      <c r="N1550" s="53" t="s">
        <v>655</v>
      </c>
      <c r="O1550" s="19"/>
      <c r="P1550" s="6"/>
      <c r="Q1550" s="6" t="str">
        <f t="shared" si="1"/>
        <v>#N/A</v>
      </c>
      <c r="R1550" s="6"/>
    </row>
    <row r="1551" hidden="1">
      <c r="A1551" s="31"/>
      <c r="B1551" s="14"/>
      <c r="C1551" s="14" t="str">
        <f>IFERROR(__xludf.DUMMYFUNCTION("""COMPUTED_VALUE"""),"ОКС")</f>
        <v>ОКС</v>
      </c>
      <c r="D1551" s="6" t="str">
        <f>IFERROR(__xludf.DUMMYFUNCTION("""COMPUTED_VALUE"""),"да")</f>
        <v>да</v>
      </c>
      <c r="E1551" s="14" t="str">
        <f>IFERROR(__xludf.DUMMYFUNCTION("""COMPUTED_VALUE"""),"Жилой комплекс премиум-класса, планируемый к строительству на земельном участке с кадастровым номером 77:07:0007001:8458 Кутузовский просп. вл. 12 (ЗАО, Дорогомилово) ")</f>
        <v>Жилой комплекс премиум-класса, планируемый к строительству на земельном участке с кадастровым номером 77:07:0007001:8458 Кутузовский просп. вл. 12 (ЗАО, Дорогомилово) </v>
      </c>
      <c r="F1551" s="25" t="str">
        <f>IFERROR(__xludf.DUMMYFUNCTION("""COMPUTED_VALUE"""),"#N/A")</f>
        <v>#N/A</v>
      </c>
      <c r="G1551" s="6" t="str">
        <f>IFERROR(__xludf.DUMMYFUNCTION("""COMPUTED_VALUE"""),"#N/A")</f>
        <v>#N/A</v>
      </c>
      <c r="H1551" s="6"/>
      <c r="I1551" s="19"/>
      <c r="J1551" s="50"/>
      <c r="K1551" s="58"/>
      <c r="L1551" s="6" t="s">
        <v>655</v>
      </c>
      <c r="M1551" s="52" t="s">
        <v>655</v>
      </c>
      <c r="N1551" s="53" t="s">
        <v>655</v>
      </c>
      <c r="O1551" s="19"/>
      <c r="P1551" s="6"/>
      <c r="Q1551" s="6" t="str">
        <f t="shared" si="1"/>
        <v>#N/A</v>
      </c>
      <c r="R1551" s="6"/>
    </row>
    <row r="1552" hidden="1">
      <c r="A1552" s="31"/>
      <c r="B1552" s="14"/>
      <c r="C1552" s="14" t="str">
        <f>IFERROR(__xludf.DUMMYFUNCTION("""COMPUTED_VALUE"""),"ОКС")</f>
        <v>ОКС</v>
      </c>
      <c r="D1552" s="6" t="str">
        <f>IFERROR(__xludf.DUMMYFUNCTION("""COMPUTED_VALUE"""),"да")</f>
        <v>да</v>
      </c>
      <c r="E1552" s="14" t="str">
        <f>IFERROR(__xludf.DUMMYFUNCTION("""COMPUTED_VALUE"""),"Офисно-деловое здание со встроенной подземной автостоянкой у д. Захарково, квартал А24 ")</f>
        <v>Офисно-деловое здание со встроенной подземной автостоянкой у д. Захарково, квартал А24 </v>
      </c>
      <c r="F1552" s="25" t="str">
        <f>IFERROR(__xludf.DUMMYFUNCTION("""COMPUTED_VALUE"""),"#N/A")</f>
        <v>#N/A</v>
      </c>
      <c r="G1552" s="6" t="str">
        <f>IFERROR(__xludf.DUMMYFUNCTION("""COMPUTED_VALUE"""),"#N/A")</f>
        <v>#N/A</v>
      </c>
      <c r="H1552" s="6"/>
      <c r="I1552" s="19"/>
      <c r="J1552" s="50"/>
      <c r="K1552" s="58"/>
      <c r="L1552" s="6" t="s">
        <v>655</v>
      </c>
      <c r="M1552" s="52" t="s">
        <v>655</v>
      </c>
      <c r="N1552" s="53" t="s">
        <v>655</v>
      </c>
      <c r="O1552" s="19"/>
      <c r="P1552" s="6"/>
      <c r="Q1552" s="6" t="str">
        <f t="shared" si="1"/>
        <v>#N/A</v>
      </c>
      <c r="R1552" s="6"/>
    </row>
    <row r="1553" hidden="1">
      <c r="A1553" s="31"/>
      <c r="B1553" s="14"/>
      <c r="C1553" s="14" t="str">
        <f>IFERROR(__xludf.DUMMYFUNCTION("""COMPUTED_VALUE"""),"ОКС")</f>
        <v>ОКС</v>
      </c>
      <c r="D1553" s="6" t="str">
        <f>IFERROR(__xludf.DUMMYFUNCTION("""COMPUTED_VALUE"""),"да")</f>
        <v>да</v>
      </c>
      <c r="E1553" s="14" t="str">
        <f>IFERROR(__xludf.DUMMYFUNCTION("""COMPUTED_VALUE"""),"Дошкольная общеобразовательная организация на 350 мест, квартал В13 г. Москва, ЗАО, Кунцево, квартал 120, земельный участок 99 ")</f>
        <v>Дошкольная общеобразовательная организация на 350 мест, квартал В13 г. Москва, ЗАО, Кунцево, квартал 120, земельный участок 99 </v>
      </c>
      <c r="F1553" s="25" t="str">
        <f>IFERROR(__xludf.DUMMYFUNCTION("""COMPUTED_VALUE"""),"#N/A")</f>
        <v>#N/A</v>
      </c>
      <c r="G1553" s="6" t="str">
        <f>IFERROR(__xludf.DUMMYFUNCTION("""COMPUTED_VALUE"""),"#N/A")</f>
        <v>#N/A</v>
      </c>
      <c r="H1553" s="6"/>
      <c r="I1553" s="19"/>
      <c r="J1553" s="50"/>
      <c r="K1553" s="58"/>
      <c r="L1553" s="6" t="s">
        <v>655</v>
      </c>
      <c r="M1553" s="52" t="s">
        <v>655</v>
      </c>
      <c r="N1553" s="53" t="s">
        <v>655</v>
      </c>
      <c r="O1553" s="19"/>
      <c r="P1553" s="6"/>
      <c r="Q1553" s="6" t="str">
        <f t="shared" si="1"/>
        <v>#N/A</v>
      </c>
      <c r="R1553" s="6"/>
    </row>
    <row r="1554" hidden="1">
      <c r="A1554" s="31"/>
      <c r="B1554" s="14"/>
      <c r="C1554" s="14" t="str">
        <f>IFERROR(__xludf.DUMMYFUNCTION("""COMPUTED_VALUE"""),"ОКС")</f>
        <v>ОКС</v>
      </c>
      <c r="D1554" s="6" t="str">
        <f>IFERROR(__xludf.DUMMYFUNCTION("""COMPUTED_VALUE"""),"да")</f>
        <v>да</v>
      </c>
      <c r="E1554" s="14" t="str">
        <f>IFERROR(__xludf.DUMMYFUNCTION("""COMPUTED_VALUE"""),"Офисно-деловое здание со встроенной подземной автостоянкой город Москва, внутригородское муниципальное образование Кунцево, у д. Захарково(ЗАО, район Кунцево) ")</f>
        <v>Офисно-деловое здание со встроенной подземной автостоянкой город Москва, внутригородское муниципальное образование Кунцево, у д. Захарково(ЗАО, район Кунцево) </v>
      </c>
      <c r="F1554" s="25" t="str">
        <f>IFERROR(__xludf.DUMMYFUNCTION("""COMPUTED_VALUE"""),"#N/A")</f>
        <v>#N/A</v>
      </c>
      <c r="G1554" s="6" t="str">
        <f>IFERROR(__xludf.DUMMYFUNCTION("""COMPUTED_VALUE"""),"#N/A")</f>
        <v>#N/A</v>
      </c>
      <c r="H1554" s="6"/>
      <c r="I1554" s="19"/>
      <c r="J1554" s="50"/>
      <c r="K1554" s="58"/>
      <c r="L1554" s="6" t="s">
        <v>655</v>
      </c>
      <c r="M1554" s="52" t="s">
        <v>655</v>
      </c>
      <c r="N1554" s="53" t="s">
        <v>655</v>
      </c>
      <c r="O1554" s="19"/>
      <c r="P1554" s="6"/>
      <c r="Q1554" s="6" t="str">
        <f t="shared" si="1"/>
        <v>#N/A</v>
      </c>
      <c r="R1554" s="6"/>
    </row>
    <row r="1555" hidden="1">
      <c r="A1555" s="31"/>
      <c r="B1555" s="14"/>
      <c r="C1555" s="14" t="str">
        <f>IFERROR(__xludf.DUMMYFUNCTION("""COMPUTED_VALUE"""),"ОКС")</f>
        <v>ОКС</v>
      </c>
      <c r="D1555" s="6" t="str">
        <f>IFERROR(__xludf.DUMMYFUNCTION("""COMPUTED_VALUE"""),"да")</f>
        <v>да</v>
      </c>
      <c r="E1555" s="14" t="str">
        <f>IFERROR(__xludf.DUMMYFUNCTION("""COMPUTED_VALUE"""),"Жилой комплекс с подземной автостоянкой, квартал В14. Корпус 1, 2, 3, 4, 5 г. Москва, ЗАО, Кунцево, у д. Захарково ")</f>
        <v>Жилой комплекс с подземной автостоянкой, квартал В14. Корпус 1, 2, 3, 4, 5 г. Москва, ЗАО, Кунцево, у д. Захарково </v>
      </c>
      <c r="F1555" s="25" t="str">
        <f>IFERROR(__xludf.DUMMYFUNCTION("""COMPUTED_VALUE"""),"#N/A")</f>
        <v>#N/A</v>
      </c>
      <c r="G1555" s="6" t="str">
        <f>IFERROR(__xludf.DUMMYFUNCTION("""COMPUTED_VALUE"""),"#N/A")</f>
        <v>#N/A</v>
      </c>
      <c r="H1555" s="6"/>
      <c r="I1555" s="19"/>
      <c r="J1555" s="50"/>
      <c r="K1555" s="58"/>
      <c r="L1555" s="6" t="s">
        <v>655</v>
      </c>
      <c r="M1555" s="52" t="s">
        <v>655</v>
      </c>
      <c r="N1555" s="53" t="s">
        <v>655</v>
      </c>
      <c r="O1555" s="19"/>
      <c r="P1555" s="6"/>
      <c r="Q1555" s="6" t="str">
        <f t="shared" si="1"/>
        <v>#N/A</v>
      </c>
      <c r="R1555" s="6"/>
    </row>
    <row r="1556" hidden="1">
      <c r="A1556" s="31"/>
      <c r="B1556" s="14"/>
      <c r="C1556" s="14" t="str">
        <f>IFERROR(__xludf.DUMMYFUNCTION("""COMPUTED_VALUE"""),"ОКС")</f>
        <v>ОКС</v>
      </c>
      <c r="D1556" s="6" t="str">
        <f>IFERROR(__xludf.DUMMYFUNCTION("""COMPUTED_VALUE"""),"да")</f>
        <v>да</v>
      </c>
      <c r="E1556" s="14" t="str">
        <f>IFERROR(__xludf.DUMMYFUNCTION("""COMPUTED_VALUE"""),"Офисно-деловое здание со встроенной подземной автостоянкой, квартал А22 г. Москва, ЗАО, Кунцево, у д. Захарково ")</f>
        <v>Офисно-деловое здание со встроенной подземной автостоянкой, квартал А22 г. Москва, ЗАО, Кунцево, у д. Захарково </v>
      </c>
      <c r="F1556" s="25" t="str">
        <f>IFERROR(__xludf.DUMMYFUNCTION("""COMPUTED_VALUE"""),"#N/A")</f>
        <v>#N/A</v>
      </c>
      <c r="G1556" s="6" t="str">
        <f>IFERROR(__xludf.DUMMYFUNCTION("""COMPUTED_VALUE"""),"#N/A")</f>
        <v>#N/A</v>
      </c>
      <c r="H1556" s="6"/>
      <c r="I1556" s="19"/>
      <c r="J1556" s="50"/>
      <c r="K1556" s="58"/>
      <c r="L1556" s="6" t="s">
        <v>655</v>
      </c>
      <c r="M1556" s="52" t="s">
        <v>655</v>
      </c>
      <c r="N1556" s="53" t="s">
        <v>655</v>
      </c>
      <c r="O1556" s="19"/>
      <c r="P1556" s="6"/>
      <c r="Q1556" s="6" t="str">
        <f t="shared" si="1"/>
        <v>#N/A</v>
      </c>
      <c r="R1556" s="6"/>
    </row>
    <row r="1557" hidden="1">
      <c r="A1557" s="31"/>
      <c r="B1557" s="14"/>
      <c r="C1557" s="14" t="str">
        <f>IFERROR(__xludf.DUMMYFUNCTION("""COMPUTED_VALUE"""),"ОКС")</f>
        <v>ОКС</v>
      </c>
      <c r="D1557" s="6" t="str">
        <f>IFERROR(__xludf.DUMMYFUNCTION("""COMPUTED_VALUE"""),"да")</f>
        <v>да</v>
      </c>
      <c r="E1557" s="14" t="str">
        <f>IFERROR(__xludf.DUMMYFUNCTION("""COMPUTED_VALUE"""),"Жилой комплекс с подземной автостоянкой, квартал В14. Корпус 1, 2, 3, 4, 5 г. Москва, ЗАО, Кунцево, у д. Захарково ")</f>
        <v>Жилой комплекс с подземной автостоянкой, квартал В14. Корпус 1, 2, 3, 4, 5 г. Москва, ЗАО, Кунцево, у д. Захарково </v>
      </c>
      <c r="F1557" s="25" t="str">
        <f>IFERROR(__xludf.DUMMYFUNCTION("""COMPUTED_VALUE"""),"#N/A")</f>
        <v>#N/A</v>
      </c>
      <c r="G1557" s="6" t="str">
        <f>IFERROR(__xludf.DUMMYFUNCTION("""COMPUTED_VALUE"""),"#N/A")</f>
        <v>#N/A</v>
      </c>
      <c r="H1557" s="6"/>
      <c r="I1557" s="19"/>
      <c r="J1557" s="50"/>
      <c r="K1557" s="58"/>
      <c r="L1557" s="6" t="s">
        <v>655</v>
      </c>
      <c r="M1557" s="52" t="s">
        <v>655</v>
      </c>
      <c r="N1557" s="53" t="s">
        <v>655</v>
      </c>
      <c r="O1557" s="19"/>
      <c r="P1557" s="6"/>
      <c r="Q1557" s="6" t="str">
        <f t="shared" si="1"/>
        <v>#N/A</v>
      </c>
      <c r="R1557" s="6"/>
    </row>
    <row r="1558" hidden="1">
      <c r="A1558" s="31"/>
      <c r="B1558" s="14"/>
      <c r="C1558" s="14" t="str">
        <f>IFERROR(__xludf.DUMMYFUNCTION("""COMPUTED_VALUE"""),"ОКС")</f>
        <v>ОКС</v>
      </c>
      <c r="D1558" s="6" t="str">
        <f>IFERROR(__xludf.DUMMYFUNCTION("""COMPUTED_VALUE"""),"да")</f>
        <v>да</v>
      </c>
      <c r="E1558" s="14" t="str">
        <f>IFERROR(__xludf.DUMMYFUNCTION("""COMPUTED_VALUE"""),"Многофункциональный центр,ул.Мусы Джалиля, вл.23/56 ")</f>
        <v>Многофункциональный центр,ул.Мусы Джалиля, вл.23/56 </v>
      </c>
      <c r="F1558" s="25" t="str">
        <f>IFERROR(__xludf.DUMMYFUNCTION("""COMPUTED_VALUE"""),"#N/A")</f>
        <v>#N/A</v>
      </c>
      <c r="G1558" s="6" t="str">
        <f>IFERROR(__xludf.DUMMYFUNCTION("""COMPUTED_VALUE"""),"#N/A")</f>
        <v>#N/A</v>
      </c>
      <c r="H1558" s="6"/>
      <c r="I1558" s="19"/>
      <c r="J1558" s="50"/>
      <c r="K1558" s="58"/>
      <c r="L1558" s="6" t="s">
        <v>655</v>
      </c>
      <c r="M1558" s="52" t="s">
        <v>655</v>
      </c>
      <c r="N1558" s="53" t="s">
        <v>655</v>
      </c>
      <c r="O1558" s="19"/>
      <c r="P1558" s="6"/>
      <c r="Q1558" s="6" t="str">
        <f t="shared" si="1"/>
        <v>#N/A</v>
      </c>
      <c r="R1558" s="6"/>
    </row>
    <row r="1559" hidden="1">
      <c r="A1559" s="31"/>
      <c r="B1559" s="14"/>
      <c r="C1559" s="14" t="str">
        <f>IFERROR(__xludf.DUMMYFUNCTION("""COMPUTED_VALUE"""),"ОКС")</f>
        <v>ОКС</v>
      </c>
      <c r="D1559" s="6" t="str">
        <f>IFERROR(__xludf.DUMMYFUNCTION("""COMPUTED_VALUE"""),"да")</f>
        <v>да</v>
      </c>
      <c r="E1559" s="14" t="str">
        <f>IFERROR(__xludf.DUMMYFUNCTION("""COMPUTED_VALUE"""),"Бибиревский рынок,ул. Пришвина, вл. 22 ")</f>
        <v>Бибиревский рынок,ул. Пришвина, вл. 22 </v>
      </c>
      <c r="F1559" s="25" t="str">
        <f>IFERROR(__xludf.DUMMYFUNCTION("""COMPUTED_VALUE"""),"#N/A")</f>
        <v>#N/A</v>
      </c>
      <c r="G1559" s="6" t="str">
        <f>IFERROR(__xludf.DUMMYFUNCTION("""COMPUTED_VALUE"""),"#N/A")</f>
        <v>#N/A</v>
      </c>
      <c r="H1559" s="6"/>
      <c r="I1559" s="19"/>
      <c r="J1559" s="50"/>
      <c r="K1559" s="58"/>
      <c r="L1559" s="6" t="s">
        <v>655</v>
      </c>
      <c r="M1559" s="52" t="s">
        <v>655</v>
      </c>
      <c r="N1559" s="53" t="s">
        <v>655</v>
      </c>
      <c r="O1559" s="19"/>
      <c r="P1559" s="6"/>
      <c r="Q1559" s="6" t="str">
        <f t="shared" si="1"/>
        <v>#N/A</v>
      </c>
      <c r="R1559" s="6"/>
    </row>
    <row r="1560" hidden="1">
      <c r="A1560" s="31"/>
      <c r="B1560" s="14"/>
      <c r="C1560" s="14" t="str">
        <f>IFERROR(__xludf.DUMMYFUNCTION("""COMPUTED_VALUE"""),"ОКС")</f>
        <v>ОКС</v>
      </c>
      <c r="D1560" s="6" t="str">
        <f>IFERROR(__xludf.DUMMYFUNCTION("""COMPUTED_VALUE"""),"да")</f>
        <v>да</v>
      </c>
      <c r="E1560" s="14" t="str">
        <f>IFERROR(__xludf.DUMMYFUNCTION("""COMPUTED_VALUE"""),"Нежилое,17-й проезд Марьиной Рощи, влд. 9 ")</f>
        <v>Нежилое,17-й проезд Марьиной Рощи, влд. 9 </v>
      </c>
      <c r="F1560" s="25" t="str">
        <f>IFERROR(__xludf.DUMMYFUNCTION("""COMPUTED_VALUE"""),"#N/A")</f>
        <v>#N/A</v>
      </c>
      <c r="G1560" s="6" t="str">
        <f>IFERROR(__xludf.DUMMYFUNCTION("""COMPUTED_VALUE"""),"#N/A")</f>
        <v>#N/A</v>
      </c>
      <c r="H1560" s="6"/>
      <c r="I1560" s="19"/>
      <c r="J1560" s="50"/>
      <c r="K1560" s="58"/>
      <c r="L1560" s="6" t="s">
        <v>655</v>
      </c>
      <c r="M1560" s="52" t="s">
        <v>655</v>
      </c>
      <c r="N1560" s="53" t="s">
        <v>655</v>
      </c>
      <c r="O1560" s="19"/>
      <c r="P1560" s="6"/>
      <c r="Q1560" s="6" t="str">
        <f t="shared" si="1"/>
        <v>#N/A</v>
      </c>
      <c r="R1560" s="6"/>
    </row>
    <row r="1561" hidden="1">
      <c r="A1561" s="31"/>
      <c r="B1561" s="14"/>
      <c r="C1561" s="14" t="str">
        <f>IFERROR(__xludf.DUMMYFUNCTION("""COMPUTED_VALUE"""),"ОКС")</f>
        <v>ОКС</v>
      </c>
      <c r="D1561" s="6" t="str">
        <f>IFERROR(__xludf.DUMMYFUNCTION("""COMPUTED_VALUE"""),"да")</f>
        <v>да</v>
      </c>
      <c r="E1561" s="14" t="str">
        <f>IFERROR(__xludf.DUMMYFUNCTION("""COMPUTED_VALUE"""),"Многофункциональный центр,1-й Силикатный проезд, влд.14 ")</f>
        <v>Многофункциональный центр,1-й Силикатный проезд, влд.14 </v>
      </c>
      <c r="F1561" s="25" t="str">
        <f>IFERROR(__xludf.DUMMYFUNCTION("""COMPUTED_VALUE"""),"#N/A")</f>
        <v>#N/A</v>
      </c>
      <c r="G1561" s="6" t="str">
        <f>IFERROR(__xludf.DUMMYFUNCTION("""COMPUTED_VALUE"""),"#N/A")</f>
        <v>#N/A</v>
      </c>
      <c r="H1561" s="6"/>
      <c r="I1561" s="19"/>
      <c r="J1561" s="50"/>
      <c r="K1561" s="58"/>
      <c r="L1561" s="6" t="s">
        <v>655</v>
      </c>
      <c r="M1561" s="52" t="s">
        <v>655</v>
      </c>
      <c r="N1561" s="53" t="s">
        <v>655</v>
      </c>
      <c r="O1561" s="19"/>
      <c r="P1561" s="6"/>
      <c r="Q1561" s="6" t="str">
        <f t="shared" si="1"/>
        <v>#N/A</v>
      </c>
      <c r="R1561" s="6"/>
    </row>
    <row r="1562" hidden="1">
      <c r="A1562" s="31"/>
      <c r="B1562" s="14"/>
      <c r="C1562" s="14" t="str">
        <f>IFERROR(__xludf.DUMMYFUNCTION("""COMPUTED_VALUE"""),"ОКС")</f>
        <v>ОКС</v>
      </c>
      <c r="D1562" s="6" t="str">
        <f>IFERROR(__xludf.DUMMYFUNCTION("""COMPUTED_VALUE"""),"да")</f>
        <v>да</v>
      </c>
      <c r="E1562" s="14" t="str">
        <f>IFERROR(__xludf.DUMMYFUNCTION("""COMPUTED_VALUE"""),"Жилой дом,ул. Демьяна Бедного, влд.24, земельный участок 24А ")</f>
        <v>Жилой дом,ул. Демьяна Бедного, влд.24, земельный участок 24А </v>
      </c>
      <c r="F1562" s="25" t="str">
        <f>IFERROR(__xludf.DUMMYFUNCTION("""COMPUTED_VALUE"""),"#N/A")</f>
        <v>#N/A</v>
      </c>
      <c r="G1562" s="6" t="str">
        <f>IFERROR(__xludf.DUMMYFUNCTION("""COMPUTED_VALUE"""),"#N/A")</f>
        <v>#N/A</v>
      </c>
      <c r="H1562" s="6"/>
      <c r="I1562" s="19"/>
      <c r="J1562" s="50"/>
      <c r="K1562" s="58"/>
      <c r="L1562" s="6" t="s">
        <v>655</v>
      </c>
      <c r="M1562" s="52" t="s">
        <v>655</v>
      </c>
      <c r="N1562" s="53" t="s">
        <v>655</v>
      </c>
      <c r="O1562" s="19"/>
      <c r="P1562" s="6"/>
      <c r="Q1562" s="6" t="str">
        <f t="shared" si="1"/>
        <v>#N/A</v>
      </c>
      <c r="R1562" s="6"/>
    </row>
    <row r="1563" hidden="1">
      <c r="A1563" s="31"/>
      <c r="B1563" s="14"/>
      <c r="C1563" s="14" t="str">
        <f>IFERROR(__xludf.DUMMYFUNCTION("""COMPUTED_VALUE"""),"ОКС")</f>
        <v>ОКС</v>
      </c>
      <c r="D1563" s="6" t="str">
        <f>IFERROR(__xludf.DUMMYFUNCTION("""COMPUTED_VALUE"""),"да")</f>
        <v>да</v>
      </c>
      <c r="E1563" s="14" t="str">
        <f>IFERROR(__xludf.DUMMYFUNCTION("""COMPUTED_VALUE"""),"Центр объединения горских евреев,1-я Сокольническая ул., земельный участок 8 ")</f>
        <v>Центр объединения горских евреев,1-я Сокольническая ул., земельный участок 8 </v>
      </c>
      <c r="F1563" s="25" t="str">
        <f>IFERROR(__xludf.DUMMYFUNCTION("""COMPUTED_VALUE"""),"#N/A")</f>
        <v>#N/A</v>
      </c>
      <c r="G1563" s="6" t="str">
        <f>IFERROR(__xludf.DUMMYFUNCTION("""COMPUTED_VALUE"""),"#N/A")</f>
        <v>#N/A</v>
      </c>
      <c r="H1563" s="6"/>
      <c r="I1563" s="19"/>
      <c r="J1563" s="50"/>
      <c r="K1563" s="58"/>
      <c r="L1563" s="6" t="s">
        <v>655</v>
      </c>
      <c r="M1563" s="52" t="s">
        <v>655</v>
      </c>
      <c r="N1563" s="53" t="s">
        <v>655</v>
      </c>
      <c r="O1563" s="19"/>
      <c r="P1563" s="6"/>
      <c r="Q1563" s="6" t="str">
        <f t="shared" si="1"/>
        <v>#N/A</v>
      </c>
      <c r="R1563" s="6"/>
    </row>
    <row r="1564" hidden="1">
      <c r="A1564" s="31"/>
      <c r="B1564" s="14"/>
      <c r="C1564" s="14" t="str">
        <f>IFERROR(__xludf.DUMMYFUNCTION("""COMPUTED_VALUE"""),"ОКС")</f>
        <v>ОКС</v>
      </c>
      <c r="D1564" s="6" t="str">
        <f>IFERROR(__xludf.DUMMYFUNCTION("""COMPUTED_VALUE"""),"да")</f>
        <v>да</v>
      </c>
      <c r="E1564" s="14" t="str">
        <f>IFERROR(__xludf.DUMMYFUNCTION("""COMPUTED_VALUE"""),"Бизнес-центр,2-й Силикатный проезд, влд.13 ")</f>
        <v>Бизнес-центр,2-й Силикатный проезд, влд.13 </v>
      </c>
      <c r="F1564" s="25" t="str">
        <f>IFERROR(__xludf.DUMMYFUNCTION("""COMPUTED_VALUE"""),"#N/A")</f>
        <v>#N/A</v>
      </c>
      <c r="G1564" s="6" t="str">
        <f>IFERROR(__xludf.DUMMYFUNCTION("""COMPUTED_VALUE"""),"#N/A")</f>
        <v>#N/A</v>
      </c>
      <c r="H1564" s="6"/>
      <c r="I1564" s="19"/>
      <c r="J1564" s="50"/>
      <c r="K1564" s="58"/>
      <c r="L1564" s="6" t="s">
        <v>655</v>
      </c>
      <c r="M1564" s="52" t="s">
        <v>655</v>
      </c>
      <c r="N1564" s="53" t="s">
        <v>655</v>
      </c>
      <c r="O1564" s="19"/>
      <c r="P1564" s="6"/>
      <c r="Q1564" s="6" t="str">
        <f t="shared" si="1"/>
        <v>#N/A</v>
      </c>
      <c r="R1564" s="6"/>
    </row>
    <row r="1565" hidden="1">
      <c r="A1565" s="31"/>
      <c r="B1565" s="14"/>
      <c r="C1565" s="14" t="str">
        <f>IFERROR(__xludf.DUMMYFUNCTION("""COMPUTED_VALUE"""),"ОКС")</f>
        <v>ОКС</v>
      </c>
      <c r="D1565" s="6" t="str">
        <f>IFERROR(__xludf.DUMMYFUNCTION("""COMPUTED_VALUE"""),"да")</f>
        <v>да</v>
      </c>
      <c r="E1565" s="14" t="str">
        <f>IFERROR(__xludf.DUMMYFUNCTION("""COMPUTED_VALUE"""),"Гараж,2-я Лыковская ул., земельный участок 37 ")</f>
        <v>Гараж,2-я Лыковская ул., земельный участок 37 </v>
      </c>
      <c r="F1565" s="25" t="str">
        <f>IFERROR(__xludf.DUMMYFUNCTION("""COMPUTED_VALUE"""),"#N/A")</f>
        <v>#N/A</v>
      </c>
      <c r="G1565" s="6" t="str">
        <f>IFERROR(__xludf.DUMMYFUNCTION("""COMPUTED_VALUE"""),"#N/A")</f>
        <v>#N/A</v>
      </c>
      <c r="H1565" s="6"/>
      <c r="I1565" s="19"/>
      <c r="J1565" s="50"/>
      <c r="K1565" s="58"/>
      <c r="L1565" s="6" t="s">
        <v>655</v>
      </c>
      <c r="M1565" s="52" t="s">
        <v>655</v>
      </c>
      <c r="N1565" s="53" t="s">
        <v>655</v>
      </c>
      <c r="O1565" s="19"/>
      <c r="P1565" s="6"/>
      <c r="Q1565" s="6" t="str">
        <f t="shared" si="1"/>
        <v>#N/A</v>
      </c>
      <c r="R1565" s="6"/>
    </row>
    <row r="1566" hidden="1">
      <c r="A1566" s="31"/>
      <c r="B1566" s="14"/>
      <c r="C1566" s="14" t="str">
        <f>IFERROR(__xludf.DUMMYFUNCTION("""COMPUTED_VALUE"""),"ОКС")</f>
        <v>ОКС</v>
      </c>
      <c r="D1566" s="6"/>
      <c r="E1566" s="14" t="str">
        <f>IFERROR(__xludf.DUMMYFUNCTION("""COMPUTED_VALUE"""),"Нежилое,АДЦ ""Коммунарка"" (участок № 28) ")</f>
        <v>Нежилое,АДЦ "Коммунарка" (участок № 28) </v>
      </c>
      <c r="F1566" s="25" t="str">
        <f>IFERROR(__xludf.DUMMYFUNCTION("""COMPUTED_VALUE"""),"#N/A")</f>
        <v>#N/A</v>
      </c>
      <c r="G1566" s="6" t="str">
        <f>IFERROR(__xludf.DUMMYFUNCTION("""COMPUTED_VALUE"""),"#N/A")</f>
        <v>#N/A</v>
      </c>
      <c r="H1566" s="6"/>
      <c r="I1566" s="19"/>
      <c r="J1566" s="50"/>
      <c r="K1566" s="58"/>
      <c r="L1566" s="6" t="s">
        <v>655</v>
      </c>
      <c r="M1566" s="52" t="s">
        <v>655</v>
      </c>
      <c r="N1566" s="53" t="s">
        <v>655</v>
      </c>
      <c r="O1566" s="19"/>
      <c r="P1566" s="6"/>
      <c r="Q1566" s="6" t="str">
        <f t="shared" si="1"/>
        <v>#N/A</v>
      </c>
      <c r="R1566" s="6"/>
    </row>
    <row r="1567" hidden="1">
      <c r="A1567" s="31"/>
      <c r="B1567" s="14"/>
      <c r="C1567" s="14" t="str">
        <f>IFERROR(__xludf.DUMMYFUNCTION("""COMPUTED_VALUE"""),"ОКС")</f>
        <v>ОКС</v>
      </c>
      <c r="D1567" s="6" t="str">
        <f>IFERROR(__xludf.DUMMYFUNCTION("""COMPUTED_VALUE"""),"да")</f>
        <v>да</v>
      </c>
      <c r="E1567" s="14" t="str">
        <f>IFERROR(__xludf.DUMMYFUNCTION("""COMPUTED_VALUE"""),"Жилой дом с подземной автостоянкой,Соймоновский проезд, вл.3 ")</f>
        <v>Жилой дом с подземной автостоянкой,Соймоновский проезд, вл.3 </v>
      </c>
      <c r="F1567" s="25" t="str">
        <f>IFERROR(__xludf.DUMMYFUNCTION("""COMPUTED_VALUE"""),"#N/A")</f>
        <v>#N/A</v>
      </c>
      <c r="G1567" s="6" t="str">
        <f>IFERROR(__xludf.DUMMYFUNCTION("""COMPUTED_VALUE"""),"#N/A")</f>
        <v>#N/A</v>
      </c>
      <c r="H1567" s="6"/>
      <c r="I1567" s="19"/>
      <c r="J1567" s="50"/>
      <c r="K1567" s="58"/>
      <c r="L1567" s="6" t="s">
        <v>655</v>
      </c>
      <c r="M1567" s="52" t="s">
        <v>655</v>
      </c>
      <c r="N1567" s="53" t="s">
        <v>655</v>
      </c>
      <c r="O1567" s="19"/>
      <c r="P1567" s="6"/>
      <c r="Q1567" s="6" t="str">
        <f t="shared" si="1"/>
        <v>#N/A</v>
      </c>
      <c r="R1567" s="6"/>
    </row>
    <row r="1568" hidden="1">
      <c r="A1568" s="31"/>
      <c r="B1568" s="14"/>
      <c r="C1568" s="14" t="str">
        <f>IFERROR(__xludf.DUMMYFUNCTION("""COMPUTED_VALUE"""),"ОКС")</f>
        <v>ОКС</v>
      </c>
      <c r="D1568" s="6" t="str">
        <f>IFERROR(__xludf.DUMMYFUNCTION("""COMPUTED_VALUE"""),"да")</f>
        <v>да</v>
      </c>
      <c r="E1568" s="14" t="str">
        <f>IFERROR(__xludf.DUMMYFUNCTION("""COMPUTED_VALUE"""),"Многофункциональный комплекс,Березовая аллея ул., з/у 2А ")</f>
        <v>Многофункциональный комплекс,Березовая аллея ул., з/у 2А </v>
      </c>
      <c r="F1568" s="25" t="str">
        <f>IFERROR(__xludf.DUMMYFUNCTION("""COMPUTED_VALUE"""),"#N/A")</f>
        <v>#N/A</v>
      </c>
      <c r="G1568" s="6" t="str">
        <f>IFERROR(__xludf.DUMMYFUNCTION("""COMPUTED_VALUE"""),"#N/A")</f>
        <v>#N/A</v>
      </c>
      <c r="H1568" s="6"/>
      <c r="I1568" s="19"/>
      <c r="J1568" s="50"/>
      <c r="K1568" s="58"/>
      <c r="L1568" s="6" t="s">
        <v>655</v>
      </c>
      <c r="M1568" s="52" t="s">
        <v>655</v>
      </c>
      <c r="N1568" s="53" t="s">
        <v>655</v>
      </c>
      <c r="O1568" s="19"/>
      <c r="P1568" s="6"/>
      <c r="Q1568" s="6" t="str">
        <f t="shared" si="1"/>
        <v>#N/A</v>
      </c>
      <c r="R1568" s="6"/>
    </row>
    <row r="1569" hidden="1">
      <c r="A1569" s="31"/>
      <c r="B1569" s="14"/>
      <c r="C1569" s="14" t="str">
        <f>IFERROR(__xludf.DUMMYFUNCTION("""COMPUTED_VALUE"""),"ОКС")</f>
        <v>ОКС</v>
      </c>
      <c r="D1569" s="6" t="str">
        <f>IFERROR(__xludf.DUMMYFUNCTION("""COMPUTED_VALUE"""),"да")</f>
        <v>да</v>
      </c>
      <c r="E1569" s="14" t="str">
        <f>IFERROR(__xludf.DUMMYFUNCTION("""COMPUTED_VALUE"""),"Нежилое,вблизи с. Рождествено район Митино уч. 4 ")</f>
        <v>Нежилое,вблизи с. Рождествено район Митино уч. 4 </v>
      </c>
      <c r="F1569" s="25" t="str">
        <f>IFERROR(__xludf.DUMMYFUNCTION("""COMPUTED_VALUE"""),"#N/A")</f>
        <v>#N/A</v>
      </c>
      <c r="G1569" s="6" t="str">
        <f>IFERROR(__xludf.DUMMYFUNCTION("""COMPUTED_VALUE"""),"#N/A")</f>
        <v>#N/A</v>
      </c>
      <c r="H1569" s="6"/>
      <c r="I1569" s="19"/>
      <c r="J1569" s="50"/>
      <c r="K1569" s="58"/>
      <c r="L1569" s="6" t="s">
        <v>655</v>
      </c>
      <c r="M1569" s="52" t="s">
        <v>655</v>
      </c>
      <c r="N1569" s="53" t="s">
        <v>655</v>
      </c>
      <c r="O1569" s="19"/>
      <c r="P1569" s="6"/>
      <c r="Q1569" s="6" t="str">
        <f t="shared" si="1"/>
        <v>#N/A</v>
      </c>
      <c r="R1569" s="6"/>
    </row>
    <row r="1570" hidden="1">
      <c r="A1570" s="31"/>
      <c r="B1570" s="14"/>
      <c r="C1570" s="14" t="str">
        <f>IFERROR(__xludf.DUMMYFUNCTION("""COMPUTED_VALUE"""),"ОКС")</f>
        <v>ОКС</v>
      </c>
      <c r="D1570" s="6" t="str">
        <f>IFERROR(__xludf.DUMMYFUNCTION("""COMPUTED_VALUE"""),"да")</f>
        <v>да</v>
      </c>
      <c r="E1570" s="14" t="str">
        <f>IFERROR(__xludf.DUMMYFUNCTION("""COMPUTED_VALUE"""),"Нежилое,Водопроводный переулок, вл.1 ")</f>
        <v>Нежилое,Водопроводный переулок, вл.1 </v>
      </c>
      <c r="F1570" s="25" t="str">
        <f>IFERROR(__xludf.DUMMYFUNCTION("""COMPUTED_VALUE"""),"#N/A")</f>
        <v>#N/A</v>
      </c>
      <c r="G1570" s="6" t="str">
        <f>IFERROR(__xludf.DUMMYFUNCTION("""COMPUTED_VALUE"""),"#N/A")</f>
        <v>#N/A</v>
      </c>
      <c r="H1570" s="6"/>
      <c r="I1570" s="19"/>
      <c r="J1570" s="50"/>
      <c r="K1570" s="58"/>
      <c r="L1570" s="6" t="s">
        <v>655</v>
      </c>
      <c r="M1570" s="52" t="s">
        <v>655</v>
      </c>
      <c r="N1570" s="53" t="s">
        <v>655</v>
      </c>
      <c r="O1570" s="19"/>
      <c r="P1570" s="6"/>
      <c r="Q1570" s="6" t="str">
        <f t="shared" si="1"/>
        <v>#N/A</v>
      </c>
      <c r="R1570" s="6"/>
    </row>
    <row r="1571" hidden="1">
      <c r="A1571" s="31"/>
      <c r="B1571" s="14"/>
      <c r="C1571" s="14" t="str">
        <f>IFERROR(__xludf.DUMMYFUNCTION("""COMPUTED_VALUE"""),"ОКС")</f>
        <v>ОКС</v>
      </c>
      <c r="D1571" s="6" t="str">
        <f>IFERROR(__xludf.DUMMYFUNCTION("""COMPUTED_VALUE"""),"да")</f>
        <v>да</v>
      </c>
      <c r="E1571" s="14" t="str">
        <f>IFERROR(__xludf.DUMMYFUNCTION("""COMPUTED_VALUE"""),"Дворец спорта ""Спартак Москва"",Волоколамское ш., земельный участок 69 ")</f>
        <v>Дворец спорта "Спартак Москва",Волоколамское ш., земельный участок 69 </v>
      </c>
      <c r="F1571" s="25" t="str">
        <f>IFERROR(__xludf.DUMMYFUNCTION("""COMPUTED_VALUE"""),"#N/A")</f>
        <v>#N/A</v>
      </c>
      <c r="G1571" s="6" t="str">
        <f>IFERROR(__xludf.DUMMYFUNCTION("""COMPUTED_VALUE"""),"#N/A")</f>
        <v>#N/A</v>
      </c>
      <c r="H1571" s="6"/>
      <c r="I1571" s="19"/>
      <c r="J1571" s="50"/>
      <c r="K1571" s="58"/>
      <c r="L1571" s="6" t="s">
        <v>655</v>
      </c>
      <c r="M1571" s="52" t="s">
        <v>655</v>
      </c>
      <c r="N1571" s="53" t="s">
        <v>655</v>
      </c>
      <c r="O1571" s="19"/>
      <c r="P1571" s="6"/>
      <c r="Q1571" s="6" t="str">
        <f t="shared" si="1"/>
        <v>#N/A</v>
      </c>
      <c r="R1571" s="6"/>
    </row>
    <row r="1572" hidden="1">
      <c r="A1572" s="31"/>
      <c r="B1572" s="14"/>
      <c r="C1572" s="14" t="str">
        <f>IFERROR(__xludf.DUMMYFUNCTION("""COMPUTED_VALUE"""),"ОКС")</f>
        <v>ОКС</v>
      </c>
      <c r="D1572" s="6" t="str">
        <f>IFERROR(__xludf.DUMMYFUNCTION("""COMPUTED_VALUE"""),"да")</f>
        <v>да</v>
      </c>
      <c r="E1572" s="14" t="str">
        <f>IFERROR(__xludf.DUMMYFUNCTION("""COMPUTED_VALUE"""),"Религиозный объект,пр-кт Мичуринский, напротив влд. 15 ")</f>
        <v>Религиозный объект,пр-кт Мичуринский, напротив влд. 15 </v>
      </c>
      <c r="F1572" s="25" t="str">
        <f>IFERROR(__xludf.DUMMYFUNCTION("""COMPUTED_VALUE"""),"#N/A")</f>
        <v>#N/A</v>
      </c>
      <c r="G1572" s="6" t="str">
        <f>IFERROR(__xludf.DUMMYFUNCTION("""COMPUTED_VALUE"""),"#N/A")</f>
        <v>#N/A</v>
      </c>
      <c r="H1572" s="6"/>
      <c r="I1572" s="19"/>
      <c r="J1572" s="50"/>
      <c r="K1572" s="58"/>
      <c r="L1572" s="6" t="s">
        <v>655</v>
      </c>
      <c r="M1572" s="52" t="s">
        <v>655</v>
      </c>
      <c r="N1572" s="53" t="s">
        <v>655</v>
      </c>
      <c r="O1572" s="19"/>
      <c r="P1572" s="6"/>
      <c r="Q1572" s="6" t="str">
        <f t="shared" si="1"/>
        <v>#N/A</v>
      </c>
      <c r="R1572" s="6"/>
    </row>
    <row r="1573" hidden="1">
      <c r="A1573" s="31"/>
      <c r="B1573" s="14"/>
      <c r="C1573" s="14" t="str">
        <f>IFERROR(__xludf.DUMMYFUNCTION("""COMPUTED_VALUE"""),"ОКС")</f>
        <v>ОКС</v>
      </c>
      <c r="D1573" s="6" t="str">
        <f>IFERROR(__xludf.DUMMYFUNCTION("""COMPUTED_VALUE"""),"да")</f>
        <v>да</v>
      </c>
      <c r="E1573" s="14" t="str">
        <f>IFERROR(__xludf.DUMMYFUNCTION("""COMPUTED_VALUE"""),"Жилой дом,Газгольдерная ул., влд. 10А/4, 10А/9, Рязанский просп., влд. 4А ")</f>
        <v>Жилой дом,Газгольдерная ул., влд. 10А/4, 10А/9, Рязанский просп., влд. 4А </v>
      </c>
      <c r="F1573" s="25" t="str">
        <f>IFERROR(__xludf.DUMMYFUNCTION("""COMPUTED_VALUE"""),"#N/A")</f>
        <v>#N/A</v>
      </c>
      <c r="G1573" s="6" t="str">
        <f>IFERROR(__xludf.DUMMYFUNCTION("""COMPUTED_VALUE"""),"#N/A")</f>
        <v>#N/A</v>
      </c>
      <c r="H1573" s="6"/>
      <c r="I1573" s="19"/>
      <c r="J1573" s="50"/>
      <c r="K1573" s="58"/>
      <c r="L1573" s="6" t="s">
        <v>655</v>
      </c>
      <c r="M1573" s="52" t="s">
        <v>655</v>
      </c>
      <c r="N1573" s="53" t="s">
        <v>655</v>
      </c>
      <c r="O1573" s="19"/>
      <c r="P1573" s="6"/>
      <c r="Q1573" s="6" t="str">
        <f t="shared" si="1"/>
        <v>#N/A</v>
      </c>
      <c r="R1573" s="6"/>
    </row>
    <row r="1574" hidden="1">
      <c r="A1574" s="31"/>
      <c r="B1574" s="14"/>
      <c r="C1574" s="14" t="str">
        <f>IFERROR(__xludf.DUMMYFUNCTION("""COMPUTED_VALUE"""),"ОКС")</f>
        <v>ОКС</v>
      </c>
      <c r="D1574" s="6" t="str">
        <f>IFERROR(__xludf.DUMMYFUNCTION("""COMPUTED_VALUE"""),"да")</f>
        <v>да</v>
      </c>
      <c r="E1574" s="14" t="str">
        <f>IFERROR(__xludf.DUMMYFUNCTION("""COMPUTED_VALUE"""),"Жилой дом ")</f>
        <v>Жилой дом </v>
      </c>
      <c r="F1574" s="25" t="str">
        <f>IFERROR(__xludf.DUMMYFUNCTION("""COMPUTED_VALUE"""),"#N/A")</f>
        <v>#N/A</v>
      </c>
      <c r="G1574" s="6" t="str">
        <f>IFERROR(__xludf.DUMMYFUNCTION("""COMPUTED_VALUE"""),"#N/A")</f>
        <v>#N/A</v>
      </c>
      <c r="H1574" s="6"/>
      <c r="I1574" s="19"/>
      <c r="J1574" s="50"/>
      <c r="K1574" s="58"/>
      <c r="L1574" s="6" t="s">
        <v>655</v>
      </c>
      <c r="M1574" s="52" t="s">
        <v>655</v>
      </c>
      <c r="N1574" s="53" t="s">
        <v>655</v>
      </c>
      <c r="O1574" s="19"/>
      <c r="P1574" s="6"/>
      <c r="Q1574" s="6" t="str">
        <f t="shared" si="1"/>
        <v>#N/A</v>
      </c>
      <c r="R1574" s="6"/>
    </row>
    <row r="1575" hidden="1">
      <c r="A1575" s="31"/>
      <c r="B1575" s="14"/>
      <c r="C1575" s="14" t="str">
        <f>IFERROR(__xludf.DUMMYFUNCTION("""COMPUTED_VALUE"""),"ОКС")</f>
        <v>ОКС</v>
      </c>
      <c r="D1575" s="6" t="str">
        <f>IFERROR(__xludf.DUMMYFUNCTION("""COMPUTED_VALUE"""),"да")</f>
        <v>да</v>
      </c>
      <c r="E1575" s="14" t="str">
        <f>IFERROR(__xludf.DUMMYFUNCTION("""COMPUTED_VALUE"""),"Многофункциональный центр,Генерала Тюленева ул., влд. 4А, стр. 1 ")</f>
        <v>Многофункциональный центр,Генерала Тюленева ул., влд. 4А, стр. 1 </v>
      </c>
      <c r="F1575" s="25" t="str">
        <f>IFERROR(__xludf.DUMMYFUNCTION("""COMPUTED_VALUE"""),"#N/A")</f>
        <v>#N/A</v>
      </c>
      <c r="G1575" s="6" t="str">
        <f>IFERROR(__xludf.DUMMYFUNCTION("""COMPUTED_VALUE"""),"#N/A")</f>
        <v>#N/A</v>
      </c>
      <c r="H1575" s="6"/>
      <c r="I1575" s="19"/>
      <c r="J1575" s="50"/>
      <c r="K1575" s="58"/>
      <c r="L1575" s="6" t="s">
        <v>655</v>
      </c>
      <c r="M1575" s="52" t="s">
        <v>655</v>
      </c>
      <c r="N1575" s="53" t="s">
        <v>655</v>
      </c>
      <c r="O1575" s="19"/>
      <c r="P1575" s="6"/>
      <c r="Q1575" s="6" t="str">
        <f t="shared" si="1"/>
        <v>#N/A</v>
      </c>
      <c r="R1575" s="6"/>
    </row>
    <row r="1576" hidden="1">
      <c r="A1576" s="31"/>
      <c r="B1576" s="14"/>
      <c r="C1576" s="14" t="str">
        <f>IFERROR(__xludf.DUMMYFUNCTION("""COMPUTED_VALUE"""),"ОКС")</f>
        <v>ОКС</v>
      </c>
      <c r="D1576" s="6" t="str">
        <f>IFERROR(__xludf.DUMMYFUNCTION("""COMPUTED_VALUE"""),"да")</f>
        <v>да</v>
      </c>
      <c r="E1576" s="14" t="str">
        <f>IFERROR(__xludf.DUMMYFUNCTION("""COMPUTED_VALUE"""),"Общественное здание,д. Десна, Центральная ул., влд.146А ")</f>
        <v>Общественное здание,д. Десна, Центральная ул., влд.146А </v>
      </c>
      <c r="F1576" s="25" t="str">
        <f>IFERROR(__xludf.DUMMYFUNCTION("""COMPUTED_VALUE"""),"#N/A")</f>
        <v>#N/A</v>
      </c>
      <c r="G1576" s="6" t="str">
        <f>IFERROR(__xludf.DUMMYFUNCTION("""COMPUTED_VALUE"""),"#N/A")</f>
        <v>#N/A</v>
      </c>
      <c r="H1576" s="6"/>
      <c r="I1576" s="19"/>
      <c r="J1576" s="50"/>
      <c r="K1576" s="58"/>
      <c r="L1576" s="6" t="s">
        <v>655</v>
      </c>
      <c r="M1576" s="52" t="s">
        <v>655</v>
      </c>
      <c r="N1576" s="53" t="s">
        <v>655</v>
      </c>
      <c r="O1576" s="19"/>
      <c r="P1576" s="6"/>
      <c r="Q1576" s="6" t="str">
        <f t="shared" si="1"/>
        <v>#N/A</v>
      </c>
      <c r="R1576" s="6"/>
    </row>
    <row r="1577" hidden="1">
      <c r="A1577" s="31"/>
      <c r="B1577" s="14"/>
      <c r="C1577" s="14" t="str">
        <f>IFERROR(__xludf.DUMMYFUNCTION("""COMPUTED_VALUE"""),"ОКС")</f>
        <v>ОКС</v>
      </c>
      <c r="D1577" s="6" t="str">
        <f>IFERROR(__xludf.DUMMYFUNCTION("""COMPUTED_VALUE"""),"да")</f>
        <v>да</v>
      </c>
      <c r="E1577" s="14" t="str">
        <f>IFERROR(__xludf.DUMMYFUNCTION("""COMPUTED_VALUE"""),"Жилой дом ")</f>
        <v>Жилой дом </v>
      </c>
      <c r="F1577" s="25" t="str">
        <f>IFERROR(__xludf.DUMMYFUNCTION("""COMPUTED_VALUE"""),"#N/A")</f>
        <v>#N/A</v>
      </c>
      <c r="G1577" s="6" t="str">
        <f>IFERROR(__xludf.DUMMYFUNCTION("""COMPUTED_VALUE"""),"#N/A")</f>
        <v>#N/A</v>
      </c>
      <c r="H1577" s="6"/>
      <c r="I1577" s="19"/>
      <c r="J1577" s="50"/>
      <c r="K1577" s="58"/>
      <c r="L1577" s="6" t="s">
        <v>655</v>
      </c>
      <c r="M1577" s="52" t="s">
        <v>655</v>
      </c>
      <c r="N1577" s="53" t="s">
        <v>655</v>
      </c>
      <c r="O1577" s="19"/>
      <c r="P1577" s="6"/>
      <c r="Q1577" s="6" t="str">
        <f t="shared" si="1"/>
        <v>#N/A</v>
      </c>
      <c r="R1577" s="6"/>
    </row>
    <row r="1578" hidden="1">
      <c r="A1578" s="31"/>
      <c r="B1578" s="14"/>
      <c r="C1578" s="14" t="str">
        <f>IFERROR(__xludf.DUMMYFUNCTION("""COMPUTED_VALUE"""),"ОКС")</f>
        <v>ОКС</v>
      </c>
      <c r="D1578" s="6" t="str">
        <f>IFERROR(__xludf.DUMMYFUNCTION("""COMPUTED_VALUE"""),"да")</f>
        <v>да</v>
      </c>
      <c r="E1578" s="14" t="str">
        <f>IFERROR(__xludf.DUMMYFUNCTION("""COMPUTED_VALUE"""),"Магазин,д. Десна, Центральная ул., земельный участок 1Б ")</f>
        <v>Магазин,д. Десна, Центральная ул., земельный участок 1Б </v>
      </c>
      <c r="F1578" s="25" t="str">
        <f>IFERROR(__xludf.DUMMYFUNCTION("""COMPUTED_VALUE"""),"#N/A")</f>
        <v>#N/A</v>
      </c>
      <c r="G1578" s="6" t="str">
        <f>IFERROR(__xludf.DUMMYFUNCTION("""COMPUTED_VALUE"""),"#N/A")</f>
        <v>#N/A</v>
      </c>
      <c r="H1578" s="6"/>
      <c r="I1578" s="19"/>
      <c r="J1578" s="50"/>
      <c r="K1578" s="58"/>
      <c r="L1578" s="6" t="s">
        <v>655</v>
      </c>
      <c r="M1578" s="52" t="s">
        <v>655</v>
      </c>
      <c r="N1578" s="53" t="s">
        <v>655</v>
      </c>
      <c r="O1578" s="19"/>
      <c r="P1578" s="6"/>
      <c r="Q1578" s="6" t="str">
        <f t="shared" si="1"/>
        <v>#N/A</v>
      </c>
      <c r="R1578" s="6"/>
    </row>
    <row r="1579" hidden="1">
      <c r="A1579" s="31"/>
      <c r="B1579" s="14"/>
      <c r="C1579" s="14" t="str">
        <f>IFERROR(__xludf.DUMMYFUNCTION("""COMPUTED_VALUE"""),"ОКС")</f>
        <v>ОКС</v>
      </c>
      <c r="D1579" s="6" t="str">
        <f>IFERROR(__xludf.DUMMYFUNCTION("""COMPUTED_VALUE"""),"да")</f>
        <v>да</v>
      </c>
      <c r="E1579" s="14" t="str">
        <f>IFERROR(__xludf.DUMMYFUNCTION("""COMPUTED_VALUE"""),"Общественная застройка,Демьяна Бедного ул., вл. 24, стр. 2 ")</f>
        <v>Общественная застройка,Демьяна Бедного ул., вл. 24, стр. 2 </v>
      </c>
      <c r="F1579" s="25" t="str">
        <f>IFERROR(__xludf.DUMMYFUNCTION("""COMPUTED_VALUE"""),"#N/A")</f>
        <v>#N/A</v>
      </c>
      <c r="G1579" s="6" t="str">
        <f>IFERROR(__xludf.DUMMYFUNCTION("""COMPUTED_VALUE"""),"#N/A")</f>
        <v>#N/A</v>
      </c>
      <c r="H1579" s="6"/>
      <c r="I1579" s="19"/>
      <c r="J1579" s="50"/>
      <c r="K1579" s="58"/>
      <c r="L1579" s="6" t="s">
        <v>655</v>
      </c>
      <c r="M1579" s="52" t="s">
        <v>655</v>
      </c>
      <c r="N1579" s="53" t="s">
        <v>655</v>
      </c>
      <c r="O1579" s="19"/>
      <c r="P1579" s="6"/>
      <c r="Q1579" s="6" t="str">
        <f t="shared" si="1"/>
        <v>#N/A</v>
      </c>
      <c r="R1579" s="6"/>
    </row>
    <row r="1580" hidden="1">
      <c r="A1580" s="31"/>
      <c r="B1580" s="14"/>
      <c r="C1580" s="14" t="str">
        <f>IFERROR(__xludf.DUMMYFUNCTION("""COMPUTED_VALUE"""),"ОКС")</f>
        <v>ОКС</v>
      </c>
      <c r="D1580" s="6" t="str">
        <f>IFERROR(__xludf.DUMMYFUNCTION("""COMPUTED_VALUE"""),"да")</f>
        <v>да</v>
      </c>
      <c r="E1580" s="14" t="str">
        <f>IFERROR(__xludf.DUMMYFUNCTION("""COMPUTED_VALUE"""),"Многофункциональный деловой комплекс,Миклухо-Маклая ул. вл. 16/10 ")</f>
        <v>Многофункциональный деловой комплекс,Миклухо-Маклая ул. вл. 16/10 </v>
      </c>
      <c r="F1580" s="25" t="str">
        <f>IFERROR(__xludf.DUMMYFUNCTION("""COMPUTED_VALUE"""),"#N/A")</f>
        <v>#N/A</v>
      </c>
      <c r="G1580" s="6" t="str">
        <f>IFERROR(__xludf.DUMMYFUNCTION("""COMPUTED_VALUE"""),"#N/A")</f>
        <v>#N/A</v>
      </c>
      <c r="H1580" s="6"/>
      <c r="I1580" s="19"/>
      <c r="J1580" s="50"/>
      <c r="K1580" s="58"/>
      <c r="L1580" s="6" t="s">
        <v>655</v>
      </c>
      <c r="M1580" s="52" t="s">
        <v>655</v>
      </c>
      <c r="N1580" s="53" t="s">
        <v>655</v>
      </c>
      <c r="O1580" s="19"/>
      <c r="P1580" s="6"/>
      <c r="Q1580" s="6" t="str">
        <f t="shared" si="1"/>
        <v>#N/A</v>
      </c>
      <c r="R1580" s="6"/>
    </row>
    <row r="1581" hidden="1">
      <c r="A1581" s="31"/>
      <c r="B1581" s="14"/>
      <c r="C1581" s="14" t="str">
        <f>IFERROR(__xludf.DUMMYFUNCTION("""COMPUTED_VALUE"""),"ОКС")</f>
        <v>ОКС</v>
      </c>
      <c r="D1581" s="6" t="str">
        <f>IFERROR(__xludf.DUMMYFUNCTION("""COMPUTED_VALUE"""),"да")</f>
        <v>да</v>
      </c>
      <c r="E1581" s="14" t="str">
        <f>IFERROR(__xludf.DUMMYFUNCTION("""COMPUTED_VALUE"""),"Промышленное,Дмитровское шоссе, вл. 7 (напротив) взамен земельного участка Дмитровское ш., напротив вл. 21 ")</f>
        <v>Промышленное,Дмитровское шоссе, вл. 7 (напротив) взамен земельного участка Дмитровское ш., напротив вл. 21 </v>
      </c>
      <c r="F1581" s="25" t="str">
        <f>IFERROR(__xludf.DUMMYFUNCTION("""COMPUTED_VALUE"""),"#N/A")</f>
        <v>#N/A</v>
      </c>
      <c r="G1581" s="6" t="str">
        <f>IFERROR(__xludf.DUMMYFUNCTION("""COMPUTED_VALUE"""),"#N/A")</f>
        <v>#N/A</v>
      </c>
      <c r="H1581" s="6"/>
      <c r="I1581" s="19"/>
      <c r="J1581" s="50"/>
      <c r="K1581" s="58"/>
      <c r="L1581" s="6" t="s">
        <v>655</v>
      </c>
      <c r="M1581" s="52" t="s">
        <v>655</v>
      </c>
      <c r="N1581" s="53" t="s">
        <v>655</v>
      </c>
      <c r="O1581" s="19"/>
      <c r="P1581" s="6"/>
      <c r="Q1581" s="6" t="str">
        <f t="shared" si="1"/>
        <v>#N/A</v>
      </c>
      <c r="R1581" s="6"/>
    </row>
    <row r="1582" hidden="1">
      <c r="A1582" s="31"/>
      <c r="B1582" s="14"/>
      <c r="C1582" s="14" t="str">
        <f>IFERROR(__xludf.DUMMYFUNCTION("""COMPUTED_VALUE"""),"ОКС")</f>
        <v>ОКС</v>
      </c>
      <c r="D1582" s="6"/>
      <c r="E1582" s="14" t="str">
        <f>IFERROR(__xludf.DUMMYFUNCTION("""COMPUTED_VALUE"""),"Общественная застройка,Дурова ул. влд. 3 (ТПУ ""Суворовская"") ")</f>
        <v>Общественная застройка,Дурова ул. влд. 3 (ТПУ "Суворовская") </v>
      </c>
      <c r="F1582" s="25" t="str">
        <f>IFERROR(__xludf.DUMMYFUNCTION("""COMPUTED_VALUE"""),"#N/A")</f>
        <v>#N/A</v>
      </c>
      <c r="G1582" s="6" t="str">
        <f>IFERROR(__xludf.DUMMYFUNCTION("""COMPUTED_VALUE"""),"#N/A")</f>
        <v>#N/A</v>
      </c>
      <c r="H1582" s="6"/>
      <c r="I1582" s="19"/>
      <c r="J1582" s="50"/>
      <c r="K1582" s="58"/>
      <c r="L1582" s="6" t="s">
        <v>655</v>
      </c>
      <c r="M1582" s="52" t="s">
        <v>655</v>
      </c>
      <c r="N1582" s="53" t="s">
        <v>655</v>
      </c>
      <c r="O1582" s="19"/>
      <c r="P1582" s="6"/>
      <c r="Q1582" s="6" t="str">
        <f t="shared" si="1"/>
        <v>#N/A</v>
      </c>
      <c r="R1582" s="6"/>
    </row>
    <row r="1583" hidden="1">
      <c r="A1583" s="31" t="str">
        <f>IFERROR(__xludf.DUMMYFUNCTION("""COMPUTED_VALUE"""),"нд")</f>
        <v>нд</v>
      </c>
      <c r="B1583" s="14" t="str">
        <f>IFERROR(__xludf.DUMMYFUNCTION("""COMPUTED_VALUE"""),"Вне списка")</f>
        <v>Вне списка</v>
      </c>
      <c r="C1583" s="14" t="str">
        <f>IFERROR(__xludf.DUMMYFUNCTION("""COMPUTED_VALUE"""),"ОКС")</f>
        <v>ОКС</v>
      </c>
      <c r="D1583" s="6"/>
      <c r="E1583" s="14" t="str">
        <f>IFERROR(__xludf.DUMMYFUNCTION("""COMPUTED_VALUE"""),"Здание образовательной организации на 1350 мест (1000 школьных и 350 дошкольных), р-н Северный, Дмитровское ш., влд. 122Д р-н Северный, Дмитровское ш., влд. 122Д")</f>
        <v>Здание образовательной организации на 1350 мест (1000 школьных и 350 дошкольных), р-н Северный, Дмитровское ш., влд. 122Д р-н Северный, Дмитровское ш., влд. 122Д</v>
      </c>
      <c r="F1583" s="25" t="str">
        <f>IFERROR(__xludf.DUMMYFUNCTION("""COMPUTED_VALUE"""),"#N/A")</f>
        <v>#N/A</v>
      </c>
      <c r="G1583" s="6" t="str">
        <f>IFERROR(__xludf.DUMMYFUNCTION("""COMPUTED_VALUE"""),"#N/A")</f>
        <v>#N/A</v>
      </c>
      <c r="H1583" s="6"/>
      <c r="I1583" s="19"/>
      <c r="J1583" s="50"/>
      <c r="K1583" s="58"/>
      <c r="L1583" s="6">
        <v>30.0</v>
      </c>
      <c r="M1583" s="52" t="s">
        <v>655</v>
      </c>
      <c r="N1583" s="53" t="s">
        <v>698</v>
      </c>
      <c r="O1583" s="19" t="s">
        <v>1434</v>
      </c>
      <c r="P1583" s="6"/>
      <c r="Q1583" s="6" t="str">
        <f t="shared" si="1"/>
        <v>#N/A</v>
      </c>
      <c r="R1583" s="6"/>
    </row>
    <row r="1584" hidden="1">
      <c r="A1584" s="31" t="str">
        <f>IFERROR(__xludf.DUMMYFUNCTION("""COMPUTED_VALUE"""),"474д")</f>
        <v>474д</v>
      </c>
      <c r="B1584" s="14" t="str">
        <f>IFERROR(__xludf.DUMMYFUNCTION("""COMPUTED_VALUE"""),"ДСТИ")</f>
        <v>ДСТИ</v>
      </c>
      <c r="C1584" s="14" t="str">
        <f>IFERROR(__xludf.DUMMYFUNCTION("""COMPUTED_VALUE"""),"УДС")</f>
        <v>УДС</v>
      </c>
      <c r="D1584" s="6"/>
      <c r="E1584" s="14" t="str">
        <f>IFERROR(__xludf.DUMMYFUNCTION("""COMPUTED_VALUE"""),"Строительство эстакад основного хода, многоуровневых транспортных развязок в районе ст. м. ""Владыкино"", ст. м. ""Ботанический сад"", эстакад-съездов Ярославского шоссе, мостов через р. Яуза, р. Лихоборка, переустройство инженерных сетей и коммуникаций, "&amp;"с реконструкцией/строительством улично-дорожной сети на участке от Ярославского до Дмитровского шоссе в рамках строительства Северо-Восточной хорды. Этап 4. Переустройство сетей ОАО ""РЖД"", по адресу Москва, районы Бескудниковский, Головинский, Западное "&amp;"Дегунино, Тимирязевский, Северный административный округ города Москвы, районы Марфино, Останкинский, Отрадное, Свиблово, Ярославский, Северо-Восточный административный округ города Москвы ")</f>
        <v>Строительство эстакад основного хода, многоуровневых транспортных развязок в районе ст. м. "Владыкино", ст. м. "Ботанический сад", эстакад-съездов Ярославского шоссе, мостов через р. Яуза, р. Лихоборка, переустройство инженерных сетей и коммуникаций, с реконструкцией/строительством улично-дорожной сети на участке от Ярославского до Дмитровского шоссе в рамках строительства Северо-Восточной хорды. Этап 4. Переустройство сетей ОАО "РЖД", по адресу Москва, районы Бескудниковский, Головинский, Западное Дегунино, Тимирязевский, Северный административный округ города Москвы, районы Марфино, Останкинский, Отрадное, Свиблово, Ярославский, Северо-Восточный административный округ города Москвы </v>
      </c>
      <c r="F1584" s="25" t="str">
        <f>IFERROR(__xludf.DUMMYFUNCTION("""COMPUTED_VALUE"""),"#N/A")</f>
        <v>#N/A</v>
      </c>
      <c r="G1584" s="6" t="str">
        <f>IFERROR(__xludf.DUMMYFUNCTION("""COMPUTED_VALUE"""),"#N/A")</f>
        <v>#N/A</v>
      </c>
      <c r="H1584" s="6"/>
      <c r="I1584" s="19"/>
      <c r="J1584" s="50"/>
      <c r="K1584" s="58">
        <f>IFERROR(__xludf.DUMMYFUNCTION("""COMPUTED_VALUE"""),45944.0)</f>
        <v>45944</v>
      </c>
      <c r="L1584" s="6">
        <v>30.0</v>
      </c>
      <c r="M1584" s="52">
        <v>45974.0</v>
      </c>
      <c r="N1584" s="53" t="s">
        <v>668</v>
      </c>
      <c r="O1584" s="19"/>
      <c r="P1584" s="6"/>
      <c r="Q1584" s="6" t="str">
        <f t="shared" si="1"/>
        <v>#N/A</v>
      </c>
      <c r="R1584" s="6"/>
    </row>
    <row r="1585" hidden="1">
      <c r="A1585" s="31" t="str">
        <f>IFERROR(__xludf.DUMMYFUNCTION("""COMPUTED_VALUE"""),"1330")</f>
        <v>1330</v>
      </c>
      <c r="B1585" s="14" t="str">
        <f>IFERROR(__xludf.DUMMYFUNCTION("""COMPUTED_VALUE"""),"МЕТРО")</f>
        <v>МЕТРО</v>
      </c>
      <c r="C1585" s="14" t="str">
        <f>IFERROR(__xludf.DUMMYFUNCTION("""COMPUTED_VALUE"""),"УДС")</f>
        <v>УДС</v>
      </c>
      <c r="D1585" s="6"/>
      <c r="E1585" s="14" t="str">
        <f>IFERROR(__xludf.DUMMYFUNCTION("""COMPUTED_VALUE"""),"Технологическая часть ТПУ на станции метро ""Шелепиха"". 1.3.2 этап ""Технологическая часть транспортно-пересадочного узла ""Шелепиха"". Строительство улично-дорожной сети. Съезд на Шмитовский проезд"". Этап 1.3.2.1 ""Технологическая часть транспортно-пер"&amp;"есадочного узла ""Шелепиха"". Строительство улично-дорожной сети. Съезд на Шмитовский проезд"" г. Москва, ЦАО, Пресненский (ЦАО, Пресненский) ")</f>
        <v>Технологическая часть ТПУ на станции метро "Шелепиха". 1.3.2 этап "Технологическая часть транспортно-пересадочного узла "Шелепиха". Строительство улично-дорожной сети. Съезд на Шмитовский проезд". Этап 1.3.2.1 "Технологическая часть транспортно-пересадочного узла "Шелепиха". Строительство улично-дорожной сети. Съезд на Шмитовский проезд" г. Москва, ЦАО, Пресненский (ЦАО, Пресненский) </v>
      </c>
      <c r="F1585" s="25" t="str">
        <f>IFERROR(__xludf.DUMMYFUNCTION("""COMPUTED_VALUE"""),"#N/A")</f>
        <v>#N/A</v>
      </c>
      <c r="G1585" s="6" t="str">
        <f>IFERROR(__xludf.DUMMYFUNCTION("""COMPUTED_VALUE"""),"#N/A")</f>
        <v>#N/A</v>
      </c>
      <c r="H1585" s="18" t="str">
        <f>IFERROR(__xludf.DUMMYFUNCTION("""COMPUTED_VALUE"""),"https://docs.google.com/spreadsheets/d/1jonEGMB3UFHiUZpltF1zURon8gYN7jGSHu-k9t5TXnA/edit?gid=804949431#gid=804949431")</f>
        <v>https://docs.google.com/spreadsheets/d/1jonEGMB3UFHiUZpltF1zURon8gYN7jGSHu-k9t5TXnA/edit?gid=804949431#gid=804949431</v>
      </c>
      <c r="I1585" s="6"/>
      <c r="J1585" s="50"/>
      <c r="K1585" s="58">
        <f>IFERROR(__xludf.DUMMYFUNCTION("""COMPUTED_VALUE"""),45944.0)</f>
        <v>45944</v>
      </c>
      <c r="L1585" s="6">
        <v>30.0</v>
      </c>
      <c r="M1585" s="52">
        <v>45974.0</v>
      </c>
      <c r="N1585" s="53" t="s">
        <v>668</v>
      </c>
      <c r="O1585" s="6" t="s">
        <v>1435</v>
      </c>
      <c r="P1585" s="6"/>
      <c r="Q1585" s="6" t="str">
        <f t="shared" si="1"/>
        <v>#N/A</v>
      </c>
      <c r="R1585" s="6"/>
    </row>
    <row r="1586" hidden="1">
      <c r="A1586" s="31" t="str">
        <f>IFERROR(__xludf.DUMMYFUNCTION("""COMPUTED_VALUE"""),"1331")</f>
        <v>1331</v>
      </c>
      <c r="B1586" s="14" t="str">
        <f>IFERROR(__xludf.DUMMYFUNCTION("""COMPUTED_VALUE"""),"МЕТРО")</f>
        <v>МЕТРО</v>
      </c>
      <c r="C1586" s="14" t="str">
        <f>IFERROR(__xludf.DUMMYFUNCTION("""COMPUTED_VALUE"""),"УДС")</f>
        <v>УДС</v>
      </c>
      <c r="D1586" s="6"/>
      <c r="E1586" s="14" t="str">
        <f>IFERROR(__xludf.DUMMYFUNCTION("""COMPUTED_VALUE"""),"«Технологическая часть ТПУ на станции метро «Текстильщики» Этап 5. «Строительство здания Управления внутренних дел на Московском метрополитене и устройство наземной парковки» по адресу: Москва, район Печатники Юго-Восточного административного округа город"&amp;"а Москвы Южнопортовый (ЮВАО), адресный ориентир: Волгоградский проспект, д. 42, к. 2.")</f>
        <v>«Технологическая часть ТПУ на станции метро «Текстильщики» Этап 5. «Строительство здания Управления внутренних дел на Московском метрополитене и устройство наземной парковки» по адресу: Москва, район Печатники Юго-Восточного административного округа города Москвы Южнопортовый (ЮВАО), адресный ориентир: Волгоградский проспект, д. 42, к. 2.</v>
      </c>
      <c r="F1586" s="25" t="str">
        <f>IFERROR(__xludf.DUMMYFUNCTION("""COMPUTED_VALUE"""),"#N/A")</f>
        <v>#N/A</v>
      </c>
      <c r="G1586" s="6" t="str">
        <f>IFERROR(__xludf.DUMMYFUNCTION("""COMPUTED_VALUE"""),"#N/A")</f>
        <v>#N/A</v>
      </c>
      <c r="H1586" s="18" t="str">
        <f>IFERROR(__xludf.DUMMYFUNCTION("""COMPUTED_VALUE"""),"https://docs.google.com/spreadsheets/d/1jonEGMB3UFHiUZpltF1zURon8gYN7jGSHu-k9t5TXnA/edit?gid=1604017750#gid=1604017750")</f>
        <v>https://docs.google.com/spreadsheets/d/1jonEGMB3UFHiUZpltF1zURon8gYN7jGSHu-k9t5TXnA/edit?gid=1604017750#gid=1604017750</v>
      </c>
      <c r="I1586" s="6"/>
      <c r="J1586" s="50"/>
      <c r="K1586" s="58">
        <f>IFERROR(__xludf.DUMMYFUNCTION("""COMPUTED_VALUE"""),45944.0)</f>
        <v>45944</v>
      </c>
      <c r="L1586" s="6">
        <v>30.0</v>
      </c>
      <c r="M1586" s="52">
        <v>45974.0</v>
      </c>
      <c r="N1586" s="53" t="s">
        <v>668</v>
      </c>
      <c r="O1586" s="6" t="s">
        <v>669</v>
      </c>
      <c r="P1586" s="6"/>
      <c r="Q1586" s="6" t="str">
        <f t="shared" si="1"/>
        <v>#N/A</v>
      </c>
      <c r="R1586" s="6"/>
    </row>
    <row r="1587" hidden="1">
      <c r="A1587" s="31" t="str">
        <f>IFERROR(__xludf.DUMMYFUNCTION("""COMPUTED_VALUE"""),"1334")</f>
        <v>1334</v>
      </c>
      <c r="B1587" s="14" t="str">
        <f>IFERROR(__xludf.DUMMYFUNCTION("""COMPUTED_VALUE"""),"ВНЕ СПИСКА")</f>
        <v>ВНЕ СПИСКА</v>
      </c>
      <c r="C1587" s="14" t="str">
        <f>IFERROR(__xludf.DUMMYFUNCTION("""COMPUTED_VALUE"""),"ОКС")</f>
        <v>ОКС</v>
      </c>
      <c r="D1587" s="6" t="str">
        <f>IFERROR(__xludf.DUMMYFUNCTION("""COMPUTED_VALUE"""),"да")</f>
        <v>да</v>
      </c>
      <c r="E1587" s="14" t="str">
        <f>IFERROR(__xludf.DUMMYFUNCTION("""COMPUTED_VALUE"""),"Осмотр строящегося образовательного комплекса в составе 875 школьных мест и 190 мест в дошкольном отделении ул. Донецкая, вл. 30")</f>
        <v>Осмотр строящегося образовательного комплекса в составе 875 школьных мест и 190 мест в дошкольном отделении ул. Донецкая, вл. 30</v>
      </c>
      <c r="F1587" s="25" t="str">
        <f>IFERROR(__xludf.DUMMYFUNCTION("""COMPUTED_VALUE"""),"55.647704971703504")</f>
        <v>55.647704971703504</v>
      </c>
      <c r="G1587" s="6" t="str">
        <f>IFERROR(__xludf.DUMMYFUNCTION("""COMPUTED_VALUE"""),"37.70460528834836")</f>
        <v>37.70460528834836</v>
      </c>
      <c r="H1587" s="18" t="str">
        <f>IFERROR(__xludf.DUMMYFUNCTION("""COMPUTED_VALUE"""),"https://docs.google.com/spreadsheets/d/1EI7qusa674eJhuaw-nWWtWMEHVSYMQv7HLsInEZTWpE/edit?gid=1216643821#gid=1216643821")</f>
        <v>https://docs.google.com/spreadsheets/d/1EI7qusa674eJhuaw-nWWtWMEHVSYMQv7HLsInEZTWpE/edit?gid=1216643821#gid=1216643821</v>
      </c>
      <c r="I1587" s="18" t="str">
        <f>IFERROR(__xludf.DUMMYFUNCTION("""COMPUTED_VALUE"""),"https://disk.yandex.ru/d/62QctWfFhXPyrA")</f>
        <v>https://disk.yandex.ru/d/62QctWfFhXPyrA</v>
      </c>
      <c r="J1587" s="50"/>
      <c r="K1587" s="58">
        <f>IFERROR(__xludf.DUMMYFUNCTION("""COMPUTED_VALUE"""),45959.0)</f>
        <v>45959</v>
      </c>
      <c r="L1587" s="6">
        <v>30.0</v>
      </c>
      <c r="M1587" s="52">
        <v>45989.0</v>
      </c>
      <c r="N1587" s="53" t="s">
        <v>692</v>
      </c>
      <c r="O1587" s="6" t="s">
        <v>1436</v>
      </c>
      <c r="P1587" s="6"/>
      <c r="Q1587" s="6" t="str">
        <f t="shared" si="1"/>
        <v>#N/A</v>
      </c>
      <c r="R1587" s="6"/>
    </row>
    <row r="1588" hidden="1">
      <c r="A1588" s="31" t="str">
        <f>IFERROR(__xludf.DUMMYFUNCTION("""COMPUTED_VALUE"""),"1339")</f>
        <v>1339</v>
      </c>
      <c r="B1588" s="14" t="str">
        <f>IFERROR(__xludf.DUMMYFUNCTION("""COMPUTED_VALUE"""),"ВНЕ СПИСКА")</f>
        <v>ВНЕ СПИСКА</v>
      </c>
      <c r="C1588" s="14" t="str">
        <f>IFERROR(__xludf.DUMMYFUNCTION("""COMPUTED_VALUE"""),"ОКС")</f>
        <v>ОКС</v>
      </c>
      <c r="D1588" s="6" t="str">
        <f>IFERROR(__xludf.DUMMYFUNCTION("""COMPUTED_VALUE"""),"да")</f>
        <v>да</v>
      </c>
      <c r="E1588" s="14" t="str">
        <f>IFERROR(__xludf.DUMMYFUNCTION("""COMPUTED_VALUE"""),"Осмотр строящегося образовательного
комплекса в составе 850 школьных мест и 350
мест в дошкольном отделении, п.Десеновское, квартал 23, з.у. 1А")</f>
        <v>Осмотр строящегося образовательного
комплекса в составе 850 школьных мест и 350
мест в дошкольном отделении, п.Десеновское, квартал 23, з.у. 1А</v>
      </c>
      <c r="F1588" s="25" t="str">
        <f>IFERROR(__xludf.DUMMYFUNCTION("""COMPUTED_VALUE"""),"55.52962445550878")</f>
        <v>55.52962445550878</v>
      </c>
      <c r="G1588" s="6" t="str">
        <f>IFERROR(__xludf.DUMMYFUNCTION("""COMPUTED_VALUE"""),"37.37506655029112")</f>
        <v>37.37506655029112</v>
      </c>
      <c r="H1588" s="18" t="str">
        <f>IFERROR(__xludf.DUMMYFUNCTION("""COMPUTED_VALUE"""),"https://docs.google.com/spreadsheets/d/1EI7qusa674eJhuaw-nWWtWMEHVSYMQv7HLsInEZTWpE/edit?gid=102494064#gid=102494064")</f>
        <v>https://docs.google.com/spreadsheets/d/1EI7qusa674eJhuaw-nWWtWMEHVSYMQv7HLsInEZTWpE/edit?gid=102494064#gid=102494064</v>
      </c>
      <c r="I1588" s="21" t="str">
        <f>IFERROR(__xludf.DUMMYFUNCTION("""COMPUTED_VALUE"""),"https://disk.yandex.ru/d/veFo8KaC1wzOSA")</f>
        <v>https://disk.yandex.ru/d/veFo8KaC1wzOSA</v>
      </c>
      <c r="J1588" s="50"/>
      <c r="K1588" s="58">
        <f>IFERROR(__xludf.DUMMYFUNCTION("""COMPUTED_VALUE"""),45959.0)</f>
        <v>45959</v>
      </c>
      <c r="L1588" s="6">
        <v>30.0</v>
      </c>
      <c r="M1588" s="52">
        <v>45989.0</v>
      </c>
      <c r="N1588" s="53" t="s">
        <v>692</v>
      </c>
      <c r="O1588" s="19" t="s">
        <v>1437</v>
      </c>
      <c r="P1588" s="6"/>
      <c r="Q1588" s="6" t="str">
        <f t="shared" si="1"/>
        <v>#N/A</v>
      </c>
      <c r="R1588" s="6"/>
    </row>
    <row r="1589" hidden="1">
      <c r="A1589" s="31" t="str">
        <f>IFERROR(__xludf.DUMMYFUNCTION("""COMPUTED_VALUE"""),"1337")</f>
        <v>1337</v>
      </c>
      <c r="B1589" s="14" t="str">
        <f>IFERROR(__xludf.DUMMYFUNCTION("""COMPUTED_VALUE"""),"ВНЕ СПИСКА")</f>
        <v>ВНЕ СПИСКА</v>
      </c>
      <c r="C1589" s="14" t="str">
        <f>IFERROR(__xludf.DUMMYFUNCTION("""COMPUTED_VALUE"""),"ОКС")</f>
        <v>ОКС</v>
      </c>
      <c r="D1589" s="6" t="str">
        <f>IFERROR(__xludf.DUMMYFUNCTION("""COMPUTED_VALUE"""),"да")</f>
        <v>да</v>
      </c>
      <c r="E1589" s="14" t="str">
        <f>IFERROR(__xludf.DUMMYFUNCTION("""COMPUTED_VALUE"""),"Осмотр строящегося образовательного комплекса в составе 1525 школьных мест п. Сосенское, р-н Коммунарка, улица Александры Монаховой, зу 46Е ")</f>
        <v>Осмотр строящегося образовательного комплекса в составе 1525 школьных мест п. Сосенское, р-н Коммунарка, улица Александры Монаховой, зу 46Е </v>
      </c>
      <c r="F1589" s="25" t="str">
        <f>IFERROR(__xludf.DUMMYFUNCTION("""COMPUTED_VALUE"""),"55.551807")</f>
        <v>55.551807</v>
      </c>
      <c r="G1589" s="6" t="str">
        <f>IFERROR(__xludf.DUMMYFUNCTION("""COMPUTED_VALUE"""),"37.481505")</f>
        <v>37.481505</v>
      </c>
      <c r="H1589" s="18" t="str">
        <f>IFERROR(__xludf.DUMMYFUNCTION("""COMPUTED_VALUE"""),"https://docs.google.com/spreadsheets/d/1EI7qusa674eJhuaw-nWWtWMEHVSYMQv7HLsInEZTWpE/edit?gid=2011623621#gid=2011623621")</f>
        <v>https://docs.google.com/spreadsheets/d/1EI7qusa674eJhuaw-nWWtWMEHVSYMQv7HLsInEZTWpE/edit?gid=2011623621#gid=2011623621</v>
      </c>
      <c r="I1589" s="21" t="str">
        <f>IFERROR(__xludf.DUMMYFUNCTION("""COMPUTED_VALUE"""),"https://disk.yandex.ru/d/88XgQg4nvRX-Fg")</f>
        <v>https://disk.yandex.ru/d/88XgQg4nvRX-Fg</v>
      </c>
      <c r="J1589" s="50"/>
      <c r="K1589" s="58">
        <f>IFERROR(__xludf.DUMMYFUNCTION("""COMPUTED_VALUE"""),45972.0)</f>
        <v>45972</v>
      </c>
      <c r="L1589" s="6">
        <v>30.0</v>
      </c>
      <c r="M1589" s="52">
        <v>46002.0</v>
      </c>
      <c r="N1589" s="53" t="s">
        <v>711</v>
      </c>
      <c r="O1589" s="19" t="s">
        <v>1438</v>
      </c>
      <c r="P1589" s="6"/>
      <c r="Q1589" s="6" t="str">
        <f t="shared" si="1"/>
        <v>#N/A</v>
      </c>
      <c r="R1589" s="6"/>
    </row>
    <row r="1590" hidden="1">
      <c r="A1590" s="31" t="str">
        <f>IFERROR(__xludf.DUMMYFUNCTION("""COMPUTED_VALUE"""),"1338")</f>
        <v>1338</v>
      </c>
      <c r="B1590" s="14" t="str">
        <f>IFERROR(__xludf.DUMMYFUNCTION("""COMPUTED_VALUE"""),"ВНЕ СПИСКА")</f>
        <v>ВНЕ СПИСКА</v>
      </c>
      <c r="C1590" s="14" t="str">
        <f>IFERROR(__xludf.DUMMYFUNCTION("""COMPUTED_VALUE"""),"ОКС")</f>
        <v>ОКС</v>
      </c>
      <c r="D1590" s="6" t="str">
        <f>IFERROR(__xludf.DUMMYFUNCTION("""COMPUTED_VALUE"""),"да")</f>
        <v>да</v>
      </c>
      <c r="E1590" s="14" t="str">
        <f>IFERROR(__xludf.DUMMYFUNCTION("""COMPUTED_VALUE"""),"Осмотр итогов строительства средней общеобразовательной школы на 1000 мест, корп. 8 ЗАО, ул. Озерная, вл. 42-44 ")</f>
        <v>Осмотр итогов строительства средней общеобразовательной школы на 1000 мест, корп. 8 ЗАО, ул. Озерная, вл. 42-44 </v>
      </c>
      <c r="F1590" s="25" t="str">
        <f>IFERROR(__xludf.DUMMYFUNCTION("""COMPUTED_VALUE"""),"55.669999907394924")</f>
        <v>55.669999907394924</v>
      </c>
      <c r="G1590" s="6" t="str">
        <f>IFERROR(__xludf.DUMMYFUNCTION("""COMPUTED_VALUE"""),"37.43651406872443")</f>
        <v>37.43651406872443</v>
      </c>
      <c r="H1590" s="18" t="str">
        <f>IFERROR(__xludf.DUMMYFUNCTION("""COMPUTED_VALUE"""),"https://docs.google.com/spreadsheets/d/1EI7qusa674eJhuaw-nWWtWMEHVSYMQv7HLsInEZTWpE/edit?gid=1412429298#gid=1412429298")</f>
        <v>https://docs.google.com/spreadsheets/d/1EI7qusa674eJhuaw-nWWtWMEHVSYMQv7HLsInEZTWpE/edit?gid=1412429298#gid=1412429298</v>
      </c>
      <c r="I1590" s="21" t="str">
        <f>IFERROR(__xludf.DUMMYFUNCTION("""COMPUTED_VALUE"""),"https://disk.yandex.ru/d/q3xDbj1lGRqG7w")</f>
        <v>https://disk.yandex.ru/d/q3xDbj1lGRqG7w</v>
      </c>
      <c r="J1590" s="50"/>
      <c r="K1590" s="58">
        <f>IFERROR(__xludf.DUMMYFUNCTION("""COMPUTED_VALUE"""),45973.0)</f>
        <v>45973</v>
      </c>
      <c r="L1590" s="6">
        <v>30.0</v>
      </c>
      <c r="M1590" s="52">
        <v>46003.0</v>
      </c>
      <c r="N1590" s="53" t="s">
        <v>711</v>
      </c>
      <c r="O1590" s="19" t="s">
        <v>1439</v>
      </c>
      <c r="P1590" s="6"/>
      <c r="Q1590" s="6" t="str">
        <f t="shared" si="1"/>
        <v>#N/A</v>
      </c>
      <c r="R1590" s="6"/>
    </row>
    <row r="1591" hidden="1">
      <c r="A1591" s="31" t="str">
        <f>IFERROR(__xludf.DUMMYFUNCTION("""COMPUTED_VALUE"""),"1336")</f>
        <v>1336</v>
      </c>
      <c r="B1591" s="14" t="str">
        <f>IFERROR(__xludf.DUMMYFUNCTION("""COMPUTED_VALUE"""),"ВНЕ СПИСКА")</f>
        <v>ВНЕ СПИСКА</v>
      </c>
      <c r="C1591" s="14" t="str">
        <f>IFERROR(__xludf.DUMMYFUNCTION("""COMPUTED_VALUE"""),"ОКС")</f>
        <v>ОКС</v>
      </c>
      <c r="D1591" s="6" t="str">
        <f>IFERROR(__xludf.DUMMYFUNCTION("""COMPUTED_VALUE"""),"да")</f>
        <v>да</v>
      </c>
      <c r="E1591" s="14" t="str">
        <f>IFERROR(__xludf.DUMMYFUNCTION("""COMPUTED_VALUE"""),"Осмотр строящегося образовательного комплекса в составе 1375 школьных мест и 200 мест в дошкольном отделении поселение Рязановское, c. Остафьево ЖК «Остафьево»
улица Любучанская, земельный участок 6, земельный участок 8")</f>
        <v>Осмотр строящегося образовательного комплекса в составе 1375 школьных мест и 200 мест в дошкольном отделении поселение Рязановское, c. Остафьево ЖК «Остафьево»
улица Любучанская, земельный участок 6, земельный участок 8</v>
      </c>
      <c r="F1591" s="25" t="str">
        <f>IFERROR(__xludf.DUMMYFUNCTION("""COMPUTED_VALUE"""),"55.49690012009288")</f>
        <v>55.49690012009288</v>
      </c>
      <c r="G1591" s="6" t="str">
        <f>IFERROR(__xludf.DUMMYFUNCTION("""COMPUTED_VALUE"""),"37.527291375731835")</f>
        <v>37.527291375731835</v>
      </c>
      <c r="H1591" s="18" t="str">
        <f>IFERROR(__xludf.DUMMYFUNCTION("""COMPUTED_VALUE"""),"https://docs.google.com/spreadsheets/d/1EI7qusa674eJhuaw-nWWtWMEHVSYMQv7HLsInEZTWpE/edit?gid=2032019827#gid=2032019827")</f>
        <v>https://docs.google.com/spreadsheets/d/1EI7qusa674eJhuaw-nWWtWMEHVSYMQv7HLsInEZTWpE/edit?gid=2032019827#gid=2032019827</v>
      </c>
      <c r="I1591" s="21" t="str">
        <f>IFERROR(__xludf.DUMMYFUNCTION("""COMPUTED_VALUE"""),"https://disk.yandex.ru/d/E7sE4Ci74fL9Sw")</f>
        <v>https://disk.yandex.ru/d/E7sE4Ci74fL9Sw</v>
      </c>
      <c r="J1591" s="50"/>
      <c r="K1591" s="58">
        <f>IFERROR(__xludf.DUMMYFUNCTION("""COMPUTED_VALUE"""),45958.0)</f>
        <v>45958</v>
      </c>
      <c r="L1591" s="6">
        <v>30.0</v>
      </c>
      <c r="M1591" s="52">
        <v>45988.0</v>
      </c>
      <c r="N1591" s="53" t="s">
        <v>741</v>
      </c>
      <c r="O1591" s="19" t="s">
        <v>669</v>
      </c>
      <c r="P1591" s="6"/>
      <c r="Q1591" s="6" t="str">
        <f t="shared" si="1"/>
        <v>#N/A</v>
      </c>
      <c r="R1591" s="6"/>
    </row>
    <row r="1592" hidden="1">
      <c r="A1592" s="31" t="str">
        <f>IFERROR(__xludf.DUMMYFUNCTION("""COMPUTED_VALUE"""),"057")</f>
        <v>057</v>
      </c>
      <c r="B1592" s="14" t="str">
        <f>IFERROR(__xludf.DUMMYFUNCTION("""COMPUTED_VALUE"""),"ВНЕ СПИСКА")</f>
        <v>ВНЕ СПИСКА</v>
      </c>
      <c r="C1592" s="14" t="str">
        <f>IFERROR(__xludf.DUMMYFUNCTION("""COMPUTED_VALUE"""),"ОКС")</f>
        <v>ОКС</v>
      </c>
      <c r="D1592" s="6" t="str">
        <f>IFERROR(__xludf.DUMMYFUNCTION("""COMPUTED_VALUE"""),"да")</f>
        <v>да</v>
      </c>
      <c r="E1592" s="14" t="str">
        <f>IFERROR(__xludf.DUMMYFUNCTION("""COMPUTED_VALUE"""),"Осмотр строящегося образовательного комплекса в составе 1275 школьных мест и 350 мест в дошкольном отделении НАО, п. Марушкнское, вблизи дер. Большое Свинорье, ЖК «Квартал Западный»")</f>
        <v>Осмотр строящегося образовательного комплекса в составе 1275 школьных мест и 350 мест в дошкольном отделении НАО, п. Марушкнское, вблизи дер. Большое Свинорье, ЖК «Квартал Западный»</v>
      </c>
      <c r="F1592" s="25" t="str">
        <f>IFERROR(__xludf.DUMMYFUNCTION("""COMPUTED_VALUE"""),"55.58231204143675")</f>
        <v>55.58231204143675</v>
      </c>
      <c r="G1592" s="6" t="str">
        <f>IFERROR(__xludf.DUMMYFUNCTION("""COMPUTED_VALUE"""),"37.14631837035806")</f>
        <v>37.14631837035806</v>
      </c>
      <c r="H1592" s="18" t="str">
        <f>IFERROR(__xludf.DUMMYFUNCTION("""COMPUTED_VALUE"""),"https://docs.google.com/spreadsheets/d/1EI7qusa674eJhuaw-nWWtWMEHVSYMQv7HLsInEZTWpE/edit?gid=1550603494#gid=1550603494")</f>
        <v>https://docs.google.com/spreadsheets/d/1EI7qusa674eJhuaw-nWWtWMEHVSYMQv7HLsInEZTWpE/edit?gid=1550603494#gid=1550603494</v>
      </c>
      <c r="I1592" s="19"/>
      <c r="J1592" s="50"/>
      <c r="K1592" s="58">
        <f>IFERROR(__xludf.DUMMYFUNCTION("""COMPUTED_VALUE"""),45959.0)</f>
        <v>45959</v>
      </c>
      <c r="L1592" s="6">
        <v>30.0</v>
      </c>
      <c r="M1592" s="52">
        <v>45989.0</v>
      </c>
      <c r="N1592" s="53" t="s">
        <v>692</v>
      </c>
      <c r="O1592" s="19" t="s">
        <v>669</v>
      </c>
      <c r="P1592" s="6"/>
      <c r="Q1592" s="6" t="str">
        <f t="shared" si="1"/>
        <v>#N/A</v>
      </c>
      <c r="R1592" s="6"/>
    </row>
    <row r="1593" hidden="1">
      <c r="A1593" s="31" t="str">
        <f>IFERROR(__xludf.DUMMYFUNCTION("""COMPUTED_VALUE"""),"1335")</f>
        <v>1335</v>
      </c>
      <c r="B1593" s="14" t="str">
        <f>IFERROR(__xludf.DUMMYFUNCTION("""COMPUTED_VALUE"""),"ВНЕ СПИСКА")</f>
        <v>ВНЕ СПИСКА</v>
      </c>
      <c r="C1593" s="14" t="str">
        <f>IFERROR(__xludf.DUMMYFUNCTION("""COMPUTED_VALUE"""),"ОКС")</f>
        <v>ОКС</v>
      </c>
      <c r="D1593" s="6" t="str">
        <f>IFERROR(__xludf.DUMMYFUNCTION("""COMPUTED_VALUE"""),"да")</f>
        <v>да</v>
      </c>
      <c r="E1593" s="14" t="str">
        <f>IFERROR(__xludf.DUMMYFUNCTION("""COMPUTED_VALUE"""),"Осмотр итогов строительства детского сада в составе 270 мест, ЮАО, Даниловский район, ул. Автозаводская, вл. 23/77 ул. Автозаводская, вл. 23/77
")</f>
        <v>Осмотр итогов строительства детского сада в составе 270 мест, ЮАО, Даниловский район, ул. Автозаводская, вл. 23/77 ул. Автозаводская, вл. 23/77
</v>
      </c>
      <c r="F1593" s="25" t="str">
        <f>IFERROR(__xludf.DUMMYFUNCTION("""COMPUTED_VALUE"""),"55.688107085431845")</f>
        <v>55.688107085431845</v>
      </c>
      <c r="G1593" s="6" t="str">
        <f>IFERROR(__xludf.DUMMYFUNCTION("""COMPUTED_VALUE"""),"37.642054172023514")</f>
        <v>37.642054172023514</v>
      </c>
      <c r="H1593" s="18" t="str">
        <f>IFERROR(__xludf.DUMMYFUNCTION("""COMPUTED_VALUE"""),"https://docs.google.com/spreadsheets/d/1EI7qusa674eJhuaw-nWWtWMEHVSYMQv7HLsInEZTWpE/edit?gid=230773618#gid=230773618")</f>
        <v>https://docs.google.com/spreadsheets/d/1EI7qusa674eJhuaw-nWWtWMEHVSYMQv7HLsInEZTWpE/edit?gid=230773618#gid=230773618</v>
      </c>
      <c r="I1593" s="21" t="str">
        <f>IFERROR(__xludf.DUMMYFUNCTION("""COMPUTED_VALUE"""),"https://disk.yandex.ru/d/RQWYI5lREkHOFg")</f>
        <v>https://disk.yandex.ru/d/RQWYI5lREkHOFg</v>
      </c>
      <c r="J1593" s="50"/>
      <c r="K1593" s="58">
        <f>IFERROR(__xludf.DUMMYFUNCTION("""COMPUTED_VALUE"""),45958.0)</f>
        <v>45958</v>
      </c>
      <c r="L1593" s="6">
        <v>30.0</v>
      </c>
      <c r="M1593" s="52">
        <v>45988.0</v>
      </c>
      <c r="N1593" s="53" t="s">
        <v>741</v>
      </c>
      <c r="O1593" s="19" t="s">
        <v>669</v>
      </c>
      <c r="P1593" s="6"/>
      <c r="Q1593" s="6" t="str">
        <f t="shared" si="1"/>
        <v>#N/A</v>
      </c>
      <c r="R1593" s="6"/>
    </row>
    <row r="1594" hidden="1">
      <c r="A1594" s="31" t="str">
        <f>IFERROR(__xludf.DUMMYFUNCTION("""COMPUTED_VALUE"""),"н/д")</f>
        <v>н/д</v>
      </c>
      <c r="B1594" s="14" t="str">
        <f>IFERROR(__xludf.DUMMYFUNCTION("""COMPUTED_VALUE"""),"ВНЕ СПИСКА")</f>
        <v>ВНЕ СПИСКА</v>
      </c>
      <c r="C1594" s="14" t="str">
        <f>IFERROR(__xludf.DUMMYFUNCTION("""COMPUTED_VALUE"""),"ОКС")</f>
        <v>ОКС</v>
      </c>
      <c r="D1594" s="6" t="str">
        <f>IFERROR(__xludf.DUMMYFUNCTION("""COMPUTED_VALUE"""),"да")</f>
        <v>да</v>
      </c>
      <c r="E1594" s="14" t="str">
        <f>IFERROR(__xludf.DUMMYFUNCTION("""COMPUTED_VALUE"""),"ДОУ на 350 мест в пос. Новофедоровское, д. Яковлевское пос. Новофедоровское, д. Яковлевское")</f>
        <v>ДОУ на 350 мест в пос. Новофедоровское, д. Яковлевское пос. Новофедоровское, д. Яковлевское</v>
      </c>
      <c r="F1594" s="25" t="str">
        <f>IFERROR(__xludf.DUMMYFUNCTION("""COMPUTED_VALUE"""),"#N/A")</f>
        <v>#N/A</v>
      </c>
      <c r="G1594" s="6" t="str">
        <f>IFERROR(__xludf.DUMMYFUNCTION("""COMPUTED_VALUE"""),"#N/A")</f>
        <v>#N/A</v>
      </c>
      <c r="H1594" s="6"/>
      <c r="I1594" s="19"/>
      <c r="J1594" s="50"/>
      <c r="K1594" s="58"/>
      <c r="L1594" s="6">
        <v>30.0</v>
      </c>
      <c r="M1594" s="52" t="s">
        <v>655</v>
      </c>
      <c r="N1594" s="53" t="s">
        <v>698</v>
      </c>
      <c r="O1594" s="19" t="s">
        <v>1440</v>
      </c>
      <c r="P1594" s="6"/>
      <c r="Q1594" s="6" t="str">
        <f t="shared" si="1"/>
        <v>#N/A</v>
      </c>
      <c r="R1594" s="6"/>
    </row>
    <row r="1595" hidden="1">
      <c r="A1595" s="31" t="str">
        <f>IFERROR(__xludf.DUMMYFUNCTION("""COMPUTED_VALUE"""),"н/д")</f>
        <v>н/д</v>
      </c>
      <c r="B1595" s="14" t="str">
        <f>IFERROR(__xludf.DUMMYFUNCTION("""COMPUTED_VALUE"""),"ВНЕ СПИСКА")</f>
        <v>ВНЕ СПИСКА</v>
      </c>
      <c r="C1595" s="14" t="str">
        <f>IFERROR(__xludf.DUMMYFUNCTION("""COMPUTED_VALUE"""),"ОКС")</f>
        <v>ОКС</v>
      </c>
      <c r="D1595" s="6"/>
      <c r="E1595" s="14" t="str">
        <f>IFERROR(__xludf.DUMMYFUNCTION("""COMPUTED_VALUE"""),"Дошкольное здание на 200 мест, ул. Шоссейная, д. 90, стр. 7, р-н Печатники (передача в МФР) ул. Шоссейная, д. 90, стр. 7, р-н Печатники")</f>
        <v>Дошкольное здание на 200 мест, ул. Шоссейная, д. 90, стр. 7, р-н Печатники (передача в МФР) ул. Шоссейная, д. 90, стр. 7, р-н Печатники</v>
      </c>
      <c r="F1595" s="25" t="str">
        <f>IFERROR(__xludf.DUMMYFUNCTION("""COMPUTED_VALUE"""),"#N/A")</f>
        <v>#N/A</v>
      </c>
      <c r="G1595" s="6" t="str">
        <f>IFERROR(__xludf.DUMMYFUNCTION("""COMPUTED_VALUE"""),"#N/A")</f>
        <v>#N/A</v>
      </c>
      <c r="H1595" s="6"/>
      <c r="I1595" s="19"/>
      <c r="J1595" s="50"/>
      <c r="K1595" s="58"/>
      <c r="L1595" s="6">
        <v>30.0</v>
      </c>
      <c r="M1595" s="52" t="s">
        <v>655</v>
      </c>
      <c r="N1595" s="53" t="s">
        <v>698</v>
      </c>
      <c r="O1595" s="19" t="s">
        <v>1441</v>
      </c>
      <c r="P1595" s="6"/>
      <c r="Q1595" s="6" t="str">
        <f t="shared" si="1"/>
        <v>#N/A</v>
      </c>
      <c r="R1595" s="6"/>
    </row>
    <row r="1596" hidden="1">
      <c r="A1596" s="31" t="str">
        <f>IFERROR(__xludf.DUMMYFUNCTION("""COMPUTED_VALUE"""),"н/д")</f>
        <v>н/д</v>
      </c>
      <c r="B1596" s="14" t="str">
        <f>IFERROR(__xludf.DUMMYFUNCTION("""COMPUTED_VALUE"""),"ВНЕ СПИСКА")</f>
        <v>ВНЕ СПИСКА</v>
      </c>
      <c r="C1596" s="14" t="str">
        <f>IFERROR(__xludf.DUMMYFUNCTION("""COMPUTED_VALUE"""),"ОКС")</f>
        <v>ОКС</v>
      </c>
      <c r="D1596" s="6"/>
      <c r="E1596" s="14" t="str">
        <f>IFERROR(__xludf.DUMMYFUNCTION("""COMPUTED_VALUE"""),"Здание образовательной организации максимальной вместимости (не менее 675 мест) на месте сноса существующего школьного здания по адресу: ул. Климашкина, д. 13б, стр. 1, р-н Пресненский ул. Климашкина, д. 13б, стр. 1, р-н Пресненский")</f>
        <v>Здание образовательной организации максимальной вместимости (не менее 675 мест) на месте сноса существующего школьного здания по адресу: ул. Климашкина, д. 13б, стр. 1, р-н Пресненский ул. Климашкина, д. 13б, стр. 1, р-н Пресненский</v>
      </c>
      <c r="F1596" s="25" t="str">
        <f>IFERROR(__xludf.DUMMYFUNCTION("""COMPUTED_VALUE"""),"#N/A")</f>
        <v>#N/A</v>
      </c>
      <c r="G1596" s="6" t="str">
        <f>IFERROR(__xludf.DUMMYFUNCTION("""COMPUTED_VALUE"""),"#N/A")</f>
        <v>#N/A</v>
      </c>
      <c r="H1596" s="6"/>
      <c r="I1596" s="19"/>
      <c r="J1596" s="50"/>
      <c r="K1596" s="58"/>
      <c r="L1596" s="6">
        <v>30.0</v>
      </c>
      <c r="M1596" s="52" t="s">
        <v>655</v>
      </c>
      <c r="N1596" s="53" t="s">
        <v>698</v>
      </c>
      <c r="O1596" s="19" t="s">
        <v>1442</v>
      </c>
      <c r="P1596" s="6"/>
      <c r="Q1596" s="6" t="str">
        <f t="shared" si="1"/>
        <v>#N/A</v>
      </c>
      <c r="R1596" s="6"/>
    </row>
    <row r="1597" hidden="1">
      <c r="A1597" s="31" t="str">
        <f>IFERROR(__xludf.DUMMYFUNCTION("""COMPUTED_VALUE"""),"1341")</f>
        <v>1341</v>
      </c>
      <c r="B1597" s="14" t="str">
        <f>IFERROR(__xludf.DUMMYFUNCTION("""COMPUTED_VALUE"""),"ВНЕ СПИСКА")</f>
        <v>ВНЕ СПИСКА</v>
      </c>
      <c r="C1597" s="14" t="str">
        <f>IFERROR(__xludf.DUMMYFUNCTION("""COMPUTED_VALUE"""),"ОКС")</f>
        <v>ОКС</v>
      </c>
      <c r="D1597" s="6" t="str">
        <f>IFERROR(__xludf.DUMMYFUNCTION("""COMPUTED_VALUE"""),"да")</f>
        <v>да</v>
      </c>
      <c r="E1597" s="14" t="str">
        <f>IFERROR(__xludf.DUMMYFUNCTION("""COMPUTED_VALUE"""),"Открытие производства изделий из пластика в Некрасовке р-н Некрасовка, ул. Маршала Еременко ")</f>
        <v>Открытие производства изделий из пластика в Некрасовке р-н Некрасовка, ул. Маршала Еременко </v>
      </c>
      <c r="F1597" s="25" t="str">
        <f>IFERROR(__xludf.DUMMYFUNCTION("""COMPUTED_VALUE"""),"55.718922")</f>
        <v>55.718922</v>
      </c>
      <c r="G1597" s="6" t="str">
        <f>IFERROR(__xludf.DUMMYFUNCTION("""COMPUTED_VALUE"""),"37.951350")</f>
        <v>37.951350</v>
      </c>
      <c r="H1597" s="18" t="str">
        <f>IFERROR(__xludf.DUMMYFUNCTION("""COMPUTED_VALUE"""),"https://docs.google.com/spreadsheets/d/1EI7qusa674eJhuaw-nWWtWMEHVSYMQv7HLsInEZTWpE/edit?gid=1568412544#gid=1568412544")</f>
        <v>https://docs.google.com/spreadsheets/d/1EI7qusa674eJhuaw-nWWtWMEHVSYMQv7HLsInEZTWpE/edit?gid=1568412544#gid=1568412544</v>
      </c>
      <c r="I1597" s="21" t="str">
        <f>IFERROR(__xludf.DUMMYFUNCTION("""COMPUTED_VALUE"""),"https://disk.yandex.ru/d/yUPiYApIyIk7Ag")</f>
        <v>https://disk.yandex.ru/d/yUPiYApIyIk7Ag</v>
      </c>
      <c r="J1597" s="50"/>
      <c r="K1597" s="58">
        <f>IFERROR(__xludf.DUMMYFUNCTION("""COMPUTED_VALUE"""),45971.0)</f>
        <v>45971</v>
      </c>
      <c r="L1597" s="6">
        <v>30.0</v>
      </c>
      <c r="M1597" s="52">
        <v>46001.0</v>
      </c>
      <c r="N1597" s="53" t="s">
        <v>711</v>
      </c>
      <c r="O1597" s="19"/>
      <c r="P1597" s="6"/>
      <c r="Q1597" s="6" t="str">
        <f t="shared" si="1"/>
        <v>#N/A</v>
      </c>
      <c r="R1597" s="6"/>
    </row>
    <row r="1598" hidden="1">
      <c r="A1598" s="31" t="str">
        <f>IFERROR(__xludf.DUMMYFUNCTION("""COMPUTED_VALUE"""),"1340")</f>
        <v>1340</v>
      </c>
      <c r="B1598" s="14" t="str">
        <f>IFERROR(__xludf.DUMMYFUNCTION("""COMPUTED_VALUE"""),"ВНЕ СПИСКА")</f>
        <v>ВНЕ СПИСКА</v>
      </c>
      <c r="C1598" s="14" t="str">
        <f>IFERROR(__xludf.DUMMYFUNCTION("""COMPUTED_VALUE"""),"ОКС")</f>
        <v>ОКС</v>
      </c>
      <c r="D1598" s="6" t="str">
        <f>IFERROR(__xludf.DUMMYFUNCTION("""COMPUTED_VALUE"""),"да")</f>
        <v>да</v>
      </c>
      <c r="E1598" s="14" t="str">
        <f>IFERROR(__xludf.DUMMYFUNCTION("""COMPUTED_VALUE"""),"Открытие картинной галереи в отреставрированном ОКН «
на станции Москва-Товарная Рязано-Уральской железной дороги, 1898 г.,
инженер Н.А. Виноградов», р-н Даниловский, 1-й Павелецкий пр-д,
сооружение 1/42 к. 2, стр. 1")</f>
        <v>Открытие картинной галереи в отреставрированном ОКН «
на станции Москва-Товарная Рязано-Уральской железной дороги, 1898 г.,
инженер Н.А. Виноградов», р-н Даниловский, 1-й Павелецкий пр-д,
сооружение 1/42 к. 2, стр. 1</v>
      </c>
      <c r="F1598" s="25" t="str">
        <f>IFERROR(__xludf.DUMMYFUNCTION("""COMPUTED_VALUE"""),"55.717353")</f>
        <v>55.717353</v>
      </c>
      <c r="G1598" s="6" t="str">
        <f>IFERROR(__xludf.DUMMYFUNCTION("""COMPUTED_VALUE"""),"37.643951")</f>
        <v>37.643951</v>
      </c>
      <c r="H1598" s="18" t="str">
        <f>IFERROR(__xludf.DUMMYFUNCTION("""COMPUTED_VALUE"""),"https://docs.google.com/spreadsheets/d/1EI7qusa674eJhuaw-nWWtWMEHVSYMQv7HLsInEZTWpE/edit?gid=2065488739#gid=2065488739")</f>
        <v>https://docs.google.com/spreadsheets/d/1EI7qusa674eJhuaw-nWWtWMEHVSYMQv7HLsInEZTWpE/edit?gid=2065488739#gid=2065488739</v>
      </c>
      <c r="I1598" s="21" t="str">
        <f>IFERROR(__xludf.DUMMYFUNCTION("""COMPUTED_VALUE"""),"https://disk.yandex.ru/d/s17WL0GFDbRVkw")</f>
        <v>https://disk.yandex.ru/d/s17WL0GFDbRVkw</v>
      </c>
      <c r="J1598" s="50"/>
      <c r="K1598" s="58">
        <f>IFERROR(__xludf.DUMMYFUNCTION("""COMPUTED_VALUE"""),45957.0)</f>
        <v>45957</v>
      </c>
      <c r="L1598" s="6">
        <v>30.0</v>
      </c>
      <c r="M1598" s="52">
        <v>45987.0</v>
      </c>
      <c r="N1598" s="53" t="s">
        <v>741</v>
      </c>
      <c r="O1598" s="19" t="s">
        <v>1443</v>
      </c>
      <c r="P1598" s="6"/>
      <c r="Q1598" s="6" t="str">
        <f t="shared" si="1"/>
        <v>#N/A</v>
      </c>
      <c r="R1598" s="6"/>
    </row>
    <row r="1599" hidden="1">
      <c r="A1599" s="31" t="str">
        <f>IFERROR(__xludf.DUMMYFUNCTION("""COMPUTED_VALUE"""),"1342")</f>
        <v>1342</v>
      </c>
      <c r="B1599" s="14" t="str">
        <f>IFERROR(__xludf.DUMMYFUNCTION("""COMPUTED_VALUE"""),"ВНЕ СПИСКА")</f>
        <v>ВНЕ СПИСКА</v>
      </c>
      <c r="C1599" s="14" t="str">
        <f>IFERROR(__xludf.DUMMYFUNCTION("""COMPUTED_VALUE"""),"ОКС")</f>
        <v>ОКС</v>
      </c>
      <c r="D1599" s="6" t="str">
        <f>IFERROR(__xludf.DUMMYFUNCTION("""COMPUTED_VALUE"""),"да")</f>
        <v>да</v>
      </c>
      <c r="E1599" s="14" t="str">
        <f>IFERROR(__xludf.DUMMYFUNCTION("""COMPUTED_VALUE"""),"Многофункциональный торговый центр Старобитцевская ул., земельный участок 11. к.н. 77:06:0011001:8632")</f>
        <v>Многофункциональный торговый центр Старобитцевская ул., земельный участок 11. к.н. 77:06:0011001:8632</v>
      </c>
      <c r="F1599" s="25" t="str">
        <f>IFERROR(__xludf.DUMMYFUNCTION("""COMPUTED_VALUE"""),"#N/A")</f>
        <v>#N/A</v>
      </c>
      <c r="G1599" s="6" t="str">
        <f>IFERROR(__xludf.DUMMYFUNCTION("""COMPUTED_VALUE"""),"#N/A")</f>
        <v>#N/A</v>
      </c>
      <c r="H1599" s="6"/>
      <c r="I1599" s="19"/>
      <c r="J1599" s="50"/>
      <c r="K1599" s="58">
        <f>IFERROR(__xludf.DUMMYFUNCTION("""COMPUTED_VALUE"""),45953.0)</f>
        <v>45953</v>
      </c>
      <c r="L1599" s="6">
        <v>30.0</v>
      </c>
      <c r="M1599" s="52">
        <v>45983.0</v>
      </c>
      <c r="N1599" s="53" t="s">
        <v>741</v>
      </c>
      <c r="O1599" s="19" t="s">
        <v>669</v>
      </c>
      <c r="P1599" s="6"/>
      <c r="Q1599" s="6" t="str">
        <f t="shared" si="1"/>
        <v>#N/A</v>
      </c>
      <c r="R1599" s="6"/>
    </row>
    <row r="1600" hidden="1">
      <c r="A1600" s="31" t="str">
        <f>IFERROR(__xludf.DUMMYFUNCTION("""COMPUTED_VALUE"""),"1347")</f>
        <v>1347</v>
      </c>
      <c r="B1600" s="14" t="str">
        <f>IFERROR(__xludf.DUMMYFUNCTION("""COMPUTED_VALUE"""),"ВНЕ СПИСКА")</f>
        <v>ВНЕ СПИСКА</v>
      </c>
      <c r="C1600" s="14" t="str">
        <f>IFERROR(__xludf.DUMMYFUNCTION("""COMPUTED_VALUE"""),"ОКС")</f>
        <v>ОКС</v>
      </c>
      <c r="D1600" s="6"/>
      <c r="E1600" s="14" t="str">
        <f>IFERROR(__xludf.DUMMYFUNCTION("""COMPUTED_VALUE"""),"Административное здание ОМОН (на транспорте) ""Меч"" Главного управления Росгвардии по городу Москве по адресу: г. Москва, ул.Нижние Мневники, д. 17 (Северо-Западный административный округ г. Москвы) ул. Нижние Мневники, д. 17 (Северо-Западный администрат"&amp;"ивный округ)")</f>
        <v>Административное здание ОМОН (на транспорте) "Меч" Главного управления Росгвардии по городу Москве по адресу: г. Москва, ул.Нижние Мневники, д. 17 (Северо-Западный административный округ г. Москвы) ул. Нижние Мневники, д. 17 (Северо-Западный административный округ)</v>
      </c>
      <c r="F1600" s="25" t="str">
        <f>IFERROR(__xludf.DUMMYFUNCTION("""COMPUTED_VALUE"""),"#N/A")</f>
        <v>#N/A</v>
      </c>
      <c r="G1600" s="6" t="str">
        <f>IFERROR(__xludf.DUMMYFUNCTION("""COMPUTED_VALUE"""),"#N/A")</f>
        <v>#N/A</v>
      </c>
      <c r="H1600" s="18" t="str">
        <f>IFERROR(__xludf.DUMMYFUNCTION("""COMPUTED_VALUE"""),"https://docs.google.com/spreadsheets/d/1EI7qusa674eJhuaw-nWWtWMEHVSYMQv7HLsInEZTWpE/edit?gid=680394849#gid=680394849")</f>
        <v>https://docs.google.com/spreadsheets/d/1EI7qusa674eJhuaw-nWWtWMEHVSYMQv7HLsInEZTWpE/edit?gid=680394849#gid=680394849</v>
      </c>
      <c r="I1600" s="19"/>
      <c r="J1600" s="50"/>
      <c r="K1600" s="58">
        <f>IFERROR(__xludf.DUMMYFUNCTION("""COMPUTED_VALUE"""),45958.0)</f>
        <v>45958</v>
      </c>
      <c r="L1600" s="6">
        <v>30.0</v>
      </c>
      <c r="M1600" s="52">
        <v>45988.0</v>
      </c>
      <c r="N1600" s="53" t="s">
        <v>741</v>
      </c>
      <c r="O1600" s="19" t="s">
        <v>1444</v>
      </c>
      <c r="P1600" s="6"/>
      <c r="Q1600" s="6" t="str">
        <f t="shared" si="1"/>
        <v>#N/A</v>
      </c>
      <c r="R1600" s="6"/>
    </row>
    <row r="1601" hidden="1">
      <c r="A1601" s="31" t="str">
        <f>IFERROR(__xludf.DUMMYFUNCTION("""COMPUTED_VALUE"""),"1348")</f>
        <v>1348</v>
      </c>
      <c r="B1601" s="14" t="str">
        <f>IFERROR(__xludf.DUMMYFUNCTION("""COMPUTED_VALUE"""),"ВНЕ СПИСКА")</f>
        <v>ВНЕ СПИСКА</v>
      </c>
      <c r="C1601" s="14" t="str">
        <f>IFERROR(__xludf.DUMMYFUNCTION("""COMPUTED_VALUE"""),"ОКС")</f>
        <v>ОКС</v>
      </c>
      <c r="D1601" s="6"/>
      <c r="E1601" s="14" t="str">
        <f>IFERROR(__xludf.DUMMYFUNCTION("""COMPUTED_VALUE"""),"Административное здание, по адресу: 3-й Колобовский пер., д. 16, стр.6, р-н Тверской 3-й Колобовский переулок, д. 16, стр.6")</f>
        <v>Административное здание, по адресу: 3-й Колобовский пер., д. 16, стр.6, р-н Тверской 3-й Колобовский переулок, д. 16, стр.6</v>
      </c>
      <c r="F1601" s="25" t="str">
        <f>IFERROR(__xludf.DUMMYFUNCTION("""COMPUTED_VALUE"""),"55.770090")</f>
        <v>55.770090</v>
      </c>
      <c r="G1601" s="6" t="str">
        <f>IFERROR(__xludf.DUMMYFUNCTION("""COMPUTED_VALUE"""),"37.617207")</f>
        <v>37.617207</v>
      </c>
      <c r="H1601" s="18" t="str">
        <f>IFERROR(__xludf.DUMMYFUNCTION("""COMPUTED_VALUE"""),"https://docs.google.com/spreadsheets/d/1EI7qusa674eJhuaw-nWWtWMEHVSYMQv7HLsInEZTWpE/edit?gid=410419708#gid=410419708")</f>
        <v>https://docs.google.com/spreadsheets/d/1EI7qusa674eJhuaw-nWWtWMEHVSYMQv7HLsInEZTWpE/edit?gid=410419708#gid=410419708</v>
      </c>
      <c r="I1601" s="19"/>
      <c r="J1601" s="50"/>
      <c r="K1601" s="58">
        <f>IFERROR(__xludf.DUMMYFUNCTION("""COMPUTED_VALUE"""),45959.0)</f>
        <v>45959</v>
      </c>
      <c r="L1601" s="6">
        <v>30.0</v>
      </c>
      <c r="M1601" s="52">
        <v>45989.0</v>
      </c>
      <c r="N1601" s="53" t="s">
        <v>692</v>
      </c>
      <c r="O1601" s="19" t="s">
        <v>1445</v>
      </c>
      <c r="P1601" s="6"/>
      <c r="Q1601" s="6" t="str">
        <f t="shared" si="1"/>
        <v>#N/A</v>
      </c>
      <c r="R1601" s="6"/>
    </row>
    <row r="1602" hidden="1">
      <c r="A1602" s="31" t="str">
        <f>IFERROR(__xludf.DUMMYFUNCTION("""COMPUTED_VALUE"""),"н/д")</f>
        <v>н/д</v>
      </c>
      <c r="B1602" s="14" t="str">
        <f>IFERROR(__xludf.DUMMYFUNCTION("""COMPUTED_VALUE"""),"ВНЕ СПИСКА")</f>
        <v>ВНЕ СПИСКА</v>
      </c>
      <c r="C1602" s="14"/>
      <c r="D1602" s="6"/>
      <c r="E1602" s="14" t="str">
        <f>IFERROR(__xludf.DUMMYFUNCTION("""COMPUTED_VALUE"""),"Строительство велопешеходного моста в рамках концепции развития МГТУ им. Н.Э.Баумана г. Москва, Госпитальная набережная")</f>
        <v>Строительство велопешеходного моста в рамках концепции развития МГТУ им. Н.Э.Баумана г. Москва, Госпитальная набережная</v>
      </c>
      <c r="F1602" s="25" t="str">
        <f>IFERROR(__xludf.DUMMYFUNCTION("""COMPUTED_VALUE"""),"#N/A")</f>
        <v>#N/A</v>
      </c>
      <c r="G1602" s="6" t="str">
        <f>IFERROR(__xludf.DUMMYFUNCTION("""COMPUTED_VALUE"""),"#N/A")</f>
        <v>#N/A</v>
      </c>
      <c r="H1602" s="6"/>
      <c r="I1602" s="19"/>
      <c r="J1602" s="50"/>
      <c r="K1602" s="58"/>
      <c r="L1602" s="6">
        <v>30.0</v>
      </c>
      <c r="M1602" s="52" t="s">
        <v>655</v>
      </c>
      <c r="N1602" s="53" t="s">
        <v>652</v>
      </c>
      <c r="O1602" s="19" t="s">
        <v>1446</v>
      </c>
      <c r="P1602" s="6"/>
      <c r="Q1602" s="6" t="str">
        <f t="shared" si="1"/>
        <v>#N/A</v>
      </c>
      <c r="R1602" s="6"/>
    </row>
    <row r="1603" hidden="1">
      <c r="A1603" s="31" t="str">
        <f>IFERROR(__xludf.DUMMYFUNCTION("""COMPUTED_VALUE"""),"н/д")</f>
        <v>н/д</v>
      </c>
      <c r="B1603" s="14" t="str">
        <f>IFERROR(__xludf.DUMMYFUNCTION("""COMPUTED_VALUE"""),"ВНЕ СПИСКА")</f>
        <v>ВНЕ СПИСКА</v>
      </c>
      <c r="C1603" s="14"/>
      <c r="D1603" s="6"/>
      <c r="E1603" s="14" t="str">
        <f>IFERROR(__xludf.DUMMYFUNCTION("""COMPUTED_VALUE"""),"Реконструкция Котляково-Коломенских групповых очистных сооружений поверхностных и близких к ним по составу производственных сточных вод Котляковский 1-й пер., д.15, корп.1")</f>
        <v>Реконструкция Котляково-Коломенских групповых очистных сооружений поверхностных и близких к ним по составу производственных сточных вод Котляковский 1-й пер., д.15, корп.1</v>
      </c>
      <c r="F1603" s="25" t="str">
        <f>IFERROR(__xludf.DUMMYFUNCTION("""COMPUTED_VALUE"""),"#N/A")</f>
        <v>#N/A</v>
      </c>
      <c r="G1603" s="6" t="str">
        <f>IFERROR(__xludf.DUMMYFUNCTION("""COMPUTED_VALUE"""),"#N/A")</f>
        <v>#N/A</v>
      </c>
      <c r="H1603" s="6"/>
      <c r="I1603" s="19"/>
      <c r="J1603" s="50"/>
      <c r="K1603" s="58"/>
      <c r="L1603" s="6">
        <v>30.0</v>
      </c>
      <c r="M1603" s="52" t="s">
        <v>655</v>
      </c>
      <c r="N1603" s="53" t="s">
        <v>698</v>
      </c>
      <c r="O1603" s="19" t="s">
        <v>1447</v>
      </c>
      <c r="P1603" s="6"/>
      <c r="Q1603" s="6" t="str">
        <f t="shared" si="1"/>
        <v>#N/A</v>
      </c>
      <c r="R1603" s="6"/>
    </row>
    <row r="1604" hidden="1">
      <c r="A1604" s="31" t="str">
        <f>IFERROR(__xludf.DUMMYFUNCTION("""COMPUTED_VALUE"""),"н/д")</f>
        <v>н/д</v>
      </c>
      <c r="B1604" s="14" t="str">
        <f>IFERROR(__xludf.DUMMYFUNCTION("""COMPUTED_VALUE"""),"ВНЕ СПИСКА")</f>
        <v>ВНЕ СПИСКА</v>
      </c>
      <c r="C1604" s="14" t="str">
        <f>IFERROR(__xludf.DUMMYFUNCTION("""COMPUTED_VALUE"""),"ОКС")</f>
        <v>ОКС</v>
      </c>
      <c r="D1604" s="6"/>
      <c r="E1604" s="14" t="str">
        <f>IFERROR(__xludf.DUMMYFUNCTION("""COMPUTED_VALUE"""),"ЖК на 5-й Магистральной улице, 15 5-я Магистральная, влд.15")</f>
        <v>ЖК на 5-й Магистральной улице, 15 5-я Магистральная, влд.15</v>
      </c>
      <c r="F1604" s="25" t="str">
        <f>IFERROR(__xludf.DUMMYFUNCTION("""COMPUTED_VALUE"""),"#N/A")</f>
        <v>#N/A</v>
      </c>
      <c r="G1604" s="6" t="str">
        <f>IFERROR(__xludf.DUMMYFUNCTION("""COMPUTED_VALUE"""),"#N/A")</f>
        <v>#N/A</v>
      </c>
      <c r="H1604" s="6"/>
      <c r="I1604" s="19"/>
      <c r="J1604" s="50"/>
      <c r="K1604" s="58"/>
      <c r="L1604" s="6">
        <v>30.0</v>
      </c>
      <c r="M1604" s="52" t="s">
        <v>655</v>
      </c>
      <c r="N1604" s="53" t="s">
        <v>698</v>
      </c>
      <c r="O1604" s="19"/>
      <c r="P1604" s="6"/>
      <c r="Q1604" s="6" t="str">
        <f t="shared" si="1"/>
        <v>#N/A</v>
      </c>
      <c r="R1604" s="6"/>
    </row>
    <row r="1605" hidden="1">
      <c r="A1605" s="31" t="str">
        <f>IFERROR(__xludf.DUMMYFUNCTION("""COMPUTED_VALUE"""),"н/д")</f>
        <v>н/д</v>
      </c>
      <c r="B1605" s="14" t="str">
        <f>IFERROR(__xludf.DUMMYFUNCTION("""COMPUTED_VALUE"""),"ВНЕ СПИСКА")</f>
        <v>ВНЕ СПИСКА</v>
      </c>
      <c r="C1605" s="14" t="str">
        <f>IFERROR(__xludf.DUMMYFUNCTION("""COMPUTED_VALUE"""),"ОКС")</f>
        <v>ОКС</v>
      </c>
      <c r="D1605" s="6" t="str">
        <f>IFERROR(__xludf.DUMMYFUNCTION("""COMPUTED_VALUE"""),"да")</f>
        <v>да</v>
      </c>
      <c r="E1605" s="14" t="str">
        <f>IFERROR(__xludf.DUMMYFUNCTION("""COMPUTED_VALUE"""),"ЖК «Тринити» Дмитровское ш.71к.3")</f>
        <v>ЖК «Тринити» Дмитровское ш.71к.3</v>
      </c>
      <c r="F1605" s="25" t="str">
        <f>IFERROR(__xludf.DUMMYFUNCTION("""COMPUTED_VALUE"""),"#N/A")</f>
        <v>#N/A</v>
      </c>
      <c r="G1605" s="6" t="str">
        <f>IFERROR(__xludf.DUMMYFUNCTION("""COMPUTED_VALUE"""),"#N/A")</f>
        <v>#N/A</v>
      </c>
      <c r="H1605" s="6"/>
      <c r="I1605" s="19"/>
      <c r="J1605" s="50"/>
      <c r="K1605" s="58"/>
      <c r="L1605" s="6">
        <v>30.0</v>
      </c>
      <c r="M1605" s="52" t="s">
        <v>655</v>
      </c>
      <c r="N1605" s="53" t="s">
        <v>698</v>
      </c>
      <c r="O1605" s="19" t="s">
        <v>669</v>
      </c>
      <c r="P1605" s="6"/>
      <c r="Q1605" s="6" t="str">
        <f t="shared" si="1"/>
        <v>#N/A</v>
      </c>
      <c r="R1605" s="6"/>
    </row>
    <row r="1606" hidden="1">
      <c r="A1606" s="31" t="str">
        <f>IFERROR(__xludf.DUMMYFUNCTION("""COMPUTED_VALUE"""),"н/д")</f>
        <v>н/д</v>
      </c>
      <c r="B1606" s="14" t="str">
        <f>IFERROR(__xludf.DUMMYFUNCTION("""COMPUTED_VALUE"""),"ВНЕ СПИСКА")</f>
        <v>ВНЕ СПИСКА</v>
      </c>
      <c r="C1606" s="14" t="str">
        <f>IFERROR(__xludf.DUMMYFUNCTION("""COMPUTED_VALUE"""),"ОКС")</f>
        <v>ОКС</v>
      </c>
      <c r="D1606" s="6" t="str">
        <f>IFERROR(__xludf.DUMMYFUNCTION("""COMPUTED_VALUE"""),"да")</f>
        <v>да</v>
      </c>
      <c r="E1606" s="14" t="str">
        <f>IFERROR(__xludf.DUMMYFUNCTION("""COMPUTED_VALUE"""),"Промышленный технопарк «Бекасово» вн. терр. пос. Киевский, кв.№75")</f>
        <v>Промышленный технопарк «Бекасово» вн. терр. пос. Киевский, кв.№75</v>
      </c>
      <c r="F1606" s="25" t="str">
        <f>IFERROR(__xludf.DUMMYFUNCTION("""COMPUTED_VALUE"""),"#N/A")</f>
        <v>#N/A</v>
      </c>
      <c r="G1606" s="6" t="str">
        <f>IFERROR(__xludf.DUMMYFUNCTION("""COMPUTED_VALUE"""),"#N/A")</f>
        <v>#N/A</v>
      </c>
      <c r="H1606" s="6"/>
      <c r="I1606" s="19"/>
      <c r="J1606" s="50"/>
      <c r="K1606" s="58"/>
      <c r="L1606" s="6">
        <v>30.0</v>
      </c>
      <c r="M1606" s="52" t="s">
        <v>655</v>
      </c>
      <c r="N1606" s="53" t="s">
        <v>698</v>
      </c>
      <c r="O1606" s="19"/>
      <c r="P1606" s="6"/>
      <c r="Q1606" s="6" t="str">
        <f t="shared" si="1"/>
        <v>#N/A</v>
      </c>
      <c r="R1606" s="6"/>
    </row>
    <row r="1607" hidden="1">
      <c r="A1607" s="31" t="str">
        <f>IFERROR(__xludf.DUMMYFUNCTION("""COMPUTED_VALUE"""),"н/д")</f>
        <v>н/д</v>
      </c>
      <c r="B1607" s="14" t="str">
        <f>IFERROR(__xludf.DUMMYFUNCTION("""COMPUTED_VALUE"""),"ВНЕ СПИСКА")</f>
        <v>ВНЕ СПИСКА</v>
      </c>
      <c r="C1607" s="14" t="str">
        <f>IFERROR(__xludf.DUMMYFUNCTION("""COMPUTED_VALUE"""),"ОКС")</f>
        <v>ОКС</v>
      </c>
      <c r="D1607" s="6" t="str">
        <f>IFERROR(__xludf.DUMMYFUNCTION("""COMPUTED_VALUE"""),"да")</f>
        <v>да</v>
      </c>
      <c r="E1607" s="14" t="str">
        <f>IFERROR(__xludf.DUMMYFUNCTION("""COMPUTED_VALUE"""),"АДЦ 1-й Силикатный, з.у. 13/1")</f>
        <v>АДЦ 1-й Силикатный, з.у. 13/1</v>
      </c>
      <c r="F1607" s="25" t="str">
        <f>IFERROR(__xludf.DUMMYFUNCTION("""COMPUTED_VALUE"""),"#N/A")</f>
        <v>#N/A</v>
      </c>
      <c r="G1607" s="6" t="str">
        <f>IFERROR(__xludf.DUMMYFUNCTION("""COMPUTED_VALUE"""),"#N/A")</f>
        <v>#N/A</v>
      </c>
      <c r="H1607" s="6"/>
      <c r="I1607" s="19"/>
      <c r="J1607" s="50"/>
      <c r="K1607" s="58"/>
      <c r="L1607" s="6">
        <v>30.0</v>
      </c>
      <c r="M1607" s="52" t="s">
        <v>655</v>
      </c>
      <c r="N1607" s="53" t="s">
        <v>698</v>
      </c>
      <c r="O1607" s="19"/>
      <c r="P1607" s="6"/>
      <c r="Q1607" s="6" t="str">
        <f t="shared" si="1"/>
        <v>#N/A</v>
      </c>
      <c r="R1607" s="6"/>
    </row>
    <row r="1608" hidden="1">
      <c r="A1608" s="31" t="str">
        <f>IFERROR(__xludf.DUMMYFUNCTION("""COMPUTED_VALUE"""),"н/д")</f>
        <v>н/д</v>
      </c>
      <c r="B1608" s="14" t="str">
        <f>IFERROR(__xludf.DUMMYFUNCTION("""COMPUTED_VALUE"""),"ВНЕ СПИСКА")</f>
        <v>ВНЕ СПИСКА</v>
      </c>
      <c r="C1608" s="14" t="str">
        <f>IFERROR(__xludf.DUMMYFUNCTION("""COMPUTED_VALUE"""),"ОКС")</f>
        <v>ОКС</v>
      </c>
      <c r="D1608" s="6" t="str">
        <f>IFERROR(__xludf.DUMMYFUNCTION("""COMPUTED_VALUE"""),"да")</f>
        <v>да</v>
      </c>
      <c r="E1608" s="14" t="str">
        <f>IFERROR(__xludf.DUMMYFUNCTION("""COMPUTED_VALUE"""),"ЖК ""Mypriority Пресня"" 1-й Силикатный, з.у. 13")</f>
        <v>ЖК "Mypriority Пресня" 1-й Силикатный, з.у. 13</v>
      </c>
      <c r="F1608" s="25" t="str">
        <f>IFERROR(__xludf.DUMMYFUNCTION("""COMPUTED_VALUE"""),"#N/A")</f>
        <v>#N/A</v>
      </c>
      <c r="G1608" s="6" t="str">
        <f>IFERROR(__xludf.DUMMYFUNCTION("""COMPUTED_VALUE"""),"#N/A")</f>
        <v>#N/A</v>
      </c>
      <c r="H1608" s="6"/>
      <c r="I1608" s="19"/>
      <c r="J1608" s="50"/>
      <c r="K1608" s="58"/>
      <c r="L1608" s="6">
        <v>30.0</v>
      </c>
      <c r="M1608" s="52" t="s">
        <v>655</v>
      </c>
      <c r="N1608" s="53" t="s">
        <v>698</v>
      </c>
      <c r="O1608" s="19"/>
      <c r="P1608" s="6"/>
      <c r="Q1608" s="6" t="str">
        <f t="shared" si="1"/>
        <v>#N/A</v>
      </c>
      <c r="R1608" s="6"/>
    </row>
    <row r="1609" hidden="1">
      <c r="A1609" s="31" t="str">
        <f>IFERROR(__xludf.DUMMYFUNCTION("""COMPUTED_VALUE"""),"н/д")</f>
        <v>н/д</v>
      </c>
      <c r="B1609" s="14" t="str">
        <f>IFERROR(__xludf.DUMMYFUNCTION("""COMPUTED_VALUE"""),"ВНЕ СПИСКА")</f>
        <v>ВНЕ СПИСКА</v>
      </c>
      <c r="C1609" s="14" t="str">
        <f>IFERROR(__xludf.DUMMYFUNCTION("""COMPUTED_VALUE"""),"ОКС")</f>
        <v>ОКС</v>
      </c>
      <c r="D1609" s="6" t="str">
        <f>IFERROR(__xludf.DUMMYFUNCTION("""COMPUTED_VALUE"""),"да")</f>
        <v>да</v>
      </c>
      <c r="E1609" s="14" t="str">
        <f>IFERROR(__xludf.DUMMYFUNCTION("""COMPUTED_VALUE"""),"Логистический ценнтр дер. Терехово")</f>
        <v>Логистический ценнтр дер. Терехово</v>
      </c>
      <c r="F1609" s="25" t="str">
        <f>IFERROR(__xludf.DUMMYFUNCTION("""COMPUTED_VALUE"""),"#N/A")</f>
        <v>#N/A</v>
      </c>
      <c r="G1609" s="6" t="str">
        <f>IFERROR(__xludf.DUMMYFUNCTION("""COMPUTED_VALUE"""),"#N/A")</f>
        <v>#N/A</v>
      </c>
      <c r="H1609" s="6"/>
      <c r="I1609" s="19"/>
      <c r="J1609" s="50"/>
      <c r="K1609" s="58"/>
      <c r="L1609" s="6">
        <v>30.0</v>
      </c>
      <c r="M1609" s="52" t="s">
        <v>655</v>
      </c>
      <c r="N1609" s="53" t="s">
        <v>698</v>
      </c>
      <c r="O1609" s="19" t="s">
        <v>669</v>
      </c>
      <c r="P1609" s="6"/>
      <c r="Q1609" s="6" t="str">
        <f t="shared" si="1"/>
        <v>#N/A</v>
      </c>
      <c r="R1609" s="6"/>
    </row>
    <row r="1610" hidden="1">
      <c r="A1610" s="31" t="str">
        <f>IFERROR(__xludf.DUMMYFUNCTION("""COMPUTED_VALUE"""),"н/д")</f>
        <v>н/д</v>
      </c>
      <c r="B1610" s="14" t="str">
        <f>IFERROR(__xludf.DUMMYFUNCTION("""COMPUTED_VALUE"""),"ВНЕ СПИСКА")</f>
        <v>ВНЕ СПИСКА</v>
      </c>
      <c r="C1610" s="14" t="str">
        <f>IFERROR(__xludf.DUMMYFUNCTION("""COMPUTED_VALUE"""),"ОКС")</f>
        <v>ОКС</v>
      </c>
      <c r="D1610" s="6" t="str">
        <f>IFERROR(__xludf.DUMMYFUNCTION("""COMPUTED_VALUE"""),"да")</f>
        <v>да</v>
      </c>
      <c r="E1610" s="14" t="str">
        <f>IFERROR(__xludf.DUMMYFUNCTION("""COMPUTED_VALUE"""),"УВК на 900 мест ул. Степана Эрьзи, уч.1")</f>
        <v>УВК на 900 мест ул. Степана Эрьзи, уч.1</v>
      </c>
      <c r="F1610" s="25" t="str">
        <f>IFERROR(__xludf.DUMMYFUNCTION("""COMPUTED_VALUE"""),"#N/A")</f>
        <v>#N/A</v>
      </c>
      <c r="G1610" s="6" t="str">
        <f>IFERROR(__xludf.DUMMYFUNCTION("""COMPUTED_VALUE"""),"#N/A")</f>
        <v>#N/A</v>
      </c>
      <c r="H1610" s="6"/>
      <c r="I1610" s="19"/>
      <c r="J1610" s="50"/>
      <c r="K1610" s="58"/>
      <c r="L1610" s="6">
        <v>30.0</v>
      </c>
      <c r="M1610" s="52" t="s">
        <v>655</v>
      </c>
      <c r="N1610" s="53" t="s">
        <v>698</v>
      </c>
      <c r="O1610" s="19"/>
      <c r="P1610" s="6"/>
      <c r="Q1610" s="6" t="str">
        <f t="shared" si="1"/>
        <v>#N/A</v>
      </c>
      <c r="R1610" s="6"/>
    </row>
    <row r="1611" hidden="1">
      <c r="A1611" s="31" t="str">
        <f>IFERROR(__xludf.DUMMYFUNCTION("""COMPUTED_VALUE"""),"н/д")</f>
        <v>н/д</v>
      </c>
      <c r="B1611" s="14" t="str">
        <f>IFERROR(__xludf.DUMMYFUNCTION("""COMPUTED_VALUE"""),"ВНЕ СПИСКА")</f>
        <v>ВНЕ СПИСКА</v>
      </c>
      <c r="C1611" s="14" t="str">
        <f>IFERROR(__xludf.DUMMYFUNCTION("""COMPUTED_VALUE"""),"ОКС")</f>
        <v>ОКС</v>
      </c>
      <c r="D1611" s="6" t="str">
        <f>IFERROR(__xludf.DUMMYFUNCTION("""COMPUTED_VALUE"""),"да")</f>
        <v>да</v>
      </c>
      <c r="E1611" s="14" t="str">
        <f>IFERROR(__xludf.DUMMYFUNCTION("""COMPUTED_VALUE"""),"ТЦ ""Дмитриевский"" улю Наташи Качуевской 5")</f>
        <v>ТЦ "Дмитриевский" улю Наташи Качуевской 5</v>
      </c>
      <c r="F1611" s="25" t="str">
        <f>IFERROR(__xludf.DUMMYFUNCTION("""COMPUTED_VALUE"""),"#N/A")</f>
        <v>#N/A</v>
      </c>
      <c r="G1611" s="6" t="str">
        <f>IFERROR(__xludf.DUMMYFUNCTION("""COMPUTED_VALUE"""),"#N/A")</f>
        <v>#N/A</v>
      </c>
      <c r="H1611" s="6"/>
      <c r="I1611" s="19"/>
      <c r="J1611" s="50"/>
      <c r="K1611" s="58"/>
      <c r="L1611" s="6">
        <v>30.0</v>
      </c>
      <c r="M1611" s="52" t="s">
        <v>655</v>
      </c>
      <c r="N1611" s="53" t="s">
        <v>698</v>
      </c>
      <c r="O1611" s="19" t="s">
        <v>1448</v>
      </c>
      <c r="P1611" s="6"/>
      <c r="Q1611" s="6" t="str">
        <f t="shared" si="1"/>
        <v>#N/A</v>
      </c>
      <c r="R1611" s="6"/>
    </row>
    <row r="1612" hidden="1">
      <c r="A1612" s="31" t="str">
        <f>IFERROR(__xludf.DUMMYFUNCTION("""COMPUTED_VALUE"""),"н/д")</f>
        <v>н/д</v>
      </c>
      <c r="B1612" s="14" t="str">
        <f>IFERROR(__xludf.DUMMYFUNCTION("""COMPUTED_VALUE"""),"ВНЕ СПИСКА")</f>
        <v>ВНЕ СПИСКА</v>
      </c>
      <c r="C1612" s="14" t="str">
        <f>IFERROR(__xludf.DUMMYFUNCTION("""COMPUTED_VALUE"""),"ОКС")</f>
        <v>ОКС</v>
      </c>
      <c r="D1612" s="6" t="str">
        <f>IFERROR(__xludf.DUMMYFUNCTION("""COMPUTED_VALUE"""),"да")</f>
        <v>да</v>
      </c>
      <c r="E1612" s="14" t="str">
        <f>IFERROR(__xludf.DUMMYFUNCTION("""COMPUTED_VALUE"""),"АДЦ ""Коммунарка"" вн. терр. пос. Сосенское, кв.№150, з/у 1Д")</f>
        <v>АДЦ "Коммунарка" вн. терр. пос. Сосенское, кв.№150, з/у 1Д</v>
      </c>
      <c r="F1612" s="25" t="str">
        <f>IFERROR(__xludf.DUMMYFUNCTION("""COMPUTED_VALUE"""),"#N/A")</f>
        <v>#N/A</v>
      </c>
      <c r="G1612" s="6" t="str">
        <f>IFERROR(__xludf.DUMMYFUNCTION("""COMPUTED_VALUE"""),"#N/A")</f>
        <v>#N/A</v>
      </c>
      <c r="H1612" s="6"/>
      <c r="I1612" s="19"/>
      <c r="J1612" s="50"/>
      <c r="K1612" s="58"/>
      <c r="L1612" s="6">
        <v>30.0</v>
      </c>
      <c r="M1612" s="52" t="s">
        <v>655</v>
      </c>
      <c r="N1612" s="53" t="s">
        <v>698</v>
      </c>
      <c r="O1612" s="19"/>
      <c r="P1612" s="6"/>
      <c r="Q1612" s="6" t="str">
        <f t="shared" si="1"/>
        <v>#N/A</v>
      </c>
      <c r="R1612" s="6"/>
    </row>
    <row r="1613" hidden="1">
      <c r="A1613" s="31" t="str">
        <f>IFERROR(__xludf.DUMMYFUNCTION("""COMPUTED_VALUE"""),"1352")</f>
        <v>1352</v>
      </c>
      <c r="B1613" s="14" t="str">
        <f>IFERROR(__xludf.DUMMYFUNCTION("""COMPUTED_VALUE"""),"ДРНТ")</f>
        <v>ДРНТ</v>
      </c>
      <c r="C1613" s="14" t="str">
        <f>IFERROR(__xludf.DUMMYFUNCTION("""COMPUTED_VALUE"""),"ОКС")</f>
        <v>ОКС</v>
      </c>
      <c r="D1613" s="6" t="str">
        <f>IFERROR(__xludf.DUMMYFUNCTION("""COMPUTED_VALUE"""),"да")</f>
        <v>да</v>
      </c>
      <c r="E1613" s="14" t="str">
        <f>IFERROR(__xludf.DUMMYFUNCTION("""COMPUTED_VALUE"""),"ЖК Лучи, 2-й этап, к8, Этап 2 Производственная ул., з/у 25/1 77:07:0015006:4837")</f>
        <v>ЖК Лучи, 2-й этап, к8, Этап 2 Производственная ул., з/у 25/1 77:07:0015006:4837</v>
      </c>
      <c r="F1613" s="25" t="str">
        <f>IFERROR(__xludf.DUMMYFUNCTION("""COMPUTED_VALUE"""),"55.641967")</f>
        <v>55.641967</v>
      </c>
      <c r="G1613" s="6" t="str">
        <f>IFERROR(__xludf.DUMMYFUNCTION("""COMPUTED_VALUE"""),"37.377851")</f>
        <v>37.377851</v>
      </c>
      <c r="H1613" s="18" t="str">
        <f>IFERROR(__xludf.DUMMYFUNCTION("""COMPUTED_VALUE"""),"https://docs.google.com/spreadsheets/d/19THEBTE9q0fhN2eApZr6BgenIvLGh0AckaYxHQfHk5w/edit?gid=1835030913#gid=1835030913")</f>
        <v>https://docs.google.com/spreadsheets/d/19THEBTE9q0fhN2eApZr6BgenIvLGh0AckaYxHQfHk5w/edit?gid=1835030913#gid=1835030913</v>
      </c>
      <c r="I1613" s="19"/>
      <c r="J1613" s="50"/>
      <c r="K1613" s="58">
        <f>IFERROR(__xludf.DUMMYFUNCTION("""COMPUTED_VALUE"""),45960.0)</f>
        <v>45960</v>
      </c>
      <c r="L1613" s="6">
        <v>30.0</v>
      </c>
      <c r="M1613" s="52">
        <v>45990.0</v>
      </c>
      <c r="N1613" s="53" t="s">
        <v>692</v>
      </c>
      <c r="O1613" s="19" t="s">
        <v>1449</v>
      </c>
      <c r="P1613" s="6"/>
      <c r="Q1613" s="6" t="str">
        <f t="shared" si="1"/>
        <v>#N/A</v>
      </c>
      <c r="R1613" s="6"/>
    </row>
    <row r="1614" hidden="1">
      <c r="A1614" s="31" t="str">
        <f>IFERROR(__xludf.DUMMYFUNCTION("""COMPUTED_VALUE"""),"1354")</f>
        <v>1354</v>
      </c>
      <c r="B1614" s="14" t="str">
        <f>IFERROR(__xludf.DUMMYFUNCTION("""COMPUTED_VALUE"""),"РЕН-26")</f>
        <v>РЕН-26</v>
      </c>
      <c r="C1614" s="14" t="str">
        <f>IFERROR(__xludf.DUMMYFUNCTION("""COMPUTED_VALUE"""),"ОКС")</f>
        <v>ОКС</v>
      </c>
      <c r="D1614" s="6"/>
      <c r="E1614" s="14" t="str">
        <f>IFERROR(__xludf.DUMMYFUNCTION("""COMPUTED_VALUE"""),"Москва, Сельскохозяйственная улица, 7/1 Москва, Сельскохозяйственная улица, 7/1")</f>
        <v>Москва, Сельскохозяйственная улица, 7/1 Москва, Сельскохозяйственная улица, 7/1</v>
      </c>
      <c r="F1614" s="25" t="str">
        <f>IFERROR(__xludf.DUMMYFUNCTION("""COMPUTED_VALUE"""),"55.833147")</f>
        <v>55.833147</v>
      </c>
      <c r="G1614" s="6" t="str">
        <f>IFERROR(__xludf.DUMMYFUNCTION("""COMPUTED_VALUE"""),"37.64904")</f>
        <v>37.64904</v>
      </c>
      <c r="H1614" s="18" t="str">
        <f>IFERROR(__xludf.DUMMYFUNCTION("""COMPUTED_VALUE"""),"https://docs.google.com/spreadsheets/d/1rbCD10ySi4YZEkJW2_Slmn9z7AI1WEsGsZaIJmnnT18/edit?gid=665598290#gid=665598290")</f>
        <v>https://docs.google.com/spreadsheets/d/1rbCD10ySi4YZEkJW2_Slmn9z7AI1WEsGsZaIJmnnT18/edit?gid=665598290#gid=665598290</v>
      </c>
      <c r="I1614" s="19"/>
      <c r="J1614" s="50"/>
      <c r="K1614" s="58">
        <f>IFERROR(__xludf.DUMMYFUNCTION("""COMPUTED_VALUE"""),45960.0)</f>
        <v>45960</v>
      </c>
      <c r="L1614" s="6">
        <v>30.0</v>
      </c>
      <c r="M1614" s="52">
        <v>45990.0</v>
      </c>
      <c r="N1614" s="53" t="s">
        <v>692</v>
      </c>
      <c r="O1614" s="19" t="s">
        <v>1450</v>
      </c>
      <c r="P1614" s="6"/>
      <c r="Q1614" s="6" t="str">
        <f t="shared" si="1"/>
        <v>#N/A</v>
      </c>
      <c r="R1614" s="6"/>
    </row>
    <row r="1615" hidden="1">
      <c r="A1615" s="31" t="str">
        <f>IFERROR(__xludf.DUMMYFUNCTION("""COMPUTED_VALUE"""),"1355")</f>
        <v>1355</v>
      </c>
      <c r="B1615" s="14" t="str">
        <f>IFERROR(__xludf.DUMMYFUNCTION("""COMPUTED_VALUE"""),"РЕН-27")</f>
        <v>РЕН-27</v>
      </c>
      <c r="C1615" s="14" t="str">
        <f>IFERROR(__xludf.DUMMYFUNCTION("""COMPUTED_VALUE"""),"ОКС")</f>
        <v>ОКС</v>
      </c>
      <c r="D1615" s="6"/>
      <c r="E1615" s="14" t="str">
        <f>IFERROR(__xludf.DUMMYFUNCTION("""COMPUTED_VALUE"""),"Волочаевская ул. 40А, Красноказарменная ул., д.2, к.1, Золоторожский пр-д, д.2, к.1 Волочаевская ул. 40А, Красноказарменная ул., д.2, к.1, Золоторожский пр-д, д.2, к.1")</f>
        <v>Волочаевская ул. 40А, Красноказарменная ул., д.2, к.1, Золоторожский пр-д, д.2, к.1 Волочаевская ул. 40А, Красноказарменная ул., д.2, к.1, Золоторожский пр-д, д.2, к.1</v>
      </c>
      <c r="F1615" s="25" t="str">
        <f>IFERROR(__xludf.DUMMYFUNCTION("""COMPUTED_VALUE"""),"55.751087")</f>
        <v>55.751087</v>
      </c>
      <c r="G1615" s="6" t="str">
        <f>IFERROR(__xludf.DUMMYFUNCTION("""COMPUTED_VALUE"""),"37.677095")</f>
        <v>37.677095</v>
      </c>
      <c r="H1615" s="18" t="str">
        <f>IFERROR(__xludf.DUMMYFUNCTION("""COMPUTED_VALUE"""),"https://docs.google.com/spreadsheets/d/1lEcUd4exxkr5Za3IYZ0vdFNfMubnuMOOMXfmF3GYC9I/edit?gid=364805079#gid=364805079")</f>
        <v>https://docs.google.com/spreadsheets/d/1lEcUd4exxkr5Za3IYZ0vdFNfMubnuMOOMXfmF3GYC9I/edit?gid=364805079#gid=364805079</v>
      </c>
      <c r="I1615" s="19"/>
      <c r="J1615" s="50"/>
      <c r="K1615" s="58">
        <f>IFERROR(__xludf.DUMMYFUNCTION("""COMPUTED_VALUE"""),45960.0)</f>
        <v>45960</v>
      </c>
      <c r="L1615" s="6">
        <v>30.0</v>
      </c>
      <c r="M1615" s="52">
        <v>45990.0</v>
      </c>
      <c r="N1615" s="53" t="s">
        <v>692</v>
      </c>
      <c r="O1615" s="19" t="s">
        <v>1451</v>
      </c>
      <c r="P1615" s="6"/>
      <c r="Q1615" s="6" t="str">
        <f t="shared" si="1"/>
        <v>#N/A</v>
      </c>
      <c r="R1615" s="6"/>
    </row>
    <row r="1616" hidden="1">
      <c r="A1616" s="31" t="str">
        <f>IFERROR(__xludf.DUMMYFUNCTION("""COMPUTED_VALUE"""),"1356")</f>
        <v>1356</v>
      </c>
      <c r="B1616" s="14" t="str">
        <f>IFERROR(__xludf.DUMMYFUNCTION("""COMPUTED_VALUE"""),"ВНЕ СПИСКА")</f>
        <v>ВНЕ СПИСКА</v>
      </c>
      <c r="C1616" s="14" t="str">
        <f>IFERROR(__xludf.DUMMYFUNCTION("""COMPUTED_VALUE"""),"ОКС")</f>
        <v>ОКС</v>
      </c>
      <c r="D1616" s="6"/>
      <c r="E1616" s="14" t="str">
        <f>IFERROR(__xludf.DUMMYFUNCTION("""COMPUTED_VALUE"""),"04-2600\93-2605.Отводящие трубопроводы от Измайловской канализационной насосной станции (1 пусковой комплекс) (переустройство водопроводной сети) ИЗМАЙЛОВО от шоссе Энтузиастов до улицы Измайловский Вал")</f>
        <v>04-2600\93-2605.Отводящие трубопроводы от Измайловской канализационной насосной станции (1 пусковой комплекс) (переустройство водопроводной сети) ИЗМАЙЛОВО от шоссе Энтузиастов до улицы Измайловский Вал</v>
      </c>
      <c r="F1616" s="25" t="str">
        <f>IFERROR(__xludf.DUMMYFUNCTION("""COMPUTED_VALUE"""),"55.789931")</f>
        <v>55.789931</v>
      </c>
      <c r="G1616" s="6" t="str">
        <f>IFERROR(__xludf.DUMMYFUNCTION("""COMPUTED_VALUE"""),"37.745886")</f>
        <v>37.745886</v>
      </c>
      <c r="H1616" s="18" t="str">
        <f>IFERROR(__xludf.DUMMYFUNCTION("""COMPUTED_VALUE"""),"https://docs.google.com/spreadsheets/d/1EI7qusa674eJhuaw-nWWtWMEHVSYMQv7HLsInEZTWpE/edit?gid=1464012172#gid=1464012172")</f>
        <v>https://docs.google.com/spreadsheets/d/1EI7qusa674eJhuaw-nWWtWMEHVSYMQv7HLsInEZTWpE/edit?gid=1464012172#gid=1464012172</v>
      </c>
      <c r="I1616" s="19"/>
      <c r="J1616" s="50"/>
      <c r="K1616" s="58">
        <f>IFERROR(__xludf.DUMMYFUNCTION("""COMPUTED_VALUE"""),45962.0)</f>
        <v>45962</v>
      </c>
      <c r="L1616" s="6">
        <v>30.0</v>
      </c>
      <c r="M1616" s="52">
        <v>45992.0</v>
      </c>
      <c r="N1616" s="53" t="s">
        <v>692</v>
      </c>
      <c r="O1616" s="19" t="s">
        <v>1452</v>
      </c>
      <c r="P1616" s="6"/>
      <c r="Q1616" s="6" t="str">
        <f t="shared" si="1"/>
        <v>#N/A</v>
      </c>
      <c r="R1616" s="6"/>
    </row>
    <row r="1617" hidden="1">
      <c r="A1617" s="31" t="str">
        <f>IFERROR(__xludf.DUMMYFUNCTION("""COMPUTED_VALUE"""),"нд")</f>
        <v>нд</v>
      </c>
      <c r="B1617" s="14" t="str">
        <f>IFERROR(__xludf.DUMMYFUNCTION("""COMPUTED_VALUE"""),"ВНЕ СПИСКА")</f>
        <v>ВНЕ СПИСКА</v>
      </c>
      <c r="C1617" s="14" t="str">
        <f>IFERROR(__xludf.DUMMYFUNCTION("""COMPUTED_VALUE"""),"ОКС")</f>
        <v>ОКС</v>
      </c>
      <c r="D1617" s="6" t="str">
        <f>IFERROR(__xludf.DUMMYFUNCTION("""COMPUTED_VALUE"""),"да")</f>
        <v>да</v>
      </c>
      <c r="E1617" s="14" t="str">
        <f>IFERROR(__xludf.DUMMYFUNCTION("""COMPUTED_VALUE"""),"Московский патриархат Храм по адресу: г. Москва, Зеленый проспект, вл. 26-28")</f>
        <v>Московский патриархат Храм по адресу: г. Москва, Зеленый проспект, вл. 26-28</v>
      </c>
      <c r="F1617" s="25" t="str">
        <f>IFERROR(__xludf.DUMMYFUNCTION("""COMPUTED_VALUE"""),"#N/A")</f>
        <v>#N/A</v>
      </c>
      <c r="G1617" s="6" t="str">
        <f>IFERROR(__xludf.DUMMYFUNCTION("""COMPUTED_VALUE"""),"#N/A")</f>
        <v>#N/A</v>
      </c>
      <c r="H1617" s="6"/>
      <c r="I1617" s="19"/>
      <c r="J1617" s="50"/>
      <c r="K1617" s="58"/>
      <c r="L1617" s="6">
        <v>30.0</v>
      </c>
      <c r="M1617" s="52" t="s">
        <v>655</v>
      </c>
      <c r="N1617" s="53" t="s">
        <v>698</v>
      </c>
      <c r="O1617" s="19" t="s">
        <v>1453</v>
      </c>
      <c r="P1617" s="6"/>
      <c r="Q1617" s="6" t="str">
        <f t="shared" si="1"/>
        <v>#N/A</v>
      </c>
      <c r="R1617" s="6"/>
    </row>
    <row r="1618" hidden="1">
      <c r="A1618" s="31" t="str">
        <f>IFERROR(__xludf.DUMMYFUNCTION("""COMPUTED_VALUE"""),"1358")</f>
        <v>1358</v>
      </c>
      <c r="B1618" s="14" t="str">
        <f>IFERROR(__xludf.DUMMYFUNCTION("""COMPUTED_VALUE"""),"ВНЕ СПИСКА")</f>
        <v>ВНЕ СПИСКА</v>
      </c>
      <c r="C1618" s="14" t="str">
        <f>IFERROR(__xludf.DUMMYFUNCTION("""COMPUTED_VALUE"""),"ОКС")</f>
        <v>ОКС</v>
      </c>
      <c r="D1618" s="6"/>
      <c r="E1618" s="14" t="str">
        <f>IFERROR(__xludf.DUMMYFUNCTION("""COMPUTED_VALUE"""),"Проектирование и строительство водовода Д=400 мм со строительством ВРУ ""Кокошкино"", ВРУ ""Власово"", ВРУ ""Крекшино"" пос. Марушкинское, д.Кокошкино, д. Власово, д.Крекшино")</f>
        <v>Проектирование и строительство водовода Д=400 мм со строительством ВРУ "Кокошкино", ВРУ "Власово", ВРУ "Крекшино" пос. Марушкинское, д.Кокошкино, д. Власово, д.Крекшино</v>
      </c>
      <c r="F1618" s="25" t="str">
        <f>IFERROR(__xludf.DUMMYFUNCTION("""COMPUTED_VALUE"""),"#N/A")</f>
        <v>#N/A</v>
      </c>
      <c r="G1618" s="6" t="str">
        <f>IFERROR(__xludf.DUMMYFUNCTION("""COMPUTED_VALUE"""),"#N/A")</f>
        <v>#N/A</v>
      </c>
      <c r="H1618" s="18" t="str">
        <f>IFERROR(__xludf.DUMMYFUNCTION("""COMPUTED_VALUE"""),"https://docs.google.com/spreadsheets/d/1EI7qusa674eJhuaw-nWWtWMEHVSYMQv7HLsInEZTWpE/edit?gid=1212683090#gid=1212683090")</f>
        <v>https://docs.google.com/spreadsheets/d/1EI7qusa674eJhuaw-nWWtWMEHVSYMQv7HLsInEZTWpE/edit?gid=1212683090#gid=1212683090</v>
      </c>
      <c r="I1618" s="19"/>
      <c r="J1618" s="50"/>
      <c r="K1618" s="58">
        <f>IFERROR(__xludf.DUMMYFUNCTION("""COMPUTED_VALUE"""),45962.0)</f>
        <v>45962</v>
      </c>
      <c r="L1618" s="6">
        <v>30.0</v>
      </c>
      <c r="M1618" s="52">
        <v>45992.0</v>
      </c>
      <c r="N1618" s="53" t="s">
        <v>692</v>
      </c>
      <c r="O1618" s="19" t="s">
        <v>1454</v>
      </c>
      <c r="P1618" s="6"/>
      <c r="Q1618" s="6" t="str">
        <f t="shared" si="1"/>
        <v>#N/A</v>
      </c>
      <c r="R1618" s="6"/>
    </row>
    <row r="1619" hidden="1">
      <c r="A1619" s="31" t="str">
        <f>IFERROR(__xludf.DUMMYFUNCTION("""COMPUTED_VALUE"""),"нд")</f>
        <v>нд</v>
      </c>
      <c r="B1619" s="14" t="str">
        <f>IFERROR(__xludf.DUMMYFUNCTION("""COMPUTED_VALUE"""),"ВНЕ СПИСКА")</f>
        <v>ВНЕ СПИСКА</v>
      </c>
      <c r="C1619" s="14"/>
      <c r="D1619" s="6"/>
      <c r="E1619" s="14" t="str">
        <f>IFERROR(__xludf.DUMMYFUNCTION("""COMPUTED_VALUE"""),"Очистное сооружение по адресу: мкр. 65, 67, 68, кв-л 103, 104, 105, 106 р-на Котловка Нагорная улица, 3с2")</f>
        <v>Очистное сооружение по адресу: мкр. 65, 67, 68, кв-л 103, 104, 105, 106 р-на Котловка Нагорная улица, 3с2</v>
      </c>
      <c r="F1619" s="25" t="str">
        <f>IFERROR(__xludf.DUMMYFUNCTION("""COMPUTED_VALUE"""),"#N/A")</f>
        <v>#N/A</v>
      </c>
      <c r="G1619" s="6" t="str">
        <f>IFERROR(__xludf.DUMMYFUNCTION("""COMPUTED_VALUE"""),"#N/A")</f>
        <v>#N/A</v>
      </c>
      <c r="H1619" s="6"/>
      <c r="I1619" s="19"/>
      <c r="J1619" s="50"/>
      <c r="K1619" s="58"/>
      <c r="L1619" s="6">
        <v>30.0</v>
      </c>
      <c r="M1619" s="52" t="s">
        <v>655</v>
      </c>
      <c r="N1619" s="53" t="s">
        <v>698</v>
      </c>
      <c r="O1619" s="19" t="s">
        <v>1455</v>
      </c>
      <c r="P1619" s="6"/>
      <c r="Q1619" s="6" t="str">
        <f t="shared" si="1"/>
        <v>#N/A</v>
      </c>
      <c r="R1619" s="6"/>
    </row>
    <row r="1620" hidden="1">
      <c r="A1620" s="31" t="str">
        <f>IFERROR(__xludf.DUMMYFUNCTION("""COMPUTED_VALUE"""),"нд")</f>
        <v>нд</v>
      </c>
      <c r="B1620" s="14" t="str">
        <f>IFERROR(__xludf.DUMMYFUNCTION("""COMPUTED_VALUE"""),"ВНЕ СПИСКА")</f>
        <v>ВНЕ СПИСКА</v>
      </c>
      <c r="C1620" s="14" t="str">
        <f>IFERROR(__xludf.DUMMYFUNCTION("""COMPUTED_VALUE"""),"ОКС")</f>
        <v>ОКС</v>
      </c>
      <c r="D1620" s="6"/>
      <c r="E1620" s="14" t="str">
        <f>IFERROR(__xludf.DUMMYFUNCTION("""COMPUTED_VALUE"""),"Жилой дом с инженерными сетями и благоустройством территории (со сносом нежилого здания по адресу: пр-кт Будённого, д.47Б, стр.1), ВАО, внутригородская территория муниципальный округ Соколиная Гора, Соколиной Горы 3-я улица д. 9 (Проспект Буденного, вл. 4"&amp;"7Б/1) 3-я улица Соколиной горы, 9 (Проспект Буденного ул., вл. 47Б/1)")</f>
        <v>Жилой дом с инженерными сетями и благоустройством территории (со сносом нежилого здания по адресу: пр-кт Будённого, д.47Б, стр.1), ВАО, внутригородская территория муниципальный округ Соколиная Гора, Соколиной Горы 3-я улица д. 9 (Проспект Буденного, вл. 47Б/1) 3-я улица Соколиной горы, 9 (Проспект Буденного ул., вл. 47Б/1)</v>
      </c>
      <c r="F1620" s="25" t="str">
        <f>IFERROR(__xludf.DUMMYFUNCTION("""COMPUTED_VALUE"""),"#N/A")</f>
        <v>#N/A</v>
      </c>
      <c r="G1620" s="6" t="str">
        <f>IFERROR(__xludf.DUMMYFUNCTION("""COMPUTED_VALUE"""),"#N/A")</f>
        <v>#N/A</v>
      </c>
      <c r="H1620" s="6"/>
      <c r="I1620" s="19"/>
      <c r="J1620" s="50"/>
      <c r="K1620" s="58"/>
      <c r="L1620" s="6">
        <v>30.0</v>
      </c>
      <c r="M1620" s="52" t="s">
        <v>655</v>
      </c>
      <c r="N1620" s="53" t="s">
        <v>652</v>
      </c>
      <c r="O1620" s="19" t="s">
        <v>1456</v>
      </c>
      <c r="P1620" s="6"/>
      <c r="Q1620" s="6" t="str">
        <f t="shared" si="1"/>
        <v>#N/A</v>
      </c>
      <c r="R1620" s="6"/>
    </row>
    <row r="1621" hidden="1">
      <c r="A1621" s="31" t="str">
        <f>IFERROR(__xludf.DUMMYFUNCTION("""COMPUTED_VALUE"""),"нд")</f>
        <v>нд</v>
      </c>
      <c r="B1621" s="14" t="str">
        <f>IFERROR(__xludf.DUMMYFUNCTION("""COMPUTED_VALUE"""),"ВНЕ СПИСКА")</f>
        <v>ВНЕ СПИСКА</v>
      </c>
      <c r="C1621" s="14" t="str">
        <f>IFERROR(__xludf.DUMMYFUNCTION("""COMPUTED_VALUE"""),"ОКС")</f>
        <v>ОКС</v>
      </c>
      <c r="D1621" s="6" t="str">
        <f>IFERROR(__xludf.DUMMYFUNCTION("""COMPUTED_VALUE"""),"да")</f>
        <v>да</v>
      </c>
      <c r="E1621" s="14" t="str">
        <f>IFERROR(__xludf.DUMMYFUNCTION("""COMPUTED_VALUE"""),"Дошкольное образовательное учреждение на 90 мест Муравская ул., д.46, корп.5")</f>
        <v>Дошкольное образовательное учреждение на 90 мест Муравская ул., д.46, корп.5</v>
      </c>
      <c r="F1621" s="25" t="str">
        <f>IFERROR(__xludf.DUMMYFUNCTION("""COMPUTED_VALUE"""),"#N/A")</f>
        <v>#N/A</v>
      </c>
      <c r="G1621" s="6" t="str">
        <f>IFERROR(__xludf.DUMMYFUNCTION("""COMPUTED_VALUE"""),"#N/A")</f>
        <v>#N/A</v>
      </c>
      <c r="H1621" s="6"/>
      <c r="I1621" s="19"/>
      <c r="J1621" s="50"/>
      <c r="K1621" s="58"/>
      <c r="L1621" s="6">
        <v>30.0</v>
      </c>
      <c r="M1621" s="52" t="s">
        <v>655</v>
      </c>
      <c r="N1621" s="53" t="s">
        <v>652</v>
      </c>
      <c r="O1621" s="19" t="s">
        <v>1457</v>
      </c>
      <c r="P1621" s="6"/>
      <c r="Q1621" s="6" t="str">
        <f t="shared" si="1"/>
        <v>#N/A</v>
      </c>
      <c r="R1621" s="6"/>
    </row>
    <row r="1622" hidden="1">
      <c r="A1622" s="31" t="str">
        <f>IFERROR(__xludf.DUMMYFUNCTION("""COMPUTED_VALUE"""),"нд")</f>
        <v>нд</v>
      </c>
      <c r="B1622" s="14" t="str">
        <f>IFERROR(__xludf.DUMMYFUNCTION("""COMPUTED_VALUE"""),"ВНЕ СПИСКА")</f>
        <v>ВНЕ СПИСКА</v>
      </c>
      <c r="C1622" s="14" t="str">
        <f>IFERROR(__xludf.DUMMYFUNCTION("""COMPUTED_VALUE"""),"ОКС")</f>
        <v>ОКС</v>
      </c>
      <c r="D1622" s="6" t="str">
        <f>IFERROR(__xludf.DUMMYFUNCTION("""COMPUTED_VALUE"""),"да")</f>
        <v>да</v>
      </c>
      <c r="E1622" s="14" t="str">
        <f>IFERROR(__xludf.DUMMYFUNCTION("""COMPUTED_VALUE"""),"Дошкольное образовательное учреждение (ДОУ) на 150 мест Муравская ул., д.44А")</f>
        <v>Дошкольное образовательное учреждение (ДОУ) на 150 мест Муравская ул., д.44А</v>
      </c>
      <c r="F1622" s="25" t="str">
        <f>IFERROR(__xludf.DUMMYFUNCTION("""COMPUTED_VALUE"""),"#N/A")</f>
        <v>#N/A</v>
      </c>
      <c r="G1622" s="6" t="str">
        <f>IFERROR(__xludf.DUMMYFUNCTION("""COMPUTED_VALUE"""),"#N/A")</f>
        <v>#N/A</v>
      </c>
      <c r="H1622" s="6"/>
      <c r="I1622" s="19"/>
      <c r="J1622" s="50"/>
      <c r="K1622" s="58"/>
      <c r="L1622" s="6">
        <v>30.0</v>
      </c>
      <c r="M1622" s="52" t="s">
        <v>655</v>
      </c>
      <c r="N1622" s="53" t="s">
        <v>652</v>
      </c>
      <c r="O1622" s="19" t="s">
        <v>1458</v>
      </c>
      <c r="P1622" s="6"/>
      <c r="Q1622" s="6" t="str">
        <f t="shared" si="1"/>
        <v>#N/A</v>
      </c>
      <c r="R1622" s="6"/>
    </row>
    <row r="1623" hidden="1">
      <c r="A1623" s="31" t="str">
        <f>IFERROR(__xludf.DUMMYFUNCTION("""COMPUTED_VALUE"""),"нд")</f>
        <v>нд</v>
      </c>
      <c r="B1623" s="14" t="str">
        <f>IFERROR(__xludf.DUMMYFUNCTION("""COMPUTED_VALUE"""),"ВНЕ СПИСКА")</f>
        <v>ВНЕ СПИСКА</v>
      </c>
      <c r="C1623" s="14" t="str">
        <f>IFERROR(__xludf.DUMMYFUNCTION("""COMPUTED_VALUE"""),"ОКС")</f>
        <v>ОКС</v>
      </c>
      <c r="D1623" s="6"/>
      <c r="E1623" s="14" t="str">
        <f>IFERROR(__xludf.DUMMYFUNCTION("""COMPUTED_VALUE"""),"8-Я ТЕКСТИЛЬЩИКОВ УЛ., ВЛ.2 Пристройка поликлинич. отделения ГБУЗ МНПЦ борьбы с туберкулезом ДЗМ 8-Я ТЕКСТИЛЬЩИКОВ УЛ., ВЛ.2 СТР. 1")</f>
        <v>8-Я ТЕКСТИЛЬЩИКОВ УЛ., ВЛ.2 Пристройка поликлинич. отделения ГБУЗ МНПЦ борьбы с туберкулезом ДЗМ 8-Я ТЕКСТИЛЬЩИКОВ УЛ., ВЛ.2 СТР. 1</v>
      </c>
      <c r="F1623" s="25" t="str">
        <f>IFERROR(__xludf.DUMMYFUNCTION("""COMPUTED_VALUE"""),"#N/A")</f>
        <v>#N/A</v>
      </c>
      <c r="G1623" s="6" t="str">
        <f>IFERROR(__xludf.DUMMYFUNCTION("""COMPUTED_VALUE"""),"#N/A")</f>
        <v>#N/A</v>
      </c>
      <c r="H1623" s="6"/>
      <c r="I1623" s="19"/>
      <c r="J1623" s="50"/>
      <c r="K1623" s="58"/>
      <c r="L1623" s="6">
        <v>30.0</v>
      </c>
      <c r="M1623" s="52" t="s">
        <v>655</v>
      </c>
      <c r="N1623" s="53" t="s">
        <v>698</v>
      </c>
      <c r="O1623" s="19"/>
      <c r="P1623" s="6"/>
      <c r="Q1623" s="6" t="str">
        <f t="shared" si="1"/>
        <v>#N/A</v>
      </c>
      <c r="R1623" s="6"/>
    </row>
    <row r="1624" hidden="1">
      <c r="A1624" s="31" t="str">
        <f>IFERROR(__xludf.DUMMYFUNCTION("""COMPUTED_VALUE"""),"нд")</f>
        <v>нд</v>
      </c>
      <c r="B1624" s="14" t="str">
        <f>IFERROR(__xludf.DUMMYFUNCTION("""COMPUTED_VALUE"""),"ВНЕ СПИСКА")</f>
        <v>ВНЕ СПИСКА</v>
      </c>
      <c r="C1624" s="14" t="str">
        <f>IFERROR(__xludf.DUMMYFUNCTION("""COMPUTED_VALUE"""),"ОКС")</f>
        <v>ОКС</v>
      </c>
      <c r="D1624" s="6"/>
      <c r="E1624" s="14" t="str">
        <f>IFERROR(__xludf.DUMMYFUNCTION("""COMPUTED_VALUE"""),"Строительство пристройки ГБУЗ Городская клиническая больница им. И.В. Давыдковского Департамента здравоохранения города Москвы для устройства вертикального транспорта Яузская ул. вл. 11/6 (Николоямская ул., д.16-2)")</f>
        <v>Строительство пристройки ГБУЗ Городская клиническая больница им. И.В. Давыдковского Департамента здравоохранения города Москвы для устройства вертикального транспорта Яузская ул. вл. 11/6 (Николоямская ул., д.16-2)</v>
      </c>
      <c r="F1624" s="25" t="str">
        <f>IFERROR(__xludf.DUMMYFUNCTION("""COMPUTED_VALUE"""),"#N/A")</f>
        <v>#N/A</v>
      </c>
      <c r="G1624" s="6" t="str">
        <f>IFERROR(__xludf.DUMMYFUNCTION("""COMPUTED_VALUE"""),"#N/A")</f>
        <v>#N/A</v>
      </c>
      <c r="H1624" s="6"/>
      <c r="I1624" s="19"/>
      <c r="J1624" s="50"/>
      <c r="K1624" s="58"/>
      <c r="L1624" s="6">
        <v>30.0</v>
      </c>
      <c r="M1624" s="52" t="s">
        <v>655</v>
      </c>
      <c r="N1624" s="53" t="s">
        <v>698</v>
      </c>
      <c r="O1624" s="19"/>
      <c r="P1624" s="6"/>
      <c r="Q1624" s="6" t="str">
        <f t="shared" si="1"/>
        <v>#N/A</v>
      </c>
      <c r="R1624" s="6"/>
    </row>
    <row r="1625" hidden="1">
      <c r="A1625" s="31" t="str">
        <f>IFERROR(__xludf.DUMMYFUNCTION("""COMPUTED_VALUE"""),"нд")</f>
        <v>нд</v>
      </c>
      <c r="B1625" s="14" t="str">
        <f>IFERROR(__xludf.DUMMYFUNCTION("""COMPUTED_VALUE"""),"ВНЕ СПИСКА")</f>
        <v>ВНЕ СПИСКА</v>
      </c>
      <c r="C1625" s="14" t="str">
        <f>IFERROR(__xludf.DUMMYFUNCTION("""COMPUTED_VALUE"""),"ОКС")</f>
        <v>ОКС</v>
      </c>
      <c r="D1625" s="6" t="str">
        <f>IFERROR(__xludf.DUMMYFUNCTION("""COMPUTED_VALUE"""),"да")</f>
        <v>да</v>
      </c>
      <c r="E1625" s="14" t="str">
        <f>IFERROR(__xludf.DUMMYFUNCTION("""COMPUTED_VALUE"""),"Нежилое здание обслуживания жилой застройки улица Народного Ополчения, земельный участок 15")</f>
        <v>Нежилое здание обслуживания жилой застройки улица Народного Ополчения, земельный участок 15</v>
      </c>
      <c r="F1625" s="25" t="str">
        <f>IFERROR(__xludf.DUMMYFUNCTION("""COMPUTED_VALUE"""),"#N/A")</f>
        <v>#N/A</v>
      </c>
      <c r="G1625" s="6" t="str">
        <f>IFERROR(__xludf.DUMMYFUNCTION("""COMPUTED_VALUE"""),"#N/A")</f>
        <v>#N/A</v>
      </c>
      <c r="H1625" s="6"/>
      <c r="I1625" s="19"/>
      <c r="J1625" s="50"/>
      <c r="K1625" s="58"/>
      <c r="L1625" s="6">
        <v>30.0</v>
      </c>
      <c r="M1625" s="52" t="s">
        <v>655</v>
      </c>
      <c r="N1625" s="53" t="s">
        <v>698</v>
      </c>
      <c r="O1625" s="19"/>
      <c r="P1625" s="6"/>
      <c r="Q1625" s="6" t="str">
        <f t="shared" si="1"/>
        <v>#N/A</v>
      </c>
      <c r="R1625" s="6"/>
    </row>
    <row r="1626" hidden="1">
      <c r="A1626" s="31" t="str">
        <f>IFERROR(__xludf.DUMMYFUNCTION("""COMPUTED_VALUE"""),"нд")</f>
        <v>нд</v>
      </c>
      <c r="B1626" s="14" t="str">
        <f>IFERROR(__xludf.DUMMYFUNCTION("""COMPUTED_VALUE"""),"ВНЕ СПИСКА")</f>
        <v>ВНЕ СПИСКА</v>
      </c>
      <c r="C1626" s="14" t="str">
        <f>IFERROR(__xludf.DUMMYFUNCTION("""COMPUTED_VALUE"""),"УДС")</f>
        <v>УДС</v>
      </c>
      <c r="D1626" s="6"/>
      <c r="E1626" s="14" t="str">
        <f>IFERROR(__xludf.DUMMYFUNCTION("""COMPUTED_VALUE"""),"УДС участка №10, района Митино, поселок Новобратцевский участок №10, района Митино, поселок Новобратцевский")</f>
        <v>УДС участка №10, района Митино, поселок Новобратцевский участок №10, района Митино, поселок Новобратцевский</v>
      </c>
      <c r="F1626" s="25" t="str">
        <f>IFERROR(__xludf.DUMMYFUNCTION("""COMPUTED_VALUE"""),"#N/A")</f>
        <v>#N/A</v>
      </c>
      <c r="G1626" s="6" t="str">
        <f>IFERROR(__xludf.DUMMYFUNCTION("""COMPUTED_VALUE"""),"#N/A")</f>
        <v>#N/A</v>
      </c>
      <c r="H1626" s="6"/>
      <c r="I1626" s="19"/>
      <c r="J1626" s="50"/>
      <c r="K1626" s="58"/>
      <c r="L1626" s="6">
        <v>30.0</v>
      </c>
      <c r="M1626" s="52" t="s">
        <v>655</v>
      </c>
      <c r="N1626" s="53" t="s">
        <v>698</v>
      </c>
      <c r="O1626" s="19" t="s">
        <v>669</v>
      </c>
      <c r="P1626" s="6"/>
      <c r="Q1626" s="6" t="str">
        <f t="shared" si="1"/>
        <v>#N/A</v>
      </c>
      <c r="R1626" s="6"/>
    </row>
    <row r="1627" hidden="1">
      <c r="A1627" s="31" t="str">
        <f>IFERROR(__xludf.DUMMYFUNCTION("""COMPUTED_VALUE"""),"нд")</f>
        <v>нд</v>
      </c>
      <c r="B1627" s="14" t="str">
        <f>IFERROR(__xludf.DUMMYFUNCTION("""COMPUTED_VALUE"""),"ВНЕ СПИСКА")</f>
        <v>ВНЕ СПИСКА</v>
      </c>
      <c r="C1627" s="14" t="str">
        <f>IFERROR(__xludf.DUMMYFUNCTION("""COMPUTED_VALUE"""),"ОКС")</f>
        <v>ОКС</v>
      </c>
      <c r="D1627" s="6" t="str">
        <f>IFERROR(__xludf.DUMMYFUNCTION("""COMPUTED_VALUE"""),"да")</f>
        <v>да</v>
      </c>
      <c r="E1627" s="14" t="str">
        <f>IFERROR(__xludf.DUMMYFUNCTION("""COMPUTED_VALUE"""),"Группа многоэтажных жилых домов с подземной автостоянкой. 1-й Этап - жилые корпуса 1, 2, 6 и 7-й в районе пос. Газопровод")</f>
        <v>Группа многоэтажных жилых домов с подземной автостоянкой. 1-й Этап - жилые корпуса 1, 2, 6 и 7-й в районе пос. Газопровод</v>
      </c>
      <c r="F1627" s="25" t="str">
        <f>IFERROR(__xludf.DUMMYFUNCTION("""COMPUTED_VALUE"""),"#N/A")</f>
        <v>#N/A</v>
      </c>
      <c r="G1627" s="6" t="str">
        <f>IFERROR(__xludf.DUMMYFUNCTION("""COMPUTED_VALUE"""),"#N/A")</f>
        <v>#N/A</v>
      </c>
      <c r="H1627" s="6"/>
      <c r="I1627" s="6"/>
      <c r="J1627" s="50"/>
      <c r="K1627" s="58"/>
      <c r="L1627" s="6">
        <v>30.0</v>
      </c>
      <c r="M1627" s="52" t="s">
        <v>655</v>
      </c>
      <c r="N1627" s="53" t="s">
        <v>698</v>
      </c>
      <c r="O1627" s="6"/>
      <c r="P1627" s="6"/>
      <c r="Q1627" s="6" t="str">
        <f t="shared" si="1"/>
        <v>#N/A</v>
      </c>
      <c r="R1627" s="6"/>
    </row>
    <row r="1628" hidden="1">
      <c r="A1628" s="31" t="str">
        <f>IFERROR(__xludf.DUMMYFUNCTION("""COMPUTED_VALUE"""),"нд")</f>
        <v>нд</v>
      </c>
      <c r="B1628" s="14" t="str">
        <f>IFERROR(__xludf.DUMMYFUNCTION("""COMPUTED_VALUE"""),"ВНЕ СПИСКА")</f>
        <v>ВНЕ СПИСКА</v>
      </c>
      <c r="C1628" s="14" t="str">
        <f>IFERROR(__xludf.DUMMYFUNCTION("""COMPUTED_VALUE"""),"ОКС")</f>
        <v>ОКС</v>
      </c>
      <c r="D1628" s="6" t="str">
        <f>IFERROR(__xludf.DUMMYFUNCTION("""COMPUTED_VALUE"""),"да")</f>
        <v>да</v>
      </c>
      <c r="E1628" s="14" t="str">
        <f>IFERROR(__xludf.DUMMYFUNCTION("""COMPUTED_VALUE"""),"Группа многоэтажных жилых домов с подземной автостоянкой. 2-й Этап - жилые корпуса 3, 4 и 5-й в районе пос. Газопровод")</f>
        <v>Группа многоэтажных жилых домов с подземной автостоянкой. 2-й Этап - жилые корпуса 3, 4 и 5-й в районе пос. Газопровод</v>
      </c>
      <c r="F1628" s="25" t="str">
        <f>IFERROR(__xludf.DUMMYFUNCTION("""COMPUTED_VALUE"""),"#N/A")</f>
        <v>#N/A</v>
      </c>
      <c r="G1628" s="6" t="str">
        <f>IFERROR(__xludf.DUMMYFUNCTION("""COMPUTED_VALUE"""),"#N/A")</f>
        <v>#N/A</v>
      </c>
      <c r="H1628" s="6"/>
      <c r="I1628" s="19"/>
      <c r="J1628" s="50"/>
      <c r="K1628" s="58"/>
      <c r="L1628" s="6">
        <v>30.0</v>
      </c>
      <c r="M1628" s="52" t="s">
        <v>655</v>
      </c>
      <c r="N1628" s="53" t="s">
        <v>698</v>
      </c>
      <c r="O1628" s="19"/>
      <c r="P1628" s="6"/>
      <c r="Q1628" s="6" t="str">
        <f t="shared" si="1"/>
        <v>#N/A</v>
      </c>
      <c r="R1628" s="6"/>
    </row>
    <row r="1629" hidden="1">
      <c r="A1629" s="31" t="str">
        <f>IFERROR(__xludf.DUMMYFUNCTION("""COMPUTED_VALUE"""),"нд")</f>
        <v>нд</v>
      </c>
      <c r="B1629" s="14" t="str">
        <f>IFERROR(__xludf.DUMMYFUNCTION("""COMPUTED_VALUE"""),"ВНЕ СПИСКА")</f>
        <v>ВНЕ СПИСКА</v>
      </c>
      <c r="C1629" s="14" t="str">
        <f>IFERROR(__xludf.DUMMYFUNCTION("""COMPUTED_VALUE"""),"УДС")</f>
        <v>УДС</v>
      </c>
      <c r="D1629" s="6"/>
      <c r="E1629" s="14" t="str">
        <f>IFERROR(__xludf.DUMMYFUNCTION("""COMPUTED_VALUE"""),"«1-й этап – Дорога по проектируемому проезду №58 с инженерными сетями (дождевая канализация, уличное освещение) и благоустройством, с реконструкцией на участке ул. Нижняя Хохловка по адресу: г. Москва, ЮВАО, ул. Новохохловская з/у 1 (район Нижегородский, "&amp;"кв. 80, между Новохохловской ул. и Третьим транспортным кольцом) район Нижегородский, ул. Новохохловская, з/у 1 (район Нижегородский, кв. 80, между Новохохловской ул. и Третьим транспортным кольцом)""")</f>
        <v>«1-й этап – Дорога по проектируемому проезду №58 с инженерными сетями (дождевая канализация, уличное освещение) и благоустройством, с реконструкцией на участке ул. Нижняя Хохловка по адресу: г. Москва, ЮВАО, ул. Новохохловская з/у 1 (район Нижегородский, кв. 80, между Новохохловской ул. и Третьим транспортным кольцом) район Нижегородский, ул. Новохохловская, з/у 1 (район Нижегородский, кв. 80, между Новохохловской ул. и Третьим транспортным кольцом)"</v>
      </c>
      <c r="F1629" s="25" t="str">
        <f>IFERROR(__xludf.DUMMYFUNCTION("""COMPUTED_VALUE"""),"#N/A")</f>
        <v>#N/A</v>
      </c>
      <c r="G1629" s="6" t="str">
        <f>IFERROR(__xludf.DUMMYFUNCTION("""COMPUTED_VALUE"""),"#N/A")</f>
        <v>#N/A</v>
      </c>
      <c r="H1629" s="6"/>
      <c r="I1629" s="19"/>
      <c r="J1629" s="50"/>
      <c r="K1629" s="58"/>
      <c r="L1629" s="6">
        <v>30.0</v>
      </c>
      <c r="M1629" s="52" t="s">
        <v>655</v>
      </c>
      <c r="N1629" s="53" t="s">
        <v>698</v>
      </c>
      <c r="O1629" s="19" t="s">
        <v>669</v>
      </c>
      <c r="P1629" s="6"/>
      <c r="Q1629" s="6" t="str">
        <f t="shared" si="1"/>
        <v>#N/A</v>
      </c>
      <c r="R1629" s="6"/>
    </row>
    <row r="1630" hidden="1">
      <c r="A1630" s="31" t="str">
        <f>IFERROR(__xludf.DUMMYFUNCTION("""COMPUTED_VALUE"""),"нд")</f>
        <v>нд</v>
      </c>
      <c r="B1630" s="14" t="str">
        <f>IFERROR(__xludf.DUMMYFUNCTION("""COMPUTED_VALUE"""),"ВНЕ СПИСКА")</f>
        <v>ВНЕ СПИСКА</v>
      </c>
      <c r="C1630" s="14" t="str">
        <f>IFERROR(__xludf.DUMMYFUNCTION("""COMPUTED_VALUE"""),"ОКС")</f>
        <v>ОКС</v>
      </c>
      <c r="D1630" s="6" t="str">
        <f>IFERROR(__xludf.DUMMYFUNCTION("""COMPUTED_VALUE"""),"да")</f>
        <v>да</v>
      </c>
      <c r="E1630" s="14" t="str">
        <f>IFERROR(__xludf.DUMMYFUNCTION("""COMPUTED_VALUE"""),"Строительство бетонного завода Б 222 Походный проезд, вл. 2, стр. 1-1")</f>
        <v>Строительство бетонного завода Б 222 Походный проезд, вл. 2, стр. 1-1</v>
      </c>
      <c r="F1630" s="25" t="str">
        <f>IFERROR(__xludf.DUMMYFUNCTION("""COMPUTED_VALUE"""),"#N/A")</f>
        <v>#N/A</v>
      </c>
      <c r="G1630" s="6" t="str">
        <f>IFERROR(__xludf.DUMMYFUNCTION("""COMPUTED_VALUE"""),"#N/A")</f>
        <v>#N/A</v>
      </c>
      <c r="H1630" s="6"/>
      <c r="I1630" s="6"/>
      <c r="J1630" s="50"/>
      <c r="K1630" s="58"/>
      <c r="L1630" s="6">
        <v>30.0</v>
      </c>
      <c r="M1630" s="52" t="s">
        <v>655</v>
      </c>
      <c r="N1630" s="53" t="s">
        <v>698</v>
      </c>
      <c r="O1630" s="6"/>
      <c r="P1630" s="6"/>
      <c r="Q1630" s="6" t="str">
        <f t="shared" si="1"/>
        <v>#N/A</v>
      </c>
      <c r="R1630" s="6"/>
    </row>
    <row r="1631" hidden="1">
      <c r="A1631" s="31" t="str">
        <f>IFERROR(__xludf.DUMMYFUNCTION("""COMPUTED_VALUE"""),"нд")</f>
        <v>нд</v>
      </c>
      <c r="B1631" s="14"/>
      <c r="C1631" s="14"/>
      <c r="D1631" s="6" t="str">
        <f>IFERROR(__xludf.DUMMYFUNCTION("""COMPUTED_VALUE"""),"да")</f>
        <v>да</v>
      </c>
      <c r="E1631" s="14"/>
      <c r="F1631" s="25"/>
      <c r="G1631" s="6"/>
      <c r="H1631" s="6"/>
      <c r="I1631" s="19"/>
      <c r="J1631" s="50"/>
      <c r="K1631" s="58"/>
      <c r="L1631" s="6">
        <v>30.0</v>
      </c>
      <c r="M1631" s="52" t="s">
        <v>655</v>
      </c>
      <c r="N1631" s="53" t="s">
        <v>698</v>
      </c>
      <c r="O1631" s="19"/>
      <c r="P1631" s="6"/>
      <c r="Q1631" s="6" t="str">
        <f t="shared" si="1"/>
        <v>#N/A</v>
      </c>
      <c r="R1631" s="6"/>
    </row>
    <row r="1632" hidden="1">
      <c r="A1632" s="31" t="str">
        <f>IFERROR(__xludf.DUMMYFUNCTION("""COMPUTED_VALUE"""),"нд")</f>
        <v>нд</v>
      </c>
      <c r="B1632" s="14"/>
      <c r="C1632" s="14"/>
      <c r="D1632" s="6" t="str">
        <f>IFERROR(__xludf.DUMMYFUNCTION("""COMPUTED_VALUE"""),"да")</f>
        <v>да</v>
      </c>
      <c r="E1632" s="14"/>
      <c r="F1632" s="25"/>
      <c r="G1632" s="6"/>
      <c r="H1632" s="6"/>
      <c r="I1632" s="19"/>
      <c r="J1632" s="50"/>
      <c r="K1632" s="58"/>
      <c r="L1632" s="6">
        <v>30.0</v>
      </c>
      <c r="M1632" s="52" t="s">
        <v>655</v>
      </c>
      <c r="N1632" s="53" t="s">
        <v>698</v>
      </c>
      <c r="O1632" s="19"/>
      <c r="P1632" s="6"/>
      <c r="Q1632" s="6" t="str">
        <f t="shared" si="1"/>
        <v>#N/A</v>
      </c>
      <c r="R1632" s="6"/>
    </row>
    <row r="1633" hidden="1">
      <c r="A1633" s="31" t="str">
        <f>IFERROR(__xludf.DUMMYFUNCTION("""COMPUTED_VALUE"""),"нд")</f>
        <v>нд</v>
      </c>
      <c r="B1633" s="14"/>
      <c r="C1633" s="14"/>
      <c r="D1633" s="6"/>
      <c r="E1633" s="14"/>
      <c r="F1633" s="25"/>
      <c r="G1633" s="6"/>
      <c r="H1633" s="6"/>
      <c r="I1633" s="19"/>
      <c r="J1633" s="50"/>
      <c r="K1633" s="58"/>
      <c r="L1633" s="6">
        <v>30.0</v>
      </c>
      <c r="M1633" s="52" t="s">
        <v>655</v>
      </c>
      <c r="N1633" s="53" t="s">
        <v>698</v>
      </c>
      <c r="O1633" s="19" t="s">
        <v>1459</v>
      </c>
      <c r="P1633" s="6"/>
      <c r="Q1633" s="6" t="str">
        <f t="shared" si="1"/>
        <v>#N/A</v>
      </c>
      <c r="R1633" s="6"/>
    </row>
    <row r="1634" hidden="1">
      <c r="A1634" s="31" t="str">
        <f>IFERROR(__xludf.DUMMYFUNCTION("""COMPUTED_VALUE"""),"нд")</f>
        <v>нд</v>
      </c>
      <c r="B1634" s="14"/>
      <c r="C1634" s="14"/>
      <c r="D1634" s="6" t="str">
        <f>IFERROR(__xludf.DUMMYFUNCTION("""COMPUTED_VALUE"""),"да")</f>
        <v>да</v>
      </c>
      <c r="E1634" s="14"/>
      <c r="F1634" s="25"/>
      <c r="G1634" s="6"/>
      <c r="H1634" s="6"/>
      <c r="I1634" s="19"/>
      <c r="J1634" s="50"/>
      <c r="K1634" s="58"/>
      <c r="L1634" s="6">
        <v>30.0</v>
      </c>
      <c r="M1634" s="52" t="s">
        <v>655</v>
      </c>
      <c r="N1634" s="53" t="s">
        <v>698</v>
      </c>
      <c r="O1634" s="19" t="s">
        <v>1459</v>
      </c>
      <c r="P1634" s="6"/>
      <c r="Q1634" s="6" t="str">
        <f t="shared" si="1"/>
        <v>#N/A</v>
      </c>
      <c r="R1634" s="6"/>
    </row>
    <row r="1635" hidden="1">
      <c r="A1635" s="31"/>
      <c r="B1635" s="14"/>
      <c r="C1635" s="14"/>
      <c r="D1635" s="6"/>
      <c r="E1635" s="14"/>
      <c r="F1635" s="25"/>
      <c r="G1635" s="6"/>
      <c r="H1635" s="6"/>
      <c r="I1635" s="19"/>
      <c r="J1635" s="50"/>
      <c r="K1635" s="58"/>
      <c r="L1635" s="6" t="s">
        <v>655</v>
      </c>
      <c r="M1635" s="52" t="s">
        <v>655</v>
      </c>
      <c r="N1635" s="53" t="s">
        <v>655</v>
      </c>
      <c r="O1635" s="6"/>
      <c r="P1635" s="6"/>
      <c r="Q1635" s="6" t="str">
        <f t="shared" si="1"/>
        <v>#N/A</v>
      </c>
      <c r="R1635" s="6"/>
    </row>
    <row r="1636" hidden="1">
      <c r="A1636" s="31"/>
      <c r="B1636" s="14"/>
      <c r="C1636" s="14"/>
      <c r="D1636" s="6"/>
      <c r="E1636" s="14"/>
      <c r="F1636" s="25"/>
      <c r="G1636" s="6"/>
      <c r="H1636" s="6"/>
      <c r="I1636" s="19"/>
      <c r="J1636" s="50"/>
      <c r="K1636" s="58"/>
      <c r="L1636" s="6" t="s">
        <v>655</v>
      </c>
      <c r="M1636" s="52" t="s">
        <v>655</v>
      </c>
      <c r="N1636" s="53" t="s">
        <v>655</v>
      </c>
      <c r="O1636" s="6"/>
      <c r="P1636" s="6"/>
      <c r="Q1636" s="6" t="str">
        <f t="shared" si="1"/>
        <v>#N/A</v>
      </c>
      <c r="R1636" s="6"/>
    </row>
    <row r="1637" hidden="1">
      <c r="A1637" s="31"/>
      <c r="B1637" s="14"/>
      <c r="C1637" s="14"/>
      <c r="D1637" s="6" t="str">
        <f>IFERROR(__xludf.DUMMYFUNCTION("""COMPUTED_VALUE"""),"да")</f>
        <v>да</v>
      </c>
      <c r="E1637" s="14"/>
      <c r="F1637" s="25"/>
      <c r="G1637" s="6"/>
      <c r="H1637" s="6"/>
      <c r="I1637" s="19"/>
      <c r="J1637" s="50"/>
      <c r="K1637" s="58"/>
      <c r="L1637" s="6" t="s">
        <v>655</v>
      </c>
      <c r="M1637" s="52" t="s">
        <v>655</v>
      </c>
      <c r="N1637" s="53" t="s">
        <v>655</v>
      </c>
      <c r="O1637" s="6"/>
      <c r="P1637" s="6"/>
      <c r="Q1637" s="6" t="str">
        <f t="shared" si="1"/>
        <v>#N/A</v>
      </c>
      <c r="R1637" s="6"/>
    </row>
    <row r="1638" hidden="1">
      <c r="A1638" s="31"/>
      <c r="B1638" s="14"/>
      <c r="C1638" s="14"/>
      <c r="D1638" s="6" t="str">
        <f>IFERROR(__xludf.DUMMYFUNCTION("""COMPUTED_VALUE"""),"да")</f>
        <v>да</v>
      </c>
      <c r="E1638" s="14"/>
      <c r="F1638" s="25"/>
      <c r="G1638" s="6"/>
      <c r="H1638" s="6"/>
      <c r="I1638" s="19"/>
      <c r="J1638" s="50"/>
      <c r="K1638" s="58"/>
      <c r="L1638" s="6" t="s">
        <v>655</v>
      </c>
      <c r="M1638" s="52" t="s">
        <v>655</v>
      </c>
      <c r="N1638" s="53" t="s">
        <v>655</v>
      </c>
      <c r="O1638" s="6"/>
      <c r="P1638" s="6"/>
      <c r="Q1638" s="6" t="str">
        <f t="shared" si="1"/>
        <v>#N/A</v>
      </c>
      <c r="R1638" s="6"/>
    </row>
    <row r="1639" hidden="1">
      <c r="A1639" s="31"/>
      <c r="B1639" s="14"/>
      <c r="C1639" s="14"/>
      <c r="D1639" s="6" t="str">
        <f>IFERROR(__xludf.DUMMYFUNCTION("""COMPUTED_VALUE"""),"да")</f>
        <v>да</v>
      </c>
      <c r="E1639" s="14"/>
      <c r="F1639" s="25"/>
      <c r="G1639" s="6"/>
      <c r="H1639" s="6"/>
      <c r="I1639" s="19"/>
      <c r="J1639" s="50"/>
      <c r="K1639" s="58"/>
      <c r="L1639" s="6" t="s">
        <v>655</v>
      </c>
      <c r="M1639" s="52" t="s">
        <v>655</v>
      </c>
      <c r="N1639" s="53" t="s">
        <v>655</v>
      </c>
      <c r="O1639" s="6"/>
      <c r="P1639" s="6"/>
      <c r="Q1639" s="6" t="str">
        <f t="shared" si="1"/>
        <v>#N/A</v>
      </c>
      <c r="R1639" s="6"/>
    </row>
    <row r="1640" hidden="1">
      <c r="A1640" s="31"/>
      <c r="B1640" s="14"/>
      <c r="C1640" s="14"/>
      <c r="D1640" s="6"/>
      <c r="E1640" s="14"/>
      <c r="F1640" s="25"/>
      <c r="G1640" s="6"/>
      <c r="H1640" s="6"/>
      <c r="I1640" s="19"/>
      <c r="J1640" s="50"/>
      <c r="K1640" s="58"/>
      <c r="L1640" s="6" t="s">
        <v>655</v>
      </c>
      <c r="M1640" s="52" t="s">
        <v>655</v>
      </c>
      <c r="N1640" s="53" t="s">
        <v>655</v>
      </c>
      <c r="O1640" s="6"/>
      <c r="P1640" s="6"/>
      <c r="Q1640" s="6" t="str">
        <f t="shared" si="1"/>
        <v>#N/A</v>
      </c>
      <c r="R1640" s="6"/>
    </row>
    <row r="1641" hidden="1">
      <c r="A1641" s="31"/>
      <c r="B1641" s="14"/>
      <c r="C1641" s="14"/>
      <c r="D1641" s="6"/>
      <c r="E1641" s="14"/>
      <c r="F1641" s="25"/>
      <c r="G1641" s="6"/>
      <c r="H1641" s="6"/>
      <c r="I1641" s="19"/>
      <c r="J1641" s="50"/>
      <c r="K1641" s="58"/>
      <c r="L1641" s="6" t="s">
        <v>655</v>
      </c>
      <c r="M1641" s="52" t="s">
        <v>655</v>
      </c>
      <c r="N1641" s="53" t="s">
        <v>655</v>
      </c>
      <c r="O1641" s="6"/>
      <c r="P1641" s="6"/>
      <c r="Q1641" s="6" t="str">
        <f t="shared" si="1"/>
        <v>#N/A</v>
      </c>
      <c r="R1641" s="6"/>
    </row>
    <row r="1642" hidden="1">
      <c r="A1642" s="31"/>
      <c r="B1642" s="14"/>
      <c r="C1642" s="14"/>
      <c r="D1642" s="6"/>
      <c r="E1642" s="14"/>
      <c r="F1642" s="25"/>
      <c r="G1642" s="6"/>
      <c r="H1642" s="6"/>
      <c r="I1642" s="19"/>
      <c r="J1642" s="50"/>
      <c r="K1642" s="58"/>
      <c r="L1642" s="6" t="s">
        <v>655</v>
      </c>
      <c r="M1642" s="52" t="s">
        <v>655</v>
      </c>
      <c r="N1642" s="53" t="s">
        <v>655</v>
      </c>
      <c r="O1642" s="6"/>
      <c r="P1642" s="6"/>
      <c r="Q1642" s="6" t="str">
        <f t="shared" si="1"/>
        <v>#N/A</v>
      </c>
      <c r="R1642" s="6"/>
    </row>
    <row r="1643" hidden="1">
      <c r="A1643" s="31"/>
      <c r="B1643" s="14"/>
      <c r="C1643" s="14"/>
      <c r="D1643" s="6"/>
      <c r="E1643" s="14"/>
      <c r="F1643" s="25"/>
      <c r="G1643" s="6"/>
      <c r="H1643" s="6"/>
      <c r="I1643" s="19"/>
      <c r="J1643" s="50"/>
      <c r="K1643" s="58"/>
      <c r="L1643" s="6" t="s">
        <v>655</v>
      </c>
      <c r="M1643" s="52" t="s">
        <v>655</v>
      </c>
      <c r="N1643" s="53" t="s">
        <v>655</v>
      </c>
      <c r="O1643" s="6"/>
      <c r="P1643" s="6"/>
      <c r="Q1643" s="6" t="str">
        <f t="shared" si="1"/>
        <v>#N/A</v>
      </c>
      <c r="R1643" s="6"/>
    </row>
    <row r="1644" hidden="1">
      <c r="A1644" s="31"/>
      <c r="B1644" s="14"/>
      <c r="C1644" s="14"/>
      <c r="D1644" s="6"/>
      <c r="E1644" s="14"/>
      <c r="F1644" s="25"/>
      <c r="G1644" s="6"/>
      <c r="H1644" s="6"/>
      <c r="I1644" s="19"/>
      <c r="J1644" s="50"/>
      <c r="K1644" s="58"/>
      <c r="L1644" s="6" t="s">
        <v>655</v>
      </c>
      <c r="M1644" s="52" t="s">
        <v>655</v>
      </c>
      <c r="N1644" s="53" t="s">
        <v>655</v>
      </c>
      <c r="O1644" s="6"/>
      <c r="P1644" s="6"/>
      <c r="Q1644" s="6" t="str">
        <f t="shared" si="1"/>
        <v>#N/A</v>
      </c>
      <c r="R1644" s="6"/>
    </row>
    <row r="1645" hidden="1">
      <c r="A1645" s="31"/>
      <c r="B1645" s="14"/>
      <c r="C1645" s="14"/>
      <c r="D1645" s="6"/>
      <c r="E1645" s="14"/>
      <c r="F1645" s="25"/>
      <c r="G1645" s="6"/>
      <c r="H1645" s="6"/>
      <c r="I1645" s="19"/>
      <c r="J1645" s="50"/>
      <c r="K1645" s="58"/>
      <c r="L1645" s="6" t="s">
        <v>655</v>
      </c>
      <c r="M1645" s="52" t="s">
        <v>655</v>
      </c>
      <c r="N1645" s="53" t="s">
        <v>655</v>
      </c>
      <c r="O1645" s="6"/>
      <c r="P1645" s="6"/>
      <c r="Q1645" s="6" t="str">
        <f t="shared" si="1"/>
        <v>#N/A</v>
      </c>
      <c r="R1645" s="6"/>
    </row>
    <row r="1646" hidden="1">
      <c r="A1646" s="31"/>
      <c r="B1646" s="14"/>
      <c r="C1646" s="14"/>
      <c r="D1646" s="6"/>
      <c r="E1646" s="14"/>
      <c r="F1646" s="25"/>
      <c r="G1646" s="6"/>
      <c r="H1646" s="6"/>
      <c r="I1646" s="19"/>
      <c r="J1646" s="50"/>
      <c r="K1646" s="58"/>
      <c r="L1646" s="6" t="s">
        <v>655</v>
      </c>
      <c r="M1646" s="52" t="s">
        <v>655</v>
      </c>
      <c r="N1646" s="53" t="s">
        <v>655</v>
      </c>
      <c r="O1646" s="6"/>
      <c r="P1646" s="6"/>
      <c r="Q1646" s="6" t="str">
        <f t="shared" si="1"/>
        <v>#N/A</v>
      </c>
      <c r="R1646" s="6"/>
    </row>
    <row r="1647" hidden="1">
      <c r="A1647" s="31"/>
      <c r="B1647" s="14"/>
      <c r="C1647" s="14"/>
      <c r="D1647" s="6"/>
      <c r="E1647" s="14"/>
      <c r="F1647" s="25"/>
      <c r="G1647" s="6"/>
      <c r="H1647" s="6"/>
      <c r="I1647" s="19"/>
      <c r="J1647" s="50"/>
      <c r="K1647" s="58"/>
      <c r="L1647" s="6" t="s">
        <v>655</v>
      </c>
      <c r="M1647" s="52" t="s">
        <v>655</v>
      </c>
      <c r="N1647" s="53" t="s">
        <v>655</v>
      </c>
      <c r="O1647" s="6"/>
      <c r="P1647" s="6"/>
      <c r="Q1647" s="6" t="str">
        <f t="shared" si="1"/>
        <v>#N/A</v>
      </c>
      <c r="R1647" s="6"/>
    </row>
    <row r="1648" hidden="1">
      <c r="A1648" s="31"/>
      <c r="B1648" s="14"/>
      <c r="C1648" s="14"/>
      <c r="D1648" s="6"/>
      <c r="E1648" s="14"/>
      <c r="F1648" s="25"/>
      <c r="G1648" s="6"/>
      <c r="H1648" s="6"/>
      <c r="I1648" s="19"/>
      <c r="J1648" s="50"/>
      <c r="K1648" s="58"/>
      <c r="L1648" s="6" t="s">
        <v>655</v>
      </c>
      <c r="M1648" s="52" t="s">
        <v>655</v>
      </c>
      <c r="N1648" s="53" t="s">
        <v>655</v>
      </c>
      <c r="O1648" s="6"/>
      <c r="P1648" s="6"/>
      <c r="Q1648" s="6" t="str">
        <f t="shared" si="1"/>
        <v>#N/A</v>
      </c>
      <c r="R1648" s="6"/>
    </row>
    <row r="1649" hidden="1">
      <c r="A1649" s="31"/>
      <c r="B1649" s="14"/>
      <c r="C1649" s="14"/>
      <c r="D1649" s="6"/>
      <c r="E1649" s="14"/>
      <c r="F1649" s="25"/>
      <c r="G1649" s="6"/>
      <c r="H1649" s="6"/>
      <c r="I1649" s="19"/>
      <c r="J1649" s="50"/>
      <c r="K1649" s="58"/>
      <c r="L1649" s="6" t="s">
        <v>655</v>
      </c>
      <c r="M1649" s="52" t="s">
        <v>655</v>
      </c>
      <c r="N1649" s="53" t="s">
        <v>655</v>
      </c>
      <c r="O1649" s="6"/>
      <c r="P1649" s="6"/>
      <c r="Q1649" s="6" t="str">
        <f t="shared" si="1"/>
        <v>#N/A</v>
      </c>
      <c r="R1649" s="6"/>
    </row>
    <row r="1650" hidden="1">
      <c r="A1650" s="31"/>
      <c r="B1650" s="14"/>
      <c r="C1650" s="14"/>
      <c r="D1650" s="6"/>
      <c r="E1650" s="14"/>
      <c r="F1650" s="25"/>
      <c r="G1650" s="6"/>
      <c r="H1650" s="6"/>
      <c r="I1650" s="19"/>
      <c r="J1650" s="50"/>
      <c r="K1650" s="58"/>
      <c r="L1650" s="6" t="s">
        <v>655</v>
      </c>
      <c r="M1650" s="52" t="s">
        <v>655</v>
      </c>
      <c r="N1650" s="53" t="s">
        <v>655</v>
      </c>
      <c r="O1650" s="6"/>
      <c r="P1650" s="6"/>
      <c r="Q1650" s="6" t="str">
        <f t="shared" si="1"/>
        <v>#N/A</v>
      </c>
      <c r="R1650" s="6"/>
    </row>
    <row r="1651" hidden="1">
      <c r="A1651" s="31"/>
      <c r="B1651" s="14"/>
      <c r="C1651" s="14"/>
      <c r="D1651" s="6"/>
      <c r="E1651" s="14"/>
      <c r="F1651" s="25"/>
      <c r="G1651" s="6"/>
      <c r="H1651" s="6"/>
      <c r="I1651" s="19"/>
      <c r="J1651" s="50"/>
      <c r="K1651" s="58"/>
      <c r="L1651" s="6" t="s">
        <v>655</v>
      </c>
      <c r="M1651" s="52" t="s">
        <v>655</v>
      </c>
      <c r="N1651" s="53" t="s">
        <v>655</v>
      </c>
      <c r="O1651" s="6"/>
      <c r="P1651" s="6"/>
      <c r="Q1651" s="6" t="str">
        <f t="shared" si="1"/>
        <v>#N/A</v>
      </c>
      <c r="R1651" s="6"/>
    </row>
    <row r="1652" hidden="1">
      <c r="A1652" s="31"/>
      <c r="B1652" s="14"/>
      <c r="C1652" s="14"/>
      <c r="D1652" s="6"/>
      <c r="E1652" s="14"/>
      <c r="F1652" s="25"/>
      <c r="G1652" s="6"/>
      <c r="H1652" s="6"/>
      <c r="I1652" s="19"/>
      <c r="J1652" s="50"/>
      <c r="K1652" s="58"/>
      <c r="L1652" s="6" t="s">
        <v>655</v>
      </c>
      <c r="M1652" s="52" t="s">
        <v>655</v>
      </c>
      <c r="N1652" s="53" t="s">
        <v>655</v>
      </c>
      <c r="O1652" s="6"/>
      <c r="P1652" s="6"/>
      <c r="Q1652" s="6" t="str">
        <f t="shared" si="1"/>
        <v>#N/A</v>
      </c>
      <c r="R1652" s="6"/>
    </row>
    <row r="1653" hidden="1">
      <c r="A1653" s="31"/>
      <c r="B1653" s="14"/>
      <c r="C1653" s="14"/>
      <c r="D1653" s="6"/>
      <c r="E1653" s="14"/>
      <c r="F1653" s="25"/>
      <c r="G1653" s="6"/>
      <c r="H1653" s="6"/>
      <c r="I1653" s="19"/>
      <c r="J1653" s="50"/>
      <c r="K1653" s="58"/>
      <c r="L1653" s="6" t="s">
        <v>655</v>
      </c>
      <c r="M1653" s="52" t="s">
        <v>655</v>
      </c>
      <c r="N1653" s="53" t="s">
        <v>655</v>
      </c>
      <c r="O1653" s="6"/>
      <c r="P1653" s="6"/>
      <c r="Q1653" s="6" t="str">
        <f t="shared" si="1"/>
        <v>#N/A</v>
      </c>
      <c r="R1653" s="6"/>
    </row>
    <row r="1654" hidden="1">
      <c r="A1654" s="31"/>
      <c r="B1654" s="14"/>
      <c r="C1654" s="14"/>
      <c r="D1654" s="6"/>
      <c r="E1654" s="14"/>
      <c r="F1654" s="25"/>
      <c r="G1654" s="6"/>
      <c r="H1654" s="6"/>
      <c r="I1654" s="19"/>
      <c r="J1654" s="50"/>
      <c r="K1654" s="58"/>
      <c r="L1654" s="6" t="s">
        <v>655</v>
      </c>
      <c r="M1654" s="52" t="s">
        <v>655</v>
      </c>
      <c r="N1654" s="53" t="s">
        <v>655</v>
      </c>
      <c r="O1654" s="6"/>
      <c r="P1654" s="6"/>
      <c r="Q1654" s="6" t="str">
        <f t="shared" si="1"/>
        <v>#N/A</v>
      </c>
      <c r="R1654" s="6"/>
    </row>
    <row r="1655" hidden="1">
      <c r="A1655" s="31"/>
      <c r="B1655" s="14"/>
      <c r="C1655" s="14"/>
      <c r="D1655" s="6"/>
      <c r="E1655" s="14"/>
      <c r="F1655" s="25"/>
      <c r="G1655" s="6"/>
      <c r="H1655" s="6"/>
      <c r="I1655" s="19"/>
      <c r="J1655" s="50"/>
      <c r="K1655" s="58"/>
      <c r="L1655" s="6" t="s">
        <v>655</v>
      </c>
      <c r="M1655" s="52" t="s">
        <v>655</v>
      </c>
      <c r="N1655" s="53" t="s">
        <v>655</v>
      </c>
      <c r="O1655" s="6"/>
      <c r="P1655" s="6"/>
      <c r="Q1655" s="6" t="str">
        <f t="shared" si="1"/>
        <v>#N/A</v>
      </c>
      <c r="R1655" s="6"/>
    </row>
    <row r="1656" hidden="1">
      <c r="A1656" s="31"/>
      <c r="B1656" s="14"/>
      <c r="C1656" s="14"/>
      <c r="D1656" s="6"/>
      <c r="E1656" s="14"/>
      <c r="F1656" s="25"/>
      <c r="G1656" s="6"/>
      <c r="H1656" s="6"/>
      <c r="I1656" s="19"/>
      <c r="J1656" s="50"/>
      <c r="K1656" s="58"/>
      <c r="L1656" s="6" t="s">
        <v>655</v>
      </c>
      <c r="M1656" s="52" t="s">
        <v>655</v>
      </c>
      <c r="N1656" s="53" t="s">
        <v>655</v>
      </c>
      <c r="O1656" s="6"/>
      <c r="P1656" s="6"/>
      <c r="Q1656" s="6" t="str">
        <f t="shared" si="1"/>
        <v>#N/A</v>
      </c>
      <c r="R1656" s="6"/>
    </row>
    <row r="1657" hidden="1">
      <c r="A1657" s="31"/>
      <c r="B1657" s="14"/>
      <c r="C1657" s="14"/>
      <c r="D1657" s="6"/>
      <c r="E1657" s="14"/>
      <c r="F1657" s="25"/>
      <c r="G1657" s="6"/>
      <c r="H1657" s="6"/>
      <c r="I1657" s="19"/>
      <c r="J1657" s="50"/>
      <c r="K1657" s="58"/>
      <c r="L1657" s="6" t="s">
        <v>655</v>
      </c>
      <c r="M1657" s="52" t="s">
        <v>655</v>
      </c>
      <c r="N1657" s="53" t="s">
        <v>655</v>
      </c>
      <c r="O1657" s="6"/>
      <c r="P1657" s="6"/>
      <c r="Q1657" s="6" t="str">
        <f t="shared" si="1"/>
        <v>#N/A</v>
      </c>
      <c r="R1657" s="6"/>
    </row>
    <row r="1658" hidden="1">
      <c r="A1658" s="31"/>
      <c r="B1658" s="14"/>
      <c r="C1658" s="14"/>
      <c r="D1658" s="6"/>
      <c r="E1658" s="14"/>
      <c r="F1658" s="25"/>
      <c r="G1658" s="6"/>
      <c r="H1658" s="6"/>
      <c r="I1658" s="19"/>
      <c r="J1658" s="50"/>
      <c r="K1658" s="58"/>
      <c r="L1658" s="6" t="s">
        <v>655</v>
      </c>
      <c r="M1658" s="52" t="s">
        <v>655</v>
      </c>
      <c r="N1658" s="53" t="s">
        <v>655</v>
      </c>
      <c r="O1658" s="6"/>
      <c r="P1658" s="6"/>
      <c r="Q1658" s="6" t="str">
        <f t="shared" si="1"/>
        <v>#N/A</v>
      </c>
      <c r="R1658" s="6"/>
    </row>
    <row r="1659" hidden="1">
      <c r="A1659" s="31"/>
      <c r="B1659" s="14"/>
      <c r="C1659" s="14"/>
      <c r="D1659" s="6"/>
      <c r="E1659" s="14"/>
      <c r="F1659" s="25"/>
      <c r="G1659" s="6"/>
      <c r="H1659" s="6"/>
      <c r="I1659" s="19"/>
      <c r="J1659" s="50"/>
      <c r="K1659" s="58"/>
      <c r="L1659" s="6" t="s">
        <v>655</v>
      </c>
      <c r="M1659" s="52" t="s">
        <v>655</v>
      </c>
      <c r="N1659" s="53" t="s">
        <v>655</v>
      </c>
      <c r="O1659" s="6"/>
      <c r="P1659" s="6"/>
      <c r="Q1659" s="6" t="str">
        <f t="shared" si="1"/>
        <v>#N/A</v>
      </c>
      <c r="R1659" s="6"/>
    </row>
    <row r="1660" hidden="1">
      <c r="A1660" s="31"/>
      <c r="B1660" s="14"/>
      <c r="C1660" s="14"/>
      <c r="D1660" s="6"/>
      <c r="E1660" s="14"/>
      <c r="F1660" s="25"/>
      <c r="G1660" s="6"/>
      <c r="H1660" s="6"/>
      <c r="I1660" s="19"/>
      <c r="J1660" s="50"/>
      <c r="K1660" s="58"/>
      <c r="L1660" s="6" t="s">
        <v>655</v>
      </c>
      <c r="M1660" s="52" t="s">
        <v>655</v>
      </c>
      <c r="N1660" s="53" t="s">
        <v>655</v>
      </c>
      <c r="O1660" s="6"/>
      <c r="P1660" s="6"/>
      <c r="Q1660" s="6" t="str">
        <f t="shared" si="1"/>
        <v>#N/A</v>
      </c>
      <c r="R1660" s="6"/>
    </row>
    <row r="1661" hidden="1">
      <c r="A1661" s="31"/>
      <c r="B1661" s="14"/>
      <c r="C1661" s="14"/>
      <c r="D1661" s="6"/>
      <c r="E1661" s="14"/>
      <c r="F1661" s="25"/>
      <c r="G1661" s="6"/>
      <c r="H1661" s="6"/>
      <c r="I1661" s="19"/>
      <c r="J1661" s="50"/>
      <c r="K1661" s="58"/>
      <c r="L1661" s="6" t="s">
        <v>655</v>
      </c>
      <c r="M1661" s="52" t="s">
        <v>655</v>
      </c>
      <c r="N1661" s="53" t="s">
        <v>655</v>
      </c>
      <c r="O1661" s="6"/>
      <c r="P1661" s="6"/>
      <c r="Q1661" s="6" t="str">
        <f t="shared" si="1"/>
        <v>#N/A</v>
      </c>
      <c r="R1661" s="6"/>
    </row>
    <row r="1662" hidden="1">
      <c r="A1662" s="31"/>
      <c r="B1662" s="14"/>
      <c r="C1662" s="14"/>
      <c r="D1662" s="6"/>
      <c r="E1662" s="14"/>
      <c r="F1662" s="25"/>
      <c r="G1662" s="6"/>
      <c r="H1662" s="6"/>
      <c r="I1662" s="19"/>
      <c r="J1662" s="50"/>
      <c r="K1662" s="58"/>
      <c r="L1662" s="6" t="s">
        <v>655</v>
      </c>
      <c r="M1662" s="52" t="s">
        <v>655</v>
      </c>
      <c r="N1662" s="53" t="s">
        <v>655</v>
      </c>
      <c r="O1662" s="6"/>
      <c r="P1662" s="6"/>
      <c r="Q1662" s="6" t="str">
        <f t="shared" si="1"/>
        <v>#N/A</v>
      </c>
      <c r="R1662" s="6"/>
    </row>
    <row r="1663" hidden="1">
      <c r="A1663" s="31"/>
      <c r="B1663" s="14"/>
      <c r="C1663" s="14"/>
      <c r="D1663" s="6"/>
      <c r="E1663" s="14"/>
      <c r="F1663" s="25"/>
      <c r="G1663" s="6"/>
      <c r="H1663" s="6"/>
      <c r="I1663" s="19"/>
      <c r="J1663" s="50"/>
      <c r="K1663" s="58"/>
      <c r="L1663" s="6" t="s">
        <v>655</v>
      </c>
      <c r="M1663" s="52" t="s">
        <v>655</v>
      </c>
      <c r="N1663" s="53" t="s">
        <v>655</v>
      </c>
      <c r="O1663" s="6"/>
      <c r="P1663" s="6"/>
      <c r="Q1663" s="6" t="str">
        <f t="shared" si="1"/>
        <v>#N/A</v>
      </c>
      <c r="R1663" s="6"/>
    </row>
    <row r="1664" hidden="1">
      <c r="A1664" s="31"/>
      <c r="B1664" s="14"/>
      <c r="C1664" s="14"/>
      <c r="D1664" s="6"/>
      <c r="E1664" s="14"/>
      <c r="F1664" s="25"/>
      <c r="G1664" s="6"/>
      <c r="H1664" s="6"/>
      <c r="I1664" s="19"/>
      <c r="J1664" s="50"/>
      <c r="K1664" s="58"/>
      <c r="L1664" s="6" t="s">
        <v>655</v>
      </c>
      <c r="M1664" s="52" t="s">
        <v>655</v>
      </c>
      <c r="N1664" s="53" t="s">
        <v>655</v>
      </c>
      <c r="O1664" s="6"/>
      <c r="P1664" s="6"/>
      <c r="Q1664" s="6" t="str">
        <f t="shared" si="1"/>
        <v>#N/A</v>
      </c>
      <c r="R1664" s="6"/>
    </row>
    <row r="1665" hidden="1">
      <c r="A1665" s="31"/>
      <c r="B1665" s="14"/>
      <c r="C1665" s="14"/>
      <c r="D1665" s="6"/>
      <c r="E1665" s="14"/>
      <c r="F1665" s="25"/>
      <c r="G1665" s="6"/>
      <c r="H1665" s="6"/>
      <c r="I1665" s="19"/>
      <c r="J1665" s="50"/>
      <c r="K1665" s="58"/>
      <c r="L1665" s="6" t="s">
        <v>655</v>
      </c>
      <c r="M1665" s="52" t="s">
        <v>655</v>
      </c>
      <c r="N1665" s="53" t="s">
        <v>655</v>
      </c>
      <c r="O1665" s="6"/>
      <c r="P1665" s="6"/>
      <c r="Q1665" s="6" t="str">
        <f t="shared" si="1"/>
        <v>#N/A</v>
      </c>
      <c r="R1665" s="6"/>
    </row>
    <row r="1666" hidden="1">
      <c r="A1666" s="31"/>
      <c r="B1666" s="14"/>
      <c r="C1666" s="14"/>
      <c r="D1666" s="6"/>
      <c r="E1666" s="14"/>
      <c r="F1666" s="25"/>
      <c r="G1666" s="6"/>
      <c r="H1666" s="6"/>
      <c r="I1666" s="19"/>
      <c r="J1666" s="50"/>
      <c r="K1666" s="58"/>
      <c r="L1666" s="6" t="s">
        <v>655</v>
      </c>
      <c r="M1666" s="52" t="s">
        <v>655</v>
      </c>
      <c r="N1666" s="53" t="s">
        <v>655</v>
      </c>
      <c r="O1666" s="6"/>
      <c r="P1666" s="6"/>
      <c r="Q1666" s="6" t="str">
        <f t="shared" si="1"/>
        <v>#N/A</v>
      </c>
      <c r="R1666" s="6"/>
    </row>
    <row r="1667" hidden="1">
      <c r="A1667" s="31"/>
      <c r="B1667" s="14"/>
      <c r="C1667" s="14"/>
      <c r="D1667" s="6"/>
      <c r="E1667" s="14"/>
      <c r="F1667" s="25"/>
      <c r="G1667" s="6"/>
      <c r="H1667" s="6"/>
      <c r="I1667" s="19"/>
      <c r="J1667" s="50"/>
      <c r="K1667" s="58"/>
      <c r="L1667" s="6" t="s">
        <v>655</v>
      </c>
      <c r="M1667" s="52" t="s">
        <v>655</v>
      </c>
      <c r="N1667" s="53" t="s">
        <v>655</v>
      </c>
      <c r="O1667" s="6"/>
      <c r="P1667" s="6"/>
      <c r="Q1667" s="6" t="str">
        <f t="shared" si="1"/>
        <v>#N/A</v>
      </c>
      <c r="R1667" s="6"/>
    </row>
    <row r="1668" hidden="1">
      <c r="A1668" s="31"/>
      <c r="B1668" s="14"/>
      <c r="C1668" s="14"/>
      <c r="D1668" s="6"/>
      <c r="E1668" s="14"/>
      <c r="F1668" s="25"/>
      <c r="G1668" s="6"/>
      <c r="H1668" s="6"/>
      <c r="I1668" s="19"/>
      <c r="J1668" s="50"/>
      <c r="K1668" s="58"/>
      <c r="L1668" s="6" t="s">
        <v>655</v>
      </c>
      <c r="M1668" s="52" t="s">
        <v>655</v>
      </c>
      <c r="N1668" s="53" t="s">
        <v>655</v>
      </c>
      <c r="O1668" s="6"/>
      <c r="P1668" s="6"/>
      <c r="Q1668" s="6" t="str">
        <f t="shared" si="1"/>
        <v>#N/A</v>
      </c>
      <c r="R1668" s="6"/>
    </row>
    <row r="1669" hidden="1">
      <c r="A1669" s="31"/>
      <c r="B1669" s="14"/>
      <c r="C1669" s="14"/>
      <c r="D1669" s="6"/>
      <c r="E1669" s="14"/>
      <c r="F1669" s="25"/>
      <c r="G1669" s="6"/>
      <c r="H1669" s="6"/>
      <c r="I1669" s="19"/>
      <c r="J1669" s="50"/>
      <c r="K1669" s="58"/>
      <c r="L1669" s="6" t="s">
        <v>655</v>
      </c>
      <c r="M1669" s="52" t="s">
        <v>655</v>
      </c>
      <c r="N1669" s="53" t="s">
        <v>655</v>
      </c>
      <c r="O1669" s="6"/>
      <c r="P1669" s="6"/>
      <c r="Q1669" s="6" t="str">
        <f t="shared" si="1"/>
        <v>#N/A</v>
      </c>
      <c r="R1669" s="6"/>
    </row>
    <row r="1670" hidden="1">
      <c r="A1670" s="31"/>
      <c r="B1670" s="14"/>
      <c r="C1670" s="14"/>
      <c r="D1670" s="6"/>
      <c r="E1670" s="14"/>
      <c r="F1670" s="25"/>
      <c r="G1670" s="6"/>
      <c r="H1670" s="6"/>
      <c r="I1670" s="19"/>
      <c r="J1670" s="50"/>
      <c r="K1670" s="58"/>
      <c r="L1670" s="6" t="s">
        <v>655</v>
      </c>
      <c r="M1670" s="52" t="s">
        <v>655</v>
      </c>
      <c r="N1670" s="53" t="s">
        <v>655</v>
      </c>
      <c r="O1670" s="6"/>
      <c r="P1670" s="6"/>
      <c r="Q1670" s="6" t="str">
        <f t="shared" si="1"/>
        <v>#N/A</v>
      </c>
      <c r="R1670" s="6"/>
    </row>
    <row r="1671" hidden="1">
      <c r="A1671" s="31"/>
      <c r="B1671" s="14"/>
      <c r="C1671" s="14"/>
      <c r="D1671" s="6"/>
      <c r="E1671" s="14"/>
      <c r="F1671" s="25"/>
      <c r="G1671" s="6"/>
      <c r="H1671" s="6"/>
      <c r="I1671" s="19"/>
      <c r="J1671" s="50"/>
      <c r="K1671" s="58"/>
      <c r="L1671" s="6" t="s">
        <v>655</v>
      </c>
      <c r="M1671" s="52" t="s">
        <v>655</v>
      </c>
      <c r="N1671" s="53" t="s">
        <v>655</v>
      </c>
      <c r="O1671" s="6"/>
      <c r="P1671" s="6"/>
      <c r="Q1671" s="6" t="str">
        <f t="shared" si="1"/>
        <v>#N/A</v>
      </c>
      <c r="R1671" s="6"/>
    </row>
    <row r="1672" hidden="1">
      <c r="A1672" s="31"/>
      <c r="B1672" s="14"/>
      <c r="C1672" s="14"/>
      <c r="D1672" s="6"/>
      <c r="E1672" s="14"/>
      <c r="F1672" s="25"/>
      <c r="G1672" s="6"/>
      <c r="H1672" s="6"/>
      <c r="I1672" s="19"/>
      <c r="J1672" s="50"/>
      <c r="K1672" s="58"/>
      <c r="L1672" s="6" t="s">
        <v>655</v>
      </c>
      <c r="M1672" s="52" t="s">
        <v>655</v>
      </c>
      <c r="N1672" s="53" t="s">
        <v>655</v>
      </c>
      <c r="O1672" s="6"/>
      <c r="P1672" s="6"/>
      <c r="Q1672" s="6" t="str">
        <f t="shared" si="1"/>
        <v>#N/A</v>
      </c>
      <c r="R1672" s="6"/>
    </row>
    <row r="1673" hidden="1">
      <c r="A1673" s="31"/>
      <c r="B1673" s="14"/>
      <c r="C1673" s="14"/>
      <c r="D1673" s="6"/>
      <c r="E1673" s="14"/>
      <c r="F1673" s="25"/>
      <c r="G1673" s="6"/>
      <c r="H1673" s="6"/>
      <c r="I1673" s="19"/>
      <c r="J1673" s="50"/>
      <c r="K1673" s="58"/>
      <c r="L1673" s="6" t="s">
        <v>655</v>
      </c>
      <c r="M1673" s="52" t="s">
        <v>655</v>
      </c>
      <c r="N1673" s="53" t="s">
        <v>655</v>
      </c>
      <c r="O1673" s="6"/>
      <c r="P1673" s="6"/>
      <c r="Q1673" s="6" t="str">
        <f t="shared" si="1"/>
        <v>#N/A</v>
      </c>
      <c r="R1673" s="6"/>
    </row>
    <row r="1674" hidden="1">
      <c r="A1674" s="31"/>
      <c r="B1674" s="14"/>
      <c r="C1674" s="14"/>
      <c r="D1674" s="6"/>
      <c r="E1674" s="14"/>
      <c r="F1674" s="25"/>
      <c r="G1674" s="6"/>
      <c r="H1674" s="6"/>
      <c r="I1674" s="19"/>
      <c r="J1674" s="50"/>
      <c r="K1674" s="58"/>
      <c r="L1674" s="6" t="s">
        <v>655</v>
      </c>
      <c r="M1674" s="52" t="s">
        <v>655</v>
      </c>
      <c r="N1674" s="53" t="s">
        <v>655</v>
      </c>
      <c r="O1674" s="6"/>
      <c r="P1674" s="6"/>
      <c r="Q1674" s="6" t="str">
        <f t="shared" si="1"/>
        <v>#N/A</v>
      </c>
      <c r="R1674" s="6"/>
    </row>
    <row r="1675" hidden="1">
      <c r="A1675" s="31"/>
      <c r="B1675" s="14"/>
      <c r="C1675" s="14"/>
      <c r="D1675" s="6"/>
      <c r="E1675" s="14"/>
      <c r="F1675" s="25"/>
      <c r="G1675" s="6"/>
      <c r="H1675" s="6"/>
      <c r="I1675" s="19"/>
      <c r="J1675" s="50"/>
      <c r="K1675" s="58"/>
      <c r="L1675" s="6" t="s">
        <v>655</v>
      </c>
      <c r="M1675" s="52" t="s">
        <v>655</v>
      </c>
      <c r="N1675" s="53" t="s">
        <v>655</v>
      </c>
      <c r="O1675" s="6"/>
      <c r="P1675" s="6"/>
      <c r="Q1675" s="6" t="str">
        <f t="shared" si="1"/>
        <v>#N/A</v>
      </c>
      <c r="R1675" s="6"/>
    </row>
    <row r="1676" hidden="1">
      <c r="A1676" s="31"/>
      <c r="B1676" s="14"/>
      <c r="C1676" s="14"/>
      <c r="D1676" s="6"/>
      <c r="E1676" s="14"/>
      <c r="F1676" s="25"/>
      <c r="G1676" s="6"/>
      <c r="H1676" s="6"/>
      <c r="I1676" s="19"/>
      <c r="J1676" s="50"/>
      <c r="K1676" s="58"/>
      <c r="L1676" s="6" t="s">
        <v>655</v>
      </c>
      <c r="M1676" s="52" t="s">
        <v>655</v>
      </c>
      <c r="N1676" s="53" t="s">
        <v>655</v>
      </c>
      <c r="O1676" s="6"/>
      <c r="P1676" s="6"/>
      <c r="Q1676" s="6" t="str">
        <f t="shared" si="1"/>
        <v>#N/A</v>
      </c>
      <c r="R1676" s="6"/>
    </row>
    <row r="1677" hidden="1">
      <c r="A1677" s="31"/>
      <c r="B1677" s="14"/>
      <c r="C1677" s="14"/>
      <c r="D1677" s="6"/>
      <c r="E1677" s="14"/>
      <c r="F1677" s="25"/>
      <c r="G1677" s="6"/>
      <c r="H1677" s="6"/>
      <c r="I1677" s="19"/>
      <c r="J1677" s="50"/>
      <c r="K1677" s="58"/>
      <c r="L1677" s="6" t="s">
        <v>655</v>
      </c>
      <c r="M1677" s="52" t="s">
        <v>655</v>
      </c>
      <c r="N1677" s="53" t="s">
        <v>655</v>
      </c>
      <c r="O1677" s="6"/>
      <c r="P1677" s="6"/>
      <c r="Q1677" s="6" t="str">
        <f t="shared" si="1"/>
        <v>#N/A</v>
      </c>
      <c r="R1677" s="6"/>
    </row>
    <row r="1678" hidden="1">
      <c r="A1678" s="31"/>
      <c r="B1678" s="14"/>
      <c r="C1678" s="14"/>
      <c r="D1678" s="6"/>
      <c r="E1678" s="14"/>
      <c r="F1678" s="25"/>
      <c r="G1678" s="6"/>
      <c r="H1678" s="6"/>
      <c r="I1678" s="19"/>
      <c r="J1678" s="50"/>
      <c r="K1678" s="58"/>
      <c r="L1678" s="6" t="s">
        <v>655</v>
      </c>
      <c r="M1678" s="52" t="s">
        <v>655</v>
      </c>
      <c r="N1678" s="53" t="s">
        <v>655</v>
      </c>
      <c r="O1678" s="6"/>
      <c r="P1678" s="6"/>
      <c r="Q1678" s="6" t="str">
        <f t="shared" si="1"/>
        <v>#N/A</v>
      </c>
      <c r="R1678" s="6"/>
    </row>
    <row r="1679" hidden="1">
      <c r="A1679" s="31"/>
      <c r="B1679" s="14"/>
      <c r="C1679" s="14"/>
      <c r="D1679" s="6"/>
      <c r="E1679" s="14"/>
      <c r="F1679" s="25"/>
      <c r="G1679" s="6"/>
      <c r="H1679" s="6"/>
      <c r="I1679" s="19"/>
      <c r="J1679" s="50"/>
      <c r="K1679" s="58"/>
      <c r="L1679" s="6" t="s">
        <v>655</v>
      </c>
      <c r="M1679" s="52" t="s">
        <v>655</v>
      </c>
      <c r="N1679" s="53" t="s">
        <v>655</v>
      </c>
      <c r="O1679" s="6"/>
      <c r="P1679" s="6"/>
      <c r="Q1679" s="6" t="str">
        <f t="shared" si="1"/>
        <v>#N/A</v>
      </c>
      <c r="R1679" s="6"/>
    </row>
    <row r="1680" hidden="1">
      <c r="A1680" s="31"/>
      <c r="B1680" s="14"/>
      <c r="C1680" s="14"/>
      <c r="D1680" s="6"/>
      <c r="E1680" s="14"/>
      <c r="F1680" s="25"/>
      <c r="G1680" s="6"/>
      <c r="H1680" s="6"/>
      <c r="I1680" s="19"/>
      <c r="J1680" s="50"/>
      <c r="K1680" s="58"/>
      <c r="L1680" s="6" t="s">
        <v>655</v>
      </c>
      <c r="M1680" s="52" t="s">
        <v>655</v>
      </c>
      <c r="N1680" s="53" t="s">
        <v>655</v>
      </c>
      <c r="O1680" s="6"/>
      <c r="P1680" s="6"/>
      <c r="Q1680" s="6" t="str">
        <f t="shared" si="1"/>
        <v>#N/A</v>
      </c>
      <c r="R1680" s="6"/>
    </row>
    <row r="1681" hidden="1">
      <c r="A1681" s="31"/>
      <c r="B1681" s="14"/>
      <c r="C1681" s="14"/>
      <c r="D1681" s="6"/>
      <c r="E1681" s="14"/>
      <c r="F1681" s="25"/>
      <c r="G1681" s="6"/>
      <c r="H1681" s="6"/>
      <c r="I1681" s="19"/>
      <c r="J1681" s="50"/>
      <c r="K1681" s="58"/>
      <c r="L1681" s="6" t="s">
        <v>655</v>
      </c>
      <c r="M1681" s="52" t="s">
        <v>655</v>
      </c>
      <c r="N1681" s="53" t="s">
        <v>655</v>
      </c>
      <c r="O1681" s="6"/>
      <c r="P1681" s="6"/>
      <c r="Q1681" s="6" t="str">
        <f t="shared" si="1"/>
        <v>#N/A</v>
      </c>
      <c r="R1681" s="6"/>
    </row>
    <row r="1682" hidden="1">
      <c r="A1682" s="31"/>
      <c r="B1682" s="14"/>
      <c r="C1682" s="14"/>
      <c r="D1682" s="6"/>
      <c r="E1682" s="14"/>
      <c r="F1682" s="25"/>
      <c r="G1682" s="6"/>
      <c r="H1682" s="6"/>
      <c r="I1682" s="19"/>
      <c r="J1682" s="50"/>
      <c r="K1682" s="58"/>
      <c r="L1682" s="6" t="s">
        <v>655</v>
      </c>
      <c r="M1682" s="52" t="s">
        <v>655</v>
      </c>
      <c r="N1682" s="53" t="s">
        <v>655</v>
      </c>
      <c r="O1682" s="6"/>
      <c r="P1682" s="6"/>
      <c r="Q1682" s="6" t="str">
        <f t="shared" si="1"/>
        <v>#N/A</v>
      </c>
      <c r="R1682" s="6"/>
    </row>
    <row r="1683" hidden="1">
      <c r="A1683" s="31"/>
      <c r="B1683" s="14"/>
      <c r="C1683" s="14"/>
      <c r="D1683" s="6"/>
      <c r="E1683" s="14"/>
      <c r="F1683" s="25"/>
      <c r="G1683" s="6"/>
      <c r="H1683" s="6"/>
      <c r="I1683" s="19"/>
      <c r="J1683" s="50"/>
      <c r="K1683" s="58"/>
      <c r="L1683" s="6" t="s">
        <v>655</v>
      </c>
      <c r="M1683" s="52" t="s">
        <v>655</v>
      </c>
      <c r="N1683" s="53" t="s">
        <v>655</v>
      </c>
      <c r="O1683" s="6"/>
      <c r="P1683" s="6"/>
      <c r="Q1683" s="6" t="str">
        <f t="shared" si="1"/>
        <v>#N/A</v>
      </c>
      <c r="R1683" s="6"/>
    </row>
    <row r="1684" hidden="1">
      <c r="A1684" s="31"/>
      <c r="B1684" s="14"/>
      <c r="C1684" s="14"/>
      <c r="D1684" s="6"/>
      <c r="E1684" s="14"/>
      <c r="F1684" s="25"/>
      <c r="G1684" s="6"/>
      <c r="H1684" s="6"/>
      <c r="I1684" s="19"/>
      <c r="J1684" s="50"/>
      <c r="K1684" s="58"/>
      <c r="L1684" s="6" t="s">
        <v>655</v>
      </c>
      <c r="M1684" s="52" t="s">
        <v>655</v>
      </c>
      <c r="N1684" s="53" t="s">
        <v>655</v>
      </c>
      <c r="O1684" s="6"/>
      <c r="P1684" s="6"/>
      <c r="Q1684" s="6" t="str">
        <f t="shared" si="1"/>
        <v>#N/A</v>
      </c>
      <c r="R1684" s="6"/>
    </row>
    <row r="1685" hidden="1">
      <c r="A1685" s="31"/>
      <c r="B1685" s="14"/>
      <c r="C1685" s="14"/>
      <c r="D1685" s="6"/>
      <c r="E1685" s="14"/>
      <c r="F1685" s="25"/>
      <c r="G1685" s="6"/>
      <c r="H1685" s="6"/>
      <c r="I1685" s="19"/>
      <c r="J1685" s="50"/>
      <c r="K1685" s="58"/>
      <c r="L1685" s="6" t="s">
        <v>655</v>
      </c>
      <c r="M1685" s="52" t="s">
        <v>655</v>
      </c>
      <c r="N1685" s="53" t="s">
        <v>655</v>
      </c>
      <c r="O1685" s="6"/>
      <c r="P1685" s="6"/>
      <c r="Q1685" s="6" t="str">
        <f t="shared" si="1"/>
        <v>#N/A</v>
      </c>
      <c r="R1685" s="6"/>
    </row>
    <row r="1686" hidden="1">
      <c r="A1686" s="31"/>
      <c r="B1686" s="14"/>
      <c r="C1686" s="14"/>
      <c r="D1686" s="6"/>
      <c r="E1686" s="14"/>
      <c r="F1686" s="25"/>
      <c r="G1686" s="6"/>
      <c r="H1686" s="6"/>
      <c r="I1686" s="19"/>
      <c r="J1686" s="50"/>
      <c r="K1686" s="58"/>
      <c r="L1686" s="6" t="s">
        <v>655</v>
      </c>
      <c r="M1686" s="52" t="s">
        <v>655</v>
      </c>
      <c r="N1686" s="53" t="s">
        <v>655</v>
      </c>
      <c r="O1686" s="6"/>
      <c r="P1686" s="6"/>
      <c r="Q1686" s="6" t="str">
        <f t="shared" si="1"/>
        <v>#N/A</v>
      </c>
      <c r="R1686" s="6"/>
    </row>
    <row r="1687" hidden="1">
      <c r="A1687" s="31"/>
      <c r="B1687" s="14"/>
      <c r="C1687" s="14"/>
      <c r="D1687" s="6"/>
      <c r="E1687" s="14"/>
      <c r="F1687" s="25"/>
      <c r="G1687" s="6"/>
      <c r="H1687" s="6"/>
      <c r="I1687" s="19"/>
      <c r="J1687" s="50"/>
      <c r="K1687" s="58"/>
      <c r="L1687" s="6" t="s">
        <v>655</v>
      </c>
      <c r="M1687" s="52" t="s">
        <v>655</v>
      </c>
      <c r="N1687" s="53" t="s">
        <v>655</v>
      </c>
      <c r="O1687" s="6"/>
      <c r="P1687" s="6"/>
      <c r="Q1687" s="6" t="str">
        <f t="shared" si="1"/>
        <v>#N/A</v>
      </c>
      <c r="R1687" s="6"/>
    </row>
    <row r="1688" hidden="1">
      <c r="A1688" s="31"/>
      <c r="B1688" s="14"/>
      <c r="C1688" s="14"/>
      <c r="D1688" s="6"/>
      <c r="E1688" s="14"/>
      <c r="F1688" s="25"/>
      <c r="G1688" s="6"/>
      <c r="H1688" s="6"/>
      <c r="I1688" s="19"/>
      <c r="J1688" s="50"/>
      <c r="K1688" s="58"/>
      <c r="L1688" s="6" t="s">
        <v>655</v>
      </c>
      <c r="M1688" s="52" t="s">
        <v>655</v>
      </c>
      <c r="N1688" s="53" t="s">
        <v>655</v>
      </c>
      <c r="O1688" s="6"/>
      <c r="P1688" s="6"/>
      <c r="Q1688" s="6" t="str">
        <f t="shared" si="1"/>
        <v>#N/A</v>
      </c>
      <c r="R1688" s="6"/>
    </row>
    <row r="1689" hidden="1">
      <c r="A1689" s="31"/>
      <c r="B1689" s="14"/>
      <c r="C1689" s="14"/>
      <c r="D1689" s="6"/>
      <c r="E1689" s="14"/>
      <c r="F1689" s="25"/>
      <c r="G1689" s="6"/>
      <c r="H1689" s="6"/>
      <c r="I1689" s="19"/>
      <c r="J1689" s="50"/>
      <c r="K1689" s="58"/>
      <c r="L1689" s="6" t="s">
        <v>655</v>
      </c>
      <c r="M1689" s="52" t="s">
        <v>655</v>
      </c>
      <c r="N1689" s="53" t="s">
        <v>655</v>
      </c>
      <c r="O1689" s="6"/>
      <c r="P1689" s="6"/>
      <c r="Q1689" s="6" t="str">
        <f t="shared" si="1"/>
        <v>#N/A</v>
      </c>
      <c r="R1689" s="6"/>
    </row>
    <row r="1690" hidden="1">
      <c r="A1690" s="31"/>
      <c r="B1690" s="14"/>
      <c r="C1690" s="14"/>
      <c r="D1690" s="6"/>
      <c r="E1690" s="14"/>
      <c r="F1690" s="25"/>
      <c r="G1690" s="6"/>
      <c r="H1690" s="6"/>
      <c r="I1690" s="19"/>
      <c r="J1690" s="50"/>
      <c r="K1690" s="58"/>
      <c r="L1690" s="6" t="s">
        <v>655</v>
      </c>
      <c r="M1690" s="52" t="s">
        <v>655</v>
      </c>
      <c r="N1690" s="53" t="s">
        <v>655</v>
      </c>
      <c r="O1690" s="6"/>
      <c r="P1690" s="6"/>
      <c r="Q1690" s="6" t="str">
        <f t="shared" si="1"/>
        <v>#N/A</v>
      </c>
      <c r="R1690" s="6"/>
    </row>
    <row r="1691" hidden="1">
      <c r="A1691" s="31"/>
      <c r="B1691" s="14"/>
      <c r="C1691" s="14"/>
      <c r="D1691" s="6"/>
      <c r="E1691" s="14"/>
      <c r="F1691" s="25"/>
      <c r="G1691" s="6"/>
      <c r="H1691" s="6"/>
      <c r="I1691" s="19"/>
      <c r="J1691" s="50"/>
      <c r="K1691" s="58"/>
      <c r="L1691" s="6" t="s">
        <v>655</v>
      </c>
      <c r="M1691" s="52" t="s">
        <v>655</v>
      </c>
      <c r="N1691" s="53" t="s">
        <v>655</v>
      </c>
      <c r="O1691" s="6"/>
      <c r="P1691" s="6"/>
      <c r="Q1691" s="6" t="str">
        <f t="shared" si="1"/>
        <v>#N/A</v>
      </c>
      <c r="R1691" s="6"/>
    </row>
    <row r="1692" hidden="1">
      <c r="A1692" s="31"/>
      <c r="B1692" s="14"/>
      <c r="C1692" s="14"/>
      <c r="D1692" s="6"/>
      <c r="E1692" s="14"/>
      <c r="F1692" s="25"/>
      <c r="G1692" s="6"/>
      <c r="H1692" s="6"/>
      <c r="I1692" s="19"/>
      <c r="J1692" s="50"/>
      <c r="K1692" s="58"/>
      <c r="L1692" s="6" t="s">
        <v>655</v>
      </c>
      <c r="M1692" s="52" t="s">
        <v>655</v>
      </c>
      <c r="N1692" s="53" t="s">
        <v>655</v>
      </c>
      <c r="O1692" s="6"/>
      <c r="P1692" s="6"/>
      <c r="Q1692" s="6" t="str">
        <f t="shared" si="1"/>
        <v>#N/A</v>
      </c>
      <c r="R1692" s="6"/>
    </row>
    <row r="1693" hidden="1">
      <c r="A1693" s="31"/>
      <c r="B1693" s="14"/>
      <c r="C1693" s="14"/>
      <c r="D1693" s="6"/>
      <c r="E1693" s="14"/>
      <c r="F1693" s="25"/>
      <c r="G1693" s="6"/>
      <c r="H1693" s="6"/>
      <c r="I1693" s="19"/>
      <c r="J1693" s="50"/>
      <c r="K1693" s="58"/>
      <c r="L1693" s="6" t="s">
        <v>655</v>
      </c>
      <c r="M1693" s="52" t="s">
        <v>655</v>
      </c>
      <c r="N1693" s="53" t="s">
        <v>655</v>
      </c>
      <c r="O1693" s="6"/>
      <c r="P1693" s="6"/>
      <c r="Q1693" s="6" t="str">
        <f t="shared" si="1"/>
        <v>#N/A</v>
      </c>
      <c r="R1693" s="6"/>
    </row>
    <row r="1694" hidden="1">
      <c r="A1694" s="31"/>
      <c r="B1694" s="14"/>
      <c r="C1694" s="14"/>
      <c r="D1694" s="6"/>
      <c r="E1694" s="14"/>
      <c r="F1694" s="25"/>
      <c r="G1694" s="6"/>
      <c r="H1694" s="6"/>
      <c r="I1694" s="19"/>
      <c r="J1694" s="50"/>
      <c r="K1694" s="58"/>
      <c r="L1694" s="6" t="s">
        <v>655</v>
      </c>
      <c r="M1694" s="52" t="s">
        <v>655</v>
      </c>
      <c r="N1694" s="53" t="s">
        <v>655</v>
      </c>
      <c r="O1694" s="6"/>
      <c r="P1694" s="6"/>
      <c r="Q1694" s="6" t="str">
        <f t="shared" si="1"/>
        <v>#N/A</v>
      </c>
      <c r="R1694" s="6"/>
    </row>
    <row r="1695" hidden="1">
      <c r="A1695" s="31"/>
      <c r="B1695" s="14"/>
      <c r="C1695" s="14"/>
      <c r="D1695" s="6"/>
      <c r="E1695" s="14"/>
      <c r="F1695" s="25"/>
      <c r="G1695" s="6"/>
      <c r="H1695" s="6"/>
      <c r="I1695" s="19"/>
      <c r="J1695" s="50"/>
      <c r="K1695" s="58"/>
      <c r="L1695" s="6" t="s">
        <v>655</v>
      </c>
      <c r="M1695" s="52" t="s">
        <v>655</v>
      </c>
      <c r="N1695" s="53" t="s">
        <v>655</v>
      </c>
      <c r="O1695" s="6"/>
      <c r="P1695" s="6"/>
      <c r="Q1695" s="6" t="str">
        <f t="shared" si="1"/>
        <v>#N/A</v>
      </c>
      <c r="R1695" s="6"/>
    </row>
    <row r="1696" hidden="1">
      <c r="A1696" s="31"/>
      <c r="B1696" s="14"/>
      <c r="C1696" s="14"/>
      <c r="D1696" s="6"/>
      <c r="E1696" s="14"/>
      <c r="F1696" s="25"/>
      <c r="G1696" s="6"/>
      <c r="H1696" s="6"/>
      <c r="I1696" s="19"/>
      <c r="J1696" s="50"/>
      <c r="K1696" s="58"/>
      <c r="L1696" s="6" t="s">
        <v>655</v>
      </c>
      <c r="M1696" s="52" t="s">
        <v>655</v>
      </c>
      <c r="N1696" s="53" t="s">
        <v>655</v>
      </c>
      <c r="O1696" s="6"/>
      <c r="P1696" s="6"/>
      <c r="Q1696" s="6" t="str">
        <f t="shared" si="1"/>
        <v>#N/A</v>
      </c>
      <c r="R1696" s="6"/>
    </row>
    <row r="1697" hidden="1">
      <c r="A1697" s="31"/>
      <c r="B1697" s="14"/>
      <c r="C1697" s="14"/>
      <c r="D1697" s="6"/>
      <c r="E1697" s="14"/>
      <c r="F1697" s="25"/>
      <c r="G1697" s="6"/>
      <c r="H1697" s="6"/>
      <c r="I1697" s="19"/>
      <c r="J1697" s="50"/>
      <c r="K1697" s="58"/>
      <c r="L1697" s="6" t="s">
        <v>655</v>
      </c>
      <c r="M1697" s="52" t="s">
        <v>655</v>
      </c>
      <c r="N1697" s="53" t="s">
        <v>655</v>
      </c>
      <c r="O1697" s="6"/>
      <c r="P1697" s="6"/>
      <c r="Q1697" s="6" t="str">
        <f t="shared" si="1"/>
        <v>#N/A</v>
      </c>
      <c r="R1697" s="6"/>
    </row>
    <row r="1698" hidden="1">
      <c r="A1698" s="31"/>
      <c r="B1698" s="14"/>
      <c r="C1698" s="14"/>
      <c r="D1698" s="6"/>
      <c r="E1698" s="14"/>
      <c r="F1698" s="25"/>
      <c r="G1698" s="6"/>
      <c r="H1698" s="6"/>
      <c r="I1698" s="19"/>
      <c r="J1698" s="50"/>
      <c r="K1698" s="58"/>
      <c r="L1698" s="6" t="s">
        <v>655</v>
      </c>
      <c r="M1698" s="52" t="s">
        <v>655</v>
      </c>
      <c r="N1698" s="53" t="s">
        <v>655</v>
      </c>
      <c r="O1698" s="6"/>
      <c r="P1698" s="6"/>
      <c r="Q1698" s="6" t="str">
        <f t="shared" si="1"/>
        <v>#N/A</v>
      </c>
      <c r="R1698" s="6"/>
    </row>
    <row r="1699" hidden="1">
      <c r="A1699" s="31"/>
      <c r="B1699" s="14"/>
      <c r="C1699" s="14"/>
      <c r="D1699" s="6"/>
      <c r="E1699" s="14"/>
      <c r="F1699" s="25"/>
      <c r="G1699" s="6"/>
      <c r="H1699" s="6"/>
      <c r="I1699" s="19"/>
      <c r="J1699" s="50"/>
      <c r="K1699" s="58"/>
      <c r="L1699" s="6" t="s">
        <v>655</v>
      </c>
      <c r="M1699" s="52" t="s">
        <v>655</v>
      </c>
      <c r="N1699" s="53" t="s">
        <v>655</v>
      </c>
      <c r="O1699" s="6"/>
      <c r="P1699" s="6"/>
      <c r="Q1699" s="6" t="str">
        <f t="shared" si="1"/>
        <v>#N/A</v>
      </c>
      <c r="R1699" s="6"/>
    </row>
    <row r="1700" hidden="1">
      <c r="A1700" s="31"/>
      <c r="B1700" s="14"/>
      <c r="C1700" s="14"/>
      <c r="D1700" s="6"/>
      <c r="E1700" s="14"/>
      <c r="F1700" s="25"/>
      <c r="G1700" s="6"/>
      <c r="H1700" s="6"/>
      <c r="I1700" s="19"/>
      <c r="J1700" s="50"/>
      <c r="K1700" s="58"/>
      <c r="L1700" s="6" t="s">
        <v>655</v>
      </c>
      <c r="M1700" s="52" t="s">
        <v>655</v>
      </c>
      <c r="N1700" s="53" t="s">
        <v>655</v>
      </c>
      <c r="O1700" s="6"/>
      <c r="P1700" s="6"/>
      <c r="Q1700" s="6" t="str">
        <f t="shared" si="1"/>
        <v>#N/A</v>
      </c>
      <c r="R1700" s="6"/>
    </row>
    <row r="1701" hidden="1">
      <c r="A1701" s="31"/>
      <c r="B1701" s="14"/>
      <c r="C1701" s="14"/>
      <c r="D1701" s="6"/>
      <c r="E1701" s="14"/>
      <c r="F1701" s="25"/>
      <c r="G1701" s="6"/>
      <c r="H1701" s="6"/>
      <c r="I1701" s="19"/>
      <c r="J1701" s="50"/>
      <c r="K1701" s="58"/>
      <c r="L1701" s="6" t="s">
        <v>655</v>
      </c>
      <c r="M1701" s="52" t="s">
        <v>655</v>
      </c>
      <c r="N1701" s="53" t="s">
        <v>655</v>
      </c>
      <c r="O1701" s="6"/>
      <c r="P1701" s="6"/>
      <c r="Q1701" s="6" t="str">
        <f t="shared" si="1"/>
        <v>#N/A</v>
      </c>
      <c r="R1701" s="6"/>
    </row>
    <row r="1702" hidden="1">
      <c r="A1702" s="31"/>
      <c r="B1702" s="14"/>
      <c r="C1702" s="14"/>
      <c r="D1702" s="6"/>
      <c r="E1702" s="14"/>
      <c r="F1702" s="25"/>
      <c r="G1702" s="6"/>
      <c r="H1702" s="6"/>
      <c r="I1702" s="19"/>
      <c r="J1702" s="50"/>
      <c r="K1702" s="58"/>
      <c r="L1702" s="6" t="s">
        <v>655</v>
      </c>
      <c r="M1702" s="52" t="s">
        <v>655</v>
      </c>
      <c r="N1702" s="53" t="s">
        <v>655</v>
      </c>
      <c r="O1702" s="6"/>
      <c r="P1702" s="6"/>
      <c r="Q1702" s="6" t="str">
        <f t="shared" si="1"/>
        <v>#N/A</v>
      </c>
      <c r="R1702" s="6"/>
    </row>
    <row r="1703" hidden="1">
      <c r="A1703" s="31"/>
      <c r="B1703" s="14"/>
      <c r="C1703" s="14"/>
      <c r="D1703" s="6"/>
      <c r="E1703" s="14"/>
      <c r="F1703" s="25"/>
      <c r="G1703" s="6"/>
      <c r="H1703" s="6"/>
      <c r="I1703" s="19"/>
      <c r="J1703" s="50"/>
      <c r="K1703" s="58"/>
      <c r="L1703" s="6" t="s">
        <v>655</v>
      </c>
      <c r="M1703" s="52" t="s">
        <v>655</v>
      </c>
      <c r="N1703" s="53" t="s">
        <v>655</v>
      </c>
      <c r="O1703" s="6"/>
      <c r="P1703" s="6"/>
      <c r="Q1703" s="6" t="str">
        <f t="shared" si="1"/>
        <v>#N/A</v>
      </c>
      <c r="R1703" s="6"/>
    </row>
    <row r="1704" hidden="1">
      <c r="A1704" s="31"/>
      <c r="B1704" s="14"/>
      <c r="C1704" s="14"/>
      <c r="D1704" s="6"/>
      <c r="E1704" s="14"/>
      <c r="F1704" s="25"/>
      <c r="G1704" s="6"/>
      <c r="H1704" s="6"/>
      <c r="I1704" s="19"/>
      <c r="J1704" s="50"/>
      <c r="K1704" s="58"/>
      <c r="L1704" s="6" t="s">
        <v>655</v>
      </c>
      <c r="M1704" s="52" t="s">
        <v>655</v>
      </c>
      <c r="N1704" s="53" t="s">
        <v>655</v>
      </c>
      <c r="O1704" s="6"/>
      <c r="P1704" s="6"/>
      <c r="Q1704" s="6" t="str">
        <f t="shared" si="1"/>
        <v>#N/A</v>
      </c>
      <c r="R1704" s="6"/>
    </row>
    <row r="1705" hidden="1">
      <c r="A1705" s="31"/>
      <c r="B1705" s="14"/>
      <c r="C1705" s="14"/>
      <c r="D1705" s="6"/>
      <c r="E1705" s="14"/>
      <c r="F1705" s="25"/>
      <c r="G1705" s="6"/>
      <c r="H1705" s="6"/>
      <c r="I1705" s="19"/>
      <c r="J1705" s="50"/>
      <c r="K1705" s="58"/>
      <c r="L1705" s="6" t="s">
        <v>655</v>
      </c>
      <c r="M1705" s="52" t="s">
        <v>655</v>
      </c>
      <c r="N1705" s="53" t="s">
        <v>655</v>
      </c>
      <c r="O1705" s="6"/>
      <c r="P1705" s="6"/>
      <c r="Q1705" s="6" t="str">
        <f t="shared" si="1"/>
        <v>#N/A</v>
      </c>
      <c r="R1705" s="6"/>
    </row>
    <row r="1706" hidden="1">
      <c r="A1706" s="31"/>
      <c r="B1706" s="14"/>
      <c r="C1706" s="14"/>
      <c r="D1706" s="6"/>
      <c r="E1706" s="14"/>
      <c r="F1706" s="25"/>
      <c r="G1706" s="6"/>
      <c r="H1706" s="6"/>
      <c r="I1706" s="19"/>
      <c r="J1706" s="50"/>
      <c r="K1706" s="58"/>
      <c r="L1706" s="6" t="s">
        <v>655</v>
      </c>
      <c r="M1706" s="52" t="s">
        <v>655</v>
      </c>
      <c r="N1706" s="53" t="s">
        <v>655</v>
      </c>
      <c r="O1706" s="6"/>
      <c r="P1706" s="6"/>
      <c r="Q1706" s="6" t="str">
        <f t="shared" si="1"/>
        <v>#N/A</v>
      </c>
      <c r="R1706" s="6"/>
    </row>
    <row r="1707" hidden="1">
      <c r="A1707" s="31"/>
      <c r="B1707" s="14"/>
      <c r="C1707" s="14"/>
      <c r="D1707" s="6"/>
      <c r="E1707" s="14"/>
      <c r="F1707" s="25"/>
      <c r="G1707" s="6"/>
      <c r="H1707" s="6"/>
      <c r="I1707" s="19"/>
      <c r="J1707" s="50"/>
      <c r="K1707" s="58"/>
      <c r="L1707" s="6" t="s">
        <v>655</v>
      </c>
      <c r="M1707" s="52" t="s">
        <v>655</v>
      </c>
      <c r="N1707" s="53" t="s">
        <v>655</v>
      </c>
      <c r="O1707" s="6"/>
      <c r="P1707" s="6"/>
      <c r="Q1707" s="6" t="str">
        <f t="shared" si="1"/>
        <v>#N/A</v>
      </c>
      <c r="R1707" s="6"/>
    </row>
    <row r="1708" hidden="1">
      <c r="A1708" s="31"/>
      <c r="B1708" s="14"/>
      <c r="C1708" s="14"/>
      <c r="D1708" s="6"/>
      <c r="E1708" s="14"/>
      <c r="F1708" s="25"/>
      <c r="G1708" s="6"/>
      <c r="H1708" s="6"/>
      <c r="I1708" s="19"/>
      <c r="J1708" s="50"/>
      <c r="K1708" s="58"/>
      <c r="L1708" s="6" t="s">
        <v>655</v>
      </c>
      <c r="M1708" s="52" t="s">
        <v>655</v>
      </c>
      <c r="N1708" s="53" t="s">
        <v>655</v>
      </c>
      <c r="O1708" s="6"/>
      <c r="P1708" s="6"/>
      <c r="Q1708" s="6" t="str">
        <f t="shared" si="1"/>
        <v>#N/A</v>
      </c>
      <c r="R1708" s="6"/>
    </row>
    <row r="1709" hidden="1">
      <c r="A1709" s="31"/>
      <c r="B1709" s="14"/>
      <c r="C1709" s="14"/>
      <c r="D1709" s="6"/>
      <c r="E1709" s="14"/>
      <c r="F1709" s="25"/>
      <c r="G1709" s="6"/>
      <c r="H1709" s="6"/>
      <c r="I1709" s="19"/>
      <c r="J1709" s="50"/>
      <c r="K1709" s="58"/>
      <c r="L1709" s="6" t="s">
        <v>655</v>
      </c>
      <c r="M1709" s="52" t="s">
        <v>655</v>
      </c>
      <c r="N1709" s="53" t="s">
        <v>655</v>
      </c>
      <c r="O1709" s="6"/>
      <c r="P1709" s="6"/>
      <c r="Q1709" s="6" t="str">
        <f t="shared" si="1"/>
        <v>#N/A</v>
      </c>
      <c r="R1709" s="6"/>
    </row>
    <row r="1710" hidden="1">
      <c r="A1710" s="31"/>
      <c r="B1710" s="14"/>
      <c r="C1710" s="14"/>
      <c r="D1710" s="6"/>
      <c r="E1710" s="14"/>
      <c r="F1710" s="25"/>
      <c r="G1710" s="6"/>
      <c r="H1710" s="6"/>
      <c r="I1710" s="19"/>
      <c r="J1710" s="50"/>
      <c r="K1710" s="58"/>
      <c r="L1710" s="6" t="s">
        <v>655</v>
      </c>
      <c r="M1710" s="52" t="s">
        <v>655</v>
      </c>
      <c r="N1710" s="53" t="s">
        <v>655</v>
      </c>
      <c r="O1710" s="6"/>
      <c r="P1710" s="6"/>
      <c r="Q1710" s="6" t="str">
        <f t="shared" si="1"/>
        <v>#N/A</v>
      </c>
      <c r="R1710" s="6"/>
    </row>
    <row r="1711" hidden="1">
      <c r="A1711" s="31"/>
      <c r="B1711" s="14"/>
      <c r="C1711" s="14"/>
      <c r="D1711" s="6"/>
      <c r="E1711" s="14"/>
      <c r="F1711" s="25"/>
      <c r="G1711" s="6"/>
      <c r="H1711" s="6"/>
      <c r="I1711" s="19"/>
      <c r="J1711" s="50"/>
      <c r="K1711" s="58"/>
      <c r="L1711" s="6" t="s">
        <v>655</v>
      </c>
      <c r="M1711" s="52" t="s">
        <v>655</v>
      </c>
      <c r="N1711" s="53" t="s">
        <v>655</v>
      </c>
      <c r="O1711" s="6"/>
      <c r="P1711" s="6"/>
      <c r="Q1711" s="6" t="str">
        <f t="shared" si="1"/>
        <v>#N/A</v>
      </c>
      <c r="R1711" s="6"/>
    </row>
    <row r="1712" hidden="1">
      <c r="A1712" s="31"/>
      <c r="B1712" s="14"/>
      <c r="C1712" s="14"/>
      <c r="D1712" s="6"/>
      <c r="E1712" s="14"/>
      <c r="F1712" s="25"/>
      <c r="G1712" s="6"/>
      <c r="H1712" s="6"/>
      <c r="I1712" s="19"/>
      <c r="J1712" s="50"/>
      <c r="K1712" s="58"/>
      <c r="L1712" s="6" t="s">
        <v>655</v>
      </c>
      <c r="M1712" s="52" t="s">
        <v>655</v>
      </c>
      <c r="N1712" s="53" t="s">
        <v>655</v>
      </c>
      <c r="O1712" s="6"/>
      <c r="P1712" s="6"/>
      <c r="Q1712" s="6" t="str">
        <f t="shared" si="1"/>
        <v>#N/A</v>
      </c>
      <c r="R1712" s="6"/>
    </row>
    <row r="1713" hidden="1">
      <c r="A1713" s="31"/>
      <c r="B1713" s="14"/>
      <c r="C1713" s="14"/>
      <c r="D1713" s="6"/>
      <c r="E1713" s="14"/>
      <c r="F1713" s="25"/>
      <c r="G1713" s="6"/>
      <c r="H1713" s="6"/>
      <c r="I1713" s="19"/>
      <c r="J1713" s="50"/>
      <c r="K1713" s="58"/>
      <c r="L1713" s="6" t="s">
        <v>655</v>
      </c>
      <c r="M1713" s="52" t="s">
        <v>655</v>
      </c>
      <c r="N1713" s="53" t="s">
        <v>655</v>
      </c>
      <c r="O1713" s="6"/>
      <c r="P1713" s="6"/>
      <c r="Q1713" s="6" t="str">
        <f t="shared" si="1"/>
        <v>#N/A</v>
      </c>
      <c r="R1713" s="6"/>
    </row>
    <row r="1714" hidden="1">
      <c r="A1714" s="31"/>
      <c r="B1714" s="14"/>
      <c r="C1714" s="14"/>
      <c r="D1714" s="6"/>
      <c r="E1714" s="14"/>
      <c r="F1714" s="25"/>
      <c r="G1714" s="6"/>
      <c r="H1714" s="6"/>
      <c r="I1714" s="19"/>
      <c r="J1714" s="50"/>
      <c r="K1714" s="58"/>
      <c r="L1714" s="6" t="s">
        <v>655</v>
      </c>
      <c r="M1714" s="52" t="s">
        <v>655</v>
      </c>
      <c r="N1714" s="53" t="s">
        <v>655</v>
      </c>
      <c r="O1714" s="6"/>
      <c r="P1714" s="6"/>
      <c r="Q1714" s="6" t="str">
        <f t="shared" si="1"/>
        <v>#N/A</v>
      </c>
      <c r="R1714" s="6"/>
    </row>
    <row r="1715" hidden="1">
      <c r="A1715" s="31"/>
      <c r="B1715" s="14"/>
      <c r="C1715" s="14"/>
      <c r="D1715" s="6"/>
      <c r="E1715" s="14"/>
      <c r="F1715" s="25"/>
      <c r="G1715" s="6"/>
      <c r="H1715" s="6"/>
      <c r="I1715" s="19"/>
      <c r="J1715" s="50"/>
      <c r="K1715" s="58"/>
      <c r="L1715" s="6" t="s">
        <v>655</v>
      </c>
      <c r="M1715" s="52" t="s">
        <v>655</v>
      </c>
      <c r="N1715" s="53" t="s">
        <v>655</v>
      </c>
      <c r="O1715" s="6"/>
      <c r="P1715" s="6"/>
      <c r="Q1715" s="6" t="str">
        <f t="shared" si="1"/>
        <v>#N/A</v>
      </c>
      <c r="R1715" s="6"/>
    </row>
    <row r="1716" hidden="1">
      <c r="A1716" s="31"/>
      <c r="B1716" s="14"/>
      <c r="C1716" s="14"/>
      <c r="D1716" s="6"/>
      <c r="E1716" s="14"/>
      <c r="F1716" s="25"/>
      <c r="G1716" s="6"/>
      <c r="H1716" s="6"/>
      <c r="I1716" s="19"/>
      <c r="J1716" s="50"/>
      <c r="K1716" s="58"/>
      <c r="L1716" s="6" t="s">
        <v>655</v>
      </c>
      <c r="M1716" s="52" t="s">
        <v>655</v>
      </c>
      <c r="N1716" s="53" t="s">
        <v>655</v>
      </c>
      <c r="O1716" s="6"/>
      <c r="P1716" s="6"/>
      <c r="Q1716" s="6" t="str">
        <f t="shared" si="1"/>
        <v>#N/A</v>
      </c>
      <c r="R1716" s="6"/>
    </row>
    <row r="1717" hidden="1">
      <c r="A1717" s="31"/>
      <c r="B1717" s="14"/>
      <c r="C1717" s="14"/>
      <c r="D1717" s="6"/>
      <c r="E1717" s="14"/>
      <c r="F1717" s="25"/>
      <c r="G1717" s="6"/>
      <c r="H1717" s="6"/>
      <c r="I1717" s="19"/>
      <c r="J1717" s="50"/>
      <c r="K1717" s="58"/>
      <c r="L1717" s="6" t="s">
        <v>655</v>
      </c>
      <c r="M1717" s="52" t="s">
        <v>655</v>
      </c>
      <c r="N1717" s="53" t="s">
        <v>655</v>
      </c>
      <c r="O1717" s="6"/>
      <c r="P1717" s="6"/>
      <c r="Q1717" s="6" t="str">
        <f t="shared" si="1"/>
        <v>#N/A</v>
      </c>
      <c r="R1717" s="6"/>
    </row>
    <row r="1718" hidden="1">
      <c r="A1718" s="31"/>
      <c r="B1718" s="14"/>
      <c r="C1718" s="14"/>
      <c r="D1718" s="6"/>
      <c r="E1718" s="14"/>
      <c r="F1718" s="25"/>
      <c r="G1718" s="6"/>
      <c r="H1718" s="6"/>
      <c r="I1718" s="19"/>
      <c r="J1718" s="50"/>
      <c r="K1718" s="58"/>
      <c r="L1718" s="6" t="s">
        <v>655</v>
      </c>
      <c r="M1718" s="52" t="s">
        <v>655</v>
      </c>
      <c r="N1718" s="53" t="s">
        <v>655</v>
      </c>
      <c r="O1718" s="6"/>
      <c r="P1718" s="6"/>
      <c r="Q1718" s="6" t="str">
        <f t="shared" si="1"/>
        <v>#N/A</v>
      </c>
      <c r="R1718" s="6"/>
    </row>
    <row r="1719" hidden="1">
      <c r="A1719" s="31"/>
      <c r="B1719" s="14"/>
      <c r="C1719" s="14"/>
      <c r="D1719" s="6"/>
      <c r="E1719" s="14"/>
      <c r="F1719" s="25"/>
      <c r="G1719" s="6"/>
      <c r="H1719" s="6"/>
      <c r="I1719" s="19"/>
      <c r="J1719" s="50"/>
      <c r="K1719" s="58"/>
      <c r="L1719" s="6" t="s">
        <v>655</v>
      </c>
      <c r="M1719" s="52" t="s">
        <v>655</v>
      </c>
      <c r="N1719" s="53" t="s">
        <v>655</v>
      </c>
      <c r="O1719" s="6"/>
      <c r="P1719" s="6"/>
      <c r="Q1719" s="6" t="str">
        <f t="shared" si="1"/>
        <v>#N/A</v>
      </c>
      <c r="R1719" s="6"/>
    </row>
    <row r="1720" hidden="1">
      <c r="A1720" s="31"/>
      <c r="B1720" s="14"/>
      <c r="C1720" s="14"/>
      <c r="D1720" s="6"/>
      <c r="E1720" s="14"/>
      <c r="F1720" s="25"/>
      <c r="G1720" s="6"/>
      <c r="H1720" s="6"/>
      <c r="I1720" s="19"/>
      <c r="J1720" s="50"/>
      <c r="K1720" s="58"/>
      <c r="L1720" s="6" t="s">
        <v>655</v>
      </c>
      <c r="M1720" s="52" t="s">
        <v>655</v>
      </c>
      <c r="N1720" s="53" t="s">
        <v>655</v>
      </c>
      <c r="O1720" s="6"/>
      <c r="P1720" s="6"/>
      <c r="Q1720" s="6" t="str">
        <f t="shared" si="1"/>
        <v>#N/A</v>
      </c>
      <c r="R1720" s="6"/>
    </row>
    <row r="1721" hidden="1">
      <c r="A1721" s="31"/>
      <c r="B1721" s="14"/>
      <c r="C1721" s="14"/>
      <c r="D1721" s="6"/>
      <c r="E1721" s="14"/>
      <c r="F1721" s="25"/>
      <c r="G1721" s="6"/>
      <c r="H1721" s="6"/>
      <c r="I1721" s="19"/>
      <c r="J1721" s="50"/>
      <c r="K1721" s="58"/>
      <c r="L1721" s="6" t="s">
        <v>655</v>
      </c>
      <c r="M1721" s="52" t="s">
        <v>655</v>
      </c>
      <c r="N1721" s="53" t="s">
        <v>655</v>
      </c>
      <c r="O1721" s="6"/>
      <c r="P1721" s="6"/>
      <c r="Q1721" s="6" t="str">
        <f t="shared" si="1"/>
        <v>#N/A</v>
      </c>
      <c r="R1721" s="6"/>
    </row>
    <row r="1722" hidden="1">
      <c r="A1722" s="31"/>
      <c r="B1722" s="14"/>
      <c r="C1722" s="14"/>
      <c r="D1722" s="6"/>
      <c r="E1722" s="14"/>
      <c r="F1722" s="25"/>
      <c r="G1722" s="6"/>
      <c r="H1722" s="6"/>
      <c r="I1722" s="19"/>
      <c r="J1722" s="50"/>
      <c r="K1722" s="58"/>
      <c r="L1722" s="6" t="s">
        <v>655</v>
      </c>
      <c r="M1722" s="52" t="s">
        <v>655</v>
      </c>
      <c r="N1722" s="53" t="s">
        <v>655</v>
      </c>
      <c r="O1722" s="6"/>
      <c r="P1722" s="6"/>
      <c r="Q1722" s="6" t="str">
        <f t="shared" si="1"/>
        <v>#N/A</v>
      </c>
      <c r="R1722" s="6"/>
    </row>
    <row r="1723" hidden="1">
      <c r="A1723" s="31"/>
      <c r="B1723" s="14"/>
      <c r="C1723" s="14"/>
      <c r="D1723" s="6"/>
      <c r="E1723" s="14"/>
      <c r="F1723" s="25"/>
      <c r="G1723" s="6"/>
      <c r="H1723" s="6"/>
      <c r="I1723" s="19"/>
      <c r="J1723" s="50"/>
      <c r="K1723" s="58"/>
      <c r="L1723" s="6" t="s">
        <v>655</v>
      </c>
      <c r="M1723" s="52" t="s">
        <v>655</v>
      </c>
      <c r="N1723" s="53" t="s">
        <v>655</v>
      </c>
      <c r="O1723" s="6"/>
      <c r="P1723" s="6"/>
      <c r="Q1723" s="6" t="str">
        <f t="shared" si="1"/>
        <v>#N/A</v>
      </c>
      <c r="R1723" s="6"/>
    </row>
    <row r="1724" hidden="1">
      <c r="A1724" s="31"/>
      <c r="B1724" s="14"/>
      <c r="C1724" s="14"/>
      <c r="D1724" s="6"/>
      <c r="E1724" s="14"/>
      <c r="F1724" s="25"/>
      <c r="G1724" s="6"/>
      <c r="H1724" s="6"/>
      <c r="I1724" s="19"/>
      <c r="J1724" s="50"/>
      <c r="K1724" s="58"/>
      <c r="L1724" s="6" t="s">
        <v>655</v>
      </c>
      <c r="M1724" s="52" t="s">
        <v>655</v>
      </c>
      <c r="N1724" s="53" t="s">
        <v>655</v>
      </c>
      <c r="O1724" s="6"/>
      <c r="P1724" s="6"/>
      <c r="Q1724" s="6" t="str">
        <f t="shared" si="1"/>
        <v>#N/A</v>
      </c>
      <c r="R1724" s="6"/>
    </row>
    <row r="1725" hidden="1">
      <c r="A1725" s="31"/>
      <c r="B1725" s="14"/>
      <c r="C1725" s="14"/>
      <c r="D1725" s="6"/>
      <c r="E1725" s="14"/>
      <c r="F1725" s="25"/>
      <c r="G1725" s="6"/>
      <c r="H1725" s="6"/>
      <c r="I1725" s="19"/>
      <c r="J1725" s="50"/>
      <c r="K1725" s="58"/>
      <c r="L1725" s="6" t="s">
        <v>655</v>
      </c>
      <c r="M1725" s="52" t="s">
        <v>655</v>
      </c>
      <c r="N1725" s="53" t="s">
        <v>655</v>
      </c>
      <c r="O1725" s="6"/>
      <c r="P1725" s="6"/>
      <c r="Q1725" s="6" t="str">
        <f t="shared" si="1"/>
        <v>#N/A</v>
      </c>
      <c r="R1725" s="6"/>
    </row>
    <row r="1726" hidden="1">
      <c r="A1726" s="31"/>
      <c r="B1726" s="14"/>
      <c r="C1726" s="14"/>
      <c r="D1726" s="6"/>
      <c r="E1726" s="14"/>
      <c r="F1726" s="25"/>
      <c r="G1726" s="6"/>
      <c r="H1726" s="6"/>
      <c r="I1726" s="19"/>
      <c r="J1726" s="50"/>
      <c r="K1726" s="58"/>
      <c r="L1726" s="6" t="s">
        <v>655</v>
      </c>
      <c r="M1726" s="52" t="s">
        <v>655</v>
      </c>
      <c r="N1726" s="53" t="s">
        <v>655</v>
      </c>
      <c r="O1726" s="6"/>
      <c r="P1726" s="6"/>
      <c r="Q1726" s="6" t="str">
        <f t="shared" si="1"/>
        <v>#N/A</v>
      </c>
      <c r="R1726" s="6"/>
    </row>
    <row r="1727" hidden="1">
      <c r="A1727" s="31"/>
      <c r="B1727" s="14"/>
      <c r="C1727" s="14"/>
      <c r="D1727" s="6"/>
      <c r="E1727" s="14"/>
      <c r="F1727" s="25"/>
      <c r="G1727" s="6"/>
      <c r="H1727" s="6"/>
      <c r="I1727" s="19"/>
      <c r="J1727" s="50"/>
      <c r="K1727" s="58"/>
      <c r="L1727" s="6" t="s">
        <v>655</v>
      </c>
      <c r="M1727" s="52" t="s">
        <v>655</v>
      </c>
      <c r="N1727" s="53" t="s">
        <v>655</v>
      </c>
      <c r="O1727" s="6"/>
      <c r="P1727" s="6"/>
      <c r="Q1727" s="6" t="str">
        <f t="shared" si="1"/>
        <v>#N/A</v>
      </c>
      <c r="R1727" s="6"/>
    </row>
    <row r="1728" hidden="1">
      <c r="A1728" s="31"/>
      <c r="B1728" s="14"/>
      <c r="C1728" s="14"/>
      <c r="D1728" s="6"/>
      <c r="E1728" s="14"/>
      <c r="F1728" s="25"/>
      <c r="G1728" s="6"/>
      <c r="H1728" s="6"/>
      <c r="I1728" s="19"/>
      <c r="J1728" s="50"/>
      <c r="K1728" s="58"/>
      <c r="L1728" s="6" t="s">
        <v>655</v>
      </c>
      <c r="M1728" s="52" t="s">
        <v>655</v>
      </c>
      <c r="N1728" s="53" t="s">
        <v>655</v>
      </c>
      <c r="O1728" s="6"/>
      <c r="P1728" s="6"/>
      <c r="Q1728" s="6" t="str">
        <f t="shared" si="1"/>
        <v>#N/A</v>
      </c>
      <c r="R1728" s="6"/>
    </row>
    <row r="1729" hidden="1">
      <c r="A1729" s="31"/>
      <c r="B1729" s="14"/>
      <c r="C1729" s="14"/>
      <c r="D1729" s="6"/>
      <c r="E1729" s="14"/>
      <c r="F1729" s="25"/>
      <c r="G1729" s="6"/>
      <c r="H1729" s="6"/>
      <c r="I1729" s="19"/>
      <c r="J1729" s="50"/>
      <c r="K1729" s="58"/>
      <c r="L1729" s="6" t="s">
        <v>655</v>
      </c>
      <c r="M1729" s="52" t="s">
        <v>655</v>
      </c>
      <c r="N1729" s="53" t="s">
        <v>655</v>
      </c>
      <c r="O1729" s="6"/>
      <c r="P1729" s="6"/>
      <c r="Q1729" s="6" t="str">
        <f t="shared" si="1"/>
        <v>#N/A</v>
      </c>
      <c r="R1729" s="6"/>
    </row>
    <row r="1730" hidden="1">
      <c r="A1730" s="31"/>
      <c r="B1730" s="14"/>
      <c r="C1730" s="14"/>
      <c r="D1730" s="6"/>
      <c r="E1730" s="14"/>
      <c r="F1730" s="25"/>
      <c r="G1730" s="6"/>
      <c r="H1730" s="6"/>
      <c r="I1730" s="19"/>
      <c r="J1730" s="50"/>
      <c r="K1730" s="58"/>
      <c r="L1730" s="6" t="s">
        <v>655</v>
      </c>
      <c r="M1730" s="52" t="s">
        <v>655</v>
      </c>
      <c r="N1730" s="53" t="s">
        <v>655</v>
      </c>
      <c r="O1730" s="6"/>
      <c r="P1730" s="6"/>
      <c r="Q1730" s="6" t="str">
        <f t="shared" si="1"/>
        <v>#N/A</v>
      </c>
      <c r="R1730" s="6"/>
    </row>
    <row r="1731" hidden="1">
      <c r="A1731" s="31"/>
      <c r="B1731" s="14"/>
      <c r="C1731" s="14"/>
      <c r="D1731" s="6"/>
      <c r="E1731" s="14"/>
      <c r="F1731" s="25"/>
      <c r="G1731" s="6"/>
      <c r="H1731" s="6"/>
      <c r="I1731" s="19"/>
      <c r="J1731" s="50"/>
      <c r="K1731" s="58"/>
      <c r="L1731" s="6" t="s">
        <v>655</v>
      </c>
      <c r="M1731" s="52" t="s">
        <v>655</v>
      </c>
      <c r="N1731" s="53" t="s">
        <v>655</v>
      </c>
      <c r="O1731" s="6"/>
      <c r="P1731" s="6"/>
      <c r="Q1731" s="6" t="str">
        <f t="shared" si="1"/>
        <v>#N/A</v>
      </c>
      <c r="R1731" s="6"/>
    </row>
    <row r="1732" hidden="1">
      <c r="A1732" s="31"/>
      <c r="B1732" s="14"/>
      <c r="C1732" s="14"/>
      <c r="D1732" s="6"/>
      <c r="E1732" s="14"/>
      <c r="F1732" s="25"/>
      <c r="G1732" s="6"/>
      <c r="H1732" s="6"/>
      <c r="I1732" s="19"/>
      <c r="J1732" s="50"/>
      <c r="K1732" s="58"/>
      <c r="L1732" s="6" t="s">
        <v>655</v>
      </c>
      <c r="M1732" s="52" t="s">
        <v>655</v>
      </c>
      <c r="N1732" s="53" t="s">
        <v>655</v>
      </c>
      <c r="O1732" s="6"/>
      <c r="P1732" s="6"/>
      <c r="Q1732" s="6" t="str">
        <f t="shared" si="1"/>
        <v>#N/A</v>
      </c>
      <c r="R1732" s="6"/>
    </row>
    <row r="1733" hidden="1">
      <c r="A1733" s="31"/>
      <c r="B1733" s="14"/>
      <c r="C1733" s="14"/>
      <c r="D1733" s="6"/>
      <c r="E1733" s="14"/>
      <c r="F1733" s="25"/>
      <c r="G1733" s="6"/>
      <c r="H1733" s="6"/>
      <c r="I1733" s="19"/>
      <c r="J1733" s="50"/>
      <c r="K1733" s="58"/>
      <c r="L1733" s="6" t="s">
        <v>655</v>
      </c>
      <c r="M1733" s="52" t="s">
        <v>655</v>
      </c>
      <c r="N1733" s="53" t="s">
        <v>655</v>
      </c>
      <c r="O1733" s="6"/>
      <c r="P1733" s="6"/>
      <c r="Q1733" s="6" t="str">
        <f t="shared" si="1"/>
        <v>#N/A</v>
      </c>
      <c r="R1733" s="6"/>
    </row>
    <row r="1734" hidden="1">
      <c r="A1734" s="31"/>
      <c r="B1734" s="14"/>
      <c r="C1734" s="14"/>
      <c r="D1734" s="6"/>
      <c r="E1734" s="14"/>
      <c r="F1734" s="25"/>
      <c r="G1734" s="6"/>
      <c r="H1734" s="6"/>
      <c r="I1734" s="19"/>
      <c r="J1734" s="50"/>
      <c r="K1734" s="58"/>
      <c r="L1734" s="6" t="s">
        <v>655</v>
      </c>
      <c r="M1734" s="52" t="s">
        <v>655</v>
      </c>
      <c r="N1734" s="53" t="s">
        <v>655</v>
      </c>
      <c r="O1734" s="6"/>
      <c r="P1734" s="6"/>
      <c r="Q1734" s="6" t="str">
        <f t="shared" si="1"/>
        <v>#N/A</v>
      </c>
      <c r="R1734" s="6"/>
    </row>
    <row r="1735" hidden="1">
      <c r="A1735" s="31"/>
      <c r="B1735" s="14"/>
      <c r="C1735" s="14"/>
      <c r="D1735" s="6"/>
      <c r="E1735" s="14"/>
      <c r="F1735" s="25"/>
      <c r="G1735" s="6"/>
      <c r="H1735" s="6"/>
      <c r="I1735" s="19"/>
      <c r="J1735" s="50"/>
      <c r="K1735" s="58"/>
      <c r="L1735" s="6" t="s">
        <v>655</v>
      </c>
      <c r="M1735" s="52" t="s">
        <v>655</v>
      </c>
      <c r="N1735" s="53" t="s">
        <v>655</v>
      </c>
      <c r="O1735" s="6"/>
      <c r="P1735" s="6"/>
      <c r="Q1735" s="6" t="str">
        <f t="shared" si="1"/>
        <v>#N/A</v>
      </c>
      <c r="R1735" s="6"/>
    </row>
    <row r="1736" hidden="1">
      <c r="A1736" s="31"/>
      <c r="B1736" s="14"/>
      <c r="C1736" s="14"/>
      <c r="D1736" s="6"/>
      <c r="E1736" s="14"/>
      <c r="F1736" s="25"/>
      <c r="G1736" s="6"/>
      <c r="H1736" s="6"/>
      <c r="I1736" s="19"/>
      <c r="J1736" s="50"/>
      <c r="K1736" s="58"/>
      <c r="L1736" s="6" t="s">
        <v>655</v>
      </c>
      <c r="M1736" s="52" t="s">
        <v>655</v>
      </c>
      <c r="N1736" s="53" t="s">
        <v>655</v>
      </c>
      <c r="O1736" s="6"/>
      <c r="P1736" s="6"/>
      <c r="Q1736" s="6" t="str">
        <f t="shared" si="1"/>
        <v>#N/A</v>
      </c>
      <c r="R1736" s="6"/>
    </row>
    <row r="1737" hidden="1">
      <c r="A1737" s="31"/>
      <c r="B1737" s="14"/>
      <c r="C1737" s="14"/>
      <c r="D1737" s="6"/>
      <c r="E1737" s="14"/>
      <c r="F1737" s="25"/>
      <c r="G1737" s="6"/>
      <c r="H1737" s="6"/>
      <c r="I1737" s="19"/>
      <c r="J1737" s="50"/>
      <c r="K1737" s="58"/>
      <c r="L1737" s="6" t="s">
        <v>655</v>
      </c>
      <c r="M1737" s="52" t="s">
        <v>655</v>
      </c>
      <c r="N1737" s="53" t="s">
        <v>655</v>
      </c>
      <c r="O1737" s="6"/>
      <c r="P1737" s="6"/>
      <c r="Q1737" s="6" t="str">
        <f t="shared" si="1"/>
        <v>#N/A</v>
      </c>
      <c r="R1737" s="6"/>
    </row>
    <row r="1738" hidden="1">
      <c r="A1738" s="31"/>
      <c r="B1738" s="14"/>
      <c r="C1738" s="14"/>
      <c r="D1738" s="6"/>
      <c r="E1738" s="14"/>
      <c r="F1738" s="25"/>
      <c r="G1738" s="6"/>
      <c r="H1738" s="6"/>
      <c r="I1738" s="19"/>
      <c r="J1738" s="50"/>
      <c r="K1738" s="58"/>
      <c r="L1738" s="6" t="s">
        <v>655</v>
      </c>
      <c r="M1738" s="52" t="s">
        <v>655</v>
      </c>
      <c r="N1738" s="53" t="s">
        <v>655</v>
      </c>
      <c r="O1738" s="6"/>
      <c r="P1738" s="6"/>
      <c r="Q1738" s="6" t="str">
        <f t="shared" si="1"/>
        <v>#N/A</v>
      </c>
      <c r="R1738" s="6"/>
    </row>
    <row r="1739" hidden="1">
      <c r="A1739" s="31"/>
      <c r="B1739" s="14"/>
      <c r="C1739" s="14"/>
      <c r="D1739" s="6"/>
      <c r="E1739" s="14"/>
      <c r="F1739" s="25"/>
      <c r="G1739" s="6"/>
      <c r="H1739" s="6"/>
      <c r="I1739" s="19"/>
      <c r="J1739" s="50"/>
      <c r="K1739" s="58"/>
      <c r="L1739" s="6" t="s">
        <v>655</v>
      </c>
      <c r="M1739" s="52" t="s">
        <v>655</v>
      </c>
      <c r="N1739" s="53" t="s">
        <v>655</v>
      </c>
      <c r="O1739" s="6"/>
      <c r="P1739" s="6"/>
      <c r="Q1739" s="6" t="str">
        <f t="shared" si="1"/>
        <v>#N/A</v>
      </c>
      <c r="R1739" s="6"/>
    </row>
    <row r="1740" hidden="1">
      <c r="A1740" s="31"/>
      <c r="B1740" s="14"/>
      <c r="C1740" s="14"/>
      <c r="D1740" s="6"/>
      <c r="E1740" s="14"/>
      <c r="F1740" s="25"/>
      <c r="G1740" s="6"/>
      <c r="H1740" s="6"/>
      <c r="I1740" s="19"/>
      <c r="J1740" s="50"/>
      <c r="K1740" s="58"/>
      <c r="L1740" s="6" t="s">
        <v>655</v>
      </c>
      <c r="M1740" s="52" t="s">
        <v>655</v>
      </c>
      <c r="N1740" s="53" t="s">
        <v>655</v>
      </c>
      <c r="O1740" s="6"/>
      <c r="P1740" s="6"/>
      <c r="Q1740" s="6" t="str">
        <f t="shared" si="1"/>
        <v>#N/A</v>
      </c>
      <c r="R1740" s="6"/>
    </row>
    <row r="1741" hidden="1">
      <c r="A1741" s="31"/>
      <c r="B1741" s="14"/>
      <c r="C1741" s="14"/>
      <c r="D1741" s="6"/>
      <c r="E1741" s="14"/>
      <c r="F1741" s="25"/>
      <c r="G1741" s="6"/>
      <c r="H1741" s="6"/>
      <c r="I1741" s="19"/>
      <c r="J1741" s="50"/>
      <c r="K1741" s="58"/>
      <c r="L1741" s="6" t="s">
        <v>655</v>
      </c>
      <c r="M1741" s="52" t="s">
        <v>655</v>
      </c>
      <c r="N1741" s="53" t="s">
        <v>655</v>
      </c>
      <c r="O1741" s="6"/>
      <c r="P1741" s="6"/>
      <c r="Q1741" s="6" t="str">
        <f t="shared" si="1"/>
        <v>#N/A</v>
      </c>
      <c r="R1741" s="6"/>
    </row>
    <row r="1742" hidden="1">
      <c r="A1742" s="31"/>
      <c r="B1742" s="14"/>
      <c r="C1742" s="14"/>
      <c r="D1742" s="6"/>
      <c r="E1742" s="14"/>
      <c r="F1742" s="25"/>
      <c r="G1742" s="6"/>
      <c r="H1742" s="6"/>
      <c r="I1742" s="19"/>
      <c r="J1742" s="50"/>
      <c r="K1742" s="58"/>
      <c r="L1742" s="6" t="s">
        <v>655</v>
      </c>
      <c r="M1742" s="52" t="s">
        <v>655</v>
      </c>
      <c r="N1742" s="53" t="s">
        <v>655</v>
      </c>
      <c r="O1742" s="6"/>
      <c r="P1742" s="6"/>
      <c r="Q1742" s="6" t="str">
        <f t="shared" si="1"/>
        <v>#N/A</v>
      </c>
      <c r="R1742" s="6"/>
    </row>
    <row r="1743" hidden="1">
      <c r="A1743" s="31"/>
      <c r="B1743" s="14"/>
      <c r="C1743" s="14"/>
      <c r="D1743" s="6"/>
      <c r="E1743" s="14"/>
      <c r="F1743" s="25"/>
      <c r="G1743" s="6"/>
      <c r="H1743" s="6"/>
      <c r="I1743" s="19"/>
      <c r="J1743" s="50"/>
      <c r="K1743" s="58"/>
      <c r="L1743" s="6" t="s">
        <v>655</v>
      </c>
      <c r="M1743" s="52" t="s">
        <v>655</v>
      </c>
      <c r="N1743" s="53" t="s">
        <v>655</v>
      </c>
      <c r="O1743" s="6"/>
      <c r="P1743" s="6"/>
      <c r="Q1743" s="6" t="str">
        <f t="shared" si="1"/>
        <v>#N/A</v>
      </c>
      <c r="R1743" s="6"/>
    </row>
    <row r="1744" hidden="1">
      <c r="A1744" s="31"/>
      <c r="B1744" s="14"/>
      <c r="C1744" s="14"/>
      <c r="D1744" s="6"/>
      <c r="E1744" s="14"/>
      <c r="F1744" s="25"/>
      <c r="G1744" s="6"/>
      <c r="H1744" s="6"/>
      <c r="I1744" s="19"/>
      <c r="J1744" s="50"/>
      <c r="K1744" s="58"/>
      <c r="L1744" s="6" t="s">
        <v>655</v>
      </c>
      <c r="M1744" s="52" t="s">
        <v>655</v>
      </c>
      <c r="N1744" s="53" t="s">
        <v>655</v>
      </c>
      <c r="O1744" s="6"/>
      <c r="P1744" s="6"/>
      <c r="Q1744" s="6" t="str">
        <f t="shared" si="1"/>
        <v>#N/A</v>
      </c>
      <c r="R1744" s="6"/>
    </row>
    <row r="1745" hidden="1">
      <c r="A1745" s="31"/>
      <c r="B1745" s="14"/>
      <c r="C1745" s="14"/>
      <c r="D1745" s="6"/>
      <c r="E1745" s="14"/>
      <c r="F1745" s="25"/>
      <c r="G1745" s="6"/>
      <c r="H1745" s="6"/>
      <c r="I1745" s="19"/>
      <c r="J1745" s="50"/>
      <c r="K1745" s="58"/>
      <c r="L1745" s="6" t="s">
        <v>655</v>
      </c>
      <c r="M1745" s="52" t="s">
        <v>655</v>
      </c>
      <c r="N1745" s="53" t="s">
        <v>655</v>
      </c>
      <c r="O1745" s="6"/>
      <c r="P1745" s="6"/>
      <c r="Q1745" s="6" t="str">
        <f t="shared" si="1"/>
        <v>#N/A</v>
      </c>
      <c r="R1745" s="6"/>
    </row>
    <row r="1746" hidden="1">
      <c r="A1746" s="31"/>
      <c r="B1746" s="14"/>
      <c r="C1746" s="14"/>
      <c r="D1746" s="6"/>
      <c r="E1746" s="14"/>
      <c r="F1746" s="25"/>
      <c r="G1746" s="6"/>
      <c r="H1746" s="6"/>
      <c r="I1746" s="19"/>
      <c r="J1746" s="50"/>
      <c r="K1746" s="58"/>
      <c r="L1746" s="6" t="s">
        <v>655</v>
      </c>
      <c r="M1746" s="52" t="s">
        <v>655</v>
      </c>
      <c r="N1746" s="53" t="s">
        <v>655</v>
      </c>
      <c r="O1746" s="6"/>
      <c r="P1746" s="6"/>
      <c r="Q1746" s="6" t="str">
        <f t="shared" si="1"/>
        <v>#N/A</v>
      </c>
      <c r="R1746" s="6"/>
    </row>
    <row r="1747" hidden="1">
      <c r="A1747" s="31"/>
      <c r="B1747" s="14"/>
      <c r="C1747" s="14"/>
      <c r="D1747" s="6"/>
      <c r="E1747" s="14"/>
      <c r="F1747" s="25"/>
      <c r="G1747" s="6"/>
      <c r="H1747" s="6"/>
      <c r="I1747" s="19"/>
      <c r="J1747" s="50"/>
      <c r="K1747" s="58"/>
      <c r="L1747" s="6" t="s">
        <v>655</v>
      </c>
      <c r="M1747" s="52" t="s">
        <v>655</v>
      </c>
      <c r="N1747" s="53" t="s">
        <v>655</v>
      </c>
      <c r="O1747" s="6"/>
      <c r="P1747" s="6"/>
      <c r="Q1747" s="6" t="str">
        <f t="shared" si="1"/>
        <v>#N/A</v>
      </c>
      <c r="R1747" s="6"/>
    </row>
    <row r="1748" hidden="1">
      <c r="A1748" s="31"/>
      <c r="B1748" s="14"/>
      <c r="C1748" s="14"/>
      <c r="D1748" s="6"/>
      <c r="E1748" s="14"/>
      <c r="F1748" s="25"/>
      <c r="G1748" s="6"/>
      <c r="H1748" s="6"/>
      <c r="I1748" s="19"/>
      <c r="J1748" s="50"/>
      <c r="K1748" s="58"/>
      <c r="L1748" s="6" t="s">
        <v>655</v>
      </c>
      <c r="M1748" s="52" t="s">
        <v>655</v>
      </c>
      <c r="N1748" s="53" t="s">
        <v>655</v>
      </c>
      <c r="O1748" s="6"/>
      <c r="P1748" s="6"/>
      <c r="Q1748" s="6" t="str">
        <f t="shared" si="1"/>
        <v>#N/A</v>
      </c>
      <c r="R1748" s="6"/>
    </row>
    <row r="1749" hidden="1">
      <c r="A1749" s="31"/>
      <c r="B1749" s="14"/>
      <c r="C1749" s="14"/>
      <c r="D1749" s="6"/>
      <c r="E1749" s="14"/>
      <c r="F1749" s="25"/>
      <c r="G1749" s="6"/>
      <c r="H1749" s="6"/>
      <c r="I1749" s="19"/>
      <c r="J1749" s="50"/>
      <c r="K1749" s="58"/>
      <c r="L1749" s="6" t="s">
        <v>655</v>
      </c>
      <c r="M1749" s="52" t="s">
        <v>655</v>
      </c>
      <c r="N1749" s="53" t="s">
        <v>655</v>
      </c>
      <c r="O1749" s="6"/>
      <c r="P1749" s="6"/>
      <c r="Q1749" s="6" t="str">
        <f t="shared" si="1"/>
        <v>#N/A</v>
      </c>
      <c r="R1749" s="6"/>
    </row>
    <row r="1750" hidden="1">
      <c r="A1750" s="31"/>
      <c r="B1750" s="14"/>
      <c r="C1750" s="14"/>
      <c r="D1750" s="6"/>
      <c r="E1750" s="14"/>
      <c r="F1750" s="25"/>
      <c r="G1750" s="6"/>
      <c r="H1750" s="6"/>
      <c r="I1750" s="19"/>
      <c r="J1750" s="50"/>
      <c r="K1750" s="58"/>
      <c r="L1750" s="6" t="s">
        <v>655</v>
      </c>
      <c r="M1750" s="52" t="s">
        <v>655</v>
      </c>
      <c r="N1750" s="53" t="s">
        <v>655</v>
      </c>
      <c r="O1750" s="6"/>
      <c r="P1750" s="6"/>
      <c r="Q1750" s="6" t="str">
        <f t="shared" si="1"/>
        <v>#N/A</v>
      </c>
      <c r="R1750" s="6"/>
    </row>
    <row r="1751" hidden="1">
      <c r="A1751" s="31"/>
      <c r="B1751" s="14"/>
      <c r="C1751" s="14"/>
      <c r="D1751" s="6"/>
      <c r="E1751" s="14"/>
      <c r="F1751" s="25"/>
      <c r="G1751" s="6"/>
      <c r="H1751" s="6"/>
      <c r="I1751" s="19"/>
      <c r="J1751" s="50"/>
      <c r="K1751" s="58"/>
      <c r="L1751" s="6" t="s">
        <v>655</v>
      </c>
      <c r="M1751" s="52" t="s">
        <v>655</v>
      </c>
      <c r="N1751" s="53" t="s">
        <v>655</v>
      </c>
      <c r="O1751" s="6"/>
      <c r="P1751" s="6"/>
      <c r="Q1751" s="6" t="str">
        <f t="shared" si="1"/>
        <v>#N/A</v>
      </c>
      <c r="R1751" s="6"/>
    </row>
    <row r="1752" hidden="1">
      <c r="A1752" s="31"/>
      <c r="B1752" s="14"/>
      <c r="C1752" s="14"/>
      <c r="D1752" s="6"/>
      <c r="E1752" s="14"/>
      <c r="F1752" s="25"/>
      <c r="G1752" s="6"/>
      <c r="H1752" s="6"/>
      <c r="I1752" s="19"/>
      <c r="J1752" s="50"/>
      <c r="K1752" s="58"/>
      <c r="L1752" s="6" t="s">
        <v>655</v>
      </c>
      <c r="M1752" s="52" t="s">
        <v>655</v>
      </c>
      <c r="N1752" s="53" t="s">
        <v>655</v>
      </c>
      <c r="O1752" s="6"/>
      <c r="P1752" s="6"/>
      <c r="Q1752" s="6" t="str">
        <f t="shared" si="1"/>
        <v>#N/A</v>
      </c>
      <c r="R1752" s="6"/>
    </row>
    <row r="1753" hidden="1">
      <c r="A1753" s="31"/>
      <c r="B1753" s="14"/>
      <c r="C1753" s="14"/>
      <c r="D1753" s="6"/>
      <c r="E1753" s="14"/>
      <c r="F1753" s="25"/>
      <c r="G1753" s="6"/>
      <c r="H1753" s="6"/>
      <c r="I1753" s="19"/>
      <c r="J1753" s="50"/>
      <c r="K1753" s="58"/>
      <c r="L1753" s="6" t="s">
        <v>655</v>
      </c>
      <c r="M1753" s="52" t="s">
        <v>655</v>
      </c>
      <c r="N1753" s="53" t="s">
        <v>655</v>
      </c>
      <c r="O1753" s="6"/>
      <c r="P1753" s="6"/>
      <c r="Q1753" s="6" t="str">
        <f t="shared" si="1"/>
        <v>#N/A</v>
      </c>
      <c r="R1753" s="6"/>
    </row>
    <row r="1754" hidden="1">
      <c r="A1754" s="31"/>
      <c r="B1754" s="14"/>
      <c r="C1754" s="14"/>
      <c r="D1754" s="6"/>
      <c r="E1754" s="14"/>
      <c r="F1754" s="25"/>
      <c r="G1754" s="6"/>
      <c r="H1754" s="6"/>
      <c r="I1754" s="19"/>
      <c r="J1754" s="50"/>
      <c r="K1754" s="58"/>
      <c r="L1754" s="6" t="s">
        <v>655</v>
      </c>
      <c r="M1754" s="52" t="s">
        <v>655</v>
      </c>
      <c r="N1754" s="53" t="s">
        <v>655</v>
      </c>
      <c r="O1754" s="6"/>
      <c r="P1754" s="6"/>
      <c r="Q1754" s="6" t="str">
        <f t="shared" si="1"/>
        <v>#N/A</v>
      </c>
      <c r="R1754" s="6"/>
    </row>
    <row r="1755" hidden="1">
      <c r="A1755" s="31"/>
      <c r="B1755" s="14"/>
      <c r="C1755" s="14"/>
      <c r="D1755" s="6"/>
      <c r="E1755" s="14"/>
      <c r="F1755" s="25"/>
      <c r="G1755" s="6"/>
      <c r="H1755" s="6"/>
      <c r="I1755" s="19"/>
      <c r="J1755" s="50"/>
      <c r="K1755" s="58"/>
      <c r="L1755" s="6" t="s">
        <v>655</v>
      </c>
      <c r="M1755" s="52" t="s">
        <v>655</v>
      </c>
      <c r="N1755" s="53" t="s">
        <v>655</v>
      </c>
      <c r="O1755" s="6"/>
      <c r="P1755" s="6"/>
      <c r="Q1755" s="6" t="str">
        <f t="shared" si="1"/>
        <v>#N/A</v>
      </c>
      <c r="R1755" s="6"/>
    </row>
    <row r="1756" hidden="1">
      <c r="A1756" s="31"/>
      <c r="B1756" s="14"/>
      <c r="C1756" s="14"/>
      <c r="D1756" s="6"/>
      <c r="E1756" s="14"/>
      <c r="F1756" s="25"/>
      <c r="G1756" s="6"/>
      <c r="H1756" s="6"/>
      <c r="I1756" s="19"/>
      <c r="J1756" s="50"/>
      <c r="K1756" s="58"/>
      <c r="L1756" s="6" t="s">
        <v>655</v>
      </c>
      <c r="M1756" s="52" t="s">
        <v>655</v>
      </c>
      <c r="N1756" s="53" t="s">
        <v>655</v>
      </c>
      <c r="O1756" s="6"/>
      <c r="P1756" s="6"/>
      <c r="Q1756" s="6" t="str">
        <f t="shared" si="1"/>
        <v>#N/A</v>
      </c>
      <c r="R1756" s="6"/>
    </row>
    <row r="1757" hidden="1">
      <c r="A1757" s="31"/>
      <c r="B1757" s="14"/>
      <c r="C1757" s="14"/>
      <c r="D1757" s="6"/>
      <c r="E1757" s="14"/>
      <c r="F1757" s="25"/>
      <c r="G1757" s="6"/>
      <c r="H1757" s="6"/>
      <c r="I1757" s="19"/>
      <c r="J1757" s="50"/>
      <c r="K1757" s="58"/>
      <c r="L1757" s="6" t="s">
        <v>655</v>
      </c>
      <c r="M1757" s="52" t="s">
        <v>655</v>
      </c>
      <c r="N1757" s="53" t="s">
        <v>655</v>
      </c>
      <c r="O1757" s="6"/>
      <c r="P1757" s="6"/>
      <c r="Q1757" s="6" t="str">
        <f t="shared" si="1"/>
        <v>#N/A</v>
      </c>
      <c r="R1757" s="6"/>
    </row>
    <row r="1758" hidden="1">
      <c r="A1758" s="31"/>
      <c r="B1758" s="14"/>
      <c r="C1758" s="14"/>
      <c r="D1758" s="6"/>
      <c r="E1758" s="14"/>
      <c r="F1758" s="25"/>
      <c r="G1758" s="6"/>
      <c r="H1758" s="6"/>
      <c r="I1758" s="19"/>
      <c r="J1758" s="50"/>
      <c r="K1758" s="58"/>
      <c r="L1758" s="6" t="s">
        <v>655</v>
      </c>
      <c r="M1758" s="52" t="s">
        <v>655</v>
      </c>
      <c r="N1758" s="53" t="s">
        <v>655</v>
      </c>
      <c r="O1758" s="6"/>
      <c r="P1758" s="6"/>
      <c r="Q1758" s="6" t="str">
        <f t="shared" si="1"/>
        <v>#N/A</v>
      </c>
      <c r="R1758" s="6"/>
    </row>
    <row r="1759" hidden="1">
      <c r="A1759" s="31"/>
      <c r="B1759" s="14"/>
      <c r="C1759" s="14"/>
      <c r="D1759" s="6"/>
      <c r="E1759" s="14"/>
      <c r="F1759" s="25"/>
      <c r="G1759" s="6"/>
      <c r="H1759" s="6"/>
      <c r="I1759" s="19"/>
      <c r="J1759" s="50"/>
      <c r="K1759" s="58"/>
      <c r="L1759" s="6" t="s">
        <v>655</v>
      </c>
      <c r="M1759" s="52" t="s">
        <v>655</v>
      </c>
      <c r="N1759" s="53" t="s">
        <v>655</v>
      </c>
      <c r="O1759" s="6"/>
      <c r="P1759" s="6"/>
      <c r="Q1759" s="6" t="str">
        <f t="shared" si="1"/>
        <v>#N/A</v>
      </c>
      <c r="R1759" s="6"/>
    </row>
    <row r="1760" hidden="1">
      <c r="A1760" s="31"/>
      <c r="B1760" s="14"/>
      <c r="C1760" s="14"/>
      <c r="D1760" s="6"/>
      <c r="E1760" s="14"/>
      <c r="F1760" s="25"/>
      <c r="G1760" s="6"/>
      <c r="H1760" s="6"/>
      <c r="I1760" s="19"/>
      <c r="J1760" s="50"/>
      <c r="K1760" s="58"/>
      <c r="L1760" s="6" t="s">
        <v>655</v>
      </c>
      <c r="M1760" s="52" t="s">
        <v>655</v>
      </c>
      <c r="N1760" s="53" t="s">
        <v>655</v>
      </c>
      <c r="O1760" s="6"/>
      <c r="P1760" s="6"/>
      <c r="Q1760" s="6" t="str">
        <f t="shared" si="1"/>
        <v>#N/A</v>
      </c>
      <c r="R1760" s="6"/>
    </row>
    <row r="1761" hidden="1">
      <c r="A1761" s="31"/>
      <c r="B1761" s="14"/>
      <c r="C1761" s="14"/>
      <c r="D1761" s="6"/>
      <c r="E1761" s="14"/>
      <c r="F1761" s="25"/>
      <c r="G1761" s="6"/>
      <c r="H1761" s="6"/>
      <c r="I1761" s="19"/>
      <c r="J1761" s="50"/>
      <c r="K1761" s="58"/>
      <c r="L1761" s="6" t="s">
        <v>655</v>
      </c>
      <c r="M1761" s="52" t="s">
        <v>655</v>
      </c>
      <c r="N1761" s="53" t="s">
        <v>655</v>
      </c>
      <c r="O1761" s="6"/>
      <c r="P1761" s="6"/>
      <c r="Q1761" s="6" t="str">
        <f t="shared" si="1"/>
        <v>#N/A</v>
      </c>
      <c r="R1761" s="6"/>
    </row>
    <row r="1762" hidden="1">
      <c r="A1762" s="31"/>
      <c r="B1762" s="14"/>
      <c r="C1762" s="14"/>
      <c r="D1762" s="6"/>
      <c r="E1762" s="14"/>
      <c r="F1762" s="25"/>
      <c r="G1762" s="6"/>
      <c r="H1762" s="6"/>
      <c r="I1762" s="19"/>
      <c r="J1762" s="50"/>
      <c r="K1762" s="58"/>
      <c r="L1762" s="6" t="s">
        <v>655</v>
      </c>
      <c r="M1762" s="52" t="s">
        <v>655</v>
      </c>
      <c r="N1762" s="53" t="s">
        <v>655</v>
      </c>
      <c r="O1762" s="6"/>
      <c r="P1762" s="6"/>
      <c r="Q1762" s="6" t="str">
        <f t="shared" si="1"/>
        <v>#N/A</v>
      </c>
      <c r="R1762" s="6"/>
    </row>
    <row r="1763" hidden="1">
      <c r="A1763" s="31"/>
      <c r="B1763" s="14"/>
      <c r="C1763" s="14"/>
      <c r="D1763" s="6"/>
      <c r="E1763" s="14"/>
      <c r="F1763" s="25"/>
      <c r="G1763" s="6"/>
      <c r="H1763" s="6"/>
      <c r="I1763" s="19"/>
      <c r="J1763" s="50"/>
      <c r="K1763" s="58"/>
      <c r="L1763" s="6" t="s">
        <v>655</v>
      </c>
      <c r="M1763" s="52" t="s">
        <v>655</v>
      </c>
      <c r="N1763" s="53" t="s">
        <v>655</v>
      </c>
      <c r="O1763" s="6"/>
      <c r="P1763" s="6"/>
      <c r="Q1763" s="6" t="str">
        <f t="shared" si="1"/>
        <v>#N/A</v>
      </c>
      <c r="R1763" s="6"/>
    </row>
    <row r="1764" hidden="1">
      <c r="A1764" s="31"/>
      <c r="B1764" s="14"/>
      <c r="C1764" s="14"/>
      <c r="D1764" s="6"/>
      <c r="E1764" s="14"/>
      <c r="F1764" s="25"/>
      <c r="G1764" s="6"/>
      <c r="H1764" s="6"/>
      <c r="I1764" s="19"/>
      <c r="J1764" s="50"/>
      <c r="K1764" s="58"/>
      <c r="L1764" s="6" t="s">
        <v>655</v>
      </c>
      <c r="M1764" s="52" t="s">
        <v>655</v>
      </c>
      <c r="N1764" s="53" t="s">
        <v>655</v>
      </c>
      <c r="O1764" s="6"/>
      <c r="P1764" s="6"/>
      <c r="Q1764" s="6" t="str">
        <f t="shared" si="1"/>
        <v>#N/A</v>
      </c>
      <c r="R1764" s="6"/>
    </row>
    <row r="1765" hidden="1">
      <c r="A1765" s="31"/>
      <c r="B1765" s="14"/>
      <c r="C1765" s="14"/>
      <c r="D1765" s="6"/>
      <c r="E1765" s="14"/>
      <c r="F1765" s="25"/>
      <c r="G1765" s="6"/>
      <c r="H1765" s="6"/>
      <c r="I1765" s="19"/>
      <c r="J1765" s="50"/>
      <c r="K1765" s="58"/>
      <c r="L1765" s="6" t="s">
        <v>655</v>
      </c>
      <c r="M1765" s="52" t="s">
        <v>655</v>
      </c>
      <c r="N1765" s="53" t="s">
        <v>655</v>
      </c>
      <c r="O1765" s="6"/>
      <c r="P1765" s="6"/>
      <c r="Q1765" s="6" t="str">
        <f t="shared" si="1"/>
        <v>#N/A</v>
      </c>
      <c r="R1765" s="6"/>
    </row>
    <row r="1766" hidden="1">
      <c r="A1766" s="31"/>
      <c r="B1766" s="14"/>
      <c r="C1766" s="14"/>
      <c r="D1766" s="6"/>
      <c r="E1766" s="14"/>
      <c r="F1766" s="25"/>
      <c r="G1766" s="6"/>
      <c r="H1766" s="6"/>
      <c r="I1766" s="19"/>
      <c r="J1766" s="50"/>
      <c r="K1766" s="58"/>
      <c r="L1766" s="6" t="s">
        <v>655</v>
      </c>
      <c r="M1766" s="52" t="s">
        <v>655</v>
      </c>
      <c r="N1766" s="53" t="s">
        <v>655</v>
      </c>
      <c r="O1766" s="6"/>
      <c r="P1766" s="6"/>
      <c r="Q1766" s="6" t="str">
        <f t="shared" si="1"/>
        <v>#N/A</v>
      </c>
      <c r="R1766" s="6"/>
    </row>
    <row r="1767" hidden="1">
      <c r="A1767" s="31"/>
      <c r="B1767" s="14"/>
      <c r="C1767" s="14"/>
      <c r="D1767" s="6"/>
      <c r="E1767" s="14"/>
      <c r="F1767" s="25"/>
      <c r="G1767" s="6"/>
      <c r="H1767" s="6"/>
      <c r="I1767" s="19"/>
      <c r="J1767" s="50"/>
      <c r="K1767" s="58"/>
      <c r="L1767" s="6" t="s">
        <v>655</v>
      </c>
      <c r="M1767" s="52" t="s">
        <v>655</v>
      </c>
      <c r="N1767" s="53" t="s">
        <v>655</v>
      </c>
      <c r="O1767" s="6"/>
      <c r="P1767" s="6"/>
      <c r="Q1767" s="6" t="str">
        <f t="shared" si="1"/>
        <v>#N/A</v>
      </c>
      <c r="R1767" s="6"/>
    </row>
    <row r="1768" hidden="1">
      <c r="A1768" s="31"/>
      <c r="B1768" s="14"/>
      <c r="C1768" s="14"/>
      <c r="D1768" s="6"/>
      <c r="E1768" s="14"/>
      <c r="F1768" s="25"/>
      <c r="G1768" s="6"/>
      <c r="H1768" s="6"/>
      <c r="I1768" s="19"/>
      <c r="J1768" s="50"/>
      <c r="K1768" s="58"/>
      <c r="L1768" s="6" t="s">
        <v>655</v>
      </c>
      <c r="M1768" s="52" t="s">
        <v>655</v>
      </c>
      <c r="N1768" s="53" t="s">
        <v>655</v>
      </c>
      <c r="O1768" s="6"/>
      <c r="P1768" s="6"/>
      <c r="Q1768" s="6" t="str">
        <f t="shared" si="1"/>
        <v>#N/A</v>
      </c>
      <c r="R1768" s="6"/>
    </row>
    <row r="1769" hidden="1">
      <c r="A1769" s="31"/>
      <c r="B1769" s="14"/>
      <c r="C1769" s="14"/>
      <c r="D1769" s="6"/>
      <c r="E1769" s="14"/>
      <c r="F1769" s="25"/>
      <c r="G1769" s="6"/>
      <c r="H1769" s="6"/>
      <c r="I1769" s="19"/>
      <c r="J1769" s="50"/>
      <c r="K1769" s="58"/>
      <c r="L1769" s="6" t="s">
        <v>655</v>
      </c>
      <c r="M1769" s="52" t="s">
        <v>655</v>
      </c>
      <c r="N1769" s="53" t="s">
        <v>655</v>
      </c>
      <c r="O1769" s="6"/>
      <c r="P1769" s="6"/>
      <c r="Q1769" s="6" t="str">
        <f t="shared" si="1"/>
        <v>#N/A</v>
      </c>
      <c r="R1769" s="6"/>
    </row>
    <row r="1770" hidden="1">
      <c r="A1770" s="31"/>
      <c r="B1770" s="14"/>
      <c r="C1770" s="14"/>
      <c r="D1770" s="6"/>
      <c r="E1770" s="14"/>
      <c r="F1770" s="25"/>
      <c r="G1770" s="6"/>
      <c r="H1770" s="6"/>
      <c r="I1770" s="19"/>
      <c r="J1770" s="50"/>
      <c r="K1770" s="58"/>
      <c r="L1770" s="6" t="s">
        <v>655</v>
      </c>
      <c r="M1770" s="52" t="s">
        <v>655</v>
      </c>
      <c r="N1770" s="53" t="s">
        <v>655</v>
      </c>
      <c r="O1770" s="6"/>
      <c r="P1770" s="6"/>
      <c r="Q1770" s="6" t="str">
        <f t="shared" si="1"/>
        <v>#N/A</v>
      </c>
      <c r="R1770" s="6"/>
    </row>
    <row r="1771" hidden="1">
      <c r="A1771" s="31"/>
      <c r="B1771" s="14"/>
      <c r="C1771" s="14"/>
      <c r="D1771" s="6"/>
      <c r="E1771" s="14"/>
      <c r="F1771" s="25"/>
      <c r="G1771" s="6"/>
      <c r="H1771" s="6"/>
      <c r="I1771" s="19"/>
      <c r="J1771" s="50"/>
      <c r="K1771" s="58"/>
      <c r="L1771" s="6" t="s">
        <v>655</v>
      </c>
      <c r="M1771" s="52" t="s">
        <v>655</v>
      </c>
      <c r="N1771" s="53" t="s">
        <v>655</v>
      </c>
      <c r="O1771" s="6"/>
      <c r="P1771" s="6"/>
      <c r="Q1771" s="6" t="str">
        <f t="shared" si="1"/>
        <v>#N/A</v>
      </c>
      <c r="R1771" s="6"/>
    </row>
    <row r="1772" hidden="1">
      <c r="A1772" s="31"/>
      <c r="B1772" s="14"/>
      <c r="C1772" s="14"/>
      <c r="D1772" s="6"/>
      <c r="E1772" s="14"/>
      <c r="F1772" s="25"/>
      <c r="G1772" s="6"/>
      <c r="H1772" s="6"/>
      <c r="I1772" s="19"/>
      <c r="J1772" s="50"/>
      <c r="K1772" s="58"/>
      <c r="L1772" s="6" t="s">
        <v>655</v>
      </c>
      <c r="M1772" s="52" t="s">
        <v>655</v>
      </c>
      <c r="N1772" s="53" t="s">
        <v>655</v>
      </c>
      <c r="O1772" s="6"/>
      <c r="P1772" s="6"/>
      <c r="Q1772" s="6" t="str">
        <f t="shared" si="1"/>
        <v>#N/A</v>
      </c>
      <c r="R1772" s="6"/>
    </row>
    <row r="1773" hidden="1">
      <c r="A1773" s="31"/>
      <c r="B1773" s="14"/>
      <c r="C1773" s="14"/>
      <c r="D1773" s="6"/>
      <c r="E1773" s="14"/>
      <c r="F1773" s="25"/>
      <c r="G1773" s="6"/>
      <c r="H1773" s="6"/>
      <c r="I1773" s="19"/>
      <c r="J1773" s="50"/>
      <c r="K1773" s="58"/>
      <c r="L1773" s="6" t="s">
        <v>655</v>
      </c>
      <c r="M1773" s="52" t="s">
        <v>655</v>
      </c>
      <c r="N1773" s="53" t="s">
        <v>655</v>
      </c>
      <c r="O1773" s="6"/>
      <c r="P1773" s="6"/>
      <c r="Q1773" s="6" t="str">
        <f t="shared" si="1"/>
        <v>#N/A</v>
      </c>
      <c r="R1773" s="6"/>
    </row>
    <row r="1774" hidden="1">
      <c r="A1774" s="31"/>
      <c r="B1774" s="14"/>
      <c r="C1774" s="14"/>
      <c r="D1774" s="6"/>
      <c r="E1774" s="14"/>
      <c r="F1774" s="25"/>
      <c r="G1774" s="6"/>
      <c r="H1774" s="6"/>
      <c r="I1774" s="19"/>
      <c r="J1774" s="50"/>
      <c r="K1774" s="58"/>
      <c r="L1774" s="6" t="s">
        <v>655</v>
      </c>
      <c r="M1774" s="52" t="s">
        <v>655</v>
      </c>
      <c r="N1774" s="53" t="s">
        <v>655</v>
      </c>
      <c r="O1774" s="6"/>
      <c r="P1774" s="6"/>
      <c r="Q1774" s="6" t="str">
        <f t="shared" si="1"/>
        <v>#N/A</v>
      </c>
      <c r="R1774" s="6"/>
    </row>
    <row r="1775" hidden="1">
      <c r="A1775" s="31"/>
      <c r="B1775" s="14"/>
      <c r="C1775" s="14"/>
      <c r="D1775" s="6"/>
      <c r="E1775" s="14"/>
      <c r="F1775" s="25"/>
      <c r="G1775" s="6"/>
      <c r="H1775" s="6"/>
      <c r="I1775" s="19"/>
      <c r="J1775" s="50"/>
      <c r="K1775" s="58"/>
      <c r="L1775" s="6" t="s">
        <v>655</v>
      </c>
      <c r="M1775" s="52" t="s">
        <v>655</v>
      </c>
      <c r="N1775" s="53" t="s">
        <v>655</v>
      </c>
      <c r="O1775" s="6"/>
      <c r="P1775" s="6"/>
      <c r="Q1775" s="6" t="str">
        <f t="shared" si="1"/>
        <v>#N/A</v>
      </c>
      <c r="R1775" s="6"/>
    </row>
    <row r="1776" hidden="1">
      <c r="A1776" s="31"/>
      <c r="B1776" s="14"/>
      <c r="C1776" s="14"/>
      <c r="D1776" s="6"/>
      <c r="E1776" s="14"/>
      <c r="F1776" s="25"/>
      <c r="G1776" s="6"/>
      <c r="H1776" s="6"/>
      <c r="I1776" s="19"/>
      <c r="J1776" s="50"/>
      <c r="K1776" s="58"/>
      <c r="L1776" s="6" t="s">
        <v>655</v>
      </c>
      <c r="M1776" s="52" t="s">
        <v>655</v>
      </c>
      <c r="N1776" s="53" t="s">
        <v>655</v>
      </c>
      <c r="O1776" s="6"/>
      <c r="P1776" s="6"/>
      <c r="Q1776" s="6" t="str">
        <f t="shared" si="1"/>
        <v>#N/A</v>
      </c>
      <c r="R1776" s="6"/>
    </row>
    <row r="1777" hidden="1">
      <c r="A1777" s="31"/>
      <c r="B1777" s="14"/>
      <c r="C1777" s="14"/>
      <c r="D1777" s="6"/>
      <c r="E1777" s="14"/>
      <c r="F1777" s="25"/>
      <c r="G1777" s="6"/>
      <c r="H1777" s="6"/>
      <c r="I1777" s="19"/>
      <c r="J1777" s="50"/>
      <c r="K1777" s="58"/>
      <c r="L1777" s="6" t="s">
        <v>655</v>
      </c>
      <c r="M1777" s="52" t="s">
        <v>655</v>
      </c>
      <c r="N1777" s="53" t="s">
        <v>655</v>
      </c>
      <c r="O1777" s="6"/>
      <c r="P1777" s="6"/>
      <c r="Q1777" s="6" t="str">
        <f t="shared" si="1"/>
        <v>#N/A</v>
      </c>
      <c r="R1777" s="6"/>
    </row>
    <row r="1778" hidden="1">
      <c r="A1778" s="31"/>
      <c r="B1778" s="14"/>
      <c r="C1778" s="14"/>
      <c r="D1778" s="6"/>
      <c r="E1778" s="14"/>
      <c r="F1778" s="25"/>
      <c r="G1778" s="6"/>
      <c r="H1778" s="6"/>
      <c r="I1778" s="19"/>
      <c r="J1778" s="50"/>
      <c r="K1778" s="58"/>
      <c r="L1778" s="6" t="s">
        <v>655</v>
      </c>
      <c r="M1778" s="52" t="s">
        <v>655</v>
      </c>
      <c r="N1778" s="53" t="s">
        <v>655</v>
      </c>
      <c r="O1778" s="6"/>
      <c r="P1778" s="6"/>
      <c r="Q1778" s="6" t="str">
        <f t="shared" si="1"/>
        <v>#N/A</v>
      </c>
      <c r="R1778" s="6"/>
    </row>
    <row r="1779" hidden="1">
      <c r="A1779" s="31"/>
      <c r="B1779" s="14"/>
      <c r="C1779" s="14"/>
      <c r="D1779" s="6"/>
      <c r="E1779" s="14"/>
      <c r="F1779" s="25"/>
      <c r="G1779" s="6"/>
      <c r="H1779" s="6"/>
      <c r="I1779" s="19"/>
      <c r="J1779" s="50"/>
      <c r="K1779" s="58"/>
      <c r="L1779" s="6" t="s">
        <v>655</v>
      </c>
      <c r="M1779" s="52" t="s">
        <v>655</v>
      </c>
      <c r="N1779" s="53" t="s">
        <v>655</v>
      </c>
      <c r="O1779" s="6"/>
      <c r="P1779" s="6"/>
      <c r="Q1779" s="6" t="str">
        <f t="shared" si="1"/>
        <v>#N/A</v>
      </c>
      <c r="R1779" s="6"/>
    </row>
    <row r="1780" hidden="1">
      <c r="A1780" s="31"/>
      <c r="B1780" s="14"/>
      <c r="C1780" s="14"/>
      <c r="D1780" s="6"/>
      <c r="E1780" s="14"/>
      <c r="F1780" s="25"/>
      <c r="G1780" s="6"/>
      <c r="H1780" s="6"/>
      <c r="I1780" s="19"/>
      <c r="J1780" s="50"/>
      <c r="K1780" s="58"/>
      <c r="L1780" s="6" t="s">
        <v>655</v>
      </c>
      <c r="M1780" s="52" t="s">
        <v>655</v>
      </c>
      <c r="N1780" s="53" t="s">
        <v>655</v>
      </c>
      <c r="O1780" s="6"/>
      <c r="P1780" s="6"/>
      <c r="Q1780" s="6" t="str">
        <f t="shared" si="1"/>
        <v>#N/A</v>
      </c>
      <c r="R1780" s="6"/>
    </row>
    <row r="1781" hidden="1">
      <c r="A1781" s="31"/>
      <c r="B1781" s="14"/>
      <c r="C1781" s="14"/>
      <c r="D1781" s="6"/>
      <c r="E1781" s="14"/>
      <c r="F1781" s="25"/>
      <c r="G1781" s="6"/>
      <c r="H1781" s="6"/>
      <c r="I1781" s="19"/>
      <c r="J1781" s="50"/>
      <c r="K1781" s="58"/>
      <c r="L1781" s="6" t="s">
        <v>655</v>
      </c>
      <c r="M1781" s="52" t="s">
        <v>655</v>
      </c>
      <c r="N1781" s="53" t="s">
        <v>655</v>
      </c>
      <c r="O1781" s="6"/>
      <c r="P1781" s="6"/>
      <c r="Q1781" s="6" t="str">
        <f t="shared" si="1"/>
        <v>#N/A</v>
      </c>
      <c r="R1781" s="6"/>
    </row>
    <row r="1782" hidden="1">
      <c r="A1782" s="31"/>
      <c r="B1782" s="14"/>
      <c r="C1782" s="14"/>
      <c r="D1782" s="6"/>
      <c r="E1782" s="14"/>
      <c r="F1782" s="25"/>
      <c r="G1782" s="6"/>
      <c r="H1782" s="6"/>
      <c r="I1782" s="19"/>
      <c r="J1782" s="50"/>
      <c r="K1782" s="58"/>
      <c r="L1782" s="6" t="s">
        <v>655</v>
      </c>
      <c r="M1782" s="52" t="s">
        <v>655</v>
      </c>
      <c r="N1782" s="53" t="s">
        <v>655</v>
      </c>
      <c r="O1782" s="6"/>
      <c r="P1782" s="6"/>
      <c r="Q1782" s="6" t="str">
        <f t="shared" si="1"/>
        <v>#N/A</v>
      </c>
      <c r="R1782" s="6"/>
    </row>
    <row r="1783" hidden="1">
      <c r="A1783" s="31"/>
      <c r="B1783" s="14"/>
      <c r="C1783" s="14"/>
      <c r="D1783" s="6"/>
      <c r="E1783" s="14"/>
      <c r="F1783" s="25"/>
      <c r="G1783" s="6"/>
      <c r="H1783" s="6"/>
      <c r="I1783" s="19"/>
      <c r="J1783" s="50"/>
      <c r="K1783" s="58"/>
      <c r="L1783" s="6" t="s">
        <v>655</v>
      </c>
      <c r="M1783" s="52" t="s">
        <v>655</v>
      </c>
      <c r="N1783" s="53" t="s">
        <v>655</v>
      </c>
      <c r="O1783" s="6"/>
      <c r="P1783" s="6"/>
      <c r="Q1783" s="6" t="str">
        <f t="shared" si="1"/>
        <v>#N/A</v>
      </c>
      <c r="R1783" s="6"/>
    </row>
    <row r="1784" hidden="1">
      <c r="A1784" s="31"/>
      <c r="B1784" s="14"/>
      <c r="C1784" s="14"/>
      <c r="D1784" s="6"/>
      <c r="E1784" s="14"/>
      <c r="F1784" s="25"/>
      <c r="G1784" s="6"/>
      <c r="H1784" s="6"/>
      <c r="I1784" s="19"/>
      <c r="J1784" s="50"/>
      <c r="K1784" s="58"/>
      <c r="L1784" s="6" t="s">
        <v>655</v>
      </c>
      <c r="M1784" s="52" t="s">
        <v>655</v>
      </c>
      <c r="N1784" s="53" t="s">
        <v>655</v>
      </c>
      <c r="O1784" s="6"/>
      <c r="P1784" s="6"/>
      <c r="Q1784" s="6" t="str">
        <f t="shared" si="1"/>
        <v>#N/A</v>
      </c>
      <c r="R1784" s="6"/>
    </row>
    <row r="1785" hidden="1">
      <c r="A1785" s="31"/>
      <c r="B1785" s="14"/>
      <c r="C1785" s="14"/>
      <c r="D1785" s="6"/>
      <c r="E1785" s="14"/>
      <c r="F1785" s="25"/>
      <c r="G1785" s="6"/>
      <c r="H1785" s="6"/>
      <c r="I1785" s="19"/>
      <c r="J1785" s="50"/>
      <c r="K1785" s="58"/>
      <c r="L1785" s="6" t="s">
        <v>655</v>
      </c>
      <c r="M1785" s="52" t="s">
        <v>655</v>
      </c>
      <c r="N1785" s="53" t="s">
        <v>655</v>
      </c>
      <c r="O1785" s="6"/>
      <c r="P1785" s="6"/>
      <c r="Q1785" s="6" t="str">
        <f t="shared" si="1"/>
        <v>#N/A</v>
      </c>
      <c r="R1785" s="6"/>
    </row>
    <row r="1786" hidden="1">
      <c r="A1786" s="31"/>
      <c r="B1786" s="14"/>
      <c r="C1786" s="14"/>
      <c r="D1786" s="6"/>
      <c r="E1786" s="14"/>
      <c r="F1786" s="25"/>
      <c r="G1786" s="6"/>
      <c r="H1786" s="6"/>
      <c r="I1786" s="19"/>
      <c r="J1786" s="50"/>
      <c r="K1786" s="58"/>
      <c r="L1786" s="6" t="s">
        <v>655</v>
      </c>
      <c r="M1786" s="52" t="s">
        <v>655</v>
      </c>
      <c r="N1786" s="53" t="s">
        <v>655</v>
      </c>
      <c r="O1786" s="6"/>
      <c r="P1786" s="6"/>
      <c r="Q1786" s="6" t="str">
        <f t="shared" si="1"/>
        <v>#N/A</v>
      </c>
      <c r="R1786" s="6"/>
    </row>
    <row r="1787" hidden="1">
      <c r="A1787" s="31"/>
      <c r="B1787" s="14"/>
      <c r="C1787" s="14"/>
      <c r="D1787" s="6"/>
      <c r="E1787" s="14"/>
      <c r="F1787" s="25"/>
      <c r="G1787" s="6"/>
      <c r="H1787" s="6"/>
      <c r="I1787" s="19"/>
      <c r="J1787" s="50"/>
      <c r="K1787" s="58"/>
      <c r="L1787" s="6" t="s">
        <v>655</v>
      </c>
      <c r="M1787" s="52" t="s">
        <v>655</v>
      </c>
      <c r="N1787" s="53" t="s">
        <v>655</v>
      </c>
      <c r="O1787" s="6"/>
      <c r="P1787" s="6"/>
      <c r="Q1787" s="6" t="str">
        <f t="shared" si="1"/>
        <v>#N/A</v>
      </c>
      <c r="R1787" s="6"/>
    </row>
    <row r="1788" hidden="1">
      <c r="A1788" s="31"/>
      <c r="B1788" s="14"/>
      <c r="C1788" s="14"/>
      <c r="D1788" s="6"/>
      <c r="E1788" s="14"/>
      <c r="F1788" s="25"/>
      <c r="G1788" s="6"/>
      <c r="H1788" s="6"/>
      <c r="I1788" s="19"/>
      <c r="J1788" s="50"/>
      <c r="K1788" s="58"/>
      <c r="L1788" s="6" t="s">
        <v>655</v>
      </c>
      <c r="M1788" s="52" t="s">
        <v>655</v>
      </c>
      <c r="N1788" s="53" t="s">
        <v>655</v>
      </c>
      <c r="O1788" s="6"/>
      <c r="P1788" s="6"/>
      <c r="Q1788" s="6" t="str">
        <f t="shared" si="1"/>
        <v>#N/A</v>
      </c>
      <c r="R1788" s="6"/>
    </row>
    <row r="1789" hidden="1">
      <c r="A1789" s="31"/>
      <c r="B1789" s="14"/>
      <c r="C1789" s="14"/>
      <c r="D1789" s="6"/>
      <c r="E1789" s="14"/>
      <c r="F1789" s="25"/>
      <c r="G1789" s="6"/>
      <c r="H1789" s="6"/>
      <c r="I1789" s="19"/>
      <c r="J1789" s="50"/>
      <c r="K1789" s="58"/>
      <c r="L1789" s="6" t="s">
        <v>655</v>
      </c>
      <c r="M1789" s="52" t="s">
        <v>655</v>
      </c>
      <c r="N1789" s="53" t="s">
        <v>655</v>
      </c>
      <c r="O1789" s="6"/>
      <c r="P1789" s="6"/>
      <c r="Q1789" s="6" t="str">
        <f t="shared" si="1"/>
        <v>#N/A</v>
      </c>
      <c r="R1789" s="6"/>
    </row>
    <row r="1790" hidden="1">
      <c r="A1790" s="31"/>
      <c r="B1790" s="14"/>
      <c r="C1790" s="14"/>
      <c r="D1790" s="6"/>
      <c r="E1790" s="14"/>
      <c r="F1790" s="25"/>
      <c r="G1790" s="6"/>
      <c r="H1790" s="6"/>
      <c r="I1790" s="19"/>
      <c r="J1790" s="50"/>
      <c r="K1790" s="58"/>
      <c r="L1790" s="6" t="s">
        <v>655</v>
      </c>
      <c r="M1790" s="52" t="s">
        <v>655</v>
      </c>
      <c r="N1790" s="53" t="s">
        <v>655</v>
      </c>
      <c r="O1790" s="6"/>
      <c r="P1790" s="6"/>
      <c r="Q1790" s="6" t="str">
        <f t="shared" si="1"/>
        <v>#N/A</v>
      </c>
      <c r="R1790" s="6"/>
    </row>
    <row r="1791" hidden="1">
      <c r="A1791" s="31"/>
      <c r="B1791" s="14"/>
      <c r="C1791" s="14"/>
      <c r="D1791" s="6"/>
      <c r="E1791" s="14"/>
      <c r="F1791" s="25"/>
      <c r="G1791" s="6"/>
      <c r="H1791" s="6"/>
      <c r="I1791" s="19"/>
      <c r="J1791" s="50"/>
      <c r="K1791" s="58"/>
      <c r="L1791" s="6" t="s">
        <v>655</v>
      </c>
      <c r="M1791" s="52" t="s">
        <v>655</v>
      </c>
      <c r="N1791" s="53" t="s">
        <v>655</v>
      </c>
      <c r="O1791" s="6"/>
      <c r="P1791" s="6"/>
      <c r="Q1791" s="6" t="str">
        <f t="shared" si="1"/>
        <v>#N/A</v>
      </c>
      <c r="R1791" s="6"/>
    </row>
    <row r="1792" hidden="1">
      <c r="A1792" s="31"/>
      <c r="B1792" s="14"/>
      <c r="C1792" s="14"/>
      <c r="D1792" s="6"/>
      <c r="E1792" s="14"/>
      <c r="F1792" s="25"/>
      <c r="G1792" s="6"/>
      <c r="H1792" s="6"/>
      <c r="I1792" s="19"/>
      <c r="J1792" s="50"/>
      <c r="K1792" s="58"/>
      <c r="L1792" s="6" t="s">
        <v>655</v>
      </c>
      <c r="M1792" s="52" t="s">
        <v>655</v>
      </c>
      <c r="N1792" s="53" t="s">
        <v>655</v>
      </c>
      <c r="O1792" s="6"/>
      <c r="P1792" s="6"/>
      <c r="Q1792" s="6" t="str">
        <f t="shared" si="1"/>
        <v>#N/A</v>
      </c>
      <c r="R1792" s="6"/>
    </row>
    <row r="1793" hidden="1">
      <c r="A1793" s="31"/>
      <c r="B1793" s="14"/>
      <c r="C1793" s="14"/>
      <c r="D1793" s="6"/>
      <c r="E1793" s="14"/>
      <c r="F1793" s="25"/>
      <c r="G1793" s="6"/>
      <c r="H1793" s="6"/>
      <c r="I1793" s="19"/>
      <c r="J1793" s="50"/>
      <c r="K1793" s="58"/>
      <c r="L1793" s="6" t="s">
        <v>655</v>
      </c>
      <c r="M1793" s="52" t="s">
        <v>655</v>
      </c>
      <c r="N1793" s="53" t="s">
        <v>655</v>
      </c>
      <c r="O1793" s="6"/>
      <c r="P1793" s="6"/>
      <c r="Q1793" s="6" t="str">
        <f t="shared" si="1"/>
        <v>#N/A</v>
      </c>
      <c r="R1793" s="6"/>
    </row>
    <row r="1794" hidden="1">
      <c r="A1794" s="31"/>
      <c r="B1794" s="14"/>
      <c r="C1794" s="14"/>
      <c r="D1794" s="6"/>
      <c r="E1794" s="14"/>
      <c r="F1794" s="25"/>
      <c r="G1794" s="6"/>
      <c r="H1794" s="6"/>
      <c r="I1794" s="19"/>
      <c r="J1794" s="50"/>
      <c r="K1794" s="58"/>
      <c r="L1794" s="6" t="s">
        <v>655</v>
      </c>
      <c r="M1794" s="52" t="s">
        <v>655</v>
      </c>
      <c r="N1794" s="53" t="s">
        <v>655</v>
      </c>
      <c r="O1794" s="6"/>
      <c r="P1794" s="6"/>
      <c r="Q1794" s="6" t="str">
        <f t="shared" si="1"/>
        <v>#N/A</v>
      </c>
      <c r="R1794" s="6"/>
    </row>
    <row r="1795" hidden="1">
      <c r="A1795" s="31"/>
      <c r="B1795" s="14"/>
      <c r="C1795" s="14"/>
      <c r="D1795" s="6"/>
      <c r="E1795" s="14"/>
      <c r="F1795" s="25"/>
      <c r="G1795" s="6"/>
      <c r="H1795" s="6"/>
      <c r="I1795" s="19"/>
      <c r="J1795" s="50"/>
      <c r="K1795" s="58"/>
      <c r="L1795" s="6" t="s">
        <v>655</v>
      </c>
      <c r="M1795" s="52" t="s">
        <v>655</v>
      </c>
      <c r="N1795" s="53" t="s">
        <v>655</v>
      </c>
      <c r="O1795" s="6"/>
      <c r="P1795" s="6"/>
      <c r="Q1795" s="6" t="str">
        <f t="shared" si="1"/>
        <v>#N/A</v>
      </c>
      <c r="R1795" s="6"/>
    </row>
    <row r="1796" hidden="1">
      <c r="A1796" s="31"/>
      <c r="B1796" s="14"/>
      <c r="C1796" s="14"/>
      <c r="D1796" s="6"/>
      <c r="E1796" s="14"/>
      <c r="F1796" s="25"/>
      <c r="G1796" s="6"/>
      <c r="H1796" s="6"/>
      <c r="I1796" s="19"/>
      <c r="J1796" s="50"/>
      <c r="K1796" s="58"/>
      <c r="L1796" s="6" t="s">
        <v>655</v>
      </c>
      <c r="M1796" s="52" t="s">
        <v>655</v>
      </c>
      <c r="N1796" s="53" t="s">
        <v>655</v>
      </c>
      <c r="O1796" s="6"/>
      <c r="P1796" s="6"/>
      <c r="Q1796" s="6" t="str">
        <f t="shared" si="1"/>
        <v>#N/A</v>
      </c>
      <c r="R1796" s="6"/>
    </row>
    <row r="1797" hidden="1">
      <c r="A1797" s="31"/>
      <c r="B1797" s="14"/>
      <c r="C1797" s="14"/>
      <c r="D1797" s="6"/>
      <c r="E1797" s="14"/>
      <c r="F1797" s="25"/>
      <c r="G1797" s="6"/>
      <c r="H1797" s="6"/>
      <c r="I1797" s="19"/>
      <c r="J1797" s="50"/>
      <c r="K1797" s="58"/>
      <c r="L1797" s="6" t="s">
        <v>655</v>
      </c>
      <c r="M1797" s="52" t="s">
        <v>655</v>
      </c>
      <c r="N1797" s="53" t="s">
        <v>655</v>
      </c>
      <c r="O1797" s="6"/>
      <c r="P1797" s="6"/>
      <c r="Q1797" s="6" t="str">
        <f t="shared" si="1"/>
        <v>#N/A</v>
      </c>
      <c r="R1797" s="6"/>
    </row>
    <row r="1798" hidden="1">
      <c r="A1798" s="31"/>
      <c r="B1798" s="14"/>
      <c r="C1798" s="14"/>
      <c r="D1798" s="6"/>
      <c r="E1798" s="14"/>
      <c r="F1798" s="25"/>
      <c r="G1798" s="6"/>
      <c r="H1798" s="6"/>
      <c r="I1798" s="19"/>
      <c r="J1798" s="50"/>
      <c r="K1798" s="58"/>
      <c r="L1798" s="6" t="s">
        <v>655</v>
      </c>
      <c r="M1798" s="52" t="s">
        <v>655</v>
      </c>
      <c r="N1798" s="53" t="s">
        <v>655</v>
      </c>
      <c r="O1798" s="6"/>
      <c r="P1798" s="6"/>
      <c r="Q1798" s="6" t="str">
        <f t="shared" si="1"/>
        <v>#N/A</v>
      </c>
      <c r="R1798" s="6"/>
    </row>
    <row r="1799" hidden="1">
      <c r="A1799" s="31"/>
      <c r="B1799" s="14"/>
      <c r="C1799" s="14"/>
      <c r="D1799" s="6"/>
      <c r="E1799" s="14"/>
      <c r="F1799" s="25"/>
      <c r="G1799" s="6"/>
      <c r="H1799" s="6"/>
      <c r="I1799" s="19"/>
      <c r="J1799" s="50"/>
      <c r="K1799" s="58"/>
      <c r="L1799" s="6" t="s">
        <v>655</v>
      </c>
      <c r="M1799" s="52" t="s">
        <v>655</v>
      </c>
      <c r="N1799" s="53" t="s">
        <v>655</v>
      </c>
      <c r="O1799" s="6"/>
      <c r="P1799" s="6"/>
      <c r="Q1799" s="6" t="str">
        <f t="shared" si="1"/>
        <v>#N/A</v>
      </c>
      <c r="R1799" s="6"/>
    </row>
    <row r="1800" hidden="1">
      <c r="A1800" s="31"/>
      <c r="B1800" s="14"/>
      <c r="C1800" s="14"/>
      <c r="D1800" s="6"/>
      <c r="E1800" s="14"/>
      <c r="F1800" s="25"/>
      <c r="G1800" s="6"/>
      <c r="H1800" s="6"/>
      <c r="I1800" s="19"/>
      <c r="J1800" s="50"/>
      <c r="K1800" s="58"/>
      <c r="L1800" s="6" t="s">
        <v>655</v>
      </c>
      <c r="M1800" s="52" t="s">
        <v>655</v>
      </c>
      <c r="N1800" s="53" t="s">
        <v>655</v>
      </c>
      <c r="O1800" s="6"/>
      <c r="P1800" s="6"/>
      <c r="Q1800" s="6" t="str">
        <f t="shared" si="1"/>
        <v>#N/A</v>
      </c>
      <c r="R1800" s="6"/>
    </row>
    <row r="1801" hidden="1">
      <c r="A1801" s="31"/>
      <c r="B1801" s="14"/>
      <c r="C1801" s="14"/>
      <c r="D1801" s="6"/>
      <c r="E1801" s="14"/>
      <c r="F1801" s="25"/>
      <c r="G1801" s="6"/>
      <c r="H1801" s="6"/>
      <c r="I1801" s="19"/>
      <c r="J1801" s="50"/>
      <c r="K1801" s="58"/>
      <c r="L1801" s="6" t="s">
        <v>655</v>
      </c>
      <c r="M1801" s="52" t="s">
        <v>655</v>
      </c>
      <c r="N1801" s="53" t="s">
        <v>655</v>
      </c>
      <c r="O1801" s="6"/>
      <c r="P1801" s="6"/>
      <c r="Q1801" s="6" t="str">
        <f t="shared" si="1"/>
        <v>#N/A</v>
      </c>
      <c r="R1801" s="6"/>
    </row>
    <row r="1802" hidden="1">
      <c r="A1802" s="31"/>
      <c r="B1802" s="14"/>
      <c r="C1802" s="14"/>
      <c r="D1802" s="6"/>
      <c r="E1802" s="14"/>
      <c r="F1802" s="25"/>
      <c r="G1802" s="6"/>
      <c r="H1802" s="6"/>
      <c r="I1802" s="19"/>
      <c r="J1802" s="50"/>
      <c r="K1802" s="58"/>
      <c r="L1802" s="6" t="s">
        <v>655</v>
      </c>
      <c r="M1802" s="52" t="s">
        <v>655</v>
      </c>
      <c r="N1802" s="53" t="s">
        <v>655</v>
      </c>
      <c r="O1802" s="6"/>
      <c r="P1802" s="6"/>
      <c r="Q1802" s="6" t="str">
        <f t="shared" si="1"/>
        <v>#N/A</v>
      </c>
      <c r="R1802" s="6"/>
    </row>
    <row r="1803" hidden="1">
      <c r="A1803" s="31"/>
      <c r="B1803" s="14"/>
      <c r="C1803" s="14"/>
      <c r="D1803" s="6"/>
      <c r="E1803" s="14"/>
      <c r="F1803" s="25"/>
      <c r="G1803" s="6"/>
      <c r="H1803" s="6"/>
      <c r="I1803" s="19"/>
      <c r="J1803" s="50"/>
      <c r="K1803" s="58"/>
      <c r="L1803" s="6" t="s">
        <v>655</v>
      </c>
      <c r="M1803" s="52" t="s">
        <v>655</v>
      </c>
      <c r="N1803" s="53" t="s">
        <v>655</v>
      </c>
      <c r="O1803" s="6"/>
      <c r="P1803" s="6"/>
      <c r="Q1803" s="6" t="str">
        <f t="shared" si="1"/>
        <v>#N/A</v>
      </c>
      <c r="R1803" s="6"/>
    </row>
    <row r="1804" hidden="1">
      <c r="A1804" s="31"/>
      <c r="B1804" s="14"/>
      <c r="C1804" s="14"/>
      <c r="D1804" s="6"/>
      <c r="E1804" s="14"/>
      <c r="F1804" s="25"/>
      <c r="G1804" s="6"/>
      <c r="H1804" s="6"/>
      <c r="I1804" s="19"/>
      <c r="J1804" s="50"/>
      <c r="K1804" s="58"/>
      <c r="L1804" s="6" t="s">
        <v>655</v>
      </c>
      <c r="M1804" s="52" t="s">
        <v>655</v>
      </c>
      <c r="N1804" s="53" t="s">
        <v>655</v>
      </c>
      <c r="O1804" s="6"/>
      <c r="P1804" s="6"/>
      <c r="Q1804" s="6" t="str">
        <f t="shared" si="1"/>
        <v>#N/A</v>
      </c>
      <c r="R1804" s="6"/>
    </row>
    <row r="1805" hidden="1">
      <c r="A1805" s="31"/>
      <c r="B1805" s="14"/>
      <c r="C1805" s="14"/>
      <c r="D1805" s="6"/>
      <c r="E1805" s="14"/>
      <c r="F1805" s="25"/>
      <c r="G1805" s="6"/>
      <c r="H1805" s="6"/>
      <c r="I1805" s="19"/>
      <c r="J1805" s="50"/>
      <c r="K1805" s="58"/>
      <c r="L1805" s="6" t="s">
        <v>655</v>
      </c>
      <c r="M1805" s="52" t="s">
        <v>655</v>
      </c>
      <c r="N1805" s="53" t="s">
        <v>655</v>
      </c>
      <c r="O1805" s="6"/>
      <c r="P1805" s="6"/>
      <c r="Q1805" s="6" t="str">
        <f t="shared" si="1"/>
        <v>#N/A</v>
      </c>
      <c r="R1805" s="6"/>
    </row>
    <row r="1806" hidden="1">
      <c r="A1806" s="31"/>
      <c r="B1806" s="14"/>
      <c r="C1806" s="14"/>
      <c r="D1806" s="6"/>
      <c r="E1806" s="14"/>
      <c r="F1806" s="25"/>
      <c r="G1806" s="6"/>
      <c r="H1806" s="6"/>
      <c r="I1806" s="19"/>
      <c r="J1806" s="50"/>
      <c r="K1806" s="58"/>
      <c r="L1806" s="6" t="s">
        <v>655</v>
      </c>
      <c r="M1806" s="52" t="s">
        <v>655</v>
      </c>
      <c r="N1806" s="53" t="s">
        <v>655</v>
      </c>
      <c r="O1806" s="6"/>
      <c r="P1806" s="6"/>
      <c r="Q1806" s="6" t="str">
        <f t="shared" si="1"/>
        <v>#N/A</v>
      </c>
      <c r="R1806" s="6"/>
    </row>
    <row r="1807" hidden="1">
      <c r="A1807" s="31"/>
      <c r="B1807" s="14"/>
      <c r="C1807" s="14"/>
      <c r="D1807" s="6"/>
      <c r="E1807" s="14"/>
      <c r="F1807" s="25"/>
      <c r="G1807" s="6"/>
      <c r="H1807" s="6"/>
      <c r="I1807" s="19"/>
      <c r="J1807" s="50"/>
      <c r="K1807" s="58"/>
      <c r="L1807" s="6" t="s">
        <v>655</v>
      </c>
      <c r="M1807" s="52" t="s">
        <v>655</v>
      </c>
      <c r="N1807" s="53" t="s">
        <v>655</v>
      </c>
      <c r="O1807" s="6"/>
      <c r="P1807" s="6"/>
      <c r="Q1807" s="6" t="str">
        <f t="shared" si="1"/>
        <v>#N/A</v>
      </c>
      <c r="R1807" s="6"/>
    </row>
    <row r="1808" hidden="1">
      <c r="A1808" s="31"/>
      <c r="B1808" s="14"/>
      <c r="C1808" s="14"/>
      <c r="D1808" s="6"/>
      <c r="E1808" s="14"/>
      <c r="F1808" s="25"/>
      <c r="G1808" s="6"/>
      <c r="H1808" s="6"/>
      <c r="I1808" s="19"/>
      <c r="J1808" s="50"/>
      <c r="K1808" s="58"/>
      <c r="L1808" s="6" t="s">
        <v>655</v>
      </c>
      <c r="M1808" s="52" t="s">
        <v>655</v>
      </c>
      <c r="N1808" s="53" t="s">
        <v>655</v>
      </c>
      <c r="O1808" s="6"/>
      <c r="P1808" s="6"/>
      <c r="Q1808" s="6" t="str">
        <f t="shared" si="1"/>
        <v>#N/A</v>
      </c>
      <c r="R1808" s="6"/>
    </row>
    <row r="1809" hidden="1">
      <c r="A1809" s="31"/>
      <c r="B1809" s="14"/>
      <c r="C1809" s="14"/>
      <c r="D1809" s="6"/>
      <c r="E1809" s="14"/>
      <c r="F1809" s="25"/>
      <c r="G1809" s="6"/>
      <c r="H1809" s="6"/>
      <c r="I1809" s="19"/>
      <c r="J1809" s="50"/>
      <c r="K1809" s="58"/>
      <c r="L1809" s="6" t="s">
        <v>655</v>
      </c>
      <c r="M1809" s="52" t="s">
        <v>655</v>
      </c>
      <c r="N1809" s="53" t="s">
        <v>655</v>
      </c>
      <c r="O1809" s="6"/>
      <c r="P1809" s="6"/>
      <c r="Q1809" s="6" t="str">
        <f t="shared" si="1"/>
        <v>#N/A</v>
      </c>
      <c r="R1809" s="6"/>
    </row>
    <row r="1810" hidden="1">
      <c r="A1810" s="31"/>
      <c r="B1810" s="14"/>
      <c r="C1810" s="14"/>
      <c r="D1810" s="6"/>
      <c r="E1810" s="14"/>
      <c r="F1810" s="25"/>
      <c r="G1810" s="6"/>
      <c r="H1810" s="6"/>
      <c r="I1810" s="19"/>
      <c r="J1810" s="50"/>
      <c r="K1810" s="58"/>
      <c r="L1810" s="6" t="s">
        <v>655</v>
      </c>
      <c r="M1810" s="52" t="s">
        <v>655</v>
      </c>
      <c r="N1810" s="53" t="s">
        <v>655</v>
      </c>
      <c r="O1810" s="6"/>
      <c r="P1810" s="6"/>
      <c r="Q1810" s="6" t="str">
        <f t="shared" si="1"/>
        <v>#N/A</v>
      </c>
      <c r="R1810" s="6"/>
    </row>
    <row r="1811" hidden="1">
      <c r="A1811" s="31"/>
      <c r="B1811" s="14"/>
      <c r="C1811" s="14"/>
      <c r="D1811" s="6"/>
      <c r="E1811" s="14"/>
      <c r="F1811" s="25"/>
      <c r="G1811" s="6"/>
      <c r="H1811" s="6"/>
      <c r="I1811" s="19"/>
      <c r="J1811" s="50"/>
      <c r="K1811" s="58"/>
      <c r="L1811" s="6" t="s">
        <v>655</v>
      </c>
      <c r="M1811" s="52" t="s">
        <v>655</v>
      </c>
      <c r="N1811" s="53" t="s">
        <v>655</v>
      </c>
      <c r="O1811" s="6"/>
      <c r="P1811" s="6"/>
      <c r="Q1811" s="6" t="str">
        <f t="shared" si="1"/>
        <v>#N/A</v>
      </c>
      <c r="R1811" s="6"/>
    </row>
    <row r="1812" hidden="1">
      <c r="A1812" s="31"/>
      <c r="B1812" s="14"/>
      <c r="C1812" s="14"/>
      <c r="D1812" s="6"/>
      <c r="E1812" s="14"/>
      <c r="F1812" s="25"/>
      <c r="G1812" s="6"/>
      <c r="H1812" s="6"/>
      <c r="I1812" s="19"/>
      <c r="J1812" s="50"/>
      <c r="K1812" s="58"/>
      <c r="L1812" s="6" t="s">
        <v>655</v>
      </c>
      <c r="M1812" s="52" t="s">
        <v>655</v>
      </c>
      <c r="N1812" s="53" t="s">
        <v>655</v>
      </c>
      <c r="O1812" s="6"/>
      <c r="P1812" s="6"/>
      <c r="Q1812" s="6" t="str">
        <f t="shared" si="1"/>
        <v>#N/A</v>
      </c>
      <c r="R1812" s="6"/>
    </row>
    <row r="1813" hidden="1">
      <c r="A1813" s="31"/>
      <c r="B1813" s="14"/>
      <c r="C1813" s="14"/>
      <c r="D1813" s="6"/>
      <c r="E1813" s="14"/>
      <c r="F1813" s="25"/>
      <c r="G1813" s="6"/>
      <c r="H1813" s="6"/>
      <c r="I1813" s="19"/>
      <c r="J1813" s="50"/>
      <c r="K1813" s="58"/>
      <c r="L1813" s="6" t="s">
        <v>655</v>
      </c>
      <c r="M1813" s="52" t="s">
        <v>655</v>
      </c>
      <c r="N1813" s="53" t="s">
        <v>655</v>
      </c>
      <c r="O1813" s="6"/>
      <c r="P1813" s="6"/>
      <c r="Q1813" s="6" t="str">
        <f t="shared" si="1"/>
        <v>#N/A</v>
      </c>
      <c r="R1813" s="6"/>
    </row>
    <row r="1814" hidden="1">
      <c r="A1814" s="31"/>
      <c r="B1814" s="14"/>
      <c r="C1814" s="14"/>
      <c r="D1814" s="6"/>
      <c r="E1814" s="14"/>
      <c r="F1814" s="25"/>
      <c r="G1814" s="6"/>
      <c r="H1814" s="6"/>
      <c r="I1814" s="19"/>
      <c r="J1814" s="50"/>
      <c r="K1814" s="58"/>
      <c r="L1814" s="6" t="s">
        <v>655</v>
      </c>
      <c r="M1814" s="52" t="s">
        <v>655</v>
      </c>
      <c r="N1814" s="53" t="s">
        <v>655</v>
      </c>
      <c r="O1814" s="6"/>
      <c r="P1814" s="6"/>
      <c r="Q1814" s="6" t="str">
        <f t="shared" si="1"/>
        <v>#N/A</v>
      </c>
      <c r="R1814" s="6"/>
    </row>
    <row r="1815" hidden="1">
      <c r="A1815" s="31"/>
      <c r="B1815" s="14"/>
      <c r="C1815" s="14"/>
      <c r="D1815" s="6"/>
      <c r="E1815" s="14"/>
      <c r="F1815" s="25"/>
      <c r="G1815" s="6"/>
      <c r="H1815" s="6"/>
      <c r="I1815" s="19"/>
      <c r="J1815" s="50"/>
      <c r="K1815" s="58"/>
      <c r="L1815" s="6" t="s">
        <v>655</v>
      </c>
      <c r="M1815" s="52" t="s">
        <v>655</v>
      </c>
      <c r="N1815" s="53" t="s">
        <v>655</v>
      </c>
      <c r="O1815" s="6"/>
      <c r="P1815" s="6"/>
      <c r="Q1815" s="6" t="str">
        <f t="shared" si="1"/>
        <v>#N/A</v>
      </c>
      <c r="R1815" s="6"/>
    </row>
    <row r="1816" hidden="1">
      <c r="A1816" s="31"/>
      <c r="B1816" s="14"/>
      <c r="C1816" s="14"/>
      <c r="D1816" s="6"/>
      <c r="E1816" s="14"/>
      <c r="F1816" s="25"/>
      <c r="G1816" s="6"/>
      <c r="H1816" s="6"/>
      <c r="I1816" s="19"/>
      <c r="J1816" s="50"/>
      <c r="K1816" s="58"/>
      <c r="L1816" s="6" t="s">
        <v>655</v>
      </c>
      <c r="M1816" s="52" t="s">
        <v>655</v>
      </c>
      <c r="N1816" s="53" t="s">
        <v>655</v>
      </c>
      <c r="O1816" s="6"/>
      <c r="P1816" s="6"/>
      <c r="Q1816" s="6" t="str">
        <f t="shared" si="1"/>
        <v>#N/A</v>
      </c>
      <c r="R1816" s="6"/>
    </row>
    <row r="1817" hidden="1">
      <c r="A1817" s="31"/>
      <c r="B1817" s="14"/>
      <c r="C1817" s="14"/>
      <c r="D1817" s="6"/>
      <c r="E1817" s="14"/>
      <c r="F1817" s="25"/>
      <c r="G1817" s="6"/>
      <c r="H1817" s="6"/>
      <c r="I1817" s="19"/>
      <c r="J1817" s="50"/>
      <c r="K1817" s="58"/>
      <c r="L1817" s="6" t="s">
        <v>655</v>
      </c>
      <c r="M1817" s="52" t="s">
        <v>655</v>
      </c>
      <c r="N1817" s="53" t="s">
        <v>655</v>
      </c>
      <c r="O1817" s="6"/>
      <c r="P1817" s="6"/>
      <c r="Q1817" s="6" t="str">
        <f t="shared" si="1"/>
        <v>#N/A</v>
      </c>
      <c r="R1817" s="6"/>
    </row>
    <row r="1818" hidden="1">
      <c r="A1818" s="31"/>
      <c r="B1818" s="14"/>
      <c r="C1818" s="14"/>
      <c r="D1818" s="6"/>
      <c r="E1818" s="14"/>
      <c r="F1818" s="25"/>
      <c r="G1818" s="6"/>
      <c r="H1818" s="6"/>
      <c r="I1818" s="19"/>
      <c r="J1818" s="50"/>
      <c r="K1818" s="58"/>
      <c r="L1818" s="6" t="s">
        <v>655</v>
      </c>
      <c r="M1818" s="52" t="s">
        <v>655</v>
      </c>
      <c r="N1818" s="53" t="s">
        <v>655</v>
      </c>
      <c r="O1818" s="6"/>
      <c r="P1818" s="6"/>
      <c r="Q1818" s="6" t="str">
        <f t="shared" si="1"/>
        <v>#N/A</v>
      </c>
      <c r="R1818" s="6"/>
    </row>
    <row r="1819" hidden="1">
      <c r="A1819" s="31"/>
      <c r="B1819" s="14"/>
      <c r="C1819" s="14"/>
      <c r="D1819" s="6"/>
      <c r="E1819" s="14"/>
      <c r="F1819" s="25"/>
      <c r="G1819" s="6"/>
      <c r="H1819" s="6"/>
      <c r="I1819" s="19"/>
      <c r="J1819" s="50"/>
      <c r="K1819" s="58"/>
      <c r="L1819" s="6" t="s">
        <v>655</v>
      </c>
      <c r="M1819" s="52" t="s">
        <v>655</v>
      </c>
      <c r="N1819" s="53" t="s">
        <v>655</v>
      </c>
      <c r="O1819" s="6"/>
      <c r="P1819" s="6"/>
      <c r="Q1819" s="6" t="str">
        <f t="shared" si="1"/>
        <v>#N/A</v>
      </c>
      <c r="R1819" s="6"/>
    </row>
    <row r="1820" hidden="1">
      <c r="A1820" s="31"/>
      <c r="B1820" s="14"/>
      <c r="C1820" s="14"/>
      <c r="D1820" s="6"/>
      <c r="E1820" s="14"/>
      <c r="F1820" s="25"/>
      <c r="G1820" s="6"/>
      <c r="H1820" s="6"/>
      <c r="I1820" s="19"/>
      <c r="J1820" s="50"/>
      <c r="K1820" s="58"/>
      <c r="L1820" s="6" t="s">
        <v>655</v>
      </c>
      <c r="M1820" s="52" t="s">
        <v>655</v>
      </c>
      <c r="N1820" s="53" t="s">
        <v>655</v>
      </c>
      <c r="O1820" s="6"/>
      <c r="P1820" s="6"/>
      <c r="Q1820" s="6" t="str">
        <f t="shared" si="1"/>
        <v>#N/A</v>
      </c>
      <c r="R1820" s="6"/>
    </row>
    <row r="1821" hidden="1">
      <c r="A1821" s="31"/>
      <c r="B1821" s="14"/>
      <c r="C1821" s="14"/>
      <c r="D1821" s="6"/>
      <c r="E1821" s="14"/>
      <c r="F1821" s="25"/>
      <c r="G1821" s="6"/>
      <c r="H1821" s="6"/>
      <c r="I1821" s="19"/>
      <c r="J1821" s="50"/>
      <c r="K1821" s="58"/>
      <c r="L1821" s="6" t="s">
        <v>655</v>
      </c>
      <c r="M1821" s="52" t="s">
        <v>655</v>
      </c>
      <c r="N1821" s="53" t="s">
        <v>655</v>
      </c>
      <c r="O1821" s="6"/>
      <c r="P1821" s="6"/>
      <c r="Q1821" s="6" t="str">
        <f t="shared" si="1"/>
        <v>#N/A</v>
      </c>
      <c r="R1821" s="6"/>
    </row>
    <row r="1822" hidden="1">
      <c r="A1822" s="31"/>
      <c r="B1822" s="14"/>
      <c r="C1822" s="14"/>
      <c r="D1822" s="6"/>
      <c r="E1822" s="14"/>
      <c r="F1822" s="25"/>
      <c r="G1822" s="6"/>
      <c r="H1822" s="6"/>
      <c r="I1822" s="19"/>
      <c r="J1822" s="50"/>
      <c r="K1822" s="58"/>
      <c r="L1822" s="6" t="s">
        <v>655</v>
      </c>
      <c r="M1822" s="52" t="s">
        <v>655</v>
      </c>
      <c r="N1822" s="53" t="s">
        <v>655</v>
      </c>
      <c r="O1822" s="6"/>
      <c r="P1822" s="6"/>
      <c r="Q1822" s="6" t="str">
        <f t="shared" si="1"/>
        <v>#N/A</v>
      </c>
      <c r="R1822" s="6"/>
    </row>
    <row r="1823" hidden="1">
      <c r="A1823" s="31"/>
      <c r="B1823" s="14"/>
      <c r="C1823" s="14"/>
      <c r="D1823" s="6"/>
      <c r="E1823" s="14"/>
      <c r="F1823" s="25"/>
      <c r="G1823" s="6"/>
      <c r="H1823" s="6"/>
      <c r="I1823" s="19"/>
      <c r="J1823" s="50"/>
      <c r="K1823" s="58"/>
      <c r="L1823" s="6" t="s">
        <v>655</v>
      </c>
      <c r="M1823" s="52" t="s">
        <v>655</v>
      </c>
      <c r="N1823" s="53" t="s">
        <v>655</v>
      </c>
      <c r="O1823" s="6"/>
      <c r="P1823" s="6"/>
      <c r="Q1823" s="6" t="str">
        <f t="shared" si="1"/>
        <v>#N/A</v>
      </c>
      <c r="R1823" s="6"/>
    </row>
    <row r="1824" hidden="1">
      <c r="A1824" s="31"/>
      <c r="B1824" s="14"/>
      <c r="C1824" s="14"/>
      <c r="D1824" s="6"/>
      <c r="E1824" s="14"/>
      <c r="F1824" s="25"/>
      <c r="G1824" s="6"/>
      <c r="H1824" s="6"/>
      <c r="I1824" s="19"/>
      <c r="J1824" s="50"/>
      <c r="K1824" s="58"/>
      <c r="L1824" s="6" t="s">
        <v>655</v>
      </c>
      <c r="M1824" s="52" t="s">
        <v>655</v>
      </c>
      <c r="N1824" s="53" t="s">
        <v>655</v>
      </c>
      <c r="O1824" s="6"/>
      <c r="P1824" s="6"/>
      <c r="Q1824" s="6" t="str">
        <f t="shared" si="1"/>
        <v>#N/A</v>
      </c>
      <c r="R1824" s="6"/>
    </row>
    <row r="1825" hidden="1">
      <c r="A1825" s="31"/>
      <c r="B1825" s="14"/>
      <c r="C1825" s="14"/>
      <c r="D1825" s="6"/>
      <c r="E1825" s="14"/>
      <c r="F1825" s="25"/>
      <c r="G1825" s="6"/>
      <c r="H1825" s="6"/>
      <c r="I1825" s="19"/>
      <c r="J1825" s="50"/>
      <c r="K1825" s="58"/>
      <c r="L1825" s="6" t="s">
        <v>655</v>
      </c>
      <c r="M1825" s="52" t="s">
        <v>655</v>
      </c>
      <c r="N1825" s="53" t="s">
        <v>655</v>
      </c>
      <c r="O1825" s="6"/>
      <c r="P1825" s="6"/>
      <c r="Q1825" s="6" t="str">
        <f t="shared" si="1"/>
        <v>#N/A</v>
      </c>
      <c r="R1825" s="6"/>
    </row>
    <row r="1826" hidden="1">
      <c r="A1826" s="31"/>
      <c r="B1826" s="14"/>
      <c r="C1826" s="14"/>
      <c r="D1826" s="6"/>
      <c r="E1826" s="14"/>
      <c r="F1826" s="25"/>
      <c r="G1826" s="6"/>
      <c r="H1826" s="6"/>
      <c r="I1826" s="19"/>
      <c r="J1826" s="50"/>
      <c r="K1826" s="58"/>
      <c r="L1826" s="6" t="s">
        <v>655</v>
      </c>
      <c r="M1826" s="52" t="s">
        <v>655</v>
      </c>
      <c r="N1826" s="53" t="s">
        <v>655</v>
      </c>
      <c r="O1826" s="6"/>
      <c r="P1826" s="6"/>
      <c r="Q1826" s="6" t="str">
        <f t="shared" si="1"/>
        <v>#N/A</v>
      </c>
      <c r="R1826" s="6"/>
    </row>
    <row r="1827" hidden="1">
      <c r="A1827" s="31"/>
      <c r="B1827" s="14"/>
      <c r="C1827" s="14"/>
      <c r="D1827" s="6"/>
      <c r="E1827" s="14"/>
      <c r="F1827" s="25"/>
      <c r="G1827" s="6"/>
      <c r="H1827" s="6"/>
      <c r="I1827" s="19"/>
      <c r="J1827" s="50"/>
      <c r="K1827" s="58"/>
      <c r="L1827" s="6" t="s">
        <v>655</v>
      </c>
      <c r="M1827" s="52" t="s">
        <v>655</v>
      </c>
      <c r="N1827" s="53" t="s">
        <v>655</v>
      </c>
      <c r="O1827" s="6"/>
      <c r="P1827" s="6"/>
      <c r="Q1827" s="6" t="str">
        <f t="shared" si="1"/>
        <v>#N/A</v>
      </c>
      <c r="R1827" s="6"/>
    </row>
    <row r="1828" hidden="1">
      <c r="A1828" s="31"/>
      <c r="B1828" s="14"/>
      <c r="C1828" s="14"/>
      <c r="D1828" s="6"/>
      <c r="E1828" s="14"/>
      <c r="F1828" s="25"/>
      <c r="G1828" s="6"/>
      <c r="H1828" s="6"/>
      <c r="I1828" s="19"/>
      <c r="J1828" s="50"/>
      <c r="K1828" s="58"/>
      <c r="L1828" s="6" t="s">
        <v>655</v>
      </c>
      <c r="M1828" s="52" t="s">
        <v>655</v>
      </c>
      <c r="N1828" s="53" t="s">
        <v>655</v>
      </c>
      <c r="O1828" s="6"/>
      <c r="P1828" s="6"/>
      <c r="Q1828" s="6" t="str">
        <f t="shared" si="1"/>
        <v>#N/A</v>
      </c>
      <c r="R1828" s="6"/>
    </row>
    <row r="1829" hidden="1">
      <c r="A1829" s="31"/>
      <c r="B1829" s="14"/>
      <c r="C1829" s="14"/>
      <c r="D1829" s="6"/>
      <c r="E1829" s="14"/>
      <c r="F1829" s="25"/>
      <c r="G1829" s="6"/>
      <c r="H1829" s="6"/>
      <c r="I1829" s="19"/>
      <c r="J1829" s="50"/>
      <c r="K1829" s="58"/>
      <c r="L1829" s="6" t="s">
        <v>655</v>
      </c>
      <c r="M1829" s="52" t="s">
        <v>655</v>
      </c>
      <c r="N1829" s="53" t="s">
        <v>655</v>
      </c>
      <c r="O1829" s="6"/>
      <c r="P1829" s="6"/>
      <c r="Q1829" s="6" t="str">
        <f t="shared" si="1"/>
        <v>#N/A</v>
      </c>
      <c r="R1829" s="6"/>
    </row>
    <row r="1830" hidden="1">
      <c r="A1830" s="31"/>
      <c r="B1830" s="14"/>
      <c r="C1830" s="14"/>
      <c r="D1830" s="6"/>
      <c r="E1830" s="14"/>
      <c r="F1830" s="25"/>
      <c r="G1830" s="6"/>
      <c r="H1830" s="6"/>
      <c r="I1830" s="19"/>
      <c r="J1830" s="50"/>
      <c r="K1830" s="58"/>
      <c r="L1830" s="6" t="s">
        <v>655</v>
      </c>
      <c r="M1830" s="52" t="s">
        <v>655</v>
      </c>
      <c r="N1830" s="53" t="s">
        <v>655</v>
      </c>
      <c r="O1830" s="6"/>
      <c r="P1830" s="6"/>
      <c r="Q1830" s="6" t="str">
        <f t="shared" si="1"/>
        <v>#N/A</v>
      </c>
      <c r="R1830" s="6"/>
    </row>
    <row r="1831" hidden="1">
      <c r="A1831" s="31"/>
      <c r="B1831" s="14"/>
      <c r="C1831" s="14"/>
      <c r="D1831" s="6"/>
      <c r="E1831" s="14"/>
      <c r="F1831" s="25"/>
      <c r="G1831" s="6"/>
      <c r="H1831" s="6"/>
      <c r="I1831" s="19"/>
      <c r="J1831" s="50"/>
      <c r="K1831" s="58"/>
      <c r="L1831" s="6" t="s">
        <v>655</v>
      </c>
      <c r="M1831" s="52" t="s">
        <v>655</v>
      </c>
      <c r="N1831" s="53" t="s">
        <v>655</v>
      </c>
      <c r="O1831" s="6"/>
      <c r="P1831" s="6"/>
      <c r="Q1831" s="6" t="str">
        <f t="shared" si="1"/>
        <v>#N/A</v>
      </c>
      <c r="R1831" s="6"/>
    </row>
    <row r="1832" hidden="1">
      <c r="A1832" s="31"/>
      <c r="B1832" s="14"/>
      <c r="C1832" s="14"/>
      <c r="D1832" s="6"/>
      <c r="E1832" s="14"/>
      <c r="F1832" s="25"/>
      <c r="G1832" s="6"/>
      <c r="H1832" s="6"/>
      <c r="I1832" s="19"/>
      <c r="J1832" s="50"/>
      <c r="K1832" s="58"/>
      <c r="L1832" s="6" t="s">
        <v>655</v>
      </c>
      <c r="M1832" s="52" t="s">
        <v>655</v>
      </c>
      <c r="N1832" s="53" t="s">
        <v>655</v>
      </c>
      <c r="O1832" s="6"/>
      <c r="P1832" s="6"/>
      <c r="Q1832" s="6" t="str">
        <f t="shared" si="1"/>
        <v>#N/A</v>
      </c>
      <c r="R1832" s="6"/>
    </row>
    <row r="1833" hidden="1">
      <c r="A1833" s="31"/>
      <c r="B1833" s="14"/>
      <c r="C1833" s="14"/>
      <c r="D1833" s="6"/>
      <c r="E1833" s="14"/>
      <c r="F1833" s="25"/>
      <c r="G1833" s="6"/>
      <c r="H1833" s="6"/>
      <c r="I1833" s="19"/>
      <c r="J1833" s="50"/>
      <c r="K1833" s="58"/>
      <c r="L1833" s="6" t="s">
        <v>655</v>
      </c>
      <c r="M1833" s="52" t="s">
        <v>655</v>
      </c>
      <c r="N1833" s="53" t="s">
        <v>655</v>
      </c>
      <c r="O1833" s="6"/>
      <c r="P1833" s="6"/>
      <c r="Q1833" s="6" t="str">
        <f t="shared" si="1"/>
        <v>#N/A</v>
      </c>
      <c r="R1833" s="6"/>
    </row>
    <row r="1834" hidden="1">
      <c r="A1834" s="31"/>
      <c r="B1834" s="14"/>
      <c r="C1834" s="14"/>
      <c r="D1834" s="6"/>
      <c r="E1834" s="14"/>
      <c r="F1834" s="25"/>
      <c r="G1834" s="6"/>
      <c r="H1834" s="6"/>
      <c r="I1834" s="19"/>
      <c r="J1834" s="50"/>
      <c r="K1834" s="58"/>
      <c r="L1834" s="6" t="s">
        <v>655</v>
      </c>
      <c r="M1834" s="52" t="s">
        <v>655</v>
      </c>
      <c r="N1834" s="53" t="s">
        <v>655</v>
      </c>
      <c r="O1834" s="6"/>
      <c r="P1834" s="6"/>
      <c r="Q1834" s="6" t="str">
        <f t="shared" si="1"/>
        <v>#N/A</v>
      </c>
      <c r="R1834" s="6"/>
    </row>
    <row r="1835" hidden="1">
      <c r="A1835" s="31"/>
      <c r="B1835" s="14"/>
      <c r="C1835" s="14"/>
      <c r="D1835" s="6"/>
      <c r="E1835" s="14"/>
      <c r="F1835" s="25"/>
      <c r="G1835" s="6"/>
      <c r="H1835" s="6"/>
      <c r="I1835" s="19"/>
      <c r="J1835" s="50"/>
      <c r="K1835" s="58"/>
      <c r="L1835" s="6" t="s">
        <v>655</v>
      </c>
      <c r="M1835" s="52" t="s">
        <v>655</v>
      </c>
      <c r="N1835" s="53" t="s">
        <v>655</v>
      </c>
      <c r="O1835" s="6"/>
      <c r="P1835" s="6"/>
      <c r="Q1835" s="6" t="str">
        <f t="shared" si="1"/>
        <v>#N/A</v>
      </c>
      <c r="R1835" s="6"/>
    </row>
    <row r="1836" hidden="1">
      <c r="A1836" s="31"/>
      <c r="B1836" s="14"/>
      <c r="C1836" s="14"/>
      <c r="D1836" s="6"/>
      <c r="E1836" s="14"/>
      <c r="F1836" s="25"/>
      <c r="G1836" s="6"/>
      <c r="H1836" s="6"/>
      <c r="I1836" s="19"/>
      <c r="J1836" s="50"/>
      <c r="K1836" s="58"/>
      <c r="L1836" s="6" t="s">
        <v>655</v>
      </c>
      <c r="M1836" s="52" t="s">
        <v>655</v>
      </c>
      <c r="N1836" s="53" t="s">
        <v>655</v>
      </c>
      <c r="O1836" s="6"/>
      <c r="P1836" s="6"/>
      <c r="Q1836" s="6" t="str">
        <f t="shared" si="1"/>
        <v>#N/A</v>
      </c>
      <c r="R1836" s="6"/>
    </row>
    <row r="1837" hidden="1">
      <c r="A1837" s="31"/>
      <c r="B1837" s="14"/>
      <c r="C1837" s="14"/>
      <c r="D1837" s="6"/>
      <c r="E1837" s="14"/>
      <c r="F1837" s="25"/>
      <c r="G1837" s="6"/>
      <c r="H1837" s="6"/>
      <c r="I1837" s="19"/>
      <c r="J1837" s="50"/>
      <c r="K1837" s="58"/>
      <c r="L1837" s="6" t="s">
        <v>655</v>
      </c>
      <c r="M1837" s="52" t="s">
        <v>655</v>
      </c>
      <c r="N1837" s="53" t="s">
        <v>655</v>
      </c>
      <c r="O1837" s="6"/>
      <c r="P1837" s="6"/>
      <c r="Q1837" s="6" t="str">
        <f t="shared" si="1"/>
        <v>#N/A</v>
      </c>
      <c r="R1837" s="6"/>
    </row>
    <row r="1838" hidden="1">
      <c r="A1838" s="31"/>
      <c r="B1838" s="14"/>
      <c r="C1838" s="14"/>
      <c r="D1838" s="6"/>
      <c r="E1838" s="14"/>
      <c r="F1838" s="25"/>
      <c r="G1838" s="6"/>
      <c r="H1838" s="6"/>
      <c r="I1838" s="19"/>
      <c r="J1838" s="50"/>
      <c r="K1838" s="58"/>
      <c r="L1838" s="6" t="s">
        <v>655</v>
      </c>
      <c r="M1838" s="52" t="s">
        <v>655</v>
      </c>
      <c r="N1838" s="53" t="s">
        <v>655</v>
      </c>
      <c r="O1838" s="6"/>
      <c r="P1838" s="6"/>
      <c r="Q1838" s="6" t="str">
        <f t="shared" si="1"/>
        <v>#N/A</v>
      </c>
      <c r="R1838" s="6"/>
    </row>
    <row r="1839" hidden="1">
      <c r="A1839" s="31"/>
      <c r="B1839" s="14"/>
      <c r="C1839" s="14"/>
      <c r="D1839" s="6"/>
      <c r="E1839" s="14"/>
      <c r="F1839" s="25"/>
      <c r="G1839" s="6"/>
      <c r="H1839" s="6"/>
      <c r="I1839" s="19"/>
      <c r="J1839" s="50"/>
      <c r="K1839" s="58"/>
      <c r="L1839" s="6" t="s">
        <v>655</v>
      </c>
      <c r="M1839" s="52" t="s">
        <v>655</v>
      </c>
      <c r="N1839" s="53" t="s">
        <v>655</v>
      </c>
      <c r="O1839" s="6"/>
      <c r="P1839" s="6"/>
      <c r="Q1839" s="6" t="str">
        <f t="shared" si="1"/>
        <v>#N/A</v>
      </c>
      <c r="R1839" s="6"/>
    </row>
    <row r="1840" hidden="1">
      <c r="A1840" s="31"/>
      <c r="B1840" s="14"/>
      <c r="C1840" s="14"/>
      <c r="D1840" s="6"/>
      <c r="E1840" s="14"/>
      <c r="F1840" s="25"/>
      <c r="G1840" s="6"/>
      <c r="H1840" s="6"/>
      <c r="I1840" s="19"/>
      <c r="J1840" s="50"/>
      <c r="K1840" s="58"/>
      <c r="L1840" s="6" t="s">
        <v>655</v>
      </c>
      <c r="M1840" s="52" t="s">
        <v>655</v>
      </c>
      <c r="N1840" s="53" t="s">
        <v>655</v>
      </c>
      <c r="O1840" s="6"/>
      <c r="P1840" s="6"/>
      <c r="Q1840" s="6" t="str">
        <f t="shared" si="1"/>
        <v>#N/A</v>
      </c>
      <c r="R1840" s="6"/>
    </row>
    <row r="1841" hidden="1">
      <c r="A1841" s="31"/>
      <c r="B1841" s="14"/>
      <c r="C1841" s="14"/>
      <c r="D1841" s="6"/>
      <c r="E1841" s="14"/>
      <c r="F1841" s="25"/>
      <c r="G1841" s="6"/>
      <c r="H1841" s="6"/>
      <c r="I1841" s="19"/>
      <c r="J1841" s="50"/>
      <c r="K1841" s="58"/>
      <c r="L1841" s="6" t="s">
        <v>655</v>
      </c>
      <c r="M1841" s="52" t="s">
        <v>655</v>
      </c>
      <c r="N1841" s="53" t="s">
        <v>655</v>
      </c>
      <c r="O1841" s="6"/>
      <c r="P1841" s="6"/>
      <c r="Q1841" s="6" t="str">
        <f t="shared" si="1"/>
        <v>#N/A</v>
      </c>
      <c r="R1841" s="6"/>
    </row>
    <row r="1842" hidden="1">
      <c r="A1842" s="31"/>
      <c r="B1842" s="14"/>
      <c r="C1842" s="14"/>
      <c r="D1842" s="6"/>
      <c r="E1842" s="14"/>
      <c r="F1842" s="25"/>
      <c r="G1842" s="6"/>
      <c r="H1842" s="6"/>
      <c r="I1842" s="19"/>
      <c r="J1842" s="50"/>
      <c r="K1842" s="58"/>
      <c r="L1842" s="6" t="s">
        <v>655</v>
      </c>
      <c r="M1842" s="52" t="s">
        <v>655</v>
      </c>
      <c r="N1842" s="53" t="s">
        <v>655</v>
      </c>
      <c r="O1842" s="6"/>
      <c r="P1842" s="6"/>
      <c r="Q1842" s="6" t="str">
        <f t="shared" si="1"/>
        <v>#N/A</v>
      </c>
      <c r="R1842" s="6"/>
    </row>
    <row r="1843" hidden="1">
      <c r="A1843" s="31"/>
      <c r="B1843" s="14"/>
      <c r="C1843" s="14"/>
      <c r="D1843" s="6"/>
      <c r="E1843" s="14"/>
      <c r="F1843" s="25"/>
      <c r="G1843" s="6"/>
      <c r="H1843" s="6"/>
      <c r="I1843" s="19"/>
      <c r="J1843" s="50"/>
      <c r="K1843" s="58"/>
      <c r="L1843" s="6" t="s">
        <v>655</v>
      </c>
      <c r="M1843" s="52" t="s">
        <v>655</v>
      </c>
      <c r="N1843" s="53" t="s">
        <v>655</v>
      </c>
      <c r="O1843" s="6"/>
      <c r="P1843" s="6"/>
      <c r="Q1843" s="6" t="str">
        <f t="shared" si="1"/>
        <v>#N/A</v>
      </c>
      <c r="R1843" s="6"/>
    </row>
    <row r="1844" hidden="1">
      <c r="A1844" s="31"/>
      <c r="B1844" s="14"/>
      <c r="C1844" s="14"/>
      <c r="D1844" s="6"/>
      <c r="E1844" s="14"/>
      <c r="F1844" s="25"/>
      <c r="G1844" s="6"/>
      <c r="H1844" s="6"/>
      <c r="I1844" s="19"/>
      <c r="J1844" s="50"/>
      <c r="K1844" s="58"/>
      <c r="L1844" s="6" t="s">
        <v>655</v>
      </c>
      <c r="M1844" s="52" t="s">
        <v>655</v>
      </c>
      <c r="N1844" s="53" t="s">
        <v>655</v>
      </c>
      <c r="O1844" s="6"/>
      <c r="P1844" s="6"/>
      <c r="Q1844" s="6" t="str">
        <f t="shared" si="1"/>
        <v>#N/A</v>
      </c>
      <c r="R1844" s="6"/>
    </row>
    <row r="1845" hidden="1">
      <c r="A1845" s="31"/>
      <c r="B1845" s="14"/>
      <c r="C1845" s="14"/>
      <c r="D1845" s="6"/>
      <c r="E1845" s="14"/>
      <c r="F1845" s="25"/>
      <c r="G1845" s="6"/>
      <c r="H1845" s="6"/>
      <c r="I1845" s="19"/>
      <c r="J1845" s="50"/>
      <c r="K1845" s="58"/>
      <c r="L1845" s="6" t="s">
        <v>655</v>
      </c>
      <c r="M1845" s="52" t="s">
        <v>655</v>
      </c>
      <c r="N1845" s="53" t="s">
        <v>655</v>
      </c>
      <c r="O1845" s="6"/>
      <c r="P1845" s="6"/>
      <c r="Q1845" s="6" t="str">
        <f t="shared" si="1"/>
        <v>#N/A</v>
      </c>
      <c r="R1845" s="6"/>
    </row>
    <row r="1846" hidden="1">
      <c r="A1846" s="31"/>
      <c r="B1846" s="14"/>
      <c r="C1846" s="14"/>
      <c r="D1846" s="6"/>
      <c r="E1846" s="14"/>
      <c r="F1846" s="25"/>
      <c r="G1846" s="6"/>
      <c r="H1846" s="6"/>
      <c r="I1846" s="19"/>
      <c r="J1846" s="50"/>
      <c r="K1846" s="58"/>
      <c r="L1846" s="6" t="s">
        <v>655</v>
      </c>
      <c r="M1846" s="52" t="s">
        <v>655</v>
      </c>
      <c r="N1846" s="53" t="s">
        <v>655</v>
      </c>
      <c r="O1846" s="6"/>
      <c r="P1846" s="6"/>
      <c r="Q1846" s="6" t="str">
        <f t="shared" si="1"/>
        <v>#N/A</v>
      </c>
      <c r="R1846" s="6"/>
    </row>
    <row r="1847" hidden="1">
      <c r="A1847" s="31"/>
      <c r="B1847" s="14"/>
      <c r="C1847" s="14"/>
      <c r="D1847" s="6"/>
      <c r="E1847" s="14"/>
      <c r="F1847" s="25"/>
      <c r="G1847" s="6"/>
      <c r="H1847" s="6"/>
      <c r="I1847" s="19"/>
      <c r="J1847" s="50"/>
      <c r="K1847" s="58"/>
      <c r="L1847" s="6" t="s">
        <v>655</v>
      </c>
      <c r="M1847" s="52" t="s">
        <v>655</v>
      </c>
      <c r="N1847" s="53" t="s">
        <v>655</v>
      </c>
      <c r="O1847" s="6"/>
      <c r="P1847" s="6"/>
      <c r="Q1847" s="6" t="str">
        <f t="shared" si="1"/>
        <v>#N/A</v>
      </c>
      <c r="R1847" s="6"/>
    </row>
    <row r="1848" hidden="1">
      <c r="A1848" s="31"/>
      <c r="B1848" s="14"/>
      <c r="C1848" s="14"/>
      <c r="D1848" s="6"/>
      <c r="E1848" s="14"/>
      <c r="F1848" s="25"/>
      <c r="G1848" s="6"/>
      <c r="H1848" s="6"/>
      <c r="I1848" s="19"/>
      <c r="J1848" s="50"/>
      <c r="K1848" s="58"/>
      <c r="L1848" s="6" t="s">
        <v>655</v>
      </c>
      <c r="M1848" s="52" t="s">
        <v>655</v>
      </c>
      <c r="N1848" s="53" t="s">
        <v>655</v>
      </c>
      <c r="O1848" s="6"/>
      <c r="P1848" s="6"/>
      <c r="Q1848" s="6" t="str">
        <f t="shared" si="1"/>
        <v>#N/A</v>
      </c>
      <c r="R1848" s="6"/>
    </row>
    <row r="1849" hidden="1">
      <c r="A1849" s="31"/>
      <c r="B1849" s="14"/>
      <c r="C1849" s="14"/>
      <c r="D1849" s="6"/>
      <c r="E1849" s="14"/>
      <c r="F1849" s="25"/>
      <c r="G1849" s="6"/>
      <c r="H1849" s="6"/>
      <c r="I1849" s="19"/>
      <c r="J1849" s="50"/>
      <c r="K1849" s="58"/>
      <c r="L1849" s="6" t="s">
        <v>655</v>
      </c>
      <c r="M1849" s="52" t="s">
        <v>655</v>
      </c>
      <c r="N1849" s="53" t="s">
        <v>655</v>
      </c>
      <c r="O1849" s="6"/>
      <c r="P1849" s="6"/>
      <c r="Q1849" s="6" t="str">
        <f t="shared" si="1"/>
        <v>#N/A</v>
      </c>
      <c r="R1849" s="6"/>
    </row>
    <row r="1850" hidden="1">
      <c r="A1850" s="31"/>
      <c r="B1850" s="14"/>
      <c r="C1850" s="14"/>
      <c r="D1850" s="6"/>
      <c r="E1850" s="14"/>
      <c r="F1850" s="25"/>
      <c r="G1850" s="6"/>
      <c r="H1850" s="6"/>
      <c r="I1850" s="19"/>
      <c r="J1850" s="50"/>
      <c r="K1850" s="58"/>
      <c r="L1850" s="6" t="s">
        <v>655</v>
      </c>
      <c r="M1850" s="52" t="s">
        <v>655</v>
      </c>
      <c r="N1850" s="53" t="s">
        <v>655</v>
      </c>
      <c r="O1850" s="6"/>
      <c r="P1850" s="6"/>
      <c r="Q1850" s="6" t="str">
        <f t="shared" si="1"/>
        <v>#N/A</v>
      </c>
      <c r="R1850" s="6"/>
    </row>
    <row r="1851" hidden="1">
      <c r="A1851" s="31"/>
      <c r="B1851" s="14"/>
      <c r="C1851" s="14"/>
      <c r="D1851" s="6"/>
      <c r="E1851" s="14"/>
      <c r="F1851" s="25"/>
      <c r="G1851" s="6"/>
      <c r="H1851" s="6"/>
      <c r="I1851" s="19"/>
      <c r="J1851" s="50"/>
      <c r="K1851" s="58"/>
      <c r="L1851" s="6" t="s">
        <v>655</v>
      </c>
      <c r="M1851" s="52" t="s">
        <v>655</v>
      </c>
      <c r="N1851" s="53" t="s">
        <v>655</v>
      </c>
      <c r="O1851" s="6"/>
      <c r="P1851" s="6"/>
      <c r="Q1851" s="6" t="str">
        <f t="shared" si="1"/>
        <v>#N/A</v>
      </c>
      <c r="R1851" s="6"/>
    </row>
    <row r="1852" hidden="1">
      <c r="A1852" s="31"/>
      <c r="B1852" s="14"/>
      <c r="C1852" s="14"/>
      <c r="D1852" s="6"/>
      <c r="E1852" s="14"/>
      <c r="F1852" s="25"/>
      <c r="G1852" s="6"/>
      <c r="H1852" s="6"/>
      <c r="I1852" s="19"/>
      <c r="J1852" s="50"/>
      <c r="K1852" s="58"/>
      <c r="L1852" s="6" t="s">
        <v>655</v>
      </c>
      <c r="M1852" s="52" t="s">
        <v>655</v>
      </c>
      <c r="N1852" s="53" t="s">
        <v>655</v>
      </c>
      <c r="O1852" s="6"/>
      <c r="P1852" s="6"/>
      <c r="Q1852" s="6" t="str">
        <f t="shared" si="1"/>
        <v>#N/A</v>
      </c>
      <c r="R1852" s="6"/>
    </row>
    <row r="1853" hidden="1">
      <c r="A1853" s="31"/>
      <c r="B1853" s="14"/>
      <c r="C1853" s="14"/>
      <c r="D1853" s="6"/>
      <c r="E1853" s="14"/>
      <c r="F1853" s="25"/>
      <c r="G1853" s="6"/>
      <c r="H1853" s="6"/>
      <c r="I1853" s="19"/>
      <c r="J1853" s="50"/>
      <c r="K1853" s="58"/>
      <c r="L1853" s="6" t="s">
        <v>655</v>
      </c>
      <c r="M1853" s="52" t="s">
        <v>655</v>
      </c>
      <c r="N1853" s="53" t="s">
        <v>655</v>
      </c>
      <c r="O1853" s="6"/>
      <c r="P1853" s="6"/>
      <c r="Q1853" s="6" t="str">
        <f t="shared" si="1"/>
        <v>#N/A</v>
      </c>
      <c r="R1853" s="6"/>
    </row>
    <row r="1854" hidden="1">
      <c r="A1854" s="31"/>
      <c r="B1854" s="14"/>
      <c r="C1854" s="14"/>
      <c r="D1854" s="6"/>
      <c r="E1854" s="14"/>
      <c r="F1854" s="25"/>
      <c r="G1854" s="6"/>
      <c r="H1854" s="6"/>
      <c r="I1854" s="19"/>
      <c r="J1854" s="50"/>
      <c r="K1854" s="58"/>
      <c r="L1854" s="6" t="s">
        <v>655</v>
      </c>
      <c r="M1854" s="52" t="s">
        <v>655</v>
      </c>
      <c r="N1854" s="53" t="s">
        <v>655</v>
      </c>
      <c r="O1854" s="6"/>
      <c r="P1854" s="6"/>
      <c r="Q1854" s="6" t="str">
        <f t="shared" si="1"/>
        <v>#N/A</v>
      </c>
      <c r="R1854" s="6"/>
    </row>
    <row r="1855" hidden="1">
      <c r="A1855" s="31"/>
      <c r="B1855" s="14"/>
      <c r="C1855" s="14"/>
      <c r="D1855" s="6"/>
      <c r="E1855" s="14"/>
      <c r="F1855" s="25"/>
      <c r="G1855" s="6"/>
      <c r="H1855" s="6"/>
      <c r="I1855" s="19"/>
      <c r="J1855" s="50"/>
      <c r="K1855" s="58"/>
      <c r="L1855" s="6" t="s">
        <v>655</v>
      </c>
      <c r="M1855" s="52" t="s">
        <v>655</v>
      </c>
      <c r="N1855" s="53" t="s">
        <v>655</v>
      </c>
      <c r="O1855" s="6"/>
      <c r="P1855" s="6"/>
      <c r="Q1855" s="6" t="str">
        <f t="shared" si="1"/>
        <v>#N/A</v>
      </c>
      <c r="R1855" s="6"/>
    </row>
    <row r="1856" hidden="1">
      <c r="A1856" s="31"/>
      <c r="B1856" s="14"/>
      <c r="C1856" s="14"/>
      <c r="D1856" s="6"/>
      <c r="E1856" s="14"/>
      <c r="F1856" s="25"/>
      <c r="G1856" s="6"/>
      <c r="H1856" s="6"/>
      <c r="I1856" s="19"/>
      <c r="J1856" s="50"/>
      <c r="K1856" s="58"/>
      <c r="L1856" s="6" t="s">
        <v>655</v>
      </c>
      <c r="M1856" s="52" t="s">
        <v>655</v>
      </c>
      <c r="N1856" s="53" t="s">
        <v>655</v>
      </c>
      <c r="O1856" s="6"/>
      <c r="P1856" s="6"/>
      <c r="Q1856" s="6" t="str">
        <f t="shared" si="1"/>
        <v>#N/A</v>
      </c>
      <c r="R1856" s="6"/>
    </row>
    <row r="1857" hidden="1">
      <c r="A1857" s="31"/>
      <c r="B1857" s="14"/>
      <c r="C1857" s="14"/>
      <c r="D1857" s="6"/>
      <c r="E1857" s="14"/>
      <c r="F1857" s="25"/>
      <c r="G1857" s="6"/>
      <c r="H1857" s="6"/>
      <c r="I1857" s="19"/>
      <c r="J1857" s="50"/>
      <c r="K1857" s="58"/>
      <c r="L1857" s="6" t="s">
        <v>655</v>
      </c>
      <c r="M1857" s="52" t="s">
        <v>655</v>
      </c>
      <c r="N1857" s="53" t="s">
        <v>655</v>
      </c>
      <c r="O1857" s="6"/>
      <c r="P1857" s="6"/>
      <c r="Q1857" s="6" t="str">
        <f t="shared" si="1"/>
        <v>#N/A</v>
      </c>
      <c r="R1857" s="6"/>
    </row>
    <row r="1858" hidden="1">
      <c r="A1858" s="31"/>
      <c r="B1858" s="14"/>
      <c r="C1858" s="14"/>
      <c r="D1858" s="6"/>
      <c r="E1858" s="14"/>
      <c r="F1858" s="25"/>
      <c r="G1858" s="6"/>
      <c r="H1858" s="6"/>
      <c r="I1858" s="19"/>
      <c r="J1858" s="50"/>
      <c r="K1858" s="58"/>
      <c r="L1858" s="6" t="s">
        <v>655</v>
      </c>
      <c r="M1858" s="52" t="s">
        <v>655</v>
      </c>
      <c r="N1858" s="53" t="s">
        <v>655</v>
      </c>
      <c r="O1858" s="6"/>
      <c r="P1858" s="6"/>
      <c r="Q1858" s="6" t="str">
        <f t="shared" si="1"/>
        <v>#N/A</v>
      </c>
      <c r="R1858" s="6"/>
    </row>
    <row r="1859" hidden="1">
      <c r="A1859" s="31"/>
      <c r="B1859" s="14"/>
      <c r="C1859" s="14"/>
      <c r="D1859" s="6"/>
      <c r="E1859" s="14"/>
      <c r="F1859" s="25"/>
      <c r="G1859" s="6"/>
      <c r="H1859" s="6"/>
      <c r="I1859" s="19"/>
      <c r="J1859" s="50"/>
      <c r="K1859" s="58"/>
      <c r="L1859" s="6" t="s">
        <v>655</v>
      </c>
      <c r="M1859" s="52" t="s">
        <v>655</v>
      </c>
      <c r="N1859" s="53" t="s">
        <v>655</v>
      </c>
      <c r="O1859" s="6"/>
      <c r="P1859" s="6"/>
      <c r="Q1859" s="6" t="str">
        <f t="shared" si="1"/>
        <v>#N/A</v>
      </c>
      <c r="R1859" s="6"/>
    </row>
    <row r="1860" hidden="1">
      <c r="A1860" s="31"/>
      <c r="B1860" s="14"/>
      <c r="C1860" s="14"/>
      <c r="D1860" s="6"/>
      <c r="E1860" s="14"/>
      <c r="F1860" s="25"/>
      <c r="G1860" s="6"/>
      <c r="H1860" s="6"/>
      <c r="I1860" s="19"/>
      <c r="J1860" s="50"/>
      <c r="K1860" s="58"/>
      <c r="L1860" s="6" t="s">
        <v>655</v>
      </c>
      <c r="M1860" s="52" t="s">
        <v>655</v>
      </c>
      <c r="N1860" s="53" t="s">
        <v>655</v>
      </c>
      <c r="O1860" s="6"/>
      <c r="P1860" s="6"/>
      <c r="Q1860" s="6" t="str">
        <f t="shared" si="1"/>
        <v>#N/A</v>
      </c>
      <c r="R1860" s="6"/>
    </row>
    <row r="1861" hidden="1">
      <c r="A1861" s="31"/>
      <c r="B1861" s="14"/>
      <c r="C1861" s="14"/>
      <c r="D1861" s="6"/>
      <c r="E1861" s="14"/>
      <c r="F1861" s="25"/>
      <c r="G1861" s="6"/>
      <c r="H1861" s="6"/>
      <c r="I1861" s="19"/>
      <c r="J1861" s="50"/>
      <c r="K1861" s="58"/>
      <c r="L1861" s="6" t="s">
        <v>655</v>
      </c>
      <c r="M1861" s="52" t="s">
        <v>655</v>
      </c>
      <c r="N1861" s="53" t="s">
        <v>655</v>
      </c>
      <c r="O1861" s="6"/>
      <c r="P1861" s="6"/>
      <c r="Q1861" s="6" t="str">
        <f t="shared" si="1"/>
        <v>#N/A</v>
      </c>
      <c r="R1861" s="6"/>
    </row>
    <row r="1862" hidden="1">
      <c r="A1862" s="31"/>
      <c r="B1862" s="14"/>
      <c r="C1862" s="14"/>
      <c r="D1862" s="6"/>
      <c r="E1862" s="14"/>
      <c r="F1862" s="25"/>
      <c r="G1862" s="6"/>
      <c r="H1862" s="6"/>
      <c r="I1862" s="19"/>
      <c r="J1862" s="50"/>
      <c r="K1862" s="58"/>
      <c r="L1862" s="6" t="s">
        <v>655</v>
      </c>
      <c r="M1862" s="52" t="s">
        <v>655</v>
      </c>
      <c r="N1862" s="53" t="s">
        <v>655</v>
      </c>
      <c r="O1862" s="6"/>
      <c r="P1862" s="6"/>
      <c r="Q1862" s="6" t="str">
        <f t="shared" si="1"/>
        <v>#N/A</v>
      </c>
      <c r="R1862" s="6"/>
    </row>
    <row r="1863" hidden="1">
      <c r="A1863" s="31"/>
      <c r="B1863" s="14"/>
      <c r="C1863" s="14"/>
      <c r="D1863" s="6"/>
      <c r="E1863" s="14"/>
      <c r="F1863" s="25"/>
      <c r="G1863" s="6"/>
      <c r="H1863" s="6"/>
      <c r="I1863" s="19"/>
      <c r="J1863" s="50"/>
      <c r="K1863" s="58"/>
      <c r="L1863" s="6" t="s">
        <v>655</v>
      </c>
      <c r="M1863" s="52" t="s">
        <v>655</v>
      </c>
      <c r="N1863" s="53" t="s">
        <v>655</v>
      </c>
      <c r="O1863" s="6"/>
      <c r="P1863" s="6"/>
      <c r="Q1863" s="6" t="str">
        <f t="shared" si="1"/>
        <v>#N/A</v>
      </c>
      <c r="R1863" s="6"/>
    </row>
    <row r="1864" hidden="1">
      <c r="A1864" s="31"/>
      <c r="B1864" s="14"/>
      <c r="C1864" s="14"/>
      <c r="D1864" s="6"/>
      <c r="E1864" s="14"/>
      <c r="F1864" s="25"/>
      <c r="G1864" s="6"/>
      <c r="H1864" s="6"/>
      <c r="I1864" s="19"/>
      <c r="J1864" s="50"/>
      <c r="K1864" s="58"/>
      <c r="L1864" s="6" t="s">
        <v>655</v>
      </c>
      <c r="M1864" s="52" t="s">
        <v>655</v>
      </c>
      <c r="N1864" s="53" t="s">
        <v>655</v>
      </c>
      <c r="O1864" s="6"/>
      <c r="P1864" s="6"/>
      <c r="Q1864" s="6" t="str">
        <f t="shared" si="1"/>
        <v>#N/A</v>
      </c>
      <c r="R1864" s="6"/>
    </row>
    <row r="1865" hidden="1">
      <c r="A1865" s="31"/>
      <c r="B1865" s="14"/>
      <c r="C1865" s="14"/>
      <c r="D1865" s="6"/>
      <c r="E1865" s="14"/>
      <c r="F1865" s="25"/>
      <c r="G1865" s="6"/>
      <c r="H1865" s="6"/>
      <c r="I1865" s="19"/>
      <c r="J1865" s="50"/>
      <c r="K1865" s="58"/>
      <c r="L1865" s="6" t="s">
        <v>655</v>
      </c>
      <c r="M1865" s="52" t="s">
        <v>655</v>
      </c>
      <c r="N1865" s="53" t="s">
        <v>655</v>
      </c>
      <c r="O1865" s="6"/>
      <c r="P1865" s="6"/>
      <c r="Q1865" s="6" t="str">
        <f t="shared" si="1"/>
        <v>#N/A</v>
      </c>
      <c r="R1865" s="6"/>
    </row>
    <row r="1866" hidden="1">
      <c r="A1866" s="31"/>
      <c r="B1866" s="14"/>
      <c r="C1866" s="14"/>
      <c r="D1866" s="6"/>
      <c r="E1866" s="14"/>
      <c r="F1866" s="25"/>
      <c r="G1866" s="6"/>
      <c r="H1866" s="6"/>
      <c r="I1866" s="19"/>
      <c r="J1866" s="50"/>
      <c r="K1866" s="58"/>
      <c r="L1866" s="6" t="s">
        <v>655</v>
      </c>
      <c r="M1866" s="52" t="s">
        <v>655</v>
      </c>
      <c r="N1866" s="53" t="s">
        <v>655</v>
      </c>
      <c r="O1866" s="6"/>
      <c r="P1866" s="6"/>
      <c r="Q1866" s="6" t="str">
        <f t="shared" si="1"/>
        <v>#N/A</v>
      </c>
      <c r="R1866" s="6"/>
    </row>
    <row r="1867" hidden="1">
      <c r="A1867" s="31"/>
      <c r="B1867" s="14"/>
      <c r="C1867" s="14"/>
      <c r="D1867" s="6"/>
      <c r="E1867" s="14"/>
      <c r="F1867" s="25"/>
      <c r="G1867" s="6"/>
      <c r="H1867" s="6"/>
      <c r="I1867" s="19"/>
      <c r="J1867" s="50"/>
      <c r="K1867" s="58"/>
      <c r="L1867" s="6" t="s">
        <v>655</v>
      </c>
      <c r="M1867" s="52" t="s">
        <v>655</v>
      </c>
      <c r="N1867" s="53" t="s">
        <v>655</v>
      </c>
      <c r="O1867" s="6"/>
      <c r="P1867" s="6"/>
      <c r="Q1867" s="6" t="str">
        <f t="shared" si="1"/>
        <v>#N/A</v>
      </c>
      <c r="R1867" s="6"/>
    </row>
    <row r="1868" hidden="1">
      <c r="A1868" s="31"/>
      <c r="B1868" s="14"/>
      <c r="C1868" s="14"/>
      <c r="D1868" s="6"/>
      <c r="E1868" s="14"/>
      <c r="F1868" s="25"/>
      <c r="G1868" s="6"/>
      <c r="H1868" s="6"/>
      <c r="I1868" s="19"/>
      <c r="J1868" s="50"/>
      <c r="K1868" s="58"/>
      <c r="L1868" s="6" t="s">
        <v>655</v>
      </c>
      <c r="M1868" s="52" t="s">
        <v>655</v>
      </c>
      <c r="N1868" s="53" t="s">
        <v>655</v>
      </c>
      <c r="O1868" s="6"/>
      <c r="P1868" s="6"/>
      <c r="Q1868" s="6" t="str">
        <f t="shared" si="1"/>
        <v>#N/A</v>
      </c>
      <c r="R1868" s="6"/>
    </row>
    <row r="1869" hidden="1">
      <c r="A1869" s="31"/>
      <c r="B1869" s="14"/>
      <c r="C1869" s="14"/>
      <c r="D1869" s="6"/>
      <c r="E1869" s="14"/>
      <c r="F1869" s="25"/>
      <c r="G1869" s="6"/>
      <c r="H1869" s="6"/>
      <c r="I1869" s="19"/>
      <c r="J1869" s="50"/>
      <c r="K1869" s="58"/>
      <c r="L1869" s="6" t="s">
        <v>655</v>
      </c>
      <c r="M1869" s="52" t="s">
        <v>655</v>
      </c>
      <c r="N1869" s="53" t="s">
        <v>655</v>
      </c>
      <c r="O1869" s="6"/>
      <c r="P1869" s="6"/>
      <c r="Q1869" s="6" t="str">
        <f t="shared" si="1"/>
        <v>#N/A</v>
      </c>
      <c r="R1869" s="6"/>
    </row>
    <row r="1870" hidden="1">
      <c r="A1870" s="31"/>
      <c r="B1870" s="14"/>
      <c r="C1870" s="14"/>
      <c r="D1870" s="6"/>
      <c r="E1870" s="14"/>
      <c r="F1870" s="25"/>
      <c r="G1870" s="6"/>
      <c r="H1870" s="6"/>
      <c r="I1870" s="19"/>
      <c r="J1870" s="50"/>
      <c r="K1870" s="58"/>
      <c r="L1870" s="6" t="s">
        <v>655</v>
      </c>
      <c r="M1870" s="52" t="s">
        <v>655</v>
      </c>
      <c r="N1870" s="53" t="s">
        <v>655</v>
      </c>
      <c r="O1870" s="6"/>
      <c r="P1870" s="6"/>
      <c r="Q1870" s="6" t="str">
        <f t="shared" si="1"/>
        <v>#N/A</v>
      </c>
      <c r="R1870" s="6"/>
    </row>
    <row r="1871" hidden="1">
      <c r="A1871" s="31"/>
      <c r="B1871" s="14"/>
      <c r="C1871" s="14"/>
      <c r="D1871" s="6"/>
      <c r="E1871" s="14"/>
      <c r="F1871" s="25"/>
      <c r="G1871" s="6"/>
      <c r="H1871" s="6"/>
      <c r="I1871" s="19"/>
      <c r="J1871" s="50"/>
      <c r="K1871" s="58"/>
      <c r="L1871" s="6" t="s">
        <v>655</v>
      </c>
      <c r="M1871" s="52" t="s">
        <v>655</v>
      </c>
      <c r="N1871" s="53" t="s">
        <v>655</v>
      </c>
      <c r="O1871" s="6"/>
      <c r="P1871" s="6"/>
      <c r="Q1871" s="6" t="str">
        <f t="shared" si="1"/>
        <v>#N/A</v>
      </c>
      <c r="R1871" s="6"/>
    </row>
    <row r="1872" hidden="1">
      <c r="A1872" s="31"/>
      <c r="B1872" s="14"/>
      <c r="C1872" s="14"/>
      <c r="D1872" s="6"/>
      <c r="E1872" s="14"/>
      <c r="F1872" s="25"/>
      <c r="G1872" s="6"/>
      <c r="H1872" s="6"/>
      <c r="I1872" s="19"/>
      <c r="J1872" s="50"/>
      <c r="K1872" s="58"/>
      <c r="L1872" s="6" t="s">
        <v>655</v>
      </c>
      <c r="M1872" s="52" t="s">
        <v>655</v>
      </c>
      <c r="N1872" s="53" t="s">
        <v>655</v>
      </c>
      <c r="O1872" s="6"/>
      <c r="P1872" s="6"/>
      <c r="Q1872" s="6" t="str">
        <f t="shared" si="1"/>
        <v>#N/A</v>
      </c>
      <c r="R1872" s="6"/>
    </row>
    <row r="1873" hidden="1">
      <c r="A1873" s="31"/>
      <c r="B1873" s="14"/>
      <c r="C1873" s="14"/>
      <c r="D1873" s="6"/>
      <c r="E1873" s="14"/>
      <c r="F1873" s="25"/>
      <c r="G1873" s="6"/>
      <c r="H1873" s="6"/>
      <c r="I1873" s="19"/>
      <c r="J1873" s="50"/>
      <c r="K1873" s="58"/>
      <c r="L1873" s="6" t="s">
        <v>655</v>
      </c>
      <c r="M1873" s="52" t="s">
        <v>655</v>
      </c>
      <c r="N1873" s="53" t="s">
        <v>655</v>
      </c>
      <c r="O1873" s="6"/>
      <c r="P1873" s="6"/>
      <c r="Q1873" s="6" t="str">
        <f t="shared" si="1"/>
        <v>#N/A</v>
      </c>
      <c r="R1873" s="6"/>
    </row>
    <row r="1874" hidden="1">
      <c r="A1874" s="31"/>
      <c r="B1874" s="14"/>
      <c r="C1874" s="14"/>
      <c r="D1874" s="6"/>
      <c r="E1874" s="14"/>
      <c r="F1874" s="25"/>
      <c r="G1874" s="6"/>
      <c r="H1874" s="6"/>
      <c r="I1874" s="19"/>
      <c r="J1874" s="50"/>
      <c r="K1874" s="58"/>
      <c r="L1874" s="6" t="s">
        <v>655</v>
      </c>
      <c r="M1874" s="52" t="s">
        <v>655</v>
      </c>
      <c r="N1874" s="53" t="s">
        <v>655</v>
      </c>
      <c r="O1874" s="6"/>
      <c r="P1874" s="6"/>
      <c r="Q1874" s="6" t="str">
        <f t="shared" si="1"/>
        <v>#N/A</v>
      </c>
      <c r="R1874" s="6"/>
    </row>
    <row r="1875" hidden="1">
      <c r="A1875" s="31"/>
      <c r="B1875" s="14"/>
      <c r="C1875" s="14"/>
      <c r="D1875" s="6"/>
      <c r="E1875" s="14"/>
      <c r="F1875" s="25"/>
      <c r="G1875" s="6"/>
      <c r="H1875" s="6"/>
      <c r="I1875" s="19"/>
      <c r="J1875" s="50"/>
      <c r="K1875" s="58"/>
      <c r="L1875" s="6" t="s">
        <v>655</v>
      </c>
      <c r="M1875" s="52" t="s">
        <v>655</v>
      </c>
      <c r="N1875" s="53" t="s">
        <v>655</v>
      </c>
      <c r="O1875" s="6"/>
      <c r="P1875" s="6"/>
      <c r="Q1875" s="6" t="str">
        <f t="shared" si="1"/>
        <v>#N/A</v>
      </c>
      <c r="R1875" s="6"/>
    </row>
    <row r="1876" hidden="1">
      <c r="A1876" s="31"/>
      <c r="B1876" s="14"/>
      <c r="C1876" s="14"/>
      <c r="D1876" s="6"/>
      <c r="E1876" s="14"/>
      <c r="F1876" s="25"/>
      <c r="G1876" s="6"/>
      <c r="H1876" s="6"/>
      <c r="I1876" s="19"/>
      <c r="J1876" s="50"/>
      <c r="K1876" s="58"/>
      <c r="L1876" s="6" t="s">
        <v>655</v>
      </c>
      <c r="M1876" s="52" t="s">
        <v>655</v>
      </c>
      <c r="N1876" s="53" t="s">
        <v>655</v>
      </c>
      <c r="O1876" s="6"/>
      <c r="P1876" s="6"/>
      <c r="Q1876" s="6" t="str">
        <f t="shared" si="1"/>
        <v>#N/A</v>
      </c>
      <c r="R1876" s="6"/>
    </row>
    <row r="1877" hidden="1">
      <c r="A1877" s="31"/>
      <c r="B1877" s="14"/>
      <c r="C1877" s="14"/>
      <c r="D1877" s="6"/>
      <c r="E1877" s="14"/>
      <c r="F1877" s="25"/>
      <c r="G1877" s="6"/>
      <c r="H1877" s="6"/>
      <c r="I1877" s="19"/>
      <c r="J1877" s="50"/>
      <c r="K1877" s="58"/>
      <c r="L1877" s="6" t="s">
        <v>655</v>
      </c>
      <c r="M1877" s="52" t="s">
        <v>655</v>
      </c>
      <c r="N1877" s="53" t="s">
        <v>655</v>
      </c>
      <c r="O1877" s="6"/>
      <c r="P1877" s="6"/>
      <c r="Q1877" s="6" t="str">
        <f t="shared" si="1"/>
        <v>#N/A</v>
      </c>
      <c r="R1877" s="6"/>
    </row>
    <row r="1878" hidden="1">
      <c r="A1878" s="31"/>
      <c r="B1878" s="14"/>
      <c r="C1878" s="14"/>
      <c r="D1878" s="6"/>
      <c r="E1878" s="14"/>
      <c r="F1878" s="25"/>
      <c r="G1878" s="6"/>
      <c r="H1878" s="6"/>
      <c r="I1878" s="19"/>
      <c r="J1878" s="50"/>
      <c r="K1878" s="58"/>
      <c r="L1878" s="6" t="s">
        <v>655</v>
      </c>
      <c r="M1878" s="52" t="s">
        <v>655</v>
      </c>
      <c r="N1878" s="53" t="s">
        <v>655</v>
      </c>
      <c r="O1878" s="6"/>
      <c r="P1878" s="6"/>
      <c r="Q1878" s="6" t="str">
        <f t="shared" si="1"/>
        <v>#N/A</v>
      </c>
      <c r="R1878" s="6"/>
    </row>
    <row r="1879" hidden="1">
      <c r="A1879" s="31"/>
      <c r="B1879" s="14"/>
      <c r="C1879" s="14"/>
      <c r="D1879" s="6"/>
      <c r="E1879" s="14"/>
      <c r="F1879" s="25"/>
      <c r="G1879" s="6"/>
      <c r="H1879" s="6"/>
      <c r="I1879" s="19"/>
      <c r="J1879" s="50"/>
      <c r="K1879" s="58"/>
      <c r="L1879" s="6" t="s">
        <v>655</v>
      </c>
      <c r="M1879" s="52" t="s">
        <v>655</v>
      </c>
      <c r="N1879" s="53" t="s">
        <v>655</v>
      </c>
      <c r="O1879" s="6"/>
      <c r="P1879" s="6"/>
      <c r="Q1879" s="6" t="str">
        <f t="shared" si="1"/>
        <v>#N/A</v>
      </c>
      <c r="R1879" s="6"/>
    </row>
    <row r="1880" hidden="1">
      <c r="A1880" s="31"/>
      <c r="B1880" s="14"/>
      <c r="C1880" s="14"/>
      <c r="D1880" s="6"/>
      <c r="E1880" s="14"/>
      <c r="F1880" s="25"/>
      <c r="G1880" s="6"/>
      <c r="H1880" s="6"/>
      <c r="I1880" s="19"/>
      <c r="J1880" s="50"/>
      <c r="K1880" s="58"/>
      <c r="L1880" s="6" t="s">
        <v>655</v>
      </c>
      <c r="M1880" s="52" t="s">
        <v>655</v>
      </c>
      <c r="N1880" s="53" t="s">
        <v>655</v>
      </c>
      <c r="O1880" s="6"/>
      <c r="P1880" s="6"/>
      <c r="Q1880" s="6" t="str">
        <f t="shared" si="1"/>
        <v>#N/A</v>
      </c>
      <c r="R1880" s="6"/>
    </row>
    <row r="1881" hidden="1">
      <c r="A1881" s="31"/>
      <c r="B1881" s="14"/>
      <c r="C1881" s="14"/>
      <c r="D1881" s="6"/>
      <c r="E1881" s="14"/>
      <c r="F1881" s="25"/>
      <c r="G1881" s="6"/>
      <c r="H1881" s="6"/>
      <c r="I1881" s="19"/>
      <c r="J1881" s="50"/>
      <c r="K1881" s="58"/>
      <c r="L1881" s="6" t="s">
        <v>655</v>
      </c>
      <c r="M1881" s="52" t="s">
        <v>655</v>
      </c>
      <c r="N1881" s="53" t="s">
        <v>655</v>
      </c>
      <c r="O1881" s="6"/>
      <c r="P1881" s="6"/>
      <c r="Q1881" s="6" t="str">
        <f t="shared" si="1"/>
        <v>#N/A</v>
      </c>
      <c r="R1881" s="6"/>
    </row>
    <row r="1882" hidden="1">
      <c r="A1882" s="31"/>
      <c r="B1882" s="14"/>
      <c r="C1882" s="14"/>
      <c r="D1882" s="6"/>
      <c r="E1882" s="14"/>
      <c r="F1882" s="25"/>
      <c r="G1882" s="6"/>
      <c r="H1882" s="6"/>
      <c r="I1882" s="19"/>
      <c r="J1882" s="50"/>
      <c r="K1882" s="58"/>
      <c r="L1882" s="6" t="s">
        <v>655</v>
      </c>
      <c r="M1882" s="52" t="s">
        <v>655</v>
      </c>
      <c r="N1882" s="53" t="s">
        <v>655</v>
      </c>
      <c r="O1882" s="6"/>
      <c r="P1882" s="6"/>
      <c r="Q1882" s="6" t="str">
        <f t="shared" si="1"/>
        <v>#N/A</v>
      </c>
      <c r="R1882" s="6"/>
    </row>
    <row r="1883" hidden="1">
      <c r="A1883" s="31"/>
      <c r="B1883" s="14"/>
      <c r="C1883" s="14"/>
      <c r="D1883" s="6"/>
      <c r="E1883" s="14"/>
      <c r="F1883" s="25"/>
      <c r="G1883" s="6"/>
      <c r="H1883" s="6"/>
      <c r="I1883" s="19"/>
      <c r="J1883" s="50"/>
      <c r="K1883" s="58"/>
      <c r="L1883" s="6" t="s">
        <v>655</v>
      </c>
      <c r="M1883" s="52" t="s">
        <v>655</v>
      </c>
      <c r="N1883" s="53" t="s">
        <v>655</v>
      </c>
      <c r="O1883" s="6"/>
      <c r="P1883" s="6"/>
      <c r="Q1883" s="6" t="str">
        <f t="shared" si="1"/>
        <v>#N/A</v>
      </c>
      <c r="R1883" s="6"/>
    </row>
    <row r="1884" hidden="1">
      <c r="A1884" s="31"/>
      <c r="B1884" s="14"/>
      <c r="C1884" s="14"/>
      <c r="D1884" s="6"/>
      <c r="E1884" s="14"/>
      <c r="F1884" s="25"/>
      <c r="G1884" s="6"/>
      <c r="H1884" s="6"/>
      <c r="I1884" s="19"/>
      <c r="J1884" s="50"/>
      <c r="K1884" s="58"/>
      <c r="L1884" s="6" t="s">
        <v>655</v>
      </c>
      <c r="M1884" s="52" t="s">
        <v>655</v>
      </c>
      <c r="N1884" s="53" t="s">
        <v>655</v>
      </c>
      <c r="O1884" s="6"/>
      <c r="P1884" s="6"/>
      <c r="Q1884" s="6" t="str">
        <f t="shared" si="1"/>
        <v>#N/A</v>
      </c>
      <c r="R1884" s="6"/>
    </row>
    <row r="1885" hidden="1">
      <c r="A1885" s="31"/>
      <c r="B1885" s="14"/>
      <c r="C1885" s="14"/>
      <c r="D1885" s="6"/>
      <c r="E1885" s="14"/>
      <c r="F1885" s="25"/>
      <c r="G1885" s="6"/>
      <c r="H1885" s="6"/>
      <c r="I1885" s="19"/>
      <c r="J1885" s="50"/>
      <c r="K1885" s="58"/>
      <c r="L1885" s="6" t="s">
        <v>655</v>
      </c>
      <c r="M1885" s="52" t="s">
        <v>655</v>
      </c>
      <c r="N1885" s="53" t="s">
        <v>655</v>
      </c>
      <c r="O1885" s="6"/>
      <c r="P1885" s="6"/>
      <c r="Q1885" s="6" t="str">
        <f t="shared" si="1"/>
        <v>#N/A</v>
      </c>
      <c r="R1885" s="6"/>
    </row>
    <row r="1886" hidden="1">
      <c r="A1886" s="31"/>
      <c r="B1886" s="14"/>
      <c r="C1886" s="14"/>
      <c r="D1886" s="6"/>
      <c r="E1886" s="14"/>
      <c r="F1886" s="25"/>
      <c r="G1886" s="6"/>
      <c r="H1886" s="6"/>
      <c r="I1886" s="19"/>
      <c r="J1886" s="50"/>
      <c r="K1886" s="58"/>
      <c r="L1886" s="6" t="s">
        <v>655</v>
      </c>
      <c r="M1886" s="52" t="s">
        <v>655</v>
      </c>
      <c r="N1886" s="53" t="s">
        <v>655</v>
      </c>
      <c r="O1886" s="6"/>
      <c r="P1886" s="6"/>
      <c r="Q1886" s="6" t="str">
        <f t="shared" si="1"/>
        <v>#N/A</v>
      </c>
      <c r="R1886" s="6"/>
    </row>
    <row r="1887" hidden="1">
      <c r="A1887" s="31"/>
      <c r="B1887" s="14"/>
      <c r="C1887" s="14"/>
      <c r="D1887" s="6"/>
      <c r="E1887" s="14"/>
      <c r="F1887" s="25"/>
      <c r="G1887" s="6"/>
      <c r="H1887" s="6"/>
      <c r="I1887" s="19"/>
      <c r="J1887" s="50"/>
      <c r="K1887" s="58"/>
      <c r="L1887" s="6" t="s">
        <v>655</v>
      </c>
      <c r="M1887" s="52" t="s">
        <v>655</v>
      </c>
      <c r="N1887" s="53" t="s">
        <v>655</v>
      </c>
      <c r="O1887" s="6"/>
      <c r="P1887" s="6"/>
      <c r="Q1887" s="6" t="str">
        <f t="shared" si="1"/>
        <v>#N/A</v>
      </c>
      <c r="R1887" s="6"/>
    </row>
    <row r="1888" hidden="1">
      <c r="A1888" s="31"/>
      <c r="B1888" s="14"/>
      <c r="C1888" s="14"/>
      <c r="D1888" s="6"/>
      <c r="E1888" s="14"/>
      <c r="F1888" s="25"/>
      <c r="G1888" s="6"/>
      <c r="H1888" s="6"/>
      <c r="I1888" s="19"/>
      <c r="J1888" s="50"/>
      <c r="K1888" s="58"/>
      <c r="L1888" s="6" t="s">
        <v>655</v>
      </c>
      <c r="M1888" s="52" t="s">
        <v>655</v>
      </c>
      <c r="N1888" s="53" t="s">
        <v>655</v>
      </c>
      <c r="O1888" s="6"/>
      <c r="P1888" s="6"/>
      <c r="Q1888" s="6" t="str">
        <f t="shared" si="1"/>
        <v>#N/A</v>
      </c>
      <c r="R1888" s="6"/>
    </row>
    <row r="1889" hidden="1">
      <c r="A1889" s="31"/>
      <c r="B1889" s="14"/>
      <c r="C1889" s="14"/>
      <c r="D1889" s="6"/>
      <c r="E1889" s="14"/>
      <c r="F1889" s="25"/>
      <c r="G1889" s="6"/>
      <c r="H1889" s="6"/>
      <c r="I1889" s="19"/>
      <c r="J1889" s="50"/>
      <c r="K1889" s="58"/>
      <c r="L1889" s="6" t="s">
        <v>655</v>
      </c>
      <c r="M1889" s="52" t="s">
        <v>655</v>
      </c>
      <c r="N1889" s="53" t="s">
        <v>655</v>
      </c>
      <c r="O1889" s="6"/>
      <c r="P1889" s="6"/>
      <c r="Q1889" s="6" t="str">
        <f t="shared" si="1"/>
        <v>#N/A</v>
      </c>
      <c r="R1889" s="6"/>
    </row>
    <row r="1890" hidden="1">
      <c r="A1890" s="31"/>
      <c r="B1890" s="14"/>
      <c r="C1890" s="14"/>
      <c r="D1890" s="6"/>
      <c r="E1890" s="14"/>
      <c r="F1890" s="25"/>
      <c r="G1890" s="6"/>
      <c r="H1890" s="6"/>
      <c r="I1890" s="19"/>
      <c r="J1890" s="50"/>
      <c r="K1890" s="58"/>
      <c r="L1890" s="6" t="s">
        <v>655</v>
      </c>
      <c r="M1890" s="52" t="s">
        <v>655</v>
      </c>
      <c r="N1890" s="53" t="s">
        <v>655</v>
      </c>
      <c r="O1890" s="6"/>
      <c r="P1890" s="6"/>
      <c r="Q1890" s="6" t="str">
        <f t="shared" si="1"/>
        <v>#N/A</v>
      </c>
      <c r="R1890" s="6"/>
    </row>
    <row r="1891" hidden="1">
      <c r="A1891" s="31"/>
      <c r="B1891" s="14"/>
      <c r="C1891" s="14"/>
      <c r="D1891" s="6"/>
      <c r="E1891" s="14"/>
      <c r="F1891" s="25"/>
      <c r="G1891" s="6"/>
      <c r="H1891" s="6"/>
      <c r="I1891" s="19"/>
      <c r="J1891" s="50"/>
      <c r="K1891" s="58"/>
      <c r="L1891" s="6" t="s">
        <v>655</v>
      </c>
      <c r="M1891" s="52" t="s">
        <v>655</v>
      </c>
      <c r="N1891" s="53" t="s">
        <v>655</v>
      </c>
      <c r="O1891" s="6"/>
      <c r="P1891" s="6"/>
      <c r="Q1891" s="6" t="str">
        <f t="shared" si="1"/>
        <v>#N/A</v>
      </c>
      <c r="R1891" s="6"/>
    </row>
    <row r="1892" hidden="1">
      <c r="A1892" s="31"/>
      <c r="B1892" s="14"/>
      <c r="C1892" s="14"/>
      <c r="D1892" s="6"/>
      <c r="E1892" s="14"/>
      <c r="F1892" s="25"/>
      <c r="G1892" s="6"/>
      <c r="H1892" s="6"/>
      <c r="I1892" s="19"/>
      <c r="J1892" s="50"/>
      <c r="K1892" s="58"/>
      <c r="L1892" s="6" t="s">
        <v>655</v>
      </c>
      <c r="M1892" s="52" t="s">
        <v>655</v>
      </c>
      <c r="N1892" s="53" t="s">
        <v>655</v>
      </c>
      <c r="O1892" s="6"/>
      <c r="P1892" s="6"/>
      <c r="Q1892" s="6" t="str">
        <f t="shared" si="1"/>
        <v>#N/A</v>
      </c>
      <c r="R1892" s="6"/>
    </row>
    <row r="1893" hidden="1">
      <c r="A1893" s="31"/>
      <c r="B1893" s="14"/>
      <c r="C1893" s="14"/>
      <c r="D1893" s="6"/>
      <c r="E1893" s="14"/>
      <c r="F1893" s="25"/>
      <c r="G1893" s="6"/>
      <c r="H1893" s="6"/>
      <c r="I1893" s="19"/>
      <c r="J1893" s="50"/>
      <c r="K1893" s="58"/>
      <c r="L1893" s="6" t="s">
        <v>655</v>
      </c>
      <c r="M1893" s="52" t="s">
        <v>655</v>
      </c>
      <c r="N1893" s="53" t="s">
        <v>655</v>
      </c>
      <c r="O1893" s="6"/>
      <c r="P1893" s="6"/>
      <c r="Q1893" s="6" t="str">
        <f t="shared" si="1"/>
        <v>#N/A</v>
      </c>
      <c r="R1893" s="6"/>
    </row>
    <row r="1894" hidden="1">
      <c r="A1894" s="31"/>
      <c r="B1894" s="14"/>
      <c r="C1894" s="14"/>
      <c r="D1894" s="6"/>
      <c r="E1894" s="14"/>
      <c r="F1894" s="25"/>
      <c r="G1894" s="6"/>
      <c r="H1894" s="6"/>
      <c r="I1894" s="19"/>
      <c r="J1894" s="50"/>
      <c r="K1894" s="58"/>
      <c r="L1894" s="6" t="s">
        <v>655</v>
      </c>
      <c r="M1894" s="52" t="s">
        <v>655</v>
      </c>
      <c r="N1894" s="53" t="s">
        <v>655</v>
      </c>
      <c r="O1894" s="6"/>
      <c r="P1894" s="6"/>
      <c r="Q1894" s="6" t="str">
        <f t="shared" si="1"/>
        <v>#N/A</v>
      </c>
      <c r="R1894" s="6"/>
    </row>
    <row r="1895" hidden="1">
      <c r="A1895" s="31"/>
      <c r="B1895" s="14"/>
      <c r="C1895" s="14"/>
      <c r="D1895" s="6"/>
      <c r="E1895" s="14"/>
      <c r="F1895" s="25"/>
      <c r="G1895" s="6"/>
      <c r="H1895" s="6"/>
      <c r="I1895" s="19"/>
      <c r="J1895" s="50"/>
      <c r="K1895" s="58"/>
      <c r="L1895" s="6" t="s">
        <v>655</v>
      </c>
      <c r="M1895" s="52" t="s">
        <v>655</v>
      </c>
      <c r="N1895" s="53" t="s">
        <v>655</v>
      </c>
      <c r="O1895" s="6"/>
      <c r="P1895" s="6"/>
      <c r="Q1895" s="6" t="str">
        <f t="shared" si="1"/>
        <v>#N/A</v>
      </c>
      <c r="R1895" s="6"/>
    </row>
    <row r="1896" hidden="1">
      <c r="A1896" s="31"/>
      <c r="B1896" s="14"/>
      <c r="C1896" s="14"/>
      <c r="D1896" s="6"/>
      <c r="E1896" s="14"/>
      <c r="F1896" s="25"/>
      <c r="G1896" s="6"/>
      <c r="H1896" s="6"/>
      <c r="I1896" s="19"/>
      <c r="J1896" s="50"/>
      <c r="K1896" s="58"/>
      <c r="L1896" s="6" t="s">
        <v>655</v>
      </c>
      <c r="M1896" s="52" t="s">
        <v>655</v>
      </c>
      <c r="N1896" s="53" t="s">
        <v>655</v>
      </c>
      <c r="O1896" s="6"/>
      <c r="P1896" s="6"/>
      <c r="Q1896" s="6" t="str">
        <f t="shared" si="1"/>
        <v>#N/A</v>
      </c>
      <c r="R1896" s="6"/>
    </row>
    <row r="1897" hidden="1">
      <c r="A1897" s="31"/>
      <c r="B1897" s="14"/>
      <c r="C1897" s="14"/>
      <c r="D1897" s="6"/>
      <c r="E1897" s="14"/>
      <c r="F1897" s="25"/>
      <c r="G1897" s="6"/>
      <c r="H1897" s="6"/>
      <c r="I1897" s="19"/>
      <c r="J1897" s="50"/>
      <c r="K1897" s="58"/>
      <c r="L1897" s="6" t="s">
        <v>655</v>
      </c>
      <c r="M1897" s="52" t="s">
        <v>655</v>
      </c>
      <c r="N1897" s="53" t="s">
        <v>655</v>
      </c>
      <c r="O1897" s="6"/>
      <c r="P1897" s="6"/>
      <c r="Q1897" s="6" t="str">
        <f t="shared" si="1"/>
        <v>#N/A</v>
      </c>
      <c r="R1897" s="6"/>
    </row>
    <row r="1898" hidden="1">
      <c r="A1898" s="31"/>
      <c r="B1898" s="14"/>
      <c r="C1898" s="14"/>
      <c r="D1898" s="6"/>
      <c r="E1898" s="14"/>
      <c r="F1898" s="25"/>
      <c r="G1898" s="6"/>
      <c r="H1898" s="6"/>
      <c r="I1898" s="19"/>
      <c r="J1898" s="50"/>
      <c r="K1898" s="58"/>
      <c r="L1898" s="6" t="s">
        <v>655</v>
      </c>
      <c r="M1898" s="52" t="s">
        <v>655</v>
      </c>
      <c r="N1898" s="53" t="s">
        <v>655</v>
      </c>
      <c r="O1898" s="6"/>
      <c r="P1898" s="6"/>
      <c r="Q1898" s="6" t="str">
        <f t="shared" si="1"/>
        <v>#N/A</v>
      </c>
      <c r="R1898" s="6"/>
    </row>
    <row r="1899" hidden="1">
      <c r="A1899" s="31"/>
      <c r="B1899" s="14"/>
      <c r="C1899" s="14"/>
      <c r="D1899" s="6"/>
      <c r="E1899" s="14"/>
      <c r="F1899" s="25"/>
      <c r="G1899" s="6"/>
      <c r="H1899" s="6"/>
      <c r="I1899" s="19"/>
      <c r="J1899" s="50"/>
      <c r="K1899" s="58"/>
      <c r="L1899" s="6" t="s">
        <v>655</v>
      </c>
      <c r="M1899" s="52" t="s">
        <v>655</v>
      </c>
      <c r="N1899" s="53" t="s">
        <v>655</v>
      </c>
      <c r="O1899" s="6"/>
      <c r="P1899" s="6"/>
      <c r="Q1899" s="6" t="str">
        <f t="shared" si="1"/>
        <v>#N/A</v>
      </c>
      <c r="R1899" s="6"/>
    </row>
    <row r="1900" hidden="1">
      <c r="A1900" s="31"/>
      <c r="B1900" s="14"/>
      <c r="C1900" s="14"/>
      <c r="D1900" s="6"/>
      <c r="E1900" s="14"/>
      <c r="F1900" s="25"/>
      <c r="G1900" s="6"/>
      <c r="H1900" s="6"/>
      <c r="I1900" s="19"/>
      <c r="J1900" s="50"/>
      <c r="K1900" s="58"/>
      <c r="L1900" s="6" t="s">
        <v>655</v>
      </c>
      <c r="M1900" s="52" t="s">
        <v>655</v>
      </c>
      <c r="N1900" s="53" t="s">
        <v>655</v>
      </c>
      <c r="O1900" s="6"/>
      <c r="P1900" s="6"/>
      <c r="Q1900" s="6" t="str">
        <f t="shared" si="1"/>
        <v>#N/A</v>
      </c>
      <c r="R1900" s="6"/>
    </row>
    <row r="1901" hidden="1">
      <c r="A1901" s="31"/>
      <c r="B1901" s="14"/>
      <c r="C1901" s="14"/>
      <c r="D1901" s="6"/>
      <c r="E1901" s="14"/>
      <c r="F1901" s="25"/>
      <c r="G1901" s="6"/>
      <c r="H1901" s="6"/>
      <c r="I1901" s="19"/>
      <c r="J1901" s="50"/>
      <c r="K1901" s="58"/>
      <c r="L1901" s="6" t="s">
        <v>655</v>
      </c>
      <c r="M1901" s="52" t="s">
        <v>655</v>
      </c>
      <c r="N1901" s="53" t="s">
        <v>655</v>
      </c>
      <c r="O1901" s="6"/>
      <c r="P1901" s="6"/>
      <c r="Q1901" s="6" t="str">
        <f t="shared" si="1"/>
        <v>#N/A</v>
      </c>
      <c r="R1901" s="6"/>
    </row>
    <row r="1902" hidden="1">
      <c r="A1902" s="31"/>
      <c r="B1902" s="14"/>
      <c r="C1902" s="14"/>
      <c r="D1902" s="6"/>
      <c r="E1902" s="14"/>
      <c r="F1902" s="25"/>
      <c r="G1902" s="6"/>
      <c r="H1902" s="6"/>
      <c r="I1902" s="19"/>
      <c r="J1902" s="50"/>
      <c r="K1902" s="58"/>
      <c r="L1902" s="6" t="s">
        <v>655</v>
      </c>
      <c r="M1902" s="52" t="s">
        <v>655</v>
      </c>
      <c r="N1902" s="53" t="s">
        <v>655</v>
      </c>
      <c r="O1902" s="6"/>
      <c r="P1902" s="6"/>
      <c r="Q1902" s="6" t="str">
        <f t="shared" si="1"/>
        <v>#N/A</v>
      </c>
      <c r="R1902" s="6"/>
    </row>
    <row r="1903" hidden="1">
      <c r="A1903" s="31"/>
      <c r="B1903" s="14"/>
      <c r="C1903" s="14"/>
      <c r="D1903" s="6"/>
      <c r="E1903" s="14"/>
      <c r="F1903" s="25"/>
      <c r="G1903" s="6"/>
      <c r="H1903" s="6"/>
      <c r="I1903" s="19"/>
      <c r="J1903" s="50"/>
      <c r="K1903" s="58"/>
      <c r="L1903" s="6" t="s">
        <v>655</v>
      </c>
      <c r="M1903" s="52" t="s">
        <v>655</v>
      </c>
      <c r="N1903" s="53" t="s">
        <v>655</v>
      </c>
      <c r="O1903" s="6"/>
      <c r="P1903" s="6"/>
      <c r="Q1903" s="6" t="str">
        <f t="shared" si="1"/>
        <v>#N/A</v>
      </c>
      <c r="R1903" s="6"/>
    </row>
    <row r="1904" hidden="1">
      <c r="A1904" s="31"/>
      <c r="B1904" s="14"/>
      <c r="C1904" s="14"/>
      <c r="D1904" s="6"/>
      <c r="E1904" s="14"/>
      <c r="F1904" s="25"/>
      <c r="G1904" s="6"/>
      <c r="H1904" s="6"/>
      <c r="I1904" s="19"/>
      <c r="J1904" s="50"/>
      <c r="K1904" s="58"/>
      <c r="L1904" s="6" t="s">
        <v>655</v>
      </c>
      <c r="M1904" s="52" t="s">
        <v>655</v>
      </c>
      <c r="N1904" s="53" t="s">
        <v>655</v>
      </c>
      <c r="O1904" s="6"/>
      <c r="P1904" s="6"/>
      <c r="Q1904" s="6" t="str">
        <f t="shared" si="1"/>
        <v>#N/A</v>
      </c>
      <c r="R1904" s="6"/>
    </row>
    <row r="1905" hidden="1">
      <c r="A1905" s="31"/>
      <c r="B1905" s="14"/>
      <c r="C1905" s="14"/>
      <c r="D1905" s="6"/>
      <c r="E1905" s="14"/>
      <c r="F1905" s="25"/>
      <c r="G1905" s="6"/>
      <c r="H1905" s="6"/>
      <c r="I1905" s="19"/>
      <c r="J1905" s="50"/>
      <c r="K1905" s="58"/>
      <c r="L1905" s="6" t="s">
        <v>655</v>
      </c>
      <c r="M1905" s="52" t="s">
        <v>655</v>
      </c>
      <c r="N1905" s="53" t="s">
        <v>655</v>
      </c>
      <c r="O1905" s="6"/>
      <c r="P1905" s="6"/>
      <c r="Q1905" s="6" t="str">
        <f t="shared" si="1"/>
        <v>#N/A</v>
      </c>
      <c r="R1905" s="6"/>
    </row>
    <row r="1906" hidden="1">
      <c r="A1906" s="31"/>
      <c r="B1906" s="14"/>
      <c r="C1906" s="14"/>
      <c r="D1906" s="6"/>
      <c r="E1906" s="14"/>
      <c r="F1906" s="25"/>
      <c r="G1906" s="6"/>
      <c r="H1906" s="6"/>
      <c r="I1906" s="19"/>
      <c r="J1906" s="50"/>
      <c r="K1906" s="58"/>
      <c r="L1906" s="6" t="s">
        <v>655</v>
      </c>
      <c r="M1906" s="52" t="s">
        <v>655</v>
      </c>
      <c r="N1906" s="53" t="s">
        <v>655</v>
      </c>
      <c r="O1906" s="6"/>
      <c r="P1906" s="6"/>
      <c r="Q1906" s="6" t="str">
        <f t="shared" si="1"/>
        <v>#N/A</v>
      </c>
      <c r="R1906" s="6"/>
    </row>
    <row r="1907" hidden="1">
      <c r="A1907" s="31"/>
      <c r="B1907" s="14"/>
      <c r="C1907" s="14"/>
      <c r="D1907" s="6"/>
      <c r="E1907" s="14"/>
      <c r="F1907" s="25"/>
      <c r="G1907" s="6"/>
      <c r="H1907" s="6"/>
      <c r="I1907" s="19"/>
      <c r="J1907" s="50"/>
      <c r="K1907" s="58"/>
      <c r="L1907" s="6" t="s">
        <v>655</v>
      </c>
      <c r="M1907" s="52" t="s">
        <v>655</v>
      </c>
      <c r="N1907" s="53" t="s">
        <v>655</v>
      </c>
      <c r="O1907" s="6"/>
      <c r="P1907" s="6"/>
      <c r="Q1907" s="6" t="str">
        <f t="shared" si="1"/>
        <v>#N/A</v>
      </c>
      <c r="R1907" s="6"/>
    </row>
    <row r="1908" hidden="1">
      <c r="A1908" s="31"/>
      <c r="B1908" s="14"/>
      <c r="C1908" s="14"/>
      <c r="D1908" s="6"/>
      <c r="E1908" s="14"/>
      <c r="F1908" s="25"/>
      <c r="G1908" s="6"/>
      <c r="H1908" s="6"/>
      <c r="I1908" s="19"/>
      <c r="J1908" s="50"/>
      <c r="K1908" s="58"/>
      <c r="L1908" s="6" t="s">
        <v>655</v>
      </c>
      <c r="M1908" s="52" t="s">
        <v>655</v>
      </c>
      <c r="N1908" s="53" t="s">
        <v>655</v>
      </c>
      <c r="O1908" s="6"/>
      <c r="P1908" s="6"/>
      <c r="Q1908" s="6" t="str">
        <f t="shared" si="1"/>
        <v>#N/A</v>
      </c>
      <c r="R1908" s="6"/>
    </row>
    <row r="1909" hidden="1">
      <c r="A1909" s="31"/>
      <c r="B1909" s="14"/>
      <c r="C1909" s="14"/>
      <c r="D1909" s="6"/>
      <c r="E1909" s="14"/>
      <c r="F1909" s="25"/>
      <c r="G1909" s="6"/>
      <c r="H1909" s="6"/>
      <c r="I1909" s="19"/>
      <c r="J1909" s="50"/>
      <c r="K1909" s="58"/>
      <c r="L1909" s="6" t="s">
        <v>655</v>
      </c>
      <c r="M1909" s="52" t="s">
        <v>655</v>
      </c>
      <c r="N1909" s="53" t="s">
        <v>655</v>
      </c>
      <c r="O1909" s="6"/>
      <c r="P1909" s="6"/>
      <c r="Q1909" s="6" t="str">
        <f t="shared" si="1"/>
        <v>#N/A</v>
      </c>
      <c r="R1909" s="6"/>
    </row>
    <row r="1910" hidden="1">
      <c r="A1910" s="31"/>
      <c r="B1910" s="14"/>
      <c r="C1910" s="14"/>
      <c r="D1910" s="6"/>
      <c r="E1910" s="14"/>
      <c r="F1910" s="25"/>
      <c r="G1910" s="6"/>
      <c r="H1910" s="6"/>
      <c r="I1910" s="19"/>
      <c r="J1910" s="50"/>
      <c r="K1910" s="58"/>
      <c r="L1910" s="6" t="s">
        <v>655</v>
      </c>
      <c r="M1910" s="52" t="s">
        <v>655</v>
      </c>
      <c r="N1910" s="53" t="s">
        <v>655</v>
      </c>
      <c r="O1910" s="6"/>
      <c r="P1910" s="6"/>
      <c r="Q1910" s="6" t="str">
        <f t="shared" si="1"/>
        <v>#N/A</v>
      </c>
      <c r="R1910" s="6"/>
    </row>
    <row r="1911" hidden="1">
      <c r="A1911" s="31"/>
      <c r="B1911" s="14"/>
      <c r="C1911" s="14"/>
      <c r="D1911" s="6"/>
      <c r="E1911" s="14"/>
      <c r="F1911" s="25"/>
      <c r="G1911" s="6"/>
      <c r="H1911" s="6"/>
      <c r="I1911" s="19"/>
      <c r="J1911" s="50"/>
      <c r="K1911" s="58"/>
      <c r="L1911" s="6" t="s">
        <v>655</v>
      </c>
      <c r="M1911" s="52" t="s">
        <v>655</v>
      </c>
      <c r="N1911" s="53" t="s">
        <v>655</v>
      </c>
      <c r="O1911" s="6"/>
      <c r="P1911" s="6"/>
      <c r="Q1911" s="6" t="str">
        <f t="shared" si="1"/>
        <v>#N/A</v>
      </c>
      <c r="R1911" s="6"/>
    </row>
    <row r="1912" hidden="1">
      <c r="A1912" s="31"/>
      <c r="B1912" s="14"/>
      <c r="C1912" s="14"/>
      <c r="D1912" s="6"/>
      <c r="E1912" s="14"/>
      <c r="F1912" s="25"/>
      <c r="G1912" s="6"/>
      <c r="H1912" s="6"/>
      <c r="I1912" s="19"/>
      <c r="J1912" s="50"/>
      <c r="K1912" s="58"/>
      <c r="L1912" s="6" t="s">
        <v>655</v>
      </c>
      <c r="M1912" s="52" t="s">
        <v>655</v>
      </c>
      <c r="N1912" s="53" t="s">
        <v>655</v>
      </c>
      <c r="O1912" s="6"/>
      <c r="P1912" s="6"/>
      <c r="Q1912" s="6" t="str">
        <f t="shared" si="1"/>
        <v>#N/A</v>
      </c>
      <c r="R1912" s="6"/>
    </row>
    <row r="1913" hidden="1">
      <c r="A1913" s="31"/>
      <c r="B1913" s="14"/>
      <c r="C1913" s="14"/>
      <c r="D1913" s="6"/>
      <c r="E1913" s="14"/>
      <c r="F1913" s="25"/>
      <c r="G1913" s="6"/>
      <c r="H1913" s="6"/>
      <c r="I1913" s="19"/>
      <c r="J1913" s="50"/>
      <c r="K1913" s="58"/>
      <c r="L1913" s="6" t="s">
        <v>655</v>
      </c>
      <c r="M1913" s="52" t="s">
        <v>655</v>
      </c>
      <c r="N1913" s="53" t="s">
        <v>655</v>
      </c>
      <c r="O1913" s="6"/>
      <c r="P1913" s="6"/>
      <c r="Q1913" s="6" t="str">
        <f t="shared" si="1"/>
        <v>#N/A</v>
      </c>
      <c r="R1913" s="6"/>
    </row>
    <row r="1914" hidden="1">
      <c r="A1914" s="31"/>
      <c r="B1914" s="14"/>
      <c r="C1914" s="14"/>
      <c r="D1914" s="6"/>
      <c r="E1914" s="14"/>
      <c r="F1914" s="25"/>
      <c r="G1914" s="6"/>
      <c r="H1914" s="6"/>
      <c r="I1914" s="19"/>
      <c r="J1914" s="50"/>
      <c r="K1914" s="58"/>
      <c r="L1914" s="6" t="s">
        <v>655</v>
      </c>
      <c r="M1914" s="52" t="s">
        <v>655</v>
      </c>
      <c r="N1914" s="53" t="s">
        <v>655</v>
      </c>
      <c r="O1914" s="6"/>
      <c r="P1914" s="6"/>
      <c r="Q1914" s="6" t="str">
        <f t="shared" si="1"/>
        <v>#N/A</v>
      </c>
      <c r="R1914" s="6"/>
    </row>
    <row r="1915" hidden="1">
      <c r="A1915" s="31"/>
      <c r="B1915" s="14"/>
      <c r="C1915" s="14"/>
      <c r="D1915" s="6"/>
      <c r="E1915" s="14"/>
      <c r="F1915" s="25"/>
      <c r="G1915" s="6"/>
      <c r="H1915" s="6"/>
      <c r="I1915" s="19"/>
      <c r="J1915" s="50"/>
      <c r="K1915" s="58"/>
      <c r="L1915" s="6" t="s">
        <v>655</v>
      </c>
      <c r="M1915" s="52" t="s">
        <v>655</v>
      </c>
      <c r="N1915" s="53" t="s">
        <v>655</v>
      </c>
      <c r="O1915" s="6"/>
      <c r="P1915" s="6"/>
      <c r="Q1915" s="6" t="str">
        <f t="shared" si="1"/>
        <v>#N/A</v>
      </c>
      <c r="R1915" s="6"/>
    </row>
    <row r="1916" hidden="1">
      <c r="A1916" s="31"/>
      <c r="B1916" s="14"/>
      <c r="C1916" s="14"/>
      <c r="D1916" s="6"/>
      <c r="E1916" s="14"/>
      <c r="F1916" s="25"/>
      <c r="G1916" s="6"/>
      <c r="H1916" s="6"/>
      <c r="I1916" s="19"/>
      <c r="J1916" s="50"/>
      <c r="K1916" s="58"/>
      <c r="L1916" s="6" t="s">
        <v>655</v>
      </c>
      <c r="M1916" s="52" t="s">
        <v>655</v>
      </c>
      <c r="N1916" s="53" t="s">
        <v>655</v>
      </c>
      <c r="O1916" s="6"/>
      <c r="P1916" s="6"/>
      <c r="Q1916" s="6" t="str">
        <f t="shared" si="1"/>
        <v>#N/A</v>
      </c>
      <c r="R1916" s="6"/>
    </row>
    <row r="1917" hidden="1">
      <c r="A1917" s="31"/>
      <c r="B1917" s="14"/>
      <c r="C1917" s="14"/>
      <c r="D1917" s="6"/>
      <c r="E1917" s="14"/>
      <c r="F1917" s="25"/>
      <c r="G1917" s="6"/>
      <c r="H1917" s="6"/>
      <c r="I1917" s="19"/>
      <c r="J1917" s="50"/>
      <c r="K1917" s="58"/>
      <c r="L1917" s="6" t="s">
        <v>655</v>
      </c>
      <c r="M1917" s="52" t="s">
        <v>655</v>
      </c>
      <c r="N1917" s="53" t="s">
        <v>655</v>
      </c>
      <c r="O1917" s="6"/>
      <c r="P1917" s="6"/>
      <c r="Q1917" s="6" t="str">
        <f t="shared" si="1"/>
        <v>#N/A</v>
      </c>
      <c r="R1917" s="6"/>
    </row>
    <row r="1918" hidden="1">
      <c r="A1918" s="31"/>
      <c r="B1918" s="14"/>
      <c r="C1918" s="14"/>
      <c r="D1918" s="6"/>
      <c r="E1918" s="14"/>
      <c r="F1918" s="25"/>
      <c r="G1918" s="6"/>
      <c r="H1918" s="6"/>
      <c r="I1918" s="19"/>
      <c r="J1918" s="50"/>
      <c r="K1918" s="58"/>
      <c r="L1918" s="6" t="s">
        <v>655</v>
      </c>
      <c r="M1918" s="52" t="s">
        <v>655</v>
      </c>
      <c r="N1918" s="53" t="s">
        <v>655</v>
      </c>
      <c r="O1918" s="6"/>
      <c r="P1918" s="6"/>
      <c r="Q1918" s="6" t="str">
        <f t="shared" si="1"/>
        <v>#N/A</v>
      </c>
      <c r="R1918" s="6"/>
    </row>
    <row r="1919" hidden="1">
      <c r="A1919" s="31"/>
      <c r="B1919" s="14"/>
      <c r="C1919" s="14"/>
      <c r="D1919" s="6"/>
      <c r="E1919" s="14"/>
      <c r="F1919" s="25"/>
      <c r="G1919" s="6"/>
      <c r="H1919" s="6"/>
      <c r="I1919" s="19"/>
      <c r="J1919" s="50"/>
      <c r="K1919" s="58"/>
      <c r="L1919" s="6" t="s">
        <v>655</v>
      </c>
      <c r="M1919" s="52" t="s">
        <v>655</v>
      </c>
      <c r="N1919" s="53" t="s">
        <v>655</v>
      </c>
      <c r="O1919" s="6"/>
      <c r="P1919" s="6"/>
      <c r="Q1919" s="6" t="str">
        <f t="shared" si="1"/>
        <v>#N/A</v>
      </c>
      <c r="R1919" s="6"/>
    </row>
    <row r="1920" hidden="1">
      <c r="A1920" s="31"/>
      <c r="B1920" s="14"/>
      <c r="C1920" s="14"/>
      <c r="D1920" s="6"/>
      <c r="E1920" s="14"/>
      <c r="F1920" s="25"/>
      <c r="G1920" s="6"/>
      <c r="H1920" s="6"/>
      <c r="I1920" s="19"/>
      <c r="J1920" s="50"/>
      <c r="K1920" s="58"/>
      <c r="L1920" s="6" t="s">
        <v>655</v>
      </c>
      <c r="M1920" s="52" t="s">
        <v>655</v>
      </c>
      <c r="N1920" s="53" t="s">
        <v>655</v>
      </c>
      <c r="O1920" s="6"/>
      <c r="P1920" s="6"/>
      <c r="Q1920" s="6" t="str">
        <f t="shared" si="1"/>
        <v>#N/A</v>
      </c>
      <c r="R1920" s="6"/>
    </row>
    <row r="1921" hidden="1">
      <c r="A1921" s="31"/>
      <c r="B1921" s="14"/>
      <c r="C1921" s="14"/>
      <c r="D1921" s="6"/>
      <c r="E1921" s="14"/>
      <c r="F1921" s="25"/>
      <c r="G1921" s="6"/>
      <c r="H1921" s="6"/>
      <c r="I1921" s="19"/>
      <c r="J1921" s="50"/>
      <c r="K1921" s="58"/>
      <c r="L1921" s="6" t="s">
        <v>655</v>
      </c>
      <c r="M1921" s="52" t="s">
        <v>655</v>
      </c>
      <c r="N1921" s="53" t="s">
        <v>655</v>
      </c>
      <c r="O1921" s="6"/>
      <c r="P1921" s="6"/>
      <c r="Q1921" s="6" t="str">
        <f t="shared" si="1"/>
        <v>#N/A</v>
      </c>
      <c r="R1921" s="6"/>
    </row>
    <row r="1922" hidden="1">
      <c r="A1922" s="31"/>
      <c r="B1922" s="14"/>
      <c r="C1922" s="14"/>
      <c r="D1922" s="6"/>
      <c r="E1922" s="14"/>
      <c r="F1922" s="25"/>
      <c r="G1922" s="6"/>
      <c r="H1922" s="6"/>
      <c r="I1922" s="19"/>
      <c r="J1922" s="50"/>
      <c r="K1922" s="58"/>
      <c r="L1922" s="6" t="s">
        <v>655</v>
      </c>
      <c r="M1922" s="52" t="s">
        <v>655</v>
      </c>
      <c r="N1922" s="53" t="s">
        <v>655</v>
      </c>
      <c r="O1922" s="6"/>
      <c r="P1922" s="6"/>
      <c r="Q1922" s="6" t="str">
        <f t="shared" si="1"/>
        <v>#N/A</v>
      </c>
      <c r="R1922" s="6"/>
    </row>
    <row r="1923" hidden="1">
      <c r="A1923" s="31"/>
      <c r="B1923" s="14"/>
      <c r="C1923" s="14"/>
      <c r="D1923" s="6"/>
      <c r="E1923" s="14"/>
      <c r="F1923" s="25"/>
      <c r="G1923" s="6"/>
      <c r="H1923" s="6"/>
      <c r="I1923" s="19"/>
      <c r="J1923" s="50"/>
      <c r="K1923" s="58"/>
      <c r="L1923" s="6" t="s">
        <v>655</v>
      </c>
      <c r="M1923" s="52" t="s">
        <v>655</v>
      </c>
      <c r="N1923" s="53" t="s">
        <v>655</v>
      </c>
      <c r="O1923" s="6"/>
      <c r="P1923" s="6"/>
      <c r="Q1923" s="6" t="str">
        <f t="shared" si="1"/>
        <v>#N/A</v>
      </c>
      <c r="R1923" s="6"/>
    </row>
    <row r="1924" hidden="1">
      <c r="A1924" s="31"/>
      <c r="B1924" s="14"/>
      <c r="C1924" s="14"/>
      <c r="D1924" s="6"/>
      <c r="E1924" s="14"/>
      <c r="F1924" s="25"/>
      <c r="G1924" s="6"/>
      <c r="H1924" s="6"/>
      <c r="I1924" s="19"/>
      <c r="J1924" s="50"/>
      <c r="K1924" s="58"/>
      <c r="L1924" s="6" t="s">
        <v>655</v>
      </c>
      <c r="M1924" s="52" t="s">
        <v>655</v>
      </c>
      <c r="N1924" s="53" t="s">
        <v>655</v>
      </c>
      <c r="O1924" s="6"/>
      <c r="P1924" s="6"/>
      <c r="Q1924" s="6" t="str">
        <f t="shared" si="1"/>
        <v>#N/A</v>
      </c>
      <c r="R1924" s="6"/>
    </row>
    <row r="1925" hidden="1">
      <c r="A1925" s="31"/>
      <c r="B1925" s="14"/>
      <c r="C1925" s="14"/>
      <c r="D1925" s="6"/>
      <c r="E1925" s="14"/>
      <c r="F1925" s="25"/>
      <c r="G1925" s="6"/>
      <c r="H1925" s="6"/>
      <c r="I1925" s="19"/>
      <c r="J1925" s="50"/>
      <c r="K1925" s="58"/>
      <c r="L1925" s="6" t="s">
        <v>655</v>
      </c>
      <c r="M1925" s="52" t="s">
        <v>655</v>
      </c>
      <c r="N1925" s="53" t="s">
        <v>655</v>
      </c>
      <c r="O1925" s="6"/>
      <c r="P1925" s="6"/>
      <c r="Q1925" s="6" t="str">
        <f t="shared" si="1"/>
        <v>#N/A</v>
      </c>
      <c r="R1925" s="6"/>
    </row>
    <row r="1926" hidden="1">
      <c r="A1926" s="31"/>
      <c r="B1926" s="14"/>
      <c r="C1926" s="14"/>
      <c r="D1926" s="6"/>
      <c r="E1926" s="14"/>
      <c r="F1926" s="25"/>
      <c r="G1926" s="6"/>
      <c r="H1926" s="6"/>
      <c r="I1926" s="19"/>
      <c r="J1926" s="50"/>
      <c r="K1926" s="58"/>
      <c r="L1926" s="6" t="s">
        <v>655</v>
      </c>
      <c r="M1926" s="52" t="s">
        <v>655</v>
      </c>
      <c r="N1926" s="53" t="s">
        <v>655</v>
      </c>
      <c r="O1926" s="6"/>
      <c r="P1926" s="6"/>
      <c r="Q1926" s="6" t="str">
        <f t="shared" si="1"/>
        <v>#N/A</v>
      </c>
      <c r="R1926" s="6"/>
    </row>
    <row r="1927" hidden="1">
      <c r="A1927" s="31"/>
      <c r="B1927" s="14"/>
      <c r="C1927" s="14"/>
      <c r="D1927" s="6"/>
      <c r="E1927" s="14"/>
      <c r="F1927" s="25"/>
      <c r="G1927" s="6"/>
      <c r="H1927" s="6"/>
      <c r="I1927" s="19"/>
      <c r="J1927" s="50"/>
      <c r="K1927" s="58"/>
      <c r="L1927" s="6" t="s">
        <v>655</v>
      </c>
      <c r="M1927" s="52" t="s">
        <v>655</v>
      </c>
      <c r="N1927" s="53" t="s">
        <v>655</v>
      </c>
      <c r="O1927" s="6"/>
      <c r="P1927" s="6"/>
      <c r="Q1927" s="6" t="str">
        <f t="shared" si="1"/>
        <v>#N/A</v>
      </c>
      <c r="R1927" s="6"/>
    </row>
    <row r="1928" hidden="1">
      <c r="A1928" s="31"/>
      <c r="B1928" s="14"/>
      <c r="C1928" s="14"/>
      <c r="D1928" s="6"/>
      <c r="E1928" s="14"/>
      <c r="F1928" s="25"/>
      <c r="G1928" s="6"/>
      <c r="H1928" s="6"/>
      <c r="I1928" s="19"/>
      <c r="J1928" s="50"/>
      <c r="K1928" s="58"/>
      <c r="L1928" s="6" t="s">
        <v>655</v>
      </c>
      <c r="M1928" s="52" t="s">
        <v>655</v>
      </c>
      <c r="N1928" s="53" t="s">
        <v>655</v>
      </c>
      <c r="O1928" s="6"/>
      <c r="P1928" s="6"/>
      <c r="Q1928" s="6" t="str">
        <f t="shared" si="1"/>
        <v>#N/A</v>
      </c>
      <c r="R1928" s="6"/>
    </row>
    <row r="1929" hidden="1">
      <c r="A1929" s="31"/>
      <c r="B1929" s="14"/>
      <c r="C1929" s="14"/>
      <c r="D1929" s="6"/>
      <c r="E1929" s="14"/>
      <c r="F1929" s="25"/>
      <c r="G1929" s="6"/>
      <c r="H1929" s="6"/>
      <c r="I1929" s="19"/>
      <c r="J1929" s="50"/>
      <c r="K1929" s="58"/>
      <c r="L1929" s="6" t="s">
        <v>655</v>
      </c>
      <c r="M1929" s="52" t="s">
        <v>655</v>
      </c>
      <c r="N1929" s="53" t="s">
        <v>655</v>
      </c>
      <c r="O1929" s="6"/>
      <c r="P1929" s="6"/>
      <c r="Q1929" s="6" t="str">
        <f t="shared" si="1"/>
        <v>#N/A</v>
      </c>
      <c r="R1929" s="6"/>
    </row>
    <row r="1930" hidden="1">
      <c r="A1930" s="31"/>
      <c r="B1930" s="14"/>
      <c r="C1930" s="14"/>
      <c r="D1930" s="6"/>
      <c r="E1930" s="14"/>
      <c r="F1930" s="25"/>
      <c r="G1930" s="6"/>
      <c r="H1930" s="6"/>
      <c r="I1930" s="19"/>
      <c r="J1930" s="50"/>
      <c r="K1930" s="58"/>
      <c r="L1930" s="6" t="s">
        <v>655</v>
      </c>
      <c r="M1930" s="52" t="s">
        <v>655</v>
      </c>
      <c r="N1930" s="53" t="s">
        <v>655</v>
      </c>
      <c r="O1930" s="6"/>
      <c r="P1930" s="6"/>
      <c r="Q1930" s="6" t="str">
        <f t="shared" si="1"/>
        <v>#N/A</v>
      </c>
      <c r="R1930" s="6"/>
    </row>
    <row r="1931" hidden="1">
      <c r="A1931" s="31"/>
      <c r="B1931" s="14"/>
      <c r="C1931" s="14"/>
      <c r="D1931" s="6"/>
      <c r="E1931" s="14"/>
      <c r="F1931" s="25"/>
      <c r="G1931" s="6"/>
      <c r="H1931" s="6"/>
      <c r="I1931" s="19"/>
      <c r="J1931" s="50"/>
      <c r="K1931" s="58"/>
      <c r="L1931" s="6" t="s">
        <v>655</v>
      </c>
      <c r="M1931" s="52" t="s">
        <v>655</v>
      </c>
      <c r="N1931" s="53" t="s">
        <v>655</v>
      </c>
      <c r="O1931" s="6"/>
      <c r="P1931" s="6"/>
      <c r="Q1931" s="6" t="str">
        <f t="shared" si="1"/>
        <v>#N/A</v>
      </c>
      <c r="R1931" s="6"/>
    </row>
    <row r="1932" hidden="1">
      <c r="A1932" s="31"/>
      <c r="B1932" s="14"/>
      <c r="C1932" s="14"/>
      <c r="D1932" s="6"/>
      <c r="E1932" s="14"/>
      <c r="F1932" s="25"/>
      <c r="G1932" s="6"/>
      <c r="H1932" s="6"/>
      <c r="I1932" s="19"/>
      <c r="J1932" s="50"/>
      <c r="K1932" s="58"/>
      <c r="L1932" s="6" t="s">
        <v>655</v>
      </c>
      <c r="M1932" s="52" t="s">
        <v>655</v>
      </c>
      <c r="N1932" s="53" t="s">
        <v>655</v>
      </c>
      <c r="O1932" s="6"/>
      <c r="P1932" s="6"/>
      <c r="Q1932" s="6" t="str">
        <f t="shared" si="1"/>
        <v>#N/A</v>
      </c>
      <c r="R1932" s="6"/>
    </row>
    <row r="1933" hidden="1">
      <c r="A1933" s="31"/>
      <c r="B1933" s="14"/>
      <c r="C1933" s="14"/>
      <c r="D1933" s="6"/>
      <c r="E1933" s="14"/>
      <c r="F1933" s="25"/>
      <c r="G1933" s="6"/>
      <c r="H1933" s="6"/>
      <c r="I1933" s="19"/>
      <c r="J1933" s="50"/>
      <c r="K1933" s="58"/>
      <c r="L1933" s="6" t="s">
        <v>655</v>
      </c>
      <c r="M1933" s="52" t="s">
        <v>655</v>
      </c>
      <c r="N1933" s="53" t="s">
        <v>655</v>
      </c>
      <c r="O1933" s="6"/>
      <c r="P1933" s="6"/>
      <c r="Q1933" s="6" t="str">
        <f t="shared" si="1"/>
        <v>#N/A</v>
      </c>
      <c r="R1933" s="6"/>
    </row>
    <row r="1934" hidden="1">
      <c r="A1934" s="31"/>
      <c r="B1934" s="14"/>
      <c r="C1934" s="14"/>
      <c r="D1934" s="6"/>
      <c r="E1934" s="14"/>
      <c r="F1934" s="25"/>
      <c r="G1934" s="6"/>
      <c r="H1934" s="6"/>
      <c r="I1934" s="19"/>
      <c r="J1934" s="50"/>
      <c r="K1934" s="58"/>
      <c r="L1934" s="6" t="s">
        <v>655</v>
      </c>
      <c r="M1934" s="52" t="s">
        <v>655</v>
      </c>
      <c r="N1934" s="53" t="s">
        <v>655</v>
      </c>
      <c r="O1934" s="6"/>
      <c r="P1934" s="6"/>
      <c r="Q1934" s="6" t="str">
        <f t="shared" si="1"/>
        <v>#N/A</v>
      </c>
      <c r="R1934" s="6"/>
    </row>
    <row r="1935" hidden="1">
      <c r="A1935" s="31"/>
      <c r="B1935" s="14"/>
      <c r="C1935" s="14"/>
      <c r="D1935" s="6"/>
      <c r="E1935" s="14"/>
      <c r="F1935" s="25"/>
      <c r="G1935" s="6"/>
      <c r="H1935" s="6"/>
      <c r="I1935" s="19"/>
      <c r="J1935" s="50"/>
      <c r="K1935" s="58"/>
      <c r="L1935" s="6" t="s">
        <v>655</v>
      </c>
      <c r="M1935" s="52" t="s">
        <v>655</v>
      </c>
      <c r="N1935" s="53" t="s">
        <v>655</v>
      </c>
      <c r="O1935" s="6"/>
      <c r="P1935" s="6"/>
      <c r="Q1935" s="6" t="str">
        <f t="shared" si="1"/>
        <v>#N/A</v>
      </c>
      <c r="R1935" s="6"/>
    </row>
    <row r="1936" hidden="1">
      <c r="A1936" s="31"/>
      <c r="B1936" s="14"/>
      <c r="C1936" s="14"/>
      <c r="D1936" s="6"/>
      <c r="E1936" s="14"/>
      <c r="F1936" s="25"/>
      <c r="G1936" s="6"/>
      <c r="H1936" s="6"/>
      <c r="I1936" s="19"/>
      <c r="J1936" s="50"/>
      <c r="K1936" s="58"/>
      <c r="L1936" s="6" t="s">
        <v>655</v>
      </c>
      <c r="M1936" s="52" t="s">
        <v>655</v>
      </c>
      <c r="N1936" s="53" t="s">
        <v>655</v>
      </c>
      <c r="O1936" s="6"/>
      <c r="P1936" s="6"/>
      <c r="Q1936" s="6" t="str">
        <f t="shared" si="1"/>
        <v>#N/A</v>
      </c>
      <c r="R1936" s="6"/>
    </row>
    <row r="1937" hidden="1">
      <c r="A1937" s="31"/>
      <c r="B1937" s="14"/>
      <c r="C1937" s="14"/>
      <c r="D1937" s="6"/>
      <c r="E1937" s="14"/>
      <c r="F1937" s="25"/>
      <c r="G1937" s="6"/>
      <c r="H1937" s="6"/>
      <c r="I1937" s="19"/>
      <c r="J1937" s="50"/>
      <c r="K1937" s="58"/>
      <c r="L1937" s="6" t="s">
        <v>655</v>
      </c>
      <c r="M1937" s="52" t="s">
        <v>655</v>
      </c>
      <c r="N1937" s="53" t="s">
        <v>655</v>
      </c>
      <c r="O1937" s="6"/>
      <c r="P1937" s="6"/>
      <c r="Q1937" s="6" t="str">
        <f t="shared" si="1"/>
        <v>#N/A</v>
      </c>
      <c r="R1937" s="6"/>
    </row>
    <row r="1938" hidden="1">
      <c r="A1938" s="31"/>
      <c r="B1938" s="14"/>
      <c r="C1938" s="14"/>
      <c r="D1938" s="6"/>
      <c r="E1938" s="14"/>
      <c r="F1938" s="25"/>
      <c r="G1938" s="6"/>
      <c r="H1938" s="6"/>
      <c r="I1938" s="19"/>
      <c r="J1938" s="50"/>
      <c r="K1938" s="58"/>
      <c r="L1938" s="6" t="s">
        <v>655</v>
      </c>
      <c r="M1938" s="52" t="s">
        <v>655</v>
      </c>
      <c r="N1938" s="53" t="s">
        <v>655</v>
      </c>
      <c r="O1938" s="6"/>
      <c r="P1938" s="6"/>
      <c r="Q1938" s="6" t="str">
        <f t="shared" si="1"/>
        <v>#N/A</v>
      </c>
      <c r="R1938" s="6"/>
    </row>
    <row r="1939" hidden="1">
      <c r="A1939" s="31"/>
      <c r="B1939" s="14"/>
      <c r="C1939" s="14"/>
      <c r="D1939" s="6"/>
      <c r="E1939" s="14"/>
      <c r="F1939" s="25"/>
      <c r="G1939" s="6"/>
      <c r="H1939" s="6"/>
      <c r="I1939" s="19"/>
      <c r="J1939" s="50"/>
      <c r="K1939" s="58"/>
      <c r="L1939" s="6" t="s">
        <v>655</v>
      </c>
      <c r="M1939" s="52" t="s">
        <v>655</v>
      </c>
      <c r="N1939" s="53" t="s">
        <v>655</v>
      </c>
      <c r="O1939" s="6"/>
      <c r="P1939" s="6"/>
      <c r="Q1939" s="6" t="str">
        <f t="shared" si="1"/>
        <v>#N/A</v>
      </c>
      <c r="R1939" s="6"/>
    </row>
    <row r="1940" hidden="1">
      <c r="A1940" s="31"/>
      <c r="B1940" s="14"/>
      <c r="C1940" s="14"/>
      <c r="D1940" s="6"/>
      <c r="E1940" s="14"/>
      <c r="F1940" s="25"/>
      <c r="G1940" s="6"/>
      <c r="H1940" s="6"/>
      <c r="I1940" s="19"/>
      <c r="J1940" s="50"/>
      <c r="K1940" s="58"/>
      <c r="L1940" s="6" t="s">
        <v>655</v>
      </c>
      <c r="M1940" s="52" t="s">
        <v>655</v>
      </c>
      <c r="N1940" s="53" t="s">
        <v>655</v>
      </c>
      <c r="O1940" s="6"/>
      <c r="P1940" s="6"/>
      <c r="Q1940" s="6" t="str">
        <f t="shared" si="1"/>
        <v>#N/A</v>
      </c>
      <c r="R1940" s="6"/>
    </row>
    <row r="1941" hidden="1">
      <c r="A1941" s="31"/>
      <c r="B1941" s="14"/>
      <c r="C1941" s="14"/>
      <c r="D1941" s="6"/>
      <c r="E1941" s="14"/>
      <c r="F1941" s="25"/>
      <c r="G1941" s="6"/>
      <c r="H1941" s="6"/>
      <c r="I1941" s="19"/>
      <c r="J1941" s="50"/>
      <c r="K1941" s="58"/>
      <c r="L1941" s="6" t="s">
        <v>655</v>
      </c>
      <c r="M1941" s="52" t="s">
        <v>655</v>
      </c>
      <c r="N1941" s="53" t="s">
        <v>655</v>
      </c>
      <c r="O1941" s="6"/>
      <c r="P1941" s="6"/>
      <c r="Q1941" s="6" t="str">
        <f t="shared" si="1"/>
        <v>#N/A</v>
      </c>
      <c r="R1941" s="6"/>
    </row>
    <row r="1942" hidden="1">
      <c r="A1942" s="31"/>
      <c r="B1942" s="14"/>
      <c r="C1942" s="14"/>
      <c r="D1942" s="6"/>
      <c r="E1942" s="14"/>
      <c r="F1942" s="25"/>
      <c r="G1942" s="6"/>
      <c r="H1942" s="6"/>
      <c r="I1942" s="19"/>
      <c r="J1942" s="50"/>
      <c r="K1942" s="58"/>
      <c r="L1942" s="6" t="s">
        <v>655</v>
      </c>
      <c r="M1942" s="52" t="s">
        <v>655</v>
      </c>
      <c r="N1942" s="53" t="s">
        <v>655</v>
      </c>
      <c r="O1942" s="6"/>
      <c r="P1942" s="6"/>
      <c r="Q1942" s="6" t="str">
        <f t="shared" si="1"/>
        <v>#N/A</v>
      </c>
      <c r="R1942" s="6"/>
    </row>
    <row r="1943" hidden="1">
      <c r="A1943" s="31"/>
      <c r="B1943" s="14"/>
      <c r="C1943" s="14"/>
      <c r="D1943" s="6"/>
      <c r="E1943" s="14"/>
      <c r="F1943" s="25"/>
      <c r="G1943" s="6"/>
      <c r="H1943" s="6"/>
      <c r="I1943" s="19"/>
      <c r="J1943" s="50"/>
      <c r="K1943" s="58"/>
      <c r="L1943" s="6" t="s">
        <v>655</v>
      </c>
      <c r="M1943" s="52" t="s">
        <v>655</v>
      </c>
      <c r="N1943" s="53" t="s">
        <v>655</v>
      </c>
      <c r="O1943" s="6"/>
      <c r="P1943" s="6"/>
      <c r="Q1943" s="6" t="str">
        <f t="shared" si="1"/>
        <v>#N/A</v>
      </c>
      <c r="R1943" s="6"/>
    </row>
    <row r="1944" hidden="1">
      <c r="A1944" s="31"/>
      <c r="B1944" s="14"/>
      <c r="C1944" s="14"/>
      <c r="D1944" s="6"/>
      <c r="E1944" s="14"/>
      <c r="F1944" s="25"/>
      <c r="G1944" s="6"/>
      <c r="H1944" s="6"/>
      <c r="I1944" s="19"/>
      <c r="J1944" s="50"/>
      <c r="K1944" s="58"/>
      <c r="L1944" s="6" t="s">
        <v>655</v>
      </c>
      <c r="M1944" s="52" t="s">
        <v>655</v>
      </c>
      <c r="N1944" s="53" t="s">
        <v>655</v>
      </c>
      <c r="O1944" s="6"/>
      <c r="P1944" s="6"/>
      <c r="Q1944" s="6" t="str">
        <f t="shared" si="1"/>
        <v>#N/A</v>
      </c>
      <c r="R1944" s="6"/>
    </row>
    <row r="1945" hidden="1">
      <c r="A1945" s="31"/>
      <c r="B1945" s="14"/>
      <c r="C1945" s="14"/>
      <c r="D1945" s="6"/>
      <c r="E1945" s="14"/>
      <c r="F1945" s="25"/>
      <c r="G1945" s="6"/>
      <c r="H1945" s="6"/>
      <c r="I1945" s="19"/>
      <c r="J1945" s="50"/>
      <c r="K1945" s="58"/>
      <c r="L1945" s="6" t="s">
        <v>655</v>
      </c>
      <c r="M1945" s="52" t="s">
        <v>655</v>
      </c>
      <c r="N1945" s="53" t="s">
        <v>655</v>
      </c>
      <c r="O1945" s="6"/>
      <c r="P1945" s="6"/>
      <c r="Q1945" s="6" t="str">
        <f t="shared" si="1"/>
        <v>#N/A</v>
      </c>
      <c r="R1945" s="6"/>
    </row>
    <row r="1946" hidden="1">
      <c r="A1946" s="31"/>
      <c r="B1946" s="14"/>
      <c r="C1946" s="14"/>
      <c r="D1946" s="6"/>
      <c r="E1946" s="14"/>
      <c r="F1946" s="25"/>
      <c r="G1946" s="6"/>
      <c r="H1946" s="6"/>
      <c r="I1946" s="19"/>
      <c r="J1946" s="50"/>
      <c r="K1946" s="58"/>
      <c r="L1946" s="6" t="s">
        <v>655</v>
      </c>
      <c r="M1946" s="52" t="s">
        <v>655</v>
      </c>
      <c r="N1946" s="53" t="s">
        <v>655</v>
      </c>
      <c r="O1946" s="6"/>
      <c r="P1946" s="6"/>
      <c r="Q1946" s="6" t="str">
        <f t="shared" si="1"/>
        <v>#N/A</v>
      </c>
      <c r="R1946" s="6"/>
    </row>
    <row r="1947" hidden="1">
      <c r="A1947" s="31"/>
      <c r="B1947" s="14"/>
      <c r="C1947" s="14"/>
      <c r="D1947" s="6"/>
      <c r="E1947" s="14"/>
      <c r="F1947" s="25"/>
      <c r="G1947" s="6"/>
      <c r="H1947" s="6"/>
      <c r="I1947" s="19"/>
      <c r="J1947" s="50"/>
      <c r="K1947" s="58"/>
      <c r="L1947" s="6" t="s">
        <v>655</v>
      </c>
      <c r="M1947" s="52" t="s">
        <v>655</v>
      </c>
      <c r="N1947" s="53" t="s">
        <v>655</v>
      </c>
      <c r="O1947" s="6"/>
      <c r="P1947" s="6"/>
      <c r="Q1947" s="6" t="str">
        <f t="shared" si="1"/>
        <v>#N/A</v>
      </c>
      <c r="R1947" s="6"/>
    </row>
    <row r="1948" hidden="1">
      <c r="A1948" s="31"/>
      <c r="B1948" s="14"/>
      <c r="C1948" s="14"/>
      <c r="D1948" s="6"/>
      <c r="E1948" s="14"/>
      <c r="F1948" s="25"/>
      <c r="G1948" s="6"/>
      <c r="H1948" s="6"/>
      <c r="I1948" s="19"/>
      <c r="J1948" s="50"/>
      <c r="K1948" s="58"/>
      <c r="L1948" s="6" t="s">
        <v>655</v>
      </c>
      <c r="M1948" s="52" t="s">
        <v>655</v>
      </c>
      <c r="N1948" s="53" t="s">
        <v>655</v>
      </c>
      <c r="O1948" s="6"/>
      <c r="P1948" s="6"/>
      <c r="Q1948" s="6" t="str">
        <f t="shared" si="1"/>
        <v>#N/A</v>
      </c>
      <c r="R1948" s="6"/>
    </row>
    <row r="1949" hidden="1">
      <c r="A1949" s="31"/>
      <c r="B1949" s="14"/>
      <c r="C1949" s="14"/>
      <c r="D1949" s="6"/>
      <c r="E1949" s="14"/>
      <c r="F1949" s="25"/>
      <c r="G1949" s="6"/>
      <c r="H1949" s="6"/>
      <c r="I1949" s="19"/>
      <c r="J1949" s="50"/>
      <c r="K1949" s="58"/>
      <c r="L1949" s="6" t="s">
        <v>655</v>
      </c>
      <c r="M1949" s="52" t="s">
        <v>655</v>
      </c>
      <c r="N1949" s="53" t="s">
        <v>655</v>
      </c>
      <c r="O1949" s="6"/>
      <c r="P1949" s="6"/>
      <c r="Q1949" s="6" t="str">
        <f t="shared" si="1"/>
        <v>#N/A</v>
      </c>
      <c r="R1949" s="6"/>
    </row>
    <row r="1950" hidden="1">
      <c r="A1950" s="31"/>
      <c r="B1950" s="14"/>
      <c r="C1950" s="14"/>
      <c r="D1950" s="6"/>
      <c r="E1950" s="14"/>
      <c r="F1950" s="25"/>
      <c r="G1950" s="6"/>
      <c r="H1950" s="6"/>
      <c r="I1950" s="19"/>
      <c r="J1950" s="50"/>
      <c r="K1950" s="58"/>
      <c r="L1950" s="6" t="s">
        <v>655</v>
      </c>
      <c r="M1950" s="52" t="s">
        <v>655</v>
      </c>
      <c r="N1950" s="53" t="s">
        <v>655</v>
      </c>
      <c r="O1950" s="6"/>
      <c r="P1950" s="6"/>
      <c r="Q1950" s="6" t="str">
        <f t="shared" si="1"/>
        <v>#N/A</v>
      </c>
      <c r="R1950" s="6"/>
    </row>
    <row r="1951" hidden="1">
      <c r="A1951" s="31"/>
      <c r="B1951" s="14"/>
      <c r="C1951" s="14"/>
      <c r="D1951" s="6"/>
      <c r="E1951" s="14"/>
      <c r="F1951" s="25"/>
      <c r="G1951" s="6"/>
      <c r="H1951" s="6"/>
      <c r="I1951" s="19"/>
      <c r="J1951" s="50"/>
      <c r="K1951" s="58"/>
      <c r="L1951" s="6" t="s">
        <v>655</v>
      </c>
      <c r="M1951" s="52" t="s">
        <v>655</v>
      </c>
      <c r="N1951" s="53" t="s">
        <v>655</v>
      </c>
      <c r="O1951" s="6"/>
      <c r="P1951" s="6"/>
      <c r="Q1951" s="6" t="str">
        <f t="shared" si="1"/>
        <v>#N/A</v>
      </c>
      <c r="R1951" s="6"/>
    </row>
    <row r="1952" hidden="1">
      <c r="A1952" s="31"/>
      <c r="B1952" s="14"/>
      <c r="C1952" s="14"/>
      <c r="D1952" s="6"/>
      <c r="E1952" s="14"/>
      <c r="F1952" s="25"/>
      <c r="G1952" s="6"/>
      <c r="H1952" s="6"/>
      <c r="I1952" s="19"/>
      <c r="J1952" s="50"/>
      <c r="K1952" s="58"/>
      <c r="L1952" s="6" t="s">
        <v>655</v>
      </c>
      <c r="M1952" s="52" t="s">
        <v>655</v>
      </c>
      <c r="N1952" s="53" t="s">
        <v>655</v>
      </c>
      <c r="O1952" s="6"/>
      <c r="P1952" s="6"/>
      <c r="Q1952" s="6" t="str">
        <f t="shared" si="1"/>
        <v>#N/A</v>
      </c>
      <c r="R1952" s="6"/>
    </row>
    <row r="1953" hidden="1">
      <c r="A1953" s="31"/>
      <c r="B1953" s="14"/>
      <c r="C1953" s="14"/>
      <c r="D1953" s="6"/>
      <c r="E1953" s="14"/>
      <c r="F1953" s="25"/>
      <c r="G1953" s="6"/>
      <c r="H1953" s="6"/>
      <c r="I1953" s="19"/>
      <c r="J1953" s="50"/>
      <c r="K1953" s="58"/>
      <c r="L1953" s="6" t="s">
        <v>655</v>
      </c>
      <c r="M1953" s="52" t="s">
        <v>655</v>
      </c>
      <c r="N1953" s="53" t="s">
        <v>655</v>
      </c>
      <c r="O1953" s="6"/>
      <c r="P1953" s="6"/>
      <c r="Q1953" s="6" t="str">
        <f t="shared" si="1"/>
        <v>#N/A</v>
      </c>
      <c r="R1953" s="6"/>
    </row>
    <row r="1954" hidden="1">
      <c r="A1954" s="31"/>
      <c r="B1954" s="14"/>
      <c r="C1954" s="14"/>
      <c r="D1954" s="6"/>
      <c r="E1954" s="14"/>
      <c r="F1954" s="25"/>
      <c r="G1954" s="6"/>
      <c r="H1954" s="6"/>
      <c r="I1954" s="19"/>
      <c r="J1954" s="50"/>
      <c r="K1954" s="58"/>
      <c r="L1954" s="6" t="s">
        <v>655</v>
      </c>
      <c r="M1954" s="52" t="s">
        <v>655</v>
      </c>
      <c r="N1954" s="53" t="s">
        <v>655</v>
      </c>
      <c r="O1954" s="6"/>
      <c r="P1954" s="6"/>
      <c r="Q1954" s="6" t="str">
        <f t="shared" si="1"/>
        <v>#N/A</v>
      </c>
      <c r="R1954" s="6"/>
    </row>
    <row r="1955" hidden="1">
      <c r="A1955" s="31"/>
      <c r="B1955" s="14"/>
      <c r="C1955" s="14"/>
      <c r="D1955" s="6"/>
      <c r="E1955" s="14"/>
      <c r="F1955" s="25"/>
      <c r="G1955" s="6"/>
      <c r="H1955" s="6"/>
      <c r="I1955" s="19"/>
      <c r="J1955" s="50"/>
      <c r="K1955" s="58"/>
      <c r="L1955" s="6" t="s">
        <v>655</v>
      </c>
      <c r="M1955" s="52" t="s">
        <v>655</v>
      </c>
      <c r="N1955" s="53" t="s">
        <v>655</v>
      </c>
      <c r="O1955" s="6"/>
      <c r="P1955" s="6"/>
      <c r="Q1955" s="6" t="str">
        <f t="shared" si="1"/>
        <v>#N/A</v>
      </c>
      <c r="R1955" s="6"/>
    </row>
    <row r="1956" hidden="1">
      <c r="A1956" s="31"/>
      <c r="B1956" s="14"/>
      <c r="C1956" s="14"/>
      <c r="D1956" s="6"/>
      <c r="E1956" s="14"/>
      <c r="F1956" s="25"/>
      <c r="G1956" s="6"/>
      <c r="H1956" s="6"/>
      <c r="I1956" s="19"/>
      <c r="J1956" s="50"/>
      <c r="K1956" s="58"/>
      <c r="L1956" s="6" t="s">
        <v>655</v>
      </c>
      <c r="M1956" s="52" t="s">
        <v>655</v>
      </c>
      <c r="N1956" s="53" t="s">
        <v>655</v>
      </c>
      <c r="O1956" s="6"/>
      <c r="P1956" s="6"/>
      <c r="Q1956" s="6" t="str">
        <f t="shared" si="1"/>
        <v>#N/A</v>
      </c>
      <c r="R1956" s="6"/>
    </row>
    <row r="1957" hidden="1">
      <c r="A1957" s="31"/>
      <c r="B1957" s="14"/>
      <c r="C1957" s="14"/>
      <c r="D1957" s="6"/>
      <c r="E1957" s="14"/>
      <c r="F1957" s="25"/>
      <c r="G1957" s="6"/>
      <c r="H1957" s="6"/>
      <c r="I1957" s="19"/>
      <c r="J1957" s="50"/>
      <c r="K1957" s="58"/>
      <c r="L1957" s="6" t="s">
        <v>655</v>
      </c>
      <c r="M1957" s="52" t="s">
        <v>655</v>
      </c>
      <c r="N1957" s="53" t="s">
        <v>655</v>
      </c>
      <c r="O1957" s="6"/>
      <c r="P1957" s="6"/>
      <c r="Q1957" s="6" t="str">
        <f t="shared" si="1"/>
        <v>#N/A</v>
      </c>
      <c r="R1957" s="6"/>
    </row>
    <row r="1958" hidden="1">
      <c r="A1958" s="31"/>
      <c r="B1958" s="14"/>
      <c r="C1958" s="14"/>
      <c r="D1958" s="6"/>
      <c r="E1958" s="14"/>
      <c r="F1958" s="25"/>
      <c r="G1958" s="6"/>
      <c r="H1958" s="6"/>
      <c r="I1958" s="19"/>
      <c r="J1958" s="50"/>
      <c r="K1958" s="58"/>
      <c r="L1958" s="6" t="s">
        <v>655</v>
      </c>
      <c r="M1958" s="52" t="s">
        <v>655</v>
      </c>
      <c r="N1958" s="53" t="s">
        <v>655</v>
      </c>
      <c r="O1958" s="6"/>
      <c r="P1958" s="6"/>
      <c r="Q1958" s="6" t="str">
        <f t="shared" si="1"/>
        <v>#N/A</v>
      </c>
      <c r="R1958" s="6"/>
    </row>
    <row r="1959" hidden="1">
      <c r="A1959" s="31"/>
      <c r="B1959" s="14"/>
      <c r="C1959" s="14"/>
      <c r="D1959" s="6"/>
      <c r="E1959" s="14"/>
      <c r="F1959" s="25"/>
      <c r="G1959" s="6"/>
      <c r="H1959" s="6"/>
      <c r="I1959" s="19"/>
      <c r="J1959" s="50"/>
      <c r="K1959" s="58"/>
      <c r="L1959" s="6" t="s">
        <v>655</v>
      </c>
      <c r="M1959" s="52" t="s">
        <v>655</v>
      </c>
      <c r="N1959" s="53" t="s">
        <v>655</v>
      </c>
      <c r="O1959" s="6"/>
      <c r="P1959" s="6"/>
      <c r="Q1959" s="6" t="str">
        <f t="shared" si="1"/>
        <v>#N/A</v>
      </c>
      <c r="R1959" s="6"/>
    </row>
    <row r="1960" hidden="1">
      <c r="A1960" s="31"/>
      <c r="B1960" s="14"/>
      <c r="C1960" s="14"/>
      <c r="D1960" s="6"/>
      <c r="E1960" s="14"/>
      <c r="F1960" s="25"/>
      <c r="G1960" s="6"/>
      <c r="H1960" s="6"/>
      <c r="I1960" s="19"/>
      <c r="J1960" s="50"/>
      <c r="K1960" s="58"/>
      <c r="L1960" s="6" t="s">
        <v>655</v>
      </c>
      <c r="M1960" s="52" t="s">
        <v>655</v>
      </c>
      <c r="N1960" s="53" t="s">
        <v>655</v>
      </c>
      <c r="O1960" s="6"/>
      <c r="P1960" s="6"/>
      <c r="Q1960" s="6" t="str">
        <f t="shared" si="1"/>
        <v>#N/A</v>
      </c>
      <c r="R1960" s="6"/>
    </row>
    <row r="1961" hidden="1">
      <c r="A1961" s="31"/>
      <c r="B1961" s="14"/>
      <c r="C1961" s="14"/>
      <c r="D1961" s="6"/>
      <c r="E1961" s="14"/>
      <c r="F1961" s="25"/>
      <c r="G1961" s="6"/>
      <c r="H1961" s="6"/>
      <c r="I1961" s="19"/>
      <c r="J1961" s="50"/>
      <c r="K1961" s="58"/>
      <c r="L1961" s="6" t="s">
        <v>655</v>
      </c>
      <c r="M1961" s="52" t="s">
        <v>655</v>
      </c>
      <c r="N1961" s="53" t="s">
        <v>655</v>
      </c>
      <c r="O1961" s="6"/>
      <c r="P1961" s="6"/>
      <c r="Q1961" s="6" t="str">
        <f t="shared" si="1"/>
        <v>#N/A</v>
      </c>
      <c r="R1961" s="6"/>
    </row>
    <row r="1962" hidden="1">
      <c r="A1962" s="31"/>
      <c r="B1962" s="14"/>
      <c r="C1962" s="14"/>
      <c r="D1962" s="6"/>
      <c r="E1962" s="14"/>
      <c r="F1962" s="25"/>
      <c r="G1962" s="6"/>
      <c r="H1962" s="6"/>
      <c r="I1962" s="19"/>
      <c r="J1962" s="50"/>
      <c r="K1962" s="58"/>
      <c r="L1962" s="6" t="s">
        <v>655</v>
      </c>
      <c r="M1962" s="52" t="s">
        <v>655</v>
      </c>
      <c r="N1962" s="53" t="s">
        <v>655</v>
      </c>
      <c r="O1962" s="6"/>
      <c r="P1962" s="6"/>
      <c r="Q1962" s="6" t="str">
        <f t="shared" si="1"/>
        <v>#N/A</v>
      </c>
      <c r="R1962" s="6"/>
    </row>
    <row r="1963" hidden="1">
      <c r="A1963" s="31"/>
      <c r="B1963" s="14"/>
      <c r="C1963" s="14"/>
      <c r="D1963" s="6"/>
      <c r="E1963" s="14"/>
      <c r="F1963" s="25"/>
      <c r="G1963" s="6"/>
      <c r="H1963" s="6"/>
      <c r="I1963" s="19"/>
      <c r="J1963" s="50"/>
      <c r="K1963" s="58"/>
      <c r="L1963" s="6" t="s">
        <v>655</v>
      </c>
      <c r="M1963" s="52" t="s">
        <v>655</v>
      </c>
      <c r="N1963" s="53" t="s">
        <v>655</v>
      </c>
      <c r="O1963" s="6"/>
      <c r="P1963" s="6"/>
      <c r="Q1963" s="6" t="str">
        <f t="shared" si="1"/>
        <v>#N/A</v>
      </c>
      <c r="R1963" s="6"/>
    </row>
    <row r="1964" hidden="1">
      <c r="A1964" s="31"/>
      <c r="B1964" s="14"/>
      <c r="C1964" s="14"/>
      <c r="D1964" s="6"/>
      <c r="E1964" s="14"/>
      <c r="F1964" s="25"/>
      <c r="G1964" s="6"/>
      <c r="H1964" s="6"/>
      <c r="I1964" s="19"/>
      <c r="J1964" s="50"/>
      <c r="K1964" s="58"/>
      <c r="L1964" s="6" t="s">
        <v>655</v>
      </c>
      <c r="M1964" s="52" t="s">
        <v>655</v>
      </c>
      <c r="N1964" s="53" t="s">
        <v>655</v>
      </c>
      <c r="O1964" s="6"/>
      <c r="P1964" s="6"/>
      <c r="Q1964" s="6" t="str">
        <f t="shared" si="1"/>
        <v>#N/A</v>
      </c>
      <c r="R1964" s="6"/>
    </row>
    <row r="1965" hidden="1">
      <c r="A1965" s="31"/>
      <c r="B1965" s="14"/>
      <c r="C1965" s="14"/>
      <c r="D1965" s="6"/>
      <c r="E1965" s="14"/>
      <c r="F1965" s="25"/>
      <c r="G1965" s="6"/>
      <c r="H1965" s="6"/>
      <c r="I1965" s="19"/>
      <c r="J1965" s="50"/>
      <c r="K1965" s="58"/>
      <c r="L1965" s="6" t="s">
        <v>655</v>
      </c>
      <c r="M1965" s="52" t="s">
        <v>655</v>
      </c>
      <c r="N1965" s="53" t="s">
        <v>655</v>
      </c>
      <c r="O1965" s="6"/>
      <c r="P1965" s="6"/>
      <c r="Q1965" s="6" t="str">
        <f t="shared" si="1"/>
        <v>#N/A</v>
      </c>
      <c r="R1965" s="6"/>
    </row>
    <row r="1966" hidden="1">
      <c r="A1966" s="31"/>
      <c r="B1966" s="14"/>
      <c r="C1966" s="14"/>
      <c r="D1966" s="6"/>
      <c r="E1966" s="14"/>
      <c r="F1966" s="25"/>
      <c r="G1966" s="6"/>
      <c r="H1966" s="6"/>
      <c r="I1966" s="19"/>
      <c r="J1966" s="50"/>
      <c r="K1966" s="58"/>
      <c r="L1966" s="6" t="s">
        <v>655</v>
      </c>
      <c r="M1966" s="52" t="s">
        <v>655</v>
      </c>
      <c r="N1966" s="53" t="s">
        <v>655</v>
      </c>
      <c r="O1966" s="6"/>
      <c r="P1966" s="6"/>
      <c r="Q1966" s="6" t="str">
        <f t="shared" si="1"/>
        <v>#N/A</v>
      </c>
      <c r="R1966" s="6"/>
    </row>
    <row r="1967" hidden="1">
      <c r="A1967" s="31"/>
      <c r="B1967" s="14"/>
      <c r="C1967" s="14"/>
      <c r="D1967" s="6"/>
      <c r="E1967" s="14"/>
      <c r="F1967" s="25"/>
      <c r="G1967" s="6"/>
      <c r="H1967" s="6"/>
      <c r="I1967" s="19"/>
      <c r="J1967" s="50"/>
      <c r="K1967" s="58"/>
      <c r="L1967" s="6" t="s">
        <v>655</v>
      </c>
      <c r="M1967" s="52" t="s">
        <v>655</v>
      </c>
      <c r="N1967" s="53" t="s">
        <v>655</v>
      </c>
      <c r="O1967" s="6"/>
      <c r="P1967" s="6"/>
      <c r="Q1967" s="6" t="str">
        <f t="shared" si="1"/>
        <v>#N/A</v>
      </c>
      <c r="R1967" s="6"/>
    </row>
    <row r="1968" hidden="1">
      <c r="A1968" s="31"/>
      <c r="B1968" s="14"/>
      <c r="C1968" s="14"/>
      <c r="D1968" s="6"/>
      <c r="E1968" s="14"/>
      <c r="F1968" s="25"/>
      <c r="G1968" s="6"/>
      <c r="H1968" s="6"/>
      <c r="I1968" s="19"/>
      <c r="J1968" s="50"/>
      <c r="K1968" s="58"/>
      <c r="L1968" s="6" t="s">
        <v>655</v>
      </c>
      <c r="M1968" s="52" t="s">
        <v>655</v>
      </c>
      <c r="N1968" s="53" t="s">
        <v>655</v>
      </c>
      <c r="O1968" s="6"/>
      <c r="P1968" s="6"/>
      <c r="Q1968" s="6" t="str">
        <f t="shared" si="1"/>
        <v>#N/A</v>
      </c>
      <c r="R1968" s="6"/>
    </row>
    <row r="1969" hidden="1">
      <c r="A1969" s="31"/>
      <c r="B1969" s="14"/>
      <c r="C1969" s="14"/>
      <c r="D1969" s="6"/>
      <c r="E1969" s="14"/>
      <c r="F1969" s="25"/>
      <c r="G1969" s="6"/>
      <c r="H1969" s="6"/>
      <c r="I1969" s="19"/>
      <c r="J1969" s="50"/>
      <c r="K1969" s="58"/>
      <c r="L1969" s="6" t="s">
        <v>655</v>
      </c>
      <c r="M1969" s="52" t="s">
        <v>655</v>
      </c>
      <c r="N1969" s="53" t="s">
        <v>655</v>
      </c>
      <c r="O1969" s="6"/>
      <c r="P1969" s="6"/>
      <c r="Q1969" s="6" t="str">
        <f t="shared" si="1"/>
        <v>#N/A</v>
      </c>
      <c r="R1969" s="6"/>
    </row>
    <row r="1970" hidden="1">
      <c r="A1970" s="31"/>
      <c r="B1970" s="14"/>
      <c r="C1970" s="14"/>
      <c r="D1970" s="6"/>
      <c r="E1970" s="14"/>
      <c r="F1970" s="25"/>
      <c r="G1970" s="6"/>
      <c r="H1970" s="6"/>
      <c r="I1970" s="19"/>
      <c r="J1970" s="50"/>
      <c r="K1970" s="58"/>
      <c r="L1970" s="6" t="s">
        <v>655</v>
      </c>
      <c r="M1970" s="52" t="s">
        <v>655</v>
      </c>
      <c r="N1970" s="53" t="s">
        <v>655</v>
      </c>
      <c r="O1970" s="6"/>
      <c r="P1970" s="6"/>
      <c r="Q1970" s="6" t="str">
        <f t="shared" si="1"/>
        <v>#N/A</v>
      </c>
      <c r="R1970" s="6"/>
    </row>
    <row r="1971" hidden="1">
      <c r="A1971" s="31"/>
      <c r="B1971" s="14"/>
      <c r="C1971" s="14"/>
      <c r="D1971" s="6"/>
      <c r="E1971" s="14"/>
      <c r="F1971" s="25"/>
      <c r="G1971" s="6"/>
      <c r="H1971" s="6"/>
      <c r="I1971" s="19"/>
      <c r="J1971" s="50"/>
      <c r="K1971" s="58"/>
      <c r="L1971" s="6" t="s">
        <v>655</v>
      </c>
      <c r="M1971" s="52" t="s">
        <v>655</v>
      </c>
      <c r="N1971" s="53" t="s">
        <v>655</v>
      </c>
      <c r="O1971" s="6"/>
      <c r="P1971" s="6"/>
      <c r="Q1971" s="6" t="str">
        <f t="shared" si="1"/>
        <v>#N/A</v>
      </c>
      <c r="R1971" s="6"/>
    </row>
    <row r="1972" hidden="1">
      <c r="A1972" s="31"/>
      <c r="B1972" s="14"/>
      <c r="C1972" s="14"/>
      <c r="D1972" s="6"/>
      <c r="E1972" s="14"/>
      <c r="F1972" s="25"/>
      <c r="G1972" s="6"/>
      <c r="H1972" s="6"/>
      <c r="I1972" s="19"/>
      <c r="J1972" s="50"/>
      <c r="K1972" s="58"/>
      <c r="L1972" s="6" t="s">
        <v>655</v>
      </c>
      <c r="M1972" s="52" t="s">
        <v>655</v>
      </c>
      <c r="N1972" s="53" t="s">
        <v>655</v>
      </c>
      <c r="O1972" s="6"/>
      <c r="P1972" s="6"/>
      <c r="Q1972" s="6" t="str">
        <f t="shared" si="1"/>
        <v>#N/A</v>
      </c>
      <c r="R1972" s="6"/>
    </row>
    <row r="1973" hidden="1">
      <c r="A1973" s="31"/>
      <c r="B1973" s="14"/>
      <c r="C1973" s="14"/>
      <c r="D1973" s="6"/>
      <c r="E1973" s="14"/>
      <c r="F1973" s="25"/>
      <c r="G1973" s="6"/>
      <c r="H1973" s="6"/>
      <c r="I1973" s="19"/>
      <c r="J1973" s="50"/>
      <c r="K1973" s="58"/>
      <c r="L1973" s="6" t="s">
        <v>655</v>
      </c>
      <c r="M1973" s="52" t="s">
        <v>655</v>
      </c>
      <c r="N1973" s="53" t="s">
        <v>655</v>
      </c>
      <c r="O1973" s="6"/>
      <c r="P1973" s="6"/>
      <c r="Q1973" s="6" t="str">
        <f t="shared" si="1"/>
        <v>#N/A</v>
      </c>
      <c r="R1973" s="6"/>
    </row>
    <row r="1974" hidden="1">
      <c r="A1974" s="31"/>
      <c r="B1974" s="14"/>
      <c r="C1974" s="14"/>
      <c r="D1974" s="6"/>
      <c r="E1974" s="14"/>
      <c r="F1974" s="25"/>
      <c r="G1974" s="6"/>
      <c r="H1974" s="6"/>
      <c r="I1974" s="19"/>
      <c r="J1974" s="50"/>
      <c r="K1974" s="58"/>
      <c r="L1974" s="6" t="s">
        <v>655</v>
      </c>
      <c r="M1974" s="52" t="s">
        <v>655</v>
      </c>
      <c r="N1974" s="53" t="s">
        <v>655</v>
      </c>
      <c r="O1974" s="6"/>
      <c r="P1974" s="6"/>
      <c r="Q1974" s="6" t="str">
        <f t="shared" si="1"/>
        <v>#N/A</v>
      </c>
      <c r="R1974" s="6"/>
    </row>
    <row r="1975" hidden="1">
      <c r="A1975" s="31"/>
      <c r="B1975" s="14"/>
      <c r="C1975" s="14"/>
      <c r="D1975" s="6"/>
      <c r="E1975" s="14"/>
      <c r="F1975" s="25"/>
      <c r="G1975" s="6"/>
      <c r="H1975" s="6"/>
      <c r="I1975" s="19"/>
      <c r="J1975" s="50"/>
      <c r="K1975" s="58"/>
      <c r="L1975" s="6" t="s">
        <v>655</v>
      </c>
      <c r="M1975" s="52" t="s">
        <v>655</v>
      </c>
      <c r="N1975" s="53" t="s">
        <v>655</v>
      </c>
      <c r="O1975" s="6"/>
      <c r="P1975" s="6"/>
      <c r="Q1975" s="6" t="str">
        <f t="shared" si="1"/>
        <v>#N/A</v>
      </c>
      <c r="R1975" s="6"/>
    </row>
  </sheetData>
  <autoFilter ref="$A$12:$Z$1975">
    <filterColumn colId="16">
      <filters>
        <filter val="591"/>
        <filter val="670"/>
        <filter val="551"/>
        <filter val="872"/>
        <filter val="631"/>
        <filter val="555"/>
        <filter val="632"/>
        <filter val="874"/>
        <filter val="710"/>
        <filter val="556"/>
        <filter val="875"/>
        <filter val="876"/>
        <filter val="635"/>
        <filter val="878"/>
        <filter val="759"/>
        <filter val="716"/>
        <filter val="837"/>
        <filter val="683"/>
        <filter val="563"/>
        <filter val="684"/>
        <filter val="641"/>
        <filter val="685"/>
        <filter val="566"/>
        <filter val="600"/>
        <filter val="447"/>
        <filter val="568"/>
        <filter val="569"/>
        <filter val="844"/>
        <filter val="723"/>
        <filter val="845"/>
        <filter val="604"/>
        <filter val="846"/>
        <filter val="727"/>
        <filter val="848"/>
        <filter val="607"/>
        <filter val="806"/>
        <filter val="693"/>
        <filter val="453"/>
        <filter val="574"/>
        <filter val="850"/>
        <filter val="532"/>
        <filter val="851"/>
        <filter val="1158"/>
        <filter val="533"/>
        <filter val="610"/>
        <filter val="852"/>
        <filter val="612"/>
        <filter val="854"/>
        <filter val="931"/>
        <filter val="536"/>
        <filter val="613"/>
        <filter val="657"/>
        <filter val="616"/>
        <filter val="617"/>
        <filter val="581"/>
        <filter val="584"/>
        <filter val="585"/>
        <filter val="542"/>
        <filter val="663"/>
        <filter val="543"/>
        <filter val="588"/>
        <filter val="863"/>
        <filter val="589"/>
        <filter val="864"/>
        <filter val="667"/>
        <filter val="865"/>
        <filter val="867"/>
        <filter val="868"/>
        <filter val="629"/>
        <filter val="948"/>
        <filter val="707"/>
        <filter val="708"/>
      </filters>
    </filterColumn>
  </autoFilter>
  <conditionalFormatting sqref="K14:K1900">
    <cfRule type="expression" dxfId="0" priority="1">
      <formula>K14 &lt; DATEVALUE("03.11.2025")</formula>
    </cfRule>
  </conditionalFormatting>
  <hyperlinks>
    <hyperlink r:id="rId1" location="gid=0" ref="D1"/>
    <hyperlink r:id="rId2" location="gid=796994001" ref="D3"/>
    <hyperlink r:id="rId3" location="gid=0" ref="D4"/>
    <hyperlink r:id="rId4" location="gid=0" ref="D5"/>
    <hyperlink r:id="rId5" location="gid=0" ref="D6"/>
    <hyperlink r:id="rId6" location="gid=0" ref="D7"/>
    <hyperlink r:id="rId7" location="gid=0" ref="D8"/>
    <hyperlink r:id="rId8" location="gid=0" ref="D9"/>
    <hyperlink r:id="rId9" location="gid=1222968113" ref="H14"/>
    <hyperlink r:id="rId10" location="gid=1038633275" ref="H17"/>
    <hyperlink r:id="rId11" location="gid=717172873" ref="H18"/>
    <hyperlink r:id="rId12" location="gid=2058696561" ref="H19"/>
    <hyperlink r:id="rId13" location="gid=600337697" ref="H20"/>
    <hyperlink r:id="rId14" location="gid=23825357" ref="H21"/>
    <hyperlink r:id="rId15" location="gid=1122822598" ref="H22"/>
    <hyperlink r:id="rId16" location="gid=326698304" ref="H23"/>
    <hyperlink r:id="rId17" location="gid=739392640" ref="H24"/>
    <hyperlink r:id="rId18" location="gid=891835937" ref="H25"/>
    <hyperlink r:id="rId19" location="gid=808640473" ref="H26"/>
    <hyperlink r:id="rId20" location="gid=1039816960" ref="H27"/>
    <hyperlink r:id="rId21" location="gid=1117601488" ref="H28"/>
    <hyperlink r:id="rId22" location="gid=77612996" ref="H29"/>
    <hyperlink r:id="rId23" ref="I29"/>
    <hyperlink r:id="rId24" location="gid=1143459343" ref="H30"/>
    <hyperlink r:id="rId25" location="gid=1112644991" ref="H31"/>
    <hyperlink r:id="rId26" location="gid=1098291501" ref="H32"/>
    <hyperlink r:id="rId27" location="gid=2086114011" ref="H33"/>
    <hyperlink r:id="rId28" location="gid=1094262803" ref="H34"/>
    <hyperlink r:id="rId29" location="gid=2132720371" ref="H35"/>
    <hyperlink r:id="rId30" ref="I35"/>
    <hyperlink r:id="rId31" location="gid=1857713469" ref="H36"/>
    <hyperlink r:id="rId32" location="gid=234638124" ref="H37"/>
    <hyperlink r:id="rId33" location="gid=570396026" ref="H38"/>
    <hyperlink r:id="rId34" location="gid=418899370" ref="H39"/>
    <hyperlink r:id="rId35" location="gid=1447691158" ref="H40"/>
    <hyperlink r:id="rId36" location="gid=1447691158" ref="H41"/>
    <hyperlink r:id="rId37" location="gid=465129833" ref="H42"/>
    <hyperlink r:id="rId38" location="gid=1454312032" ref="H44"/>
    <hyperlink r:id="rId39" location="gid=1190089568" ref="H48"/>
    <hyperlink r:id="rId40" location="gid=700032418" ref="H49"/>
    <hyperlink r:id="rId41" location="gid=1830744104" ref="H50"/>
    <hyperlink r:id="rId42" location="gid=987830810" ref="H51"/>
    <hyperlink r:id="rId43" location="gid=1592533153" ref="H52"/>
    <hyperlink r:id="rId44" location="gid=2074952134" ref="H53"/>
    <hyperlink r:id="rId45" location="gid=1089584377" ref="H54"/>
    <hyperlink r:id="rId46" location="gid=1838546198" ref="H61"/>
    <hyperlink r:id="rId47" location="gid=406504917" ref="H110"/>
    <hyperlink r:id="rId48" location="gid=673886496" ref="H111"/>
    <hyperlink r:id="rId49" ref="I111"/>
    <hyperlink r:id="rId50" location="gid=1005264754" ref="H112"/>
    <hyperlink r:id="rId51" location="gid=2057787589" ref="H113"/>
    <hyperlink r:id="rId52" location="gid=566495818" ref="H114"/>
    <hyperlink r:id="rId53" location="gid=1755627096" ref="H115"/>
    <hyperlink r:id="rId54" location="gid=1460101979" ref="H116"/>
    <hyperlink r:id="rId55" location="gid=1724951288" ref="H117"/>
    <hyperlink r:id="rId56" location="gid=1645222765" ref="H118"/>
    <hyperlink r:id="rId57" location="gid=649028784" ref="H119"/>
    <hyperlink r:id="rId58" location="gid=1519561806" ref="H120"/>
    <hyperlink r:id="rId59" location="gid=1434066436" ref="H121"/>
    <hyperlink r:id="rId60" location="gid=944368290" ref="H122"/>
    <hyperlink r:id="rId61" location="gid=1462059153" ref="H123"/>
    <hyperlink r:id="rId62" location="gid=1851450243" ref="H124"/>
    <hyperlink r:id="rId63" location="gid=809581458" ref="H125"/>
    <hyperlink r:id="rId64" location="gid=1930019775" ref="H126"/>
    <hyperlink r:id="rId65" location="gid=1466023727" ref="H127"/>
    <hyperlink r:id="rId66" location="gid=779020277" ref="H128"/>
    <hyperlink r:id="rId67" location="gid=1995746861" ref="H129"/>
    <hyperlink r:id="rId68" location="gid=493360007" ref="H130"/>
    <hyperlink r:id="rId69" ref="I131"/>
    <hyperlink r:id="rId70" location="gid=1323324485" ref="H136"/>
    <hyperlink r:id="rId71" location="gid=1601148863" ref="H141"/>
    <hyperlink r:id="rId72" location="gid=483786929" ref="H142"/>
    <hyperlink r:id="rId73" location="gid=678601315" ref="H143"/>
    <hyperlink r:id="rId74" ref="I143"/>
    <hyperlink r:id="rId75" location="gid=963444236" ref="H144"/>
    <hyperlink r:id="rId76" ref="I144"/>
    <hyperlink r:id="rId77" location="gid=867799308" ref="H145"/>
    <hyperlink r:id="rId78" location="gid=1122098062" ref="H147"/>
    <hyperlink r:id="rId79" location="gid=1703085430" ref="H148"/>
    <hyperlink r:id="rId80" location="gid=1094262803" ref="H149"/>
    <hyperlink r:id="rId81" location="gid=1295057076" ref="H150"/>
    <hyperlink r:id="rId82" location="gid=1404088730" ref="H151"/>
    <hyperlink r:id="rId83" location="gid=1728236412" ref="H152"/>
    <hyperlink r:id="rId84" location="gid=1264375992" ref="H153"/>
    <hyperlink r:id="rId85" location="gid=1223406646" ref="H154"/>
    <hyperlink r:id="rId86" location="gid=994703710" ref="H155"/>
    <hyperlink r:id="rId87" location="gid=178055917" ref="H156"/>
    <hyperlink r:id="rId88" location="gid=1230967250" ref="H158"/>
    <hyperlink r:id="rId89" location="gid=1070135596" ref="H159"/>
    <hyperlink r:id="rId90" location="gid=1671517751" ref="H176"/>
    <hyperlink r:id="rId91" location="gid=2116230963" ref="H177"/>
    <hyperlink r:id="rId92" location="gid=745287457" ref="H178"/>
    <hyperlink r:id="rId93" location="gid=1483169462" ref="H179"/>
    <hyperlink r:id="rId94" location="gid=1300135145" ref="H180"/>
    <hyperlink r:id="rId95" ref="I180"/>
    <hyperlink r:id="rId96" location="gid=2011759996" ref="H181"/>
    <hyperlink r:id="rId97" ref="I181"/>
    <hyperlink r:id="rId98" location="gid=1566731730" ref="H182"/>
    <hyperlink r:id="rId99" ref="I182"/>
    <hyperlink r:id="rId100" location="gid=1014561501" ref="H183"/>
    <hyperlink r:id="rId101" ref="I183"/>
    <hyperlink r:id="rId102" location="gid=886266246" ref="H184"/>
    <hyperlink r:id="rId103" ref="I184"/>
    <hyperlink r:id="rId104" location="gid=1809572747" ref="H185"/>
    <hyperlink r:id="rId105" location="gid=2067153840" ref="H186"/>
    <hyperlink r:id="rId106" location="gid=1442718959" ref="H187"/>
    <hyperlink r:id="rId107" location="gid=821057082" ref="H188"/>
    <hyperlink r:id="rId108" location="gid=577400276" ref="H189"/>
    <hyperlink r:id="rId109" location="gid=1288909819" ref="H190"/>
    <hyperlink r:id="rId110" location="gid=1628703806" ref="H191"/>
    <hyperlink r:id="rId111" location="gid=1845109853" ref="H192"/>
    <hyperlink r:id="rId112" location="gid=1305358292" ref="H193"/>
    <hyperlink r:id="rId113" location="gid=392359480" ref="H195"/>
    <hyperlink r:id="rId114" location="gid=1120669271" ref="H196"/>
    <hyperlink r:id="rId115" location="gid=920768533" ref="H197"/>
    <hyperlink r:id="rId116" location="gid=908182805" ref="H198"/>
    <hyperlink r:id="rId117" location="gid=1311899156" ref="H199"/>
    <hyperlink r:id="rId118" location="gid=242811066" ref="H200"/>
    <hyperlink r:id="rId119" location="gid=1798082760" ref="H201"/>
    <hyperlink r:id="rId120" location="gid=462766492" ref="H204"/>
    <hyperlink r:id="rId121" location="gid=2006507373" ref="H205"/>
    <hyperlink r:id="rId122" location="gid=1232103407" ref="H206"/>
    <hyperlink r:id="rId123" location="gid=224508896" ref="H212"/>
    <hyperlink r:id="rId124" location="gid=276277917" ref="H239"/>
    <hyperlink r:id="rId125" ref="I239"/>
    <hyperlink r:id="rId126" location="gid=1312683414" ref="H240"/>
    <hyperlink r:id="rId127" ref="I240"/>
    <hyperlink r:id="rId128" location="gid=2126809757" ref="H248"/>
    <hyperlink r:id="rId129" location="gid=1037526455" ref="H252"/>
    <hyperlink r:id="rId130" location="gid=1593340955" ref="H253"/>
    <hyperlink r:id="rId131" location="gid=1429092860" ref="H255"/>
    <hyperlink r:id="rId132" location="gid=1127401829" ref="H256"/>
    <hyperlink r:id="rId133" ref="I256"/>
    <hyperlink r:id="rId134" location="gid=38060356" ref="H257"/>
    <hyperlink r:id="rId135" location="gid=440902567" ref="H278"/>
    <hyperlink r:id="rId136" location="gid=1648385259" ref="H318"/>
    <hyperlink r:id="rId137" location="gid=1357245149" ref="H334"/>
    <hyperlink r:id="rId138" location="gid=901281284" ref="H335"/>
    <hyperlink r:id="rId139" ref="I335"/>
    <hyperlink r:id="rId140" location="gid=1015756216" ref="H337"/>
    <hyperlink r:id="rId141" location="gid=894458513" ref="H339"/>
    <hyperlink r:id="rId142" location="gid=962200403" ref="H340"/>
    <hyperlink r:id="rId143" location="gid=425127641" ref="H341"/>
    <hyperlink r:id="rId144" location="gid=632356132" ref="H350"/>
    <hyperlink r:id="rId145" location="gid=1665960639" ref="H351"/>
    <hyperlink r:id="rId146" location="gid=272480543" ref="H352"/>
    <hyperlink r:id="rId147" location="gid=869183546" ref="H353"/>
    <hyperlink r:id="rId148" location="gid=2082220203" ref="H354"/>
    <hyperlink r:id="rId149" location="gid=488139747" ref="H355"/>
    <hyperlink r:id="rId150" location="gid=1355578633" ref="H356"/>
    <hyperlink r:id="rId151" location="gid=288749714" ref="H357"/>
    <hyperlink r:id="rId152" location="gid=1849856896" ref="H358"/>
    <hyperlink r:id="rId153" location="gid=1697091636" ref="H359"/>
    <hyperlink r:id="rId154" location="gid=1652446948" ref="H360"/>
    <hyperlink r:id="rId155" location="gid=981800361" ref="H361"/>
    <hyperlink r:id="rId156" location="gid=955409547" ref="H362"/>
    <hyperlink r:id="rId157" location="gid=1377920249" ref="H363"/>
    <hyperlink r:id="rId158" location="gid=1529981182" ref="H364"/>
    <hyperlink r:id="rId159" location="gid=876314098" ref="H366"/>
    <hyperlink r:id="rId160" location="gid=1666294966" ref="H367"/>
    <hyperlink r:id="rId161" location="gid=444385228" ref="H368"/>
    <hyperlink r:id="rId162" location="gid=1261418769" ref="H369"/>
    <hyperlink r:id="rId163" ref="I369"/>
    <hyperlink r:id="rId164" location="gid=808158041" ref="H370"/>
    <hyperlink r:id="rId165" ref="I370"/>
    <hyperlink r:id="rId166" location="gid=1559792467" ref="H376"/>
    <hyperlink r:id="rId167" location="gid=1430585638" ref="H377"/>
    <hyperlink r:id="rId168" ref="I377"/>
    <hyperlink r:id="rId169" location="gid=921189634" ref="H378"/>
    <hyperlink r:id="rId170" location="gid=1314726953" ref="H386"/>
    <hyperlink r:id="rId171" location="gid=1865118876" ref="H387"/>
    <hyperlink r:id="rId172" ref="I387"/>
    <hyperlink r:id="rId173" location="gid=540806573" ref="H391"/>
    <hyperlink r:id="rId174" location="gid=1318424610" ref="H403"/>
    <hyperlink r:id="rId175" location="gid=68210689" ref="H404"/>
    <hyperlink r:id="rId176" location="gid=862186919" ref="H405"/>
    <hyperlink r:id="rId177" location="gid=80969039" ref="H406"/>
    <hyperlink r:id="rId178" location="gid=1539095406" ref="H409"/>
    <hyperlink r:id="rId179" location="gid=123308300" ref="H410"/>
    <hyperlink r:id="rId180" location="gid=697664258" ref="H414"/>
    <hyperlink r:id="rId181" location="gid=2022377090" ref="H415"/>
    <hyperlink r:id="rId182" location="gid=913968712" ref="H416"/>
    <hyperlink r:id="rId183" location="gid=363363152" ref="H422"/>
    <hyperlink r:id="rId184" location="gid=799259912" ref="H424"/>
    <hyperlink r:id="rId185" location="gid=411584618" ref="H425"/>
    <hyperlink r:id="rId186" location="gid=1064873250" ref="H426"/>
    <hyperlink r:id="rId187" location="gid=489526164" ref="H433"/>
    <hyperlink r:id="rId188" ref="I433"/>
    <hyperlink r:id="rId189" location="gid=337450969" ref="H434"/>
    <hyperlink r:id="rId190" ref="I434"/>
    <hyperlink r:id="rId191" location="gid=1435875576" ref="H435"/>
    <hyperlink r:id="rId192" ref="I435"/>
    <hyperlink r:id="rId193" ref="I436"/>
    <hyperlink r:id="rId194" location="gid=141428453" ref="H437"/>
    <hyperlink r:id="rId195" location="gid=140939233" ref="H445"/>
    <hyperlink r:id="rId196" location="gid=310058684" ref="H446"/>
    <hyperlink r:id="rId197" ref="I446"/>
    <hyperlink r:id="rId198" location="gid=1145227752" ref="H447"/>
    <hyperlink r:id="rId199" location="gid=1109188996" ref="H448"/>
    <hyperlink r:id="rId200" location="gid=613124997" ref="H460"/>
    <hyperlink r:id="rId201" location="gid=2114429362" ref="H467"/>
    <hyperlink r:id="rId202" location="gid=662134191" ref="H468"/>
    <hyperlink r:id="rId203" location="gid=343288429" ref="H474"/>
    <hyperlink r:id="rId204" location="gid=1771081492" ref="H485"/>
    <hyperlink r:id="rId205" location="gid=274135139" ref="H486"/>
    <hyperlink r:id="rId206" location="gid=274135139" ref="H487"/>
    <hyperlink r:id="rId207" location="gid=274135139" ref="H488"/>
    <hyperlink r:id="rId208" location="gid=2098961178" ref="H504"/>
    <hyperlink r:id="rId209" ref="I505"/>
    <hyperlink r:id="rId210" location="gid=1251606175" ref="H511"/>
    <hyperlink r:id="rId211" location="gid=330165580" ref="H512"/>
    <hyperlink r:id="rId212" location="gid=950438285" ref="H513"/>
    <hyperlink r:id="rId213" location="gid=1703085430" ref="H514"/>
    <hyperlink r:id="rId214" location="gid=734388632" ref="H515"/>
    <hyperlink r:id="rId215" location="gid=1201519029" ref="H516"/>
    <hyperlink r:id="rId216" location="gid=251201264" ref="H517"/>
    <hyperlink r:id="rId217" location="gid=1327731705" ref="H518"/>
    <hyperlink r:id="rId218" location="gid=969577696" ref="H519"/>
    <hyperlink r:id="rId219" location="gid=1562121210" ref="H520"/>
    <hyperlink r:id="rId220" location="gid=48405114" ref="H521"/>
    <hyperlink r:id="rId221" location="gid=1469752331" ref="H526"/>
    <hyperlink r:id="rId222" location="gid=1469752331" ref="H527"/>
    <hyperlink r:id="rId223" location="gid=1179595420" ref="H528"/>
    <hyperlink r:id="rId224" location="gid=1179595420" ref="H529"/>
    <hyperlink r:id="rId225" location="gid=1179595420" ref="H530"/>
    <hyperlink r:id="rId226" location="gid=481187794" ref="H535"/>
    <hyperlink r:id="rId227" location="gid=670602752" ref="H537"/>
    <hyperlink r:id="rId228" location="gid=1882277180" ref="H538"/>
    <hyperlink r:id="rId229" location="gid=678589478" ref="H539"/>
    <hyperlink r:id="rId230" location="gid=481187794" ref="H540"/>
    <hyperlink r:id="rId231" location="gid=908346785" ref="H546"/>
    <hyperlink r:id="rId232" location="gid=952023246" ref="H547"/>
    <hyperlink r:id="rId233" ref="I547"/>
    <hyperlink r:id="rId234" location="gid=2080968173" ref="H556"/>
    <hyperlink r:id="rId235" location="gid=307470456" ref="H560"/>
    <hyperlink r:id="rId236" location="gid=76672550" ref="H561"/>
    <hyperlink r:id="rId237" ref="I561"/>
    <hyperlink r:id="rId238" location="gid=1027797639" ref="H562"/>
    <hyperlink r:id="rId239" location="gid=1284874728" ref="H563"/>
    <hyperlink r:id="rId240" location="gid=9028693" ref="H565"/>
    <hyperlink r:id="rId241" location="gid=1024106965" ref="H566"/>
    <hyperlink r:id="rId242" location="gid=1788417276" ref="H569"/>
    <hyperlink r:id="rId243" location="gid=241258397" ref="H570"/>
    <hyperlink r:id="rId244" location="gid=373322802" ref="H572"/>
    <hyperlink r:id="rId245" location="gid=612628733" ref="H573"/>
    <hyperlink r:id="rId246" location="gid=1676523530" ref="H591"/>
    <hyperlink r:id="rId247" location="gid=1484428884" ref="H592"/>
    <hyperlink r:id="rId248" location="gid=1720182899" ref="H598"/>
    <hyperlink r:id="rId249" location="gid=323323731" ref="H599"/>
    <hyperlink r:id="rId250" location="gid=1762521778" ref="H618"/>
    <hyperlink r:id="rId251" location="gid=1599271911" ref="H620"/>
    <hyperlink r:id="rId252" location="gid=117335017" ref="H621"/>
    <hyperlink r:id="rId253" location="gid=1184026835" ref="H622"/>
    <hyperlink r:id="rId254" location="gid=39413399" ref="H640"/>
    <hyperlink r:id="rId255" location="gid=428469808" ref="H641"/>
    <hyperlink r:id="rId256" location="gid=1343159930" ref="H643"/>
    <hyperlink r:id="rId257" location="gid=630818188" ref="H644"/>
    <hyperlink r:id="rId258" location="gid=1872010035" ref="H645"/>
    <hyperlink r:id="rId259" location="gid=227683737" ref="H646"/>
    <hyperlink r:id="rId260" location="gid=42376877" ref="H647"/>
    <hyperlink r:id="rId261" location="gid=654238193" ref="H655"/>
    <hyperlink r:id="rId262" location="gid=501610529" ref="H658"/>
    <hyperlink r:id="rId263" location="gid=1179595420" ref="H660"/>
    <hyperlink r:id="rId264" location="gid=867799308" ref="H661"/>
    <hyperlink r:id="rId265" location="gid=181219872" ref="H666"/>
    <hyperlink r:id="rId266" location="gid=1232288908" ref="H672"/>
    <hyperlink r:id="rId267" location="gid=1607211749" ref="H673"/>
    <hyperlink r:id="rId268" location="gid=373423726" ref="H674"/>
    <hyperlink r:id="rId269" location="gid=2126809757" ref="H675"/>
    <hyperlink r:id="rId270" location="gid=290660546" ref="H676"/>
    <hyperlink r:id="rId271" location="gid=2057403759" ref="H683"/>
    <hyperlink r:id="rId272" location="gid=1354888420" ref="H684"/>
    <hyperlink r:id="rId273" location="gid=1062247251" ref="H685"/>
    <hyperlink r:id="rId274" location="gid=1593101561" ref="H686"/>
    <hyperlink r:id="rId275" location="gid=56472241" ref="H687"/>
    <hyperlink r:id="rId276" location="gid=994638175" ref="H688"/>
    <hyperlink r:id="rId277" location="gid=1217957109" ref="H689"/>
    <hyperlink r:id="rId278" location="gid=923737212" ref="H690"/>
    <hyperlink r:id="rId279" location="gid=257429727" ref="H691"/>
    <hyperlink r:id="rId280" location="gid=1086247611" ref="H692"/>
    <hyperlink r:id="rId281" location="gid=1943197822" ref="H693"/>
    <hyperlink r:id="rId282" location="gid=598220388" ref="H694"/>
    <hyperlink r:id="rId283" location="gid=238235358" ref="H695"/>
    <hyperlink r:id="rId284" location="gid=363768853" ref="H696"/>
    <hyperlink r:id="rId285" location="gid=1165883041" ref="H697"/>
    <hyperlink r:id="rId286" location="gid=173783422" ref="H698"/>
    <hyperlink r:id="rId287" location="gid=1413670863" ref="H699"/>
    <hyperlink r:id="rId288" location="gid=325961003" ref="H700"/>
    <hyperlink r:id="rId289" location="gid=291002696" ref="H701"/>
    <hyperlink r:id="rId290" location="gid=1610263298" ref="H702"/>
    <hyperlink r:id="rId291" location="gid=1334279003" ref="H703"/>
    <hyperlink r:id="rId292" location="gid=1608828847" ref="H704"/>
    <hyperlink r:id="rId293" location="gid=1390124130" ref="H705"/>
    <hyperlink r:id="rId294" location="gid=1190352531" ref="H706"/>
    <hyperlink r:id="rId295" location="gid=828728965" ref="H707"/>
    <hyperlink r:id="rId296" location="gid=1722375014" ref="H708"/>
    <hyperlink r:id="rId297" location="gid=803822262" ref="H709"/>
    <hyperlink r:id="rId298" location="gid=1973217010" ref="H710"/>
    <hyperlink r:id="rId299" location="gid=372650495" ref="H712"/>
    <hyperlink r:id="rId300" location="gid=1742187453" ref="H713"/>
    <hyperlink r:id="rId301" location="gid=1094415968" ref="H714"/>
    <hyperlink r:id="rId302" location="gid=1490545737" ref="H715"/>
    <hyperlink r:id="rId303" location="gid=1582876076" ref="H716"/>
    <hyperlink r:id="rId304" location="gid=2123184099" ref="H717"/>
    <hyperlink r:id="rId305" location="gid=955881279" ref="H718"/>
    <hyperlink r:id="rId306" location="gid=607862402" ref="H719"/>
    <hyperlink r:id="rId307" location="gid=32132627" ref="H720"/>
    <hyperlink r:id="rId308" location="gid=335429819" ref="H721"/>
    <hyperlink r:id="rId309" location="gid=881100781" ref="H722"/>
    <hyperlink r:id="rId310" location="gid=1303982691" ref="H723"/>
    <hyperlink r:id="rId311" location="gid=1947915664" ref="H724"/>
    <hyperlink r:id="rId312" location="gid=575501291" ref="H725"/>
    <hyperlink r:id="rId313" location="gid=90787826" ref="H726"/>
    <hyperlink r:id="rId314" location="gid=1858152678" ref="H727"/>
    <hyperlink r:id="rId315" location="gid=1012385907" ref="H728"/>
    <hyperlink r:id="rId316" location="gid=168468884" ref="H729"/>
    <hyperlink r:id="rId317" location="gid=1713147169" ref="H730"/>
    <hyperlink r:id="rId318" location="gid=1554437241" ref="H731"/>
    <hyperlink r:id="rId319" location="gid=466795514" ref="H732"/>
    <hyperlink r:id="rId320" location="gid=1000508457" ref="H733"/>
    <hyperlink r:id="rId321" location="gid=1051331619" ref="H734"/>
    <hyperlink r:id="rId322" ref="I734"/>
    <hyperlink r:id="rId323" location="gid=1298340576" ref="H735"/>
    <hyperlink r:id="rId324" location="gid=55726116" ref="H736"/>
    <hyperlink r:id="rId325" location="gid=969218818" ref="H737"/>
    <hyperlink r:id="rId326" location="gid=328082788" ref="H738"/>
    <hyperlink r:id="rId327" location="gid=2042348028" ref="H739"/>
    <hyperlink r:id="rId328" location="gid=1202640333" ref="H740"/>
    <hyperlink r:id="rId329" location="gid=1325450813" ref="H741"/>
    <hyperlink r:id="rId330" location="gid=1578036964" ref="H742"/>
    <hyperlink r:id="rId331" location="gid=1517123869" ref="H743"/>
    <hyperlink r:id="rId332" location="gid=1413674534" ref="H744"/>
    <hyperlink r:id="rId333" location="gid=604357555" ref="H745"/>
    <hyperlink r:id="rId334" location="gid=2120381921" ref="H746"/>
    <hyperlink r:id="rId335" location="gid=1677110935" ref="H747"/>
    <hyperlink r:id="rId336" location="gid=1191711449" ref="H748"/>
    <hyperlink r:id="rId337" location="gid=1870096044" ref="H749"/>
    <hyperlink r:id="rId338" location="gid=1300457232" ref="H750"/>
    <hyperlink r:id="rId339" location="gid=815627436" ref="H751"/>
    <hyperlink r:id="rId340" location="gid=1927985373" ref="H752"/>
    <hyperlink r:id="rId341" location="gid=1589045795" ref="H753"/>
    <hyperlink r:id="rId342" ref="I753"/>
    <hyperlink r:id="rId343" location="gid=397817205" ref="H754"/>
    <hyperlink r:id="rId344" location="gid=84528393" ref="H755"/>
    <hyperlink r:id="rId345" location="gid=1217417878" ref="H756"/>
    <hyperlink r:id="rId346" location="gid=632665949" ref="H757"/>
    <hyperlink r:id="rId347" location="gid=1409357007" ref="H758"/>
    <hyperlink r:id="rId348" location="gid=765483752" ref="H759"/>
    <hyperlink r:id="rId349" location="gid=656187579" ref="H760"/>
    <hyperlink r:id="rId350" location="gid=1057256122" ref="H761"/>
    <hyperlink r:id="rId351" location="gid=255089364" ref="H762"/>
    <hyperlink r:id="rId352" location="gid=36908310" ref="H763"/>
    <hyperlink r:id="rId353" location="gid=947386880" ref="H764"/>
    <hyperlink r:id="rId354" location="gid=747557076" ref="H765"/>
    <hyperlink r:id="rId355" location="gid=788221100" ref="H766"/>
    <hyperlink r:id="rId356" location="gid=1984564802" ref="H767"/>
    <hyperlink r:id="rId357" location="gid=1879792750" ref="H768"/>
    <hyperlink r:id="rId358" location="gid=1880476815" ref="H769"/>
    <hyperlink r:id="rId359" location="gid=2089213196" ref="H770"/>
    <hyperlink r:id="rId360" location="gid=1956651299" ref="H771"/>
    <hyperlink r:id="rId361" ref="I771"/>
    <hyperlink r:id="rId362" location="gid=33336285" ref="H772"/>
    <hyperlink r:id="rId363" ref="I772"/>
    <hyperlink r:id="rId364" location="gid=1791563527" ref="H773"/>
    <hyperlink r:id="rId365" location="gid=683523839" ref="H774"/>
    <hyperlink r:id="rId366" ref="I774"/>
    <hyperlink r:id="rId367" location="gid=17563487" ref="H775"/>
    <hyperlink r:id="rId368" location="gid=888939104" ref="H776"/>
    <hyperlink r:id="rId369" location="gid=1430842581" ref="H777"/>
    <hyperlink r:id="rId370" location="gid=1141531368" ref="H778"/>
    <hyperlink r:id="rId371" location="gid=751430157" ref="H779"/>
    <hyperlink r:id="rId372" location="gid=1107137504" ref="H780"/>
    <hyperlink r:id="rId373" location="gid=1248381323" ref="H781"/>
    <hyperlink r:id="rId374" location="gid=964974032" ref="H782"/>
    <hyperlink r:id="rId375" location="gid=1426054658" ref="H783"/>
    <hyperlink r:id="rId376" location="gid=1086511131" ref="H784"/>
    <hyperlink r:id="rId377" location="gid=1900542966" ref="H785"/>
    <hyperlink r:id="rId378" location="gid=1000032786" ref="H786"/>
    <hyperlink r:id="rId379" location="gid=249071120" ref="H787"/>
    <hyperlink r:id="rId380" location="gid=1181793870" ref="H788"/>
    <hyperlink r:id="rId381" location="gid=1609263203" ref="H789"/>
    <hyperlink r:id="rId382" location="gid=1407301391" ref="H790"/>
    <hyperlink r:id="rId383" location="gid=1021209176" ref="H791"/>
    <hyperlink r:id="rId384" location="gid=139795987" ref="H792"/>
    <hyperlink r:id="rId385" location="gid=432585965" ref="H793"/>
    <hyperlink r:id="rId386" location="gid=1835376342" ref="H794"/>
    <hyperlink r:id="rId387" location="gid=1916178969" ref="H795"/>
    <hyperlink r:id="rId388" location="gid=640523369" ref="H796"/>
    <hyperlink r:id="rId389" location="gid=2107770933" ref="H797"/>
    <hyperlink r:id="rId390" location="gid=864081677" ref="H798"/>
    <hyperlink r:id="rId391" location="gid=763040175" ref="H799"/>
    <hyperlink r:id="rId392" location="gid=1599124365" ref="H800"/>
    <hyperlink r:id="rId393" location="gid=1268803659" ref="H801"/>
    <hyperlink r:id="rId394" location="gid=1587877211" ref="H802"/>
    <hyperlink r:id="rId395" location="gid=833062955" ref="H803"/>
    <hyperlink r:id="rId396" location="gid=760560062" ref="H804"/>
    <hyperlink r:id="rId397" location="gid=471133046" ref="H805"/>
    <hyperlink r:id="rId398" ref="I805"/>
    <hyperlink r:id="rId399" location="gid=1180712542" ref="H806"/>
    <hyperlink r:id="rId400" location="gid=1252296860" ref="H807"/>
    <hyperlink r:id="rId401" location="gid=998835814" ref="H808"/>
    <hyperlink r:id="rId402" location="gid=418314272" ref="H809"/>
    <hyperlink r:id="rId403" location="gid=617262299" ref="H810"/>
    <hyperlink r:id="rId404" location="gid=540934155" ref="H811"/>
    <hyperlink r:id="rId405" location="gid=984031511" ref="H812"/>
    <hyperlink r:id="rId406" location="gid=363267103" ref="H813"/>
    <hyperlink r:id="rId407" location="gid=537197080" ref="H814"/>
    <hyperlink r:id="rId408" location="gid=232049031" ref="H815"/>
    <hyperlink r:id="rId409" location="gid=945188652" ref="H816"/>
    <hyperlink r:id="rId410" location="gid=1715541541" ref="H817"/>
    <hyperlink r:id="rId411" location="gid=444310098" ref="H818"/>
    <hyperlink r:id="rId412" location="gid=1988948543" ref="H819"/>
    <hyperlink r:id="rId413" location="gid=1320846516" ref="H820"/>
    <hyperlink r:id="rId414" location="gid=1754531219" ref="H821"/>
    <hyperlink r:id="rId415" location="gid=478234873" ref="H822"/>
    <hyperlink r:id="rId416" location="gid=235307605" ref="H823"/>
    <hyperlink r:id="rId417" location="gid=732973558" ref="H824"/>
    <hyperlink r:id="rId418" location="gid=932084254" ref="H825"/>
    <hyperlink r:id="rId419" location="gid=2128103220" ref="H826"/>
    <hyperlink r:id="rId420" ref="I826"/>
    <hyperlink r:id="rId421" location="gid=1195206502" ref="H827"/>
    <hyperlink r:id="rId422" location="gid=988598667" ref="H828"/>
    <hyperlink r:id="rId423" location="gid=1665166606" ref="H829"/>
    <hyperlink r:id="rId424" location="gid=563761401" ref="H830"/>
    <hyperlink r:id="rId425" location="gid=2092914415" ref="H831"/>
    <hyperlink r:id="rId426" location="gid=1331480544" ref="H832"/>
    <hyperlink r:id="rId427" location="gid=1102875556" ref="H833"/>
    <hyperlink r:id="rId428" location="gid=1997450648" ref="H834"/>
    <hyperlink r:id="rId429" location="gid=79728110" ref="H835"/>
    <hyperlink r:id="rId430" location="gid=1527817991" ref="H836"/>
    <hyperlink r:id="rId431" location="gid=1504466944" ref="H837"/>
    <hyperlink r:id="rId432" location="gid=387655725" ref="H838"/>
    <hyperlink r:id="rId433" location="gid=692135392" ref="H839"/>
    <hyperlink r:id="rId434" ref="I839"/>
    <hyperlink r:id="rId435" location="gid=847490134" ref="H840"/>
    <hyperlink r:id="rId436" location="gid=943458292" ref="H841"/>
    <hyperlink r:id="rId437" ref="I841"/>
    <hyperlink r:id="rId438" location="gid=1166394533" ref="H842"/>
    <hyperlink r:id="rId439" ref="I842"/>
    <hyperlink r:id="rId440" location="gid=1407262521" ref="H843"/>
    <hyperlink r:id="rId441" ref="I843"/>
    <hyperlink r:id="rId442" location="gid=1401788865" ref="H844"/>
    <hyperlink r:id="rId443" ref="I844"/>
    <hyperlink r:id="rId444" location="gid=1455966079" ref="H845"/>
    <hyperlink r:id="rId445" location="gid=811633138" ref="H846"/>
    <hyperlink r:id="rId446" location="gid=1300345470" ref="H847"/>
    <hyperlink r:id="rId447" location="gid=1525507838" ref="H848"/>
    <hyperlink r:id="rId448" location="gid=1721879742" ref="H849"/>
    <hyperlink r:id="rId449" location="gid=1735599010" ref="H850"/>
    <hyperlink r:id="rId450" location="gid=1637195585" ref="H851"/>
    <hyperlink r:id="rId451" location="gid=1429286292" ref="H852"/>
    <hyperlink r:id="rId452" location="gid=1239547160" ref="H853"/>
    <hyperlink r:id="rId453" location="gid=989644917" ref="H854"/>
    <hyperlink r:id="rId454" location="gid=2096121583" ref="H855"/>
    <hyperlink r:id="rId455" location="gid=3034090" ref="H856"/>
    <hyperlink r:id="rId456" location="gid=1509964288" ref="H857"/>
    <hyperlink r:id="rId457" location="gid=673551977" ref="H858"/>
    <hyperlink r:id="rId458" location="gid=573547240" ref="H859"/>
    <hyperlink r:id="rId459" location="gid=1872184030" ref="H860"/>
    <hyperlink r:id="rId460" location="gid=1103814472" ref="H861"/>
    <hyperlink r:id="rId461" location="gid=1402918255" ref="H862"/>
    <hyperlink r:id="rId462" location="gid=1114468550" ref="H863"/>
    <hyperlink r:id="rId463" location="gid=198115662" ref="H864"/>
    <hyperlink r:id="rId464" location="gid=1305190320" ref="H865"/>
    <hyperlink r:id="rId465" location="gid=479418730" ref="H866"/>
    <hyperlink r:id="rId466" location="gid=1538306210" ref="H867"/>
    <hyperlink r:id="rId467" location="gid=830671407" ref="H868"/>
    <hyperlink r:id="rId468" location="gid=772910058" ref="H869"/>
    <hyperlink r:id="rId469" location="gid=1787224258" ref="H870"/>
    <hyperlink r:id="rId470" location="gid=2069894648" ref="H871"/>
    <hyperlink r:id="rId471" location="gid=1644784685" ref="H872"/>
    <hyperlink r:id="rId472" ref="I872"/>
    <hyperlink r:id="rId473" location="gid=1455430518" ref="H873"/>
    <hyperlink r:id="rId474" location="gid=617058408" ref="H874"/>
    <hyperlink r:id="rId475" ref="I874"/>
    <hyperlink r:id="rId476" location="gid=1553204611" ref="H875"/>
    <hyperlink r:id="rId477" location="gid=252316906" ref="H876"/>
    <hyperlink r:id="rId478" location="gid=798053940" ref="H877"/>
    <hyperlink r:id="rId479" location="gid=256251800" ref="H878"/>
    <hyperlink r:id="rId480" location="gid=580229704" ref="H879"/>
    <hyperlink r:id="rId481" location="gid=372457040" ref="H880"/>
    <hyperlink r:id="rId482" location="gid=1402094174" ref="H881"/>
    <hyperlink r:id="rId483" location="gid=511980375" ref="H882"/>
    <hyperlink r:id="rId484" location="gid=1656095741" ref="H883"/>
    <hyperlink r:id="rId485" location="gid=1394380200" ref="H884"/>
    <hyperlink r:id="rId486" location="gid=1203948268" ref="H885"/>
    <hyperlink r:id="rId487" location="gid=532286662" ref="H886"/>
    <hyperlink r:id="rId488" location="gid=152190080" ref="H887"/>
    <hyperlink r:id="rId489" location="gid=415706414" ref="H888"/>
    <hyperlink r:id="rId490" location="gid=1340012708" ref="H889"/>
    <hyperlink r:id="rId491" location="gid=771281495" ref="H890"/>
    <hyperlink r:id="rId492" location="gid=187611865" ref="H891"/>
    <hyperlink r:id="rId493" ref="I891"/>
    <hyperlink r:id="rId494" location="gid=113121864" ref="H892"/>
    <hyperlink r:id="rId495" location="gid=864849570" ref="H893"/>
    <hyperlink r:id="rId496" location="gid=1493713747" ref="H894"/>
    <hyperlink r:id="rId497" location="gid=590422305" ref="H895"/>
    <hyperlink r:id="rId498" location="gid=1285905712" ref="H896"/>
    <hyperlink r:id="rId499" ref="I896"/>
    <hyperlink r:id="rId500" location="gid=575728674" ref="H897"/>
    <hyperlink r:id="rId501" ref="I897"/>
    <hyperlink r:id="rId502" location="gid=282401999" ref="H898"/>
    <hyperlink r:id="rId503" location="gid=641183458" ref="H899"/>
    <hyperlink r:id="rId504" location="gid=598456710" ref="H900"/>
    <hyperlink r:id="rId505" ref="I900"/>
    <hyperlink r:id="rId506" location="gid=2017311436" ref="H901"/>
    <hyperlink r:id="rId507" ref="I901"/>
    <hyperlink r:id="rId508" location="gid=1439077148" ref="H902"/>
    <hyperlink r:id="rId509" ref="I902"/>
    <hyperlink r:id="rId510" location="gid=1846163124" ref="H903"/>
    <hyperlink r:id="rId511" location="gid=1451563730" ref="H904"/>
    <hyperlink r:id="rId512" location="gid=672785947" ref="H905"/>
    <hyperlink r:id="rId513" location="gid=756416994" ref="H906"/>
    <hyperlink r:id="rId514" location="gid=2030780082" ref="H907"/>
    <hyperlink r:id="rId515" location="gid=1207675584" ref="H908"/>
    <hyperlink r:id="rId516" location="gid=383847574" ref="H909"/>
    <hyperlink r:id="rId517" location="gid=1949661648" ref="H910"/>
    <hyperlink r:id="rId518" location="gid=829836669" ref="H911"/>
    <hyperlink r:id="rId519" location="gid=39049871" ref="H912"/>
    <hyperlink r:id="rId520" location="gid=808253211" ref="H913"/>
    <hyperlink r:id="rId521" location="gid=326389439" ref="H914"/>
    <hyperlink r:id="rId522" location="gid=1726616701" ref="H915"/>
    <hyperlink r:id="rId523" location="gid=3373357" ref="H916"/>
    <hyperlink r:id="rId524" location="gid=226411409" ref="H917"/>
    <hyperlink r:id="rId525" location="gid=1127937852" ref="H918"/>
    <hyperlink r:id="rId526" location="gid=602775546" ref="H919"/>
    <hyperlink r:id="rId527" ref="I919"/>
    <hyperlink r:id="rId528" location="gid=1734112233" ref="H920"/>
    <hyperlink r:id="rId529" ref="I920"/>
    <hyperlink r:id="rId530" location="gid=1949585083" ref="H921"/>
    <hyperlink r:id="rId531" location="gid=1530580258" ref="H922"/>
    <hyperlink r:id="rId532" location="gid=2130356176" ref="H923"/>
    <hyperlink r:id="rId533" location="gid=676192549" ref="H924"/>
    <hyperlink r:id="rId534" location="gid=1937947971" ref="H925"/>
    <hyperlink r:id="rId535" location="gid=2138822298" ref="H926"/>
    <hyperlink r:id="rId536" location="gid=188482008" ref="H927"/>
    <hyperlink r:id="rId537" location="gid=1984267459" ref="H928"/>
    <hyperlink r:id="rId538" location="gid=1480745629" ref="H929"/>
    <hyperlink r:id="rId539" location="gid=370993780" ref="H930"/>
    <hyperlink r:id="rId540" location="gid=1071202217" ref="H931"/>
    <hyperlink r:id="rId541" location="gid=953902791" ref="H932"/>
    <hyperlink r:id="rId542" location="gid=263399188" ref="H933"/>
    <hyperlink r:id="rId543" location="gid=889119319" ref="H934"/>
    <hyperlink r:id="rId544" location="gid=1131436691" ref="H935"/>
    <hyperlink r:id="rId545" location="gid=581565940" ref="H936"/>
    <hyperlink r:id="rId546" location="gid=657849366" ref="H937"/>
    <hyperlink r:id="rId547" location="gid=733134081" ref="H938"/>
    <hyperlink r:id="rId548" location="gid=1868311876" ref="H939"/>
    <hyperlink r:id="rId549" ref="I939"/>
    <hyperlink r:id="rId550" location="gid=1509093390" ref="H940"/>
    <hyperlink r:id="rId551" location="gid=2115012790" ref="H941"/>
    <hyperlink r:id="rId552" location="gid=44169429" ref="H942"/>
    <hyperlink r:id="rId553" location="gid=303416269" ref="H943"/>
    <hyperlink r:id="rId554" location="gid=1797830857" ref="H944"/>
    <hyperlink r:id="rId555" location="gid=989193180" ref="H945"/>
    <hyperlink r:id="rId556" location="gid=1343620006" ref="H946"/>
    <hyperlink r:id="rId557" location="gid=24415394" ref="H947"/>
    <hyperlink r:id="rId558" location="gid=1617286788" ref="H948"/>
    <hyperlink r:id="rId559" location="gid=1885071932" ref="H949"/>
    <hyperlink r:id="rId560" location="gid=1349297378" ref="H950"/>
    <hyperlink r:id="rId561" location="gid=521259843" ref="H951"/>
    <hyperlink r:id="rId562" location="gid=1611612481" ref="H952"/>
    <hyperlink r:id="rId563" location="gid=1910790925" ref="H953"/>
    <hyperlink r:id="rId564" location="gid=1573037531" ref="H954"/>
    <hyperlink r:id="rId565" location="gid=1863257249" ref="H955"/>
    <hyperlink r:id="rId566" location="gid=231842022" ref="H956"/>
    <hyperlink r:id="rId567" location="gid=601045685" ref="H957"/>
    <hyperlink r:id="rId568" location="gid=877224124" ref="H958"/>
    <hyperlink r:id="rId569" location="gid=1353187353" ref="H959"/>
    <hyperlink r:id="rId570" location="gid=509147488" ref="H960"/>
    <hyperlink r:id="rId571" location="gid=1534601072" ref="H961"/>
    <hyperlink r:id="rId572" location="gid=49686517" ref="H962"/>
    <hyperlink r:id="rId573" location="gid=9074212" ref="H963"/>
    <hyperlink r:id="rId574" location="gid=1956094116" ref="H964"/>
    <hyperlink r:id="rId575" location="gid=1886195207" ref="H965"/>
    <hyperlink r:id="rId576" location="gid=1347270596" ref="H966"/>
    <hyperlink r:id="rId577" location="gid=1294085884" ref="H967"/>
    <hyperlink r:id="rId578" ref="I967"/>
    <hyperlink r:id="rId579" location="gid=858056712" ref="H968"/>
    <hyperlink r:id="rId580" location="gid=625147630" ref="H969"/>
    <hyperlink r:id="rId581" location="gid=632308495" ref="H970"/>
    <hyperlink r:id="rId582" location="gid=918222638" ref="H971"/>
    <hyperlink r:id="rId583" location="gid=1108501275" ref="H972"/>
    <hyperlink r:id="rId584" location="gid=900983135" ref="H973"/>
    <hyperlink r:id="rId585" location="gid=679741287" ref="H974"/>
    <hyperlink r:id="rId586" location="gid=1315766169" ref="H976"/>
    <hyperlink r:id="rId587" location="gid=667094303" ref="H977"/>
    <hyperlink r:id="rId588" location="gid=667094303" ref="H978"/>
    <hyperlink r:id="rId589" location="gid=667094303" ref="H979"/>
    <hyperlink r:id="rId590" location="gid=151666570" ref="H980"/>
    <hyperlink r:id="rId591" location="gid=1853936778" ref="H981"/>
    <hyperlink r:id="rId592" location="gid=590835051" ref="H982"/>
    <hyperlink r:id="rId593" location="gid=238290316" ref="H983"/>
    <hyperlink r:id="rId594" location="gid=105663629" ref="H984"/>
    <hyperlink r:id="rId595" location="gid=583489484" ref="H985"/>
    <hyperlink r:id="rId596" location="gid=783421015" ref="H986"/>
    <hyperlink r:id="rId597" location="gid=795869723" ref="H987"/>
    <hyperlink r:id="rId598" location="gid=1715786875" ref="H988"/>
    <hyperlink r:id="rId599" location="gid=1956863227" ref="H989"/>
    <hyperlink r:id="rId600" location="gid=1068599727" ref="H990"/>
    <hyperlink r:id="rId601" location="gid=1407510683" ref="H991"/>
    <hyperlink r:id="rId602" location="gid=1084360480" ref="H992"/>
    <hyperlink r:id="rId603" location="gid=43981398" ref="H993"/>
    <hyperlink r:id="rId604" location="gid=1877394014" ref="H994"/>
    <hyperlink r:id="rId605" location="gid=482146990" ref="H995"/>
    <hyperlink r:id="rId606" location="gid=814332945" ref="H996"/>
    <hyperlink r:id="rId607" location="gid=1920719356" ref="H997"/>
    <hyperlink r:id="rId608" location="gid=1792641255" ref="H998"/>
    <hyperlink r:id="rId609" location="gid=1264505014" ref="H999"/>
    <hyperlink r:id="rId610" location="gid=445422518" ref="H1000"/>
    <hyperlink r:id="rId611" location="gid=1676819339" ref="H1001"/>
    <hyperlink r:id="rId612" location="gid=1262206675" ref="H1002"/>
    <hyperlink r:id="rId613" location="gid=2057992272" ref="H1003"/>
    <hyperlink r:id="rId614" location="gid=1007518382" ref="H1004"/>
    <hyperlink r:id="rId615" ref="I1004"/>
    <hyperlink r:id="rId616" location="gid=558650933" ref="H1005"/>
    <hyperlink r:id="rId617" location="gid=1009116353" ref="H1006"/>
    <hyperlink r:id="rId618" location="gid=865770584" ref="H1007"/>
    <hyperlink r:id="rId619" location="gid=1832052773" ref="H1008"/>
    <hyperlink r:id="rId620" location="gid=1472127211" ref="H1009"/>
    <hyperlink r:id="rId621" location="gid=1242332740" ref="H1010"/>
    <hyperlink r:id="rId622" location="gid=1234676505" ref="H1011"/>
    <hyperlink r:id="rId623" location="gid=138432593" ref="H1012"/>
    <hyperlink r:id="rId624" location="gid=80972844" ref="H1013"/>
    <hyperlink r:id="rId625" location="gid=2108967906" ref="H1014"/>
    <hyperlink r:id="rId626" location="gid=196703328" ref="H1015"/>
    <hyperlink r:id="rId627" location="gid=868904483" ref="H1016"/>
    <hyperlink r:id="rId628" location="gid=482221305" ref="H1017"/>
    <hyperlink r:id="rId629" location="gid=199700122" ref="H1018"/>
    <hyperlink r:id="rId630" location="gid=1703617430" ref="H1019"/>
    <hyperlink r:id="rId631" location="gid=1943180572" ref="H1020"/>
    <hyperlink r:id="rId632" location="gid=465508892" ref="H1021"/>
    <hyperlink r:id="rId633" location="gid=919062062" ref="H1022"/>
    <hyperlink r:id="rId634" location="gid=1222438904" ref="H1023"/>
    <hyperlink r:id="rId635" location="gid=915615615" ref="H1024"/>
    <hyperlink r:id="rId636" location="gid=1583073307" ref="H1025"/>
    <hyperlink r:id="rId637" location="gid=64186922" ref="H1026"/>
    <hyperlink r:id="rId638" location="gid=654604347" ref="H1027"/>
    <hyperlink r:id="rId639" location="gid=501983142" ref="H1028"/>
    <hyperlink r:id="rId640" location="gid=1287118524" ref="H1029"/>
    <hyperlink r:id="rId641" location="gid=439341807" ref="H1030"/>
    <hyperlink r:id="rId642" location="gid=1598315264" ref="H1031"/>
    <hyperlink r:id="rId643" location="gid=172452372" ref="H1032"/>
    <hyperlink r:id="rId644" location="gid=178347413" ref="H1033"/>
    <hyperlink r:id="rId645" location="gid=607897783" ref="H1034"/>
    <hyperlink r:id="rId646" location="gid=829089146" ref="H1035"/>
    <hyperlink r:id="rId647" location="gid=1528623731" ref="H1036"/>
    <hyperlink r:id="rId648" location="gid=23356464" ref="H1037"/>
    <hyperlink r:id="rId649" location="gid=1103531360" ref="H1038"/>
    <hyperlink r:id="rId650" location="gid=622576410" ref="H1039"/>
    <hyperlink r:id="rId651" location="gid=1861315460" ref="H1040"/>
    <hyperlink r:id="rId652" location="gid=641020956" ref="H1041"/>
    <hyperlink r:id="rId653" location="gid=1380549667" ref="H1042"/>
    <hyperlink r:id="rId654" location="gid=1226682620" ref="H1043"/>
    <hyperlink r:id="rId655" location="gid=402405412" ref="H1044"/>
    <hyperlink r:id="rId656" location="gid=223359966" ref="H1045"/>
    <hyperlink r:id="rId657" location="gid=314292055" ref="H1046"/>
    <hyperlink r:id="rId658" location="gid=1044392559" ref="H1047"/>
    <hyperlink r:id="rId659" location="gid=1110910026" ref="H1048"/>
    <hyperlink r:id="rId660" location="gid=1609219828" ref="H1050"/>
    <hyperlink r:id="rId661" location="gid=991695454" ref="H1051"/>
    <hyperlink r:id="rId662" location="gid=410405920" ref="H1052"/>
    <hyperlink r:id="rId663" location="gid=1209159022" ref="H1053"/>
    <hyperlink r:id="rId664" location="gid=982286629" ref="H1054"/>
    <hyperlink r:id="rId665" location="gid=867879144" ref="H1055"/>
    <hyperlink r:id="rId666" location="gid=409879207" ref="H1056"/>
    <hyperlink r:id="rId667" location="gid=1472341941" ref="H1057"/>
    <hyperlink r:id="rId668" location="gid=131438467" ref="H1058"/>
    <hyperlink r:id="rId669" location="gid=131438467" ref="H1059"/>
    <hyperlink r:id="rId670" location="gid=131438467" ref="H1060"/>
    <hyperlink r:id="rId671" location="gid=1195287561" ref="H1061"/>
    <hyperlink r:id="rId672" location="gid=584190358" ref="H1062"/>
    <hyperlink r:id="rId673" location="gid=1549482775" ref="H1063"/>
    <hyperlink r:id="rId674" location="gid=911478854" ref="H1064"/>
    <hyperlink r:id="rId675" location="gid=1807719464" ref="H1065"/>
    <hyperlink r:id="rId676" location="gid=2079091831" ref="H1066"/>
    <hyperlink r:id="rId677" location="gid=553643075" ref="H1067"/>
    <hyperlink r:id="rId678" ref="I1067"/>
    <hyperlink r:id="rId679" location="gid=553643075" ref="H1068"/>
    <hyperlink r:id="rId680" ref="I1068"/>
    <hyperlink r:id="rId681" location="gid=382946439" ref="H1069"/>
    <hyperlink r:id="rId682" location="gid=1182179184" ref="H1070"/>
    <hyperlink r:id="rId683" location="gid=691407697" ref="H1071"/>
    <hyperlink r:id="rId684" location="gid=1161001794" ref="H1072"/>
    <hyperlink r:id="rId685" location="gid=1589688669" ref="H1073"/>
    <hyperlink r:id="rId686" location="gid=1281115522" ref="H1074"/>
    <hyperlink r:id="rId687" location="gid=1127542232" ref="H1075"/>
    <hyperlink r:id="rId688" location="gid=422760194" ref="H1076"/>
    <hyperlink r:id="rId689" location="gid=1435558213" ref="H1077"/>
    <hyperlink r:id="rId690" location="gid=546209828" ref="H1078"/>
    <hyperlink r:id="rId691" location="gid=953512789" ref="H1079"/>
    <hyperlink r:id="rId692" location="gid=1238624487" ref="H1080"/>
    <hyperlink r:id="rId693" location="gid=1260602750" ref="H1081"/>
    <hyperlink r:id="rId694" location="gid=2065426247" ref="H1082"/>
    <hyperlink r:id="rId695" location="gid=1465150080" ref="H1083"/>
    <hyperlink r:id="rId696" location="gid=2050581417" ref="H1084"/>
    <hyperlink r:id="rId697" location="gid=661362059" ref="H1085"/>
    <hyperlink r:id="rId698" location="gid=1425191616" ref="H1086"/>
    <hyperlink r:id="rId699" location="gid=797603561" ref="H1087"/>
    <hyperlink r:id="rId700" location="gid=1117044536" ref="H1088"/>
    <hyperlink r:id="rId701" location="gid=1435485307" ref="H1089"/>
    <hyperlink r:id="rId702" location="gid=679792885" ref="H1090"/>
    <hyperlink r:id="rId703" location="gid=282111024" ref="H1091"/>
    <hyperlink r:id="rId704" location="gid=815985378" ref="H1092"/>
    <hyperlink r:id="rId705" location="gid=88187945" ref="H1093"/>
    <hyperlink r:id="rId706" location="gid=729528967" ref="H1094"/>
    <hyperlink r:id="rId707" location="gid=1609158785" ref="H1095"/>
    <hyperlink r:id="rId708" location="gid=1079458308" ref="H1096"/>
    <hyperlink r:id="rId709" location="gid=1759169591" ref="H1097"/>
    <hyperlink r:id="rId710" ref="I1097"/>
    <hyperlink r:id="rId711" location="gid=1644112833" ref="H1098"/>
    <hyperlink r:id="rId712" ref="I1098"/>
    <hyperlink r:id="rId713" location="gid=2083513887" ref="H1099"/>
    <hyperlink r:id="rId714" ref="I1099"/>
    <hyperlink r:id="rId715" location="gid=1363194216" ref="H1100"/>
    <hyperlink r:id="rId716" location="gid=135078699" ref="H1101"/>
    <hyperlink r:id="rId717" location="gid=770240622" ref="H1102"/>
    <hyperlink r:id="rId718" location="gid=644664004" ref="H1103"/>
    <hyperlink r:id="rId719" location="gid=961840138" ref="H1104"/>
    <hyperlink r:id="rId720" location="gid=1777508564" ref="H1105"/>
    <hyperlink r:id="rId721" location="gid=226391427" ref="H1106"/>
    <hyperlink r:id="rId722" location="gid=452615283" ref="H1107"/>
    <hyperlink r:id="rId723" location="gid=545670814" ref="H1108"/>
    <hyperlink r:id="rId724" location="gid=1723281280" ref="H1109"/>
    <hyperlink r:id="rId725" location="gid=1860586350" ref="H1110"/>
    <hyperlink r:id="rId726" location="gid=1377038117" ref="H1111"/>
    <hyperlink r:id="rId727" location="gid=569403802" ref="H1112"/>
    <hyperlink r:id="rId728" location="gid=65622672" ref="H1113"/>
    <hyperlink r:id="rId729" location="gid=1826826370" ref="H1114"/>
    <hyperlink r:id="rId730" location="gid=955853431" ref="H1115"/>
    <hyperlink r:id="rId731" location="gid=1982116441" ref="H1116"/>
    <hyperlink r:id="rId732" location="gid=1088429623" ref="H1117"/>
    <hyperlink r:id="rId733" location="gid=898826045" ref="H1118"/>
    <hyperlink r:id="rId734" location="gid=688262507" ref="H1119"/>
    <hyperlink r:id="rId735" location="gid=366207882" ref="H1120"/>
    <hyperlink r:id="rId736" location="gid=1382770733" ref="H1121"/>
    <hyperlink r:id="rId737" location="gid=1602079335" ref="H1122"/>
    <hyperlink r:id="rId738" location="gid=601138165" ref="H1123"/>
    <hyperlink r:id="rId739" location="gid=558334865" ref="H1124"/>
    <hyperlink r:id="rId740" ref="I1124"/>
    <hyperlink r:id="rId741" location="gid=1345934331" ref="H1125"/>
    <hyperlink r:id="rId742" location="gid=125387875" ref="H1126"/>
    <hyperlink r:id="rId743" location="gid=50364907" ref="H1127"/>
    <hyperlink r:id="rId744" ref="I1127"/>
    <hyperlink r:id="rId745" location="gid=1130285298" ref="H1128"/>
    <hyperlink r:id="rId746" location="gid=1910743713" ref="H1129"/>
    <hyperlink r:id="rId747" location="gid=1431643406" ref="H1130"/>
    <hyperlink r:id="rId748" location="gid=88636317" ref="H1131"/>
    <hyperlink r:id="rId749" location="gid=2095889728" ref="H1132"/>
    <hyperlink r:id="rId750" location="gid=1395855804" ref="H1133"/>
    <hyperlink r:id="rId751" location="gid=1139784984" ref="H1134"/>
    <hyperlink r:id="rId752" location="gid=1356730824" ref="H1135"/>
    <hyperlink r:id="rId753" location="gid=1299542947" ref="H1136"/>
    <hyperlink r:id="rId754" location="gid=415599181" ref="H1137"/>
    <hyperlink r:id="rId755" location="gid=179520414" ref="H1138"/>
    <hyperlink r:id="rId756" location="gid=1276650860" ref="H1139"/>
    <hyperlink r:id="rId757" location="gid=466314675" ref="H1140"/>
    <hyperlink r:id="rId758" location="gid=1237255389" ref="H1141"/>
    <hyperlink r:id="rId759" location="gid=1026140704" ref="H1142"/>
    <hyperlink r:id="rId760" location="gid=103624122" ref="H1143"/>
    <hyperlink r:id="rId761" location="gid=640034925" ref="H1144"/>
    <hyperlink r:id="rId762" location="gid=36677912" ref="H1145"/>
    <hyperlink r:id="rId763" location="gid=784814979" ref="H1146"/>
    <hyperlink r:id="rId764" location="gid=541136391" ref="H1147"/>
    <hyperlink r:id="rId765" location="gid=163574073" ref="H1148"/>
    <hyperlink r:id="rId766" location="gid=1589597012" ref="H1149"/>
    <hyperlink r:id="rId767" location="gid=2115153164" ref="H1150"/>
    <hyperlink r:id="rId768" location="gid=496407740" ref="H1151"/>
    <hyperlink r:id="rId769" location="gid=424075145" ref="H1152"/>
    <hyperlink r:id="rId770" location="gid=1854195509" ref="H1153"/>
    <hyperlink r:id="rId771" location="gid=1106564511" ref="H1155"/>
    <hyperlink r:id="rId772" location="gid=299633943" ref="H1156"/>
    <hyperlink r:id="rId773" location="gid=1173519257" ref="H1157"/>
    <hyperlink r:id="rId774" location="gid=211546180" ref="H1158"/>
    <hyperlink r:id="rId775" location="gid=551597288" ref="H1159"/>
    <hyperlink r:id="rId776" location="gid=857788374" ref="H1160"/>
    <hyperlink r:id="rId777" location="gid=273382735" ref="H1161"/>
    <hyperlink r:id="rId778" location="gid=1897641801" ref="H1177"/>
    <hyperlink r:id="rId779" location="gid=1475893528" ref="H1178"/>
    <hyperlink r:id="rId780" location="gid=2140039738" ref="H1179"/>
    <hyperlink r:id="rId781" location="gid=646496469" ref="H1180"/>
    <hyperlink r:id="rId782" location="gid=60135188" ref="H1183"/>
    <hyperlink r:id="rId783" location="gid=623093467" ref="H1184"/>
    <hyperlink r:id="rId784" location="gid=1947907600" ref="H1186"/>
    <hyperlink r:id="rId785" location="gid=314696825" ref="H1187"/>
    <hyperlink r:id="rId786" location="gid=1548843983" ref="H1188"/>
    <hyperlink r:id="rId787" location="gid=1990935127" ref="H1189"/>
    <hyperlink r:id="rId788" ref="I1189"/>
    <hyperlink r:id="rId789" location="gid=469869658" ref="H1190"/>
    <hyperlink r:id="rId790" location="gid=1873773807" ref="H1191"/>
    <hyperlink r:id="rId791" ref="I1191"/>
    <hyperlink r:id="rId792" location="gid=189831964" ref="H1192"/>
    <hyperlink r:id="rId793" ref="I1192"/>
    <hyperlink r:id="rId794" location="gid=379079889" ref="H1193"/>
    <hyperlink r:id="rId795" ref="I1193"/>
    <hyperlink r:id="rId796" ref="I1194"/>
    <hyperlink r:id="rId797" location="gid=1745739766" ref="H1195"/>
    <hyperlink r:id="rId798" ref="I1195"/>
    <hyperlink r:id="rId799" location="gid=1658272252" ref="H1196"/>
    <hyperlink r:id="rId800" ref="I1196"/>
    <hyperlink r:id="rId801" location="gid=1002976972" ref="H1197"/>
    <hyperlink r:id="rId802" location="gid=38649977" ref="H1198"/>
    <hyperlink r:id="rId803" ref="I1198"/>
    <hyperlink r:id="rId804" location="gid=1612889621" ref="H1199"/>
    <hyperlink r:id="rId805" location="gid=831042065" ref="H1200"/>
    <hyperlink r:id="rId806" location="gid=1246380027" ref="H1201"/>
    <hyperlink r:id="rId807" location="gid=1285680643" ref="H1202"/>
    <hyperlink r:id="rId808" location="gid=1825170573" ref="H1203"/>
    <hyperlink r:id="rId809" location="gid=446883211" ref="H1204"/>
    <hyperlink r:id="rId810" location="gid=1026471419" ref="H1205"/>
    <hyperlink r:id="rId811" location="gid=1022242891" ref="H1206"/>
    <hyperlink r:id="rId812" location="gid=376178489" ref="H1207"/>
    <hyperlink r:id="rId813" location="gid=1836431147" ref="H1208"/>
    <hyperlink r:id="rId814" location="gid=1477675576" ref="H1209"/>
    <hyperlink r:id="rId815" location="gid=1476336114" ref="H1210"/>
    <hyperlink r:id="rId816" location="gid=204053805" ref="H1211"/>
    <hyperlink r:id="rId817" location="gid=340433280" ref="H1212"/>
    <hyperlink r:id="rId818" location="gid=1721100499" ref="H1213"/>
    <hyperlink r:id="rId819" location="gid=800886527" ref="H1214"/>
    <hyperlink r:id="rId820" ref="I1214"/>
    <hyperlink r:id="rId821" location="gid=893741995" ref="H1216"/>
    <hyperlink r:id="rId822" location="gid=2141463724" ref="H1218"/>
    <hyperlink r:id="rId823" location="gid=1656513014" ref="H1219"/>
    <hyperlink r:id="rId824" location="gid=191758898" ref="H1220"/>
    <hyperlink r:id="rId825" location="gid=904343582" ref="H1221"/>
    <hyperlink r:id="rId826" location="gid=346643288" ref="H1222"/>
    <hyperlink r:id="rId827" location="gid=1768479973" ref="H1223"/>
    <hyperlink r:id="rId828" location="gid=1204838295" ref="H1224"/>
    <hyperlink r:id="rId829" location="gid=1410705697" ref="H1225"/>
    <hyperlink r:id="rId830" location="gid=912086412" ref="H1226"/>
    <hyperlink r:id="rId831" ref="I1226"/>
    <hyperlink r:id="rId832" location="gid=882317293" ref="H1227"/>
    <hyperlink r:id="rId833" location="gid=972545165" ref="H1228"/>
    <hyperlink r:id="rId834" location="gid=486432300" ref="H1229"/>
    <hyperlink r:id="rId835" location="gid=1366886932" ref="H1230"/>
    <hyperlink r:id="rId836" location="gid=1822763133" ref="H1231"/>
    <hyperlink r:id="rId837" location="gid=1977634202" ref="H1235"/>
    <hyperlink r:id="rId838" location="gid=1635120281" ref="H1236"/>
    <hyperlink r:id="rId839" ref="I1236"/>
    <hyperlink r:id="rId840" location="gid=360147993" ref="H1237"/>
    <hyperlink r:id="rId841" location="gid=1025924228" ref="H1238"/>
    <hyperlink r:id="rId842" location="gid=318719186" ref="H1239"/>
    <hyperlink r:id="rId843" location="gid=2009717462" ref="H1240"/>
    <hyperlink r:id="rId844" location="gid=852795389" ref="H1241"/>
    <hyperlink r:id="rId845" location="gid=1610184965" ref="H1242"/>
    <hyperlink r:id="rId846" location="gid=1343663490" ref="H1243"/>
    <hyperlink r:id="rId847" location="gid=1381479506" ref="H1244"/>
    <hyperlink r:id="rId848" location="gid=1877547333" ref="H1245"/>
    <hyperlink r:id="rId849" location="gid=1434119046" ref="H1246"/>
    <hyperlink r:id="rId850" location="gid=270470148" ref="H1247"/>
    <hyperlink r:id="rId851" location="gid=473932196" ref="H1248"/>
    <hyperlink r:id="rId852" ref="I1248"/>
    <hyperlink r:id="rId853" location="gid=413594252" ref="H1249"/>
    <hyperlink r:id="rId854" location="gid=2077416738" ref="H1250"/>
    <hyperlink r:id="rId855" location="gid=321356533" ref="H1251"/>
    <hyperlink r:id="rId856" location="gid=1984759556" ref="H1252"/>
    <hyperlink r:id="rId857" location="gid=989349893" ref="H1253"/>
    <hyperlink r:id="rId858" location="gid=234009661" ref="H1254"/>
    <hyperlink r:id="rId859" location="gid=1381599542" ref="H1255"/>
    <hyperlink r:id="rId860" location="gid=1927186728" ref="H1256"/>
    <hyperlink r:id="rId861" location="gid=1752517199" ref="H1257"/>
    <hyperlink r:id="rId862" ref="I1257"/>
    <hyperlink r:id="rId863" location="gid=1206342730" ref="H1258"/>
    <hyperlink r:id="rId864" ref="I1258"/>
    <hyperlink r:id="rId865" location="gid=194199893" ref="H1259"/>
    <hyperlink r:id="rId866" ref="I1259"/>
    <hyperlink r:id="rId867" location="gid=1736090729" ref="H1260"/>
    <hyperlink r:id="rId868" ref="I1260"/>
    <hyperlink r:id="rId869" location="gid=44399105" ref="H1261"/>
    <hyperlink r:id="rId870" location="gid=694232256" ref="H1262"/>
    <hyperlink r:id="rId871" location="gid=1853146413" ref="H1263"/>
    <hyperlink r:id="rId872" location="gid=930912850" ref="H1264"/>
    <hyperlink r:id="rId873" location="gid=2002546597" ref="H1265"/>
    <hyperlink r:id="rId874" location="gid=527260036" ref="H1266"/>
    <hyperlink r:id="rId875" location="gid=368087767" ref="H1267"/>
    <hyperlink r:id="rId876" location="gid=338449454" ref="H1269"/>
    <hyperlink r:id="rId877" location="gid=1656884297" ref="H1270"/>
    <hyperlink r:id="rId878" ref="I1270"/>
    <hyperlink r:id="rId879" location="gid=1198270379" ref="H1271"/>
    <hyperlink r:id="rId880" location="gid=58875188" ref="H1272"/>
    <hyperlink r:id="rId881" location="gid=1628808837" ref="H1273"/>
    <hyperlink r:id="rId882" location="gid=900012262" ref="H1274"/>
    <hyperlink r:id="rId883" location="gid=701601389" ref="H1275"/>
    <hyperlink r:id="rId884" location="gid=565397007" ref="H1276"/>
    <hyperlink r:id="rId885" location="gid=675585882" ref="H1277"/>
    <hyperlink r:id="rId886" location="gid=1992128330" ref="H1278"/>
    <hyperlink r:id="rId887" location="gid=2131274545" ref="H1279"/>
    <hyperlink r:id="rId888" location="gid=1726026331" ref="H1280"/>
    <hyperlink r:id="rId889" location="gid=1351279015" ref="H1281"/>
    <hyperlink r:id="rId890" location="gid=1438023663" ref="H1282"/>
    <hyperlink r:id="rId891" location="gid=1074412945" ref="H1283"/>
    <hyperlink r:id="rId892" location="gid=2082838360" ref="H1284"/>
    <hyperlink r:id="rId893" location="gid=1482027373" ref="H1285"/>
    <hyperlink r:id="rId894" location="gid=373541859" ref="H1286"/>
    <hyperlink r:id="rId895" location="gid=1325521747" ref="H1287"/>
    <hyperlink r:id="rId896" location="gid=1256869366" ref="H1288"/>
    <hyperlink r:id="rId897" location="gid=2022013037" ref="H1289"/>
    <hyperlink r:id="rId898" location="gid=118234582" ref="H1290"/>
    <hyperlink r:id="rId899" location="gid=428989507" ref="H1291"/>
    <hyperlink r:id="rId900" location="gid=388114595" ref="H1292"/>
    <hyperlink r:id="rId901" location="gid=32220211" ref="H1293"/>
    <hyperlink r:id="rId902" ref="I1293"/>
    <hyperlink r:id="rId903" location="gid=1542653489" ref="H1294"/>
    <hyperlink r:id="rId904" location="gid=1756552387" ref="H1295"/>
    <hyperlink r:id="rId905" location="gid=186003248" ref="H1296"/>
    <hyperlink r:id="rId906" location="gid=233188902" ref="H1297"/>
    <hyperlink r:id="rId907" location="gid=380520667" ref="H1298"/>
    <hyperlink r:id="rId908" location="gid=813124693" ref="H1299"/>
    <hyperlink r:id="rId909" ref="I1299"/>
    <hyperlink r:id="rId910" location="gid=482272231" ref="H1300"/>
    <hyperlink r:id="rId911" ref="I1300"/>
    <hyperlink r:id="rId912" location="gid=975659733" ref="H1301"/>
    <hyperlink r:id="rId913" location="gid=1550603494" ref="H1303"/>
    <hyperlink r:id="rId914" location="gid=1822571783" ref="H1304"/>
    <hyperlink r:id="rId915" location="gid=82996176" ref="H1306"/>
    <hyperlink r:id="rId916" location="gid=336437889" ref="H1307"/>
    <hyperlink r:id="rId917" location="gid=370620314" ref="H1308"/>
    <hyperlink r:id="rId918" location="gid=1483885127" ref="H1309"/>
    <hyperlink r:id="rId919" location="gid=1483885127" ref="H1310"/>
    <hyperlink r:id="rId920" location="gid=1258137078" ref="H1311"/>
    <hyperlink r:id="rId921" location="gid=1777992828" ref="H1312"/>
    <hyperlink r:id="rId922" location="gid=1173454533" ref="H1313"/>
    <hyperlink r:id="rId923" location="gid=1902497282" ref="H1314"/>
    <hyperlink r:id="rId924" location="gid=250650053" ref="H1315"/>
    <hyperlink r:id="rId925" location="gid=1920949313" ref="H1316"/>
    <hyperlink r:id="rId926" location="gid=284186374" ref="H1317"/>
    <hyperlink r:id="rId927" location="gid=625849428" ref="H1318"/>
    <hyperlink r:id="rId928" ref="I1318"/>
    <hyperlink r:id="rId929" location="gid=1718528248" ref="H1319"/>
    <hyperlink r:id="rId930" ref="I1319"/>
    <hyperlink r:id="rId931" location="gid=706983585" ref="H1322"/>
    <hyperlink r:id="rId932" location="gid=1207523393" ref="H1323"/>
    <hyperlink r:id="rId933" location="gid=1499291407" ref="H1328"/>
    <hyperlink r:id="rId934" location="gid=64389007" ref="H1329"/>
    <hyperlink r:id="rId935" location="gid=1454177438" ref="H1331"/>
    <hyperlink r:id="rId936" location="gid=305005516" ref="H1332"/>
    <hyperlink r:id="rId937" location="gid=2058620396" ref="H1333"/>
    <hyperlink r:id="rId938" location="gid=1295237501" ref="H1334"/>
    <hyperlink r:id="rId939" location="gid=1445477701" ref="H1338"/>
    <hyperlink r:id="rId940" location="gid=789970235" ref="H1339"/>
    <hyperlink r:id="rId941" location="gid=166966295" ref="H1340"/>
    <hyperlink r:id="rId942" location="gid=316384092" ref="H1341"/>
    <hyperlink r:id="rId943" location="gid=1823447590" ref="H1342"/>
    <hyperlink r:id="rId944" location="gid=1839942165" ref="H1343"/>
    <hyperlink r:id="rId945" location="gid=104937382" ref="H1344"/>
    <hyperlink r:id="rId946" location="gid=371216580" ref="H1345"/>
    <hyperlink r:id="rId947" location="gid=1431037231" ref="H1346"/>
    <hyperlink r:id="rId948" location="gid=1963162360" ref="H1347"/>
    <hyperlink r:id="rId949" location="gid=1488450314" ref="H1349"/>
    <hyperlink r:id="rId950" ref="I1349"/>
    <hyperlink r:id="rId951" location="gid=1656230982" ref="H1350"/>
    <hyperlink r:id="rId952" ref="I1350"/>
    <hyperlink r:id="rId953" location="gid=2128549332" ref="H1351"/>
    <hyperlink r:id="rId954" ref="I1351"/>
    <hyperlink r:id="rId955" location="gid=721503388" ref="H1352"/>
    <hyperlink r:id="rId956" ref="I1352"/>
    <hyperlink r:id="rId957" location="gid=1028732980" ref="H1353"/>
    <hyperlink r:id="rId958" location="gid=1050204202" ref="H1354"/>
    <hyperlink r:id="rId959" ref="I1354"/>
    <hyperlink r:id="rId960" location="gid=394346053" ref="H1355"/>
    <hyperlink r:id="rId961" ref="I1355"/>
    <hyperlink r:id="rId962" location="gid=1924857156" ref="H1356"/>
    <hyperlink r:id="rId963" ref="I1356"/>
    <hyperlink r:id="rId964" location="gid=1420606721" ref="H1357"/>
    <hyperlink r:id="rId965" ref="I1357"/>
    <hyperlink r:id="rId966" location="gid=1959905549" ref="H1358"/>
    <hyperlink r:id="rId967" ref="I1358"/>
    <hyperlink r:id="rId968" location="gid=407138877" ref="H1359"/>
    <hyperlink r:id="rId969" ref="I1359"/>
    <hyperlink r:id="rId970" location="gid=493919396" ref="H1360"/>
    <hyperlink r:id="rId971" ref="I1360"/>
    <hyperlink r:id="rId972" location="gid=969432712" ref="H1361"/>
    <hyperlink r:id="rId973" ref="I1361"/>
    <hyperlink r:id="rId974" location="gid=51775177" ref="H1365"/>
    <hyperlink r:id="rId975" ref="I1365"/>
    <hyperlink r:id="rId976" location="gid=1470173465" ref="H1366"/>
    <hyperlink r:id="rId977" ref="I1366"/>
    <hyperlink r:id="rId978" location="gid=1866713504" ref="H1367"/>
    <hyperlink r:id="rId979" ref="I1367"/>
    <hyperlink r:id="rId980" location="gid=944669618" ref="H1368"/>
    <hyperlink r:id="rId981" ref="I1368"/>
    <hyperlink r:id="rId982" location="gid=322677971" ref="H1369"/>
    <hyperlink r:id="rId983" ref="I1369"/>
    <hyperlink r:id="rId984" location="gid=948129229" ref="H1370"/>
    <hyperlink r:id="rId985" ref="I1370"/>
    <hyperlink r:id="rId986" location="gid=411393776" ref="H1371"/>
    <hyperlink r:id="rId987" ref="I1371"/>
    <hyperlink r:id="rId988" location="gid=1030101240" ref="H1372"/>
    <hyperlink r:id="rId989" ref="I1372"/>
    <hyperlink r:id="rId990" location="gid=594480118" ref="H1373"/>
    <hyperlink r:id="rId991" ref="I1373"/>
    <hyperlink r:id="rId992" location="gid=1880951633" ref="H1376"/>
    <hyperlink r:id="rId993" location="gid=849348771" ref="H1377"/>
    <hyperlink r:id="rId994" ref="I1377"/>
    <hyperlink r:id="rId995" location="gid=741067591" ref="H1379"/>
    <hyperlink r:id="rId996" location="gid=1740138408" ref="H1380"/>
    <hyperlink r:id="rId997" ref="I1380"/>
    <hyperlink r:id="rId998" location="gid=481612285" ref="H1386"/>
    <hyperlink r:id="rId999" location="gid=1944955293" ref="H1387"/>
    <hyperlink r:id="rId1000" ref="I1387"/>
    <hyperlink r:id="rId1001" location="gid=555355320" ref="H1388"/>
    <hyperlink r:id="rId1002" location="gid=1395505896" ref="H1389"/>
    <hyperlink r:id="rId1003" location="gid=1378814711" ref="H1392"/>
    <hyperlink r:id="rId1004" location="gid=532300797" ref="H1393"/>
    <hyperlink r:id="rId1005" location="gid=259875385" ref="H1394"/>
    <hyperlink r:id="rId1006" ref="I1394"/>
    <hyperlink r:id="rId1007" location="gid=1779752983" ref="H1395"/>
    <hyperlink r:id="rId1008" location="gid=255205459" ref="H1400"/>
    <hyperlink r:id="rId1009" location="gid=254963674" ref="H1401"/>
    <hyperlink r:id="rId1010" location="gid=2138110336" ref="H1402"/>
    <hyperlink r:id="rId1011" location="gid=1064274892" ref="H1403"/>
    <hyperlink r:id="rId1012" location="gid=188255576" ref="H1404"/>
    <hyperlink r:id="rId1013" location="gid=1237877981" ref="H1405"/>
    <hyperlink r:id="rId1014" location="gid=1217792882" ref="H1406"/>
    <hyperlink r:id="rId1015" location="gid=1201892812" ref="H1407"/>
    <hyperlink r:id="rId1016" location="gid=1513915226" ref="H1409"/>
    <hyperlink r:id="rId1017" location="gid=1698914895" ref="H1410"/>
    <hyperlink r:id="rId1018" location="gid=239550778" ref="H1411"/>
    <hyperlink r:id="rId1019" location="gid=1264665053" ref="H1412"/>
    <hyperlink r:id="rId1020" location="gid=5854245" ref="H1413"/>
    <hyperlink r:id="rId1021" location="gid=547129883" ref="H1414"/>
    <hyperlink r:id="rId1022" location="gid=641965304" ref="H1415"/>
    <hyperlink r:id="rId1023" location="gid=641965304" ref="H1416"/>
    <hyperlink r:id="rId1024" location="gid=1075878373" ref="H1417"/>
    <hyperlink r:id="rId1025" location="gid=1502613642" ref="H1418"/>
    <hyperlink r:id="rId1026" location="gid=1360222736" ref="H1419"/>
    <hyperlink r:id="rId1027" location="gid=1360222736" ref="H1420"/>
    <hyperlink r:id="rId1028" location="gid=874601105" ref="H1421"/>
    <hyperlink r:id="rId1029" location="gid=658853919" ref="H1422"/>
    <hyperlink r:id="rId1030" location="gid=2025902554" ref="H1423"/>
    <hyperlink r:id="rId1031" location="gid=1885490900" ref="H1424"/>
    <hyperlink r:id="rId1032" location="gid=1197282762" ref="H1425"/>
    <hyperlink r:id="rId1033" location="gid=1276297244" ref="H1441"/>
    <hyperlink r:id="rId1034" location="gid=757624793" ref="H1442"/>
    <hyperlink r:id="rId1035" location="gid=757624793" ref="H1443"/>
    <hyperlink r:id="rId1036" location="gid=549577801" ref="H1460"/>
    <hyperlink r:id="rId1037" location="gid=804949431" ref="H1585"/>
    <hyperlink r:id="rId1038" location="gid=1604017750" ref="H1586"/>
    <hyperlink r:id="rId1039" location="gid=1216643821" ref="H1587"/>
    <hyperlink r:id="rId1040" ref="I1587"/>
    <hyperlink r:id="rId1041" location="gid=102494064" ref="H1588"/>
    <hyperlink r:id="rId1042" ref="I1588"/>
    <hyperlink r:id="rId1043" location="gid=2011623621" ref="H1589"/>
    <hyperlink r:id="rId1044" ref="I1589"/>
    <hyperlink r:id="rId1045" location="gid=1412429298" ref="H1590"/>
    <hyperlink r:id="rId1046" ref="I1590"/>
    <hyperlink r:id="rId1047" location="gid=2032019827" ref="H1591"/>
    <hyperlink r:id="rId1048" ref="I1591"/>
    <hyperlink r:id="rId1049" location="gid=1550603494" ref="H1592"/>
    <hyperlink r:id="rId1050" location="gid=230773618" ref="H1593"/>
    <hyperlink r:id="rId1051" ref="I1593"/>
    <hyperlink r:id="rId1052" location="gid=1568412544" ref="H1597"/>
    <hyperlink r:id="rId1053" ref="I1597"/>
    <hyperlink r:id="rId1054" location="gid=2065488739" ref="H1598"/>
    <hyperlink r:id="rId1055" ref="I1598"/>
    <hyperlink r:id="rId1056" location="gid=680394849" ref="H1600"/>
    <hyperlink r:id="rId1057" location="gid=410419708" ref="H1601"/>
    <hyperlink r:id="rId1058" location="gid=1835030913" ref="H1613"/>
    <hyperlink r:id="rId1059" location="gid=665598290" ref="H1614"/>
    <hyperlink r:id="rId1060" location="gid=364805079" ref="H1615"/>
    <hyperlink r:id="rId1061" location="gid=1464012172" ref="H1616"/>
    <hyperlink r:id="rId1062" location="gid=1212683090" ref="H1618"/>
  </hyperlinks>
  <drawing r:id="rId106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3" max="3" width="16.75"/>
    <col customWidth="1" min="4" max="4" width="14.25"/>
    <col customWidth="1" min="5" max="5" width="14.88"/>
  </cols>
  <sheetData>
    <row r="1">
      <c r="A1" s="75" t="s">
        <v>12</v>
      </c>
      <c r="B1" s="75" t="s">
        <v>1469</v>
      </c>
      <c r="C1" s="76" t="s">
        <v>1470</v>
      </c>
      <c r="D1" s="76" t="s">
        <v>1471</v>
      </c>
      <c r="E1" s="76" t="s">
        <v>1472</v>
      </c>
      <c r="F1" s="76" t="s">
        <v>1</v>
      </c>
    </row>
    <row r="2">
      <c r="A2" s="47" t="s">
        <v>45</v>
      </c>
      <c r="B2" s="47" t="s">
        <v>1473</v>
      </c>
      <c r="C2" s="47" t="s">
        <v>1474</v>
      </c>
    </row>
    <row r="3">
      <c r="A3" s="7" t="s">
        <v>1475</v>
      </c>
      <c r="B3" s="7" t="s">
        <v>1476</v>
      </c>
      <c r="C3" s="7" t="s">
        <v>1477</v>
      </c>
      <c r="D3" s="4"/>
      <c r="E3" s="4"/>
      <c r="F3" s="4"/>
      <c r="G3" s="4"/>
      <c r="H3" s="4"/>
    </row>
    <row r="4">
      <c r="A4" s="7" t="s">
        <v>17</v>
      </c>
      <c r="B4" s="7" t="s">
        <v>12</v>
      </c>
      <c r="C4" s="7" t="s">
        <v>1478</v>
      </c>
      <c r="D4" s="7" t="s">
        <v>1479</v>
      </c>
      <c r="E4" s="7" t="s">
        <v>1480</v>
      </c>
      <c r="F4" s="7" t="s">
        <v>1481</v>
      </c>
      <c r="G4" s="7" t="s">
        <v>1479</v>
      </c>
      <c r="H4" s="7" t="s">
        <v>1480</v>
      </c>
    </row>
    <row r="5">
      <c r="A5" s="7" t="s">
        <v>19</v>
      </c>
      <c r="B5" s="7" t="s">
        <v>12</v>
      </c>
      <c r="C5" s="7" t="s">
        <v>1482</v>
      </c>
      <c r="D5" s="7" t="s">
        <v>1483</v>
      </c>
      <c r="E5" s="7" t="s">
        <v>1484</v>
      </c>
      <c r="F5" s="7" t="s">
        <v>1485</v>
      </c>
      <c r="G5" s="7" t="s">
        <v>1483</v>
      </c>
      <c r="H5" s="7" t="s">
        <v>1484</v>
      </c>
    </row>
    <row r="6">
      <c r="A6" s="7" t="s">
        <v>21</v>
      </c>
      <c r="B6" s="7" t="s">
        <v>12</v>
      </c>
      <c r="C6" s="7" t="s">
        <v>1486</v>
      </c>
      <c r="D6" s="7" t="s">
        <v>1487</v>
      </c>
      <c r="E6" s="7" t="s">
        <v>1488</v>
      </c>
      <c r="F6" s="7" t="s">
        <v>1489</v>
      </c>
      <c r="G6" s="7" t="s">
        <v>1487</v>
      </c>
      <c r="H6" s="7" t="s">
        <v>1488</v>
      </c>
    </row>
    <row r="7">
      <c r="A7" s="7" t="s">
        <v>23</v>
      </c>
      <c r="B7" s="7" t="s">
        <v>12</v>
      </c>
      <c r="C7" s="7" t="s">
        <v>1490</v>
      </c>
      <c r="D7" s="7" t="s">
        <v>1491</v>
      </c>
      <c r="E7" s="7" t="s">
        <v>1492</v>
      </c>
      <c r="F7" s="7" t="s">
        <v>1493</v>
      </c>
      <c r="G7" s="7" t="s">
        <v>1491</v>
      </c>
      <c r="H7" s="7" t="s">
        <v>1492</v>
      </c>
    </row>
    <row r="8">
      <c r="A8" s="7" t="s">
        <v>25</v>
      </c>
      <c r="B8" s="7" t="s">
        <v>12</v>
      </c>
      <c r="C8" s="7" t="s">
        <v>1494</v>
      </c>
      <c r="D8" s="7" t="s">
        <v>1495</v>
      </c>
      <c r="E8" s="7" t="s">
        <v>1496</v>
      </c>
      <c r="F8" s="7" t="s">
        <v>1497</v>
      </c>
      <c r="G8" s="7" t="s">
        <v>1495</v>
      </c>
      <c r="H8" s="7" t="s">
        <v>1496</v>
      </c>
    </row>
    <row r="9">
      <c r="A9" s="7" t="s">
        <v>27</v>
      </c>
      <c r="B9" s="7" t="s">
        <v>12</v>
      </c>
      <c r="C9" s="7" t="s">
        <v>1498</v>
      </c>
      <c r="D9" s="7" t="s">
        <v>1499</v>
      </c>
      <c r="E9" s="7" t="s">
        <v>1500</v>
      </c>
      <c r="F9" s="7" t="s">
        <v>1501</v>
      </c>
      <c r="G9" s="7" t="s">
        <v>1499</v>
      </c>
      <c r="H9" s="7" t="s">
        <v>1500</v>
      </c>
    </row>
    <row r="10">
      <c r="A10" s="7" t="s">
        <v>29</v>
      </c>
      <c r="B10" s="7" t="s">
        <v>12</v>
      </c>
      <c r="C10" s="7" t="s">
        <v>1502</v>
      </c>
      <c r="D10" s="7" t="s">
        <v>1503</v>
      </c>
      <c r="E10" s="7" t="s">
        <v>1504</v>
      </c>
      <c r="F10" s="7" t="s">
        <v>1505</v>
      </c>
      <c r="G10" s="7" t="s">
        <v>1503</v>
      </c>
      <c r="H10" s="7" t="s">
        <v>1504</v>
      </c>
    </row>
    <row r="11">
      <c r="A11" s="7" t="s">
        <v>31</v>
      </c>
      <c r="B11" s="7" t="s">
        <v>12</v>
      </c>
      <c r="C11" s="7" t="s">
        <v>1506</v>
      </c>
      <c r="D11" s="7" t="s">
        <v>1507</v>
      </c>
      <c r="E11" s="7" t="s">
        <v>1508</v>
      </c>
      <c r="F11" s="7" t="s">
        <v>1509</v>
      </c>
      <c r="G11" s="7" t="s">
        <v>1507</v>
      </c>
      <c r="H11" s="7" t="s">
        <v>1508</v>
      </c>
    </row>
    <row r="12">
      <c r="A12" s="7" t="s">
        <v>33</v>
      </c>
      <c r="B12" s="7" t="s">
        <v>12</v>
      </c>
      <c r="C12" s="7" t="s">
        <v>1510</v>
      </c>
      <c r="D12" s="9" t="s">
        <v>1511</v>
      </c>
      <c r="E12" s="9" t="s">
        <v>1512</v>
      </c>
      <c r="F12" s="9" t="s">
        <v>1513</v>
      </c>
      <c r="G12" s="7" t="s">
        <v>1514</v>
      </c>
      <c r="H12" s="7" t="s">
        <v>1515</v>
      </c>
    </row>
    <row r="13">
      <c r="A13" s="7" t="s">
        <v>35</v>
      </c>
      <c r="B13" s="7" t="s">
        <v>12</v>
      </c>
      <c r="C13" s="7" t="s">
        <v>1516</v>
      </c>
      <c r="D13" s="7" t="s">
        <v>1517</v>
      </c>
      <c r="E13" s="7" t="s">
        <v>1518</v>
      </c>
      <c r="F13" s="7" t="s">
        <v>1519</v>
      </c>
      <c r="G13" s="7" t="s">
        <v>1517</v>
      </c>
      <c r="H13" s="7" t="s">
        <v>1518</v>
      </c>
    </row>
    <row r="14">
      <c r="A14" s="7" t="s">
        <v>37</v>
      </c>
      <c r="B14" s="7" t="s">
        <v>12</v>
      </c>
      <c r="C14" s="7" t="s">
        <v>1520</v>
      </c>
      <c r="D14" s="7" t="s">
        <v>1521</v>
      </c>
      <c r="E14" s="7" t="s">
        <v>1522</v>
      </c>
      <c r="F14" s="7" t="s">
        <v>1523</v>
      </c>
      <c r="G14" s="7" t="s">
        <v>1521</v>
      </c>
      <c r="H14" s="7" t="s">
        <v>1522</v>
      </c>
    </row>
    <row r="15">
      <c r="A15" s="7" t="s">
        <v>38</v>
      </c>
      <c r="B15" s="7" t="s">
        <v>12</v>
      </c>
      <c r="C15" s="7" t="s">
        <v>1524</v>
      </c>
      <c r="D15" s="7" t="s">
        <v>1525</v>
      </c>
      <c r="E15" s="7" t="s">
        <v>1526</v>
      </c>
      <c r="F15" s="7" t="s">
        <v>1527</v>
      </c>
      <c r="G15" s="7" t="s">
        <v>1525</v>
      </c>
      <c r="H15" s="7" t="s">
        <v>1526</v>
      </c>
    </row>
    <row r="16">
      <c r="A16" s="7" t="s">
        <v>39</v>
      </c>
      <c r="B16" s="7" t="s">
        <v>12</v>
      </c>
      <c r="C16" s="7" t="s">
        <v>1528</v>
      </c>
      <c r="D16" s="7" t="s">
        <v>1529</v>
      </c>
      <c r="E16" s="7" t="s">
        <v>1530</v>
      </c>
      <c r="F16" s="7" t="s">
        <v>1531</v>
      </c>
      <c r="G16" s="7" t="s">
        <v>1529</v>
      </c>
      <c r="H16" s="7" t="s">
        <v>1530</v>
      </c>
    </row>
    <row r="17">
      <c r="A17" s="7" t="s">
        <v>40</v>
      </c>
      <c r="B17" s="7" t="s">
        <v>12</v>
      </c>
      <c r="C17" s="7" t="s">
        <v>1532</v>
      </c>
      <c r="D17" s="7" t="s">
        <v>1533</v>
      </c>
      <c r="E17" s="7" t="s">
        <v>1534</v>
      </c>
      <c r="F17" s="7" t="s">
        <v>1535</v>
      </c>
      <c r="G17" s="7" t="s">
        <v>1533</v>
      </c>
      <c r="H17" s="7" t="s">
        <v>1534</v>
      </c>
    </row>
    <row r="18">
      <c r="A18" s="7" t="s">
        <v>41</v>
      </c>
      <c r="B18" s="7" t="s">
        <v>12</v>
      </c>
      <c r="C18" s="7" t="s">
        <v>1536</v>
      </c>
      <c r="D18" s="7" t="s">
        <v>1537</v>
      </c>
      <c r="E18" s="7" t="s">
        <v>1538</v>
      </c>
      <c r="F18" s="7" t="s">
        <v>1539</v>
      </c>
      <c r="G18" s="7" t="s">
        <v>1537</v>
      </c>
      <c r="H18" s="7" t="s">
        <v>1538</v>
      </c>
    </row>
    <row r="19">
      <c r="A19" s="9" t="s">
        <v>270</v>
      </c>
      <c r="B19" s="7" t="s">
        <v>12</v>
      </c>
      <c r="C19" s="35" t="s">
        <v>1540</v>
      </c>
      <c r="D19" s="7" t="s">
        <v>1537</v>
      </c>
      <c r="E19" s="7" t="s">
        <v>1538</v>
      </c>
      <c r="F19" s="7" t="s">
        <v>1539</v>
      </c>
      <c r="G19" s="7" t="s">
        <v>1537</v>
      </c>
      <c r="H19" s="7" t="s">
        <v>1538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63"/>
  </cols>
  <sheetData>
    <row r="1">
      <c r="A1" s="77" t="s">
        <v>0</v>
      </c>
      <c r="B1" s="17" t="s">
        <v>1</v>
      </c>
      <c r="C1" s="17" t="s">
        <v>2</v>
      </c>
      <c r="D1" s="17" t="s">
        <v>3</v>
      </c>
      <c r="E1" s="17" t="s">
        <v>4</v>
      </c>
      <c r="F1" s="17" t="s">
        <v>5</v>
      </c>
      <c r="G1" s="78" t="s">
        <v>6</v>
      </c>
      <c r="H1" s="78" t="s">
        <v>7</v>
      </c>
      <c r="I1" s="17" t="s">
        <v>8</v>
      </c>
      <c r="J1" s="17" t="s">
        <v>9</v>
      </c>
      <c r="K1" s="17" t="s">
        <v>10</v>
      </c>
      <c r="L1" s="4"/>
      <c r="M1" s="4"/>
      <c r="N1" s="10"/>
      <c r="O1" s="4"/>
      <c r="P1" s="4"/>
      <c r="Q1" s="4"/>
      <c r="R1" s="4"/>
      <c r="S1" s="4"/>
      <c r="T1" s="4"/>
      <c r="U1" s="4"/>
      <c r="V1" s="4"/>
      <c r="W1" s="4"/>
      <c r="X1" s="4"/>
      <c r="Y1" s="4"/>
      <c r="Z1" s="4"/>
    </row>
    <row r="2">
      <c r="A2" s="77" t="s">
        <v>1541</v>
      </c>
      <c r="B2" s="17" t="s">
        <v>1542</v>
      </c>
      <c r="C2" s="17" t="s">
        <v>1543</v>
      </c>
      <c r="D2" s="17" t="s">
        <v>1544</v>
      </c>
      <c r="E2" s="79" t="s">
        <v>41</v>
      </c>
      <c r="F2" s="17" t="s">
        <v>331</v>
      </c>
      <c r="G2" s="80">
        <v>45966.36343207176</v>
      </c>
      <c r="H2" s="80">
        <v>45966.41211443287</v>
      </c>
      <c r="I2" s="79"/>
      <c r="J2" s="79" t="s">
        <v>1545</v>
      </c>
      <c r="K2" s="79" t="s">
        <v>1546</v>
      </c>
      <c r="L2" s="4"/>
      <c r="M2" s="4"/>
      <c r="N2" s="81"/>
      <c r="O2" s="4"/>
      <c r="P2" s="82"/>
      <c r="Q2" s="4"/>
      <c r="R2" s="4"/>
      <c r="S2" s="4"/>
      <c r="T2" s="4"/>
      <c r="U2" s="4"/>
      <c r="V2" s="4"/>
      <c r="W2" s="4"/>
      <c r="X2" s="4"/>
      <c r="Y2" s="4"/>
      <c r="Z2" s="4"/>
    </row>
    <row r="3">
      <c r="A3" s="77" t="s">
        <v>289</v>
      </c>
      <c r="B3" s="17" t="s">
        <v>1547</v>
      </c>
      <c r="C3" s="17" t="s">
        <v>291</v>
      </c>
      <c r="D3" s="17" t="s">
        <v>292</v>
      </c>
      <c r="E3" s="79" t="s">
        <v>35</v>
      </c>
      <c r="F3" s="17" t="s">
        <v>331</v>
      </c>
      <c r="G3" s="80">
        <v>45966.37096613426</v>
      </c>
      <c r="H3" s="80">
        <v>45966.41853364583</v>
      </c>
      <c r="I3" s="79"/>
      <c r="J3" s="79" t="s">
        <v>295</v>
      </c>
      <c r="K3" s="79" t="s">
        <v>1548</v>
      </c>
      <c r="L3" s="4"/>
      <c r="M3" s="4"/>
      <c r="N3" s="81"/>
      <c r="O3" s="4"/>
      <c r="P3" s="82"/>
      <c r="Q3" s="4"/>
      <c r="R3" s="4"/>
      <c r="S3" s="4"/>
      <c r="T3" s="4"/>
      <c r="U3" s="4"/>
      <c r="V3" s="4"/>
      <c r="W3" s="4"/>
      <c r="X3" s="4"/>
      <c r="Y3" s="4"/>
      <c r="Z3" s="4"/>
    </row>
    <row r="4">
      <c r="A4" s="77" t="s">
        <v>1549</v>
      </c>
      <c r="B4" s="17" t="s">
        <v>1550</v>
      </c>
      <c r="C4" s="17" t="s">
        <v>1551</v>
      </c>
      <c r="D4" s="17" t="s">
        <v>1552</v>
      </c>
      <c r="E4" s="79" t="s">
        <v>21</v>
      </c>
      <c r="F4" s="17" t="s">
        <v>331</v>
      </c>
      <c r="G4" s="83">
        <v>45966.37771703704</v>
      </c>
      <c r="H4" s="83">
        <v>45966.42580582176</v>
      </c>
      <c r="I4" s="79"/>
      <c r="J4" s="79" t="s">
        <v>1553</v>
      </c>
      <c r="K4" s="79" t="s">
        <v>1554</v>
      </c>
      <c r="L4" s="4"/>
      <c r="M4" s="4"/>
      <c r="N4" s="4"/>
      <c r="O4" s="4"/>
      <c r="P4" s="4"/>
      <c r="Q4" s="4"/>
      <c r="R4" s="4"/>
      <c r="S4" s="4"/>
      <c r="T4" s="4"/>
      <c r="U4" s="4"/>
      <c r="V4" s="4"/>
      <c r="W4" s="4"/>
      <c r="X4" s="4"/>
      <c r="Y4" s="4"/>
      <c r="Z4" s="4"/>
    </row>
    <row r="5">
      <c r="A5" s="77" t="s">
        <v>1555</v>
      </c>
      <c r="B5" s="17" t="s">
        <v>1556</v>
      </c>
      <c r="C5" s="17" t="s">
        <v>1557</v>
      </c>
      <c r="D5" s="17" t="s">
        <v>1558</v>
      </c>
      <c r="E5" s="79" t="s">
        <v>19</v>
      </c>
      <c r="F5" s="17" t="s">
        <v>331</v>
      </c>
      <c r="G5" s="83">
        <v>45966.371646747684</v>
      </c>
      <c r="H5" s="80">
        <v>45966.42937185185</v>
      </c>
      <c r="I5" s="79"/>
      <c r="J5" s="79" t="s">
        <v>1559</v>
      </c>
      <c r="K5" s="79" t="s">
        <v>1560</v>
      </c>
      <c r="L5" s="4"/>
      <c r="M5" s="4"/>
      <c r="N5" s="10"/>
      <c r="O5" s="4"/>
      <c r="P5" s="4"/>
      <c r="Q5" s="4"/>
      <c r="R5" s="4"/>
      <c r="S5" s="4"/>
      <c r="T5" s="4"/>
      <c r="U5" s="4"/>
      <c r="V5" s="4"/>
      <c r="W5" s="4"/>
      <c r="X5" s="4"/>
      <c r="Y5" s="4"/>
      <c r="Z5" s="4"/>
    </row>
    <row r="6">
      <c r="A6" s="77" t="s">
        <v>1466</v>
      </c>
      <c r="B6" s="17" t="s">
        <v>1561</v>
      </c>
      <c r="C6" s="17" t="s">
        <v>1562</v>
      </c>
      <c r="D6" s="17" t="s">
        <v>1563</v>
      </c>
      <c r="E6" s="79" t="s">
        <v>39</v>
      </c>
      <c r="F6" s="17" t="s">
        <v>346</v>
      </c>
      <c r="G6" s="80">
        <v>45966.37352547454</v>
      </c>
      <c r="H6" s="80">
        <v>45966.442898078705</v>
      </c>
      <c r="I6" s="79"/>
      <c r="J6" s="79" t="s">
        <v>1564</v>
      </c>
      <c r="K6" s="79" t="s">
        <v>1565</v>
      </c>
      <c r="L6" s="4"/>
      <c r="M6" s="4"/>
      <c r="N6" s="10"/>
      <c r="O6" s="4"/>
      <c r="P6" s="4"/>
      <c r="Q6" s="4"/>
      <c r="R6" s="4"/>
      <c r="S6" s="4"/>
      <c r="T6" s="4"/>
      <c r="U6" s="4"/>
      <c r="V6" s="4"/>
      <c r="W6" s="4"/>
      <c r="X6" s="4"/>
      <c r="Y6" s="4"/>
      <c r="Z6" s="4"/>
    </row>
    <row r="7">
      <c r="A7" s="77" t="s">
        <v>1566</v>
      </c>
      <c r="B7" s="17" t="s">
        <v>1567</v>
      </c>
      <c r="C7" s="17" t="s">
        <v>1568</v>
      </c>
      <c r="D7" s="17" t="s">
        <v>1569</v>
      </c>
      <c r="E7" s="79" t="s">
        <v>23</v>
      </c>
      <c r="F7" s="17" t="s">
        <v>346</v>
      </c>
      <c r="G7" s="80">
        <v>45966.40579856481</v>
      </c>
      <c r="H7" s="80">
        <v>45966.45171765046</v>
      </c>
      <c r="I7" s="79"/>
      <c r="J7" s="79" t="s">
        <v>1570</v>
      </c>
      <c r="K7" s="79" t="s">
        <v>1571</v>
      </c>
      <c r="L7" s="4"/>
      <c r="M7" s="4"/>
      <c r="N7" s="10"/>
      <c r="O7" s="4"/>
      <c r="P7" s="4"/>
      <c r="Q7" s="4"/>
      <c r="R7" s="4"/>
      <c r="S7" s="4"/>
      <c r="T7" s="4"/>
      <c r="U7" s="4"/>
      <c r="V7" s="4"/>
      <c r="W7" s="4"/>
      <c r="X7" s="4"/>
      <c r="Y7" s="4"/>
      <c r="Z7" s="4"/>
    </row>
    <row r="8">
      <c r="A8" s="77" t="s">
        <v>1572</v>
      </c>
      <c r="B8" s="17" t="s">
        <v>1573</v>
      </c>
      <c r="C8" s="17" t="s">
        <v>1574</v>
      </c>
      <c r="D8" s="17" t="s">
        <v>1575</v>
      </c>
      <c r="E8" s="79" t="s">
        <v>17</v>
      </c>
      <c r="F8" s="17" t="s">
        <v>331</v>
      </c>
      <c r="G8" s="80">
        <v>45966.36991203704</v>
      </c>
      <c r="H8" s="80">
        <v>45966.45363199074</v>
      </c>
      <c r="I8" s="79"/>
      <c r="J8" s="79" t="s">
        <v>1576</v>
      </c>
      <c r="K8" s="79" t="s">
        <v>1577</v>
      </c>
      <c r="L8" s="4"/>
      <c r="M8" s="4"/>
      <c r="N8" s="81"/>
      <c r="O8" s="4"/>
      <c r="P8" s="82"/>
      <c r="Q8" s="4"/>
      <c r="R8" s="4"/>
      <c r="S8" s="4"/>
      <c r="T8" s="4"/>
      <c r="U8" s="4"/>
      <c r="V8" s="4"/>
      <c r="W8" s="4"/>
      <c r="X8" s="4"/>
      <c r="Y8" s="4"/>
      <c r="Z8" s="4"/>
    </row>
    <row r="9">
      <c r="A9" s="77" t="s">
        <v>1578</v>
      </c>
      <c r="B9" s="17" t="s">
        <v>1579</v>
      </c>
      <c r="C9" s="17" t="s">
        <v>1580</v>
      </c>
      <c r="D9" s="17" t="s">
        <v>1581</v>
      </c>
      <c r="E9" s="79" t="s">
        <v>25</v>
      </c>
      <c r="F9" s="17" t="s">
        <v>331</v>
      </c>
      <c r="G9" s="80">
        <v>45966.389825011574</v>
      </c>
      <c r="H9" s="80">
        <v>45966.456790682874</v>
      </c>
      <c r="I9" s="79"/>
      <c r="J9" s="79" t="s">
        <v>1582</v>
      </c>
      <c r="K9" s="79" t="s">
        <v>1583</v>
      </c>
      <c r="L9" s="4"/>
      <c r="M9" s="4"/>
      <c r="N9" s="81"/>
      <c r="O9" s="4"/>
      <c r="P9" s="82"/>
      <c r="Q9" s="4"/>
      <c r="R9" s="4"/>
      <c r="S9" s="4"/>
      <c r="T9" s="4"/>
      <c r="U9" s="4"/>
      <c r="V9" s="4"/>
      <c r="W9" s="4"/>
      <c r="X9" s="4"/>
      <c r="Y9" s="4"/>
      <c r="Z9" s="4"/>
    </row>
    <row r="10">
      <c r="A10" s="77" t="s">
        <v>1584</v>
      </c>
      <c r="B10" s="17" t="s">
        <v>1585</v>
      </c>
      <c r="C10" s="17" t="s">
        <v>1586</v>
      </c>
      <c r="D10" s="17" t="s">
        <v>1587</v>
      </c>
      <c r="E10" s="79" t="s">
        <v>38</v>
      </c>
      <c r="F10" s="17" t="s">
        <v>331</v>
      </c>
      <c r="G10" s="80">
        <v>45966.368024027775</v>
      </c>
      <c r="H10" s="80">
        <v>45966.46009314815</v>
      </c>
      <c r="I10" s="79"/>
      <c r="J10" s="79" t="s">
        <v>1588</v>
      </c>
      <c r="K10" s="79" t="s">
        <v>1589</v>
      </c>
      <c r="L10" s="4"/>
      <c r="M10" s="4"/>
      <c r="N10" s="81"/>
      <c r="O10" s="4"/>
      <c r="P10" s="82"/>
      <c r="Q10" s="4"/>
      <c r="R10" s="4"/>
      <c r="S10" s="4"/>
      <c r="T10" s="4"/>
      <c r="U10" s="4"/>
      <c r="V10" s="4"/>
      <c r="W10" s="4"/>
      <c r="X10" s="4"/>
      <c r="Y10" s="4"/>
      <c r="Z10" s="4"/>
    </row>
    <row r="11">
      <c r="A11" s="77" t="s">
        <v>1590</v>
      </c>
      <c r="B11" s="17" t="s">
        <v>1591</v>
      </c>
      <c r="C11" s="17" t="s">
        <v>1592</v>
      </c>
      <c r="D11" s="17" t="s">
        <v>1593</v>
      </c>
      <c r="E11" s="79" t="s">
        <v>31</v>
      </c>
      <c r="F11" s="17" t="s">
        <v>331</v>
      </c>
      <c r="G11" s="80">
        <v>45966.37325287037</v>
      </c>
      <c r="H11" s="80">
        <v>45966.467958761576</v>
      </c>
      <c r="I11" s="79"/>
      <c r="J11" s="79" t="s">
        <v>1594</v>
      </c>
      <c r="K11" s="79" t="s">
        <v>1595</v>
      </c>
      <c r="L11" s="4"/>
      <c r="M11" s="4"/>
      <c r="N11" s="10"/>
      <c r="O11" s="4"/>
      <c r="P11" s="4"/>
      <c r="Q11" s="4"/>
      <c r="R11" s="4"/>
      <c r="S11" s="4"/>
      <c r="T11" s="4"/>
      <c r="U11" s="4"/>
      <c r="V11" s="4"/>
      <c r="W11" s="4"/>
      <c r="X11" s="4"/>
      <c r="Y11" s="4"/>
      <c r="Z11" s="4"/>
    </row>
    <row r="12">
      <c r="A12" s="77" t="s">
        <v>1596</v>
      </c>
      <c r="B12" s="17" t="s">
        <v>1597</v>
      </c>
      <c r="C12" s="17" t="s">
        <v>1598</v>
      </c>
      <c r="D12" s="17" t="s">
        <v>1599</v>
      </c>
      <c r="E12" s="79" t="s">
        <v>21</v>
      </c>
      <c r="F12" s="17" t="s">
        <v>331</v>
      </c>
      <c r="G12" s="83">
        <v>45966.45588318287</v>
      </c>
      <c r="H12" s="83">
        <v>45966.489832210646</v>
      </c>
      <c r="I12" s="79"/>
      <c r="J12" s="79" t="s">
        <v>1600</v>
      </c>
      <c r="K12" s="79" t="s">
        <v>1601</v>
      </c>
      <c r="L12" s="4"/>
      <c r="M12" s="4"/>
      <c r="N12" s="81"/>
      <c r="O12" s="4"/>
      <c r="P12" s="82"/>
      <c r="Q12" s="4"/>
      <c r="R12" s="4"/>
      <c r="S12" s="4"/>
      <c r="T12" s="4"/>
      <c r="U12" s="4"/>
      <c r="V12" s="4"/>
      <c r="W12" s="4"/>
      <c r="X12" s="4"/>
      <c r="Y12" s="4"/>
      <c r="Z12" s="4"/>
    </row>
    <row r="13">
      <c r="A13" s="77" t="s">
        <v>350</v>
      </c>
      <c r="B13" s="17" t="s">
        <v>1602</v>
      </c>
      <c r="C13" s="17" t="s">
        <v>352</v>
      </c>
      <c r="D13" s="17" t="s">
        <v>353</v>
      </c>
      <c r="E13" s="79" t="s">
        <v>27</v>
      </c>
      <c r="F13" s="17" t="s">
        <v>346</v>
      </c>
      <c r="G13" s="80">
        <v>45966.37301755787</v>
      </c>
      <c r="H13" s="80">
        <v>45966.49308872686</v>
      </c>
      <c r="I13" s="79"/>
      <c r="J13" s="79" t="s">
        <v>355</v>
      </c>
      <c r="K13" s="79" t="s">
        <v>356</v>
      </c>
      <c r="L13" s="4"/>
      <c r="M13" s="4"/>
      <c r="N13" s="10"/>
      <c r="O13" s="4"/>
      <c r="P13" s="4"/>
      <c r="Q13" s="4"/>
      <c r="R13" s="4"/>
      <c r="S13" s="4"/>
      <c r="T13" s="4"/>
      <c r="U13" s="4"/>
      <c r="V13" s="4"/>
      <c r="W13" s="4"/>
      <c r="X13" s="4"/>
      <c r="Y13" s="4"/>
      <c r="Z13" s="4"/>
    </row>
    <row r="14">
      <c r="A14" s="77" t="s">
        <v>1603</v>
      </c>
      <c r="B14" s="17" t="s">
        <v>1604</v>
      </c>
      <c r="C14" s="17" t="s">
        <v>1605</v>
      </c>
      <c r="D14" s="17" t="s">
        <v>1606</v>
      </c>
      <c r="E14" s="79" t="s">
        <v>38</v>
      </c>
      <c r="F14" s="17" t="s">
        <v>1607</v>
      </c>
      <c r="G14" s="80">
        <v>45966.4680075463</v>
      </c>
      <c r="H14" s="80">
        <v>45966.50994172454</v>
      </c>
      <c r="I14" s="79"/>
      <c r="J14" s="79" t="s">
        <v>1608</v>
      </c>
      <c r="K14" s="79" t="s">
        <v>1609</v>
      </c>
      <c r="L14" s="4"/>
      <c r="M14" s="4"/>
      <c r="N14" s="10"/>
      <c r="O14" s="4"/>
      <c r="P14" s="4"/>
      <c r="Q14" s="4"/>
      <c r="R14" s="4"/>
      <c r="S14" s="4"/>
      <c r="T14" s="4"/>
      <c r="U14" s="4"/>
      <c r="V14" s="4"/>
      <c r="W14" s="4"/>
      <c r="X14" s="4"/>
      <c r="Y14" s="4"/>
      <c r="Z14" s="4"/>
    </row>
    <row r="15">
      <c r="A15" s="77" t="s">
        <v>1610</v>
      </c>
      <c r="B15" s="17" t="s">
        <v>1611</v>
      </c>
      <c r="C15" s="17" t="s">
        <v>1612</v>
      </c>
      <c r="D15" s="17" t="s">
        <v>1613</v>
      </c>
      <c r="E15" s="79" t="s">
        <v>41</v>
      </c>
      <c r="F15" s="17" t="s">
        <v>331</v>
      </c>
      <c r="G15" s="80">
        <v>45966.42864493055</v>
      </c>
      <c r="H15" s="80">
        <v>45966.51880622686</v>
      </c>
      <c r="I15" s="79"/>
      <c r="J15" s="79" t="s">
        <v>1614</v>
      </c>
      <c r="K15" s="79" t="s">
        <v>1615</v>
      </c>
      <c r="L15" s="4"/>
      <c r="M15" s="4"/>
      <c r="N15" s="81"/>
      <c r="O15" s="4"/>
      <c r="P15" s="82"/>
      <c r="Q15" s="4"/>
      <c r="R15" s="4"/>
      <c r="S15" s="4"/>
      <c r="T15" s="4"/>
      <c r="U15" s="4"/>
      <c r="V15" s="4"/>
      <c r="W15" s="4"/>
      <c r="X15" s="4"/>
      <c r="Y15" s="4"/>
      <c r="Z15" s="4"/>
    </row>
    <row r="16">
      <c r="A16" s="77" t="s">
        <v>297</v>
      </c>
      <c r="B16" s="17" t="s">
        <v>1616</v>
      </c>
      <c r="C16" s="17" t="s">
        <v>299</v>
      </c>
      <c r="D16" s="17" t="s">
        <v>300</v>
      </c>
      <c r="E16" s="79" t="s">
        <v>35</v>
      </c>
      <c r="F16" s="17" t="s">
        <v>331</v>
      </c>
      <c r="G16" s="80">
        <v>45966.4186628125</v>
      </c>
      <c r="H16" s="80">
        <v>45966.520919884264</v>
      </c>
      <c r="I16" s="79"/>
      <c r="J16" s="79" t="s">
        <v>301</v>
      </c>
      <c r="K16" s="79" t="s">
        <v>1617</v>
      </c>
      <c r="L16" s="4"/>
      <c r="M16" s="4"/>
      <c r="N16" s="4"/>
      <c r="O16" s="4"/>
      <c r="P16" s="4"/>
      <c r="Q16" s="4"/>
      <c r="R16" s="4"/>
      <c r="S16" s="4"/>
      <c r="T16" s="4"/>
      <c r="U16" s="4"/>
      <c r="V16" s="4"/>
      <c r="W16" s="4"/>
      <c r="X16" s="4"/>
      <c r="Y16" s="4"/>
      <c r="Z16" s="4"/>
    </row>
    <row r="17">
      <c r="A17" s="77" t="s">
        <v>1618</v>
      </c>
      <c r="B17" s="17" t="s">
        <v>1619</v>
      </c>
      <c r="C17" s="17" t="s">
        <v>1620</v>
      </c>
      <c r="D17" s="17" t="s">
        <v>1621</v>
      </c>
      <c r="E17" s="79" t="s">
        <v>19</v>
      </c>
      <c r="F17" s="17" t="s">
        <v>346</v>
      </c>
      <c r="G17" s="83">
        <v>45966.44356373843</v>
      </c>
      <c r="H17" s="80">
        <v>45966.52459503472</v>
      </c>
      <c r="I17" s="79"/>
      <c r="J17" s="79" t="s">
        <v>1622</v>
      </c>
      <c r="K17" s="79" t="s">
        <v>1623</v>
      </c>
      <c r="L17" s="4"/>
      <c r="M17" s="4"/>
      <c r="N17" s="10"/>
      <c r="O17" s="4"/>
      <c r="P17" s="4"/>
      <c r="Q17" s="4"/>
      <c r="R17" s="4"/>
      <c r="S17" s="4"/>
      <c r="T17" s="4"/>
      <c r="U17" s="4"/>
      <c r="V17" s="4"/>
      <c r="W17" s="4"/>
      <c r="X17" s="4"/>
      <c r="Y17" s="4"/>
      <c r="Z17" s="4"/>
    </row>
    <row r="18">
      <c r="A18" s="77" t="s">
        <v>1467</v>
      </c>
      <c r="B18" s="17" t="s">
        <v>1624</v>
      </c>
      <c r="C18" s="17" t="s">
        <v>1625</v>
      </c>
      <c r="D18" s="17" t="s">
        <v>1626</v>
      </c>
      <c r="E18" s="79" t="s">
        <v>39</v>
      </c>
      <c r="F18" s="17" t="s">
        <v>346</v>
      </c>
      <c r="G18" s="80">
        <v>45966.5299172338</v>
      </c>
      <c r="H18" s="80">
        <v>45966.53023693287</v>
      </c>
      <c r="I18" s="79"/>
      <c r="J18" s="79" t="s">
        <v>1627</v>
      </c>
      <c r="K18" s="79" t="s">
        <v>1628</v>
      </c>
      <c r="L18" s="4"/>
      <c r="M18" s="4"/>
      <c r="N18" s="10"/>
      <c r="O18" s="4"/>
      <c r="P18" s="4"/>
      <c r="Q18" s="4"/>
      <c r="R18" s="4"/>
      <c r="S18" s="4"/>
      <c r="T18" s="4"/>
      <c r="U18" s="4"/>
      <c r="V18" s="4"/>
      <c r="W18" s="4"/>
      <c r="X18" s="4"/>
      <c r="Y18" s="4"/>
      <c r="Z18" s="4"/>
    </row>
    <row r="19">
      <c r="A19" s="77" t="s">
        <v>1629</v>
      </c>
      <c r="B19" s="17" t="s">
        <v>1630</v>
      </c>
      <c r="C19" s="17" t="s">
        <v>1631</v>
      </c>
      <c r="D19" s="17" t="s">
        <v>1632</v>
      </c>
      <c r="E19" s="79" t="s">
        <v>17</v>
      </c>
      <c r="F19" s="17" t="s">
        <v>346</v>
      </c>
      <c r="G19" s="80">
        <v>45966.453851631944</v>
      </c>
      <c r="H19" s="80">
        <v>45966.54207768518</v>
      </c>
      <c r="I19" s="79"/>
      <c r="J19" s="79" t="s">
        <v>1633</v>
      </c>
      <c r="K19" s="79" t="s">
        <v>1634</v>
      </c>
      <c r="L19" s="4"/>
      <c r="M19" s="4"/>
      <c r="N19" s="10"/>
      <c r="O19" s="4"/>
      <c r="P19" s="4"/>
      <c r="Q19" s="4"/>
      <c r="R19" s="4"/>
      <c r="S19" s="4"/>
      <c r="T19" s="4"/>
      <c r="U19" s="4"/>
      <c r="V19" s="4"/>
      <c r="W19" s="4"/>
      <c r="X19" s="4"/>
      <c r="Y19" s="4"/>
      <c r="Z19" s="4"/>
    </row>
    <row r="20">
      <c r="A20" s="77" t="s">
        <v>1461</v>
      </c>
      <c r="B20" s="17" t="s">
        <v>1635</v>
      </c>
      <c r="C20" s="17" t="s">
        <v>1636</v>
      </c>
      <c r="D20" s="17" t="s">
        <v>1637</v>
      </c>
      <c r="E20" s="79" t="s">
        <v>31</v>
      </c>
      <c r="F20" s="17" t="s">
        <v>346</v>
      </c>
      <c r="G20" s="80">
        <v>45966.482769236114</v>
      </c>
      <c r="H20" s="80">
        <v>45966.54374638889</v>
      </c>
      <c r="I20" s="79"/>
      <c r="J20" s="79" t="s">
        <v>1638</v>
      </c>
      <c r="K20" s="79" t="s">
        <v>1639</v>
      </c>
      <c r="L20" s="4"/>
      <c r="M20" s="4"/>
      <c r="N20" s="10"/>
      <c r="O20" s="4"/>
      <c r="P20" s="4"/>
      <c r="Q20" s="4"/>
      <c r="R20" s="4"/>
      <c r="S20" s="4"/>
      <c r="T20" s="4"/>
      <c r="U20" s="4"/>
      <c r="V20" s="4"/>
      <c r="W20" s="4"/>
      <c r="X20" s="4"/>
      <c r="Y20" s="4"/>
      <c r="Z20" s="4"/>
    </row>
    <row r="21">
      <c r="A21" s="77" t="s">
        <v>1640</v>
      </c>
      <c r="B21" s="17" t="s">
        <v>1641</v>
      </c>
      <c r="C21" s="17" t="s">
        <v>1642</v>
      </c>
      <c r="D21" s="17" t="s">
        <v>1643</v>
      </c>
      <c r="E21" s="79" t="s">
        <v>25</v>
      </c>
      <c r="F21" s="17" t="s">
        <v>331</v>
      </c>
      <c r="G21" s="80">
        <v>45966.468188391205</v>
      </c>
      <c r="H21" s="80">
        <v>45966.55042357639</v>
      </c>
      <c r="I21" s="79"/>
      <c r="J21" s="79" t="s">
        <v>1644</v>
      </c>
      <c r="K21" s="79" t="s">
        <v>1645</v>
      </c>
      <c r="L21" s="4"/>
      <c r="M21" s="4"/>
      <c r="N21" s="81"/>
      <c r="O21" s="4"/>
      <c r="P21" s="82"/>
      <c r="Q21" s="4"/>
      <c r="R21" s="4"/>
      <c r="S21" s="4"/>
      <c r="T21" s="4"/>
      <c r="U21" s="4"/>
      <c r="V21" s="4"/>
      <c r="W21" s="4"/>
      <c r="X21" s="4"/>
      <c r="Y21" s="4"/>
      <c r="Z21" s="4"/>
    </row>
    <row r="22">
      <c r="A22" s="77" t="s">
        <v>1646</v>
      </c>
      <c r="B22" s="17" t="s">
        <v>1647</v>
      </c>
      <c r="C22" s="17" t="s">
        <v>1648</v>
      </c>
      <c r="D22" s="17" t="s">
        <v>1649</v>
      </c>
      <c r="E22" s="79" t="s">
        <v>38</v>
      </c>
      <c r="F22" s="17" t="s">
        <v>1607</v>
      </c>
      <c r="G22" s="80">
        <v>45966.513215706014</v>
      </c>
      <c r="H22" s="80">
        <v>45966.55607733796</v>
      </c>
      <c r="I22" s="79"/>
      <c r="J22" s="79" t="s">
        <v>1650</v>
      </c>
      <c r="K22" s="79" t="s">
        <v>1651</v>
      </c>
      <c r="L22" s="4"/>
      <c r="M22" s="4"/>
      <c r="N22" s="10"/>
      <c r="O22" s="4"/>
      <c r="P22" s="4"/>
      <c r="Q22" s="4"/>
      <c r="R22" s="4"/>
      <c r="S22" s="4"/>
      <c r="T22" s="4"/>
      <c r="U22" s="4"/>
      <c r="V22" s="4"/>
      <c r="W22" s="4"/>
      <c r="X22" s="4"/>
      <c r="Y22" s="4"/>
      <c r="Z22" s="4"/>
    </row>
    <row r="23">
      <c r="A23" s="77" t="s">
        <v>364</v>
      </c>
      <c r="B23" s="17" t="s">
        <v>1652</v>
      </c>
      <c r="C23" s="17" t="s">
        <v>366</v>
      </c>
      <c r="D23" s="17" t="s">
        <v>367</v>
      </c>
      <c r="E23" s="79" t="s">
        <v>41</v>
      </c>
      <c r="F23" s="17" t="s">
        <v>346</v>
      </c>
      <c r="G23" s="80">
        <v>45966.55994528935</v>
      </c>
      <c r="H23" s="80">
        <v>45966.565995578705</v>
      </c>
      <c r="I23" s="79"/>
      <c r="J23" s="79" t="s">
        <v>369</v>
      </c>
      <c r="K23" s="79" t="s">
        <v>370</v>
      </c>
      <c r="L23" s="4"/>
      <c r="M23" s="4"/>
      <c r="N23" s="10"/>
      <c r="O23" s="4"/>
      <c r="P23" s="4"/>
      <c r="Q23" s="4"/>
      <c r="R23" s="4"/>
      <c r="S23" s="4"/>
      <c r="T23" s="4"/>
      <c r="U23" s="4"/>
      <c r="V23" s="4"/>
      <c r="W23" s="4"/>
      <c r="X23" s="4"/>
      <c r="Y23" s="4"/>
      <c r="Z23" s="4"/>
    </row>
    <row r="24">
      <c r="A24" s="77" t="s">
        <v>1653</v>
      </c>
      <c r="B24" s="17" t="s">
        <v>1654</v>
      </c>
      <c r="C24" s="17" t="s">
        <v>1655</v>
      </c>
      <c r="D24" s="17" t="s">
        <v>1656</v>
      </c>
      <c r="E24" s="79" t="s">
        <v>19</v>
      </c>
      <c r="F24" s="17" t="s">
        <v>1607</v>
      </c>
      <c r="G24" s="83">
        <v>45966.56605115741</v>
      </c>
      <c r="H24" s="80">
        <v>45966.58007261574</v>
      </c>
      <c r="I24" s="79"/>
      <c r="J24" s="79" t="s">
        <v>1657</v>
      </c>
      <c r="K24" s="79" t="s">
        <v>1658</v>
      </c>
      <c r="L24" s="4"/>
      <c r="M24" s="4"/>
      <c r="N24" s="10"/>
      <c r="O24" s="4"/>
      <c r="P24" s="4"/>
      <c r="Q24" s="4"/>
      <c r="R24" s="4"/>
      <c r="S24" s="4"/>
      <c r="T24" s="4"/>
      <c r="U24" s="4"/>
      <c r="V24" s="4"/>
      <c r="W24" s="4"/>
      <c r="X24" s="4"/>
      <c r="Y24" s="4"/>
      <c r="Z24" s="4"/>
    </row>
    <row r="25">
      <c r="A25" s="77" t="s">
        <v>1659</v>
      </c>
      <c r="B25" s="17" t="s">
        <v>1660</v>
      </c>
      <c r="C25" s="17" t="s">
        <v>1661</v>
      </c>
      <c r="D25" s="17" t="s">
        <v>1662</v>
      </c>
      <c r="E25" s="17" t="s">
        <v>23</v>
      </c>
      <c r="F25" s="17" t="s">
        <v>1663</v>
      </c>
      <c r="G25" s="80">
        <v>45966.50596553241</v>
      </c>
      <c r="H25" s="80">
        <v>45966.587950057874</v>
      </c>
      <c r="I25" s="79"/>
      <c r="J25" s="79" t="e">
        <v>#N/A</v>
      </c>
      <c r="K25" s="79" t="e">
        <v>#N/A</v>
      </c>
      <c r="L25" s="4"/>
      <c r="M25" s="4"/>
      <c r="N25" s="10"/>
      <c r="O25" s="4"/>
      <c r="P25" s="4"/>
      <c r="Q25" s="4"/>
      <c r="R25" s="4"/>
      <c r="S25" s="4"/>
      <c r="T25" s="4"/>
      <c r="U25" s="4"/>
      <c r="V25" s="4"/>
      <c r="W25" s="4"/>
      <c r="X25" s="4"/>
      <c r="Y25" s="4"/>
      <c r="Z25" s="4"/>
    </row>
    <row r="26">
      <c r="A26" s="77" t="s">
        <v>1664</v>
      </c>
      <c r="B26" s="17" t="s">
        <v>1665</v>
      </c>
      <c r="C26" s="17" t="s">
        <v>1666</v>
      </c>
      <c r="D26" s="17" t="s">
        <v>1667</v>
      </c>
      <c r="E26" s="17" t="s">
        <v>21</v>
      </c>
      <c r="F26" s="17" t="s">
        <v>1607</v>
      </c>
      <c r="G26" s="83">
        <v>45966.55445589121</v>
      </c>
      <c r="H26" s="83">
        <v>45966.60917386574</v>
      </c>
      <c r="I26" s="79"/>
      <c r="J26" s="79" t="s">
        <v>1668</v>
      </c>
      <c r="K26" s="79" t="s">
        <v>1669</v>
      </c>
      <c r="L26" s="4"/>
      <c r="M26" s="4"/>
      <c r="N26" s="10"/>
      <c r="O26" s="4"/>
      <c r="P26" s="4"/>
      <c r="Q26" s="4"/>
      <c r="R26" s="4"/>
      <c r="S26" s="4"/>
      <c r="T26" s="4"/>
      <c r="U26" s="4"/>
      <c r="V26" s="4"/>
      <c r="W26" s="4"/>
      <c r="X26" s="4"/>
      <c r="Y26" s="4"/>
      <c r="Z26" s="4"/>
    </row>
    <row r="27">
      <c r="A27" s="77" t="s">
        <v>1670</v>
      </c>
      <c r="B27" s="17" t="s">
        <v>1671</v>
      </c>
      <c r="C27" s="17" t="s">
        <v>1672</v>
      </c>
      <c r="D27" s="17" t="s">
        <v>1673</v>
      </c>
      <c r="E27" s="79" t="s">
        <v>35</v>
      </c>
      <c r="F27" s="17" t="s">
        <v>331</v>
      </c>
      <c r="G27" s="80">
        <v>45966.55955142361</v>
      </c>
      <c r="H27" s="80">
        <v>45966.621440613424</v>
      </c>
      <c r="I27" s="79"/>
      <c r="J27" s="79" t="s">
        <v>1674</v>
      </c>
      <c r="K27" s="79" t="s">
        <v>1675</v>
      </c>
      <c r="L27" s="4"/>
      <c r="M27" s="4"/>
      <c r="N27" s="81"/>
      <c r="O27" s="4"/>
      <c r="P27" s="4"/>
      <c r="Q27" s="4"/>
      <c r="R27" s="4"/>
      <c r="S27" s="4"/>
      <c r="T27" s="4"/>
      <c r="U27" s="4"/>
      <c r="V27" s="4"/>
      <c r="W27" s="4"/>
      <c r="X27" s="4"/>
      <c r="Y27" s="4"/>
      <c r="Z27" s="4"/>
    </row>
    <row r="28">
      <c r="A28" s="77" t="s">
        <v>1676</v>
      </c>
      <c r="B28" s="17" t="s">
        <v>1677</v>
      </c>
      <c r="C28" s="17" t="s">
        <v>1678</v>
      </c>
      <c r="D28" s="17" t="s">
        <v>1679</v>
      </c>
      <c r="E28" s="79" t="s">
        <v>17</v>
      </c>
      <c r="F28" s="17" t="s">
        <v>331</v>
      </c>
      <c r="G28" s="80">
        <v>45966.6033684838</v>
      </c>
      <c r="H28" s="80">
        <v>45966.64089997685</v>
      </c>
      <c r="I28" s="79"/>
      <c r="J28" s="79" t="s">
        <v>1680</v>
      </c>
      <c r="K28" s="79" t="s">
        <v>1681</v>
      </c>
      <c r="L28" s="4"/>
      <c r="M28" s="4"/>
      <c r="N28" s="81"/>
      <c r="O28" s="4"/>
      <c r="P28" s="82"/>
      <c r="Q28" s="4"/>
      <c r="R28" s="4"/>
      <c r="S28" s="4"/>
      <c r="T28" s="4"/>
      <c r="U28" s="4"/>
      <c r="V28" s="4"/>
      <c r="W28" s="4"/>
      <c r="X28" s="4"/>
      <c r="Y28" s="4"/>
      <c r="Z28" s="4"/>
    </row>
    <row r="29">
      <c r="A29" s="77" t="s">
        <v>1682</v>
      </c>
      <c r="B29" s="17" t="s">
        <v>1683</v>
      </c>
      <c r="C29" s="17" t="s">
        <v>1684</v>
      </c>
      <c r="D29" s="17" t="s">
        <v>1685</v>
      </c>
      <c r="E29" s="79" t="s">
        <v>31</v>
      </c>
      <c r="F29" s="17" t="s">
        <v>1663</v>
      </c>
      <c r="G29" s="80">
        <v>45966.56301488426</v>
      </c>
      <c r="H29" s="80">
        <v>45966.646998067125</v>
      </c>
      <c r="I29" s="79"/>
      <c r="J29" s="79" t="s">
        <v>1686</v>
      </c>
      <c r="K29" s="79" t="s">
        <v>1687</v>
      </c>
      <c r="L29" s="4"/>
      <c r="M29" s="4"/>
      <c r="N29" s="10"/>
      <c r="O29" s="4"/>
      <c r="P29" s="4"/>
      <c r="Q29" s="4"/>
      <c r="R29" s="4"/>
      <c r="S29" s="4"/>
      <c r="T29" s="4"/>
      <c r="U29" s="4"/>
      <c r="V29" s="4"/>
      <c r="W29" s="4"/>
      <c r="X29" s="4"/>
      <c r="Y29" s="4"/>
      <c r="Z29" s="4"/>
    </row>
    <row r="30">
      <c r="A30" s="77" t="s">
        <v>259</v>
      </c>
      <c r="B30" s="17" t="s">
        <v>1688</v>
      </c>
      <c r="C30" s="17" t="s">
        <v>261</v>
      </c>
      <c r="D30" s="17" t="s">
        <v>262</v>
      </c>
      <c r="E30" s="17" t="s">
        <v>19</v>
      </c>
      <c r="F30" s="17" t="s">
        <v>1689</v>
      </c>
      <c r="G30" s="83">
        <v>45966.59220087963</v>
      </c>
      <c r="H30" s="80">
        <v>45966.64705328704</v>
      </c>
      <c r="I30" s="17"/>
      <c r="J30" s="17"/>
      <c r="K30" s="17"/>
      <c r="L30" s="4"/>
      <c r="M30" s="4"/>
      <c r="N30" s="10"/>
      <c r="O30" s="4"/>
      <c r="P30" s="4"/>
      <c r="Q30" s="4"/>
      <c r="R30" s="4"/>
      <c r="S30" s="4"/>
      <c r="T30" s="4"/>
      <c r="U30" s="4"/>
      <c r="V30" s="4"/>
      <c r="W30" s="4"/>
      <c r="X30" s="4"/>
      <c r="Y30" s="4"/>
      <c r="Z30" s="4"/>
    </row>
    <row r="31">
      <c r="A31" s="77" t="s">
        <v>1690</v>
      </c>
      <c r="B31" s="17" t="s">
        <v>1691</v>
      </c>
      <c r="C31" s="17" t="s">
        <v>1692</v>
      </c>
      <c r="D31" s="17" t="s">
        <v>1693</v>
      </c>
      <c r="E31" s="79" t="s">
        <v>31</v>
      </c>
      <c r="F31" s="17" t="s">
        <v>1663</v>
      </c>
      <c r="G31" s="80">
        <v>45966.64323328703</v>
      </c>
      <c r="H31" s="80">
        <v>45966.65845503472</v>
      </c>
      <c r="I31" s="79"/>
      <c r="J31" s="79" t="s">
        <v>1694</v>
      </c>
      <c r="K31" s="79" t="s">
        <v>1695</v>
      </c>
      <c r="L31" s="4"/>
      <c r="M31" s="4"/>
      <c r="N31" s="10"/>
      <c r="O31" s="4"/>
      <c r="P31" s="4"/>
      <c r="Q31" s="4"/>
      <c r="R31" s="4"/>
      <c r="S31" s="4"/>
      <c r="T31" s="4"/>
      <c r="U31" s="4"/>
      <c r="V31" s="4"/>
      <c r="W31" s="4"/>
      <c r="X31" s="4"/>
      <c r="Y31" s="4"/>
      <c r="Z31" s="4"/>
    </row>
    <row r="32">
      <c r="A32" s="77" t="s">
        <v>1696</v>
      </c>
      <c r="B32" s="79" t="s">
        <v>1697</v>
      </c>
      <c r="C32" s="17" t="s">
        <v>1698</v>
      </c>
      <c r="D32" s="17" t="s">
        <v>1699</v>
      </c>
      <c r="E32" s="17" t="s">
        <v>35</v>
      </c>
      <c r="F32" s="17" t="s">
        <v>331</v>
      </c>
      <c r="G32" s="80">
        <v>45966.62355826389</v>
      </c>
      <c r="H32" s="80">
        <v>45966.65903369213</v>
      </c>
      <c r="I32" s="79"/>
      <c r="J32" s="79" t="s">
        <v>1700</v>
      </c>
      <c r="K32" s="79" t="s">
        <v>1701</v>
      </c>
      <c r="L32" s="4"/>
      <c r="M32" s="4"/>
      <c r="N32" s="10"/>
      <c r="O32" s="4"/>
      <c r="P32" s="4"/>
      <c r="Q32" s="4"/>
      <c r="R32" s="4"/>
      <c r="S32" s="4"/>
      <c r="T32" s="4"/>
      <c r="U32" s="4"/>
      <c r="V32" s="4"/>
      <c r="W32" s="4"/>
      <c r="X32" s="4"/>
      <c r="Y32" s="4"/>
      <c r="Z32" s="4"/>
    </row>
    <row r="33">
      <c r="A33" s="77" t="s">
        <v>1702</v>
      </c>
      <c r="B33" s="17" t="s">
        <v>1703</v>
      </c>
      <c r="C33" s="17" t="s">
        <v>1704</v>
      </c>
      <c r="D33" s="17" t="s">
        <v>1705</v>
      </c>
      <c r="E33" s="79" t="s">
        <v>38</v>
      </c>
      <c r="F33" s="17" t="s">
        <v>1607</v>
      </c>
      <c r="G33" s="80">
        <v>45966.55629166667</v>
      </c>
      <c r="H33" s="80">
        <v>45966.665266701384</v>
      </c>
      <c r="I33" s="79"/>
      <c r="J33" s="79" t="s">
        <v>1706</v>
      </c>
      <c r="K33" s="79" t="s">
        <v>1707</v>
      </c>
      <c r="L33" s="4"/>
      <c r="M33" s="4"/>
      <c r="N33" s="10"/>
      <c r="O33" s="4"/>
      <c r="P33" s="4"/>
      <c r="Q33" s="4"/>
      <c r="R33" s="4"/>
      <c r="S33" s="4"/>
      <c r="T33" s="4"/>
      <c r="U33" s="4"/>
      <c r="V33" s="4"/>
      <c r="W33" s="4"/>
      <c r="X33" s="4"/>
      <c r="Y33" s="4"/>
      <c r="Z33" s="4"/>
    </row>
    <row r="34">
      <c r="A34" s="77" t="s">
        <v>1708</v>
      </c>
      <c r="B34" s="17" t="s">
        <v>1709</v>
      </c>
      <c r="C34" s="17" t="s">
        <v>1710</v>
      </c>
      <c r="D34" s="17" t="s">
        <v>1711</v>
      </c>
      <c r="E34" s="79" t="s">
        <v>25</v>
      </c>
      <c r="F34" s="17" t="s">
        <v>1607</v>
      </c>
      <c r="G34" s="80">
        <v>45966.59831046296</v>
      </c>
      <c r="H34" s="80">
        <v>45966.66827145833</v>
      </c>
      <c r="I34" s="79"/>
      <c r="J34" s="79" t="s">
        <v>1712</v>
      </c>
      <c r="K34" s="79" t="s">
        <v>1713</v>
      </c>
      <c r="L34" s="4"/>
      <c r="M34" s="4"/>
      <c r="N34" s="10"/>
      <c r="O34" s="4"/>
      <c r="P34" s="4"/>
      <c r="Q34" s="4"/>
      <c r="R34" s="4"/>
      <c r="S34" s="4"/>
      <c r="T34" s="4"/>
      <c r="U34" s="4"/>
      <c r="V34" s="4"/>
      <c r="W34" s="4"/>
      <c r="X34" s="4"/>
      <c r="Y34" s="4"/>
      <c r="Z34" s="4"/>
    </row>
    <row r="35">
      <c r="A35" s="77" t="s">
        <v>1714</v>
      </c>
      <c r="B35" s="17" t="s">
        <v>1715</v>
      </c>
      <c r="C35" s="17" t="s">
        <v>1716</v>
      </c>
      <c r="D35" s="17" t="s">
        <v>1717</v>
      </c>
      <c r="E35" s="79" t="s">
        <v>27</v>
      </c>
      <c r="F35" s="17" t="s">
        <v>331</v>
      </c>
      <c r="G35" s="80">
        <v>45966.629270370366</v>
      </c>
      <c r="H35" s="80">
        <v>45966.67002523148</v>
      </c>
      <c r="I35" s="79"/>
      <c r="J35" s="79" t="s">
        <v>1718</v>
      </c>
      <c r="K35" s="79" t="s">
        <v>1719</v>
      </c>
      <c r="L35" s="4"/>
      <c r="M35" s="4"/>
      <c r="N35" s="4"/>
      <c r="O35" s="4"/>
      <c r="P35" s="4"/>
      <c r="Q35" s="4"/>
      <c r="R35" s="4"/>
      <c r="S35" s="4"/>
      <c r="T35" s="4"/>
      <c r="U35" s="4"/>
      <c r="V35" s="4"/>
      <c r="W35" s="4"/>
      <c r="X35" s="4"/>
      <c r="Y35" s="4"/>
      <c r="Z35" s="4"/>
    </row>
    <row r="36">
      <c r="A36" s="77" t="s">
        <v>1720</v>
      </c>
      <c r="B36" s="17" t="s">
        <v>1721</v>
      </c>
      <c r="C36" s="17" t="s">
        <v>1722</v>
      </c>
      <c r="D36" s="17" t="s">
        <v>1723</v>
      </c>
      <c r="E36" s="79" t="s">
        <v>41</v>
      </c>
      <c r="F36" s="17" t="s">
        <v>346</v>
      </c>
      <c r="G36" s="80">
        <v>45966.589972291666</v>
      </c>
      <c r="H36" s="80">
        <v>45966.674061875005</v>
      </c>
      <c r="I36" s="79"/>
      <c r="J36" s="79" t="s">
        <v>1724</v>
      </c>
      <c r="K36" s="79" t="s">
        <v>1725</v>
      </c>
      <c r="L36" s="4"/>
      <c r="M36" s="4"/>
      <c r="N36" s="10"/>
      <c r="O36" s="4"/>
      <c r="P36" s="4"/>
      <c r="Q36" s="4"/>
      <c r="R36" s="4"/>
      <c r="S36" s="4"/>
      <c r="T36" s="4"/>
      <c r="U36" s="4"/>
      <c r="V36" s="4"/>
      <c r="W36" s="4"/>
      <c r="X36" s="4"/>
      <c r="Y36" s="4"/>
      <c r="Z36" s="4"/>
    </row>
    <row r="37">
      <c r="A37" s="77" t="s">
        <v>342</v>
      </c>
      <c r="B37" s="17" t="s">
        <v>1726</v>
      </c>
      <c r="C37" s="17" t="s">
        <v>1727</v>
      </c>
      <c r="D37" s="17" t="s">
        <v>1728</v>
      </c>
      <c r="E37" s="79" t="s">
        <v>23</v>
      </c>
      <c r="F37" s="17" t="s">
        <v>346</v>
      </c>
      <c r="G37" s="80">
        <v>45966.63101804398</v>
      </c>
      <c r="H37" s="80">
        <v>45966.68233306713</v>
      </c>
      <c r="I37" s="79"/>
      <c r="J37" s="79" t="s">
        <v>348</v>
      </c>
      <c r="K37" s="79" t="s">
        <v>349</v>
      </c>
      <c r="L37" s="4"/>
      <c r="M37" s="4"/>
      <c r="N37" s="10"/>
      <c r="O37" s="4"/>
      <c r="P37" s="4"/>
      <c r="Q37" s="4"/>
      <c r="R37" s="4"/>
      <c r="S37" s="4"/>
      <c r="T37" s="4"/>
      <c r="U37" s="4"/>
      <c r="V37" s="4"/>
      <c r="W37" s="4"/>
      <c r="X37" s="4"/>
      <c r="Y37" s="4"/>
      <c r="Z37" s="4"/>
    </row>
    <row r="38">
      <c r="A38" s="77" t="s">
        <v>462</v>
      </c>
      <c r="B38" s="17" t="s">
        <v>1729</v>
      </c>
      <c r="C38" s="17" t="s">
        <v>1730</v>
      </c>
      <c r="D38" s="17" t="s">
        <v>1731</v>
      </c>
      <c r="E38" s="79" t="s">
        <v>39</v>
      </c>
      <c r="F38" s="17" t="s">
        <v>346</v>
      </c>
      <c r="G38" s="80">
        <v>45966.65765440972</v>
      </c>
      <c r="H38" s="80">
        <v>45966.737428125</v>
      </c>
      <c r="I38" s="79"/>
      <c r="J38" s="79" t="s">
        <v>1732</v>
      </c>
      <c r="K38" s="79" t="s">
        <v>1733</v>
      </c>
      <c r="L38" s="4"/>
      <c r="M38" s="4"/>
      <c r="N38" s="10"/>
      <c r="O38" s="4"/>
      <c r="P38" s="4"/>
      <c r="Q38" s="4"/>
      <c r="R38" s="4"/>
      <c r="S38" s="4"/>
      <c r="T38" s="4"/>
      <c r="U38" s="4"/>
      <c r="V38" s="4"/>
      <c r="W38" s="4"/>
      <c r="X38" s="4"/>
      <c r="Y38" s="4"/>
      <c r="Z38" s="4"/>
    </row>
    <row r="39">
      <c r="A39" s="77" t="s">
        <v>1734</v>
      </c>
      <c r="B39" s="17" t="s">
        <v>1735</v>
      </c>
      <c r="C39" s="17" t="s">
        <v>1736</v>
      </c>
      <c r="D39" s="17" t="s">
        <v>1737</v>
      </c>
      <c r="E39" s="79" t="s">
        <v>41</v>
      </c>
      <c r="F39" s="17" t="s">
        <v>346</v>
      </c>
      <c r="G39" s="80">
        <v>45966.67829467593</v>
      </c>
      <c r="H39" s="80">
        <v>45966.73897070602</v>
      </c>
      <c r="I39" s="79"/>
      <c r="J39" s="79" t="s">
        <v>1738</v>
      </c>
      <c r="K39" s="79" t="s">
        <v>1739</v>
      </c>
      <c r="L39" s="4"/>
      <c r="M39" s="4"/>
      <c r="N39" s="10"/>
      <c r="O39" s="4"/>
      <c r="P39" s="4"/>
      <c r="Q39" s="4"/>
      <c r="R39" s="4"/>
      <c r="S39" s="4"/>
      <c r="T39" s="4"/>
      <c r="U39" s="4"/>
      <c r="V39" s="4"/>
      <c r="W39" s="4"/>
      <c r="X39" s="4"/>
      <c r="Y39" s="4"/>
      <c r="Z39" s="4"/>
    </row>
    <row r="40">
      <c r="A40" s="77" t="s">
        <v>1740</v>
      </c>
      <c r="B40" s="17" t="s">
        <v>1741</v>
      </c>
      <c r="C40" s="17" t="s">
        <v>1742</v>
      </c>
      <c r="D40" s="17" t="s">
        <v>1743</v>
      </c>
      <c r="E40" s="79" t="s">
        <v>21</v>
      </c>
      <c r="F40" s="17" t="s">
        <v>1607</v>
      </c>
      <c r="G40" s="83">
        <v>45966.67756633102</v>
      </c>
      <c r="H40" s="83">
        <v>45966.74632796296</v>
      </c>
      <c r="I40" s="79"/>
      <c r="J40" s="79" t="s">
        <v>1744</v>
      </c>
      <c r="K40" s="79"/>
      <c r="L40" s="4"/>
      <c r="M40" s="4"/>
      <c r="N40" s="10"/>
      <c r="O40" s="4"/>
      <c r="P40" s="4"/>
      <c r="Q40" s="4"/>
      <c r="R40" s="4"/>
      <c r="S40" s="4"/>
      <c r="T40" s="4"/>
      <c r="U40" s="4"/>
      <c r="V40" s="4"/>
      <c r="W40" s="4"/>
      <c r="X40" s="4"/>
      <c r="Y40" s="4"/>
      <c r="Z40" s="4"/>
    </row>
    <row r="41">
      <c r="A41" s="77" t="s">
        <v>1745</v>
      </c>
      <c r="B41" s="17" t="s">
        <v>1746</v>
      </c>
      <c r="C41" s="17" t="s">
        <v>1747</v>
      </c>
      <c r="D41" s="17" t="s">
        <v>1748</v>
      </c>
      <c r="E41" s="79" t="s">
        <v>25</v>
      </c>
      <c r="F41" s="17" t="s">
        <v>1607</v>
      </c>
      <c r="G41" s="80">
        <v>45966.693932546295</v>
      </c>
      <c r="H41" s="80">
        <v>45966.74868186342</v>
      </c>
      <c r="I41" s="79"/>
      <c r="J41" s="79" t="s">
        <v>1749</v>
      </c>
      <c r="K41" s="79" t="s">
        <v>1750</v>
      </c>
      <c r="L41" s="4"/>
      <c r="M41" s="4"/>
      <c r="N41" s="10"/>
      <c r="O41" s="4"/>
      <c r="P41" s="4"/>
      <c r="Q41" s="4"/>
      <c r="R41" s="4"/>
      <c r="S41" s="4"/>
      <c r="T41" s="4"/>
      <c r="U41" s="4"/>
      <c r="V41" s="4"/>
      <c r="W41" s="4"/>
      <c r="X41" s="4"/>
      <c r="Y41" s="4"/>
      <c r="Z41" s="4"/>
    </row>
    <row r="42">
      <c r="A42" s="77" t="s">
        <v>1751</v>
      </c>
      <c r="B42" s="17" t="s">
        <v>1752</v>
      </c>
      <c r="C42" s="17" t="s">
        <v>1753</v>
      </c>
      <c r="D42" s="17" t="s">
        <v>1754</v>
      </c>
      <c r="E42" s="79" t="s">
        <v>35</v>
      </c>
      <c r="F42" s="17" t="s">
        <v>331</v>
      </c>
      <c r="G42" s="80">
        <v>45966.657364618055</v>
      </c>
      <c r="H42" s="80">
        <v>45966.750418344905</v>
      </c>
      <c r="I42" s="79"/>
      <c r="J42" s="79" t="s">
        <v>1755</v>
      </c>
      <c r="K42" s="79" t="s">
        <v>1756</v>
      </c>
      <c r="L42" s="4"/>
      <c r="M42" s="4"/>
      <c r="N42" s="4"/>
      <c r="O42" s="4"/>
      <c r="P42" s="4"/>
      <c r="Q42" s="4"/>
      <c r="R42" s="4"/>
      <c r="S42" s="4"/>
      <c r="T42" s="4"/>
      <c r="U42" s="4"/>
      <c r="V42" s="4"/>
      <c r="W42" s="4"/>
      <c r="X42" s="4"/>
      <c r="Y42" s="4"/>
      <c r="Z42" s="4"/>
    </row>
    <row r="43">
      <c r="A43" s="77" t="s">
        <v>1468</v>
      </c>
      <c r="B43" s="17" t="s">
        <v>1757</v>
      </c>
      <c r="C43" s="17" t="s">
        <v>1758</v>
      </c>
      <c r="D43" s="17" t="s">
        <v>1759</v>
      </c>
      <c r="E43" s="79" t="s">
        <v>23</v>
      </c>
      <c r="F43" s="17" t="s">
        <v>346</v>
      </c>
      <c r="G43" s="80">
        <v>45966.68862861111</v>
      </c>
      <c r="H43" s="80">
        <v>45966.75117883102</v>
      </c>
      <c r="I43" s="79"/>
      <c r="J43" s="79" t="s">
        <v>1760</v>
      </c>
      <c r="K43" s="79" t="s">
        <v>1761</v>
      </c>
      <c r="L43" s="4"/>
      <c r="M43" s="4"/>
      <c r="N43" s="10"/>
      <c r="O43" s="4"/>
      <c r="P43" s="4"/>
      <c r="Q43" s="4"/>
      <c r="R43" s="4"/>
      <c r="S43" s="4"/>
      <c r="T43" s="4"/>
      <c r="U43" s="4"/>
      <c r="V43" s="4"/>
      <c r="W43" s="4"/>
      <c r="X43" s="4"/>
      <c r="Y43" s="4"/>
      <c r="Z43" s="4"/>
    </row>
    <row r="44">
      <c r="A44" s="77" t="s">
        <v>1762</v>
      </c>
      <c r="B44" s="17" t="s">
        <v>1763</v>
      </c>
      <c r="C44" s="17" t="s">
        <v>1764</v>
      </c>
      <c r="D44" s="17" t="s">
        <v>1765</v>
      </c>
      <c r="E44" s="79" t="s">
        <v>19</v>
      </c>
      <c r="F44" s="17" t="s">
        <v>1607</v>
      </c>
      <c r="G44" s="83">
        <v>45966.67003512732</v>
      </c>
      <c r="H44" s="80">
        <v>45966.75130178241</v>
      </c>
      <c r="I44" s="79"/>
      <c r="J44" s="79" t="s">
        <v>1766</v>
      </c>
      <c r="K44" s="79"/>
      <c r="L44" s="4"/>
      <c r="M44" s="4"/>
      <c r="N44" s="10"/>
      <c r="O44" s="4"/>
      <c r="P44" s="4"/>
      <c r="Q44" s="4"/>
      <c r="R44" s="4"/>
      <c r="S44" s="4"/>
      <c r="T44" s="4"/>
      <c r="U44" s="4"/>
      <c r="V44" s="4"/>
      <c r="W44" s="4"/>
      <c r="X44" s="4"/>
      <c r="Y44" s="4"/>
      <c r="Z44" s="4"/>
    </row>
    <row r="45">
      <c r="A45" s="77" t="s">
        <v>1767</v>
      </c>
      <c r="B45" s="17" t="s">
        <v>1768</v>
      </c>
      <c r="C45" s="17" t="s">
        <v>1769</v>
      </c>
      <c r="D45" s="17" t="s">
        <v>1770</v>
      </c>
      <c r="E45" s="79" t="s">
        <v>38</v>
      </c>
      <c r="F45" s="17" t="s">
        <v>346</v>
      </c>
      <c r="G45" s="80">
        <v>45966.68632572917</v>
      </c>
      <c r="H45" s="80">
        <v>45966.75284019676</v>
      </c>
      <c r="I45" s="79"/>
      <c r="J45" s="79" t="s">
        <v>1771</v>
      </c>
      <c r="K45" s="79" t="s">
        <v>1772</v>
      </c>
      <c r="L45" s="4"/>
      <c r="M45" s="4"/>
      <c r="N45" s="10"/>
      <c r="O45" s="4"/>
      <c r="P45" s="4"/>
      <c r="Q45" s="4"/>
      <c r="R45" s="4"/>
      <c r="S45" s="4"/>
      <c r="T45" s="4"/>
      <c r="U45" s="4"/>
      <c r="V45" s="4"/>
      <c r="W45" s="4"/>
      <c r="X45" s="4"/>
      <c r="Y45" s="4"/>
      <c r="Z45" s="4"/>
    </row>
    <row r="46">
      <c r="A46" s="77" t="s">
        <v>1773</v>
      </c>
      <c r="B46" s="17" t="s">
        <v>1774</v>
      </c>
      <c r="C46" s="17" t="s">
        <v>1775</v>
      </c>
      <c r="D46" s="17" t="s">
        <v>1776</v>
      </c>
      <c r="E46" s="79" t="s">
        <v>17</v>
      </c>
      <c r="F46" s="17" t="s">
        <v>346</v>
      </c>
      <c r="G46" s="80">
        <v>45966.69354721065</v>
      </c>
      <c r="H46" s="80">
        <v>45966.756772442124</v>
      </c>
      <c r="I46" s="79"/>
      <c r="J46" s="79" t="s">
        <v>1777</v>
      </c>
      <c r="K46" s="79" t="s">
        <v>1778</v>
      </c>
      <c r="L46" s="4"/>
      <c r="M46" s="4"/>
      <c r="N46" s="10"/>
      <c r="O46" s="4"/>
      <c r="P46" s="4"/>
      <c r="Q46" s="4"/>
      <c r="R46" s="4"/>
      <c r="S46" s="4"/>
      <c r="T46" s="4"/>
      <c r="U46" s="4"/>
      <c r="V46" s="4"/>
      <c r="W46" s="4"/>
      <c r="X46" s="4"/>
      <c r="Y46" s="4"/>
      <c r="Z46" s="4"/>
    </row>
    <row r="47">
      <c r="A47" s="77" t="s">
        <v>1779</v>
      </c>
      <c r="B47" s="17" t="s">
        <v>1780</v>
      </c>
      <c r="C47" s="17" t="s">
        <v>1781</v>
      </c>
      <c r="D47" s="17" t="s">
        <v>1782</v>
      </c>
      <c r="E47" s="17" t="s">
        <v>25</v>
      </c>
      <c r="F47" s="17" t="s">
        <v>408</v>
      </c>
      <c r="G47" s="80">
        <v>45967.387610000005</v>
      </c>
      <c r="H47" s="80">
        <v>45967.41519487269</v>
      </c>
      <c r="I47" s="17" t="s">
        <v>55</v>
      </c>
      <c r="J47" s="79" t="s">
        <v>1783</v>
      </c>
      <c r="K47" s="79" t="s">
        <v>1784</v>
      </c>
      <c r="L47" s="4"/>
      <c r="M47" s="4"/>
      <c r="N47" s="10"/>
      <c r="O47" s="4"/>
      <c r="P47" s="4"/>
      <c r="Q47" s="4"/>
      <c r="R47" s="4"/>
      <c r="S47" s="4"/>
      <c r="T47" s="4"/>
      <c r="U47" s="4"/>
      <c r="V47" s="4"/>
      <c r="W47" s="4"/>
      <c r="X47" s="4"/>
      <c r="Y47" s="4"/>
      <c r="Z47" s="4"/>
    </row>
    <row r="48">
      <c r="A48" s="77" t="s">
        <v>1785</v>
      </c>
      <c r="B48" s="17" t="s">
        <v>1786</v>
      </c>
      <c r="C48" s="17" t="s">
        <v>1787</v>
      </c>
      <c r="D48" s="17" t="s">
        <v>1788</v>
      </c>
      <c r="E48" s="17" t="s">
        <v>31</v>
      </c>
      <c r="F48" s="17" t="s">
        <v>426</v>
      </c>
      <c r="G48" s="80">
        <v>45967.364389849536</v>
      </c>
      <c r="H48" s="80">
        <v>45967.4262827662</v>
      </c>
      <c r="I48" s="17" t="s">
        <v>573</v>
      </c>
      <c r="J48" s="79" t="s">
        <v>1789</v>
      </c>
      <c r="K48" s="79" t="s">
        <v>1790</v>
      </c>
      <c r="L48" s="4"/>
      <c r="M48" s="4"/>
      <c r="N48" s="10"/>
      <c r="O48" s="4"/>
      <c r="P48" s="4"/>
      <c r="Q48" s="4"/>
      <c r="R48" s="4"/>
      <c r="S48" s="4"/>
      <c r="T48" s="4"/>
      <c r="U48" s="4"/>
      <c r="V48" s="4"/>
      <c r="W48" s="4"/>
      <c r="X48" s="4"/>
      <c r="Y48" s="4"/>
      <c r="Z48" s="4"/>
    </row>
    <row r="49">
      <c r="A49" s="77" t="s">
        <v>371</v>
      </c>
      <c r="B49" s="17" t="s">
        <v>1791</v>
      </c>
      <c r="C49" s="17" t="s">
        <v>373</v>
      </c>
      <c r="D49" s="17" t="s">
        <v>374</v>
      </c>
      <c r="E49" s="79" t="s">
        <v>19</v>
      </c>
      <c r="F49" s="17" t="s">
        <v>346</v>
      </c>
      <c r="G49" s="83">
        <v>45967.371109583335</v>
      </c>
      <c r="H49" s="80">
        <v>45967.43623608796</v>
      </c>
      <c r="I49" s="79" t="s">
        <v>473</v>
      </c>
      <c r="J49" s="79" t="s">
        <v>376</v>
      </c>
      <c r="K49" s="79" t="s">
        <v>377</v>
      </c>
      <c r="L49" s="4"/>
      <c r="M49" s="4"/>
      <c r="N49" s="10"/>
      <c r="O49" s="4"/>
      <c r="P49" s="4"/>
      <c r="Q49" s="4"/>
      <c r="R49" s="4"/>
      <c r="S49" s="4"/>
      <c r="T49" s="4"/>
      <c r="U49" s="4"/>
      <c r="V49" s="4"/>
      <c r="W49" s="4"/>
      <c r="X49" s="4"/>
      <c r="Y49" s="4"/>
      <c r="Z49" s="4"/>
    </row>
    <row r="50">
      <c r="A50" s="77" t="s">
        <v>1462</v>
      </c>
      <c r="B50" s="17" t="s">
        <v>1792</v>
      </c>
      <c r="C50" s="17" t="s">
        <v>1793</v>
      </c>
      <c r="D50" s="17" t="s">
        <v>1794</v>
      </c>
      <c r="E50" s="79" t="s">
        <v>21</v>
      </c>
      <c r="F50" s="17" t="s">
        <v>346</v>
      </c>
      <c r="G50" s="83">
        <v>45967.38161063657</v>
      </c>
      <c r="H50" s="83">
        <v>45967.44094922453</v>
      </c>
      <c r="I50" s="79" t="s">
        <v>1795</v>
      </c>
      <c r="J50" s="79" t="s">
        <v>1796</v>
      </c>
      <c r="K50" s="79" t="s">
        <v>1797</v>
      </c>
      <c r="L50" s="4"/>
      <c r="M50" s="4"/>
      <c r="N50" s="10"/>
      <c r="O50" s="4"/>
      <c r="P50" s="4"/>
      <c r="Q50" s="4"/>
      <c r="R50" s="4"/>
      <c r="S50" s="4"/>
      <c r="T50" s="4"/>
      <c r="U50" s="4"/>
      <c r="V50" s="4"/>
      <c r="W50" s="4"/>
      <c r="X50" s="4"/>
      <c r="Y50" s="4"/>
      <c r="Z50" s="4"/>
    </row>
    <row r="51">
      <c r="A51" s="77" t="s">
        <v>1798</v>
      </c>
      <c r="B51" s="17" t="s">
        <v>1799</v>
      </c>
      <c r="C51" s="17" t="s">
        <v>1800</v>
      </c>
      <c r="D51" s="17" t="s">
        <v>1801</v>
      </c>
      <c r="E51" s="79" t="s">
        <v>23</v>
      </c>
      <c r="F51" s="17" t="s">
        <v>346</v>
      </c>
      <c r="G51" s="80">
        <v>45967.36726611111</v>
      </c>
      <c r="H51" s="80">
        <v>45967.44810653935</v>
      </c>
      <c r="I51" s="79" t="s">
        <v>449</v>
      </c>
      <c r="J51" s="79" t="s">
        <v>1802</v>
      </c>
      <c r="K51" s="79" t="s">
        <v>1803</v>
      </c>
      <c r="L51" s="4"/>
      <c r="M51" s="4"/>
      <c r="N51" s="10"/>
      <c r="O51" s="4"/>
      <c r="P51" s="4"/>
      <c r="Q51" s="4"/>
      <c r="R51" s="4"/>
      <c r="S51" s="4"/>
      <c r="T51" s="4"/>
      <c r="U51" s="4"/>
      <c r="V51" s="4"/>
      <c r="W51" s="4"/>
      <c r="X51" s="4"/>
      <c r="Y51" s="4"/>
      <c r="Z51" s="4"/>
    </row>
    <row r="52">
      <c r="A52" s="77" t="s">
        <v>1804</v>
      </c>
      <c r="B52" s="17" t="s">
        <v>1805</v>
      </c>
      <c r="C52" s="17" t="s">
        <v>1806</v>
      </c>
      <c r="D52" s="17" t="s">
        <v>1807</v>
      </c>
      <c r="E52" s="17" t="s">
        <v>17</v>
      </c>
      <c r="F52" s="17" t="s">
        <v>426</v>
      </c>
      <c r="G52" s="80">
        <v>45967.372183761574</v>
      </c>
      <c r="H52" s="80">
        <v>45967.45008175926</v>
      </c>
      <c r="I52" s="17" t="s">
        <v>438</v>
      </c>
      <c r="J52" s="79" t="s">
        <v>1808</v>
      </c>
      <c r="K52" s="79" t="s">
        <v>1809</v>
      </c>
      <c r="L52" s="4"/>
      <c r="M52" s="4"/>
      <c r="N52" s="10"/>
      <c r="O52" s="4"/>
      <c r="P52" s="4"/>
      <c r="Q52" s="4"/>
      <c r="R52" s="4"/>
      <c r="S52" s="4"/>
      <c r="T52" s="4"/>
      <c r="U52" s="4"/>
      <c r="V52" s="4"/>
      <c r="W52" s="4"/>
      <c r="X52" s="4"/>
      <c r="Y52" s="4"/>
      <c r="Z52" s="4"/>
    </row>
    <row r="53">
      <c r="A53" s="77" t="s">
        <v>1463</v>
      </c>
      <c r="B53" s="17" t="s">
        <v>1810</v>
      </c>
      <c r="C53" s="17" t="s">
        <v>1811</v>
      </c>
      <c r="D53" s="17" t="s">
        <v>1812</v>
      </c>
      <c r="E53" s="79" t="s">
        <v>41</v>
      </c>
      <c r="F53" s="17" t="s">
        <v>346</v>
      </c>
      <c r="G53" s="80">
        <v>45967.363004756946</v>
      </c>
      <c r="H53" s="80">
        <v>45967.451324375</v>
      </c>
      <c r="I53" s="79" t="s">
        <v>505</v>
      </c>
      <c r="J53" s="79" t="s">
        <v>1813</v>
      </c>
      <c r="K53" s="79" t="s">
        <v>1814</v>
      </c>
      <c r="L53" s="4"/>
      <c r="M53" s="4"/>
      <c r="N53" s="10"/>
      <c r="O53" s="4"/>
      <c r="P53" s="4"/>
      <c r="Q53" s="4"/>
      <c r="R53" s="4"/>
      <c r="S53" s="4"/>
      <c r="T53" s="4"/>
      <c r="U53" s="4"/>
      <c r="V53" s="4"/>
      <c r="W53" s="4"/>
      <c r="X53" s="4"/>
      <c r="Y53" s="4"/>
      <c r="Z53" s="4"/>
    </row>
    <row r="54">
      <c r="A54" s="77" t="s">
        <v>104</v>
      </c>
      <c r="B54" s="17" t="s">
        <v>1815</v>
      </c>
      <c r="C54" s="17" t="s">
        <v>1816</v>
      </c>
      <c r="D54" s="17" t="s">
        <v>1817</v>
      </c>
      <c r="E54" s="17" t="s">
        <v>39</v>
      </c>
      <c r="F54" s="17" t="s">
        <v>426</v>
      </c>
      <c r="G54" s="80">
        <v>45967.45334928241</v>
      </c>
      <c r="H54" s="80">
        <v>45967.45362986111</v>
      </c>
      <c r="I54" s="17" t="s">
        <v>611</v>
      </c>
      <c r="J54" s="79" t="s">
        <v>1818</v>
      </c>
      <c r="K54" s="79" t="s">
        <v>1819</v>
      </c>
      <c r="L54" s="4"/>
      <c r="M54" s="4"/>
      <c r="N54" s="10"/>
      <c r="O54" s="4"/>
      <c r="P54" s="4"/>
      <c r="Q54" s="4"/>
      <c r="R54" s="4"/>
      <c r="S54" s="4"/>
      <c r="T54" s="4"/>
      <c r="U54" s="4"/>
      <c r="V54" s="4"/>
      <c r="W54" s="4"/>
      <c r="X54" s="4"/>
      <c r="Y54" s="4"/>
      <c r="Z54" s="4"/>
    </row>
    <row r="55">
      <c r="A55" s="77" t="s">
        <v>1820</v>
      </c>
      <c r="B55" s="17" t="s">
        <v>1821</v>
      </c>
      <c r="C55" s="17" t="s">
        <v>1822</v>
      </c>
      <c r="D55" s="17" t="s">
        <v>1823</v>
      </c>
      <c r="E55" s="79" t="s">
        <v>41</v>
      </c>
      <c r="F55" s="17" t="s">
        <v>346</v>
      </c>
      <c r="G55" s="80">
        <v>45967.45190234954</v>
      </c>
      <c r="H55" s="80">
        <v>45967.45535130787</v>
      </c>
      <c r="I55" s="79" t="s">
        <v>1824</v>
      </c>
      <c r="J55" s="79" t="s">
        <v>1825</v>
      </c>
      <c r="K55" s="79" t="s">
        <v>1826</v>
      </c>
      <c r="L55" s="4"/>
      <c r="M55" s="4"/>
      <c r="N55" s="10"/>
      <c r="O55" s="4"/>
      <c r="P55" s="4"/>
      <c r="Q55" s="4"/>
      <c r="R55" s="4"/>
      <c r="S55" s="4"/>
      <c r="T55" s="4"/>
      <c r="U55" s="4"/>
      <c r="V55" s="4"/>
      <c r="W55" s="4"/>
      <c r="X55" s="4"/>
      <c r="Y55" s="4"/>
      <c r="Z55" s="4"/>
    </row>
    <row r="56">
      <c r="A56" s="77" t="s">
        <v>1827</v>
      </c>
      <c r="B56" s="17" t="s">
        <v>1828</v>
      </c>
      <c r="C56" s="17" t="s">
        <v>1829</v>
      </c>
      <c r="D56" s="17" t="s">
        <v>1830</v>
      </c>
      <c r="E56" s="79" t="s">
        <v>38</v>
      </c>
      <c r="F56" s="17" t="s">
        <v>1607</v>
      </c>
      <c r="G56" s="80">
        <v>45967.365739270834</v>
      </c>
      <c r="H56" s="80">
        <v>45967.46323228009</v>
      </c>
      <c r="I56" s="79" t="s">
        <v>1831</v>
      </c>
      <c r="J56" s="79" t="s">
        <v>1832</v>
      </c>
      <c r="K56" s="79" t="s">
        <v>1833</v>
      </c>
      <c r="L56" s="4"/>
      <c r="M56" s="4"/>
      <c r="N56" s="10"/>
      <c r="O56" s="4"/>
      <c r="P56" s="4"/>
      <c r="Q56" s="4"/>
      <c r="R56" s="4"/>
      <c r="S56" s="4"/>
      <c r="T56" s="4"/>
      <c r="U56" s="4"/>
      <c r="V56" s="4"/>
      <c r="W56" s="4"/>
      <c r="X56" s="4"/>
      <c r="Y56" s="4"/>
      <c r="Z56" s="4"/>
    </row>
    <row r="57">
      <c r="A57" s="77" t="s">
        <v>1834</v>
      </c>
      <c r="B57" s="17" t="s">
        <v>1835</v>
      </c>
      <c r="C57" s="17" t="s">
        <v>1836</v>
      </c>
      <c r="D57" s="17" t="s">
        <v>1837</v>
      </c>
      <c r="E57" s="17" t="s">
        <v>35</v>
      </c>
      <c r="F57" s="17" t="s">
        <v>426</v>
      </c>
      <c r="G57" s="80">
        <v>45967.38142039352</v>
      </c>
      <c r="H57" s="80">
        <v>45967.468423321756</v>
      </c>
      <c r="I57" s="17" t="s">
        <v>584</v>
      </c>
      <c r="J57" s="79" t="s">
        <v>1838</v>
      </c>
      <c r="K57" s="79" t="s">
        <v>1839</v>
      </c>
      <c r="L57" s="4"/>
      <c r="M57" s="4"/>
      <c r="N57" s="10"/>
      <c r="O57" s="4"/>
      <c r="P57" s="4"/>
      <c r="Q57" s="4"/>
      <c r="R57" s="4"/>
      <c r="S57" s="4"/>
      <c r="T57" s="4"/>
      <c r="U57" s="4"/>
      <c r="V57" s="4"/>
      <c r="W57" s="4"/>
      <c r="X57" s="4"/>
      <c r="Y57" s="4"/>
      <c r="Z57" s="4"/>
    </row>
    <row r="58">
      <c r="A58" s="77" t="s">
        <v>1840</v>
      </c>
      <c r="B58" s="17" t="s">
        <v>1841</v>
      </c>
      <c r="C58" s="17" t="s">
        <v>1842</v>
      </c>
      <c r="D58" s="17" t="s">
        <v>1843</v>
      </c>
      <c r="E58" s="17" t="s">
        <v>19</v>
      </c>
      <c r="F58" s="17" t="s">
        <v>426</v>
      </c>
      <c r="G58" s="83">
        <v>45967.448572152774</v>
      </c>
      <c r="H58" s="80">
        <v>45967.468846828706</v>
      </c>
      <c r="I58" s="17" t="s">
        <v>1844</v>
      </c>
      <c r="J58" s="79" t="s">
        <v>1845</v>
      </c>
      <c r="K58" s="79" t="s">
        <v>1846</v>
      </c>
      <c r="L58" s="4"/>
      <c r="M58" s="4"/>
      <c r="N58" s="10"/>
      <c r="O58" s="4"/>
      <c r="P58" s="4"/>
      <c r="Q58" s="4"/>
      <c r="R58" s="4"/>
      <c r="S58" s="4"/>
      <c r="T58" s="4"/>
      <c r="U58" s="4"/>
      <c r="V58" s="4"/>
      <c r="W58" s="4"/>
      <c r="X58" s="4"/>
      <c r="Y58" s="4"/>
      <c r="Z58" s="4"/>
    </row>
    <row r="59">
      <c r="A59" s="77" t="s">
        <v>1847</v>
      </c>
      <c r="B59" s="17" t="s">
        <v>1848</v>
      </c>
      <c r="C59" s="17" t="s">
        <v>1849</v>
      </c>
      <c r="D59" s="17" t="s">
        <v>1850</v>
      </c>
      <c r="E59" s="17" t="s">
        <v>23</v>
      </c>
      <c r="F59" s="17" t="s">
        <v>426</v>
      </c>
      <c r="G59" s="80">
        <v>45967.46317815973</v>
      </c>
      <c r="H59" s="80">
        <v>45967.490305810185</v>
      </c>
      <c r="I59" s="17" t="s">
        <v>59</v>
      </c>
      <c r="J59" s="79" t="s">
        <v>1851</v>
      </c>
      <c r="K59" s="79" t="s">
        <v>1852</v>
      </c>
      <c r="L59" s="4"/>
      <c r="M59" s="4"/>
      <c r="N59" s="10"/>
      <c r="O59" s="4"/>
      <c r="P59" s="4"/>
      <c r="Q59" s="4"/>
      <c r="R59" s="4"/>
      <c r="S59" s="4"/>
      <c r="T59" s="4"/>
      <c r="U59" s="4"/>
      <c r="V59" s="4"/>
      <c r="W59" s="4"/>
      <c r="X59" s="4"/>
      <c r="Y59" s="4"/>
      <c r="Z59" s="4"/>
    </row>
    <row r="60">
      <c r="A60" s="77" t="s">
        <v>1853</v>
      </c>
      <c r="B60" s="17" t="s">
        <v>1854</v>
      </c>
      <c r="C60" s="17" t="s">
        <v>1855</v>
      </c>
      <c r="D60" s="17" t="s">
        <v>1856</v>
      </c>
      <c r="E60" s="17" t="s">
        <v>27</v>
      </c>
      <c r="F60" s="17" t="s">
        <v>1663</v>
      </c>
      <c r="G60" s="80">
        <v>45967.37187267361</v>
      </c>
      <c r="H60" s="80">
        <v>45967.49579663195</v>
      </c>
      <c r="I60" s="17" t="s">
        <v>1857</v>
      </c>
      <c r="J60" s="17"/>
      <c r="K60" s="17"/>
      <c r="L60" s="4"/>
      <c r="M60" s="4"/>
      <c r="N60" s="10"/>
      <c r="O60" s="4"/>
      <c r="P60" s="4"/>
      <c r="Q60" s="4"/>
      <c r="R60" s="4"/>
      <c r="S60" s="4"/>
      <c r="T60" s="4"/>
      <c r="U60" s="4"/>
      <c r="V60" s="4"/>
      <c r="W60" s="4"/>
      <c r="X60" s="4"/>
      <c r="Y60" s="4"/>
      <c r="Z60" s="4"/>
    </row>
    <row r="61">
      <c r="A61" s="84" t="s">
        <v>1858</v>
      </c>
      <c r="B61" s="17" t="s">
        <v>1859</v>
      </c>
      <c r="C61" s="17" t="s">
        <v>1860</v>
      </c>
      <c r="D61" s="17" t="s">
        <v>1861</v>
      </c>
      <c r="E61" s="79" t="s">
        <v>31</v>
      </c>
      <c r="F61" s="17" t="s">
        <v>331</v>
      </c>
      <c r="G61" s="80">
        <v>45967.4759884838</v>
      </c>
      <c r="H61" s="80">
        <v>45967.50994685185</v>
      </c>
      <c r="I61" s="79"/>
      <c r="J61" s="79" t="s">
        <v>1862</v>
      </c>
      <c r="K61" s="79" t="s">
        <v>1863</v>
      </c>
      <c r="L61" s="4"/>
      <c r="M61" s="4"/>
      <c r="N61" s="81"/>
      <c r="O61" s="4"/>
      <c r="P61" s="82"/>
      <c r="Q61" s="4"/>
      <c r="R61" s="4"/>
      <c r="S61" s="4"/>
      <c r="T61" s="4"/>
      <c r="U61" s="4"/>
      <c r="V61" s="4"/>
      <c r="W61" s="4"/>
      <c r="X61" s="4"/>
      <c r="Y61" s="4"/>
      <c r="Z61" s="4"/>
    </row>
    <row r="62">
      <c r="A62" s="77" t="s">
        <v>1864</v>
      </c>
      <c r="B62" s="17" t="s">
        <v>1865</v>
      </c>
      <c r="C62" s="17" t="s">
        <v>1866</v>
      </c>
      <c r="D62" s="17" t="s">
        <v>1867</v>
      </c>
      <c r="E62" s="17" t="s">
        <v>21</v>
      </c>
      <c r="F62" s="17" t="s">
        <v>408</v>
      </c>
      <c r="G62" s="83">
        <v>45967.4759884838</v>
      </c>
      <c r="H62" s="83">
        <v>45967.50994685185</v>
      </c>
      <c r="I62" s="17" t="s">
        <v>508</v>
      </c>
      <c r="J62" s="79" t="s">
        <v>1868</v>
      </c>
      <c r="K62" s="79" t="s">
        <v>1869</v>
      </c>
      <c r="L62" s="4"/>
      <c r="M62" s="4"/>
      <c r="N62" s="10"/>
      <c r="O62" s="4"/>
      <c r="P62" s="4"/>
      <c r="Q62" s="4"/>
      <c r="R62" s="4"/>
      <c r="S62" s="4"/>
      <c r="T62" s="4"/>
      <c r="U62" s="4"/>
      <c r="V62" s="4"/>
      <c r="W62" s="4"/>
      <c r="X62" s="4"/>
      <c r="Y62" s="4"/>
      <c r="Z62" s="4"/>
    </row>
    <row r="63">
      <c r="A63" s="77" t="s">
        <v>1870</v>
      </c>
      <c r="B63" s="17" t="s">
        <v>1871</v>
      </c>
      <c r="C63" s="17" t="s">
        <v>1872</v>
      </c>
      <c r="D63" s="17" t="s">
        <v>1873</v>
      </c>
      <c r="E63" s="17" t="s">
        <v>39</v>
      </c>
      <c r="F63" s="17" t="s">
        <v>426</v>
      </c>
      <c r="G63" s="80">
        <v>45967.517343113424</v>
      </c>
      <c r="H63" s="80">
        <v>45967.531098645835</v>
      </c>
      <c r="I63" s="17" t="s">
        <v>192</v>
      </c>
      <c r="J63" s="79" t="s">
        <v>1874</v>
      </c>
      <c r="K63" s="79" t="s">
        <v>1875</v>
      </c>
      <c r="L63" s="4"/>
      <c r="M63" s="4"/>
      <c r="N63" s="10"/>
      <c r="O63" s="4"/>
      <c r="P63" s="4"/>
      <c r="Q63" s="4"/>
      <c r="R63" s="4"/>
      <c r="S63" s="4"/>
      <c r="T63" s="4"/>
      <c r="U63" s="4"/>
      <c r="V63" s="4"/>
      <c r="W63" s="4"/>
      <c r="X63" s="4"/>
      <c r="Y63" s="4"/>
      <c r="Z63" s="4"/>
    </row>
    <row r="64">
      <c r="A64" s="77" t="s">
        <v>1876</v>
      </c>
      <c r="B64" s="17" t="s">
        <v>1877</v>
      </c>
      <c r="C64" s="17" t="s">
        <v>1878</v>
      </c>
      <c r="D64" s="17" t="s">
        <v>1879</v>
      </c>
      <c r="E64" s="79" t="s">
        <v>25</v>
      </c>
      <c r="F64" s="17" t="s">
        <v>346</v>
      </c>
      <c r="G64" s="80">
        <v>45967.4588646412</v>
      </c>
      <c r="H64" s="80">
        <v>45967.53265976852</v>
      </c>
      <c r="I64" s="79" t="s">
        <v>1880</v>
      </c>
      <c r="J64" s="79" t="s">
        <v>1881</v>
      </c>
      <c r="K64" s="79" t="s">
        <v>1882</v>
      </c>
      <c r="L64" s="4"/>
      <c r="M64" s="4"/>
      <c r="N64" s="10"/>
      <c r="O64" s="4"/>
      <c r="P64" s="4"/>
      <c r="Q64" s="4"/>
      <c r="R64" s="4"/>
      <c r="S64" s="4"/>
      <c r="T64" s="4"/>
      <c r="U64" s="4"/>
      <c r="V64" s="4"/>
      <c r="W64" s="4"/>
      <c r="X64" s="4"/>
      <c r="Y64" s="4"/>
      <c r="Z64" s="4"/>
    </row>
    <row r="65">
      <c r="A65" s="77" t="s">
        <v>1883</v>
      </c>
      <c r="B65" s="17" t="s">
        <v>1884</v>
      </c>
      <c r="C65" s="17" t="s">
        <v>1885</v>
      </c>
      <c r="D65" s="17" t="s">
        <v>1886</v>
      </c>
      <c r="E65" s="17" t="s">
        <v>31</v>
      </c>
      <c r="F65" s="17" t="s">
        <v>426</v>
      </c>
      <c r="G65" s="80">
        <v>45967.43768019676</v>
      </c>
      <c r="H65" s="80">
        <v>45967.53773660879</v>
      </c>
      <c r="I65" s="17" t="s">
        <v>1887</v>
      </c>
      <c r="J65" s="79" t="s">
        <v>1888</v>
      </c>
      <c r="K65" s="79" t="s">
        <v>1889</v>
      </c>
      <c r="L65" s="4"/>
      <c r="M65" s="4"/>
      <c r="N65" s="10"/>
      <c r="O65" s="4"/>
      <c r="P65" s="4"/>
      <c r="Q65" s="4"/>
      <c r="R65" s="4"/>
      <c r="S65" s="4"/>
      <c r="T65" s="4"/>
      <c r="U65" s="4"/>
      <c r="V65" s="4"/>
      <c r="W65" s="4"/>
      <c r="X65" s="4"/>
      <c r="Y65" s="4"/>
      <c r="Z65" s="4"/>
    </row>
    <row r="66">
      <c r="A66" s="77" t="s">
        <v>1460</v>
      </c>
      <c r="B66" s="17" t="s">
        <v>1890</v>
      </c>
      <c r="C66" s="17" t="s">
        <v>1891</v>
      </c>
      <c r="D66" s="17" t="s">
        <v>1892</v>
      </c>
      <c r="E66" s="79" t="s">
        <v>38</v>
      </c>
      <c r="F66" s="17" t="s">
        <v>346</v>
      </c>
      <c r="G66" s="80">
        <v>45967.48947755787</v>
      </c>
      <c r="H66" s="80">
        <v>45967.54446626158</v>
      </c>
      <c r="I66" s="79" t="s">
        <v>475</v>
      </c>
      <c r="J66" s="79" t="s">
        <v>1893</v>
      </c>
      <c r="K66" s="79" t="s">
        <v>1894</v>
      </c>
      <c r="L66" s="4"/>
      <c r="M66" s="4"/>
      <c r="N66" s="10"/>
      <c r="O66" s="4"/>
      <c r="P66" s="4"/>
      <c r="Q66" s="4"/>
      <c r="R66" s="4"/>
      <c r="S66" s="4"/>
      <c r="T66" s="4"/>
      <c r="U66" s="4"/>
      <c r="V66" s="4"/>
      <c r="W66" s="4"/>
      <c r="X66" s="4"/>
      <c r="Y66" s="4"/>
      <c r="Z66" s="4"/>
    </row>
    <row r="67">
      <c r="A67" s="77" t="s">
        <v>1895</v>
      </c>
      <c r="B67" s="17" t="s">
        <v>1896</v>
      </c>
      <c r="C67" s="17" t="s">
        <v>1897</v>
      </c>
      <c r="D67" s="17" t="s">
        <v>1898</v>
      </c>
      <c r="E67" s="17" t="s">
        <v>41</v>
      </c>
      <c r="F67" s="17" t="s">
        <v>331</v>
      </c>
      <c r="G67" s="80">
        <v>45967.54855649306</v>
      </c>
      <c r="H67" s="80">
        <v>45967.54887244213</v>
      </c>
      <c r="I67" s="17" t="s">
        <v>611</v>
      </c>
      <c r="J67" s="79" t="s">
        <v>1899</v>
      </c>
      <c r="K67" s="79" t="s">
        <v>1900</v>
      </c>
      <c r="L67" s="4"/>
      <c r="M67" s="4"/>
      <c r="N67" s="10"/>
      <c r="O67" s="4"/>
      <c r="P67" s="4"/>
      <c r="Q67" s="4"/>
      <c r="R67" s="4"/>
      <c r="S67" s="4"/>
      <c r="T67" s="4"/>
      <c r="U67" s="4"/>
      <c r="V67" s="4"/>
      <c r="W67" s="4"/>
      <c r="X67" s="4"/>
      <c r="Y67" s="4"/>
      <c r="Z67" s="4"/>
    </row>
    <row r="68">
      <c r="A68" s="77" t="s">
        <v>357</v>
      </c>
      <c r="B68" s="17" t="s">
        <v>1901</v>
      </c>
      <c r="C68" s="17" t="s">
        <v>359</v>
      </c>
      <c r="D68" s="17" t="s">
        <v>360</v>
      </c>
      <c r="E68" s="79" t="s">
        <v>19</v>
      </c>
      <c r="F68" s="17" t="s">
        <v>346</v>
      </c>
      <c r="G68" s="83">
        <v>45967.48268206019</v>
      </c>
      <c r="H68" s="80">
        <v>45967.553668657405</v>
      </c>
      <c r="I68" s="79" t="s">
        <v>204</v>
      </c>
      <c r="J68" s="79" t="s">
        <v>362</v>
      </c>
      <c r="K68" s="79" t="s">
        <v>363</v>
      </c>
      <c r="L68" s="4"/>
      <c r="M68" s="4"/>
      <c r="N68" s="10"/>
      <c r="O68" s="4"/>
      <c r="P68" s="4"/>
      <c r="Q68" s="4"/>
      <c r="R68" s="4"/>
      <c r="S68" s="4"/>
      <c r="T68" s="4"/>
      <c r="U68" s="4"/>
      <c r="V68" s="4"/>
      <c r="W68" s="4"/>
      <c r="X68" s="4"/>
      <c r="Y68" s="4"/>
      <c r="Z68" s="4"/>
    </row>
    <row r="69">
      <c r="A69" s="77" t="s">
        <v>1902</v>
      </c>
      <c r="B69" s="17" t="s">
        <v>1903</v>
      </c>
      <c r="C69" s="17" t="s">
        <v>1904</v>
      </c>
      <c r="D69" s="17" t="s">
        <v>1905</v>
      </c>
      <c r="E69" s="17" t="s">
        <v>17</v>
      </c>
      <c r="F69" s="17" t="s">
        <v>426</v>
      </c>
      <c r="G69" s="80">
        <v>45967.484927233796</v>
      </c>
      <c r="H69" s="80">
        <v>45967.55880908565</v>
      </c>
      <c r="I69" s="17" t="s">
        <v>1880</v>
      </c>
      <c r="J69" s="79" t="s">
        <v>1906</v>
      </c>
      <c r="K69" s="79" t="s">
        <v>1907</v>
      </c>
      <c r="L69" s="4"/>
      <c r="M69" s="4"/>
      <c r="N69" s="10"/>
      <c r="O69" s="4"/>
      <c r="P69" s="4"/>
      <c r="Q69" s="4"/>
      <c r="R69" s="4"/>
      <c r="S69" s="4"/>
      <c r="T69" s="4"/>
      <c r="U69" s="4"/>
      <c r="V69" s="4"/>
      <c r="W69" s="4"/>
      <c r="X69" s="4"/>
      <c r="Y69" s="4"/>
      <c r="Z69" s="4"/>
    </row>
    <row r="70">
      <c r="A70" s="77" t="s">
        <v>1908</v>
      </c>
      <c r="B70" s="17" t="s">
        <v>1909</v>
      </c>
      <c r="C70" s="17" t="s">
        <v>1910</v>
      </c>
      <c r="D70" s="17" t="s">
        <v>1911</v>
      </c>
      <c r="E70" s="17" t="s">
        <v>23</v>
      </c>
      <c r="F70" s="17" t="s">
        <v>426</v>
      </c>
      <c r="G70" s="80">
        <v>45967.50192232639</v>
      </c>
      <c r="H70" s="80">
        <v>45967.55904597222</v>
      </c>
      <c r="I70" s="17" t="s">
        <v>499</v>
      </c>
      <c r="J70" s="79" t="s">
        <v>1912</v>
      </c>
      <c r="K70" s="79" t="s">
        <v>1913</v>
      </c>
      <c r="L70" s="4"/>
      <c r="M70" s="4"/>
      <c r="N70" s="10"/>
      <c r="O70" s="4"/>
      <c r="P70" s="4"/>
      <c r="Q70" s="4"/>
      <c r="R70" s="4"/>
      <c r="S70" s="4"/>
      <c r="T70" s="4"/>
      <c r="U70" s="4"/>
      <c r="V70" s="4"/>
      <c r="W70" s="4"/>
      <c r="X70" s="4"/>
      <c r="Y70" s="4"/>
      <c r="Z70" s="4"/>
    </row>
    <row r="71">
      <c r="A71" s="77" t="s">
        <v>1914</v>
      </c>
      <c r="B71" s="17" t="s">
        <v>1915</v>
      </c>
      <c r="C71" s="17" t="s">
        <v>1916</v>
      </c>
      <c r="D71" s="17" t="s">
        <v>1917</v>
      </c>
      <c r="E71" s="79" t="s">
        <v>41</v>
      </c>
      <c r="F71" s="17" t="s">
        <v>346</v>
      </c>
      <c r="G71" s="80">
        <v>45967.57111520834</v>
      </c>
      <c r="H71" s="80">
        <v>45967.60503875</v>
      </c>
      <c r="I71" s="79" t="s">
        <v>508</v>
      </c>
      <c r="J71" s="79" t="s">
        <v>1918</v>
      </c>
      <c r="K71" s="79" t="s">
        <v>1919</v>
      </c>
      <c r="L71" s="4"/>
      <c r="M71" s="4"/>
      <c r="N71" s="81"/>
      <c r="O71" s="4"/>
      <c r="P71" s="85"/>
      <c r="Q71" s="4"/>
      <c r="R71" s="4"/>
      <c r="S71" s="4"/>
      <c r="T71" s="4"/>
      <c r="U71" s="4"/>
      <c r="V71" s="4"/>
      <c r="W71" s="4"/>
      <c r="X71" s="4"/>
      <c r="Y71" s="4"/>
      <c r="Z71" s="4"/>
    </row>
    <row r="72">
      <c r="A72" s="77" t="s">
        <v>1920</v>
      </c>
      <c r="B72" s="17" t="s">
        <v>1921</v>
      </c>
      <c r="C72" s="17" t="s">
        <v>1922</v>
      </c>
      <c r="D72" s="17" t="s">
        <v>1923</v>
      </c>
      <c r="E72" s="79" t="s">
        <v>39</v>
      </c>
      <c r="F72" s="17" t="s">
        <v>408</v>
      </c>
      <c r="G72" s="80">
        <v>45967.5743225926</v>
      </c>
      <c r="H72" s="80">
        <v>45967.615694189815</v>
      </c>
      <c r="I72" s="79" t="s">
        <v>1924</v>
      </c>
      <c r="J72" s="79" t="s">
        <v>1925</v>
      </c>
      <c r="K72" s="79" t="s">
        <v>1926</v>
      </c>
      <c r="L72" s="4"/>
      <c r="M72" s="4"/>
      <c r="N72" s="4"/>
      <c r="O72" s="4"/>
      <c r="P72" s="4"/>
      <c r="Q72" s="4"/>
      <c r="R72" s="4"/>
      <c r="S72" s="4"/>
      <c r="T72" s="4"/>
      <c r="U72" s="4"/>
      <c r="V72" s="4"/>
      <c r="W72" s="4"/>
      <c r="X72" s="4"/>
      <c r="Y72" s="4"/>
      <c r="Z72" s="4"/>
    </row>
    <row r="73">
      <c r="A73" s="77" t="s">
        <v>1927</v>
      </c>
      <c r="B73" s="17" t="s">
        <v>1928</v>
      </c>
      <c r="C73" s="17" t="s">
        <v>1929</v>
      </c>
      <c r="D73" s="17" t="s">
        <v>1930</v>
      </c>
      <c r="E73" s="79" t="s">
        <v>23</v>
      </c>
      <c r="F73" s="17" t="s">
        <v>408</v>
      </c>
      <c r="G73" s="80">
        <v>45967.59067748842</v>
      </c>
      <c r="H73" s="80">
        <v>45967.62747115741</v>
      </c>
      <c r="I73" s="79" t="s">
        <v>485</v>
      </c>
      <c r="J73" s="79" t="s">
        <v>1931</v>
      </c>
      <c r="K73" s="79" t="s">
        <v>1932</v>
      </c>
      <c r="L73" s="4"/>
      <c r="M73" s="4"/>
      <c r="N73" s="4"/>
      <c r="O73" s="4"/>
      <c r="P73" s="4"/>
      <c r="Q73" s="4"/>
      <c r="R73" s="4"/>
      <c r="S73" s="4"/>
      <c r="T73" s="4"/>
      <c r="U73" s="4"/>
      <c r="V73" s="4"/>
      <c r="W73" s="4"/>
      <c r="X73" s="4"/>
      <c r="Y73" s="4"/>
      <c r="Z73" s="4"/>
    </row>
    <row r="74">
      <c r="A74" s="77" t="s">
        <v>277</v>
      </c>
      <c r="B74" s="17" t="s">
        <v>1933</v>
      </c>
      <c r="C74" s="17" t="s">
        <v>279</v>
      </c>
      <c r="D74" s="17" t="s">
        <v>280</v>
      </c>
      <c r="E74" s="79" t="s">
        <v>38</v>
      </c>
      <c r="F74" s="17" t="s">
        <v>346</v>
      </c>
      <c r="G74" s="80">
        <v>45967.569090069446</v>
      </c>
      <c r="H74" s="80">
        <v>45967.62821604167</v>
      </c>
      <c r="I74" s="79" t="s">
        <v>1795</v>
      </c>
      <c r="J74" s="79" t="s">
        <v>281</v>
      </c>
      <c r="K74" s="79" t="s">
        <v>282</v>
      </c>
      <c r="L74" s="4"/>
      <c r="M74" s="4"/>
      <c r="N74" s="4"/>
      <c r="O74" s="4"/>
      <c r="P74" s="4"/>
      <c r="Q74" s="4"/>
      <c r="R74" s="4"/>
      <c r="S74" s="4"/>
      <c r="T74" s="4"/>
      <c r="U74" s="4"/>
      <c r="V74" s="4"/>
      <c r="W74" s="4"/>
      <c r="X74" s="4"/>
      <c r="Y74" s="4"/>
      <c r="Z74" s="4"/>
    </row>
    <row r="75">
      <c r="A75" s="33" t="s">
        <v>1934</v>
      </c>
      <c r="B75" s="17" t="s">
        <v>1935</v>
      </c>
      <c r="C75" s="17" t="s">
        <v>1936</v>
      </c>
      <c r="D75" s="17" t="s">
        <v>1937</v>
      </c>
      <c r="E75" s="79" t="s">
        <v>21</v>
      </c>
      <c r="F75" s="17" t="s">
        <v>346</v>
      </c>
      <c r="G75" s="83">
        <v>45967.578406342596</v>
      </c>
      <c r="H75" s="83">
        <v>45967.633383252316</v>
      </c>
      <c r="I75" s="79" t="s">
        <v>475</v>
      </c>
      <c r="J75" s="79" t="s">
        <v>1938</v>
      </c>
      <c r="K75" s="79" t="s">
        <v>1939</v>
      </c>
      <c r="L75" s="4"/>
      <c r="M75" s="4"/>
      <c r="N75" s="81"/>
      <c r="O75" s="4"/>
      <c r="P75" s="85"/>
      <c r="Q75" s="4"/>
      <c r="R75" s="4"/>
      <c r="S75" s="4"/>
      <c r="T75" s="4"/>
      <c r="U75" s="4"/>
      <c r="V75" s="4"/>
      <c r="W75" s="4"/>
      <c r="X75" s="4"/>
      <c r="Y75" s="4"/>
      <c r="Z75" s="4"/>
    </row>
    <row r="76">
      <c r="A76" s="77" t="s">
        <v>1940</v>
      </c>
      <c r="B76" s="17" t="s">
        <v>1941</v>
      </c>
      <c r="C76" s="17" t="s">
        <v>1942</v>
      </c>
      <c r="D76" s="17" t="s">
        <v>1943</v>
      </c>
      <c r="E76" s="79" t="s">
        <v>27</v>
      </c>
      <c r="F76" s="17" t="s">
        <v>426</v>
      </c>
      <c r="G76" s="80">
        <v>45967.645296041665</v>
      </c>
      <c r="H76" s="80">
        <v>45967.645871712964</v>
      </c>
      <c r="I76" s="79" t="s">
        <v>243</v>
      </c>
      <c r="J76" s="79" t="s">
        <v>1944</v>
      </c>
      <c r="K76" s="79" t="s">
        <v>1945</v>
      </c>
      <c r="L76" s="4"/>
      <c r="M76" s="4"/>
      <c r="N76" s="4"/>
      <c r="O76" s="4"/>
      <c r="P76" s="4"/>
      <c r="Q76" s="4"/>
      <c r="R76" s="4"/>
      <c r="S76" s="4"/>
      <c r="T76" s="4"/>
      <c r="U76" s="4"/>
      <c r="V76" s="4"/>
      <c r="W76" s="4"/>
      <c r="X76" s="4"/>
      <c r="Y76" s="4"/>
      <c r="Z76" s="4"/>
    </row>
    <row r="77">
      <c r="A77" s="77" t="s">
        <v>1946</v>
      </c>
      <c r="B77" s="17" t="s">
        <v>1947</v>
      </c>
      <c r="C77" s="17" t="s">
        <v>1948</v>
      </c>
      <c r="D77" s="17" t="s">
        <v>1949</v>
      </c>
      <c r="E77" s="79" t="s">
        <v>19</v>
      </c>
      <c r="F77" s="17" t="s">
        <v>408</v>
      </c>
      <c r="G77" s="83">
        <v>45967.601908888886</v>
      </c>
      <c r="H77" s="80">
        <v>45967.64744644676</v>
      </c>
      <c r="I77" s="79" t="s">
        <v>1950</v>
      </c>
      <c r="J77" s="79" t="s">
        <v>1951</v>
      </c>
      <c r="K77" s="79" t="s">
        <v>1952</v>
      </c>
      <c r="L77" s="4"/>
      <c r="M77" s="4"/>
      <c r="N77" s="4"/>
      <c r="O77" s="4"/>
      <c r="P77" s="4"/>
      <c r="Q77" s="4"/>
      <c r="R77" s="4"/>
      <c r="S77" s="4"/>
      <c r="T77" s="4"/>
      <c r="U77" s="4"/>
      <c r="V77" s="4"/>
      <c r="W77" s="4"/>
      <c r="X77" s="4"/>
      <c r="Y77" s="4"/>
      <c r="Z77" s="4"/>
    </row>
    <row r="78">
      <c r="A78" s="86" t="s">
        <v>1953</v>
      </c>
      <c r="B78" s="17" t="s">
        <v>1954</v>
      </c>
      <c r="C78" s="17" t="s">
        <v>1955</v>
      </c>
      <c r="D78" s="17" t="s">
        <v>1956</v>
      </c>
      <c r="E78" s="87" t="s">
        <v>25</v>
      </c>
      <c r="F78" s="17" t="s">
        <v>426</v>
      </c>
      <c r="G78" s="80">
        <v>45967.57475555556</v>
      </c>
      <c r="H78" s="80">
        <v>45967.648830011574</v>
      </c>
      <c r="I78" s="88" t="s">
        <v>354</v>
      </c>
      <c r="J78" s="89" t="s">
        <v>1957</v>
      </c>
      <c r="K78" s="89" t="s">
        <v>1958</v>
      </c>
      <c r="L78" s="4"/>
      <c r="M78" s="4"/>
      <c r="N78" s="4"/>
      <c r="O78" s="4"/>
      <c r="P78" s="4"/>
      <c r="Q78" s="4"/>
      <c r="R78" s="4"/>
      <c r="S78" s="4"/>
      <c r="T78" s="4"/>
      <c r="U78" s="4"/>
      <c r="V78" s="4"/>
      <c r="W78" s="4"/>
      <c r="X78" s="4"/>
      <c r="Y78" s="4"/>
      <c r="Z78" s="4"/>
    </row>
    <row r="79">
      <c r="A79" s="77" t="s">
        <v>1959</v>
      </c>
      <c r="B79" s="17" t="s">
        <v>1960</v>
      </c>
      <c r="C79" s="17" t="s">
        <v>1961</v>
      </c>
      <c r="D79" s="17" t="s">
        <v>1962</v>
      </c>
      <c r="E79" s="79" t="s">
        <v>35</v>
      </c>
      <c r="F79" s="17" t="s">
        <v>408</v>
      </c>
      <c r="G79" s="80">
        <v>45967.61027684028</v>
      </c>
      <c r="H79" s="80">
        <v>45967.649265266205</v>
      </c>
      <c r="I79" s="79" t="s">
        <v>1963</v>
      </c>
      <c r="J79" s="79" t="s">
        <v>1964</v>
      </c>
      <c r="K79" s="79" t="s">
        <v>1965</v>
      </c>
      <c r="L79" s="4"/>
      <c r="M79" s="4"/>
      <c r="N79" s="4"/>
      <c r="O79" s="4"/>
      <c r="P79" s="4"/>
      <c r="Q79" s="4"/>
      <c r="R79" s="4"/>
      <c r="S79" s="4"/>
      <c r="T79" s="4"/>
      <c r="U79" s="4"/>
      <c r="V79" s="4"/>
      <c r="W79" s="4"/>
      <c r="X79" s="4"/>
      <c r="Y79" s="4"/>
      <c r="Z79" s="4"/>
    </row>
    <row r="80">
      <c r="A80" s="77" t="s">
        <v>1966</v>
      </c>
      <c r="B80" s="17" t="s">
        <v>1967</v>
      </c>
      <c r="C80" s="17" t="s">
        <v>1968</v>
      </c>
      <c r="D80" s="17" t="s">
        <v>1969</v>
      </c>
      <c r="E80" s="79" t="s">
        <v>17</v>
      </c>
      <c r="F80" s="17" t="s">
        <v>346</v>
      </c>
      <c r="G80" s="80">
        <v>45967.592247939814</v>
      </c>
      <c r="H80" s="80">
        <v>45967.65243199074</v>
      </c>
      <c r="I80" s="79" t="s">
        <v>1970</v>
      </c>
      <c r="J80" s="79" t="s">
        <v>1971</v>
      </c>
      <c r="K80" s="79" t="s">
        <v>1972</v>
      </c>
      <c r="L80" s="4"/>
      <c r="M80" s="4"/>
      <c r="N80" s="81"/>
      <c r="O80" s="4"/>
      <c r="P80" s="85"/>
      <c r="Q80" s="4"/>
      <c r="R80" s="4"/>
      <c r="S80" s="4"/>
      <c r="T80" s="4"/>
      <c r="U80" s="4"/>
      <c r="V80" s="4"/>
      <c r="W80" s="4"/>
      <c r="X80" s="4"/>
      <c r="Y80" s="4"/>
      <c r="Z80" s="4"/>
    </row>
    <row r="81">
      <c r="A81" s="90" t="s">
        <v>1973</v>
      </c>
      <c r="B81" s="17" t="s">
        <v>1974</v>
      </c>
      <c r="C81" s="17" t="s">
        <v>1975</v>
      </c>
      <c r="D81" s="17" t="s">
        <v>1976</v>
      </c>
      <c r="E81" s="79" t="s">
        <v>23</v>
      </c>
      <c r="F81" s="17" t="s">
        <v>408</v>
      </c>
      <c r="G81" s="80">
        <v>45967.630466145834</v>
      </c>
      <c r="H81" s="80">
        <v>45967.67214041667</v>
      </c>
      <c r="I81" s="79" t="s">
        <v>1924</v>
      </c>
      <c r="J81" s="91" t="s">
        <v>1977</v>
      </c>
      <c r="K81" s="91" t="s">
        <v>1978</v>
      </c>
      <c r="L81" s="4"/>
      <c r="M81" s="4"/>
      <c r="N81" s="4"/>
      <c r="O81" s="4"/>
      <c r="P81" s="4"/>
      <c r="Q81" s="4"/>
      <c r="R81" s="4"/>
      <c r="S81" s="4"/>
      <c r="T81" s="4"/>
      <c r="U81" s="4"/>
      <c r="V81" s="4"/>
      <c r="W81" s="4"/>
      <c r="X81" s="4"/>
      <c r="Y81" s="4"/>
      <c r="Z81" s="4"/>
    </row>
    <row r="82">
      <c r="A82" s="77" t="s">
        <v>109</v>
      </c>
      <c r="B82" s="17" t="s">
        <v>1979</v>
      </c>
      <c r="C82" s="17" t="s">
        <v>1980</v>
      </c>
      <c r="D82" s="17" t="s">
        <v>1981</v>
      </c>
      <c r="E82" s="79" t="s">
        <v>39</v>
      </c>
      <c r="F82" s="17" t="s">
        <v>426</v>
      </c>
      <c r="G82" s="80">
        <v>45967.67740423611</v>
      </c>
      <c r="H82" s="80">
        <v>45967.677709131945</v>
      </c>
      <c r="I82" s="79" t="s">
        <v>611</v>
      </c>
      <c r="J82" s="79" t="s">
        <v>1982</v>
      </c>
      <c r="K82" s="79" t="s">
        <v>1983</v>
      </c>
      <c r="L82" s="4"/>
      <c r="M82" s="4"/>
      <c r="N82" s="4"/>
      <c r="O82" s="4"/>
      <c r="P82" s="4"/>
      <c r="Q82" s="4"/>
      <c r="R82" s="4"/>
      <c r="S82" s="4"/>
      <c r="T82" s="4"/>
      <c r="U82" s="4"/>
      <c r="V82" s="4"/>
      <c r="W82" s="4"/>
      <c r="X82" s="4"/>
      <c r="Y82" s="4"/>
      <c r="Z82" s="4"/>
    </row>
    <row r="83">
      <c r="A83" s="77" t="s">
        <v>1984</v>
      </c>
      <c r="B83" s="17" t="s">
        <v>1985</v>
      </c>
      <c r="C83" s="17" t="s">
        <v>1986</v>
      </c>
      <c r="D83" s="17" t="s">
        <v>1987</v>
      </c>
      <c r="E83" s="79" t="s">
        <v>41</v>
      </c>
      <c r="F83" s="17" t="s">
        <v>346</v>
      </c>
      <c r="G83" s="80">
        <v>45967.63329891204</v>
      </c>
      <c r="H83" s="80">
        <v>45967.686328599535</v>
      </c>
      <c r="I83" s="79" t="s">
        <v>123</v>
      </c>
      <c r="J83" s="79" t="s">
        <v>1988</v>
      </c>
      <c r="K83" s="79" t="s">
        <v>1989</v>
      </c>
      <c r="L83" s="4"/>
      <c r="M83" s="4"/>
      <c r="N83" s="81"/>
      <c r="O83" s="4"/>
      <c r="P83" s="82"/>
      <c r="Q83" s="4"/>
      <c r="R83" s="4"/>
      <c r="S83" s="4"/>
      <c r="T83" s="4"/>
      <c r="U83" s="4"/>
      <c r="V83" s="4"/>
      <c r="W83" s="4"/>
      <c r="X83" s="4"/>
      <c r="Y83" s="4"/>
      <c r="Z83" s="4"/>
    </row>
    <row r="84">
      <c r="A84" s="77" t="s">
        <v>1990</v>
      </c>
      <c r="B84" s="17" t="s">
        <v>1991</v>
      </c>
      <c r="C84" s="17" t="s">
        <v>1992</v>
      </c>
      <c r="D84" s="17" t="s">
        <v>1993</v>
      </c>
      <c r="E84" s="79" t="s">
        <v>31</v>
      </c>
      <c r="F84" s="17" t="s">
        <v>408</v>
      </c>
      <c r="G84" s="80">
        <v>45967.60615381945</v>
      </c>
      <c r="H84" s="80">
        <v>45967.72920778935</v>
      </c>
      <c r="I84" s="79" t="s">
        <v>496</v>
      </c>
      <c r="J84" s="79" t="s">
        <v>1994</v>
      </c>
      <c r="K84" s="79" t="s">
        <v>1995</v>
      </c>
      <c r="L84" s="4"/>
      <c r="M84" s="4"/>
      <c r="N84" s="4"/>
      <c r="O84" s="4"/>
      <c r="P84" s="4"/>
      <c r="Q84" s="4"/>
      <c r="R84" s="4"/>
      <c r="S84" s="4"/>
      <c r="T84" s="4"/>
      <c r="U84" s="4"/>
      <c r="V84" s="4"/>
      <c r="W84" s="4"/>
      <c r="X84" s="4"/>
      <c r="Y84" s="4"/>
      <c r="Z84" s="4"/>
    </row>
    <row r="85">
      <c r="A85" s="77" t="s">
        <v>1996</v>
      </c>
      <c r="B85" s="17" t="s">
        <v>1997</v>
      </c>
      <c r="C85" s="17" t="s">
        <v>1998</v>
      </c>
      <c r="D85" s="17" t="s">
        <v>1999</v>
      </c>
      <c r="E85" s="79" t="s">
        <v>25</v>
      </c>
      <c r="F85" s="17" t="s">
        <v>1607</v>
      </c>
      <c r="G85" s="80">
        <v>45967.66895385417</v>
      </c>
      <c r="H85" s="80">
        <v>45967.74181626158</v>
      </c>
      <c r="I85" s="79" t="s">
        <v>436</v>
      </c>
      <c r="J85" s="79"/>
      <c r="K85" s="79"/>
      <c r="L85" s="4"/>
      <c r="M85" s="4"/>
      <c r="N85" s="81"/>
      <c r="O85" s="4"/>
      <c r="P85" s="85"/>
      <c r="Q85" s="4"/>
      <c r="R85" s="4"/>
      <c r="S85" s="4"/>
      <c r="T85" s="4"/>
      <c r="U85" s="4"/>
      <c r="V85" s="4"/>
      <c r="W85" s="4"/>
      <c r="X85" s="4"/>
      <c r="Y85" s="4"/>
      <c r="Z85" s="4"/>
    </row>
    <row r="86">
      <c r="A86" s="77" t="s">
        <v>2000</v>
      </c>
      <c r="B86" s="17" t="s">
        <v>2001</v>
      </c>
      <c r="C86" s="17" t="s">
        <v>2002</v>
      </c>
      <c r="D86" s="17" t="s">
        <v>2003</v>
      </c>
      <c r="E86" s="79" t="s">
        <v>41</v>
      </c>
      <c r="F86" s="17" t="s">
        <v>408</v>
      </c>
      <c r="G86" s="80">
        <v>45967.704092106476</v>
      </c>
      <c r="H86" s="80">
        <v>45967.745136620375</v>
      </c>
      <c r="I86" s="79" t="s">
        <v>569</v>
      </c>
      <c r="J86" s="79" t="s">
        <v>2004</v>
      </c>
      <c r="K86" s="79" t="s">
        <v>2005</v>
      </c>
      <c r="L86" s="4"/>
      <c r="M86" s="4"/>
      <c r="N86" s="4"/>
      <c r="O86" s="4"/>
      <c r="P86" s="4"/>
      <c r="Q86" s="4"/>
      <c r="R86" s="4"/>
      <c r="S86" s="4"/>
      <c r="T86" s="4"/>
      <c r="U86" s="4"/>
      <c r="V86" s="4"/>
      <c r="W86" s="4"/>
      <c r="X86" s="4"/>
      <c r="Y86" s="4"/>
      <c r="Z86" s="4"/>
    </row>
    <row r="87">
      <c r="A87" s="77" t="s">
        <v>2006</v>
      </c>
      <c r="B87" s="17" t="s">
        <v>2007</v>
      </c>
      <c r="C87" s="17" t="s">
        <v>2008</v>
      </c>
      <c r="D87" s="17" t="s">
        <v>2009</v>
      </c>
      <c r="E87" s="79" t="s">
        <v>31</v>
      </c>
      <c r="F87" s="17" t="s">
        <v>2010</v>
      </c>
      <c r="G87" s="80">
        <v>45967.67458989583</v>
      </c>
      <c r="H87" s="80">
        <v>45967.74856954861</v>
      </c>
      <c r="I87" s="79" t="s">
        <v>354</v>
      </c>
      <c r="J87" s="79" t="s">
        <v>2011</v>
      </c>
      <c r="K87" s="79" t="s">
        <v>2012</v>
      </c>
      <c r="L87" s="4"/>
      <c r="M87" s="4"/>
      <c r="N87" s="4"/>
      <c r="O87" s="4"/>
      <c r="P87" s="4"/>
      <c r="Q87" s="4"/>
      <c r="R87" s="4"/>
      <c r="S87" s="4"/>
      <c r="T87" s="4"/>
      <c r="U87" s="4"/>
      <c r="V87" s="4"/>
      <c r="W87" s="4"/>
      <c r="X87" s="4"/>
      <c r="Y87" s="4"/>
      <c r="Z87" s="4"/>
    </row>
    <row r="88">
      <c r="A88" s="77" t="s">
        <v>2013</v>
      </c>
      <c r="B88" s="17" t="s">
        <v>2014</v>
      </c>
      <c r="C88" s="17" t="s">
        <v>2015</v>
      </c>
      <c r="D88" s="17" t="s">
        <v>2016</v>
      </c>
      <c r="E88" s="79" t="s">
        <v>39</v>
      </c>
      <c r="F88" s="17" t="s">
        <v>408</v>
      </c>
      <c r="G88" s="80">
        <v>45967.744659247684</v>
      </c>
      <c r="H88" s="80">
        <v>45967.74882496528</v>
      </c>
      <c r="I88" s="79" t="s">
        <v>463</v>
      </c>
      <c r="J88" s="79" t="s">
        <v>2017</v>
      </c>
      <c r="K88" s="79" t="s">
        <v>2018</v>
      </c>
      <c r="L88" s="4"/>
      <c r="M88" s="4"/>
      <c r="N88" s="4"/>
      <c r="O88" s="4"/>
      <c r="P88" s="4"/>
      <c r="Q88" s="4"/>
      <c r="R88" s="4"/>
      <c r="S88" s="4"/>
      <c r="T88" s="4"/>
      <c r="U88" s="4"/>
      <c r="V88" s="4"/>
      <c r="W88" s="4"/>
      <c r="X88" s="4"/>
      <c r="Y88" s="4"/>
      <c r="Z88" s="4"/>
    </row>
    <row r="89">
      <c r="A89" s="77" t="s">
        <v>2019</v>
      </c>
      <c r="B89" s="17" t="s">
        <v>2020</v>
      </c>
      <c r="C89" s="17" t="s">
        <v>2021</v>
      </c>
      <c r="D89" s="17" t="s">
        <v>2022</v>
      </c>
      <c r="E89" s="79" t="s">
        <v>35</v>
      </c>
      <c r="F89" s="17" t="s">
        <v>426</v>
      </c>
      <c r="G89" s="80">
        <v>45967.70664563657</v>
      </c>
      <c r="H89" s="80">
        <v>45967.75012931713</v>
      </c>
      <c r="I89" s="79" t="s">
        <v>2023</v>
      </c>
      <c r="J89" s="79" t="s">
        <v>2024</v>
      </c>
      <c r="K89" s="79" t="s">
        <v>2025</v>
      </c>
      <c r="L89" s="4"/>
      <c r="M89" s="4"/>
      <c r="N89" s="4"/>
      <c r="O89" s="4"/>
      <c r="P89" s="4"/>
      <c r="Q89" s="4"/>
      <c r="R89" s="4"/>
      <c r="S89" s="4"/>
      <c r="T89" s="4"/>
      <c r="U89" s="4"/>
      <c r="V89" s="4"/>
      <c r="W89" s="4"/>
      <c r="X89" s="4"/>
      <c r="Y89" s="4"/>
      <c r="Z89" s="4"/>
    </row>
    <row r="90">
      <c r="A90" s="77" t="s">
        <v>2026</v>
      </c>
      <c r="B90" s="17" t="s">
        <v>2027</v>
      </c>
      <c r="C90" s="17" t="s">
        <v>2028</v>
      </c>
      <c r="D90" s="17" t="s">
        <v>2029</v>
      </c>
      <c r="E90" s="79" t="s">
        <v>23</v>
      </c>
      <c r="F90" s="17" t="s">
        <v>408</v>
      </c>
      <c r="G90" s="80">
        <v>45967.7212947338</v>
      </c>
      <c r="H90" s="80">
        <v>45967.75112606482</v>
      </c>
      <c r="I90" s="79" t="s">
        <v>2030</v>
      </c>
      <c r="J90" s="79" t="s">
        <v>2031</v>
      </c>
      <c r="K90" s="79" t="s">
        <v>2032</v>
      </c>
      <c r="L90" s="4"/>
      <c r="M90" s="4"/>
      <c r="N90" s="4"/>
      <c r="O90" s="4"/>
      <c r="P90" s="4"/>
      <c r="Q90" s="4"/>
      <c r="R90" s="4"/>
      <c r="S90" s="4"/>
      <c r="T90" s="4"/>
      <c r="U90" s="4"/>
      <c r="V90" s="4"/>
      <c r="W90" s="4"/>
      <c r="X90" s="4"/>
      <c r="Y90" s="4"/>
      <c r="Z90" s="4"/>
    </row>
    <row r="91">
      <c r="A91" s="77" t="s">
        <v>2033</v>
      </c>
      <c r="B91" s="17" t="s">
        <v>2034</v>
      </c>
      <c r="C91" s="17" t="s">
        <v>2035</v>
      </c>
      <c r="D91" s="17" t="s">
        <v>2036</v>
      </c>
      <c r="E91" s="79" t="s">
        <v>38</v>
      </c>
      <c r="F91" s="17" t="s">
        <v>1663</v>
      </c>
      <c r="G91" s="80">
        <v>45967.66332709491</v>
      </c>
      <c r="H91" s="80">
        <v>45967.75193907408</v>
      </c>
      <c r="I91" s="79" t="s">
        <v>467</v>
      </c>
      <c r="J91" s="79"/>
      <c r="K91" s="79"/>
      <c r="L91" s="4"/>
      <c r="M91" s="4"/>
      <c r="N91" s="4"/>
      <c r="O91" s="4"/>
      <c r="P91" s="4"/>
      <c r="Q91" s="4"/>
      <c r="R91" s="4"/>
      <c r="S91" s="4"/>
      <c r="T91" s="4"/>
      <c r="U91" s="4"/>
      <c r="V91" s="4"/>
      <c r="W91" s="4"/>
      <c r="X91" s="4"/>
      <c r="Y91" s="4"/>
      <c r="Z91" s="4"/>
    </row>
    <row r="92">
      <c r="A92" s="77" t="s">
        <v>2037</v>
      </c>
      <c r="B92" s="17" t="s">
        <v>2038</v>
      </c>
      <c r="C92" s="17" t="s">
        <v>2039</v>
      </c>
      <c r="D92" s="17" t="s">
        <v>2040</v>
      </c>
      <c r="E92" s="79" t="s">
        <v>21</v>
      </c>
      <c r="F92" s="17" t="s">
        <v>426</v>
      </c>
      <c r="G92" s="83">
        <v>45967.66715300926</v>
      </c>
      <c r="H92" s="83">
        <v>45967.752379074074</v>
      </c>
      <c r="I92" s="79" t="s">
        <v>2041</v>
      </c>
      <c r="J92" s="79" t="s">
        <v>2042</v>
      </c>
      <c r="K92" s="79" t="s">
        <v>2043</v>
      </c>
      <c r="L92" s="4"/>
      <c r="M92" s="4"/>
      <c r="N92" s="81"/>
      <c r="O92" s="4"/>
      <c r="P92" s="85"/>
      <c r="Q92" s="4"/>
      <c r="R92" s="4"/>
      <c r="S92" s="4"/>
      <c r="T92" s="4"/>
      <c r="U92" s="4"/>
      <c r="V92" s="4"/>
      <c r="W92" s="4"/>
      <c r="X92" s="4"/>
      <c r="Y92" s="4"/>
      <c r="Z92" s="4"/>
    </row>
    <row r="93">
      <c r="A93" s="77" t="s">
        <v>2044</v>
      </c>
      <c r="B93" s="17" t="s">
        <v>2045</v>
      </c>
      <c r="C93" s="17" t="s">
        <v>2046</v>
      </c>
      <c r="D93" s="17" t="s">
        <v>2047</v>
      </c>
      <c r="E93" s="79" t="s">
        <v>17</v>
      </c>
      <c r="F93" s="17" t="s">
        <v>426</v>
      </c>
      <c r="G93" s="80">
        <v>45967.67396637732</v>
      </c>
      <c r="H93" s="80">
        <v>45967.75354371528</v>
      </c>
      <c r="I93" s="79" t="s">
        <v>456</v>
      </c>
      <c r="J93" s="79" t="s">
        <v>2048</v>
      </c>
      <c r="K93" s="79" t="s">
        <v>2049</v>
      </c>
      <c r="L93" s="4"/>
      <c r="M93" s="4"/>
      <c r="N93" s="4"/>
      <c r="O93" s="4"/>
      <c r="P93" s="4"/>
      <c r="Q93" s="4"/>
      <c r="R93" s="4"/>
      <c r="S93" s="4"/>
      <c r="T93" s="4"/>
      <c r="U93" s="4"/>
      <c r="V93" s="4"/>
      <c r="W93" s="4"/>
      <c r="X93" s="4"/>
      <c r="Y93" s="4"/>
      <c r="Z93" s="4"/>
    </row>
    <row r="94">
      <c r="A94" s="77" t="s">
        <v>2050</v>
      </c>
      <c r="B94" s="17" t="s">
        <v>2051</v>
      </c>
      <c r="C94" s="17" t="s">
        <v>2052</v>
      </c>
      <c r="D94" s="17" t="s">
        <v>2053</v>
      </c>
      <c r="E94" s="79" t="s">
        <v>27</v>
      </c>
      <c r="F94" s="17" t="s">
        <v>426</v>
      </c>
      <c r="G94" s="80">
        <v>45967.64619745371</v>
      </c>
      <c r="H94" s="80">
        <v>45967.75492219908</v>
      </c>
      <c r="I94" s="79" t="s">
        <v>2054</v>
      </c>
      <c r="J94" s="79" t="s">
        <v>2055</v>
      </c>
      <c r="K94" s="79" t="s">
        <v>2056</v>
      </c>
      <c r="L94" s="4"/>
      <c r="M94" s="4"/>
      <c r="N94" s="81"/>
      <c r="O94" s="4"/>
      <c r="P94" s="85"/>
      <c r="Q94" s="4"/>
      <c r="R94" s="4"/>
      <c r="S94" s="4"/>
      <c r="T94" s="4"/>
      <c r="U94" s="4"/>
      <c r="V94" s="4"/>
      <c r="W94" s="4"/>
      <c r="X94" s="4"/>
      <c r="Y94" s="4"/>
      <c r="Z94" s="4"/>
    </row>
    <row r="95">
      <c r="A95" s="77" t="s">
        <v>2057</v>
      </c>
      <c r="B95" s="17" t="s">
        <v>2058</v>
      </c>
      <c r="C95" s="17" t="s">
        <v>2059</v>
      </c>
      <c r="D95" s="17" t="s">
        <v>2060</v>
      </c>
      <c r="E95" s="79" t="s">
        <v>19</v>
      </c>
      <c r="F95" s="17" t="s">
        <v>408</v>
      </c>
      <c r="G95" s="83">
        <v>45967.666454872684</v>
      </c>
      <c r="H95" s="80">
        <v>45967.756585462965</v>
      </c>
      <c r="I95" s="79" t="s">
        <v>2061</v>
      </c>
      <c r="J95" s="79" t="s">
        <v>2062</v>
      </c>
      <c r="K95" s="79" t="s">
        <v>2063</v>
      </c>
      <c r="L95" s="4"/>
      <c r="M95" s="4"/>
      <c r="N95" s="4"/>
      <c r="O95" s="4"/>
      <c r="P95" s="4"/>
      <c r="Q95" s="4"/>
      <c r="R95" s="4"/>
      <c r="S95" s="4"/>
      <c r="T95" s="4"/>
      <c r="U95" s="4"/>
      <c r="V95" s="4"/>
      <c r="W95" s="4"/>
      <c r="X95" s="4"/>
      <c r="Y95" s="4"/>
      <c r="Z95" s="4"/>
    </row>
    <row r="96">
      <c r="A96" s="33" t="s">
        <v>2064</v>
      </c>
      <c r="B96" s="2" t="s">
        <v>2065</v>
      </c>
      <c r="C96" s="2" t="s">
        <v>2066</v>
      </c>
      <c r="D96" s="2" t="s">
        <v>2067</v>
      </c>
      <c r="E96" s="2" t="s">
        <v>23</v>
      </c>
      <c r="F96" s="2" t="s">
        <v>2068</v>
      </c>
      <c r="G96" s="92">
        <v>45968.36937561343</v>
      </c>
      <c r="H96" s="92">
        <v>45968.398171249995</v>
      </c>
      <c r="I96" s="2" t="s">
        <v>2069</v>
      </c>
      <c r="J96" s="93" t="s">
        <v>2070</v>
      </c>
      <c r="K96" s="2" t="s">
        <v>2071</v>
      </c>
      <c r="L96" s="4"/>
      <c r="M96" s="4"/>
      <c r="N96" s="4"/>
      <c r="O96" s="4"/>
      <c r="P96" s="4"/>
      <c r="Q96" s="4"/>
      <c r="R96" s="4"/>
      <c r="S96" s="4"/>
      <c r="T96" s="4"/>
      <c r="U96" s="4"/>
      <c r="V96" s="4"/>
      <c r="W96" s="4"/>
      <c r="X96" s="4"/>
      <c r="Y96" s="4"/>
      <c r="Z96" s="4"/>
    </row>
    <row r="97">
      <c r="A97" s="33" t="s">
        <v>581</v>
      </c>
      <c r="B97" s="2" t="s">
        <v>2072</v>
      </c>
      <c r="C97" s="2" t="s">
        <v>2073</v>
      </c>
      <c r="D97" s="2" t="s">
        <v>2074</v>
      </c>
      <c r="E97" s="2" t="s">
        <v>41</v>
      </c>
      <c r="F97" s="2" t="s">
        <v>2068</v>
      </c>
      <c r="G97" s="92">
        <v>45968.35596568287</v>
      </c>
      <c r="H97" s="92">
        <v>45968.40188851852</v>
      </c>
      <c r="I97" s="2" t="s">
        <v>1950</v>
      </c>
      <c r="J97" s="93" t="s">
        <v>2075</v>
      </c>
      <c r="K97" s="2" t="s">
        <v>2076</v>
      </c>
      <c r="L97" s="4"/>
      <c r="M97" s="4"/>
      <c r="N97" s="4"/>
      <c r="O97" s="4"/>
      <c r="P97" s="4"/>
      <c r="Q97" s="4"/>
      <c r="R97" s="4"/>
      <c r="S97" s="4"/>
      <c r="T97" s="4"/>
      <c r="U97" s="4"/>
      <c r="V97" s="4"/>
      <c r="W97" s="4"/>
      <c r="X97" s="4"/>
      <c r="Y97" s="4"/>
      <c r="Z97" s="4"/>
    </row>
    <row r="98">
      <c r="A98" s="33" t="s">
        <v>2077</v>
      </c>
      <c r="B98" s="2" t="s">
        <v>2078</v>
      </c>
      <c r="C98" s="2" t="s">
        <v>2079</v>
      </c>
      <c r="D98" s="2" t="s">
        <v>2080</v>
      </c>
      <c r="E98" s="2" t="s">
        <v>35</v>
      </c>
      <c r="F98" s="2" t="s">
        <v>2068</v>
      </c>
      <c r="G98" s="92">
        <v>45968.36911322917</v>
      </c>
      <c r="H98" s="92">
        <v>45968.408849687505</v>
      </c>
      <c r="I98" s="2" t="s">
        <v>2081</v>
      </c>
      <c r="J98" s="93" t="s">
        <v>2082</v>
      </c>
      <c r="K98" s="93" t="s">
        <v>2083</v>
      </c>
      <c r="L98" s="4"/>
      <c r="M98" s="4"/>
      <c r="N98" s="4"/>
      <c r="O98" s="4"/>
      <c r="P98" s="4"/>
      <c r="Q98" s="4"/>
      <c r="R98" s="4"/>
      <c r="S98" s="4"/>
      <c r="T98" s="4"/>
      <c r="U98" s="4"/>
      <c r="V98" s="4"/>
      <c r="W98" s="4"/>
      <c r="X98" s="4"/>
      <c r="Y98" s="4"/>
      <c r="Z98" s="4"/>
    </row>
    <row r="99">
      <c r="A99" s="33" t="s">
        <v>2084</v>
      </c>
      <c r="B99" s="2" t="s">
        <v>2085</v>
      </c>
      <c r="C99" s="2" t="s">
        <v>2086</v>
      </c>
      <c r="D99" s="2" t="s">
        <v>2087</v>
      </c>
      <c r="E99" s="2" t="s">
        <v>17</v>
      </c>
      <c r="F99" s="2" t="s">
        <v>2068</v>
      </c>
      <c r="G99" s="92">
        <v>45968.370530925924</v>
      </c>
      <c r="H99" s="92">
        <v>45968.42869366898</v>
      </c>
      <c r="I99" s="2" t="s">
        <v>2088</v>
      </c>
      <c r="J99" s="93" t="s">
        <v>2089</v>
      </c>
      <c r="K99" s="2" t="s">
        <v>2090</v>
      </c>
      <c r="L99" s="4"/>
      <c r="M99" s="4"/>
      <c r="N99" s="4"/>
      <c r="O99" s="4"/>
      <c r="P99" s="4"/>
      <c r="Q99" s="4"/>
      <c r="R99" s="4"/>
      <c r="S99" s="4"/>
      <c r="T99" s="4"/>
      <c r="U99" s="4"/>
      <c r="V99" s="4"/>
      <c r="W99" s="4"/>
      <c r="X99" s="4"/>
      <c r="Y99" s="4"/>
      <c r="Z99" s="4"/>
    </row>
    <row r="100">
      <c r="A100" s="33" t="s">
        <v>2091</v>
      </c>
      <c r="B100" s="2" t="s">
        <v>2092</v>
      </c>
      <c r="C100" s="2" t="s">
        <v>2093</v>
      </c>
      <c r="D100" s="2" t="s">
        <v>2094</v>
      </c>
      <c r="E100" s="2" t="s">
        <v>27</v>
      </c>
      <c r="F100" s="2" t="s">
        <v>408</v>
      </c>
      <c r="G100" s="92">
        <v>45968.36138638889</v>
      </c>
      <c r="H100" s="92">
        <v>45968.42937696759</v>
      </c>
      <c r="I100" s="2" t="s">
        <v>461</v>
      </c>
      <c r="J100" s="93" t="s">
        <v>2095</v>
      </c>
      <c r="K100" s="93" t="s">
        <v>2096</v>
      </c>
      <c r="L100" s="4"/>
      <c r="M100" s="4"/>
      <c r="N100" s="4"/>
      <c r="O100" s="4"/>
      <c r="P100" s="4"/>
      <c r="Q100" s="4"/>
      <c r="R100" s="4"/>
      <c r="S100" s="4"/>
      <c r="T100" s="4"/>
      <c r="U100" s="4"/>
      <c r="V100" s="4"/>
      <c r="W100" s="4"/>
      <c r="X100" s="4"/>
      <c r="Y100" s="4"/>
      <c r="Z100" s="4"/>
    </row>
    <row r="101">
      <c r="A101" s="33" t="s">
        <v>2097</v>
      </c>
      <c r="B101" s="2" t="s">
        <v>2098</v>
      </c>
      <c r="C101" s="2" t="s">
        <v>2099</v>
      </c>
      <c r="D101" s="2" t="s">
        <v>2100</v>
      </c>
      <c r="E101" s="2" t="s">
        <v>23</v>
      </c>
      <c r="F101" s="2" t="s">
        <v>2068</v>
      </c>
      <c r="G101" s="92">
        <v>45968.40178114583</v>
      </c>
      <c r="H101" s="92">
        <v>45968.43334827546</v>
      </c>
      <c r="I101" s="2" t="s">
        <v>167</v>
      </c>
      <c r="J101" s="93" t="s">
        <v>2101</v>
      </c>
      <c r="K101" s="2" t="s">
        <v>2102</v>
      </c>
      <c r="L101" s="4"/>
      <c r="M101" s="4"/>
      <c r="N101" s="4"/>
      <c r="O101" s="4"/>
      <c r="P101" s="4"/>
      <c r="Q101" s="4"/>
      <c r="R101" s="4"/>
      <c r="S101" s="4"/>
      <c r="T101" s="4"/>
      <c r="U101" s="4"/>
      <c r="V101" s="4"/>
      <c r="W101" s="4"/>
      <c r="X101" s="4"/>
      <c r="Y101" s="4"/>
      <c r="Z101" s="4"/>
    </row>
    <row r="102">
      <c r="A102" s="33" t="s">
        <v>2103</v>
      </c>
      <c r="B102" s="2" t="s">
        <v>2104</v>
      </c>
      <c r="C102" s="2" t="s">
        <v>2105</v>
      </c>
      <c r="D102" s="2" t="s">
        <v>2106</v>
      </c>
      <c r="E102" s="2" t="s">
        <v>19</v>
      </c>
      <c r="F102" s="2" t="s">
        <v>426</v>
      </c>
      <c r="G102" s="3">
        <v>45968.372726851856</v>
      </c>
      <c r="H102" s="92">
        <v>45968.435214756944</v>
      </c>
      <c r="I102" s="2" t="s">
        <v>138</v>
      </c>
      <c r="J102" s="93" t="s">
        <v>2107</v>
      </c>
      <c r="K102" s="2" t="s">
        <v>2108</v>
      </c>
      <c r="L102" s="4"/>
      <c r="M102" s="4"/>
      <c r="N102" s="4"/>
      <c r="O102" s="4"/>
      <c r="P102" s="4"/>
      <c r="Q102" s="4"/>
      <c r="R102" s="4"/>
      <c r="S102" s="4"/>
      <c r="T102" s="4"/>
      <c r="U102" s="4"/>
      <c r="V102" s="4"/>
      <c r="W102" s="4"/>
      <c r="X102" s="4"/>
      <c r="Y102" s="4"/>
      <c r="Z102" s="4"/>
    </row>
    <row r="103">
      <c r="A103" s="33" t="s">
        <v>2109</v>
      </c>
      <c r="B103" s="2" t="s">
        <v>2110</v>
      </c>
      <c r="C103" s="2" t="s">
        <v>2111</v>
      </c>
      <c r="D103" s="2" t="s">
        <v>2112</v>
      </c>
      <c r="E103" s="2" t="s">
        <v>38</v>
      </c>
      <c r="F103" s="2" t="s">
        <v>2068</v>
      </c>
      <c r="G103" s="92">
        <v>45968.36051925926</v>
      </c>
      <c r="H103" s="92">
        <v>45968.44491747685</v>
      </c>
      <c r="I103" s="2" t="s">
        <v>2113</v>
      </c>
      <c r="J103" s="93" t="s">
        <v>2114</v>
      </c>
      <c r="K103" s="2" t="s">
        <v>2115</v>
      </c>
      <c r="L103" s="4"/>
      <c r="M103" s="4"/>
      <c r="N103" s="4"/>
      <c r="O103" s="4"/>
      <c r="P103" s="4"/>
      <c r="Q103" s="4"/>
      <c r="R103" s="4"/>
      <c r="S103" s="4"/>
      <c r="T103" s="4"/>
      <c r="U103" s="4"/>
      <c r="V103" s="4"/>
      <c r="W103" s="4"/>
      <c r="X103" s="4"/>
      <c r="Y103" s="4"/>
      <c r="Z103" s="4"/>
    </row>
    <row r="104">
      <c r="A104" s="33" t="s">
        <v>468</v>
      </c>
      <c r="B104" s="2" t="s">
        <v>2116</v>
      </c>
      <c r="C104" s="2" t="s">
        <v>2117</v>
      </c>
      <c r="D104" s="2" t="s">
        <v>2118</v>
      </c>
      <c r="E104" s="2" t="s">
        <v>21</v>
      </c>
      <c r="F104" s="2" t="s">
        <v>2068</v>
      </c>
      <c r="G104" s="3">
        <v>45968.37385425926</v>
      </c>
      <c r="H104" s="3">
        <v>45968.445931863425</v>
      </c>
      <c r="I104" s="2" t="s">
        <v>2119</v>
      </c>
      <c r="J104" s="93" t="s">
        <v>2120</v>
      </c>
      <c r="K104" s="2" t="s">
        <v>2121</v>
      </c>
      <c r="L104" s="4"/>
      <c r="M104" s="4"/>
      <c r="N104" s="4"/>
      <c r="O104" s="4"/>
      <c r="P104" s="4"/>
      <c r="Q104" s="4"/>
      <c r="R104" s="4"/>
      <c r="S104" s="4"/>
      <c r="T104" s="4"/>
      <c r="U104" s="4"/>
      <c r="V104" s="4"/>
      <c r="W104" s="4"/>
      <c r="X104" s="4"/>
      <c r="Y104" s="4"/>
      <c r="Z104" s="4"/>
    </row>
    <row r="105">
      <c r="A105" s="33" t="s">
        <v>2122</v>
      </c>
      <c r="B105" s="2" t="s">
        <v>2123</v>
      </c>
      <c r="C105" s="2" t="s">
        <v>2124</v>
      </c>
      <c r="D105" s="2" t="s">
        <v>2125</v>
      </c>
      <c r="E105" s="2" t="s">
        <v>31</v>
      </c>
      <c r="F105" s="2" t="s">
        <v>426</v>
      </c>
      <c r="G105" s="92">
        <v>45968.36601777778</v>
      </c>
      <c r="H105" s="92">
        <v>45968.44689535879</v>
      </c>
      <c r="I105" s="2" t="s">
        <v>449</v>
      </c>
      <c r="J105" s="93" t="s">
        <v>2126</v>
      </c>
      <c r="K105" s="2" t="s">
        <v>2127</v>
      </c>
      <c r="L105" s="4"/>
      <c r="M105" s="4"/>
      <c r="N105" s="4"/>
      <c r="O105" s="4"/>
      <c r="P105" s="4"/>
      <c r="Q105" s="4"/>
      <c r="R105" s="4"/>
      <c r="S105" s="4"/>
      <c r="T105" s="4"/>
      <c r="U105" s="4"/>
      <c r="V105" s="4"/>
      <c r="W105" s="4"/>
      <c r="X105" s="4"/>
      <c r="Y105" s="4"/>
      <c r="Z105" s="4"/>
    </row>
    <row r="106">
      <c r="A106" s="33" t="s">
        <v>2128</v>
      </c>
      <c r="B106" s="2" t="s">
        <v>2129</v>
      </c>
      <c r="C106" s="2" t="s">
        <v>2130</v>
      </c>
      <c r="D106" s="2" t="s">
        <v>2131</v>
      </c>
      <c r="E106" s="2" t="s">
        <v>25</v>
      </c>
      <c r="F106" s="2" t="s">
        <v>2068</v>
      </c>
      <c r="G106" s="92">
        <v>45968.36976768519</v>
      </c>
      <c r="H106" s="92">
        <v>45968.449504675926</v>
      </c>
      <c r="I106" s="2" t="s">
        <v>456</v>
      </c>
      <c r="J106" s="93" t="s">
        <v>2132</v>
      </c>
      <c r="K106" s="93" t="s">
        <v>2133</v>
      </c>
      <c r="L106" s="4"/>
      <c r="M106" s="4"/>
      <c r="N106" s="4"/>
      <c r="O106" s="4"/>
      <c r="P106" s="4"/>
      <c r="Q106" s="4"/>
      <c r="R106" s="4"/>
      <c r="S106" s="4"/>
      <c r="T106" s="4"/>
      <c r="U106" s="4"/>
      <c r="V106" s="4"/>
      <c r="W106" s="4"/>
      <c r="X106" s="4"/>
      <c r="Y106" s="4"/>
      <c r="Z106" s="4"/>
    </row>
    <row r="107">
      <c r="A107" s="33" t="s">
        <v>2134</v>
      </c>
      <c r="B107" s="2" t="s">
        <v>2135</v>
      </c>
      <c r="C107" s="2" t="s">
        <v>2136</v>
      </c>
      <c r="D107" s="2" t="s">
        <v>2137</v>
      </c>
      <c r="E107" s="2" t="s">
        <v>41</v>
      </c>
      <c r="F107" s="2" t="s">
        <v>2068</v>
      </c>
      <c r="G107" s="92">
        <v>45968.4100180324</v>
      </c>
      <c r="H107" s="92">
        <v>45968.46210978009</v>
      </c>
      <c r="I107" s="2" t="s">
        <v>347</v>
      </c>
      <c r="J107" s="93" t="s">
        <v>2138</v>
      </c>
      <c r="K107" s="2" t="s">
        <v>2139</v>
      </c>
      <c r="L107" s="4"/>
      <c r="M107" s="4"/>
      <c r="N107" s="4"/>
      <c r="O107" s="4"/>
      <c r="P107" s="4"/>
      <c r="Q107" s="4"/>
      <c r="R107" s="4"/>
      <c r="S107" s="4"/>
      <c r="T107" s="4"/>
      <c r="U107" s="4"/>
      <c r="V107" s="4"/>
      <c r="W107" s="4"/>
      <c r="X107" s="4"/>
      <c r="Y107" s="4"/>
      <c r="Z107" s="4"/>
    </row>
    <row r="108">
      <c r="A108" s="33" t="s">
        <v>2140</v>
      </c>
      <c r="B108" s="2" t="s">
        <v>2141</v>
      </c>
      <c r="C108" s="2" t="s">
        <v>2142</v>
      </c>
      <c r="D108" s="2" t="s">
        <v>2143</v>
      </c>
      <c r="E108" s="2" t="s">
        <v>27</v>
      </c>
      <c r="F108" s="2" t="s">
        <v>408</v>
      </c>
      <c r="G108" s="92">
        <v>45968.43103248843</v>
      </c>
      <c r="H108" s="92">
        <v>45968.47761297454</v>
      </c>
      <c r="I108" s="2" t="s">
        <v>2144</v>
      </c>
      <c r="J108" s="93" t="s">
        <v>2145</v>
      </c>
      <c r="K108" s="93" t="s">
        <v>2146</v>
      </c>
      <c r="L108" s="4"/>
      <c r="M108" s="4"/>
      <c r="N108" s="4"/>
      <c r="O108" s="4"/>
      <c r="P108" s="4"/>
      <c r="Q108" s="4"/>
      <c r="R108" s="4"/>
      <c r="S108" s="4"/>
      <c r="T108" s="4"/>
      <c r="U108" s="4"/>
      <c r="V108" s="4"/>
      <c r="W108" s="4"/>
      <c r="X108" s="4"/>
      <c r="Y108" s="4"/>
      <c r="Z108" s="4"/>
    </row>
    <row r="109">
      <c r="A109" s="33" t="s">
        <v>470</v>
      </c>
      <c r="B109" s="2" t="s">
        <v>2147</v>
      </c>
      <c r="C109" s="2" t="s">
        <v>2148</v>
      </c>
      <c r="D109" s="2" t="s">
        <v>2149</v>
      </c>
      <c r="E109" s="2" t="s">
        <v>39</v>
      </c>
      <c r="F109" s="2" t="s">
        <v>2068</v>
      </c>
      <c r="G109" s="92">
        <v>45968.37220804398</v>
      </c>
      <c r="H109" s="92">
        <v>45968.48051304398</v>
      </c>
      <c r="I109" s="2" t="s">
        <v>2150</v>
      </c>
      <c r="J109" s="93" t="s">
        <v>2151</v>
      </c>
      <c r="K109" s="2" t="s">
        <v>2152</v>
      </c>
      <c r="L109" s="4"/>
      <c r="M109" s="4"/>
      <c r="N109" s="4"/>
      <c r="O109" s="4"/>
      <c r="P109" s="4"/>
      <c r="Q109" s="4"/>
      <c r="R109" s="4"/>
      <c r="S109" s="4"/>
      <c r="T109" s="4"/>
      <c r="U109" s="4"/>
      <c r="V109" s="4"/>
      <c r="W109" s="4"/>
      <c r="X109" s="4"/>
      <c r="Y109" s="4"/>
      <c r="Z109" s="4"/>
    </row>
    <row r="110">
      <c r="A110" s="33" t="s">
        <v>2153</v>
      </c>
      <c r="B110" s="2" t="s">
        <v>2154</v>
      </c>
      <c r="C110" s="2" t="s">
        <v>2155</v>
      </c>
      <c r="D110" s="2" t="s">
        <v>2156</v>
      </c>
      <c r="E110" s="2" t="s">
        <v>19</v>
      </c>
      <c r="F110" s="2" t="s">
        <v>2068</v>
      </c>
      <c r="G110" s="3">
        <v>45968.44718689815</v>
      </c>
      <c r="H110" s="92">
        <v>45968.48925918981</v>
      </c>
      <c r="I110" s="2" t="s">
        <v>2157</v>
      </c>
      <c r="J110" s="93" t="s">
        <v>2158</v>
      </c>
      <c r="K110" s="2" t="s">
        <v>2159</v>
      </c>
      <c r="L110" s="4"/>
      <c r="M110" s="4"/>
      <c r="N110" s="4"/>
      <c r="O110" s="4"/>
      <c r="P110" s="4"/>
      <c r="Q110" s="4"/>
      <c r="R110" s="4"/>
      <c r="S110" s="4"/>
      <c r="T110" s="4"/>
      <c r="U110" s="4"/>
      <c r="V110" s="4"/>
      <c r="W110" s="4"/>
      <c r="X110" s="4"/>
      <c r="Y110" s="4"/>
      <c r="Z110" s="4"/>
    </row>
    <row r="111">
      <c r="A111" s="33" t="s">
        <v>77</v>
      </c>
      <c r="B111" s="2" t="s">
        <v>2160</v>
      </c>
      <c r="C111" s="2" t="s">
        <v>2161</v>
      </c>
      <c r="D111" s="2" t="s">
        <v>2162</v>
      </c>
      <c r="E111" s="2" t="s">
        <v>23</v>
      </c>
      <c r="F111" s="2" t="s">
        <v>2068</v>
      </c>
      <c r="G111" s="92">
        <v>45968.44645855324</v>
      </c>
      <c r="H111" s="92">
        <v>45968.490729259254</v>
      </c>
      <c r="I111" s="2" t="s">
        <v>2163</v>
      </c>
      <c r="J111" s="93" t="s">
        <v>2164</v>
      </c>
      <c r="K111" s="2" t="s">
        <v>2165</v>
      </c>
      <c r="L111" s="4"/>
      <c r="M111" s="4"/>
      <c r="N111" s="4"/>
      <c r="O111" s="4"/>
      <c r="P111" s="4"/>
      <c r="Q111" s="4"/>
      <c r="R111" s="4"/>
      <c r="S111" s="4"/>
      <c r="T111" s="4"/>
      <c r="U111" s="4"/>
      <c r="V111" s="4"/>
      <c r="W111" s="4"/>
      <c r="X111" s="4"/>
      <c r="Y111" s="4"/>
      <c r="Z111" s="4"/>
    </row>
    <row r="112">
      <c r="A112" s="33" t="s">
        <v>2166</v>
      </c>
      <c r="B112" s="2" t="s">
        <v>2167</v>
      </c>
      <c r="C112" s="2" t="s">
        <v>2168</v>
      </c>
      <c r="D112" s="2" t="s">
        <v>2169</v>
      </c>
      <c r="E112" s="2" t="s">
        <v>27</v>
      </c>
      <c r="F112" s="2" t="s">
        <v>2068</v>
      </c>
      <c r="G112" s="92">
        <v>45968.48472064815</v>
      </c>
      <c r="H112" s="92">
        <v>45968.491570729166</v>
      </c>
      <c r="I112" s="2" t="s">
        <v>2170</v>
      </c>
      <c r="J112" s="93" t="s">
        <v>2171</v>
      </c>
      <c r="K112" s="93" t="s">
        <v>2172</v>
      </c>
      <c r="L112" s="4"/>
      <c r="M112" s="4"/>
      <c r="N112" s="4"/>
      <c r="O112" s="4"/>
      <c r="P112" s="4"/>
      <c r="Q112" s="4"/>
      <c r="R112" s="4"/>
      <c r="S112" s="4"/>
      <c r="T112" s="4"/>
      <c r="U112" s="4"/>
      <c r="V112" s="4"/>
      <c r="W112" s="4"/>
      <c r="X112" s="4"/>
      <c r="Y112" s="4"/>
      <c r="Z112" s="4"/>
    </row>
    <row r="113">
      <c r="A113" s="33" t="s">
        <v>2173</v>
      </c>
      <c r="B113" s="2" t="s">
        <v>2174</v>
      </c>
      <c r="C113" s="2" t="s">
        <v>2175</v>
      </c>
      <c r="D113" s="2" t="s">
        <v>2176</v>
      </c>
      <c r="E113" s="2" t="s">
        <v>35</v>
      </c>
      <c r="F113" s="2" t="s">
        <v>408</v>
      </c>
      <c r="G113" s="92">
        <v>45968.416294421295</v>
      </c>
      <c r="H113" s="92">
        <v>45968.492628946755</v>
      </c>
      <c r="I113" s="2" t="s">
        <v>522</v>
      </c>
      <c r="J113" s="93" t="s">
        <v>2177</v>
      </c>
      <c r="K113" s="93" t="s">
        <v>2178</v>
      </c>
      <c r="L113" s="4"/>
      <c r="M113" s="4"/>
      <c r="N113" s="4"/>
      <c r="O113" s="4"/>
      <c r="P113" s="4"/>
      <c r="Q113" s="4"/>
      <c r="R113" s="4"/>
      <c r="S113" s="4"/>
      <c r="T113" s="4"/>
      <c r="U113" s="4"/>
      <c r="V113" s="4"/>
      <c r="W113" s="4"/>
      <c r="X113" s="4"/>
      <c r="Y113" s="4"/>
      <c r="Z113" s="4"/>
    </row>
    <row r="114">
      <c r="A114" s="33" t="s">
        <v>2179</v>
      </c>
      <c r="B114" s="2" t="s">
        <v>2180</v>
      </c>
      <c r="C114" s="2" t="s">
        <v>2181</v>
      </c>
      <c r="D114" s="2" t="s">
        <v>2182</v>
      </c>
      <c r="E114" s="2" t="s">
        <v>38</v>
      </c>
      <c r="F114" s="2" t="s">
        <v>2068</v>
      </c>
      <c r="G114" s="92">
        <v>45968.45158324074</v>
      </c>
      <c r="H114" s="92">
        <v>45968.49358826389</v>
      </c>
      <c r="I114" s="2" t="s">
        <v>1924</v>
      </c>
      <c r="J114" s="93" t="s">
        <v>2183</v>
      </c>
      <c r="K114" s="2" t="s">
        <v>2184</v>
      </c>
      <c r="L114" s="4"/>
      <c r="M114" s="4"/>
      <c r="N114" s="4"/>
      <c r="O114" s="4"/>
      <c r="P114" s="4"/>
      <c r="Q114" s="4"/>
      <c r="R114" s="4"/>
      <c r="S114" s="4"/>
      <c r="T114" s="4"/>
      <c r="U114" s="4"/>
      <c r="V114" s="4"/>
      <c r="W114" s="4"/>
      <c r="X114" s="4"/>
      <c r="Y114" s="4"/>
      <c r="Z114" s="4"/>
    </row>
    <row r="115">
      <c r="A115" s="33" t="s">
        <v>2185</v>
      </c>
      <c r="B115" s="2" t="s">
        <v>2186</v>
      </c>
      <c r="C115" s="2" t="s">
        <v>2187</v>
      </c>
      <c r="D115" s="2" t="s">
        <v>2188</v>
      </c>
      <c r="E115" s="2" t="s">
        <v>21</v>
      </c>
      <c r="F115" s="2" t="s">
        <v>2068</v>
      </c>
      <c r="G115" s="3">
        <v>45968.48123377315</v>
      </c>
      <c r="H115" s="3">
        <v>45968.49598482639</v>
      </c>
      <c r="I115" s="2" t="s">
        <v>215</v>
      </c>
      <c r="J115" s="93" t="s">
        <v>2189</v>
      </c>
      <c r="K115" s="93" t="s">
        <v>2190</v>
      </c>
      <c r="L115" s="4"/>
      <c r="M115" s="4"/>
      <c r="N115" s="4"/>
      <c r="O115" s="4"/>
      <c r="P115" s="4"/>
      <c r="Q115" s="4"/>
      <c r="R115" s="4"/>
      <c r="S115" s="4"/>
      <c r="T115" s="4"/>
      <c r="U115" s="4"/>
      <c r="V115" s="4"/>
      <c r="W115" s="4"/>
      <c r="X115" s="4"/>
      <c r="Y115" s="4"/>
      <c r="Z115" s="4"/>
    </row>
    <row r="116">
      <c r="A116" s="33" t="s">
        <v>2191</v>
      </c>
      <c r="B116" s="2" t="s">
        <v>2192</v>
      </c>
      <c r="C116" s="2" t="s">
        <v>2193</v>
      </c>
      <c r="D116" s="2" t="s">
        <v>2194</v>
      </c>
      <c r="E116" s="2" t="s">
        <v>39</v>
      </c>
      <c r="F116" s="2" t="s">
        <v>2068</v>
      </c>
      <c r="G116" s="92">
        <v>45968.480644675925</v>
      </c>
      <c r="H116" s="92">
        <v>45968.50396310185</v>
      </c>
      <c r="I116" s="2" t="s">
        <v>200</v>
      </c>
      <c r="J116" s="93" t="s">
        <v>2195</v>
      </c>
      <c r="K116" s="2" t="s">
        <v>2196</v>
      </c>
      <c r="L116" s="4"/>
      <c r="M116" s="4"/>
      <c r="N116" s="4"/>
      <c r="O116" s="4"/>
      <c r="P116" s="4"/>
      <c r="Q116" s="4"/>
      <c r="R116" s="4"/>
      <c r="S116" s="4"/>
      <c r="T116" s="4"/>
      <c r="U116" s="4"/>
      <c r="V116" s="4"/>
      <c r="W116" s="4"/>
      <c r="X116" s="4"/>
      <c r="Y116" s="4"/>
      <c r="Z116" s="4"/>
    </row>
    <row r="117">
      <c r="A117" s="33" t="s">
        <v>62</v>
      </c>
      <c r="B117" s="2" t="s">
        <v>2197</v>
      </c>
      <c r="C117" s="2" t="s">
        <v>2198</v>
      </c>
      <c r="D117" s="2" t="s">
        <v>2199</v>
      </c>
      <c r="E117" s="2" t="s">
        <v>31</v>
      </c>
      <c r="F117" s="2" t="s">
        <v>2068</v>
      </c>
      <c r="G117" s="92">
        <v>45968.453387800924</v>
      </c>
      <c r="H117" s="92">
        <v>45968.51330443287</v>
      </c>
      <c r="I117" s="2" t="s">
        <v>2200</v>
      </c>
      <c r="J117" s="93" t="s">
        <v>2201</v>
      </c>
      <c r="K117" s="2" t="s">
        <v>2202</v>
      </c>
      <c r="L117" s="4"/>
      <c r="M117" s="4"/>
      <c r="N117" s="4"/>
      <c r="O117" s="4"/>
      <c r="P117" s="4"/>
      <c r="Q117" s="4"/>
      <c r="R117" s="4"/>
      <c r="S117" s="4"/>
      <c r="T117" s="4"/>
      <c r="U117" s="4"/>
      <c r="V117" s="4"/>
      <c r="W117" s="4"/>
      <c r="X117" s="4"/>
      <c r="Y117" s="4"/>
      <c r="Z117" s="4"/>
    </row>
    <row r="118">
      <c r="A118" s="33" t="s">
        <v>480</v>
      </c>
      <c r="B118" s="2" t="s">
        <v>2203</v>
      </c>
      <c r="C118" s="2" t="s">
        <v>2204</v>
      </c>
      <c r="D118" s="2" t="s">
        <v>2205</v>
      </c>
      <c r="E118" s="2" t="s">
        <v>23</v>
      </c>
      <c r="F118" s="2" t="s">
        <v>2068</v>
      </c>
      <c r="G118" s="92">
        <v>45968.496631539354</v>
      </c>
      <c r="H118" s="92">
        <v>45968.5186169213</v>
      </c>
      <c r="I118" s="2" t="s">
        <v>235</v>
      </c>
      <c r="J118" s="93" t="s">
        <v>2206</v>
      </c>
      <c r="K118" s="2" t="s">
        <v>2207</v>
      </c>
      <c r="L118" s="4"/>
      <c r="M118" s="4"/>
      <c r="N118" s="4"/>
      <c r="O118" s="4"/>
      <c r="P118" s="4"/>
      <c r="Q118" s="4"/>
      <c r="R118" s="4"/>
      <c r="S118" s="4"/>
      <c r="T118" s="4"/>
      <c r="U118" s="4"/>
      <c r="V118" s="4"/>
      <c r="W118" s="4"/>
      <c r="X118" s="4"/>
      <c r="Y118" s="4"/>
      <c r="Z118" s="4"/>
    </row>
    <row r="119">
      <c r="A119" s="33" t="s">
        <v>2208</v>
      </c>
      <c r="B119" s="2" t="s">
        <v>2209</v>
      </c>
      <c r="C119" s="2" t="s">
        <v>2210</v>
      </c>
      <c r="D119" s="2" t="s">
        <v>2211</v>
      </c>
      <c r="E119" s="2" t="s">
        <v>21</v>
      </c>
      <c r="F119" s="2" t="s">
        <v>2068</v>
      </c>
      <c r="G119" s="3">
        <v>45968.5106891551</v>
      </c>
      <c r="H119" s="3">
        <v>45968.521291956014</v>
      </c>
      <c r="I119" s="2" t="s">
        <v>2212</v>
      </c>
      <c r="J119" s="93" t="s">
        <v>2213</v>
      </c>
      <c r="K119" s="93" t="s">
        <v>2214</v>
      </c>
      <c r="L119" s="4"/>
      <c r="M119" s="4"/>
      <c r="N119" s="4"/>
      <c r="O119" s="4"/>
      <c r="P119" s="4"/>
      <c r="Q119" s="4"/>
      <c r="R119" s="4"/>
      <c r="S119" s="4"/>
      <c r="T119" s="4"/>
      <c r="U119" s="4"/>
      <c r="V119" s="4"/>
      <c r="W119" s="4"/>
      <c r="X119" s="4"/>
      <c r="Y119" s="4"/>
      <c r="Z119" s="4"/>
    </row>
    <row r="120">
      <c r="A120" s="33" t="s">
        <v>481</v>
      </c>
      <c r="B120" s="2" t="s">
        <v>2215</v>
      </c>
      <c r="C120" s="2" t="s">
        <v>2216</v>
      </c>
      <c r="D120" s="2" t="s">
        <v>2217</v>
      </c>
      <c r="E120" s="2" t="s">
        <v>23</v>
      </c>
      <c r="F120" s="2" t="s">
        <v>2068</v>
      </c>
      <c r="G120" s="92">
        <v>45968.51951238426</v>
      </c>
      <c r="H120" s="92">
        <v>45968.52861659722</v>
      </c>
      <c r="I120" s="2" t="s">
        <v>513</v>
      </c>
      <c r="J120" s="93" t="s">
        <v>2218</v>
      </c>
      <c r="K120" s="2" t="s">
        <v>2219</v>
      </c>
      <c r="L120" s="4"/>
      <c r="M120" s="4"/>
      <c r="N120" s="4"/>
      <c r="O120" s="4"/>
      <c r="P120" s="4"/>
      <c r="Q120" s="4"/>
      <c r="R120" s="4"/>
      <c r="S120" s="4"/>
      <c r="T120" s="4"/>
      <c r="U120" s="4"/>
      <c r="V120" s="4"/>
      <c r="W120" s="4"/>
      <c r="X120" s="4"/>
      <c r="Y120" s="4"/>
      <c r="Z120" s="4"/>
    </row>
    <row r="121">
      <c r="A121" s="33" t="s">
        <v>2220</v>
      </c>
      <c r="B121" s="2" t="s">
        <v>2221</v>
      </c>
      <c r="C121" s="2" t="s">
        <v>2222</v>
      </c>
      <c r="D121" s="2" t="s">
        <v>2223</v>
      </c>
      <c r="E121" s="2" t="s">
        <v>35</v>
      </c>
      <c r="F121" s="2" t="s">
        <v>2068</v>
      </c>
      <c r="G121" s="92">
        <v>45968.50008814815</v>
      </c>
      <c r="H121" s="92">
        <v>45968.53200190973</v>
      </c>
      <c r="I121" s="2" t="s">
        <v>2224</v>
      </c>
      <c r="J121" s="93" t="s">
        <v>2225</v>
      </c>
      <c r="K121" s="2" t="s">
        <v>2226</v>
      </c>
      <c r="L121" s="4"/>
      <c r="M121" s="4"/>
      <c r="N121" s="4"/>
      <c r="O121" s="4"/>
      <c r="P121" s="4"/>
      <c r="Q121" s="4"/>
      <c r="R121" s="4"/>
      <c r="S121" s="4"/>
      <c r="T121" s="4"/>
      <c r="U121" s="4"/>
      <c r="V121" s="4"/>
      <c r="W121" s="4"/>
      <c r="X121" s="4"/>
      <c r="Y121" s="4"/>
      <c r="Z121" s="4"/>
    </row>
    <row r="122">
      <c r="A122" s="33" t="s">
        <v>445</v>
      </c>
      <c r="B122" s="2" t="s">
        <v>2227</v>
      </c>
      <c r="C122" s="2" t="s">
        <v>2228</v>
      </c>
      <c r="D122" s="2" t="s">
        <v>2229</v>
      </c>
      <c r="E122" s="2" t="s">
        <v>17</v>
      </c>
      <c r="F122" s="2" t="s">
        <v>2068</v>
      </c>
      <c r="G122" s="92">
        <v>45968.45659618056</v>
      </c>
      <c r="H122" s="92">
        <v>45968.53637292824</v>
      </c>
      <c r="I122" s="2" t="s">
        <v>456</v>
      </c>
      <c r="J122" s="93" t="s">
        <v>2230</v>
      </c>
      <c r="K122" s="2" t="s">
        <v>2231</v>
      </c>
      <c r="L122" s="4"/>
      <c r="M122" s="4"/>
      <c r="N122" s="4"/>
      <c r="O122" s="4"/>
      <c r="P122" s="4"/>
      <c r="Q122" s="4"/>
      <c r="R122" s="4"/>
      <c r="S122" s="4"/>
      <c r="T122" s="4"/>
      <c r="U122" s="4"/>
      <c r="V122" s="4"/>
      <c r="W122" s="4"/>
      <c r="X122" s="4"/>
      <c r="Y122" s="4"/>
      <c r="Z122" s="4"/>
    </row>
    <row r="123">
      <c r="A123" s="33" t="s">
        <v>56</v>
      </c>
      <c r="B123" s="2" t="s">
        <v>2232</v>
      </c>
      <c r="C123" s="2" t="s">
        <v>2233</v>
      </c>
      <c r="D123" s="2" t="s">
        <v>2234</v>
      </c>
      <c r="E123" s="2" t="s">
        <v>25</v>
      </c>
      <c r="F123" s="2" t="s">
        <v>2068</v>
      </c>
      <c r="G123" s="92">
        <v>45968.45999715278</v>
      </c>
      <c r="H123" s="92">
        <v>45968.54010873842</v>
      </c>
      <c r="I123" s="2" t="s">
        <v>456</v>
      </c>
      <c r="J123" s="93" t="s">
        <v>2235</v>
      </c>
      <c r="K123" s="2" t="s">
        <v>2236</v>
      </c>
      <c r="L123" s="4"/>
      <c r="M123" s="4"/>
      <c r="N123" s="4"/>
      <c r="O123" s="4"/>
      <c r="P123" s="4"/>
      <c r="Q123" s="4"/>
      <c r="R123" s="4"/>
      <c r="S123" s="4"/>
      <c r="T123" s="4"/>
      <c r="U123" s="4"/>
      <c r="V123" s="4"/>
      <c r="W123" s="4"/>
      <c r="X123" s="4"/>
      <c r="Y123" s="4"/>
      <c r="Z123" s="4"/>
    </row>
    <row r="124">
      <c r="A124" s="33" t="s">
        <v>2237</v>
      </c>
      <c r="B124" s="2" t="s">
        <v>2238</v>
      </c>
      <c r="C124" s="2" t="s">
        <v>2239</v>
      </c>
      <c r="D124" s="2" t="s">
        <v>2240</v>
      </c>
      <c r="E124" s="2" t="s">
        <v>19</v>
      </c>
      <c r="F124" s="2" t="s">
        <v>2068</v>
      </c>
      <c r="G124" s="3">
        <v>45968.49461164352</v>
      </c>
      <c r="H124" s="92">
        <v>45968.54092534722</v>
      </c>
      <c r="I124" s="2" t="s">
        <v>2144</v>
      </c>
      <c r="J124" s="93" t="s">
        <v>2241</v>
      </c>
      <c r="K124" s="93" t="s">
        <v>2242</v>
      </c>
      <c r="L124" s="4"/>
      <c r="M124" s="4"/>
      <c r="N124" s="4"/>
      <c r="O124" s="4"/>
      <c r="P124" s="4"/>
      <c r="Q124" s="4"/>
      <c r="R124" s="4"/>
      <c r="S124" s="4"/>
      <c r="T124" s="4"/>
      <c r="U124" s="4"/>
      <c r="V124" s="4"/>
      <c r="W124" s="4"/>
      <c r="X124" s="4"/>
      <c r="Y124" s="4"/>
      <c r="Z124" s="4"/>
    </row>
    <row r="125">
      <c r="A125" s="33" t="s">
        <v>2243</v>
      </c>
      <c r="B125" s="2" t="s">
        <v>2244</v>
      </c>
      <c r="C125" s="2" t="s">
        <v>2245</v>
      </c>
      <c r="D125" s="2" t="s">
        <v>2246</v>
      </c>
      <c r="E125" s="2" t="s">
        <v>31</v>
      </c>
      <c r="F125" s="2" t="s">
        <v>2068</v>
      </c>
      <c r="G125" s="92">
        <v>45968.52779277778</v>
      </c>
      <c r="H125" s="92">
        <v>45968.553178159724</v>
      </c>
      <c r="I125" s="2" t="s">
        <v>483</v>
      </c>
      <c r="J125" s="93" t="s">
        <v>2247</v>
      </c>
      <c r="K125" s="2" t="s">
        <v>2248</v>
      </c>
      <c r="L125" s="4"/>
      <c r="M125" s="4"/>
      <c r="N125" s="4"/>
      <c r="O125" s="4"/>
      <c r="P125" s="4"/>
      <c r="Q125" s="4"/>
      <c r="R125" s="4"/>
      <c r="S125" s="4"/>
      <c r="T125" s="4"/>
      <c r="U125" s="4"/>
      <c r="V125" s="4"/>
      <c r="W125" s="4"/>
      <c r="X125" s="4"/>
      <c r="Y125" s="4"/>
      <c r="Z125" s="4"/>
    </row>
    <row r="126">
      <c r="A126" s="33" t="s">
        <v>79</v>
      </c>
      <c r="B126" s="2" t="s">
        <v>2249</v>
      </c>
      <c r="C126" s="2" t="s">
        <v>2250</v>
      </c>
      <c r="D126" s="2" t="s">
        <v>2251</v>
      </c>
      <c r="E126" s="2" t="s">
        <v>39</v>
      </c>
      <c r="F126" s="2" t="s">
        <v>2068</v>
      </c>
      <c r="G126" s="92">
        <v>45968.528237754625</v>
      </c>
      <c r="H126" s="92">
        <v>45968.56435256945</v>
      </c>
      <c r="I126" s="2" t="s">
        <v>2252</v>
      </c>
      <c r="J126" s="93" t="s">
        <v>2253</v>
      </c>
      <c r="K126" s="2" t="s">
        <v>2254</v>
      </c>
      <c r="L126" s="4"/>
      <c r="M126" s="4"/>
      <c r="N126" s="4"/>
      <c r="O126" s="4"/>
      <c r="P126" s="4"/>
      <c r="Q126" s="4"/>
      <c r="R126" s="4"/>
      <c r="S126" s="4"/>
      <c r="T126" s="4"/>
      <c r="U126" s="4"/>
      <c r="V126" s="4"/>
      <c r="W126" s="4"/>
      <c r="X126" s="4"/>
      <c r="Y126" s="4"/>
      <c r="Z126" s="4"/>
    </row>
    <row r="127">
      <c r="A127" s="33" t="s">
        <v>507</v>
      </c>
      <c r="B127" s="2" t="s">
        <v>2255</v>
      </c>
      <c r="C127" s="2" t="s">
        <v>2256</v>
      </c>
      <c r="D127" s="2" t="s">
        <v>2257</v>
      </c>
      <c r="E127" s="2" t="s">
        <v>38</v>
      </c>
      <c r="F127" s="2" t="s">
        <v>2068</v>
      </c>
      <c r="G127" s="92">
        <v>45968.562689687504</v>
      </c>
      <c r="H127" s="92">
        <v>45968.56855744213</v>
      </c>
      <c r="I127" s="2" t="s">
        <v>2258</v>
      </c>
      <c r="J127" s="93" t="s">
        <v>2259</v>
      </c>
      <c r="K127" s="2" t="s">
        <v>2260</v>
      </c>
      <c r="L127" s="4"/>
      <c r="M127" s="4"/>
      <c r="N127" s="4"/>
      <c r="O127" s="4"/>
      <c r="P127" s="4"/>
      <c r="Q127" s="4"/>
      <c r="R127" s="4"/>
      <c r="S127" s="4"/>
      <c r="T127" s="4"/>
      <c r="U127" s="4"/>
      <c r="V127" s="4"/>
      <c r="W127" s="4"/>
      <c r="X127" s="4"/>
      <c r="Y127" s="4"/>
      <c r="Z127" s="4"/>
    </row>
    <row r="128">
      <c r="A128" s="33" t="s">
        <v>457</v>
      </c>
      <c r="B128" s="2" t="s">
        <v>2261</v>
      </c>
      <c r="C128" s="2" t="s">
        <v>2262</v>
      </c>
      <c r="D128" s="2" t="s">
        <v>2263</v>
      </c>
      <c r="E128" s="2" t="s">
        <v>41</v>
      </c>
      <c r="F128" s="2" t="s">
        <v>2068</v>
      </c>
      <c r="G128" s="92">
        <v>45968.543119699076</v>
      </c>
      <c r="H128" s="92">
        <v>45968.569233877315</v>
      </c>
      <c r="I128" s="2" t="s">
        <v>2264</v>
      </c>
      <c r="J128" s="93" t="s">
        <v>2265</v>
      </c>
      <c r="K128" s="2" t="s">
        <v>2266</v>
      </c>
      <c r="L128" s="4"/>
      <c r="M128" s="4"/>
      <c r="N128" s="4"/>
      <c r="O128" s="4"/>
      <c r="P128" s="4"/>
      <c r="Q128" s="4"/>
      <c r="R128" s="4"/>
      <c r="S128" s="4"/>
      <c r="T128" s="4"/>
      <c r="U128" s="4"/>
      <c r="V128" s="4"/>
      <c r="W128" s="4"/>
      <c r="X128" s="4"/>
      <c r="Y128" s="4"/>
      <c r="Z128" s="4"/>
    </row>
    <row r="129">
      <c r="A129" s="33" t="s">
        <v>2267</v>
      </c>
      <c r="B129" s="2" t="s">
        <v>2268</v>
      </c>
      <c r="C129" s="2" t="s">
        <v>2269</v>
      </c>
      <c r="D129" s="2" t="s">
        <v>2270</v>
      </c>
      <c r="E129" s="2" t="s">
        <v>27</v>
      </c>
      <c r="F129" s="2" t="s">
        <v>2068</v>
      </c>
      <c r="G129" s="92">
        <v>45968.5021819213</v>
      </c>
      <c r="H129" s="92">
        <v>45968.57932122685</v>
      </c>
      <c r="I129" s="2" t="s">
        <v>427</v>
      </c>
      <c r="J129" s="93" t="s">
        <v>2271</v>
      </c>
      <c r="K129" s="2" t="s">
        <v>2272</v>
      </c>
      <c r="L129" s="4"/>
      <c r="M129" s="4"/>
      <c r="N129" s="4"/>
      <c r="O129" s="4"/>
      <c r="P129" s="4"/>
      <c r="Q129" s="4"/>
      <c r="R129" s="4"/>
      <c r="S129" s="4"/>
      <c r="T129" s="4"/>
      <c r="U129" s="4"/>
      <c r="V129" s="4"/>
      <c r="W129" s="4"/>
      <c r="X129" s="4"/>
      <c r="Y129" s="4"/>
      <c r="Z129" s="4"/>
    </row>
    <row r="130">
      <c r="A130" s="33" t="s">
        <v>2273</v>
      </c>
      <c r="B130" s="2" t="s">
        <v>2274</v>
      </c>
      <c r="C130" s="2" t="s">
        <v>2275</v>
      </c>
      <c r="D130" s="2" t="s">
        <v>2276</v>
      </c>
      <c r="E130" s="2" t="s">
        <v>23</v>
      </c>
      <c r="F130" s="2" t="s">
        <v>2068</v>
      </c>
      <c r="G130" s="92">
        <v>45968.57274603009</v>
      </c>
      <c r="H130" s="92">
        <v>45968.58544921296</v>
      </c>
      <c r="I130" s="2" t="s">
        <v>2277</v>
      </c>
      <c r="J130" s="93" t="s">
        <v>2278</v>
      </c>
      <c r="K130" s="2" t="s">
        <v>2279</v>
      </c>
      <c r="L130" s="4"/>
      <c r="M130" s="4"/>
      <c r="N130" s="4"/>
      <c r="O130" s="4"/>
      <c r="P130" s="4"/>
      <c r="Q130" s="4"/>
      <c r="R130" s="4"/>
      <c r="S130" s="4"/>
      <c r="T130" s="4"/>
      <c r="U130" s="4"/>
      <c r="V130" s="4"/>
      <c r="W130" s="4"/>
      <c r="X130" s="4"/>
      <c r="Y130" s="4"/>
      <c r="Z130" s="4"/>
    </row>
    <row r="131">
      <c r="A131" s="33" t="s">
        <v>73</v>
      </c>
      <c r="B131" s="2" t="s">
        <v>2280</v>
      </c>
      <c r="C131" s="2" t="s">
        <v>2281</v>
      </c>
      <c r="D131" s="2" t="s">
        <v>2282</v>
      </c>
      <c r="E131" s="2" t="s">
        <v>39</v>
      </c>
      <c r="F131" s="2" t="s">
        <v>2068</v>
      </c>
      <c r="G131" s="92">
        <v>45968.56448760416</v>
      </c>
      <c r="H131" s="92">
        <v>45968.61109201389</v>
      </c>
      <c r="I131" s="2" t="s">
        <v>2144</v>
      </c>
      <c r="J131" s="93" t="s">
        <v>2283</v>
      </c>
      <c r="K131" s="2" t="s">
        <v>2284</v>
      </c>
      <c r="L131" s="4"/>
      <c r="M131" s="4"/>
      <c r="N131" s="4"/>
      <c r="O131" s="4"/>
      <c r="P131" s="4"/>
      <c r="Q131" s="4"/>
      <c r="R131" s="4"/>
      <c r="S131" s="4"/>
      <c r="T131" s="4"/>
      <c r="U131" s="4"/>
      <c r="V131" s="4"/>
      <c r="W131" s="4"/>
      <c r="X131" s="4"/>
      <c r="Y131" s="4"/>
      <c r="Z131" s="4"/>
    </row>
    <row r="132">
      <c r="A132" s="33" t="s">
        <v>512</v>
      </c>
      <c r="B132" s="2" t="s">
        <v>2285</v>
      </c>
      <c r="C132" s="2" t="s">
        <v>2286</v>
      </c>
      <c r="D132" s="2" t="s">
        <v>2287</v>
      </c>
      <c r="E132" s="2" t="s">
        <v>23</v>
      </c>
      <c r="F132" s="2" t="s">
        <v>2068</v>
      </c>
      <c r="G132" s="92">
        <v>45968.59002193287</v>
      </c>
      <c r="H132" s="92">
        <v>45968.614241296294</v>
      </c>
      <c r="I132" s="2" t="s">
        <v>2288</v>
      </c>
      <c r="J132" s="93" t="s">
        <v>2289</v>
      </c>
      <c r="K132" s="2" t="s">
        <v>2290</v>
      </c>
      <c r="L132" s="4"/>
      <c r="M132" s="4"/>
      <c r="N132" s="4"/>
      <c r="O132" s="4"/>
      <c r="P132" s="4"/>
      <c r="Q132" s="4"/>
      <c r="R132" s="4"/>
      <c r="S132" s="4"/>
      <c r="T132" s="4"/>
      <c r="U132" s="4"/>
      <c r="V132" s="4"/>
      <c r="W132" s="4"/>
      <c r="X132" s="4"/>
      <c r="Y132" s="4"/>
      <c r="Z132" s="4"/>
    </row>
    <row r="133">
      <c r="A133" s="33" t="s">
        <v>2291</v>
      </c>
      <c r="B133" s="2" t="s">
        <v>2292</v>
      </c>
      <c r="C133" s="2" t="s">
        <v>2293</v>
      </c>
      <c r="D133" s="2" t="s">
        <v>2294</v>
      </c>
      <c r="E133" s="2" t="s">
        <v>27</v>
      </c>
      <c r="F133" s="2" t="s">
        <v>2068</v>
      </c>
      <c r="G133" s="92">
        <v>45968.59663650463</v>
      </c>
      <c r="H133" s="92">
        <v>45968.616189189815</v>
      </c>
      <c r="I133" s="2" t="s">
        <v>171</v>
      </c>
      <c r="J133" s="93" t="s">
        <v>2295</v>
      </c>
      <c r="K133" s="2" t="s">
        <v>2296</v>
      </c>
      <c r="L133" s="4"/>
      <c r="M133" s="4"/>
      <c r="N133" s="4"/>
      <c r="O133" s="4"/>
      <c r="P133" s="4"/>
      <c r="Q133" s="4"/>
      <c r="R133" s="4"/>
      <c r="S133" s="4"/>
      <c r="T133" s="4"/>
      <c r="U133" s="4"/>
      <c r="V133" s="4"/>
      <c r="W133" s="4"/>
      <c r="X133" s="4"/>
      <c r="Y133" s="4"/>
      <c r="Z133" s="4"/>
    </row>
    <row r="134">
      <c r="A134" s="33" t="s">
        <v>2297</v>
      </c>
      <c r="B134" s="2" t="s">
        <v>2298</v>
      </c>
      <c r="C134" s="2" t="s">
        <v>2299</v>
      </c>
      <c r="D134" s="2" t="s">
        <v>2300</v>
      </c>
      <c r="E134" s="2" t="s">
        <v>21</v>
      </c>
      <c r="F134" s="2" t="s">
        <v>2068</v>
      </c>
      <c r="G134" s="3">
        <v>45968.575446180555</v>
      </c>
      <c r="H134" s="3">
        <v>45968.6172559838</v>
      </c>
      <c r="I134" s="2" t="s">
        <v>1924</v>
      </c>
      <c r="J134" s="93" t="s">
        <v>2301</v>
      </c>
      <c r="K134" s="2" t="s">
        <v>2302</v>
      </c>
      <c r="L134" s="4"/>
      <c r="M134" s="4"/>
      <c r="N134" s="4"/>
      <c r="O134" s="4"/>
      <c r="P134" s="4"/>
      <c r="Q134" s="4"/>
      <c r="R134" s="4"/>
      <c r="S134" s="4"/>
      <c r="T134" s="4"/>
      <c r="U134" s="4"/>
      <c r="V134" s="4"/>
      <c r="W134" s="4"/>
      <c r="X134" s="4"/>
      <c r="Y134" s="4"/>
      <c r="Z134" s="4"/>
    </row>
    <row r="135">
      <c r="A135" s="33" t="s">
        <v>2303</v>
      </c>
      <c r="B135" s="2" t="s">
        <v>2304</v>
      </c>
      <c r="C135" s="2" t="s">
        <v>2305</v>
      </c>
      <c r="D135" s="2" t="s">
        <v>2306</v>
      </c>
      <c r="E135" s="2" t="s">
        <v>27</v>
      </c>
      <c r="F135" s="2" t="s">
        <v>2068</v>
      </c>
      <c r="G135" s="92">
        <v>45968.616633819445</v>
      </c>
      <c r="H135" s="92">
        <v>45968.6226771875</v>
      </c>
      <c r="I135" s="2" t="s">
        <v>2307</v>
      </c>
      <c r="J135" s="93" t="s">
        <v>2308</v>
      </c>
      <c r="K135" s="2" t="s">
        <v>2309</v>
      </c>
      <c r="L135" s="4"/>
      <c r="M135" s="4"/>
      <c r="N135" s="4"/>
      <c r="O135" s="4"/>
      <c r="P135" s="4"/>
      <c r="Q135" s="4"/>
      <c r="R135" s="4"/>
      <c r="S135" s="4"/>
      <c r="T135" s="4"/>
      <c r="U135" s="4"/>
      <c r="V135" s="4"/>
      <c r="W135" s="4"/>
      <c r="X135" s="4"/>
      <c r="Y135" s="4"/>
      <c r="Z135" s="4"/>
    </row>
    <row r="136">
      <c r="A136" s="33" t="s">
        <v>2310</v>
      </c>
      <c r="B136" s="2" t="s">
        <v>2311</v>
      </c>
      <c r="C136" s="2" t="s">
        <v>2312</v>
      </c>
      <c r="D136" s="2" t="s">
        <v>2313</v>
      </c>
      <c r="E136" s="2" t="s">
        <v>35</v>
      </c>
      <c r="F136" s="2" t="s">
        <v>408</v>
      </c>
      <c r="G136" s="92">
        <v>45968.56629347222</v>
      </c>
      <c r="H136" s="92">
        <v>45968.62336938657</v>
      </c>
      <c r="I136" s="2" t="s">
        <v>499</v>
      </c>
      <c r="J136" s="93" t="s">
        <v>2314</v>
      </c>
      <c r="K136" s="93" t="s">
        <v>2315</v>
      </c>
      <c r="L136" s="4"/>
      <c r="M136" s="4"/>
      <c r="N136" s="4"/>
      <c r="O136" s="4"/>
      <c r="P136" s="4"/>
      <c r="Q136" s="4"/>
      <c r="R136" s="4"/>
      <c r="S136" s="4"/>
      <c r="T136" s="4"/>
      <c r="U136" s="4"/>
      <c r="V136" s="4"/>
      <c r="W136" s="4"/>
      <c r="X136" s="4"/>
      <c r="Y136" s="4"/>
      <c r="Z136" s="4"/>
    </row>
    <row r="137">
      <c r="A137" s="33" t="s">
        <v>2316</v>
      </c>
      <c r="B137" s="2" t="s">
        <v>2317</v>
      </c>
      <c r="C137" s="2" t="s">
        <v>2318</v>
      </c>
      <c r="D137" s="2" t="s">
        <v>2319</v>
      </c>
      <c r="E137" s="2" t="s">
        <v>31</v>
      </c>
      <c r="F137" s="2" t="s">
        <v>2068</v>
      </c>
      <c r="G137" s="92">
        <v>45968.55918378472</v>
      </c>
      <c r="H137" s="92">
        <v>45968.63075231481</v>
      </c>
      <c r="I137" s="2" t="s">
        <v>82</v>
      </c>
      <c r="J137" s="93" t="s">
        <v>2320</v>
      </c>
      <c r="K137" s="93" t="s">
        <v>2321</v>
      </c>
      <c r="L137" s="4"/>
      <c r="M137" s="4"/>
      <c r="N137" s="4"/>
      <c r="O137" s="4"/>
      <c r="P137" s="4"/>
      <c r="Q137" s="4"/>
      <c r="R137" s="4"/>
      <c r="S137" s="4"/>
      <c r="T137" s="4"/>
      <c r="U137" s="4"/>
      <c r="V137" s="4"/>
      <c r="W137" s="4"/>
      <c r="X137" s="4"/>
      <c r="Y137" s="4"/>
      <c r="Z137" s="4"/>
    </row>
    <row r="138">
      <c r="A138" s="33" t="s">
        <v>2322</v>
      </c>
      <c r="B138" s="2" t="s">
        <v>2323</v>
      </c>
      <c r="C138" s="2" t="s">
        <v>2324</v>
      </c>
      <c r="D138" s="2" t="s">
        <v>2325</v>
      </c>
      <c r="E138" s="2" t="s">
        <v>39</v>
      </c>
      <c r="F138" s="2" t="s">
        <v>2068</v>
      </c>
      <c r="G138" s="92">
        <v>45968.611287175925</v>
      </c>
      <c r="H138" s="92">
        <v>45968.633567013894</v>
      </c>
      <c r="I138" s="2" t="s">
        <v>235</v>
      </c>
      <c r="J138" s="93" t="s">
        <v>2326</v>
      </c>
      <c r="K138" s="2" t="s">
        <v>2327</v>
      </c>
      <c r="L138" s="4"/>
      <c r="M138" s="4"/>
      <c r="N138" s="4"/>
      <c r="O138" s="4"/>
      <c r="P138" s="4"/>
      <c r="Q138" s="4"/>
      <c r="R138" s="4"/>
      <c r="S138" s="4"/>
      <c r="T138" s="4"/>
      <c r="U138" s="4"/>
      <c r="V138" s="4"/>
      <c r="W138" s="4"/>
      <c r="X138" s="4"/>
      <c r="Y138" s="4"/>
      <c r="Z138" s="4"/>
    </row>
    <row r="139">
      <c r="A139" s="33" t="s">
        <v>93</v>
      </c>
      <c r="B139" s="2" t="s">
        <v>2328</v>
      </c>
      <c r="C139" s="2" t="s">
        <v>2329</v>
      </c>
      <c r="D139" s="2" t="s">
        <v>2047</v>
      </c>
      <c r="E139" s="2" t="s">
        <v>17</v>
      </c>
      <c r="F139" s="2" t="s">
        <v>2068</v>
      </c>
      <c r="G139" s="92">
        <v>45968.585767233795</v>
      </c>
      <c r="H139" s="92">
        <v>45968.63802777778</v>
      </c>
      <c r="I139" s="2" t="s">
        <v>347</v>
      </c>
      <c r="J139" s="93" t="s">
        <v>2330</v>
      </c>
      <c r="K139" s="2" t="s">
        <v>2331</v>
      </c>
      <c r="L139" s="4"/>
      <c r="M139" s="4"/>
      <c r="N139" s="4"/>
      <c r="O139" s="4"/>
      <c r="P139" s="4"/>
      <c r="Q139" s="4"/>
      <c r="R139" s="4"/>
      <c r="S139" s="4"/>
      <c r="T139" s="4"/>
      <c r="U139" s="4"/>
      <c r="V139" s="4"/>
      <c r="W139" s="4"/>
      <c r="X139" s="4"/>
      <c r="Y139" s="4"/>
      <c r="Z139" s="4"/>
    </row>
    <row r="140">
      <c r="A140" s="33" t="s">
        <v>514</v>
      </c>
      <c r="B140" s="2" t="s">
        <v>2332</v>
      </c>
      <c r="C140" s="2" t="s">
        <v>2333</v>
      </c>
      <c r="D140" s="2" t="s">
        <v>2334</v>
      </c>
      <c r="E140" s="2" t="s">
        <v>23</v>
      </c>
      <c r="F140" s="2" t="s">
        <v>2068</v>
      </c>
      <c r="G140" s="92">
        <v>45968.62238111111</v>
      </c>
      <c r="H140" s="92">
        <v>45968.63977630787</v>
      </c>
      <c r="I140" s="2" t="s">
        <v>524</v>
      </c>
      <c r="J140" s="93" t="s">
        <v>2335</v>
      </c>
      <c r="K140" s="2" t="s">
        <v>2336</v>
      </c>
      <c r="L140" s="4"/>
      <c r="M140" s="4"/>
      <c r="N140" s="4"/>
      <c r="O140" s="4"/>
      <c r="P140" s="4"/>
      <c r="Q140" s="4"/>
      <c r="R140" s="4"/>
      <c r="S140" s="4"/>
      <c r="T140" s="4"/>
      <c r="U140" s="4"/>
      <c r="V140" s="4"/>
      <c r="W140" s="4"/>
      <c r="X140" s="4"/>
      <c r="Y140" s="4"/>
      <c r="Z140" s="4"/>
    </row>
    <row r="141">
      <c r="A141" s="33" t="s">
        <v>472</v>
      </c>
      <c r="B141" s="2" t="s">
        <v>2337</v>
      </c>
      <c r="C141" s="2" t="s">
        <v>2338</v>
      </c>
      <c r="D141" s="2" t="s">
        <v>2339</v>
      </c>
      <c r="E141" s="2" t="s">
        <v>41</v>
      </c>
      <c r="F141" s="2" t="s">
        <v>2068</v>
      </c>
      <c r="G141" s="92">
        <v>45968.58081893518</v>
      </c>
      <c r="H141" s="92">
        <v>45968.64169394676</v>
      </c>
      <c r="I141" s="2" t="s">
        <v>2340</v>
      </c>
      <c r="J141" s="93" t="s">
        <v>2341</v>
      </c>
      <c r="K141" s="2" t="s">
        <v>2342</v>
      </c>
      <c r="L141" s="4"/>
      <c r="M141" s="4"/>
      <c r="N141" s="4"/>
      <c r="O141" s="4"/>
      <c r="P141" s="4"/>
      <c r="Q141" s="4"/>
      <c r="R141" s="4"/>
      <c r="S141" s="4"/>
      <c r="T141" s="4"/>
      <c r="U141" s="4"/>
      <c r="V141" s="4"/>
      <c r="W141" s="4"/>
      <c r="X141" s="4"/>
      <c r="Y141" s="4"/>
      <c r="Z141" s="4"/>
    </row>
    <row r="142">
      <c r="A142" s="33" t="s">
        <v>2343</v>
      </c>
      <c r="B142" s="2" t="s">
        <v>2344</v>
      </c>
      <c r="C142" s="2" t="s">
        <v>2345</v>
      </c>
      <c r="D142" s="2" t="s">
        <v>2346</v>
      </c>
      <c r="E142" s="2" t="s">
        <v>19</v>
      </c>
      <c r="F142" s="2" t="s">
        <v>2068</v>
      </c>
      <c r="G142" s="3">
        <v>45968.5773305787</v>
      </c>
      <c r="H142" s="92">
        <v>45968.64645353009</v>
      </c>
      <c r="I142" s="2" t="s">
        <v>403</v>
      </c>
      <c r="J142" s="93" t="s">
        <v>2347</v>
      </c>
      <c r="K142" s="2" t="s">
        <v>2348</v>
      </c>
      <c r="L142" s="4"/>
      <c r="M142" s="4"/>
      <c r="N142" s="4"/>
      <c r="O142" s="4"/>
      <c r="P142" s="4"/>
      <c r="Q142" s="4"/>
      <c r="R142" s="4"/>
      <c r="S142" s="4"/>
      <c r="T142" s="4"/>
      <c r="U142" s="4"/>
      <c r="V142" s="4"/>
      <c r="W142" s="4"/>
      <c r="X142" s="4"/>
      <c r="Y142" s="4"/>
      <c r="Z142" s="4"/>
    </row>
    <row r="143">
      <c r="A143" s="33" t="s">
        <v>2349</v>
      </c>
      <c r="B143" s="2" t="s">
        <v>2350</v>
      </c>
      <c r="C143" s="2" t="s">
        <v>2351</v>
      </c>
      <c r="D143" s="2" t="s">
        <v>2352</v>
      </c>
      <c r="E143" s="2" t="s">
        <v>25</v>
      </c>
      <c r="F143" s="2" t="s">
        <v>2068</v>
      </c>
      <c r="G143" s="92">
        <v>45968.57882180555</v>
      </c>
      <c r="H143" s="92">
        <v>45968.65430501157</v>
      </c>
      <c r="I143" s="2" t="s">
        <v>2353</v>
      </c>
      <c r="J143" s="93" t="s">
        <v>2354</v>
      </c>
      <c r="K143" s="93" t="s">
        <v>2355</v>
      </c>
      <c r="L143" s="4"/>
      <c r="M143" s="4"/>
      <c r="N143" s="4"/>
      <c r="O143" s="4"/>
      <c r="P143" s="4"/>
      <c r="Q143" s="4"/>
      <c r="R143" s="4"/>
      <c r="S143" s="4"/>
      <c r="T143" s="4"/>
      <c r="U143" s="4"/>
      <c r="V143" s="4"/>
      <c r="W143" s="4"/>
      <c r="X143" s="4"/>
      <c r="Y143" s="4"/>
      <c r="Z143" s="4"/>
    </row>
    <row r="144">
      <c r="A144" s="33" t="s">
        <v>2356</v>
      </c>
      <c r="B144" s="2" t="s">
        <v>2357</v>
      </c>
      <c r="C144" s="2" t="s">
        <v>2358</v>
      </c>
      <c r="D144" s="2" t="s">
        <v>2359</v>
      </c>
      <c r="E144" s="2" t="s">
        <v>27</v>
      </c>
      <c r="F144" s="2" t="s">
        <v>2068</v>
      </c>
      <c r="G144" s="92">
        <v>45968.62944087963</v>
      </c>
      <c r="H144" s="92">
        <v>45968.65524922454</v>
      </c>
      <c r="I144" s="2" t="s">
        <v>483</v>
      </c>
      <c r="J144" s="93" t="s">
        <v>2360</v>
      </c>
      <c r="K144" s="2" t="s">
        <v>2361</v>
      </c>
      <c r="L144" s="4"/>
      <c r="M144" s="4"/>
      <c r="N144" s="4"/>
      <c r="O144" s="4"/>
      <c r="P144" s="4"/>
      <c r="Q144" s="4"/>
      <c r="R144" s="4"/>
      <c r="S144" s="4"/>
      <c r="T144" s="4"/>
      <c r="U144" s="4"/>
      <c r="V144" s="4"/>
      <c r="W144" s="4"/>
      <c r="X144" s="4"/>
      <c r="Y144" s="4"/>
      <c r="Z144" s="4"/>
    </row>
    <row r="145">
      <c r="A145" s="33" t="s">
        <v>2362</v>
      </c>
      <c r="B145" s="2" t="s">
        <v>2363</v>
      </c>
      <c r="C145" s="2" t="s">
        <v>2364</v>
      </c>
      <c r="D145" s="2" t="s">
        <v>2365</v>
      </c>
      <c r="E145" s="2" t="s">
        <v>23</v>
      </c>
      <c r="F145" s="2" t="s">
        <v>2068</v>
      </c>
      <c r="G145" s="92">
        <v>45968.64418596065</v>
      </c>
      <c r="H145" s="92">
        <v>45968.65664509259</v>
      </c>
      <c r="I145" s="2" t="s">
        <v>2277</v>
      </c>
      <c r="J145" s="93" t="s">
        <v>2366</v>
      </c>
      <c r="K145" s="2" t="s">
        <v>2367</v>
      </c>
      <c r="L145" s="4"/>
      <c r="M145" s="4"/>
      <c r="N145" s="4"/>
      <c r="O145" s="4"/>
      <c r="P145" s="4"/>
      <c r="Q145" s="4"/>
      <c r="R145" s="4"/>
      <c r="S145" s="4"/>
      <c r="T145" s="4"/>
      <c r="U145" s="4"/>
      <c r="V145" s="4"/>
      <c r="W145" s="4"/>
      <c r="X145" s="4"/>
      <c r="Y145" s="4"/>
      <c r="Z145" s="4"/>
    </row>
    <row r="146">
      <c r="A146" s="33" t="s">
        <v>2368</v>
      </c>
      <c r="B146" s="2" t="s">
        <v>2369</v>
      </c>
      <c r="C146" s="2" t="s">
        <v>2370</v>
      </c>
      <c r="D146" s="2" t="s">
        <v>2371</v>
      </c>
      <c r="E146" s="2" t="s">
        <v>31</v>
      </c>
      <c r="F146" s="2" t="s">
        <v>2068</v>
      </c>
      <c r="G146" s="92">
        <v>45968.633517002316</v>
      </c>
      <c r="H146" s="92">
        <v>45968.65813390046</v>
      </c>
      <c r="I146" s="2" t="s">
        <v>2288</v>
      </c>
      <c r="J146" s="93" t="s">
        <v>2372</v>
      </c>
      <c r="K146" s="2" t="s">
        <v>2373</v>
      </c>
      <c r="L146" s="4"/>
      <c r="M146" s="4"/>
      <c r="N146" s="4"/>
      <c r="O146" s="4"/>
      <c r="P146" s="4"/>
      <c r="Q146" s="4"/>
      <c r="R146" s="4"/>
      <c r="S146" s="4"/>
      <c r="T146" s="4"/>
      <c r="U146" s="4"/>
      <c r="V146" s="4"/>
      <c r="W146" s="4"/>
      <c r="X146" s="4"/>
      <c r="Y146" s="4"/>
      <c r="Z146" s="4"/>
    </row>
    <row r="147">
      <c r="A147" s="33" t="s">
        <v>466</v>
      </c>
      <c r="B147" s="2" t="s">
        <v>2374</v>
      </c>
      <c r="C147" s="2" t="s">
        <v>2375</v>
      </c>
      <c r="D147" s="2" t="s">
        <v>2376</v>
      </c>
      <c r="E147" s="2" t="s">
        <v>38</v>
      </c>
      <c r="F147" s="2" t="s">
        <v>2068</v>
      </c>
      <c r="G147" s="92">
        <v>45968.57357883102</v>
      </c>
      <c r="H147" s="92">
        <v>45968.65813765046</v>
      </c>
      <c r="I147" s="2" t="s">
        <v>2113</v>
      </c>
      <c r="J147" s="93" t="s">
        <v>2377</v>
      </c>
      <c r="K147" s="2" t="s">
        <v>2378</v>
      </c>
      <c r="L147" s="4"/>
      <c r="M147" s="4"/>
      <c r="N147" s="4"/>
      <c r="O147" s="4"/>
      <c r="P147" s="4"/>
      <c r="Q147" s="4"/>
      <c r="R147" s="4"/>
      <c r="S147" s="4"/>
      <c r="T147" s="4"/>
      <c r="U147" s="4"/>
      <c r="V147" s="4"/>
      <c r="W147" s="4"/>
      <c r="X147" s="4"/>
      <c r="Y147" s="4"/>
      <c r="Z147" s="4"/>
    </row>
    <row r="148">
      <c r="A148" s="33" t="s">
        <v>65</v>
      </c>
      <c r="B148" s="2" t="s">
        <v>2379</v>
      </c>
      <c r="C148" s="2" t="s">
        <v>2380</v>
      </c>
      <c r="D148" s="2" t="s">
        <v>2381</v>
      </c>
      <c r="E148" s="2" t="s">
        <v>35</v>
      </c>
      <c r="F148" s="2" t="s">
        <v>2068</v>
      </c>
      <c r="G148" s="92">
        <v>45968.63357172454</v>
      </c>
      <c r="H148" s="92">
        <v>45968.66835611111</v>
      </c>
      <c r="I148" s="2" t="s">
        <v>478</v>
      </c>
      <c r="J148" s="93" t="s">
        <v>2382</v>
      </c>
      <c r="K148" s="2" t="s">
        <v>2383</v>
      </c>
      <c r="L148" s="4"/>
      <c r="M148" s="4"/>
      <c r="N148" s="4"/>
      <c r="O148" s="4"/>
      <c r="P148" s="4"/>
      <c r="Q148" s="4"/>
      <c r="R148" s="4"/>
      <c r="S148" s="4"/>
      <c r="T148" s="4"/>
      <c r="U148" s="4"/>
      <c r="V148" s="4"/>
      <c r="W148" s="4"/>
      <c r="X148" s="4"/>
      <c r="Y148" s="4"/>
      <c r="Z148" s="4"/>
    </row>
    <row r="149">
      <c r="A149" s="33" t="s">
        <v>521</v>
      </c>
      <c r="B149" s="2" t="s">
        <v>2384</v>
      </c>
      <c r="C149" s="2" t="s">
        <v>2385</v>
      </c>
      <c r="D149" s="2" t="s">
        <v>2386</v>
      </c>
      <c r="E149" s="2" t="s">
        <v>17</v>
      </c>
      <c r="F149" s="2" t="s">
        <v>2068</v>
      </c>
      <c r="G149" s="92">
        <v>45968.665350497686</v>
      </c>
      <c r="H149" s="92">
        <v>45968.67318886574</v>
      </c>
      <c r="I149" s="2" t="s">
        <v>2387</v>
      </c>
      <c r="J149" s="93" t="s">
        <v>2388</v>
      </c>
      <c r="K149" s="2" t="s">
        <v>2389</v>
      </c>
      <c r="L149" s="4"/>
      <c r="M149" s="4"/>
      <c r="N149" s="4"/>
      <c r="O149" s="4"/>
      <c r="P149" s="4"/>
      <c r="Q149" s="4"/>
      <c r="R149" s="4"/>
      <c r="S149" s="4"/>
      <c r="T149" s="4"/>
      <c r="U149" s="4"/>
      <c r="V149" s="4"/>
      <c r="W149" s="4"/>
      <c r="X149" s="4"/>
      <c r="Y149" s="4"/>
      <c r="Z149" s="4"/>
    </row>
    <row r="150">
      <c r="A150" s="33" t="s">
        <v>574</v>
      </c>
      <c r="B150" s="2" t="s">
        <v>2390</v>
      </c>
      <c r="C150" s="2" t="s">
        <v>2391</v>
      </c>
      <c r="D150" s="2" t="s">
        <v>2392</v>
      </c>
      <c r="E150" s="2" t="s">
        <v>23</v>
      </c>
      <c r="F150" s="2" t="s">
        <v>2068</v>
      </c>
      <c r="G150" s="92">
        <v>45968.66899348379</v>
      </c>
      <c r="H150" s="92">
        <v>45968.71398872686</v>
      </c>
      <c r="I150" s="2" t="s">
        <v>429</v>
      </c>
      <c r="J150" s="93" t="s">
        <v>2393</v>
      </c>
      <c r="K150" s="2" t="s">
        <v>2394</v>
      </c>
      <c r="L150" s="4"/>
      <c r="M150" s="4"/>
      <c r="N150" s="4"/>
      <c r="O150" s="4"/>
      <c r="P150" s="4"/>
      <c r="Q150" s="4"/>
      <c r="R150" s="4"/>
      <c r="S150" s="4"/>
      <c r="T150" s="4"/>
      <c r="U150" s="4"/>
      <c r="V150" s="4"/>
      <c r="W150" s="4"/>
      <c r="X150" s="4"/>
      <c r="Y150" s="4"/>
      <c r="Z150" s="4"/>
    </row>
    <row r="151">
      <c r="A151" s="33" t="s">
        <v>1596</v>
      </c>
      <c r="B151" s="2" t="s">
        <v>1597</v>
      </c>
      <c r="C151" s="2" t="s">
        <v>1598</v>
      </c>
      <c r="D151" s="2" t="s">
        <v>1599</v>
      </c>
      <c r="E151" s="2" t="s">
        <v>21</v>
      </c>
      <c r="F151" s="2" t="s">
        <v>1663</v>
      </c>
      <c r="G151" s="3">
        <v>45968.64075864584</v>
      </c>
      <c r="H151" s="3">
        <v>45968.73613546297</v>
      </c>
      <c r="I151" s="2" t="s">
        <v>2395</v>
      </c>
      <c r="J151" s="93" t="s">
        <v>1600</v>
      </c>
      <c r="K151" s="93" t="s">
        <v>1601</v>
      </c>
      <c r="L151" s="4"/>
      <c r="M151" s="4"/>
      <c r="N151" s="4"/>
      <c r="O151" s="4"/>
      <c r="P151" s="4"/>
      <c r="Q151" s="4"/>
      <c r="R151" s="4"/>
      <c r="S151" s="4"/>
      <c r="T151" s="4"/>
      <c r="U151" s="4"/>
      <c r="V151" s="4"/>
      <c r="W151" s="4"/>
      <c r="X151" s="4"/>
      <c r="Y151" s="4"/>
      <c r="Z151" s="4"/>
    </row>
    <row r="152">
      <c r="A152" s="33" t="s">
        <v>435</v>
      </c>
      <c r="B152" s="2" t="s">
        <v>2396</v>
      </c>
      <c r="C152" s="2" t="s">
        <v>2397</v>
      </c>
      <c r="D152" s="2" t="s">
        <v>2398</v>
      </c>
      <c r="E152" s="2" t="s">
        <v>39</v>
      </c>
      <c r="F152" s="2" t="s">
        <v>2068</v>
      </c>
      <c r="G152" s="92">
        <v>45968.66602989583</v>
      </c>
      <c r="H152" s="92">
        <v>45968.74029988426</v>
      </c>
      <c r="I152" s="2" t="s">
        <v>354</v>
      </c>
      <c r="J152" s="93" t="s">
        <v>2399</v>
      </c>
      <c r="K152" s="2" t="s">
        <v>2400</v>
      </c>
      <c r="L152" s="4"/>
      <c r="M152" s="4"/>
      <c r="N152" s="4"/>
      <c r="O152" s="4"/>
      <c r="P152" s="4"/>
      <c r="Q152" s="4"/>
      <c r="R152" s="4"/>
      <c r="S152" s="4"/>
      <c r="T152" s="4"/>
      <c r="U152" s="4"/>
      <c r="V152" s="4"/>
      <c r="W152" s="4"/>
      <c r="X152" s="4"/>
      <c r="Y152" s="4"/>
      <c r="Z152" s="4"/>
    </row>
    <row r="153">
      <c r="A153" s="33" t="s">
        <v>64</v>
      </c>
      <c r="B153" s="2" t="s">
        <v>2401</v>
      </c>
      <c r="C153" s="2" t="s">
        <v>2402</v>
      </c>
      <c r="D153" s="2" t="s">
        <v>2403</v>
      </c>
      <c r="E153" s="2" t="s">
        <v>25</v>
      </c>
      <c r="F153" s="2" t="s">
        <v>2068</v>
      </c>
      <c r="G153" s="92">
        <v>45968.66552002315</v>
      </c>
      <c r="H153" s="92">
        <v>45968.7440072801</v>
      </c>
      <c r="I153" s="2" t="s">
        <v>2404</v>
      </c>
      <c r="J153" s="93" t="s">
        <v>2405</v>
      </c>
      <c r="K153" s="2" t="s">
        <v>2406</v>
      </c>
      <c r="L153" s="4"/>
      <c r="M153" s="4"/>
      <c r="N153" s="4"/>
      <c r="O153" s="4"/>
      <c r="P153" s="4"/>
      <c r="Q153" s="4"/>
      <c r="R153" s="4"/>
      <c r="S153" s="4"/>
      <c r="T153" s="4"/>
      <c r="U153" s="4"/>
      <c r="V153" s="4"/>
      <c r="W153" s="4"/>
      <c r="X153" s="4"/>
      <c r="Y153" s="4"/>
      <c r="Z153" s="4"/>
    </row>
    <row r="154">
      <c r="A154" s="33" t="s">
        <v>504</v>
      </c>
      <c r="B154" s="2" t="s">
        <v>2407</v>
      </c>
      <c r="C154" s="2" t="s">
        <v>2408</v>
      </c>
      <c r="D154" s="2" t="s">
        <v>2409</v>
      </c>
      <c r="E154" s="2" t="s">
        <v>41</v>
      </c>
      <c r="F154" s="2" t="s">
        <v>2068</v>
      </c>
      <c r="G154" s="92">
        <v>45968.665917210645</v>
      </c>
      <c r="H154" s="92">
        <v>45968.74625431713</v>
      </c>
      <c r="I154" s="2" t="s">
        <v>449</v>
      </c>
      <c r="J154" s="93" t="s">
        <v>2410</v>
      </c>
      <c r="K154" s="2" t="s">
        <v>2411</v>
      </c>
      <c r="L154" s="4"/>
      <c r="M154" s="4"/>
      <c r="N154" s="4"/>
      <c r="O154" s="4"/>
      <c r="P154" s="4"/>
      <c r="Q154" s="4"/>
      <c r="R154" s="4"/>
      <c r="S154" s="4"/>
      <c r="T154" s="4"/>
      <c r="U154" s="4"/>
      <c r="V154" s="4"/>
      <c r="W154" s="4"/>
      <c r="X154" s="4"/>
      <c r="Y154" s="4"/>
      <c r="Z154" s="4"/>
    </row>
    <row r="155">
      <c r="A155" s="33" t="s">
        <v>2412</v>
      </c>
      <c r="B155" s="2" t="s">
        <v>2413</v>
      </c>
      <c r="C155" s="2" t="s">
        <v>2414</v>
      </c>
      <c r="D155" s="2" t="s">
        <v>2415</v>
      </c>
      <c r="E155" s="2" t="s">
        <v>35</v>
      </c>
      <c r="F155" s="2" t="s">
        <v>2068</v>
      </c>
      <c r="G155" s="92">
        <v>45968.697076145836</v>
      </c>
      <c r="H155" s="92">
        <v>45968.75008125</v>
      </c>
      <c r="I155" s="2" t="s">
        <v>123</v>
      </c>
      <c r="J155" s="93" t="s">
        <v>2416</v>
      </c>
      <c r="K155" s="93" t="s">
        <v>2417</v>
      </c>
      <c r="L155" s="4"/>
      <c r="M155" s="4"/>
      <c r="N155" s="4"/>
      <c r="O155" s="4"/>
      <c r="P155" s="4"/>
      <c r="Q155" s="4"/>
      <c r="R155" s="4"/>
      <c r="S155" s="4"/>
      <c r="T155" s="4"/>
      <c r="U155" s="4"/>
      <c r="V155" s="4"/>
      <c r="W155" s="4"/>
      <c r="X155" s="4"/>
      <c r="Y155" s="4"/>
      <c r="Z155" s="4"/>
    </row>
    <row r="156">
      <c r="A156" s="33" t="s">
        <v>2418</v>
      </c>
      <c r="B156" s="2" t="s">
        <v>2419</v>
      </c>
      <c r="C156" s="2" t="s">
        <v>2420</v>
      </c>
      <c r="D156" s="2" t="s">
        <v>2421</v>
      </c>
      <c r="E156" s="2" t="s">
        <v>31</v>
      </c>
      <c r="F156" s="2" t="s">
        <v>408</v>
      </c>
      <c r="G156" s="92">
        <v>45968.729582604166</v>
      </c>
      <c r="H156" s="92">
        <v>45968.750112395835</v>
      </c>
      <c r="I156" s="2" t="s">
        <v>487</v>
      </c>
      <c r="J156" s="93" t="s">
        <v>2422</v>
      </c>
      <c r="K156" s="93" t="s">
        <v>2423</v>
      </c>
      <c r="L156" s="4"/>
      <c r="M156" s="4"/>
      <c r="N156" s="4"/>
      <c r="O156" s="4"/>
      <c r="P156" s="4"/>
      <c r="Q156" s="4"/>
      <c r="R156" s="4"/>
      <c r="S156" s="4"/>
      <c r="T156" s="4"/>
      <c r="U156" s="4"/>
      <c r="V156" s="4"/>
      <c r="W156" s="4"/>
      <c r="X156" s="4"/>
      <c r="Y156" s="4"/>
      <c r="Z156" s="4"/>
    </row>
    <row r="157">
      <c r="A157" s="33" t="s">
        <v>2424</v>
      </c>
      <c r="B157" s="2" t="s">
        <v>2425</v>
      </c>
      <c r="C157" s="2" t="s">
        <v>2426</v>
      </c>
      <c r="D157" s="2" t="s">
        <v>2427</v>
      </c>
      <c r="E157" s="2" t="s">
        <v>17</v>
      </c>
      <c r="F157" s="2" t="s">
        <v>2068</v>
      </c>
      <c r="G157" s="92">
        <v>45968.69569650463</v>
      </c>
      <c r="H157" s="92">
        <v>45968.750198078706</v>
      </c>
      <c r="I157" s="2" t="s">
        <v>527</v>
      </c>
      <c r="J157" s="93" t="s">
        <v>2428</v>
      </c>
      <c r="K157" s="2" t="s">
        <v>2429</v>
      </c>
      <c r="L157" s="4"/>
      <c r="M157" s="4"/>
      <c r="N157" s="4"/>
      <c r="O157" s="4"/>
      <c r="P157" s="4"/>
      <c r="Q157" s="4"/>
      <c r="R157" s="4"/>
      <c r="S157" s="4"/>
      <c r="T157" s="4"/>
      <c r="U157" s="4"/>
      <c r="V157" s="4"/>
      <c r="W157" s="4"/>
      <c r="X157" s="4"/>
      <c r="Y157" s="4"/>
      <c r="Z157" s="4"/>
    </row>
    <row r="158">
      <c r="A158" s="33" t="s">
        <v>2430</v>
      </c>
      <c r="B158" s="2" t="s">
        <v>2431</v>
      </c>
      <c r="C158" s="2" t="s">
        <v>2432</v>
      </c>
      <c r="D158" s="2" t="s">
        <v>2433</v>
      </c>
      <c r="E158" s="2" t="s">
        <v>23</v>
      </c>
      <c r="F158" s="2" t="s">
        <v>2068</v>
      </c>
      <c r="G158" s="92">
        <v>45968.71539366899</v>
      </c>
      <c r="H158" s="92">
        <v>45968.75097609954</v>
      </c>
      <c r="I158" s="2" t="s">
        <v>185</v>
      </c>
      <c r="J158" s="93" t="s">
        <v>2434</v>
      </c>
      <c r="K158" s="93" t="s">
        <v>2435</v>
      </c>
      <c r="L158" s="4"/>
      <c r="M158" s="4"/>
      <c r="N158" s="4"/>
      <c r="O158" s="4"/>
      <c r="P158" s="4"/>
      <c r="Q158" s="4"/>
      <c r="R158" s="4"/>
      <c r="S158" s="4"/>
      <c r="T158" s="4"/>
      <c r="U158" s="4"/>
      <c r="V158" s="4"/>
      <c r="W158" s="4"/>
      <c r="X158" s="4"/>
      <c r="Y158" s="4"/>
      <c r="Z158" s="4"/>
    </row>
    <row r="159">
      <c r="A159" s="33" t="s">
        <v>2436</v>
      </c>
      <c r="B159" s="2" t="s">
        <v>2437</v>
      </c>
      <c r="C159" s="2" t="s">
        <v>2438</v>
      </c>
      <c r="D159" s="2" t="s">
        <v>2439</v>
      </c>
      <c r="E159" s="2" t="s">
        <v>19</v>
      </c>
      <c r="F159" s="2" t="s">
        <v>2068</v>
      </c>
      <c r="G159" s="3">
        <v>45968.646681342594</v>
      </c>
      <c r="H159" s="92">
        <v>45968.75182986111</v>
      </c>
      <c r="I159" s="2" t="s">
        <v>2440</v>
      </c>
      <c r="J159" s="93" t="s">
        <v>2441</v>
      </c>
      <c r="K159" s="2" t="s">
        <v>2442</v>
      </c>
      <c r="L159" s="4"/>
      <c r="M159" s="4"/>
      <c r="N159" s="4"/>
      <c r="O159" s="4"/>
      <c r="P159" s="4"/>
      <c r="Q159" s="4"/>
      <c r="R159" s="4"/>
      <c r="S159" s="4"/>
      <c r="T159" s="4"/>
      <c r="U159" s="4"/>
      <c r="V159" s="4"/>
      <c r="W159" s="4"/>
      <c r="X159" s="4"/>
      <c r="Y159" s="4"/>
      <c r="Z159" s="4"/>
    </row>
    <row r="160">
      <c r="A160" s="33" t="s">
        <v>2443</v>
      </c>
      <c r="B160" s="2" t="s">
        <v>2444</v>
      </c>
      <c r="C160" s="2" t="s">
        <v>2445</v>
      </c>
      <c r="D160" s="2" t="s">
        <v>2446</v>
      </c>
      <c r="E160" s="2" t="s">
        <v>27</v>
      </c>
      <c r="F160" s="2" t="s">
        <v>2068</v>
      </c>
      <c r="G160" s="92">
        <v>45968.667903634254</v>
      </c>
      <c r="H160" s="92">
        <v>45968.752177013885</v>
      </c>
      <c r="I160" s="2" t="s">
        <v>567</v>
      </c>
      <c r="J160" s="93" t="s">
        <v>2447</v>
      </c>
      <c r="K160" s="2" t="s">
        <v>2448</v>
      </c>
      <c r="L160" s="4"/>
      <c r="M160" s="4"/>
      <c r="N160" s="4"/>
      <c r="O160" s="4"/>
      <c r="P160" s="4"/>
      <c r="Q160" s="4"/>
      <c r="R160" s="4"/>
      <c r="S160" s="4"/>
      <c r="T160" s="4"/>
      <c r="U160" s="4"/>
      <c r="V160" s="4"/>
      <c r="W160" s="4"/>
      <c r="X160" s="4"/>
      <c r="Y160" s="4"/>
      <c r="Z160" s="4"/>
    </row>
    <row r="161">
      <c r="A161" s="94" t="s">
        <v>2449</v>
      </c>
      <c r="B161" s="72" t="s">
        <v>2450</v>
      </c>
      <c r="C161" s="72" t="s">
        <v>2451</v>
      </c>
      <c r="D161" s="72" t="s">
        <v>2452</v>
      </c>
      <c r="E161" s="34" t="s">
        <v>38</v>
      </c>
      <c r="F161" s="2" t="s">
        <v>2068</v>
      </c>
      <c r="G161" s="92">
        <v>45968.67423145833</v>
      </c>
      <c r="H161" s="92">
        <v>45968.78043817129</v>
      </c>
      <c r="I161" s="44" t="s">
        <v>2453</v>
      </c>
      <c r="J161" s="89" t="s">
        <v>2454</v>
      </c>
      <c r="K161" s="89" t="s">
        <v>2455</v>
      </c>
      <c r="L161" s="6"/>
      <c r="M161" s="6"/>
      <c r="N161" s="16"/>
      <c r="O161" s="6"/>
      <c r="P161" s="6"/>
      <c r="Q161" s="6"/>
      <c r="R161" s="6"/>
      <c r="S161" s="6"/>
    </row>
    <row r="162">
      <c r="A162" s="95" t="s">
        <v>1990</v>
      </c>
      <c r="B162" s="17" t="s">
        <v>1991</v>
      </c>
      <c r="C162" s="17" t="s">
        <v>1992</v>
      </c>
      <c r="D162" s="17" t="s">
        <v>1993</v>
      </c>
      <c r="E162" s="79" t="s">
        <v>31</v>
      </c>
      <c r="F162" s="17" t="s">
        <v>2010</v>
      </c>
      <c r="G162" s="92">
        <v>45968.67423145833</v>
      </c>
      <c r="H162" s="92">
        <v>45968.78043817129</v>
      </c>
      <c r="I162" s="79"/>
      <c r="J162" s="91" t="s">
        <v>1994</v>
      </c>
      <c r="K162" s="91" t="s">
        <v>1995</v>
      </c>
      <c r="L162" s="4"/>
      <c r="M162" s="4"/>
      <c r="N162" s="4"/>
      <c r="O162" s="4"/>
      <c r="P162" s="4"/>
      <c r="Q162" s="4"/>
      <c r="R162" s="4"/>
      <c r="S162" s="4"/>
      <c r="T162" s="4"/>
      <c r="U162" s="4"/>
      <c r="V162" s="4"/>
      <c r="W162" s="4"/>
      <c r="X162" s="4"/>
      <c r="Y162" s="4"/>
      <c r="Z162" s="4"/>
    </row>
    <row r="163">
      <c r="A163" s="33" t="s">
        <v>2456</v>
      </c>
      <c r="B163" s="2" t="s">
        <v>2457</v>
      </c>
      <c r="C163" s="2" t="s">
        <v>2458</v>
      </c>
      <c r="D163" s="2" t="s">
        <v>2459</v>
      </c>
      <c r="E163" s="2" t="s">
        <v>23</v>
      </c>
      <c r="F163" s="2" t="s">
        <v>331</v>
      </c>
      <c r="G163" s="92">
        <v>45971.36691377315</v>
      </c>
      <c r="H163" s="92">
        <v>45971.397424282404</v>
      </c>
      <c r="I163" s="2" t="s">
        <v>503</v>
      </c>
      <c r="J163" s="93" t="s">
        <v>2460</v>
      </c>
      <c r="K163" s="93" t="s">
        <v>2461</v>
      </c>
      <c r="L163" s="9" t="s">
        <v>39</v>
      </c>
      <c r="M163" s="4"/>
      <c r="N163" s="4"/>
      <c r="O163" s="4"/>
      <c r="P163" s="4"/>
      <c r="Q163" s="4"/>
      <c r="R163" s="4"/>
      <c r="S163" s="4"/>
      <c r="T163" s="4"/>
      <c r="U163" s="4"/>
      <c r="V163" s="4"/>
      <c r="W163" s="4"/>
      <c r="X163" s="4"/>
      <c r="Y163" s="4"/>
      <c r="Z163" s="4"/>
    </row>
    <row r="164">
      <c r="A164" s="33" t="s">
        <v>303</v>
      </c>
      <c r="B164" s="2" t="s">
        <v>2462</v>
      </c>
      <c r="C164" s="2" t="s">
        <v>2463</v>
      </c>
      <c r="D164" s="2" t="s">
        <v>2464</v>
      </c>
      <c r="E164" s="2" t="s">
        <v>41</v>
      </c>
      <c r="F164" s="2" t="s">
        <v>331</v>
      </c>
      <c r="G164" s="92">
        <v>45971.35812398148</v>
      </c>
      <c r="H164" s="92">
        <v>45971.41392601852</v>
      </c>
      <c r="I164" s="2" t="s">
        <v>2465</v>
      </c>
      <c r="J164" s="93" t="s">
        <v>2466</v>
      </c>
      <c r="K164" s="2" t="s">
        <v>2467</v>
      </c>
      <c r="L164" s="4"/>
      <c r="M164" s="4"/>
      <c r="N164" s="4"/>
      <c r="O164" s="4"/>
      <c r="P164" s="4"/>
      <c r="Q164" s="4"/>
      <c r="R164" s="4"/>
      <c r="S164" s="4"/>
      <c r="T164" s="4"/>
      <c r="U164" s="4"/>
      <c r="V164" s="4"/>
      <c r="W164" s="4"/>
      <c r="X164" s="4"/>
      <c r="Y164" s="4"/>
      <c r="Z164" s="4"/>
    </row>
    <row r="165">
      <c r="A165" s="33" t="s">
        <v>1572</v>
      </c>
      <c r="B165" s="2" t="s">
        <v>2468</v>
      </c>
      <c r="C165" s="2" t="s">
        <v>1574</v>
      </c>
      <c r="D165" s="2" t="s">
        <v>1575</v>
      </c>
      <c r="E165" s="2" t="s">
        <v>17</v>
      </c>
      <c r="F165" s="2" t="s">
        <v>331</v>
      </c>
      <c r="G165" s="92">
        <v>45971.36834804398</v>
      </c>
      <c r="H165" s="92">
        <v>45971.42961207176</v>
      </c>
      <c r="I165" s="2" t="s">
        <v>2340</v>
      </c>
      <c r="J165" s="93" t="s">
        <v>1576</v>
      </c>
      <c r="K165" s="2" t="s">
        <v>2469</v>
      </c>
      <c r="L165" s="4"/>
      <c r="M165" s="4"/>
      <c r="N165" s="4"/>
      <c r="O165" s="4"/>
      <c r="P165" s="4"/>
      <c r="Q165" s="4"/>
      <c r="R165" s="4"/>
      <c r="S165" s="4"/>
      <c r="T165" s="4"/>
      <c r="U165" s="4"/>
      <c r="V165" s="4"/>
      <c r="W165" s="4"/>
      <c r="X165" s="4"/>
      <c r="Y165" s="4"/>
      <c r="Z165" s="4"/>
    </row>
    <row r="166">
      <c r="A166" s="33" t="s">
        <v>1590</v>
      </c>
      <c r="B166" s="2" t="s">
        <v>2470</v>
      </c>
      <c r="C166" s="2" t="s">
        <v>1592</v>
      </c>
      <c r="D166" s="2" t="s">
        <v>1593</v>
      </c>
      <c r="E166" s="2" t="s">
        <v>31</v>
      </c>
      <c r="F166" s="2" t="s">
        <v>331</v>
      </c>
      <c r="G166" s="92">
        <v>45971.36689395833</v>
      </c>
      <c r="H166" s="92">
        <v>45971.43708650463</v>
      </c>
      <c r="I166" s="2" t="s">
        <v>454</v>
      </c>
      <c r="J166" s="93" t="s">
        <v>1594</v>
      </c>
      <c r="K166" s="2" t="s">
        <v>1595</v>
      </c>
      <c r="L166" s="4"/>
      <c r="M166" s="4"/>
      <c r="N166" s="4"/>
      <c r="O166" s="4"/>
      <c r="P166" s="4"/>
      <c r="Q166" s="4"/>
      <c r="R166" s="4"/>
      <c r="S166" s="4"/>
      <c r="T166" s="4"/>
      <c r="U166" s="4"/>
      <c r="V166" s="4"/>
      <c r="W166" s="4"/>
      <c r="X166" s="4"/>
      <c r="Y166" s="4"/>
      <c r="Z166" s="4"/>
    </row>
    <row r="167">
      <c r="A167" s="33" t="s">
        <v>1584</v>
      </c>
      <c r="B167" s="2" t="s">
        <v>2471</v>
      </c>
      <c r="C167" s="2" t="s">
        <v>1586</v>
      </c>
      <c r="D167" s="2" t="s">
        <v>1587</v>
      </c>
      <c r="E167" s="2" t="s">
        <v>38</v>
      </c>
      <c r="F167" s="2" t="s">
        <v>331</v>
      </c>
      <c r="G167" s="92">
        <v>45971.37235936343</v>
      </c>
      <c r="H167" s="92">
        <v>45971.43723618056</v>
      </c>
      <c r="I167" s="2" t="s">
        <v>539</v>
      </c>
      <c r="J167" s="93" t="s">
        <v>1588</v>
      </c>
      <c r="K167" s="2" t="s">
        <v>2472</v>
      </c>
      <c r="L167" s="4"/>
      <c r="M167" s="4"/>
      <c r="N167" s="4"/>
      <c r="O167" s="4"/>
      <c r="P167" s="4"/>
      <c r="Q167" s="4"/>
      <c r="R167" s="4"/>
      <c r="S167" s="4"/>
      <c r="T167" s="4"/>
      <c r="U167" s="4"/>
      <c r="V167" s="4"/>
      <c r="W167" s="4"/>
      <c r="X167" s="4"/>
      <c r="Y167" s="4"/>
      <c r="Z167" s="4"/>
    </row>
    <row r="168">
      <c r="A168" s="33" t="s">
        <v>1578</v>
      </c>
      <c r="B168" s="2" t="s">
        <v>2473</v>
      </c>
      <c r="C168" s="2" t="s">
        <v>1580</v>
      </c>
      <c r="D168" s="2" t="s">
        <v>1581</v>
      </c>
      <c r="E168" s="2" t="s">
        <v>25</v>
      </c>
      <c r="F168" s="2" t="s">
        <v>331</v>
      </c>
      <c r="G168" s="92">
        <v>45971.371027546294</v>
      </c>
      <c r="H168" s="92">
        <v>45971.43919416667</v>
      </c>
      <c r="I168" s="2" t="s">
        <v>461</v>
      </c>
      <c r="J168" s="93" t="s">
        <v>1582</v>
      </c>
      <c r="K168" s="2"/>
      <c r="L168" s="4"/>
      <c r="M168" s="4"/>
      <c r="N168" s="4"/>
      <c r="O168" s="4"/>
      <c r="P168" s="4"/>
      <c r="Q168" s="4"/>
      <c r="R168" s="4"/>
      <c r="S168" s="4"/>
      <c r="T168" s="4"/>
      <c r="U168" s="4"/>
      <c r="V168" s="4"/>
      <c r="W168" s="4"/>
      <c r="X168" s="4"/>
      <c r="Y168" s="4"/>
      <c r="Z168" s="4"/>
    </row>
    <row r="169">
      <c r="A169" s="33" t="s">
        <v>289</v>
      </c>
      <c r="B169" s="2" t="s">
        <v>290</v>
      </c>
      <c r="C169" s="2" t="s">
        <v>291</v>
      </c>
      <c r="D169" s="2" t="s">
        <v>292</v>
      </c>
      <c r="E169" s="2" t="s">
        <v>35</v>
      </c>
      <c r="F169" s="2" t="s">
        <v>331</v>
      </c>
      <c r="G169" s="92">
        <v>45971.37009215278</v>
      </c>
      <c r="H169" s="92">
        <v>45971.43933850694</v>
      </c>
      <c r="I169" s="2" t="s">
        <v>403</v>
      </c>
      <c r="J169" s="93" t="s">
        <v>295</v>
      </c>
      <c r="K169" s="2" t="s">
        <v>296</v>
      </c>
      <c r="L169" s="4"/>
      <c r="M169" s="4"/>
      <c r="N169" s="4"/>
      <c r="O169" s="4"/>
      <c r="P169" s="4"/>
      <c r="Q169" s="4"/>
      <c r="R169" s="4"/>
      <c r="S169" s="4"/>
      <c r="T169" s="4"/>
      <c r="U169" s="4"/>
      <c r="V169" s="4"/>
      <c r="W169" s="4"/>
      <c r="X169" s="4"/>
      <c r="Y169" s="4"/>
      <c r="Z169" s="4"/>
    </row>
    <row r="170">
      <c r="A170" s="33" t="s">
        <v>462</v>
      </c>
      <c r="B170" s="2" t="s">
        <v>2474</v>
      </c>
      <c r="C170" s="2" t="s">
        <v>1730</v>
      </c>
      <c r="D170" s="2" t="s">
        <v>1731</v>
      </c>
      <c r="E170" s="2" t="s">
        <v>39</v>
      </c>
      <c r="F170" s="2" t="s">
        <v>346</v>
      </c>
      <c r="G170" s="92">
        <v>45971.37265175926</v>
      </c>
      <c r="H170" s="92">
        <v>45971.443731458334</v>
      </c>
      <c r="I170" s="2" t="s">
        <v>204</v>
      </c>
      <c r="J170" s="93" t="s">
        <v>1732</v>
      </c>
      <c r="K170" s="2" t="s">
        <v>1733</v>
      </c>
      <c r="L170" s="4"/>
      <c r="M170" s="4"/>
      <c r="N170" s="4"/>
      <c r="O170" s="4"/>
      <c r="P170" s="4"/>
      <c r="Q170" s="4"/>
      <c r="R170" s="4"/>
      <c r="S170" s="4"/>
      <c r="T170" s="4"/>
      <c r="U170" s="4"/>
      <c r="V170" s="4"/>
      <c r="W170" s="4"/>
      <c r="X170" s="4"/>
      <c r="Y170" s="4"/>
      <c r="Z170" s="4"/>
    </row>
    <row r="171">
      <c r="A171" s="33" t="s">
        <v>2475</v>
      </c>
      <c r="B171" s="2" t="s">
        <v>2476</v>
      </c>
      <c r="C171" s="2" t="s">
        <v>2477</v>
      </c>
      <c r="D171" s="2" t="s">
        <v>2478</v>
      </c>
      <c r="E171" s="2" t="s">
        <v>21</v>
      </c>
      <c r="F171" s="2" t="s">
        <v>331</v>
      </c>
      <c r="G171" s="3">
        <v>45971.3770355787</v>
      </c>
      <c r="H171" s="3">
        <v>45971.44955252315</v>
      </c>
      <c r="I171" s="2" t="s">
        <v>2119</v>
      </c>
      <c r="J171" s="93" t="s">
        <v>2479</v>
      </c>
      <c r="K171" s="2" t="s">
        <v>2480</v>
      </c>
      <c r="L171" s="4"/>
      <c r="M171" s="4"/>
      <c r="N171" s="4"/>
      <c r="O171" s="4"/>
      <c r="P171" s="4"/>
      <c r="Q171" s="4"/>
      <c r="R171" s="4"/>
      <c r="S171" s="4"/>
      <c r="T171" s="4"/>
      <c r="U171" s="4"/>
      <c r="V171" s="4"/>
      <c r="W171" s="4"/>
      <c r="X171" s="4"/>
      <c r="Y171" s="4"/>
      <c r="Z171" s="4"/>
    </row>
    <row r="172">
      <c r="A172" s="33" t="s">
        <v>1464</v>
      </c>
      <c r="B172" s="2" t="s">
        <v>2481</v>
      </c>
      <c r="C172" s="2" t="s">
        <v>2482</v>
      </c>
      <c r="D172" s="2" t="s">
        <v>2483</v>
      </c>
      <c r="E172" s="2" t="s">
        <v>27</v>
      </c>
      <c r="F172" s="2" t="s">
        <v>331</v>
      </c>
      <c r="G172" s="92">
        <v>45971.36758377315</v>
      </c>
      <c r="H172" s="92">
        <v>45971.45860533565</v>
      </c>
      <c r="I172" s="2" t="s">
        <v>447</v>
      </c>
      <c r="J172" s="93" t="s">
        <v>2484</v>
      </c>
      <c r="K172" s="2" t="s">
        <v>2485</v>
      </c>
      <c r="L172" s="4"/>
      <c r="M172" s="4"/>
      <c r="N172" s="4"/>
      <c r="O172" s="4"/>
      <c r="P172" s="4"/>
      <c r="Q172" s="4"/>
      <c r="R172" s="4"/>
      <c r="S172" s="4"/>
      <c r="T172" s="4"/>
      <c r="U172" s="4"/>
      <c r="V172" s="4"/>
      <c r="W172" s="4"/>
      <c r="X172" s="4"/>
      <c r="Y172" s="4"/>
      <c r="Z172" s="4"/>
    </row>
    <row r="173">
      <c r="A173" s="33" t="s">
        <v>2486</v>
      </c>
      <c r="B173" s="2" t="s">
        <v>2487</v>
      </c>
      <c r="C173" s="2" t="s">
        <v>2488</v>
      </c>
      <c r="D173" s="2" t="s">
        <v>2489</v>
      </c>
      <c r="E173" s="2" t="s">
        <v>23</v>
      </c>
      <c r="F173" s="2" t="s">
        <v>331</v>
      </c>
      <c r="G173" s="92">
        <v>45971.40869172454</v>
      </c>
      <c r="H173" s="92">
        <v>45971.47503027778</v>
      </c>
      <c r="I173" s="2" t="s">
        <v>465</v>
      </c>
      <c r="J173" s="93" t="s">
        <v>2490</v>
      </c>
      <c r="K173" s="2" t="s">
        <v>2491</v>
      </c>
      <c r="L173" s="9" t="s">
        <v>39</v>
      </c>
      <c r="M173" s="4"/>
      <c r="N173" s="4"/>
      <c r="O173" s="4"/>
      <c r="P173" s="4"/>
      <c r="Q173" s="4"/>
      <c r="R173" s="4"/>
      <c r="S173" s="4"/>
      <c r="T173" s="4"/>
      <c r="U173" s="4"/>
      <c r="V173" s="4"/>
      <c r="W173" s="4"/>
      <c r="X173" s="4"/>
      <c r="Y173" s="4"/>
      <c r="Z173" s="4"/>
    </row>
    <row r="174">
      <c r="A174" s="33" t="s">
        <v>2492</v>
      </c>
      <c r="B174" s="2" t="s">
        <v>2493</v>
      </c>
      <c r="C174" s="2" t="s">
        <v>2494</v>
      </c>
      <c r="D174" s="2" t="s">
        <v>2495</v>
      </c>
      <c r="E174" s="2" t="s">
        <v>41</v>
      </c>
      <c r="F174" s="2" t="s">
        <v>2496</v>
      </c>
      <c r="G174" s="92">
        <v>45971.45589783565</v>
      </c>
      <c r="H174" s="92">
        <v>45971.48867295139</v>
      </c>
      <c r="I174" s="2" t="s">
        <v>2497</v>
      </c>
      <c r="J174" s="93" t="s">
        <v>2498</v>
      </c>
      <c r="K174" s="93" t="s">
        <v>2499</v>
      </c>
      <c r="L174" s="4"/>
      <c r="M174" s="4"/>
      <c r="N174" s="4"/>
      <c r="O174" s="4"/>
      <c r="P174" s="4"/>
      <c r="Q174" s="4"/>
      <c r="R174" s="4"/>
      <c r="S174" s="4"/>
      <c r="T174" s="4"/>
      <c r="U174" s="4"/>
      <c r="V174" s="4"/>
      <c r="W174" s="4"/>
      <c r="X174" s="4"/>
      <c r="Y174" s="4"/>
      <c r="Z174" s="4"/>
    </row>
    <row r="175">
      <c r="A175" s="33" t="s">
        <v>2500</v>
      </c>
      <c r="B175" s="2" t="s">
        <v>2501</v>
      </c>
      <c r="C175" s="2" t="s">
        <v>2502</v>
      </c>
      <c r="D175" s="2" t="s">
        <v>2503</v>
      </c>
      <c r="E175" s="2" t="s">
        <v>38</v>
      </c>
      <c r="F175" s="2" t="s">
        <v>2496</v>
      </c>
      <c r="G175" s="92">
        <v>45971.45054064815</v>
      </c>
      <c r="H175" s="92">
        <v>45971.49629034722</v>
      </c>
      <c r="I175" s="2" t="s">
        <v>1950</v>
      </c>
      <c r="J175" s="93" t="s">
        <v>2504</v>
      </c>
      <c r="K175" s="2" t="s">
        <v>2505</v>
      </c>
      <c r="L175" s="4"/>
      <c r="M175" s="4"/>
      <c r="N175" s="4"/>
      <c r="O175" s="4"/>
      <c r="P175" s="4"/>
      <c r="Q175" s="4"/>
      <c r="R175" s="4"/>
      <c r="S175" s="4"/>
      <c r="T175" s="4"/>
      <c r="U175" s="4"/>
      <c r="V175" s="4"/>
      <c r="W175" s="4"/>
      <c r="X175" s="4"/>
      <c r="Y175" s="4"/>
      <c r="Z175" s="4"/>
    </row>
    <row r="176">
      <c r="A176" s="33" t="s">
        <v>297</v>
      </c>
      <c r="B176" s="2" t="s">
        <v>298</v>
      </c>
      <c r="C176" s="2" t="s">
        <v>299</v>
      </c>
      <c r="D176" s="2" t="s">
        <v>300</v>
      </c>
      <c r="E176" s="2" t="s">
        <v>35</v>
      </c>
      <c r="F176" s="2" t="s">
        <v>331</v>
      </c>
      <c r="G176" s="92">
        <v>45971.43956395834</v>
      </c>
      <c r="H176" s="92">
        <v>45971.50189746528</v>
      </c>
      <c r="I176" s="2" t="s">
        <v>138</v>
      </c>
      <c r="J176" s="93" t="s">
        <v>301</v>
      </c>
      <c r="K176" s="2" t="s">
        <v>302</v>
      </c>
      <c r="L176" s="4"/>
      <c r="M176" s="4"/>
      <c r="N176" s="4"/>
      <c r="O176" s="4"/>
      <c r="P176" s="4"/>
      <c r="Q176" s="4"/>
      <c r="R176" s="4"/>
      <c r="S176" s="4"/>
      <c r="T176" s="4"/>
      <c r="U176" s="4"/>
      <c r="V176" s="4"/>
      <c r="W176" s="4"/>
      <c r="X176" s="4"/>
      <c r="Y176" s="4"/>
      <c r="Z176" s="4"/>
    </row>
    <row r="177">
      <c r="A177" s="33" t="s">
        <v>1670</v>
      </c>
      <c r="B177" s="2" t="s">
        <v>2506</v>
      </c>
      <c r="C177" s="2" t="s">
        <v>1672</v>
      </c>
      <c r="D177" s="2" t="s">
        <v>1673</v>
      </c>
      <c r="E177" s="2" t="s">
        <v>35</v>
      </c>
      <c r="F177" s="2" t="s">
        <v>331</v>
      </c>
      <c r="G177" s="92">
        <v>45971.5020687037</v>
      </c>
      <c r="H177" s="92">
        <v>45971.51839484954</v>
      </c>
      <c r="I177" s="2" t="s">
        <v>531</v>
      </c>
      <c r="J177" s="93" t="s">
        <v>1674</v>
      </c>
      <c r="K177" s="2" t="s">
        <v>2507</v>
      </c>
      <c r="L177" s="4"/>
      <c r="M177" s="4"/>
      <c r="N177" s="4"/>
      <c r="O177" s="4"/>
      <c r="P177" s="4"/>
      <c r="Q177" s="4"/>
      <c r="R177" s="4"/>
      <c r="S177" s="4"/>
      <c r="T177" s="4"/>
      <c r="U177" s="4"/>
      <c r="V177" s="4"/>
      <c r="W177" s="4"/>
      <c r="X177" s="4"/>
      <c r="Y177" s="4"/>
      <c r="Z177" s="4"/>
    </row>
    <row r="178">
      <c r="A178" s="33" t="s">
        <v>2508</v>
      </c>
      <c r="B178" s="2" t="s">
        <v>2509</v>
      </c>
      <c r="C178" s="2" t="s">
        <v>2510</v>
      </c>
      <c r="D178" s="2" t="s">
        <v>2511</v>
      </c>
      <c r="E178" s="2" t="s">
        <v>25</v>
      </c>
      <c r="F178" s="2" t="s">
        <v>2496</v>
      </c>
      <c r="G178" s="92">
        <v>45971.453412627314</v>
      </c>
      <c r="H178" s="92">
        <v>45971.528681875</v>
      </c>
      <c r="I178" s="2" t="s">
        <v>96</v>
      </c>
      <c r="J178" s="93" t="s">
        <v>2512</v>
      </c>
      <c r="K178" s="2" t="s">
        <v>2513</v>
      </c>
      <c r="L178" s="4"/>
      <c r="M178" s="4"/>
      <c r="N178" s="4"/>
      <c r="O178" s="4"/>
      <c r="P178" s="4"/>
      <c r="Q178" s="4"/>
      <c r="R178" s="4"/>
      <c r="S178" s="4"/>
      <c r="T178" s="4"/>
      <c r="U178" s="4"/>
      <c r="V178" s="4"/>
      <c r="W178" s="4"/>
      <c r="X178" s="4"/>
      <c r="Y178" s="4"/>
      <c r="Z178" s="4"/>
    </row>
    <row r="179">
      <c r="A179" s="33" t="s">
        <v>2514</v>
      </c>
      <c r="B179" s="2" t="s">
        <v>2515</v>
      </c>
      <c r="C179" s="2" t="s">
        <v>2516</v>
      </c>
      <c r="D179" s="2" t="s">
        <v>2517</v>
      </c>
      <c r="E179" s="2" t="s">
        <v>17</v>
      </c>
      <c r="F179" s="2" t="s">
        <v>2496</v>
      </c>
      <c r="G179" s="92">
        <v>45971.45521594907</v>
      </c>
      <c r="H179" s="92">
        <v>45971.54035660879</v>
      </c>
      <c r="I179" s="2" t="s">
        <v>2041</v>
      </c>
      <c r="J179" s="93" t="s">
        <v>2518</v>
      </c>
      <c r="K179" s="93" t="s">
        <v>2519</v>
      </c>
      <c r="L179" s="4"/>
      <c r="M179" s="4"/>
      <c r="N179" s="4"/>
      <c r="O179" s="4"/>
      <c r="P179" s="4"/>
      <c r="Q179" s="4"/>
      <c r="R179" s="4"/>
      <c r="S179" s="4"/>
      <c r="T179" s="4"/>
      <c r="U179" s="4"/>
      <c r="V179" s="4"/>
      <c r="W179" s="4"/>
      <c r="X179" s="4"/>
      <c r="Y179" s="4"/>
      <c r="Z179" s="4"/>
    </row>
    <row r="180">
      <c r="A180" s="33" t="s">
        <v>2520</v>
      </c>
      <c r="B180" s="2" t="s">
        <v>2521</v>
      </c>
      <c r="C180" s="2" t="s">
        <v>2522</v>
      </c>
      <c r="D180" s="2" t="s">
        <v>2523</v>
      </c>
      <c r="E180" s="2" t="s">
        <v>27</v>
      </c>
      <c r="F180" s="2" t="s">
        <v>2496</v>
      </c>
      <c r="G180" s="92">
        <v>45971.48511018518</v>
      </c>
      <c r="H180" s="92">
        <v>45971.55949972222</v>
      </c>
      <c r="I180" s="2" t="s">
        <v>354</v>
      </c>
      <c r="J180" s="93" t="s">
        <v>2524</v>
      </c>
      <c r="K180" s="2" t="s">
        <v>2525</v>
      </c>
      <c r="L180" s="9" t="s">
        <v>35</v>
      </c>
      <c r="M180" s="4"/>
      <c r="N180" s="4"/>
      <c r="O180" s="4"/>
      <c r="P180" s="4"/>
      <c r="Q180" s="4"/>
      <c r="R180" s="4"/>
      <c r="S180" s="4"/>
      <c r="T180" s="4"/>
      <c r="U180" s="4"/>
      <c r="V180" s="4"/>
      <c r="W180" s="4"/>
      <c r="X180" s="4"/>
      <c r="Y180" s="4"/>
      <c r="Z180" s="4"/>
    </row>
    <row r="181">
      <c r="A181" s="33" t="s">
        <v>1610</v>
      </c>
      <c r="B181" s="2" t="s">
        <v>2526</v>
      </c>
      <c r="C181" s="2" t="s">
        <v>1612</v>
      </c>
      <c r="D181" s="2" t="s">
        <v>1613</v>
      </c>
      <c r="E181" s="2" t="s">
        <v>41</v>
      </c>
      <c r="F181" s="2" t="s">
        <v>331</v>
      </c>
      <c r="G181" s="92">
        <v>45971.50605069444</v>
      </c>
      <c r="H181" s="92">
        <v>45971.56207126158</v>
      </c>
      <c r="I181" s="2" t="s">
        <v>398</v>
      </c>
      <c r="J181" s="93" t="s">
        <v>1614</v>
      </c>
      <c r="K181" s="2" t="s">
        <v>2527</v>
      </c>
      <c r="L181" s="4"/>
      <c r="M181" s="4"/>
      <c r="N181" s="4"/>
      <c r="O181" s="4"/>
      <c r="P181" s="4"/>
      <c r="Q181" s="4"/>
      <c r="R181" s="4"/>
      <c r="S181" s="4"/>
      <c r="T181" s="4"/>
      <c r="U181" s="4"/>
      <c r="V181" s="4"/>
      <c r="W181" s="4"/>
      <c r="X181" s="4"/>
      <c r="Y181" s="4"/>
      <c r="Z181" s="4"/>
    </row>
    <row r="182">
      <c r="A182" s="33" t="s">
        <v>2528</v>
      </c>
      <c r="B182" s="2" t="s">
        <v>2529</v>
      </c>
      <c r="C182" s="2" t="s">
        <v>2530</v>
      </c>
      <c r="D182" s="2" t="s">
        <v>2531</v>
      </c>
      <c r="E182" s="2" t="s">
        <v>31</v>
      </c>
      <c r="F182" s="2" t="s">
        <v>2496</v>
      </c>
      <c r="G182" s="92">
        <v>45971.48260335648</v>
      </c>
      <c r="H182" s="92">
        <v>45971.56246136574</v>
      </c>
      <c r="I182" s="2" t="s">
        <v>456</v>
      </c>
      <c r="J182" s="93" t="s">
        <v>2532</v>
      </c>
      <c r="K182" s="2" t="s">
        <v>2533</v>
      </c>
      <c r="L182" s="4"/>
      <c r="M182" s="4"/>
      <c r="N182" s="4"/>
      <c r="O182" s="4"/>
      <c r="P182" s="4"/>
      <c r="Q182" s="4"/>
      <c r="R182" s="4"/>
      <c r="S182" s="4"/>
      <c r="T182" s="4"/>
      <c r="U182" s="4"/>
      <c r="V182" s="4"/>
      <c r="W182" s="4"/>
      <c r="X182" s="4"/>
      <c r="Y182" s="4"/>
      <c r="Z182" s="4"/>
    </row>
    <row r="183">
      <c r="A183" s="33" t="s">
        <v>2534</v>
      </c>
      <c r="B183" s="2" t="s">
        <v>2535</v>
      </c>
      <c r="C183" s="2" t="s">
        <v>2536</v>
      </c>
      <c r="D183" s="2" t="s">
        <v>2537</v>
      </c>
      <c r="E183" s="2" t="s">
        <v>21</v>
      </c>
      <c r="F183" s="2" t="s">
        <v>2538</v>
      </c>
      <c r="G183" s="3">
        <v>45971.4881656713</v>
      </c>
      <c r="H183" s="3">
        <v>45971.56749512731</v>
      </c>
      <c r="I183" s="2" t="s">
        <v>444</v>
      </c>
      <c r="J183" s="93" t="s">
        <v>2539</v>
      </c>
      <c r="K183" s="2" t="s">
        <v>2540</v>
      </c>
      <c r="L183" s="4"/>
      <c r="M183" s="4"/>
      <c r="N183" s="4"/>
      <c r="O183" s="4"/>
      <c r="P183" s="4"/>
      <c r="Q183" s="4"/>
      <c r="R183" s="4"/>
      <c r="S183" s="4"/>
      <c r="T183" s="4"/>
      <c r="U183" s="4"/>
      <c r="V183" s="4"/>
      <c r="W183" s="4"/>
      <c r="X183" s="4"/>
      <c r="Y183" s="4"/>
      <c r="Z183" s="4"/>
    </row>
    <row r="184">
      <c r="A184" s="33" t="s">
        <v>1798</v>
      </c>
      <c r="B184" s="2" t="s">
        <v>2541</v>
      </c>
      <c r="C184" s="2" t="s">
        <v>1800</v>
      </c>
      <c r="D184" s="2" t="s">
        <v>1801</v>
      </c>
      <c r="E184" s="2" t="s">
        <v>23</v>
      </c>
      <c r="F184" s="2" t="s">
        <v>346</v>
      </c>
      <c r="G184" s="92">
        <v>45971.47789756945</v>
      </c>
      <c r="H184" s="92">
        <v>45971.5689300463</v>
      </c>
      <c r="I184" s="2" t="s">
        <v>447</v>
      </c>
      <c r="J184" s="93" t="s">
        <v>1802</v>
      </c>
      <c r="K184" s="2" t="s">
        <v>2542</v>
      </c>
      <c r="L184" s="4"/>
      <c r="M184" s="4"/>
      <c r="N184" s="4"/>
      <c r="O184" s="4"/>
      <c r="P184" s="4"/>
      <c r="Q184" s="4"/>
      <c r="R184" s="4"/>
      <c r="S184" s="4"/>
      <c r="T184" s="4"/>
      <c r="U184" s="4"/>
      <c r="V184" s="4"/>
      <c r="W184" s="4"/>
      <c r="X184" s="4"/>
      <c r="Y184" s="4"/>
      <c r="Z184" s="4"/>
    </row>
    <row r="185">
      <c r="A185" s="33" t="s">
        <v>2543</v>
      </c>
      <c r="B185" s="2" t="s">
        <v>2544</v>
      </c>
      <c r="C185" s="2" t="s">
        <v>2545</v>
      </c>
      <c r="D185" s="2" t="s">
        <v>2546</v>
      </c>
      <c r="E185" s="2" t="s">
        <v>19</v>
      </c>
      <c r="F185" s="2" t="s">
        <v>331</v>
      </c>
      <c r="G185" s="3">
        <v>45971.36978400463</v>
      </c>
      <c r="H185" s="92">
        <v>45971.6085096875</v>
      </c>
      <c r="I185" s="2" t="s">
        <v>2547</v>
      </c>
      <c r="J185" s="2"/>
      <c r="K185" s="2" t="s">
        <v>2548</v>
      </c>
      <c r="L185" s="4"/>
      <c r="M185" s="4"/>
      <c r="N185" s="4"/>
      <c r="O185" s="4"/>
      <c r="P185" s="4"/>
      <c r="Q185" s="4"/>
      <c r="R185" s="4"/>
      <c r="S185" s="4"/>
      <c r="T185" s="4"/>
      <c r="U185" s="4"/>
      <c r="V185" s="4"/>
      <c r="W185" s="4"/>
      <c r="X185" s="4"/>
      <c r="Y185" s="4"/>
      <c r="Z185" s="4"/>
    </row>
    <row r="186">
      <c r="A186" s="33" t="s">
        <v>2549</v>
      </c>
      <c r="B186" s="2" t="s">
        <v>2550</v>
      </c>
      <c r="C186" s="2" t="s">
        <v>2551</v>
      </c>
      <c r="D186" s="2" t="s">
        <v>1613</v>
      </c>
      <c r="E186" s="2" t="s">
        <v>41</v>
      </c>
      <c r="F186" s="2" t="s">
        <v>331</v>
      </c>
      <c r="G186" s="92">
        <v>45971.56639903935</v>
      </c>
      <c r="H186" s="92">
        <v>45971.61077951389</v>
      </c>
      <c r="I186" s="2" t="s">
        <v>2163</v>
      </c>
      <c r="J186" s="93" t="s">
        <v>2552</v>
      </c>
      <c r="K186" s="2" t="s">
        <v>2553</v>
      </c>
      <c r="L186" s="4"/>
      <c r="M186" s="4"/>
      <c r="N186" s="4"/>
      <c r="O186" s="4"/>
      <c r="P186" s="4"/>
      <c r="Q186" s="4"/>
      <c r="R186" s="4"/>
      <c r="S186" s="4"/>
      <c r="T186" s="4"/>
      <c r="U186" s="4"/>
      <c r="V186" s="4"/>
      <c r="W186" s="4"/>
      <c r="X186" s="4"/>
      <c r="Y186" s="4"/>
      <c r="Z186" s="4"/>
    </row>
    <row r="187">
      <c r="A187" s="33" t="s">
        <v>2554</v>
      </c>
      <c r="B187" s="2" t="s">
        <v>2555</v>
      </c>
      <c r="C187" s="2" t="s">
        <v>2556</v>
      </c>
      <c r="D187" s="2" t="s">
        <v>2557</v>
      </c>
      <c r="E187" s="2" t="s">
        <v>35</v>
      </c>
      <c r="F187" s="2" t="s">
        <v>2538</v>
      </c>
      <c r="G187" s="92">
        <v>45971.54360694444</v>
      </c>
      <c r="H187" s="92">
        <v>45971.61085891204</v>
      </c>
      <c r="I187" s="2" t="s">
        <v>332</v>
      </c>
      <c r="J187" s="93" t="s">
        <v>2558</v>
      </c>
      <c r="K187" s="2" t="s">
        <v>2559</v>
      </c>
      <c r="L187" s="4"/>
      <c r="M187" s="4"/>
      <c r="N187" s="4"/>
      <c r="O187" s="4"/>
      <c r="P187" s="4"/>
      <c r="Q187" s="4"/>
      <c r="R187" s="4"/>
      <c r="S187" s="4"/>
      <c r="T187" s="4"/>
      <c r="U187" s="4"/>
      <c r="V187" s="4"/>
      <c r="W187" s="4"/>
      <c r="X187" s="4"/>
      <c r="Y187" s="4"/>
      <c r="Z187" s="4"/>
    </row>
    <row r="188">
      <c r="A188" s="33" t="s">
        <v>2560</v>
      </c>
      <c r="B188" s="2" t="s">
        <v>2561</v>
      </c>
      <c r="C188" s="2" t="s">
        <v>2562</v>
      </c>
      <c r="D188" s="2" t="s">
        <v>2563</v>
      </c>
      <c r="E188" s="2" t="s">
        <v>25</v>
      </c>
      <c r="F188" s="2" t="s">
        <v>331</v>
      </c>
      <c r="G188" s="92">
        <v>45971.58116501158</v>
      </c>
      <c r="H188" s="92">
        <v>45971.62109881944</v>
      </c>
      <c r="I188" s="2" t="s">
        <v>388</v>
      </c>
      <c r="J188" s="93" t="s">
        <v>2564</v>
      </c>
      <c r="K188" s="2" t="s">
        <v>2565</v>
      </c>
      <c r="L188" s="4"/>
      <c r="M188" s="4"/>
      <c r="N188" s="4"/>
      <c r="O188" s="4"/>
      <c r="P188" s="4"/>
      <c r="Q188" s="4"/>
      <c r="R188" s="4"/>
      <c r="S188" s="4"/>
      <c r="T188" s="4"/>
      <c r="U188" s="4"/>
      <c r="V188" s="4"/>
      <c r="W188" s="4"/>
      <c r="X188" s="4"/>
      <c r="Y188" s="4"/>
      <c r="Z188" s="4"/>
    </row>
    <row r="189">
      <c r="A189" s="33" t="s">
        <v>1966</v>
      </c>
      <c r="B189" s="2" t="s">
        <v>2566</v>
      </c>
      <c r="C189" s="2" t="s">
        <v>2567</v>
      </c>
      <c r="D189" s="2" t="s">
        <v>2568</v>
      </c>
      <c r="E189" s="2" t="s">
        <v>17</v>
      </c>
      <c r="F189" s="2" t="s">
        <v>346</v>
      </c>
      <c r="G189" s="92">
        <v>45971.58217628472</v>
      </c>
      <c r="H189" s="92">
        <v>45971.648918946754</v>
      </c>
      <c r="I189" s="2" t="s">
        <v>465</v>
      </c>
      <c r="J189" s="93" t="s">
        <v>1971</v>
      </c>
      <c r="K189" s="2" t="s">
        <v>1972</v>
      </c>
      <c r="L189" s="4"/>
      <c r="M189" s="4"/>
      <c r="N189" s="4"/>
      <c r="O189" s="4"/>
      <c r="P189" s="4"/>
      <c r="Q189" s="4"/>
      <c r="R189" s="4"/>
      <c r="S189" s="4"/>
      <c r="T189" s="4"/>
      <c r="U189" s="4"/>
      <c r="V189" s="4"/>
      <c r="W189" s="4"/>
      <c r="X189" s="4"/>
      <c r="Y189" s="4"/>
      <c r="Z189" s="4"/>
    </row>
    <row r="190">
      <c r="A190" s="33" t="s">
        <v>2569</v>
      </c>
      <c r="B190" s="2" t="s">
        <v>2570</v>
      </c>
      <c r="C190" s="2" t="s">
        <v>2571</v>
      </c>
      <c r="D190" s="2" t="s">
        <v>2572</v>
      </c>
      <c r="E190" s="2" t="s">
        <v>31</v>
      </c>
      <c r="F190" s="2" t="s">
        <v>331</v>
      </c>
      <c r="G190" s="92">
        <v>45971.58787883102</v>
      </c>
      <c r="H190" s="92">
        <v>45971.649856018514</v>
      </c>
      <c r="I190" s="2" t="s">
        <v>573</v>
      </c>
      <c r="J190" s="93" t="s">
        <v>2573</v>
      </c>
      <c r="K190" s="2" t="s">
        <v>2574</v>
      </c>
      <c r="L190" s="9" t="s">
        <v>19</v>
      </c>
      <c r="M190" s="4"/>
      <c r="N190" s="4"/>
      <c r="O190" s="4"/>
      <c r="P190" s="4"/>
      <c r="Q190" s="4"/>
      <c r="R190" s="4"/>
      <c r="S190" s="4"/>
      <c r="T190" s="4"/>
      <c r="U190" s="4"/>
      <c r="V190" s="4"/>
      <c r="W190" s="4"/>
      <c r="X190" s="4"/>
      <c r="Y190" s="4"/>
      <c r="Z190" s="4"/>
    </row>
    <row r="191">
      <c r="A191" s="33" t="s">
        <v>2575</v>
      </c>
      <c r="B191" s="2" t="s">
        <v>2576</v>
      </c>
      <c r="C191" s="2" t="s">
        <v>2577</v>
      </c>
      <c r="D191" s="2" t="s">
        <v>2578</v>
      </c>
      <c r="E191" s="2" t="s">
        <v>27</v>
      </c>
      <c r="F191" s="2" t="s">
        <v>331</v>
      </c>
      <c r="G191" s="92">
        <v>45971.60299684027</v>
      </c>
      <c r="H191" s="92">
        <v>45971.659062499995</v>
      </c>
      <c r="I191" s="2" t="s">
        <v>398</v>
      </c>
      <c r="J191" s="93" t="s">
        <v>2579</v>
      </c>
      <c r="K191" s="2" t="s">
        <v>2580</v>
      </c>
      <c r="L191" s="4"/>
      <c r="M191" s="4"/>
      <c r="N191" s="4"/>
      <c r="O191" s="4"/>
      <c r="P191" s="4"/>
      <c r="Q191" s="4"/>
      <c r="R191" s="4"/>
      <c r="S191" s="4"/>
      <c r="T191" s="4"/>
      <c r="U191" s="4"/>
      <c r="V191" s="4"/>
      <c r="W191" s="4"/>
      <c r="X191" s="4"/>
      <c r="Y191" s="4"/>
      <c r="Z191" s="4"/>
    </row>
    <row r="192">
      <c r="A192" s="33" t="s">
        <v>1714</v>
      </c>
      <c r="B192" s="2" t="s">
        <v>2581</v>
      </c>
      <c r="C192" s="2" t="s">
        <v>2582</v>
      </c>
      <c r="D192" s="2" t="s">
        <v>2583</v>
      </c>
      <c r="E192" s="2" t="s">
        <v>38</v>
      </c>
      <c r="F192" s="2" t="s">
        <v>331</v>
      </c>
      <c r="G192" s="92">
        <v>45971.54504496528</v>
      </c>
      <c r="H192" s="92">
        <v>45971.66771649306</v>
      </c>
      <c r="I192" s="2" t="s">
        <v>496</v>
      </c>
      <c r="J192" s="93" t="s">
        <v>1718</v>
      </c>
      <c r="K192" s="2" t="s">
        <v>2584</v>
      </c>
      <c r="L192" s="9" t="s">
        <v>27</v>
      </c>
      <c r="M192" s="4"/>
      <c r="N192" s="4"/>
      <c r="O192" s="4"/>
      <c r="P192" s="4"/>
      <c r="Q192" s="4"/>
      <c r="R192" s="4"/>
      <c r="S192" s="4"/>
      <c r="T192" s="4"/>
      <c r="U192" s="4"/>
      <c r="V192" s="4"/>
      <c r="W192" s="4"/>
      <c r="X192" s="4"/>
      <c r="Y192" s="4"/>
      <c r="Z192" s="4"/>
    </row>
    <row r="193">
      <c r="A193" s="33" t="s">
        <v>2585</v>
      </c>
      <c r="B193" s="2" t="s">
        <v>2586</v>
      </c>
      <c r="C193" s="2" t="s">
        <v>2587</v>
      </c>
      <c r="D193" s="2" t="s">
        <v>2588</v>
      </c>
      <c r="E193" s="2" t="s">
        <v>21</v>
      </c>
      <c r="F193" s="2" t="s">
        <v>331</v>
      </c>
      <c r="G193" s="3">
        <v>45971.62274827546</v>
      </c>
      <c r="H193" s="3">
        <v>45971.67505445602</v>
      </c>
      <c r="I193" s="2" t="s">
        <v>347</v>
      </c>
      <c r="J193" s="93" t="s">
        <v>2589</v>
      </c>
      <c r="K193" s="93" t="s">
        <v>2590</v>
      </c>
      <c r="L193" s="4"/>
      <c r="M193" s="4"/>
      <c r="N193" s="4"/>
      <c r="O193" s="4"/>
      <c r="P193" s="4"/>
      <c r="Q193" s="4"/>
      <c r="R193" s="4"/>
      <c r="S193" s="4"/>
      <c r="T193" s="4"/>
      <c r="U193" s="4"/>
      <c r="V193" s="4"/>
      <c r="W193" s="4"/>
      <c r="X193" s="4"/>
      <c r="Y193" s="4"/>
      <c r="Z193" s="4"/>
    </row>
    <row r="194">
      <c r="A194" s="33" t="s">
        <v>1596</v>
      </c>
      <c r="B194" s="2" t="s">
        <v>2591</v>
      </c>
      <c r="C194" s="2" t="s">
        <v>1598</v>
      </c>
      <c r="D194" s="2" t="s">
        <v>1599</v>
      </c>
      <c r="E194" s="2" t="s">
        <v>19</v>
      </c>
      <c r="F194" s="2" t="s">
        <v>331</v>
      </c>
      <c r="G194" s="3">
        <v>45971.6403350926</v>
      </c>
      <c r="H194" s="92">
        <v>45971.678811157406</v>
      </c>
      <c r="I194" s="2" t="s">
        <v>491</v>
      </c>
      <c r="J194" s="93" t="s">
        <v>1600</v>
      </c>
      <c r="K194" s="2" t="s">
        <v>2592</v>
      </c>
      <c r="L194" s="9" t="s">
        <v>21</v>
      </c>
      <c r="M194" s="4"/>
      <c r="N194" s="4"/>
      <c r="O194" s="4"/>
      <c r="P194" s="4"/>
      <c r="Q194" s="4"/>
      <c r="R194" s="4"/>
      <c r="S194" s="4"/>
      <c r="T194" s="4"/>
      <c r="U194" s="4"/>
      <c r="V194" s="4"/>
      <c r="W194" s="4"/>
      <c r="X194" s="4"/>
      <c r="Y194" s="4"/>
      <c r="Z194" s="4"/>
    </row>
    <row r="195">
      <c r="A195" s="33" t="s">
        <v>1745</v>
      </c>
      <c r="B195" s="2" t="s">
        <v>2593</v>
      </c>
      <c r="C195" s="2" t="s">
        <v>1747</v>
      </c>
      <c r="D195" s="2" t="s">
        <v>1748</v>
      </c>
      <c r="E195" s="2" t="s">
        <v>25</v>
      </c>
      <c r="F195" s="2" t="s">
        <v>331</v>
      </c>
      <c r="G195" s="92">
        <v>45971.62691076389</v>
      </c>
      <c r="H195" s="92">
        <v>45971.688226909726</v>
      </c>
      <c r="I195" s="2" t="s">
        <v>2340</v>
      </c>
      <c r="J195" s="93" t="s">
        <v>1749</v>
      </c>
      <c r="K195" s="2" t="s">
        <v>2594</v>
      </c>
      <c r="L195" s="4"/>
      <c r="M195" s="4"/>
      <c r="N195" s="4"/>
      <c r="O195" s="4"/>
      <c r="P195" s="4"/>
      <c r="Q195" s="4"/>
      <c r="R195" s="4"/>
      <c r="S195" s="4"/>
      <c r="T195" s="4"/>
      <c r="U195" s="4"/>
      <c r="V195" s="4"/>
      <c r="W195" s="4"/>
      <c r="X195" s="4"/>
      <c r="Y195" s="4"/>
      <c r="Z195" s="4"/>
    </row>
    <row r="196">
      <c r="A196" s="33" t="s">
        <v>264</v>
      </c>
      <c r="B196" s="2" t="s">
        <v>2595</v>
      </c>
      <c r="C196" s="2" t="s">
        <v>266</v>
      </c>
      <c r="D196" s="2" t="s">
        <v>267</v>
      </c>
      <c r="E196" s="2" t="s">
        <v>38</v>
      </c>
      <c r="F196" s="2" t="s">
        <v>1689</v>
      </c>
      <c r="G196" s="92">
        <v>45971.69524612269</v>
      </c>
      <c r="H196" s="92">
        <v>45971.70915101852</v>
      </c>
      <c r="I196" s="2" t="s">
        <v>192</v>
      </c>
      <c r="J196" s="93" t="s">
        <v>2596</v>
      </c>
      <c r="K196" s="2" t="s">
        <v>2597</v>
      </c>
      <c r="L196" s="4"/>
      <c r="M196" s="4"/>
      <c r="N196" s="4"/>
      <c r="O196" s="4"/>
      <c r="P196" s="4"/>
      <c r="Q196" s="4"/>
      <c r="R196" s="4"/>
      <c r="S196" s="4"/>
      <c r="T196" s="4"/>
      <c r="U196" s="4"/>
      <c r="V196" s="4"/>
      <c r="W196" s="4"/>
      <c r="X196" s="4"/>
      <c r="Y196" s="4"/>
      <c r="Z196" s="4"/>
    </row>
    <row r="197">
      <c r="A197" s="33" t="s">
        <v>2598</v>
      </c>
      <c r="B197" s="2" t="s">
        <v>2599</v>
      </c>
      <c r="C197" s="2" t="s">
        <v>2600</v>
      </c>
      <c r="D197" s="2" t="s">
        <v>2601</v>
      </c>
      <c r="E197" s="2" t="s">
        <v>23</v>
      </c>
      <c r="F197" s="2" t="s">
        <v>382</v>
      </c>
      <c r="G197" s="92">
        <v>45971.62039740741</v>
      </c>
      <c r="H197" s="92">
        <v>45971.71290392361</v>
      </c>
      <c r="I197" s="2" t="s">
        <v>2602</v>
      </c>
      <c r="J197" s="2"/>
      <c r="K197" s="2"/>
      <c r="L197" s="4"/>
      <c r="M197" s="4"/>
      <c r="N197" s="4"/>
      <c r="O197" s="4"/>
      <c r="P197" s="4"/>
      <c r="Q197" s="4"/>
      <c r="R197" s="4"/>
      <c r="S197" s="4"/>
      <c r="T197" s="4"/>
      <c r="U197" s="4"/>
      <c r="V197" s="4"/>
      <c r="W197" s="4"/>
      <c r="X197" s="4"/>
      <c r="Y197" s="4"/>
      <c r="Z197" s="4"/>
    </row>
    <row r="198">
      <c r="A198" s="33" t="s">
        <v>1914</v>
      </c>
      <c r="B198" s="2" t="s">
        <v>2603</v>
      </c>
      <c r="C198" s="2" t="s">
        <v>1916</v>
      </c>
      <c r="D198" s="2" t="s">
        <v>1917</v>
      </c>
      <c r="E198" s="2" t="s">
        <v>41</v>
      </c>
      <c r="F198" s="2" t="s">
        <v>346</v>
      </c>
      <c r="G198" s="92">
        <v>45971.6809779051</v>
      </c>
      <c r="H198" s="92">
        <v>45971.73330775463</v>
      </c>
      <c r="I198" s="2" t="s">
        <v>347</v>
      </c>
      <c r="J198" s="93" t="s">
        <v>1918</v>
      </c>
      <c r="K198" s="93" t="s">
        <v>1919</v>
      </c>
      <c r="L198" s="4"/>
      <c r="M198" s="4"/>
      <c r="N198" s="4"/>
      <c r="O198" s="4"/>
      <c r="P198" s="4"/>
      <c r="Q198" s="4"/>
      <c r="R198" s="4"/>
      <c r="S198" s="4"/>
      <c r="T198" s="4"/>
      <c r="U198" s="4"/>
      <c r="V198" s="4"/>
      <c r="W198" s="4"/>
      <c r="X198" s="4"/>
      <c r="Y198" s="4"/>
      <c r="Z198" s="4"/>
    </row>
    <row r="199">
      <c r="A199" s="33" t="s">
        <v>2604</v>
      </c>
      <c r="B199" s="2" t="s">
        <v>2605</v>
      </c>
      <c r="C199" s="2" t="s">
        <v>2606</v>
      </c>
      <c r="D199" s="2" t="s">
        <v>2607</v>
      </c>
      <c r="E199" s="2" t="s">
        <v>25</v>
      </c>
      <c r="F199" s="2" t="s">
        <v>331</v>
      </c>
      <c r="G199" s="92">
        <v>45971.70386741898</v>
      </c>
      <c r="H199" s="92">
        <v>45971.74533091435</v>
      </c>
      <c r="I199" s="2" t="s">
        <v>1924</v>
      </c>
      <c r="J199" s="93" t="s">
        <v>2608</v>
      </c>
      <c r="K199" s="93" t="s">
        <v>2609</v>
      </c>
      <c r="L199" s="4"/>
      <c r="M199" s="4"/>
      <c r="N199" s="4"/>
      <c r="O199" s="4"/>
      <c r="P199" s="4"/>
      <c r="Q199" s="4"/>
      <c r="R199" s="4"/>
      <c r="S199" s="4"/>
      <c r="T199" s="4"/>
      <c r="U199" s="4"/>
      <c r="V199" s="4"/>
      <c r="W199" s="4"/>
      <c r="X199" s="4"/>
      <c r="Y199" s="4"/>
      <c r="Z199" s="4"/>
    </row>
    <row r="200">
      <c r="A200" s="33" t="s">
        <v>2610</v>
      </c>
      <c r="B200" s="2" t="s">
        <v>2611</v>
      </c>
      <c r="C200" s="2" t="s">
        <v>2612</v>
      </c>
      <c r="D200" s="2" t="s">
        <v>2613</v>
      </c>
      <c r="E200" s="2" t="s">
        <v>31</v>
      </c>
      <c r="F200" s="2" t="s">
        <v>331</v>
      </c>
      <c r="G200" s="92">
        <v>45971.68181369213</v>
      </c>
      <c r="H200" s="92">
        <v>45971.7469309375</v>
      </c>
      <c r="I200" s="2" t="s">
        <v>473</v>
      </c>
      <c r="J200" s="93" t="s">
        <v>2614</v>
      </c>
      <c r="K200" s="2" t="s">
        <v>2615</v>
      </c>
      <c r="L200" s="9" t="s">
        <v>27</v>
      </c>
      <c r="M200" s="4"/>
      <c r="N200" s="4"/>
      <c r="O200" s="4"/>
      <c r="P200" s="4"/>
      <c r="Q200" s="4"/>
      <c r="R200" s="4"/>
      <c r="S200" s="4"/>
      <c r="T200" s="4"/>
      <c r="U200" s="4"/>
      <c r="V200" s="4"/>
      <c r="W200" s="4"/>
      <c r="X200" s="4"/>
      <c r="Y200" s="4"/>
      <c r="Z200" s="4"/>
    </row>
    <row r="201">
      <c r="A201" s="33" t="s">
        <v>585</v>
      </c>
      <c r="B201" s="2" t="s">
        <v>2616</v>
      </c>
      <c r="C201" s="2" t="s">
        <v>2617</v>
      </c>
      <c r="D201" s="2" t="s">
        <v>2618</v>
      </c>
      <c r="E201" s="2" t="s">
        <v>39</v>
      </c>
      <c r="F201" s="2" t="s">
        <v>2538</v>
      </c>
      <c r="G201" s="92">
        <v>45971.4623431713</v>
      </c>
      <c r="H201" s="92">
        <v>45971.748239872686</v>
      </c>
      <c r="I201" s="2" t="s">
        <v>2619</v>
      </c>
      <c r="J201" s="2"/>
      <c r="K201" s="2"/>
      <c r="L201" s="4"/>
      <c r="M201" s="4"/>
      <c r="N201" s="4"/>
      <c r="O201" s="4"/>
      <c r="P201" s="4"/>
      <c r="Q201" s="4"/>
      <c r="R201" s="4"/>
      <c r="S201" s="4"/>
      <c r="T201" s="4"/>
      <c r="U201" s="4"/>
      <c r="V201" s="4"/>
      <c r="W201" s="4"/>
      <c r="X201" s="4"/>
      <c r="Y201" s="4"/>
      <c r="Z201" s="4"/>
    </row>
    <row r="202">
      <c r="A202" s="33" t="s">
        <v>1603</v>
      </c>
      <c r="B202" s="2" t="s">
        <v>2620</v>
      </c>
      <c r="C202" s="2" t="s">
        <v>1605</v>
      </c>
      <c r="D202" s="2" t="s">
        <v>1606</v>
      </c>
      <c r="E202" s="2" t="s">
        <v>38</v>
      </c>
      <c r="F202" s="2" t="s">
        <v>331</v>
      </c>
      <c r="G202" s="92">
        <v>45971.715910625004</v>
      </c>
      <c r="H202" s="92">
        <v>45971.75058412037</v>
      </c>
      <c r="I202" s="2" t="s">
        <v>478</v>
      </c>
      <c r="J202" s="93" t="s">
        <v>1608</v>
      </c>
      <c r="K202" s="2" t="s">
        <v>2621</v>
      </c>
      <c r="L202" s="4"/>
      <c r="M202" s="4"/>
      <c r="N202" s="4"/>
      <c r="O202" s="4"/>
      <c r="P202" s="4"/>
      <c r="Q202" s="4"/>
      <c r="R202" s="4"/>
      <c r="S202" s="4"/>
      <c r="T202" s="4"/>
      <c r="U202" s="4"/>
      <c r="V202" s="4"/>
      <c r="W202" s="4"/>
      <c r="X202" s="4"/>
      <c r="Y202" s="4"/>
      <c r="Z202" s="4"/>
    </row>
    <row r="203">
      <c r="A203" s="33" t="s">
        <v>1549</v>
      </c>
      <c r="B203" s="2" t="s">
        <v>2622</v>
      </c>
      <c r="C203" s="2" t="s">
        <v>1551</v>
      </c>
      <c r="D203" s="2" t="s">
        <v>1552</v>
      </c>
      <c r="E203" s="2" t="s">
        <v>21</v>
      </c>
      <c r="F203" s="2" t="s">
        <v>331</v>
      </c>
      <c r="G203" s="3">
        <v>45971.69600199074</v>
      </c>
      <c r="H203" s="3">
        <v>45971.75073375</v>
      </c>
      <c r="I203" s="2" t="s">
        <v>475</v>
      </c>
      <c r="J203" s="93" t="s">
        <v>1553</v>
      </c>
      <c r="K203" s="2" t="s">
        <v>2623</v>
      </c>
      <c r="L203" s="4"/>
      <c r="M203" s="4"/>
      <c r="N203" s="4"/>
      <c r="O203" s="4"/>
      <c r="P203" s="4"/>
      <c r="Q203" s="4"/>
      <c r="R203" s="4"/>
      <c r="S203" s="4"/>
      <c r="T203" s="4"/>
      <c r="U203" s="4"/>
      <c r="V203" s="4"/>
      <c r="W203" s="4"/>
      <c r="X203" s="4"/>
      <c r="Y203" s="4"/>
      <c r="Z203" s="4"/>
    </row>
    <row r="204">
      <c r="A204" s="33" t="s">
        <v>2624</v>
      </c>
      <c r="B204" s="2" t="s">
        <v>2625</v>
      </c>
      <c r="C204" s="2" t="s">
        <v>2626</v>
      </c>
      <c r="D204" s="2" t="s">
        <v>2627</v>
      </c>
      <c r="E204" s="2" t="s">
        <v>27</v>
      </c>
      <c r="F204" s="2" t="s">
        <v>2628</v>
      </c>
      <c r="G204" s="92">
        <v>45971.681087916666</v>
      </c>
      <c r="H204" s="92">
        <v>45971.751389537036</v>
      </c>
      <c r="I204" s="2" t="s">
        <v>454</v>
      </c>
      <c r="J204" s="2"/>
      <c r="K204" s="2"/>
      <c r="L204" s="4"/>
      <c r="M204" s="4"/>
      <c r="N204" s="4"/>
      <c r="O204" s="4"/>
      <c r="P204" s="4"/>
      <c r="Q204" s="4"/>
      <c r="R204" s="4"/>
      <c r="S204" s="4"/>
      <c r="T204" s="4"/>
      <c r="U204" s="4"/>
      <c r="V204" s="4"/>
      <c r="W204" s="4"/>
      <c r="X204" s="4"/>
      <c r="Y204" s="4"/>
      <c r="Z204" s="4"/>
    </row>
    <row r="205">
      <c r="A205" s="33" t="s">
        <v>2629</v>
      </c>
      <c r="B205" s="2" t="s">
        <v>2630</v>
      </c>
      <c r="C205" s="2" t="s">
        <v>2631</v>
      </c>
      <c r="D205" s="2" t="s">
        <v>2632</v>
      </c>
      <c r="E205" s="2" t="s">
        <v>35</v>
      </c>
      <c r="F205" s="2" t="s">
        <v>331</v>
      </c>
      <c r="G205" s="92">
        <v>45971.66647438657</v>
      </c>
      <c r="H205" s="92">
        <v>45971.75144451389</v>
      </c>
      <c r="I205" s="2" t="s">
        <v>2113</v>
      </c>
      <c r="J205" s="93" t="s">
        <v>2633</v>
      </c>
      <c r="K205" s="2" t="s">
        <v>2634</v>
      </c>
      <c r="L205" s="4"/>
      <c r="M205" s="4"/>
      <c r="N205" s="4"/>
      <c r="O205" s="4"/>
      <c r="P205" s="4"/>
      <c r="Q205" s="4"/>
      <c r="R205" s="4"/>
      <c r="S205" s="4"/>
      <c r="T205" s="4"/>
      <c r="U205" s="4"/>
      <c r="V205" s="4"/>
      <c r="W205" s="4"/>
      <c r="X205" s="4"/>
      <c r="Y205" s="4"/>
      <c r="Z205" s="4"/>
    </row>
    <row r="206">
      <c r="A206" s="33" t="s">
        <v>2635</v>
      </c>
      <c r="B206" s="2" t="s">
        <v>2636</v>
      </c>
      <c r="C206" s="2" t="s">
        <v>2637</v>
      </c>
      <c r="D206" s="2" t="s">
        <v>2638</v>
      </c>
      <c r="E206" s="2" t="s">
        <v>23</v>
      </c>
      <c r="F206" s="2" t="s">
        <v>382</v>
      </c>
      <c r="G206" s="92">
        <v>45971.72080484954</v>
      </c>
      <c r="H206" s="92">
        <v>45971.75334041667</v>
      </c>
      <c r="I206" s="2" t="s">
        <v>2497</v>
      </c>
      <c r="J206" s="2"/>
      <c r="K206" s="2"/>
      <c r="L206" s="4"/>
      <c r="M206" s="4"/>
      <c r="N206" s="4"/>
      <c r="O206" s="4"/>
      <c r="P206" s="4"/>
      <c r="Q206" s="4"/>
      <c r="R206" s="4"/>
      <c r="S206" s="4"/>
      <c r="T206" s="4"/>
      <c r="U206" s="4"/>
      <c r="V206" s="4"/>
      <c r="W206" s="4"/>
      <c r="X206" s="4"/>
      <c r="Y206" s="4"/>
      <c r="Z206" s="4"/>
    </row>
    <row r="207">
      <c r="A207" s="33" t="s">
        <v>1629</v>
      </c>
      <c r="B207" s="2" t="s">
        <v>2639</v>
      </c>
      <c r="C207" s="2" t="s">
        <v>1631</v>
      </c>
      <c r="D207" s="2" t="s">
        <v>1632</v>
      </c>
      <c r="E207" s="2" t="s">
        <v>17</v>
      </c>
      <c r="F207" s="2" t="s">
        <v>346</v>
      </c>
      <c r="G207" s="92">
        <v>45971.67625311343</v>
      </c>
      <c r="H207" s="92">
        <v>45971.75394427084</v>
      </c>
      <c r="I207" s="2" t="s">
        <v>438</v>
      </c>
      <c r="J207" s="93" t="s">
        <v>1633</v>
      </c>
      <c r="K207" s="2" t="s">
        <v>2640</v>
      </c>
      <c r="L207" s="4"/>
      <c r="M207" s="4"/>
      <c r="N207" s="4"/>
      <c r="O207" s="4"/>
      <c r="P207" s="4"/>
      <c r="Q207" s="4"/>
      <c r="R207" s="4"/>
      <c r="S207" s="4"/>
      <c r="T207" s="4"/>
      <c r="U207" s="4"/>
      <c r="V207" s="4"/>
      <c r="W207" s="4"/>
      <c r="X207" s="4"/>
      <c r="Y207" s="4"/>
      <c r="Z207" s="4"/>
    </row>
    <row r="208">
      <c r="A208" s="33" t="s">
        <v>1762</v>
      </c>
      <c r="B208" s="2" t="s">
        <v>2641</v>
      </c>
      <c r="C208" s="2" t="s">
        <v>1764</v>
      </c>
      <c r="D208" s="2" t="s">
        <v>1765</v>
      </c>
      <c r="E208" s="2" t="s">
        <v>19</v>
      </c>
      <c r="F208" s="2" t="s">
        <v>331</v>
      </c>
      <c r="G208" s="3">
        <v>45971.692073136575</v>
      </c>
      <c r="H208" s="92">
        <v>45971.75612789352</v>
      </c>
      <c r="I208" s="2" t="s">
        <v>2642</v>
      </c>
      <c r="J208" s="93" t="s">
        <v>1766</v>
      </c>
      <c r="K208" s="2" t="s">
        <v>2643</v>
      </c>
      <c r="L208" s="4"/>
      <c r="M208" s="4"/>
      <c r="N208" s="4"/>
      <c r="O208" s="4"/>
      <c r="P208" s="4"/>
      <c r="Q208" s="4"/>
      <c r="R208" s="4"/>
      <c r="S208" s="4"/>
      <c r="T208" s="4"/>
      <c r="U208" s="4"/>
      <c r="V208" s="4"/>
      <c r="W208" s="4"/>
      <c r="X208" s="4"/>
      <c r="Y208" s="4"/>
      <c r="Z208" s="4"/>
    </row>
    <row r="209">
      <c r="A209" s="33" t="s">
        <v>1895</v>
      </c>
      <c r="B209" s="2" t="s">
        <v>2644</v>
      </c>
      <c r="C209" s="2" t="s">
        <v>1897</v>
      </c>
      <c r="D209" s="2" t="s">
        <v>1898</v>
      </c>
      <c r="E209" s="2" t="s">
        <v>27</v>
      </c>
      <c r="F209" s="2" t="s">
        <v>331</v>
      </c>
      <c r="G209" s="92">
        <v>45972.36078512731</v>
      </c>
      <c r="H209" s="92">
        <v>45972.414352824075</v>
      </c>
      <c r="I209" s="2" t="s">
        <v>517</v>
      </c>
      <c r="J209" s="93" t="s">
        <v>1899</v>
      </c>
      <c r="K209" s="93" t="s">
        <v>1900</v>
      </c>
      <c r="L209" s="9" t="s">
        <v>25</v>
      </c>
      <c r="M209" s="4"/>
      <c r="N209" s="4"/>
      <c r="O209" s="4"/>
      <c r="P209" s="4"/>
      <c r="Q209" s="4"/>
      <c r="R209" s="4"/>
      <c r="S209" s="4"/>
      <c r="T209" s="4"/>
      <c r="U209" s="4"/>
      <c r="V209" s="4"/>
      <c r="W209" s="4"/>
      <c r="X209" s="4"/>
      <c r="Y209" s="4"/>
      <c r="Z209" s="4"/>
    </row>
    <row r="210">
      <c r="A210" s="33" t="s">
        <v>2645</v>
      </c>
      <c r="B210" s="2" t="s">
        <v>2646</v>
      </c>
      <c r="C210" s="2" t="s">
        <v>2647</v>
      </c>
      <c r="D210" s="2" t="s">
        <v>2648</v>
      </c>
      <c r="E210" s="2" t="s">
        <v>31</v>
      </c>
      <c r="F210" s="2" t="s">
        <v>331</v>
      </c>
      <c r="G210" s="92">
        <v>45972.35785996528</v>
      </c>
      <c r="H210" s="92">
        <v>45972.41633325232</v>
      </c>
      <c r="I210" s="2" t="s">
        <v>2088</v>
      </c>
      <c r="J210" s="93" t="s">
        <v>2649</v>
      </c>
      <c r="K210" s="2" t="s">
        <v>2650</v>
      </c>
      <c r="L210" s="9" t="s">
        <v>31</v>
      </c>
      <c r="M210" s="4"/>
      <c r="N210" s="4"/>
      <c r="O210" s="4"/>
      <c r="P210" s="4"/>
      <c r="Q210" s="4"/>
      <c r="R210" s="4"/>
      <c r="S210" s="4"/>
      <c r="T210" s="4"/>
      <c r="U210" s="4"/>
      <c r="V210" s="4"/>
      <c r="W210" s="4"/>
      <c r="X210" s="4"/>
      <c r="Y210" s="4"/>
      <c r="Z210" s="4"/>
    </row>
    <row r="211">
      <c r="A211" s="33" t="s">
        <v>1690</v>
      </c>
      <c r="B211" s="2" t="s">
        <v>2651</v>
      </c>
      <c r="C211" s="2" t="s">
        <v>1692</v>
      </c>
      <c r="D211" s="2" t="s">
        <v>1693</v>
      </c>
      <c r="E211" s="2" t="s">
        <v>35</v>
      </c>
      <c r="F211" s="2" t="s">
        <v>2628</v>
      </c>
      <c r="G211" s="92">
        <v>45972.3752021875</v>
      </c>
      <c r="H211" s="92">
        <v>45972.42133715277</v>
      </c>
      <c r="I211" s="2" t="s">
        <v>1950</v>
      </c>
      <c r="J211" s="93" t="s">
        <v>1694</v>
      </c>
      <c r="K211" s="2" t="s">
        <v>2652</v>
      </c>
      <c r="L211" s="4"/>
      <c r="M211" s="4"/>
      <c r="N211" s="4"/>
      <c r="O211" s="4"/>
      <c r="P211" s="4"/>
      <c r="Q211" s="4"/>
      <c r="R211" s="4"/>
      <c r="S211" s="4"/>
      <c r="T211" s="4"/>
      <c r="U211" s="4"/>
      <c r="V211" s="4"/>
      <c r="W211" s="4"/>
      <c r="X211" s="4"/>
      <c r="Y211" s="4"/>
      <c r="Z211" s="4"/>
    </row>
    <row r="212">
      <c r="A212" s="33" t="s">
        <v>1696</v>
      </c>
      <c r="B212" s="2" t="s">
        <v>2653</v>
      </c>
      <c r="C212" s="2" t="s">
        <v>1698</v>
      </c>
      <c r="D212" s="2" t="s">
        <v>1699</v>
      </c>
      <c r="E212" s="2" t="s">
        <v>33</v>
      </c>
      <c r="F212" s="2" t="s">
        <v>331</v>
      </c>
      <c r="G212" s="92">
        <v>45972.384717824076</v>
      </c>
      <c r="H212" s="92">
        <v>45972.426221180554</v>
      </c>
      <c r="I212" s="2" t="s">
        <v>1924</v>
      </c>
      <c r="J212" s="93" t="s">
        <v>1700</v>
      </c>
      <c r="K212" s="17"/>
      <c r="L212" s="9" t="s">
        <v>35</v>
      </c>
      <c r="M212" s="4"/>
      <c r="N212" s="4"/>
      <c r="O212" s="4"/>
      <c r="P212" s="4"/>
      <c r="Q212" s="4"/>
      <c r="R212" s="4"/>
      <c r="S212" s="4"/>
      <c r="T212" s="4"/>
      <c r="U212" s="4"/>
      <c r="V212" s="4"/>
      <c r="W212" s="4"/>
      <c r="X212" s="4"/>
      <c r="Y212" s="4"/>
      <c r="Z212" s="4"/>
    </row>
    <row r="213">
      <c r="A213" s="33" t="s">
        <v>1876</v>
      </c>
      <c r="B213" s="2" t="s">
        <v>2654</v>
      </c>
      <c r="C213" s="2" t="s">
        <v>1878</v>
      </c>
      <c r="D213" s="2" t="s">
        <v>1879</v>
      </c>
      <c r="E213" s="2" t="s">
        <v>25</v>
      </c>
      <c r="F213" s="2" t="s">
        <v>346</v>
      </c>
      <c r="G213" s="92">
        <v>45972.3669425</v>
      </c>
      <c r="H213" s="92">
        <v>45972.43296568287</v>
      </c>
      <c r="I213" s="2" t="s">
        <v>361</v>
      </c>
      <c r="J213" s="93" t="s">
        <v>1881</v>
      </c>
      <c r="K213" s="2" t="s">
        <v>1882</v>
      </c>
      <c r="L213" s="9" t="s">
        <v>27</v>
      </c>
      <c r="M213" s="4"/>
      <c r="N213" s="4"/>
      <c r="O213" s="4"/>
      <c r="P213" s="4"/>
      <c r="Q213" s="4"/>
      <c r="R213" s="4"/>
      <c r="S213" s="4"/>
      <c r="T213" s="4"/>
      <c r="U213" s="4"/>
      <c r="V213" s="4"/>
      <c r="W213" s="4"/>
      <c r="X213" s="4"/>
      <c r="Y213" s="4"/>
      <c r="Z213" s="4"/>
    </row>
    <row r="214">
      <c r="A214" s="39" t="s">
        <v>1767</v>
      </c>
      <c r="B214" s="2" t="s">
        <v>2655</v>
      </c>
      <c r="C214" s="2" t="s">
        <v>1769</v>
      </c>
      <c r="D214" s="2" t="s">
        <v>1770</v>
      </c>
      <c r="E214" s="40" t="s">
        <v>38</v>
      </c>
      <c r="F214" s="9" t="s">
        <v>346</v>
      </c>
      <c r="G214" s="96">
        <v>45972.37044892361</v>
      </c>
      <c r="H214" s="96">
        <v>45972.43440615741</v>
      </c>
      <c r="I214" s="35" t="s">
        <v>2642</v>
      </c>
      <c r="J214" s="41" t="s">
        <v>1771</v>
      </c>
      <c r="K214" s="42" t="s">
        <v>1772</v>
      </c>
      <c r="L214" s="15" t="s">
        <v>38</v>
      </c>
      <c r="M214" s="37"/>
      <c r="N214" s="37"/>
      <c r="O214" s="6"/>
      <c r="P214" s="16"/>
      <c r="Q214" s="6"/>
      <c r="R214" s="6"/>
      <c r="S214" s="6"/>
    </row>
    <row r="215">
      <c r="A215" s="33" t="s">
        <v>1555</v>
      </c>
      <c r="B215" s="2" t="s">
        <v>2656</v>
      </c>
      <c r="C215" s="2" t="s">
        <v>1557</v>
      </c>
      <c r="D215" s="2" t="s">
        <v>1558</v>
      </c>
      <c r="E215" s="2" t="s">
        <v>19</v>
      </c>
      <c r="F215" s="2" t="s">
        <v>331</v>
      </c>
      <c r="G215" s="3">
        <v>45972.368303842595</v>
      </c>
      <c r="H215" s="92">
        <v>45972.43582064815</v>
      </c>
      <c r="I215" s="2" t="s">
        <v>332</v>
      </c>
      <c r="J215" s="93" t="s">
        <v>1559</v>
      </c>
      <c r="K215" s="2" t="s">
        <v>1560</v>
      </c>
      <c r="L215" s="9"/>
      <c r="M215" s="4"/>
      <c r="N215" s="4"/>
      <c r="O215" s="4"/>
      <c r="P215" s="4"/>
      <c r="Q215" s="4"/>
      <c r="R215" s="4"/>
      <c r="S215" s="4"/>
      <c r="T215" s="4"/>
      <c r="U215" s="4"/>
      <c r="V215" s="4"/>
      <c r="W215" s="4"/>
      <c r="X215" s="4"/>
      <c r="Y215" s="4"/>
      <c r="Z215" s="4"/>
    </row>
    <row r="216">
      <c r="A216" s="33" t="s">
        <v>2657</v>
      </c>
      <c r="B216" s="2" t="s">
        <v>2658</v>
      </c>
      <c r="C216" s="2" t="s">
        <v>2659</v>
      </c>
      <c r="D216" s="2" t="s">
        <v>2660</v>
      </c>
      <c r="E216" s="2" t="s">
        <v>21</v>
      </c>
      <c r="F216" s="2" t="s">
        <v>331</v>
      </c>
      <c r="G216" s="3">
        <v>45972.36945760417</v>
      </c>
      <c r="H216" s="3">
        <v>45972.43870496527</v>
      </c>
      <c r="I216" s="2" t="s">
        <v>403</v>
      </c>
      <c r="J216" s="93" t="s">
        <v>2661</v>
      </c>
      <c r="K216" s="93" t="s">
        <v>2662</v>
      </c>
      <c r="L216" s="9"/>
      <c r="M216" s="4"/>
      <c r="N216" s="4"/>
      <c r="O216" s="4"/>
      <c r="P216" s="4"/>
      <c r="Q216" s="4"/>
      <c r="R216" s="4"/>
      <c r="S216" s="4"/>
      <c r="T216" s="4"/>
      <c r="U216" s="4"/>
      <c r="V216" s="4"/>
      <c r="W216" s="4"/>
      <c r="X216" s="4"/>
      <c r="Y216" s="4"/>
      <c r="Z216" s="4"/>
    </row>
    <row r="217">
      <c r="A217" s="33" t="s">
        <v>1467</v>
      </c>
      <c r="B217" s="2" t="s">
        <v>2663</v>
      </c>
      <c r="C217" s="2" t="s">
        <v>1625</v>
      </c>
      <c r="D217" s="2" t="s">
        <v>1626</v>
      </c>
      <c r="E217" s="2" t="s">
        <v>27</v>
      </c>
      <c r="F217" s="2" t="s">
        <v>346</v>
      </c>
      <c r="G217" s="92">
        <v>45972.77228469907</v>
      </c>
      <c r="H217" s="92">
        <v>45972.43945159722</v>
      </c>
      <c r="I217" s="2" t="s">
        <v>82</v>
      </c>
      <c r="J217" s="93" t="s">
        <v>1627</v>
      </c>
      <c r="K217" s="2" t="s">
        <v>1628</v>
      </c>
      <c r="L217" s="9" t="s">
        <v>27</v>
      </c>
      <c r="M217" s="4"/>
      <c r="N217" s="4"/>
      <c r="O217" s="4"/>
      <c r="P217" s="4"/>
      <c r="Q217" s="4"/>
      <c r="R217" s="4"/>
      <c r="S217" s="4"/>
      <c r="T217" s="4"/>
      <c r="U217" s="4"/>
      <c r="V217" s="4"/>
      <c r="W217" s="4"/>
      <c r="X217" s="4"/>
      <c r="Y217" s="4"/>
      <c r="Z217" s="4"/>
    </row>
    <row r="218">
      <c r="A218" s="33" t="s">
        <v>1773</v>
      </c>
      <c r="B218" s="2" t="s">
        <v>2664</v>
      </c>
      <c r="C218" s="2" t="s">
        <v>1775</v>
      </c>
      <c r="D218" s="2" t="s">
        <v>1776</v>
      </c>
      <c r="E218" s="2" t="s">
        <v>17</v>
      </c>
      <c r="F218" s="2" t="s">
        <v>346</v>
      </c>
      <c r="G218" s="92">
        <v>45972.37115715278</v>
      </c>
      <c r="H218" s="92">
        <v>45972.44533832176</v>
      </c>
      <c r="I218" s="2" t="s">
        <v>354</v>
      </c>
      <c r="J218" s="93" t="s">
        <v>1777</v>
      </c>
      <c r="K218" s="2" t="s">
        <v>1778</v>
      </c>
      <c r="L218" s="4"/>
      <c r="M218" s="4"/>
      <c r="N218" s="4"/>
      <c r="O218" s="4"/>
      <c r="P218" s="4"/>
      <c r="Q218" s="4"/>
      <c r="R218" s="4"/>
      <c r="S218" s="4"/>
      <c r="T218" s="4"/>
      <c r="U218" s="4"/>
      <c r="V218" s="4"/>
      <c r="W218" s="4"/>
      <c r="X218" s="4"/>
      <c r="Y218" s="4"/>
      <c r="Z218" s="4"/>
    </row>
    <row r="219">
      <c r="A219" s="33" t="s">
        <v>1541</v>
      </c>
      <c r="B219" s="2" t="s">
        <v>2665</v>
      </c>
      <c r="C219" s="2" t="s">
        <v>1543</v>
      </c>
      <c r="D219" s="2" t="s">
        <v>1544</v>
      </c>
      <c r="E219" s="2" t="s">
        <v>41</v>
      </c>
      <c r="F219" s="2" t="s">
        <v>331</v>
      </c>
      <c r="G219" s="92">
        <v>45972.35509170139</v>
      </c>
      <c r="H219" s="92">
        <v>45972.448649467595</v>
      </c>
      <c r="I219" s="2" t="s">
        <v>2666</v>
      </c>
      <c r="J219" s="93" t="s">
        <v>1545</v>
      </c>
      <c r="K219" s="2" t="s">
        <v>2667</v>
      </c>
      <c r="L219" s="4"/>
      <c r="M219" s="4"/>
      <c r="N219" s="4"/>
      <c r="O219" s="4"/>
      <c r="P219" s="4"/>
      <c r="Q219" s="4"/>
      <c r="R219" s="4"/>
      <c r="S219" s="4"/>
      <c r="T219" s="4"/>
      <c r="U219" s="4"/>
      <c r="V219" s="4"/>
      <c r="W219" s="4"/>
      <c r="X219" s="4"/>
      <c r="Y219" s="4"/>
      <c r="Z219" s="4"/>
    </row>
    <row r="220">
      <c r="A220" s="33" t="s">
        <v>2668</v>
      </c>
      <c r="B220" s="2" t="s">
        <v>2669</v>
      </c>
      <c r="C220" s="2" t="s">
        <v>2670</v>
      </c>
      <c r="D220" s="2" t="s">
        <v>2671</v>
      </c>
      <c r="E220" s="2" t="s">
        <v>23</v>
      </c>
      <c r="F220" s="2" t="s">
        <v>408</v>
      </c>
      <c r="G220" s="92">
        <v>45972.36466517361</v>
      </c>
      <c r="H220" s="92">
        <v>45972.47537409722</v>
      </c>
      <c r="I220" s="2" t="s">
        <v>2672</v>
      </c>
      <c r="J220" s="93" t="s">
        <v>2673</v>
      </c>
      <c r="K220" s="2" t="s">
        <v>2674</v>
      </c>
      <c r="L220" s="4"/>
      <c r="M220" s="4"/>
      <c r="N220" s="4"/>
      <c r="O220" s="4"/>
      <c r="P220" s="4"/>
      <c r="Q220" s="4"/>
      <c r="R220" s="4"/>
      <c r="S220" s="4"/>
      <c r="T220" s="4"/>
      <c r="U220" s="4"/>
      <c r="V220" s="4"/>
      <c r="W220" s="4"/>
      <c r="X220" s="4"/>
      <c r="Y220" s="4"/>
      <c r="Z220" s="4"/>
    </row>
    <row r="221">
      <c r="A221" s="33" t="s">
        <v>1751</v>
      </c>
      <c r="B221" s="2" t="s">
        <v>2675</v>
      </c>
      <c r="C221" s="2" t="s">
        <v>1753</v>
      </c>
      <c r="D221" s="2" t="s">
        <v>1754</v>
      </c>
      <c r="E221" s="2" t="s">
        <v>33</v>
      </c>
      <c r="F221" s="2" t="s">
        <v>331</v>
      </c>
      <c r="G221" s="92">
        <v>45972.441587905094</v>
      </c>
      <c r="H221" s="92">
        <v>45972.48779108796</v>
      </c>
      <c r="I221" s="2" t="s">
        <v>2144</v>
      </c>
      <c r="J221" s="93" t="s">
        <v>1755</v>
      </c>
      <c r="K221" s="2" t="s">
        <v>2676</v>
      </c>
      <c r="L221" s="9" t="s">
        <v>35</v>
      </c>
      <c r="M221" s="4"/>
      <c r="N221" s="4"/>
      <c r="O221" s="4"/>
      <c r="P221" s="4"/>
      <c r="Q221" s="4"/>
      <c r="R221" s="4"/>
      <c r="S221" s="4"/>
      <c r="T221" s="4"/>
      <c r="U221" s="4"/>
      <c r="V221" s="4"/>
      <c r="W221" s="4"/>
      <c r="X221" s="4"/>
      <c r="Y221" s="4"/>
      <c r="Z221" s="4"/>
    </row>
    <row r="222">
      <c r="A222" s="33" t="s">
        <v>2677</v>
      </c>
      <c r="B222" s="2" t="s">
        <v>2678</v>
      </c>
      <c r="C222" s="2" t="s">
        <v>1860</v>
      </c>
      <c r="D222" s="2" t="s">
        <v>1861</v>
      </c>
      <c r="E222" s="2" t="s">
        <v>31</v>
      </c>
      <c r="F222" s="2" t="s">
        <v>331</v>
      </c>
      <c r="G222" s="92">
        <v>45972.43643310185</v>
      </c>
      <c r="H222" s="92">
        <v>45972.504680972226</v>
      </c>
      <c r="I222" s="2" t="s">
        <v>461</v>
      </c>
      <c r="J222" s="93" t="s">
        <v>1862</v>
      </c>
      <c r="K222" s="2" t="s">
        <v>2679</v>
      </c>
      <c r="L222" s="4"/>
      <c r="M222" s="4"/>
      <c r="N222" s="4"/>
      <c r="O222" s="4"/>
      <c r="P222" s="4"/>
      <c r="Q222" s="4"/>
      <c r="R222" s="4"/>
      <c r="S222" s="4"/>
      <c r="T222" s="4"/>
      <c r="U222" s="4"/>
      <c r="V222" s="4"/>
      <c r="W222" s="4"/>
      <c r="X222" s="4"/>
      <c r="Y222" s="4"/>
      <c r="Z222" s="4"/>
    </row>
    <row r="223">
      <c r="A223" s="33" t="s">
        <v>1934</v>
      </c>
      <c r="B223" s="2" t="s">
        <v>2680</v>
      </c>
      <c r="C223" s="2" t="s">
        <v>1936</v>
      </c>
      <c r="D223" s="2" t="s">
        <v>1937</v>
      </c>
      <c r="E223" s="2" t="s">
        <v>21</v>
      </c>
      <c r="F223" s="2" t="s">
        <v>346</v>
      </c>
      <c r="G223" s="3">
        <v>45972.46673373843</v>
      </c>
      <c r="H223" s="3">
        <v>45972.517544560185</v>
      </c>
      <c r="I223" s="2" t="s">
        <v>541</v>
      </c>
      <c r="J223" s="93" t="s">
        <v>1938</v>
      </c>
      <c r="K223" s="2" t="s">
        <v>2681</v>
      </c>
      <c r="L223" s="9"/>
      <c r="M223" s="4"/>
      <c r="N223" s="4"/>
      <c r="O223" s="4"/>
      <c r="P223" s="4"/>
      <c r="Q223" s="4"/>
      <c r="R223" s="4"/>
      <c r="S223" s="4"/>
      <c r="T223" s="4"/>
      <c r="U223" s="4"/>
      <c r="V223" s="4"/>
      <c r="W223" s="4"/>
      <c r="X223" s="4"/>
      <c r="Y223" s="4"/>
      <c r="Z223" s="4"/>
    </row>
    <row r="224">
      <c r="A224" s="33" t="s">
        <v>1682</v>
      </c>
      <c r="B224" s="2" t="s">
        <v>2682</v>
      </c>
      <c r="C224" s="2" t="s">
        <v>1684</v>
      </c>
      <c r="D224" s="2" t="s">
        <v>1685</v>
      </c>
      <c r="E224" s="2" t="s">
        <v>35</v>
      </c>
      <c r="F224" s="2" t="s">
        <v>2628</v>
      </c>
      <c r="G224" s="92">
        <v>45972.42153315972</v>
      </c>
      <c r="H224" s="92">
        <v>45972.51842997685</v>
      </c>
      <c r="I224" s="2" t="s">
        <v>1831</v>
      </c>
      <c r="J224" s="93" t="s">
        <v>1686</v>
      </c>
      <c r="K224" s="2" t="s">
        <v>2683</v>
      </c>
      <c r="L224" s="4"/>
      <c r="M224" s="4"/>
      <c r="N224" s="4"/>
      <c r="O224" s="4"/>
      <c r="P224" s="4"/>
      <c r="Q224" s="4"/>
      <c r="R224" s="4"/>
      <c r="S224" s="4"/>
      <c r="T224" s="4"/>
      <c r="U224" s="4"/>
      <c r="V224" s="4"/>
      <c r="W224" s="4"/>
      <c r="X224" s="4"/>
      <c r="Y224" s="4"/>
      <c r="Z224" s="4"/>
    </row>
    <row r="225">
      <c r="A225" s="33" t="s">
        <v>1463</v>
      </c>
      <c r="B225" s="2" t="s">
        <v>2684</v>
      </c>
      <c r="C225" s="2" t="s">
        <v>1811</v>
      </c>
      <c r="D225" s="2" t="s">
        <v>1812</v>
      </c>
      <c r="E225" s="2" t="s">
        <v>41</v>
      </c>
      <c r="F225" s="2" t="s">
        <v>346</v>
      </c>
      <c r="G225" s="92">
        <v>45972.472847743054</v>
      </c>
      <c r="H225" s="92">
        <v>45972.527385312496</v>
      </c>
      <c r="I225" s="2" t="s">
        <v>475</v>
      </c>
      <c r="J225" s="93" t="s">
        <v>1813</v>
      </c>
      <c r="K225" s="2" t="s">
        <v>1814</v>
      </c>
      <c r="L225" s="9" t="s">
        <v>27</v>
      </c>
      <c r="M225" s="4"/>
      <c r="N225" s="4"/>
      <c r="O225" s="4"/>
      <c r="P225" s="4"/>
      <c r="Q225" s="4"/>
      <c r="R225" s="4"/>
      <c r="S225" s="4"/>
      <c r="T225" s="4"/>
      <c r="U225" s="4"/>
      <c r="V225" s="4"/>
      <c r="W225" s="4"/>
      <c r="X225" s="4"/>
      <c r="Y225" s="4"/>
      <c r="Z225" s="4"/>
    </row>
    <row r="226">
      <c r="A226" s="33" t="s">
        <v>1460</v>
      </c>
      <c r="B226" s="2" t="s">
        <v>2685</v>
      </c>
      <c r="C226" s="2" t="s">
        <v>2686</v>
      </c>
      <c r="D226" s="2" t="s">
        <v>2687</v>
      </c>
      <c r="E226" s="2" t="s">
        <v>19</v>
      </c>
      <c r="F226" s="2" t="s">
        <v>346</v>
      </c>
      <c r="G226" s="3">
        <v>45972.45217456018</v>
      </c>
      <c r="H226" s="92">
        <v>45972.52984940972</v>
      </c>
      <c r="I226" s="2" t="s">
        <v>438</v>
      </c>
      <c r="J226" s="93" t="s">
        <v>1893</v>
      </c>
      <c r="K226" s="2" t="s">
        <v>1894</v>
      </c>
      <c r="L226" s="9" t="s">
        <v>38</v>
      </c>
      <c r="M226" s="4"/>
      <c r="N226" s="4"/>
      <c r="O226" s="4"/>
      <c r="P226" s="4"/>
      <c r="Q226" s="4"/>
      <c r="R226" s="4"/>
      <c r="S226" s="4"/>
      <c r="T226" s="4"/>
      <c r="U226" s="4"/>
      <c r="V226" s="4"/>
      <c r="W226" s="4"/>
      <c r="X226" s="4"/>
      <c r="Y226" s="4"/>
      <c r="Z226" s="4"/>
    </row>
    <row r="227">
      <c r="A227" s="33" t="s">
        <v>2688</v>
      </c>
      <c r="B227" s="2" t="s">
        <v>2689</v>
      </c>
      <c r="C227" s="2" t="s">
        <v>2690</v>
      </c>
      <c r="D227" s="2" t="s">
        <v>2691</v>
      </c>
      <c r="E227" s="2" t="s">
        <v>29</v>
      </c>
      <c r="F227" s="2" t="s">
        <v>408</v>
      </c>
      <c r="G227" s="92">
        <v>45972.455657604165</v>
      </c>
      <c r="H227" s="92">
        <v>45972.530344583334</v>
      </c>
      <c r="I227" s="2" t="s">
        <v>96</v>
      </c>
      <c r="J227" s="93" t="s">
        <v>2692</v>
      </c>
      <c r="K227" s="2" t="s">
        <v>2693</v>
      </c>
      <c r="L227" s="4"/>
      <c r="M227" s="4"/>
      <c r="N227" s="4"/>
      <c r="O227" s="4"/>
      <c r="P227" s="4"/>
      <c r="Q227" s="4"/>
      <c r="R227" s="4"/>
      <c r="S227" s="4"/>
      <c r="T227" s="4"/>
      <c r="U227" s="4"/>
      <c r="V227" s="4"/>
      <c r="W227" s="4"/>
      <c r="X227" s="4"/>
      <c r="Y227" s="4"/>
      <c r="Z227" s="4"/>
    </row>
    <row r="228">
      <c r="A228" s="33" t="s">
        <v>1566</v>
      </c>
      <c r="B228" s="2" t="s">
        <v>2694</v>
      </c>
      <c r="C228" s="2" t="s">
        <v>1568</v>
      </c>
      <c r="D228" s="2" t="s">
        <v>1569</v>
      </c>
      <c r="E228" s="2" t="s">
        <v>39</v>
      </c>
      <c r="F228" s="2" t="s">
        <v>346</v>
      </c>
      <c r="G228" s="92">
        <v>45972.47340234954</v>
      </c>
      <c r="H228" s="92">
        <v>45972.54013634259</v>
      </c>
      <c r="I228" s="2" t="s">
        <v>465</v>
      </c>
      <c r="J228" s="93" t="s">
        <v>1570</v>
      </c>
      <c r="K228" s="2" t="s">
        <v>1571</v>
      </c>
      <c r="L228" s="9" t="s">
        <v>25</v>
      </c>
      <c r="M228" s="4"/>
      <c r="N228" s="4"/>
      <c r="O228" s="4"/>
      <c r="P228" s="4"/>
      <c r="Q228" s="4"/>
      <c r="R228" s="4"/>
      <c r="S228" s="4"/>
      <c r="T228" s="4"/>
      <c r="U228" s="4"/>
      <c r="V228" s="4"/>
      <c r="W228" s="4"/>
      <c r="X228" s="4"/>
      <c r="Y228" s="4"/>
      <c r="Z228" s="4"/>
    </row>
    <row r="229">
      <c r="A229" s="33" t="s">
        <v>1708</v>
      </c>
      <c r="B229" s="2" t="s">
        <v>2695</v>
      </c>
      <c r="C229" s="2" t="s">
        <v>1710</v>
      </c>
      <c r="D229" s="2" t="s">
        <v>1711</v>
      </c>
      <c r="E229" s="2" t="s">
        <v>19</v>
      </c>
      <c r="F229" s="2" t="s">
        <v>331</v>
      </c>
      <c r="G229" s="3">
        <v>45972.455035879626</v>
      </c>
      <c r="H229" s="92">
        <v>45972.545251620366</v>
      </c>
      <c r="I229" s="2" t="s">
        <v>2061</v>
      </c>
      <c r="J229" s="93" t="s">
        <v>1712</v>
      </c>
      <c r="K229" s="93" t="s">
        <v>1713</v>
      </c>
      <c r="L229" s="9" t="s">
        <v>19</v>
      </c>
      <c r="M229" s="4"/>
      <c r="N229" s="4"/>
      <c r="O229" s="4"/>
      <c r="P229" s="4"/>
      <c r="Q229" s="4"/>
      <c r="R229" s="4"/>
      <c r="S229" s="4"/>
      <c r="T229" s="4"/>
      <c r="U229" s="4"/>
      <c r="V229" s="4"/>
      <c r="W229" s="4"/>
      <c r="X229" s="4"/>
      <c r="Y229" s="4"/>
      <c r="Z229" s="4"/>
    </row>
    <row r="230">
      <c r="A230" s="33" t="s">
        <v>1640</v>
      </c>
      <c r="B230" s="2" t="s">
        <v>2696</v>
      </c>
      <c r="C230" s="2" t="s">
        <v>1642</v>
      </c>
      <c r="D230" s="2" t="s">
        <v>1643</v>
      </c>
      <c r="E230" s="2" t="s">
        <v>25</v>
      </c>
      <c r="F230" s="2" t="s">
        <v>331</v>
      </c>
      <c r="G230" s="92">
        <v>45972.44962587963</v>
      </c>
      <c r="H230" s="92">
        <v>45972.545508888885</v>
      </c>
      <c r="I230" s="2" t="s">
        <v>458</v>
      </c>
      <c r="J230" s="93" t="s">
        <v>1644</v>
      </c>
      <c r="K230" s="2" t="s">
        <v>2697</v>
      </c>
      <c r="L230" s="9"/>
      <c r="M230" s="4"/>
      <c r="N230" s="4"/>
      <c r="O230" s="4"/>
      <c r="P230" s="4"/>
      <c r="Q230" s="4"/>
      <c r="R230" s="4"/>
      <c r="S230" s="4"/>
      <c r="T230" s="4"/>
      <c r="U230" s="4"/>
      <c r="V230" s="4"/>
      <c r="W230" s="4"/>
      <c r="X230" s="4"/>
      <c r="Y230" s="4"/>
      <c r="Z230" s="4"/>
    </row>
    <row r="231">
      <c r="A231" s="33" t="s">
        <v>2698</v>
      </c>
      <c r="B231" s="2" t="s">
        <v>2699</v>
      </c>
      <c r="C231" s="2" t="s">
        <v>2700</v>
      </c>
      <c r="D231" s="2" t="s">
        <v>2701</v>
      </c>
      <c r="E231" s="2" t="s">
        <v>17</v>
      </c>
      <c r="F231" s="2" t="s">
        <v>331</v>
      </c>
      <c r="G231" s="92">
        <v>45972.47384276621</v>
      </c>
      <c r="H231" s="92">
        <v>45972.54631121528</v>
      </c>
      <c r="I231" s="2" t="s">
        <v>2119</v>
      </c>
      <c r="J231" s="93" t="s">
        <v>2702</v>
      </c>
      <c r="K231" s="93" t="s">
        <v>2703</v>
      </c>
      <c r="L231" s="9" t="s">
        <v>19</v>
      </c>
      <c r="M231" s="4"/>
      <c r="N231" s="4"/>
      <c r="O231" s="4"/>
      <c r="P231" s="4"/>
      <c r="Q231" s="4"/>
      <c r="R231" s="4"/>
      <c r="S231" s="4"/>
      <c r="T231" s="4"/>
      <c r="U231" s="4"/>
      <c r="V231" s="4"/>
      <c r="W231" s="4"/>
      <c r="X231" s="4"/>
      <c r="Y231" s="4"/>
      <c r="Z231" s="4"/>
    </row>
    <row r="232">
      <c r="A232" s="33" t="s">
        <v>1820</v>
      </c>
      <c r="B232" s="2" t="s">
        <v>2704</v>
      </c>
      <c r="C232" s="2" t="s">
        <v>1822</v>
      </c>
      <c r="D232" s="2" t="s">
        <v>1823</v>
      </c>
      <c r="E232" s="2" t="s">
        <v>41</v>
      </c>
      <c r="F232" s="2" t="s">
        <v>346</v>
      </c>
      <c r="G232" s="92">
        <v>45972.527600127316</v>
      </c>
      <c r="H232" s="92">
        <v>45972.56121047454</v>
      </c>
      <c r="I232" s="2" t="s">
        <v>2705</v>
      </c>
      <c r="J232" s="93" t="s">
        <v>1825</v>
      </c>
      <c r="K232" s="2" t="s">
        <v>1826</v>
      </c>
      <c r="L232" s="4"/>
      <c r="M232" s="4"/>
      <c r="N232" s="4"/>
      <c r="O232" s="4"/>
      <c r="P232" s="4"/>
      <c r="Q232" s="4"/>
      <c r="R232" s="4"/>
      <c r="S232" s="4"/>
      <c r="T232" s="4"/>
      <c r="U232" s="4"/>
      <c r="V232" s="4"/>
      <c r="W232" s="4"/>
      <c r="X232" s="4"/>
      <c r="Y232" s="4"/>
      <c r="Z232" s="4"/>
    </row>
    <row r="233">
      <c r="A233" s="33" t="s">
        <v>2706</v>
      </c>
      <c r="B233" s="2" t="s">
        <v>2707</v>
      </c>
      <c r="C233" s="2" t="s">
        <v>2708</v>
      </c>
      <c r="D233" s="2" t="s">
        <v>2709</v>
      </c>
      <c r="E233" s="2" t="s">
        <v>27</v>
      </c>
      <c r="F233" s="2" t="s">
        <v>408</v>
      </c>
      <c r="G233" s="92">
        <v>45972.433315138886</v>
      </c>
      <c r="H233" s="92">
        <v>45972.56843061342</v>
      </c>
      <c r="I233" s="2" t="s">
        <v>2710</v>
      </c>
      <c r="J233" s="93" t="s">
        <v>2711</v>
      </c>
      <c r="K233" s="93" t="s">
        <v>2712</v>
      </c>
      <c r="L233" s="9" t="s">
        <v>25</v>
      </c>
      <c r="M233" s="4"/>
      <c r="N233" s="4"/>
      <c r="O233" s="4"/>
      <c r="P233" s="4"/>
      <c r="Q233" s="4"/>
      <c r="R233" s="4"/>
      <c r="S233" s="4"/>
      <c r="T233" s="4"/>
      <c r="U233" s="4"/>
      <c r="V233" s="4"/>
      <c r="W233" s="4"/>
      <c r="X233" s="4"/>
      <c r="Y233" s="4"/>
      <c r="Z233" s="4"/>
    </row>
    <row r="234">
      <c r="A234" s="33" t="s">
        <v>2713</v>
      </c>
      <c r="B234" s="2" t="s">
        <v>2714</v>
      </c>
      <c r="C234" s="2" t="s">
        <v>2715</v>
      </c>
      <c r="D234" s="2" t="s">
        <v>2716</v>
      </c>
      <c r="E234" s="2" t="s">
        <v>35</v>
      </c>
      <c r="F234" s="2" t="s">
        <v>331</v>
      </c>
      <c r="G234" s="92">
        <v>45972.53405037037</v>
      </c>
      <c r="H234" s="92">
        <v>45972.569317245376</v>
      </c>
      <c r="I234" s="2" t="s">
        <v>185</v>
      </c>
      <c r="J234" s="93" t="s">
        <v>2717</v>
      </c>
      <c r="K234" s="2" t="s">
        <v>2718</v>
      </c>
      <c r="L234" s="4"/>
      <c r="M234" s="4"/>
      <c r="N234" s="4"/>
      <c r="O234" s="4"/>
      <c r="P234" s="4"/>
      <c r="Q234" s="4"/>
      <c r="R234" s="4"/>
      <c r="S234" s="4"/>
      <c r="T234" s="4"/>
      <c r="U234" s="4"/>
      <c r="V234" s="4"/>
      <c r="W234" s="4"/>
      <c r="X234" s="4"/>
      <c r="Y234" s="4"/>
      <c r="Z234" s="4"/>
    </row>
    <row r="235">
      <c r="A235" s="33" t="s">
        <v>2719</v>
      </c>
      <c r="B235" s="2" t="s">
        <v>2720</v>
      </c>
      <c r="C235" s="2" t="s">
        <v>2721</v>
      </c>
      <c r="D235" s="2" t="s">
        <v>2722</v>
      </c>
      <c r="E235" s="2" t="s">
        <v>23</v>
      </c>
      <c r="F235" s="2" t="s">
        <v>382</v>
      </c>
      <c r="G235" s="92">
        <v>45972.48317063657</v>
      </c>
      <c r="H235" s="92">
        <v>45972.57339277778</v>
      </c>
      <c r="I235" s="2" t="s">
        <v>2061</v>
      </c>
      <c r="J235" s="2"/>
      <c r="K235" s="2"/>
      <c r="L235" s="9"/>
      <c r="M235" s="4"/>
      <c r="N235" s="4"/>
      <c r="O235" s="4"/>
      <c r="P235" s="4"/>
      <c r="Q235" s="4"/>
      <c r="R235" s="4"/>
      <c r="S235" s="4"/>
      <c r="T235" s="4"/>
      <c r="U235" s="4"/>
      <c r="V235" s="4"/>
      <c r="W235" s="4"/>
      <c r="X235" s="4"/>
      <c r="Y235" s="4"/>
      <c r="Z235" s="4"/>
    </row>
    <row r="236">
      <c r="A236" s="33" t="s">
        <v>2723</v>
      </c>
      <c r="B236" s="2" t="s">
        <v>2724</v>
      </c>
      <c r="C236" s="2" t="s">
        <v>2725</v>
      </c>
      <c r="D236" s="2" t="s">
        <v>2726</v>
      </c>
      <c r="E236" s="2" t="s">
        <v>31</v>
      </c>
      <c r="F236" s="2" t="s">
        <v>408</v>
      </c>
      <c r="G236" s="92">
        <v>45972.57366810185</v>
      </c>
      <c r="H236" s="92">
        <v>45972.586723333334</v>
      </c>
      <c r="I236" s="2" t="s">
        <v>134</v>
      </c>
      <c r="J236" s="93" t="s">
        <v>2727</v>
      </c>
      <c r="K236" s="2" t="s">
        <v>2728</v>
      </c>
      <c r="L236" s="4"/>
      <c r="M236" s="4"/>
      <c r="N236" s="4"/>
      <c r="O236" s="4"/>
      <c r="P236" s="4"/>
      <c r="Q236" s="4"/>
      <c r="R236" s="4"/>
      <c r="S236" s="4"/>
      <c r="T236" s="4"/>
      <c r="U236" s="4"/>
      <c r="V236" s="4"/>
      <c r="W236" s="4"/>
      <c r="X236" s="4"/>
      <c r="Y236" s="4"/>
      <c r="Z236" s="4"/>
    </row>
    <row r="237">
      <c r="A237" s="33" t="s">
        <v>2729</v>
      </c>
      <c r="B237" s="2" t="s">
        <v>2730</v>
      </c>
      <c r="C237" s="2" t="s">
        <v>2731</v>
      </c>
      <c r="D237" s="2" t="s">
        <v>2732</v>
      </c>
      <c r="E237" s="2" t="s">
        <v>19</v>
      </c>
      <c r="F237" s="2" t="s">
        <v>408</v>
      </c>
      <c r="G237" s="3">
        <v>45972.568120219905</v>
      </c>
      <c r="H237" s="92">
        <v>45972.60568070602</v>
      </c>
      <c r="I237" s="2" t="s">
        <v>565</v>
      </c>
      <c r="J237" s="93" t="s">
        <v>2733</v>
      </c>
      <c r="K237" s="93" t="s">
        <v>2734</v>
      </c>
      <c r="L237" s="9"/>
      <c r="M237" s="4"/>
      <c r="N237" s="4"/>
      <c r="O237" s="4"/>
      <c r="P237" s="4"/>
      <c r="Q237" s="4"/>
      <c r="R237" s="4"/>
      <c r="S237" s="4"/>
      <c r="T237" s="4"/>
      <c r="U237" s="4"/>
      <c r="V237" s="4"/>
      <c r="W237" s="4"/>
      <c r="X237" s="4"/>
      <c r="Y237" s="4"/>
      <c r="Z237" s="4"/>
    </row>
    <row r="238">
      <c r="A238" s="33" t="s">
        <v>2735</v>
      </c>
      <c r="B238" s="2" t="s">
        <v>2736</v>
      </c>
      <c r="C238" s="2" t="s">
        <v>2737</v>
      </c>
      <c r="D238" s="2" t="s">
        <v>2738</v>
      </c>
      <c r="E238" s="2" t="s">
        <v>33</v>
      </c>
      <c r="F238" s="2" t="s">
        <v>408</v>
      </c>
      <c r="G238" s="92">
        <v>45972.57967060185</v>
      </c>
      <c r="H238" s="92">
        <v>45972.62091200231</v>
      </c>
      <c r="I238" s="2" t="s">
        <v>569</v>
      </c>
      <c r="J238" s="93" t="s">
        <v>2739</v>
      </c>
      <c r="K238" s="2" t="s">
        <v>2740</v>
      </c>
      <c r="L238" s="4"/>
      <c r="M238" s="4"/>
      <c r="N238" s="4"/>
      <c r="O238" s="4"/>
      <c r="P238" s="4"/>
      <c r="Q238" s="4"/>
      <c r="R238" s="4"/>
      <c r="S238" s="4"/>
      <c r="T238" s="4"/>
      <c r="U238" s="4"/>
      <c r="V238" s="4"/>
      <c r="W238" s="4"/>
      <c r="X238" s="4"/>
      <c r="Y238" s="4"/>
      <c r="Z238" s="4"/>
    </row>
    <row r="239">
      <c r="A239" s="33" t="s">
        <v>2741</v>
      </c>
      <c r="B239" s="2" t="s">
        <v>2742</v>
      </c>
      <c r="C239" s="2" t="s">
        <v>2743</v>
      </c>
      <c r="D239" s="2" t="s">
        <v>2744</v>
      </c>
      <c r="E239" s="2" t="s">
        <v>29</v>
      </c>
      <c r="F239" s="2" t="s">
        <v>408</v>
      </c>
      <c r="G239" s="92">
        <v>45972.55425140046</v>
      </c>
      <c r="H239" s="92">
        <v>45972.62569577547</v>
      </c>
      <c r="I239" s="2" t="s">
        <v>82</v>
      </c>
      <c r="J239" s="93" t="s">
        <v>2745</v>
      </c>
      <c r="K239" s="2" t="s">
        <v>2746</v>
      </c>
      <c r="L239" s="4"/>
      <c r="M239" s="4"/>
      <c r="N239" s="4"/>
      <c r="O239" s="4"/>
      <c r="P239" s="4"/>
      <c r="Q239" s="4"/>
      <c r="R239" s="4"/>
      <c r="S239" s="4"/>
      <c r="T239" s="4"/>
      <c r="U239" s="4"/>
      <c r="V239" s="4"/>
      <c r="W239" s="4"/>
      <c r="X239" s="4"/>
      <c r="Y239" s="4"/>
      <c r="Z239" s="4"/>
    </row>
    <row r="240">
      <c r="A240" s="33" t="s">
        <v>2747</v>
      </c>
      <c r="B240" s="2" t="s">
        <v>2748</v>
      </c>
      <c r="C240" s="2" t="s">
        <v>2749</v>
      </c>
      <c r="D240" s="2" t="s">
        <v>2750</v>
      </c>
      <c r="E240" s="2" t="s">
        <v>39</v>
      </c>
      <c r="F240" s="2" t="s">
        <v>382</v>
      </c>
      <c r="G240" s="92">
        <v>45972.590248796296</v>
      </c>
      <c r="H240" s="92">
        <v>45972.63037712963</v>
      </c>
      <c r="I240" s="2" t="s">
        <v>388</v>
      </c>
      <c r="J240" s="17"/>
      <c r="K240" s="17"/>
      <c r="L240" s="9" t="s">
        <v>21</v>
      </c>
      <c r="M240" s="4"/>
      <c r="N240" s="4"/>
      <c r="O240" s="4"/>
      <c r="P240" s="4"/>
      <c r="Q240" s="4"/>
      <c r="R240" s="4"/>
      <c r="S240" s="4"/>
      <c r="T240" s="4"/>
      <c r="U240" s="4"/>
      <c r="V240" s="4"/>
      <c r="W240" s="4"/>
      <c r="X240" s="4"/>
      <c r="Y240" s="4"/>
      <c r="Z240" s="4"/>
    </row>
    <row r="241">
      <c r="A241" s="33" t="s">
        <v>2751</v>
      </c>
      <c r="B241" s="2" t="s">
        <v>2752</v>
      </c>
      <c r="C241" s="2" t="s">
        <v>2753</v>
      </c>
      <c r="D241" s="2" t="s">
        <v>2754</v>
      </c>
      <c r="E241" s="2" t="s">
        <v>27</v>
      </c>
      <c r="F241" s="2" t="s">
        <v>382</v>
      </c>
      <c r="G241" s="92">
        <v>45972.58703579861</v>
      </c>
      <c r="H241" s="92">
        <v>45972.631360914354</v>
      </c>
      <c r="I241" s="2" t="s">
        <v>2163</v>
      </c>
      <c r="J241" s="2"/>
      <c r="K241" s="2"/>
      <c r="L241" s="9" t="s">
        <v>25</v>
      </c>
      <c r="M241" s="4"/>
      <c r="N241" s="4"/>
      <c r="O241" s="4"/>
      <c r="P241" s="4"/>
      <c r="Q241" s="4"/>
      <c r="R241" s="4"/>
      <c r="S241" s="4"/>
      <c r="T241" s="4"/>
      <c r="U241" s="4"/>
      <c r="V241" s="4"/>
      <c r="W241" s="4"/>
      <c r="X241" s="4"/>
      <c r="Y241" s="4"/>
      <c r="Z241" s="4"/>
    </row>
    <row r="242">
      <c r="A242" s="33" t="s">
        <v>1462</v>
      </c>
      <c r="B242" s="2" t="s">
        <v>2755</v>
      </c>
      <c r="C242" s="2" t="s">
        <v>1793</v>
      </c>
      <c r="D242" s="2" t="s">
        <v>1794</v>
      </c>
      <c r="E242" s="2" t="s">
        <v>21</v>
      </c>
      <c r="F242" s="2" t="s">
        <v>346</v>
      </c>
      <c r="G242" s="3">
        <v>45972.58268369213</v>
      </c>
      <c r="H242" s="3">
        <v>45972.632319537035</v>
      </c>
      <c r="I242" s="2" t="s">
        <v>2756</v>
      </c>
      <c r="J242" s="93" t="s">
        <v>1796</v>
      </c>
      <c r="K242" s="2" t="s">
        <v>1797</v>
      </c>
      <c r="L242" s="9" t="s">
        <v>21</v>
      </c>
      <c r="M242" s="4"/>
      <c r="N242" s="4"/>
      <c r="O242" s="4"/>
      <c r="P242" s="4"/>
      <c r="Q242" s="4"/>
      <c r="R242" s="4"/>
      <c r="S242" s="4"/>
      <c r="T242" s="4"/>
      <c r="U242" s="4"/>
      <c r="V242" s="4"/>
      <c r="W242" s="4"/>
      <c r="X242" s="4"/>
      <c r="Y242" s="4"/>
      <c r="Z242" s="4"/>
    </row>
    <row r="243">
      <c r="A243" s="33" t="s">
        <v>2757</v>
      </c>
      <c r="B243" s="2" t="s">
        <v>2758</v>
      </c>
      <c r="C243" s="2" t="s">
        <v>2759</v>
      </c>
      <c r="D243" s="2" t="s">
        <v>2760</v>
      </c>
      <c r="E243" s="2" t="s">
        <v>31</v>
      </c>
      <c r="F243" s="2" t="s">
        <v>408</v>
      </c>
      <c r="G243" s="92">
        <v>45972.599315810185</v>
      </c>
      <c r="H243" s="92">
        <v>45972.63402450232</v>
      </c>
      <c r="I243" s="2" t="s">
        <v>478</v>
      </c>
      <c r="J243" s="93" t="s">
        <v>2761</v>
      </c>
      <c r="K243" s="2" t="s">
        <v>2762</v>
      </c>
      <c r="L243" s="4"/>
      <c r="M243" s="4"/>
      <c r="N243" s="4"/>
      <c r="O243" s="4"/>
      <c r="P243" s="4"/>
      <c r="Q243" s="4"/>
      <c r="R243" s="4"/>
      <c r="S243" s="4"/>
      <c r="T243" s="4"/>
      <c r="U243" s="4"/>
      <c r="V243" s="4"/>
      <c r="W243" s="4"/>
      <c r="X243" s="4"/>
      <c r="Y243" s="4"/>
      <c r="Z243" s="4"/>
    </row>
    <row r="244">
      <c r="A244" s="33" t="s">
        <v>1984</v>
      </c>
      <c r="B244" s="2" t="s">
        <v>2763</v>
      </c>
      <c r="C244" s="2" t="s">
        <v>1986</v>
      </c>
      <c r="D244" s="2" t="s">
        <v>1987</v>
      </c>
      <c r="E244" s="2" t="s">
        <v>41</v>
      </c>
      <c r="F244" s="2" t="s">
        <v>346</v>
      </c>
      <c r="G244" s="92">
        <v>45972.603467175926</v>
      </c>
      <c r="H244" s="92">
        <v>45972.656079548615</v>
      </c>
      <c r="I244" s="2" t="s">
        <v>123</v>
      </c>
      <c r="J244" s="93" t="s">
        <v>1988</v>
      </c>
      <c r="K244" s="2" t="s">
        <v>1989</v>
      </c>
      <c r="L244" s="4"/>
      <c r="M244" s="4"/>
      <c r="N244" s="4"/>
      <c r="O244" s="4"/>
      <c r="P244" s="4"/>
      <c r="Q244" s="4"/>
      <c r="R244" s="4"/>
      <c r="S244" s="4"/>
      <c r="T244" s="4"/>
      <c r="U244" s="4"/>
      <c r="V244" s="4"/>
      <c r="W244" s="4"/>
      <c r="X244" s="4"/>
      <c r="Y244" s="4"/>
      <c r="Z244" s="4"/>
    </row>
    <row r="245">
      <c r="A245" s="39" t="s">
        <v>277</v>
      </c>
      <c r="B245" s="2" t="s">
        <v>278</v>
      </c>
      <c r="C245" s="2" t="s">
        <v>279</v>
      </c>
      <c r="D245" s="2" t="s">
        <v>280</v>
      </c>
      <c r="E245" s="40" t="s">
        <v>38</v>
      </c>
      <c r="F245" s="9" t="s">
        <v>346</v>
      </c>
      <c r="G245" s="96">
        <v>45972.54044633102</v>
      </c>
      <c r="H245" s="96">
        <v>45972.666610416665</v>
      </c>
      <c r="I245" s="35" t="s">
        <v>2764</v>
      </c>
      <c r="J245" s="41" t="s">
        <v>281</v>
      </c>
      <c r="K245" s="42" t="s">
        <v>282</v>
      </c>
      <c r="L245" s="15" t="s">
        <v>38</v>
      </c>
      <c r="M245" s="37"/>
      <c r="N245" s="37"/>
      <c r="O245" s="6"/>
      <c r="P245" s="16"/>
      <c r="Q245" s="6"/>
      <c r="R245" s="6"/>
      <c r="S245" s="6"/>
    </row>
    <row r="246">
      <c r="A246" s="33" t="s">
        <v>1720</v>
      </c>
      <c r="B246" s="2" t="s">
        <v>2765</v>
      </c>
      <c r="C246" s="2" t="s">
        <v>1722</v>
      </c>
      <c r="D246" s="2" t="s">
        <v>1723</v>
      </c>
      <c r="E246" s="2" t="s">
        <v>25</v>
      </c>
      <c r="F246" s="2" t="s">
        <v>346</v>
      </c>
      <c r="G246" s="92">
        <v>45972.58644034722</v>
      </c>
      <c r="H246" s="92">
        <v>45972.67720229167</v>
      </c>
      <c r="I246" s="2" t="s">
        <v>447</v>
      </c>
      <c r="J246" s="93" t="s">
        <v>1724</v>
      </c>
      <c r="K246" s="2" t="s">
        <v>1725</v>
      </c>
      <c r="L246" s="9" t="s">
        <v>27</v>
      </c>
      <c r="M246" s="4"/>
      <c r="N246" s="4"/>
      <c r="O246" s="4"/>
      <c r="P246" s="4"/>
      <c r="Q246" s="4"/>
      <c r="R246" s="4"/>
      <c r="S246" s="4"/>
      <c r="T246" s="4"/>
      <c r="U246" s="4"/>
      <c r="V246" s="4"/>
      <c r="W246" s="4"/>
      <c r="X246" s="4"/>
      <c r="Y246" s="4"/>
      <c r="Z246" s="4"/>
    </row>
    <row r="247">
      <c r="A247" s="33" t="s">
        <v>2766</v>
      </c>
      <c r="B247" s="2" t="s">
        <v>2767</v>
      </c>
      <c r="C247" s="2" t="s">
        <v>2768</v>
      </c>
      <c r="D247" s="2" t="s">
        <v>2769</v>
      </c>
      <c r="E247" s="2" t="s">
        <v>17</v>
      </c>
      <c r="F247" s="2" t="s">
        <v>331</v>
      </c>
      <c r="G247" s="92">
        <v>45972.63944690972</v>
      </c>
      <c r="H247" s="92">
        <v>45972.6828455787</v>
      </c>
      <c r="I247" s="2" t="s">
        <v>254</v>
      </c>
      <c r="J247" s="93" t="s">
        <v>2770</v>
      </c>
      <c r="K247" s="2" t="s">
        <v>2771</v>
      </c>
      <c r="L247" s="4"/>
      <c r="M247" s="4"/>
      <c r="N247" s="4"/>
      <c r="O247" s="4"/>
      <c r="P247" s="4"/>
      <c r="Q247" s="4"/>
      <c r="R247" s="4"/>
      <c r="S247" s="4"/>
      <c r="T247" s="4"/>
      <c r="U247" s="4"/>
      <c r="V247" s="4"/>
      <c r="W247" s="4"/>
      <c r="X247" s="4"/>
      <c r="Y247" s="4"/>
      <c r="Z247" s="4"/>
    </row>
    <row r="248">
      <c r="A248" s="33" t="s">
        <v>2772</v>
      </c>
      <c r="B248" s="2" t="s">
        <v>2773</v>
      </c>
      <c r="C248" s="2" t="s">
        <v>2774</v>
      </c>
      <c r="D248" s="2" t="s">
        <v>2775</v>
      </c>
      <c r="E248" s="2" t="s">
        <v>39</v>
      </c>
      <c r="F248" s="2" t="s">
        <v>382</v>
      </c>
      <c r="G248" s="92">
        <v>45972.64662125</v>
      </c>
      <c r="H248" s="92">
        <v>45972.68976652778</v>
      </c>
      <c r="I248" s="2" t="s">
        <v>254</v>
      </c>
      <c r="J248" s="17"/>
      <c r="K248" s="17"/>
      <c r="L248" s="9" t="s">
        <v>25</v>
      </c>
      <c r="M248" s="4"/>
      <c r="N248" s="4"/>
      <c r="O248" s="4"/>
      <c r="P248" s="4"/>
      <c r="Q248" s="4"/>
      <c r="R248" s="4"/>
      <c r="S248" s="4"/>
      <c r="T248" s="4"/>
      <c r="U248" s="4"/>
      <c r="V248" s="4"/>
      <c r="W248" s="4"/>
      <c r="X248" s="4"/>
      <c r="Y248" s="4"/>
      <c r="Z248" s="4"/>
    </row>
    <row r="249">
      <c r="A249" s="43" t="s">
        <v>283</v>
      </c>
      <c r="B249" s="2" t="s">
        <v>284</v>
      </c>
      <c r="C249" s="2" t="s">
        <v>285</v>
      </c>
      <c r="D249" s="2" t="s">
        <v>286</v>
      </c>
      <c r="E249" s="40" t="s">
        <v>38</v>
      </c>
      <c r="F249" s="9" t="s">
        <v>331</v>
      </c>
      <c r="G249" s="96">
        <v>45972.66705984954</v>
      </c>
      <c r="H249" s="96">
        <v>45972.6994199537</v>
      </c>
      <c r="I249" s="35" t="s">
        <v>2497</v>
      </c>
      <c r="J249" s="2" t="s">
        <v>287</v>
      </c>
      <c r="K249" s="36" t="s">
        <v>288</v>
      </c>
      <c r="L249" s="15" t="s">
        <v>38</v>
      </c>
      <c r="M249" s="37"/>
      <c r="N249" s="37"/>
      <c r="O249" s="6"/>
      <c r="P249" s="16"/>
      <c r="Q249" s="6"/>
      <c r="R249" s="6"/>
      <c r="S249" s="6"/>
    </row>
    <row r="250">
      <c r="A250" s="33" t="s">
        <v>1465</v>
      </c>
      <c r="B250" s="2" t="s">
        <v>2776</v>
      </c>
      <c r="C250" s="2" t="s">
        <v>2777</v>
      </c>
      <c r="D250" s="2" t="s">
        <v>2778</v>
      </c>
      <c r="E250" s="2" t="s">
        <v>23</v>
      </c>
      <c r="F250" s="2" t="s">
        <v>426</v>
      </c>
      <c r="G250" s="92">
        <v>45972.64583591435</v>
      </c>
      <c r="H250" s="92">
        <v>45972.700641435185</v>
      </c>
      <c r="I250" s="2" t="s">
        <v>475</v>
      </c>
      <c r="J250" s="93" t="s">
        <v>2779</v>
      </c>
      <c r="K250" s="2" t="s">
        <v>2780</v>
      </c>
      <c r="L250" s="4"/>
      <c r="M250" s="4"/>
      <c r="N250" s="4"/>
      <c r="O250" s="4"/>
      <c r="P250" s="4"/>
      <c r="Q250" s="4"/>
      <c r="R250" s="4"/>
      <c r="S250" s="4"/>
      <c r="T250" s="4"/>
      <c r="U250" s="4"/>
      <c r="V250" s="4"/>
      <c r="W250" s="4"/>
      <c r="X250" s="4"/>
      <c r="Y250" s="4"/>
      <c r="Z250" s="4"/>
    </row>
    <row r="251">
      <c r="A251" s="33" t="s">
        <v>1734</v>
      </c>
      <c r="B251" s="2" t="s">
        <v>2781</v>
      </c>
      <c r="C251" s="2" t="s">
        <v>2782</v>
      </c>
      <c r="D251" s="2" t="s">
        <v>2783</v>
      </c>
      <c r="E251" s="2" t="s">
        <v>25</v>
      </c>
      <c r="F251" s="2" t="s">
        <v>346</v>
      </c>
      <c r="G251" s="92">
        <v>45972.69296755787</v>
      </c>
      <c r="H251" s="92">
        <v>45972.74333030093</v>
      </c>
      <c r="I251" s="2" t="s">
        <v>541</v>
      </c>
      <c r="J251" s="93" t="s">
        <v>1738</v>
      </c>
      <c r="K251" s="2" t="s">
        <v>1739</v>
      </c>
      <c r="L251" s="9" t="s">
        <v>27</v>
      </c>
      <c r="M251" s="4"/>
      <c r="N251" s="4"/>
      <c r="O251" s="4"/>
      <c r="P251" s="4"/>
      <c r="Q251" s="4"/>
      <c r="R251" s="4"/>
      <c r="S251" s="4"/>
      <c r="T251" s="4"/>
      <c r="U251" s="4"/>
      <c r="V251" s="4"/>
      <c r="W251" s="4"/>
      <c r="X251" s="4"/>
      <c r="Y251" s="4"/>
      <c r="Z251" s="4"/>
    </row>
    <row r="252">
      <c r="A252" s="33" t="s">
        <v>2784</v>
      </c>
      <c r="B252" s="2" t="s">
        <v>2785</v>
      </c>
      <c r="C252" s="2" t="s">
        <v>2786</v>
      </c>
      <c r="D252" s="2" t="s">
        <v>2787</v>
      </c>
      <c r="E252" s="2" t="s">
        <v>31</v>
      </c>
      <c r="F252" s="2" t="s">
        <v>331</v>
      </c>
      <c r="G252" s="92">
        <v>45972.73446743056</v>
      </c>
      <c r="H252" s="92">
        <v>45972.749216909724</v>
      </c>
      <c r="I252" s="2" t="s">
        <v>215</v>
      </c>
      <c r="J252" s="93" t="s">
        <v>2788</v>
      </c>
      <c r="K252" s="93" t="s">
        <v>2789</v>
      </c>
      <c r="L252" s="4"/>
      <c r="M252" s="4"/>
      <c r="N252" s="4"/>
      <c r="O252" s="4"/>
      <c r="P252" s="4"/>
      <c r="Q252" s="4"/>
      <c r="R252" s="4"/>
      <c r="S252" s="4"/>
      <c r="T252" s="4"/>
      <c r="U252" s="4"/>
      <c r="V252" s="4"/>
      <c r="W252" s="4"/>
      <c r="X252" s="4"/>
      <c r="Y252" s="4"/>
      <c r="Z252" s="4"/>
    </row>
    <row r="253">
      <c r="A253" s="33" t="s">
        <v>2790</v>
      </c>
      <c r="B253" s="2" t="s">
        <v>2791</v>
      </c>
      <c r="C253" s="2" t="s">
        <v>2792</v>
      </c>
      <c r="D253" s="2" t="s">
        <v>2793</v>
      </c>
      <c r="E253" s="2" t="s">
        <v>35</v>
      </c>
      <c r="F253" s="2" t="s">
        <v>331</v>
      </c>
      <c r="G253" s="92">
        <v>45972.62589185185</v>
      </c>
      <c r="H253" s="92">
        <v>45972.749736087964</v>
      </c>
      <c r="I253" s="2" t="s">
        <v>1857</v>
      </c>
      <c r="J253" s="93" t="s">
        <v>2794</v>
      </c>
      <c r="K253" s="2" t="s">
        <v>2795</v>
      </c>
      <c r="L253" s="4"/>
      <c r="M253" s="4"/>
      <c r="N253" s="4"/>
      <c r="O253" s="4"/>
      <c r="P253" s="4"/>
      <c r="Q253" s="4"/>
      <c r="R253" s="4"/>
      <c r="S253" s="4"/>
      <c r="T253" s="4"/>
      <c r="U253" s="4"/>
      <c r="V253" s="4"/>
      <c r="W253" s="4"/>
      <c r="X253" s="4"/>
      <c r="Y253" s="4"/>
      <c r="Z253" s="4"/>
    </row>
    <row r="254">
      <c r="A254" s="33" t="s">
        <v>2796</v>
      </c>
      <c r="B254" s="2" t="s">
        <v>2797</v>
      </c>
      <c r="C254" s="2" t="s">
        <v>2798</v>
      </c>
      <c r="D254" s="2" t="s">
        <v>2799</v>
      </c>
      <c r="E254" s="2" t="s">
        <v>23</v>
      </c>
      <c r="F254" s="2" t="s">
        <v>382</v>
      </c>
      <c r="G254" s="92">
        <v>45972.7227883912</v>
      </c>
      <c r="H254" s="92">
        <v>45972.75016996528</v>
      </c>
      <c r="I254" s="2" t="s">
        <v>59</v>
      </c>
      <c r="J254" s="2"/>
      <c r="K254" s="2"/>
      <c r="L254" s="9"/>
      <c r="M254" s="4"/>
      <c r="N254" s="4"/>
      <c r="O254" s="4"/>
      <c r="P254" s="4"/>
      <c r="Q254" s="4"/>
      <c r="R254" s="4"/>
      <c r="S254" s="4"/>
      <c r="T254" s="4"/>
      <c r="U254" s="4"/>
      <c r="V254" s="4"/>
      <c r="W254" s="4"/>
      <c r="X254" s="4"/>
      <c r="Y254" s="4"/>
      <c r="Z254" s="4"/>
    </row>
    <row r="255">
      <c r="A255" s="33" t="s">
        <v>1468</v>
      </c>
      <c r="B255" s="2" t="s">
        <v>2800</v>
      </c>
      <c r="C255" s="2" t="s">
        <v>2801</v>
      </c>
      <c r="D255" s="2" t="s">
        <v>2802</v>
      </c>
      <c r="E255" s="2" t="s">
        <v>21</v>
      </c>
      <c r="F255" s="2" t="s">
        <v>346</v>
      </c>
      <c r="G255" s="3">
        <v>45972.66289086806</v>
      </c>
      <c r="H255" s="3">
        <v>45972.750779305556</v>
      </c>
      <c r="I255" s="2" t="s">
        <v>505</v>
      </c>
      <c r="J255" s="93" t="s">
        <v>1760</v>
      </c>
      <c r="K255" s="2" t="s">
        <v>1761</v>
      </c>
      <c r="L255" s="9" t="s">
        <v>23</v>
      </c>
      <c r="M255" s="4"/>
      <c r="N255" s="4"/>
      <c r="O255" s="4"/>
      <c r="P255" s="4"/>
      <c r="Q255" s="4"/>
      <c r="R255" s="4"/>
      <c r="S255" s="4"/>
      <c r="T255" s="4"/>
      <c r="U255" s="4"/>
      <c r="V255" s="4"/>
      <c r="W255" s="4"/>
      <c r="X255" s="4"/>
      <c r="Y255" s="4"/>
      <c r="Z255" s="4"/>
    </row>
    <row r="256">
      <c r="A256" s="33" t="s">
        <v>2803</v>
      </c>
      <c r="B256" s="2" t="s">
        <v>2804</v>
      </c>
      <c r="C256" s="2" t="s">
        <v>2805</v>
      </c>
      <c r="D256" s="2" t="s">
        <v>2806</v>
      </c>
      <c r="E256" s="2" t="s">
        <v>33</v>
      </c>
      <c r="F256" s="2" t="s">
        <v>331</v>
      </c>
      <c r="G256" s="92">
        <v>45972.66847872685</v>
      </c>
      <c r="H256" s="92">
        <v>45972.75096243055</v>
      </c>
      <c r="I256" s="2" t="s">
        <v>440</v>
      </c>
      <c r="J256" s="93" t="s">
        <v>2807</v>
      </c>
      <c r="K256" s="2" t="s">
        <v>2808</v>
      </c>
      <c r="L256" s="4"/>
      <c r="M256" s="4"/>
      <c r="N256" s="4"/>
      <c r="O256" s="4"/>
      <c r="P256" s="4"/>
      <c r="Q256" s="4"/>
      <c r="R256" s="4"/>
      <c r="S256" s="4"/>
      <c r="T256" s="4"/>
      <c r="U256" s="4"/>
      <c r="V256" s="4"/>
      <c r="W256" s="4"/>
      <c r="X256" s="4"/>
      <c r="Y256" s="4"/>
      <c r="Z256" s="4"/>
    </row>
    <row r="257">
      <c r="A257" s="33" t="s">
        <v>1618</v>
      </c>
      <c r="B257" s="2" t="s">
        <v>2809</v>
      </c>
      <c r="C257" s="2" t="s">
        <v>1620</v>
      </c>
      <c r="D257" s="2" t="s">
        <v>1621</v>
      </c>
      <c r="E257" s="2" t="s">
        <v>19</v>
      </c>
      <c r="F257" s="2" t="s">
        <v>346</v>
      </c>
      <c r="G257" s="3">
        <v>45972.651671307874</v>
      </c>
      <c r="H257" s="92">
        <v>45972.75098660879</v>
      </c>
      <c r="I257" s="2" t="s">
        <v>2810</v>
      </c>
      <c r="J257" s="93" t="s">
        <v>1622</v>
      </c>
      <c r="K257" s="2" t="s">
        <v>2811</v>
      </c>
      <c r="L257" s="9"/>
      <c r="M257" s="4"/>
      <c r="N257" s="4"/>
      <c r="O257" s="4"/>
      <c r="P257" s="4"/>
      <c r="Q257" s="4"/>
      <c r="R257" s="4"/>
      <c r="S257" s="4"/>
      <c r="T257" s="4"/>
      <c r="U257" s="4"/>
      <c r="V257" s="4"/>
      <c r="W257" s="4"/>
      <c r="X257" s="4"/>
      <c r="Y257" s="4"/>
      <c r="Z257" s="4"/>
    </row>
    <row r="258">
      <c r="A258" s="33" t="s">
        <v>1466</v>
      </c>
      <c r="B258" s="2" t="s">
        <v>2812</v>
      </c>
      <c r="C258" s="2" t="s">
        <v>1562</v>
      </c>
      <c r="D258" s="2" t="s">
        <v>1563</v>
      </c>
      <c r="E258" s="2" t="s">
        <v>39</v>
      </c>
      <c r="F258" s="2" t="s">
        <v>346</v>
      </c>
      <c r="G258" s="92">
        <v>45972.705335694445</v>
      </c>
      <c r="H258" s="92">
        <v>45972.75136172454</v>
      </c>
      <c r="I258" s="2" t="s">
        <v>1950</v>
      </c>
      <c r="J258" s="93" t="s">
        <v>1564</v>
      </c>
      <c r="K258" s="2" t="s">
        <v>1565</v>
      </c>
      <c r="L258" s="4"/>
      <c r="M258" s="4"/>
      <c r="N258" s="4"/>
      <c r="O258" s="4"/>
      <c r="P258" s="4"/>
      <c r="Q258" s="4"/>
      <c r="R258" s="4"/>
      <c r="S258" s="4"/>
      <c r="T258" s="4"/>
      <c r="U258" s="4"/>
      <c r="V258" s="4"/>
      <c r="W258" s="4"/>
      <c r="X258" s="4"/>
      <c r="Y258" s="4"/>
      <c r="Z258" s="4"/>
    </row>
    <row r="259">
      <c r="A259" s="33" t="s">
        <v>2813</v>
      </c>
      <c r="B259" s="2" t="s">
        <v>2814</v>
      </c>
      <c r="C259" s="2" t="s">
        <v>2815</v>
      </c>
      <c r="D259" s="2" t="s">
        <v>2816</v>
      </c>
      <c r="E259" s="2" t="s">
        <v>17</v>
      </c>
      <c r="F259" s="2" t="s">
        <v>331</v>
      </c>
      <c r="G259" s="92">
        <v>45972.70195732639</v>
      </c>
      <c r="H259" s="92">
        <v>45972.75169348379</v>
      </c>
      <c r="I259" s="2" t="s">
        <v>493</v>
      </c>
      <c r="J259" s="93" t="s">
        <v>2817</v>
      </c>
      <c r="K259" s="2" t="s">
        <v>2818</v>
      </c>
      <c r="L259" s="9" t="s">
        <v>17</v>
      </c>
      <c r="M259" s="4"/>
      <c r="N259" s="4"/>
      <c r="O259" s="4"/>
      <c r="P259" s="4"/>
      <c r="Q259" s="4"/>
      <c r="R259" s="4"/>
      <c r="S259" s="4"/>
      <c r="T259" s="4"/>
      <c r="U259" s="4"/>
      <c r="V259" s="4"/>
      <c r="W259" s="4"/>
      <c r="X259" s="4"/>
      <c r="Y259" s="4"/>
      <c r="Z259" s="4"/>
    </row>
    <row r="260">
      <c r="A260" s="33" t="s">
        <v>268</v>
      </c>
      <c r="B260" s="2" t="s">
        <v>2819</v>
      </c>
      <c r="C260" s="2" t="s">
        <v>2820</v>
      </c>
      <c r="D260" s="2" t="s">
        <v>2821</v>
      </c>
      <c r="E260" s="2" t="s">
        <v>29</v>
      </c>
      <c r="F260" s="2" t="s">
        <v>408</v>
      </c>
      <c r="G260" s="92">
        <v>45972.66442144676</v>
      </c>
      <c r="H260" s="92">
        <v>45972.751796006945</v>
      </c>
      <c r="I260" s="2" t="s">
        <v>339</v>
      </c>
      <c r="J260" s="93" t="s">
        <v>2822</v>
      </c>
      <c r="K260" s="2" t="s">
        <v>2823</v>
      </c>
      <c r="L260" s="4"/>
      <c r="M260" s="4"/>
      <c r="N260" s="4"/>
      <c r="O260" s="4"/>
      <c r="P260" s="4"/>
      <c r="Q260" s="4"/>
      <c r="R260" s="4"/>
      <c r="S260" s="4"/>
      <c r="T260" s="4"/>
      <c r="U260" s="4"/>
      <c r="V260" s="4"/>
      <c r="W260" s="4"/>
      <c r="X260" s="4"/>
      <c r="Y260" s="4"/>
      <c r="Z260" s="4"/>
    </row>
    <row r="261">
      <c r="A261" s="33" t="s">
        <v>1461</v>
      </c>
      <c r="B261" s="2" t="s">
        <v>2824</v>
      </c>
      <c r="C261" s="2" t="s">
        <v>1636</v>
      </c>
      <c r="D261" s="2" t="s">
        <v>1637</v>
      </c>
      <c r="E261" s="2" t="s">
        <v>31</v>
      </c>
      <c r="F261" s="2" t="s">
        <v>346</v>
      </c>
      <c r="G261" s="92">
        <v>45972.64671863426</v>
      </c>
      <c r="H261" s="92">
        <v>45972.75321181713</v>
      </c>
      <c r="I261" s="2" t="s">
        <v>2453</v>
      </c>
      <c r="J261" s="93" t="s">
        <v>1638</v>
      </c>
      <c r="K261" s="2" t="s">
        <v>1639</v>
      </c>
      <c r="L261" s="9" t="s">
        <v>29</v>
      </c>
      <c r="M261" s="4"/>
      <c r="N261" s="4"/>
      <c r="O261" s="4"/>
      <c r="P261" s="4"/>
      <c r="Q261" s="4"/>
      <c r="R261" s="4"/>
      <c r="S261" s="4"/>
      <c r="T261" s="4"/>
      <c r="U261" s="4"/>
      <c r="V261" s="4"/>
      <c r="W261" s="4"/>
      <c r="X261" s="4"/>
      <c r="Y261" s="4"/>
      <c r="Z261" s="4"/>
    </row>
    <row r="262">
      <c r="A262" s="32" t="s">
        <v>2825</v>
      </c>
      <c r="B262" s="15" t="s">
        <v>2826</v>
      </c>
      <c r="C262" s="15" t="s">
        <v>2827</v>
      </c>
      <c r="D262" s="15" t="s">
        <v>2828</v>
      </c>
      <c r="E262" s="37" t="s">
        <v>38</v>
      </c>
      <c r="F262" s="15" t="s">
        <v>382</v>
      </c>
      <c r="G262" s="56">
        <v>45972.709017939815</v>
      </c>
      <c r="H262" s="56">
        <v>45972.756254039356</v>
      </c>
      <c r="I262" s="44" t="s">
        <v>375</v>
      </c>
      <c r="J262" s="2"/>
      <c r="K262" s="2"/>
      <c r="L262" s="15" t="s">
        <v>38</v>
      </c>
      <c r="M262" s="37"/>
      <c r="N262" s="37"/>
      <c r="O262" s="6"/>
      <c r="P262" s="16"/>
      <c r="Q262" s="6"/>
      <c r="R262" s="6"/>
      <c r="S262" s="6"/>
    </row>
    <row r="263">
      <c r="A263" s="33" t="s">
        <v>2829</v>
      </c>
      <c r="B263" s="2" t="s">
        <v>2830</v>
      </c>
      <c r="C263" s="2" t="s">
        <v>2831</v>
      </c>
      <c r="D263" s="2" t="s">
        <v>2832</v>
      </c>
      <c r="E263" s="2" t="s">
        <v>41</v>
      </c>
      <c r="F263" s="2" t="s">
        <v>382</v>
      </c>
      <c r="G263" s="92">
        <v>45972.6732346412</v>
      </c>
      <c r="H263" s="92">
        <v>45972.76137943287</v>
      </c>
      <c r="I263" s="2" t="s">
        <v>505</v>
      </c>
      <c r="J263" s="17"/>
      <c r="K263" s="17"/>
      <c r="L263" s="9" t="s">
        <v>25</v>
      </c>
      <c r="M263" s="4"/>
      <c r="N263" s="4"/>
      <c r="O263" s="4"/>
      <c r="P263" s="4"/>
      <c r="Q263" s="4"/>
      <c r="R263" s="4"/>
      <c r="S263" s="4"/>
      <c r="T263" s="4"/>
      <c r="U263" s="4"/>
      <c r="V263" s="4"/>
      <c r="W263" s="4"/>
      <c r="X263" s="4"/>
      <c r="Y263" s="4"/>
      <c r="Z263" s="4"/>
    </row>
    <row r="264">
      <c r="A264" s="33" t="s">
        <v>523</v>
      </c>
      <c r="B264" s="2" t="s">
        <v>2833</v>
      </c>
      <c r="C264" s="2" t="s">
        <v>2834</v>
      </c>
      <c r="D264" s="2" t="s">
        <v>2835</v>
      </c>
      <c r="E264" s="2" t="s">
        <v>41</v>
      </c>
      <c r="F264" s="2" t="s">
        <v>426</v>
      </c>
      <c r="G264" s="92">
        <v>45973.347348125</v>
      </c>
      <c r="H264" s="92">
        <v>45973.364483576384</v>
      </c>
      <c r="I264" s="2" t="s">
        <v>524</v>
      </c>
      <c r="J264" s="93" t="s">
        <v>2836</v>
      </c>
      <c r="K264" s="2" t="s">
        <v>2837</v>
      </c>
      <c r="L264" s="4"/>
      <c r="M264" s="4"/>
      <c r="N264" s="4"/>
      <c r="O264" s="4"/>
      <c r="P264" s="4"/>
      <c r="Q264" s="4"/>
      <c r="R264" s="4"/>
      <c r="S264" s="4"/>
      <c r="T264" s="4"/>
      <c r="U264" s="4"/>
      <c r="V264" s="4"/>
      <c r="W264" s="4"/>
      <c r="X264" s="4"/>
      <c r="Y264" s="4"/>
      <c r="Z264" s="4"/>
    </row>
    <row r="265">
      <c r="A265" s="33" t="s">
        <v>486</v>
      </c>
      <c r="B265" s="2" t="s">
        <v>2838</v>
      </c>
      <c r="C265" s="2" t="s">
        <v>2839</v>
      </c>
      <c r="D265" s="2" t="s">
        <v>2840</v>
      </c>
      <c r="E265" s="2" t="s">
        <v>23</v>
      </c>
      <c r="F265" s="2" t="s">
        <v>426</v>
      </c>
      <c r="G265" s="92">
        <v>45973.36833803241</v>
      </c>
      <c r="H265" s="92">
        <v>45973.38944708333</v>
      </c>
      <c r="I265" s="2" t="s">
        <v>487</v>
      </c>
      <c r="J265" s="93" t="s">
        <v>2841</v>
      </c>
      <c r="K265" s="93" t="s">
        <v>2842</v>
      </c>
      <c r="L265" s="4"/>
      <c r="M265" s="4"/>
      <c r="N265" s="4"/>
      <c r="O265" s="4"/>
      <c r="P265" s="4"/>
      <c r="Q265" s="4"/>
      <c r="R265" s="4"/>
      <c r="S265" s="4"/>
      <c r="T265" s="4"/>
      <c r="U265" s="4"/>
      <c r="V265" s="4"/>
      <c r="W265" s="4"/>
      <c r="X265" s="4"/>
      <c r="Y265" s="4"/>
      <c r="Z265" s="4"/>
    </row>
    <row r="266">
      <c r="A266" s="33" t="s">
        <v>502</v>
      </c>
      <c r="B266" s="2" t="s">
        <v>2843</v>
      </c>
      <c r="C266" s="2" t="s">
        <v>2844</v>
      </c>
      <c r="D266" s="2" t="s">
        <v>2845</v>
      </c>
      <c r="E266" s="2" t="s">
        <v>41</v>
      </c>
      <c r="F266" s="2" t="s">
        <v>426</v>
      </c>
      <c r="G266" s="92">
        <v>45973.375744143515</v>
      </c>
      <c r="H266" s="92">
        <v>45973.40647824074</v>
      </c>
      <c r="I266" s="2" t="s">
        <v>503</v>
      </c>
      <c r="J266" s="93" t="s">
        <v>2846</v>
      </c>
      <c r="K266" s="2" t="s">
        <v>2847</v>
      </c>
      <c r="L266" s="4"/>
      <c r="M266" s="4"/>
      <c r="N266" s="4"/>
      <c r="O266" s="4"/>
      <c r="P266" s="4"/>
      <c r="Q266" s="4"/>
      <c r="R266" s="4"/>
      <c r="S266" s="4"/>
      <c r="T266" s="4"/>
      <c r="U266" s="4"/>
      <c r="V266" s="4"/>
      <c r="W266" s="4"/>
      <c r="X266" s="4"/>
      <c r="Y266" s="4"/>
      <c r="Z266" s="4"/>
    </row>
    <row r="267">
      <c r="A267" s="33" t="s">
        <v>490</v>
      </c>
      <c r="B267" s="2" t="s">
        <v>2848</v>
      </c>
      <c r="C267" s="2" t="s">
        <v>2849</v>
      </c>
      <c r="D267" s="2" t="s">
        <v>2850</v>
      </c>
      <c r="E267" s="2" t="s">
        <v>29</v>
      </c>
      <c r="F267" s="2" t="s">
        <v>426</v>
      </c>
      <c r="G267" s="92">
        <v>45973.37441292824</v>
      </c>
      <c r="H267" s="92">
        <v>45973.41251778935</v>
      </c>
      <c r="I267" s="2" t="s">
        <v>491</v>
      </c>
      <c r="J267" s="93" t="s">
        <v>2851</v>
      </c>
      <c r="K267" s="2" t="s">
        <v>2852</v>
      </c>
      <c r="L267" s="4"/>
      <c r="M267" s="4"/>
      <c r="N267" s="4"/>
      <c r="O267" s="4"/>
      <c r="P267" s="4"/>
      <c r="Q267" s="4"/>
      <c r="R267" s="4"/>
      <c r="S267" s="4"/>
      <c r="T267" s="4"/>
      <c r="U267" s="4"/>
      <c r="V267" s="4"/>
      <c r="W267" s="4"/>
      <c r="X267" s="4"/>
      <c r="Y267" s="4"/>
      <c r="Z267" s="4"/>
    </row>
    <row r="268">
      <c r="A268" s="33" t="s">
        <v>511</v>
      </c>
      <c r="B268" s="2" t="s">
        <v>2853</v>
      </c>
      <c r="C268" s="2" t="s">
        <v>2854</v>
      </c>
      <c r="D268" s="2" t="s">
        <v>2855</v>
      </c>
      <c r="E268" s="2" t="s">
        <v>23</v>
      </c>
      <c r="F268" s="2" t="s">
        <v>426</v>
      </c>
      <c r="G268" s="92">
        <v>45973.39516076389</v>
      </c>
      <c r="H268" s="92">
        <v>45973.418493125</v>
      </c>
      <c r="I268" s="2" t="s">
        <v>200</v>
      </c>
      <c r="J268" s="93" t="s">
        <v>2856</v>
      </c>
      <c r="K268" s="2" t="s">
        <v>2857</v>
      </c>
      <c r="L268" s="4"/>
      <c r="M268" s="4"/>
      <c r="N268" s="4"/>
      <c r="O268" s="4"/>
      <c r="P268" s="4"/>
      <c r="Q268" s="4"/>
      <c r="R268" s="4"/>
      <c r="S268" s="4"/>
      <c r="T268" s="4"/>
      <c r="U268" s="4"/>
      <c r="V268" s="4"/>
      <c r="W268" s="4"/>
      <c r="X268" s="4"/>
      <c r="Y268" s="4"/>
      <c r="Z268" s="4"/>
    </row>
    <row r="269">
      <c r="A269" s="33" t="s">
        <v>371</v>
      </c>
      <c r="B269" s="2" t="s">
        <v>372</v>
      </c>
      <c r="C269" s="2" t="s">
        <v>373</v>
      </c>
      <c r="D269" s="2" t="s">
        <v>374</v>
      </c>
      <c r="E269" s="2" t="s">
        <v>19</v>
      </c>
      <c r="F269" s="2" t="s">
        <v>346</v>
      </c>
      <c r="G269" s="3">
        <v>45973.37259805556</v>
      </c>
      <c r="H269" s="92">
        <v>45973.41988769676</v>
      </c>
      <c r="I269" s="2" t="s">
        <v>375</v>
      </c>
      <c r="J269" s="93" t="s">
        <v>376</v>
      </c>
      <c r="K269" s="2" t="s">
        <v>377</v>
      </c>
      <c r="L269" s="4"/>
      <c r="M269" s="4"/>
      <c r="N269" s="4"/>
      <c r="O269" s="4"/>
      <c r="P269" s="4"/>
      <c r="Q269" s="4"/>
      <c r="R269" s="4"/>
      <c r="S269" s="4"/>
      <c r="T269" s="4"/>
      <c r="U269" s="4"/>
      <c r="V269" s="4"/>
      <c r="W269" s="4"/>
      <c r="X269" s="4"/>
      <c r="Y269" s="4"/>
      <c r="Z269" s="4"/>
    </row>
    <row r="270">
      <c r="A270" s="33" t="s">
        <v>500</v>
      </c>
      <c r="B270" s="2" t="s">
        <v>2858</v>
      </c>
      <c r="C270" s="2" t="s">
        <v>2859</v>
      </c>
      <c r="D270" s="2" t="s">
        <v>2860</v>
      </c>
      <c r="E270" s="2" t="s">
        <v>31</v>
      </c>
      <c r="F270" s="2" t="s">
        <v>426</v>
      </c>
      <c r="G270" s="92">
        <v>45973.36918228009</v>
      </c>
      <c r="H270" s="92">
        <v>45973.42078165509</v>
      </c>
      <c r="I270" s="2" t="s">
        <v>501</v>
      </c>
      <c r="J270" s="93" t="s">
        <v>2861</v>
      </c>
      <c r="K270" s="2" t="s">
        <v>2862</v>
      </c>
      <c r="L270" s="9" t="s">
        <v>27</v>
      </c>
      <c r="M270" s="4"/>
      <c r="N270" s="4"/>
      <c r="O270" s="4"/>
      <c r="P270" s="4"/>
      <c r="Q270" s="4"/>
      <c r="R270" s="4"/>
      <c r="S270" s="4"/>
      <c r="T270" s="4"/>
      <c r="U270" s="4"/>
      <c r="V270" s="4"/>
      <c r="W270" s="4"/>
      <c r="X270" s="4"/>
      <c r="Y270" s="4"/>
      <c r="Z270" s="4"/>
    </row>
    <row r="271">
      <c r="A271" s="33" t="s">
        <v>342</v>
      </c>
      <c r="B271" s="2" t="s">
        <v>343</v>
      </c>
      <c r="C271" s="2" t="s">
        <v>344</v>
      </c>
      <c r="D271" s="2" t="s">
        <v>345</v>
      </c>
      <c r="E271" s="2" t="s">
        <v>21</v>
      </c>
      <c r="F271" s="2" t="s">
        <v>346</v>
      </c>
      <c r="G271" s="3">
        <v>45973.38078460648</v>
      </c>
      <c r="H271" s="3">
        <v>45973.43292075231</v>
      </c>
      <c r="I271" s="2" t="s">
        <v>347</v>
      </c>
      <c r="J271" s="93" t="s">
        <v>348</v>
      </c>
      <c r="K271" s="2" t="s">
        <v>349</v>
      </c>
      <c r="L271" s="9" t="s">
        <v>21</v>
      </c>
      <c r="M271" s="4"/>
      <c r="N271" s="4"/>
      <c r="O271" s="4"/>
      <c r="P271" s="4"/>
      <c r="Q271" s="4"/>
      <c r="R271" s="4"/>
      <c r="S271" s="4"/>
      <c r="T271" s="4"/>
      <c r="U271" s="4"/>
      <c r="V271" s="4"/>
      <c r="W271" s="4"/>
      <c r="X271" s="4"/>
      <c r="Y271" s="4"/>
      <c r="Z271" s="4"/>
    </row>
    <row r="272">
      <c r="A272" s="33" t="s">
        <v>430</v>
      </c>
      <c r="B272" s="2" t="s">
        <v>2863</v>
      </c>
      <c r="C272" s="2" t="s">
        <v>2864</v>
      </c>
      <c r="D272" s="2" t="s">
        <v>2865</v>
      </c>
      <c r="E272" s="2" t="s">
        <v>25</v>
      </c>
      <c r="F272" s="2" t="s">
        <v>426</v>
      </c>
      <c r="G272" s="92">
        <v>45973.35179346065</v>
      </c>
      <c r="H272" s="92">
        <v>45973.43511193287</v>
      </c>
      <c r="I272" s="2" t="s">
        <v>431</v>
      </c>
      <c r="J272" s="93" t="s">
        <v>2866</v>
      </c>
      <c r="K272" s="2" t="s">
        <v>2867</v>
      </c>
      <c r="L272" s="4"/>
      <c r="M272" s="4"/>
      <c r="N272" s="4"/>
      <c r="O272" s="4"/>
      <c r="P272" s="4"/>
      <c r="Q272" s="4"/>
      <c r="R272" s="4"/>
      <c r="S272" s="4"/>
      <c r="T272" s="4"/>
      <c r="U272" s="4"/>
      <c r="V272" s="4"/>
      <c r="W272" s="4"/>
      <c r="X272" s="4"/>
      <c r="Y272" s="4"/>
      <c r="Z272" s="4"/>
    </row>
    <row r="273">
      <c r="A273" s="33" t="s">
        <v>399</v>
      </c>
      <c r="B273" s="2" t="s">
        <v>400</v>
      </c>
      <c r="C273" s="2" t="s">
        <v>401</v>
      </c>
      <c r="D273" s="2" t="s">
        <v>402</v>
      </c>
      <c r="E273" s="2" t="s">
        <v>17</v>
      </c>
      <c r="F273" s="2" t="s">
        <v>382</v>
      </c>
      <c r="G273" s="92">
        <v>45973.36657083333</v>
      </c>
      <c r="H273" s="92">
        <v>45973.43624822916</v>
      </c>
      <c r="I273" s="2" t="s">
        <v>403</v>
      </c>
      <c r="J273" s="17"/>
      <c r="K273" s="17"/>
      <c r="L273" s="4"/>
      <c r="M273" s="4"/>
      <c r="N273" s="4"/>
      <c r="O273" s="4"/>
      <c r="P273" s="4"/>
      <c r="Q273" s="4"/>
      <c r="R273" s="4"/>
      <c r="S273" s="4"/>
      <c r="T273" s="4"/>
      <c r="U273" s="4"/>
      <c r="V273" s="4"/>
      <c r="W273" s="4"/>
      <c r="X273" s="4"/>
      <c r="Y273" s="4"/>
      <c r="Z273" s="4"/>
    </row>
    <row r="274">
      <c r="A274" s="33" t="s">
        <v>482</v>
      </c>
      <c r="B274" s="2" t="s">
        <v>2868</v>
      </c>
      <c r="C274" s="2" t="s">
        <v>2869</v>
      </c>
      <c r="D274" s="2" t="s">
        <v>2870</v>
      </c>
      <c r="E274" s="2" t="s">
        <v>41</v>
      </c>
      <c r="F274" s="2" t="s">
        <v>426</v>
      </c>
      <c r="G274" s="92">
        <v>45973.4154255787</v>
      </c>
      <c r="H274" s="92">
        <v>45973.44086306713</v>
      </c>
      <c r="I274" s="2" t="s">
        <v>483</v>
      </c>
      <c r="J274" s="93" t="s">
        <v>2871</v>
      </c>
      <c r="K274" s="2" t="s">
        <v>2872</v>
      </c>
      <c r="L274" s="4"/>
      <c r="M274" s="4"/>
      <c r="N274" s="4"/>
      <c r="O274" s="4"/>
      <c r="P274" s="4"/>
      <c r="Q274" s="4"/>
      <c r="R274" s="4"/>
      <c r="S274" s="4"/>
      <c r="T274" s="4"/>
      <c r="U274" s="4"/>
      <c r="V274" s="4"/>
      <c r="W274" s="4"/>
      <c r="X274" s="4"/>
      <c r="Y274" s="4"/>
      <c r="Z274" s="4"/>
    </row>
    <row r="275">
      <c r="A275" s="33" t="s">
        <v>552</v>
      </c>
      <c r="B275" s="2" t="s">
        <v>2873</v>
      </c>
      <c r="C275" s="2" t="s">
        <v>2874</v>
      </c>
      <c r="D275" s="2" t="s">
        <v>2875</v>
      </c>
      <c r="E275" s="2" t="s">
        <v>31</v>
      </c>
      <c r="F275" s="2" t="s">
        <v>526</v>
      </c>
      <c r="G275" s="92">
        <v>45973.431108819444</v>
      </c>
      <c r="H275" s="92">
        <v>45973.44611237269</v>
      </c>
      <c r="I275" s="2" t="s">
        <v>553</v>
      </c>
      <c r="J275" s="93" t="s">
        <v>2876</v>
      </c>
      <c r="K275" s="2" t="s">
        <v>2877</v>
      </c>
      <c r="L275" s="4"/>
      <c r="M275" s="4"/>
      <c r="N275" s="4"/>
      <c r="O275" s="4"/>
      <c r="P275" s="4"/>
      <c r="Q275" s="4"/>
      <c r="R275" s="4"/>
      <c r="S275" s="4"/>
      <c r="T275" s="4"/>
      <c r="U275" s="4"/>
      <c r="V275" s="4"/>
      <c r="W275" s="4"/>
      <c r="X275" s="4"/>
      <c r="Y275" s="4"/>
      <c r="Z275" s="4"/>
    </row>
    <row r="276">
      <c r="A276" s="33" t="s">
        <v>435</v>
      </c>
      <c r="B276" s="2" t="s">
        <v>2878</v>
      </c>
      <c r="C276" s="2" t="s">
        <v>2397</v>
      </c>
      <c r="D276" s="2" t="s">
        <v>2398</v>
      </c>
      <c r="E276" s="2" t="s">
        <v>45</v>
      </c>
      <c r="F276" s="2" t="s">
        <v>426</v>
      </c>
      <c r="G276" s="92">
        <v>45973.37426084491</v>
      </c>
      <c r="H276" s="92">
        <v>45973.44683988426</v>
      </c>
      <c r="I276" s="2" t="s">
        <v>436</v>
      </c>
      <c r="J276" s="93" t="s">
        <v>2399</v>
      </c>
      <c r="K276" s="2" t="s">
        <v>2400</v>
      </c>
      <c r="L276" s="9" t="s">
        <v>39</v>
      </c>
      <c r="M276" s="4"/>
      <c r="N276" s="4"/>
      <c r="O276" s="4"/>
      <c r="P276" s="4"/>
      <c r="Q276" s="4"/>
      <c r="R276" s="4"/>
      <c r="S276" s="4"/>
      <c r="T276" s="4"/>
      <c r="U276" s="4"/>
      <c r="V276" s="4"/>
      <c r="W276" s="4"/>
      <c r="X276" s="4"/>
      <c r="Y276" s="4"/>
      <c r="Z276" s="4"/>
    </row>
    <row r="277">
      <c r="A277" s="33" t="s">
        <v>459</v>
      </c>
      <c r="B277" s="2" t="s">
        <v>2879</v>
      </c>
      <c r="C277" s="2" t="s">
        <v>2880</v>
      </c>
      <c r="D277" s="2" t="s">
        <v>2881</v>
      </c>
      <c r="E277" s="2" t="s">
        <v>27</v>
      </c>
      <c r="F277" s="2" t="s">
        <v>426</v>
      </c>
      <c r="G277" s="92">
        <v>45973.3726846875</v>
      </c>
      <c r="H277" s="92">
        <v>45973.44774346065</v>
      </c>
      <c r="I277" s="2" t="s">
        <v>96</v>
      </c>
      <c r="J277" s="93" t="s">
        <v>2882</v>
      </c>
      <c r="K277" s="2" t="s">
        <v>2883</v>
      </c>
      <c r="L277" s="4"/>
      <c r="M277" s="4"/>
      <c r="N277" s="4"/>
      <c r="O277" s="4"/>
      <c r="P277" s="4"/>
      <c r="Q277" s="4"/>
      <c r="R277" s="4"/>
      <c r="S277" s="4"/>
      <c r="T277" s="4"/>
      <c r="U277" s="4"/>
      <c r="V277" s="4"/>
      <c r="W277" s="4"/>
      <c r="X277" s="4"/>
      <c r="Y277" s="4"/>
      <c r="Z277" s="4"/>
    </row>
    <row r="278">
      <c r="A278" s="33" t="s">
        <v>477</v>
      </c>
      <c r="B278" s="2" t="s">
        <v>2884</v>
      </c>
      <c r="C278" s="2" t="s">
        <v>2885</v>
      </c>
      <c r="D278" s="2" t="s">
        <v>2886</v>
      </c>
      <c r="E278" s="2" t="s">
        <v>23</v>
      </c>
      <c r="F278" s="2" t="s">
        <v>426</v>
      </c>
      <c r="G278" s="92">
        <v>45973.42586699074</v>
      </c>
      <c r="H278" s="92">
        <v>45973.460923032406</v>
      </c>
      <c r="I278" s="2" t="s">
        <v>478</v>
      </c>
      <c r="J278" s="93" t="s">
        <v>2887</v>
      </c>
      <c r="K278" s="2" t="s">
        <v>2888</v>
      </c>
      <c r="L278" s="4"/>
      <c r="M278" s="4"/>
      <c r="N278" s="4"/>
      <c r="O278" s="4"/>
      <c r="P278" s="4"/>
      <c r="Q278" s="4"/>
      <c r="R278" s="4"/>
      <c r="S278" s="4"/>
      <c r="T278" s="4"/>
      <c r="U278" s="4"/>
      <c r="V278" s="4"/>
      <c r="W278" s="4"/>
      <c r="X278" s="4"/>
      <c r="Y278" s="4"/>
      <c r="Z278" s="4"/>
    </row>
    <row r="279">
      <c r="A279" s="33" t="s">
        <v>437</v>
      </c>
      <c r="B279" s="2" t="s">
        <v>2889</v>
      </c>
      <c r="C279" s="2" t="s">
        <v>2890</v>
      </c>
      <c r="D279" s="2" t="s">
        <v>2891</v>
      </c>
      <c r="E279" s="2" t="s">
        <v>35</v>
      </c>
      <c r="F279" s="2" t="s">
        <v>426</v>
      </c>
      <c r="G279" s="92">
        <v>45973.388876365745</v>
      </c>
      <c r="H279" s="92">
        <v>45973.4664522338</v>
      </c>
      <c r="I279" s="2" t="s">
        <v>438</v>
      </c>
      <c r="J279" s="93" t="s">
        <v>2892</v>
      </c>
      <c r="K279" s="2" t="s">
        <v>2893</v>
      </c>
      <c r="L279" s="4"/>
      <c r="M279" s="4"/>
      <c r="N279" s="4"/>
      <c r="O279" s="4"/>
      <c r="P279" s="4"/>
      <c r="Q279" s="4"/>
      <c r="R279" s="4"/>
      <c r="S279" s="4"/>
      <c r="T279" s="4"/>
      <c r="U279" s="4"/>
      <c r="V279" s="4"/>
      <c r="W279" s="4"/>
      <c r="X279" s="4"/>
      <c r="Y279" s="4"/>
      <c r="Z279" s="4"/>
    </row>
    <row r="280">
      <c r="A280" s="33" t="s">
        <v>335</v>
      </c>
      <c r="B280" s="2" t="s">
        <v>336</v>
      </c>
      <c r="C280" s="2" t="s">
        <v>337</v>
      </c>
      <c r="D280" s="2" t="s">
        <v>338</v>
      </c>
      <c r="E280" s="2" t="s">
        <v>33</v>
      </c>
      <c r="F280" s="2" t="s">
        <v>331</v>
      </c>
      <c r="G280" s="92">
        <v>45973.384980057876</v>
      </c>
      <c r="H280" s="92">
        <v>45973.472300208334</v>
      </c>
      <c r="I280" s="2" t="s">
        <v>339</v>
      </c>
      <c r="J280" s="93" t="s">
        <v>340</v>
      </c>
      <c r="K280" s="93" t="s">
        <v>341</v>
      </c>
      <c r="L280" s="4"/>
      <c r="M280" s="4"/>
      <c r="N280" s="4"/>
      <c r="O280" s="4"/>
      <c r="P280" s="4"/>
      <c r="Q280" s="4"/>
      <c r="R280" s="4"/>
      <c r="S280" s="4"/>
      <c r="T280" s="4"/>
      <c r="U280" s="4"/>
      <c r="V280" s="4"/>
      <c r="W280" s="4"/>
      <c r="X280" s="4"/>
      <c r="Y280" s="4"/>
      <c r="Z280" s="4"/>
    </row>
    <row r="281">
      <c r="A281" s="33" t="s">
        <v>489</v>
      </c>
      <c r="B281" s="2" t="s">
        <v>2894</v>
      </c>
      <c r="C281" s="2" t="s">
        <v>2895</v>
      </c>
      <c r="D281" s="2" t="s">
        <v>2896</v>
      </c>
      <c r="E281" s="2" t="s">
        <v>23</v>
      </c>
      <c r="F281" s="2" t="s">
        <v>426</v>
      </c>
      <c r="G281" s="92">
        <v>45973.47027305556</v>
      </c>
      <c r="H281" s="92">
        <v>45973.49242016204</v>
      </c>
      <c r="I281" s="2" t="s">
        <v>235</v>
      </c>
      <c r="J281" s="93" t="s">
        <v>2897</v>
      </c>
      <c r="K281" s="2" t="s">
        <v>2898</v>
      </c>
      <c r="L281" s="4"/>
      <c r="M281" s="4"/>
      <c r="N281" s="4"/>
      <c r="O281" s="4"/>
      <c r="P281" s="4"/>
      <c r="Q281" s="4"/>
      <c r="R281" s="4"/>
      <c r="S281" s="4"/>
      <c r="T281" s="4"/>
      <c r="U281" s="4"/>
      <c r="V281" s="4"/>
      <c r="W281" s="4"/>
      <c r="X281" s="4"/>
      <c r="Y281" s="4"/>
      <c r="Z281" s="4"/>
    </row>
    <row r="282">
      <c r="A282" s="33" t="s">
        <v>357</v>
      </c>
      <c r="B282" s="2" t="s">
        <v>358</v>
      </c>
      <c r="C282" s="2" t="s">
        <v>359</v>
      </c>
      <c r="D282" s="2" t="s">
        <v>360</v>
      </c>
      <c r="E282" s="2" t="s">
        <v>19</v>
      </c>
      <c r="F282" s="2" t="s">
        <v>346</v>
      </c>
      <c r="G282" s="3">
        <v>45973.42681146991</v>
      </c>
      <c r="H282" s="92">
        <v>45973.49275800926</v>
      </c>
      <c r="I282" s="2" t="s">
        <v>361</v>
      </c>
      <c r="J282" s="93" t="s">
        <v>362</v>
      </c>
      <c r="K282" s="2" t="s">
        <v>363</v>
      </c>
      <c r="L282" s="4"/>
      <c r="M282" s="4"/>
      <c r="N282" s="4"/>
      <c r="O282" s="4"/>
      <c r="P282" s="4"/>
      <c r="Q282" s="4"/>
      <c r="R282" s="4"/>
      <c r="S282" s="4"/>
      <c r="T282" s="4"/>
      <c r="U282" s="4"/>
      <c r="V282" s="4"/>
      <c r="W282" s="4"/>
      <c r="X282" s="4"/>
      <c r="Y282" s="4"/>
      <c r="Z282" s="4"/>
    </row>
    <row r="283">
      <c r="A283" s="33" t="s">
        <v>488</v>
      </c>
      <c r="B283" s="2" t="s">
        <v>2899</v>
      </c>
      <c r="C283" s="2" t="s">
        <v>2900</v>
      </c>
      <c r="D283" s="2" t="s">
        <v>2901</v>
      </c>
      <c r="E283" s="2" t="s">
        <v>23</v>
      </c>
      <c r="F283" s="2" t="s">
        <v>426</v>
      </c>
      <c r="G283" s="92">
        <v>45973.49257362269</v>
      </c>
      <c r="H283" s="92">
        <v>45973.506487314815</v>
      </c>
      <c r="I283" s="2" t="s">
        <v>192</v>
      </c>
      <c r="J283" s="93" t="s">
        <v>2902</v>
      </c>
      <c r="K283" s="2" t="s">
        <v>2903</v>
      </c>
      <c r="L283" s="4"/>
      <c r="M283" s="4"/>
      <c r="N283" s="4"/>
      <c r="O283" s="4"/>
      <c r="P283" s="4"/>
      <c r="Q283" s="4"/>
      <c r="R283" s="4"/>
      <c r="S283" s="4"/>
      <c r="T283" s="4"/>
      <c r="U283" s="4"/>
      <c r="V283" s="4"/>
      <c r="W283" s="4"/>
      <c r="X283" s="4"/>
      <c r="Y283" s="4"/>
      <c r="Z283" s="4"/>
    </row>
    <row r="284">
      <c r="A284" s="33" t="s">
        <v>519</v>
      </c>
      <c r="B284" s="2" t="s">
        <v>2904</v>
      </c>
      <c r="C284" s="2" t="s">
        <v>2905</v>
      </c>
      <c r="D284" s="2" t="s">
        <v>2906</v>
      </c>
      <c r="E284" s="2" t="s">
        <v>17</v>
      </c>
      <c r="F284" s="2" t="s">
        <v>426</v>
      </c>
      <c r="G284" s="92">
        <v>45973.45379478009</v>
      </c>
      <c r="H284" s="92">
        <v>45973.51170538194</v>
      </c>
      <c r="I284" s="2" t="s">
        <v>520</v>
      </c>
      <c r="J284" s="93" t="s">
        <v>2907</v>
      </c>
      <c r="K284" s="2" t="s">
        <v>2908</v>
      </c>
      <c r="L284" s="4"/>
      <c r="M284" s="4"/>
      <c r="N284" s="4"/>
      <c r="O284" s="4"/>
      <c r="P284" s="4"/>
      <c r="Q284" s="4"/>
      <c r="R284" s="4"/>
      <c r="S284" s="4"/>
      <c r="T284" s="4"/>
      <c r="U284" s="4"/>
      <c r="V284" s="4"/>
      <c r="W284" s="4"/>
      <c r="X284" s="4"/>
      <c r="Y284" s="4"/>
      <c r="Z284" s="4"/>
    </row>
    <row r="285">
      <c r="A285" s="33" t="s">
        <v>384</v>
      </c>
      <c r="B285" s="2" t="s">
        <v>385</v>
      </c>
      <c r="C285" s="2" t="s">
        <v>386</v>
      </c>
      <c r="D285" s="2" t="s">
        <v>387</v>
      </c>
      <c r="E285" s="2" t="s">
        <v>45</v>
      </c>
      <c r="F285" s="2" t="s">
        <v>382</v>
      </c>
      <c r="G285" s="92">
        <v>45973.47436578704</v>
      </c>
      <c r="H285" s="92">
        <v>45973.5147794213</v>
      </c>
      <c r="I285" s="2" t="s">
        <v>388</v>
      </c>
      <c r="J285" s="17"/>
      <c r="K285" s="17"/>
      <c r="L285" s="9" t="s">
        <v>39</v>
      </c>
      <c r="M285" s="4"/>
      <c r="N285" s="4"/>
      <c r="O285" s="4"/>
      <c r="P285" s="4"/>
      <c r="Q285" s="4"/>
      <c r="R285" s="4"/>
      <c r="S285" s="4"/>
      <c r="T285" s="4"/>
      <c r="U285" s="4"/>
      <c r="V285" s="4"/>
      <c r="W285" s="4"/>
      <c r="X285" s="4"/>
      <c r="Y285" s="4"/>
      <c r="Z285" s="4"/>
    </row>
    <row r="286">
      <c r="A286" s="33" t="s">
        <v>469</v>
      </c>
      <c r="B286" s="2" t="s">
        <v>2909</v>
      </c>
      <c r="C286" s="2" t="s">
        <v>2910</v>
      </c>
      <c r="D286" s="2" t="s">
        <v>2911</v>
      </c>
      <c r="E286" s="2" t="s">
        <v>29</v>
      </c>
      <c r="F286" s="2" t="s">
        <v>426</v>
      </c>
      <c r="G286" s="92">
        <v>45973.435783587964</v>
      </c>
      <c r="H286" s="92">
        <v>45973.52721693287</v>
      </c>
      <c r="I286" s="2" t="s">
        <v>393</v>
      </c>
      <c r="J286" s="93" t="s">
        <v>2912</v>
      </c>
      <c r="K286" s="93" t="s">
        <v>2913</v>
      </c>
      <c r="L286" s="4"/>
      <c r="M286" s="4"/>
      <c r="N286" s="4"/>
      <c r="O286" s="4"/>
      <c r="P286" s="4"/>
      <c r="Q286" s="4"/>
      <c r="R286" s="4"/>
      <c r="S286" s="4"/>
      <c r="T286" s="4"/>
      <c r="U286" s="4"/>
      <c r="V286" s="4"/>
      <c r="W286" s="4"/>
      <c r="X286" s="4"/>
      <c r="Y286" s="4"/>
      <c r="Z286" s="4"/>
    </row>
    <row r="287">
      <c r="A287" s="33" t="s">
        <v>534</v>
      </c>
      <c r="B287" s="2" t="s">
        <v>2914</v>
      </c>
      <c r="C287" s="2" t="s">
        <v>2915</v>
      </c>
      <c r="D287" s="2" t="s">
        <v>2916</v>
      </c>
      <c r="E287" s="2" t="s">
        <v>21</v>
      </c>
      <c r="F287" s="2" t="s">
        <v>526</v>
      </c>
      <c r="G287" s="3">
        <v>45973.47095942129</v>
      </c>
      <c r="H287" s="3">
        <v>45973.52740074074</v>
      </c>
      <c r="I287" s="2" t="s">
        <v>398</v>
      </c>
      <c r="J287" s="93" t="s">
        <v>2917</v>
      </c>
      <c r="K287" s="2" t="s">
        <v>2918</v>
      </c>
      <c r="L287" s="4"/>
      <c r="M287" s="4"/>
      <c r="N287" s="4"/>
      <c r="O287" s="4"/>
      <c r="P287" s="4"/>
      <c r="Q287" s="4"/>
      <c r="R287" s="4"/>
      <c r="S287" s="4"/>
      <c r="T287" s="4"/>
      <c r="U287" s="4"/>
      <c r="V287" s="4"/>
      <c r="W287" s="4"/>
      <c r="X287" s="4"/>
      <c r="Y287" s="4"/>
      <c r="Z287" s="4"/>
    </row>
    <row r="288">
      <c r="A288" s="33" t="s">
        <v>439</v>
      </c>
      <c r="B288" s="2" t="s">
        <v>2919</v>
      </c>
      <c r="C288" s="2" t="s">
        <v>2920</v>
      </c>
      <c r="D288" s="2" t="s">
        <v>2921</v>
      </c>
      <c r="E288" s="2" t="s">
        <v>25</v>
      </c>
      <c r="F288" s="2" t="s">
        <v>426</v>
      </c>
      <c r="G288" s="92">
        <v>45973.44703039352</v>
      </c>
      <c r="H288" s="92">
        <v>45973.529896238426</v>
      </c>
      <c r="I288" s="2" t="s">
        <v>440</v>
      </c>
      <c r="J288" s="93" t="s">
        <v>2922</v>
      </c>
      <c r="K288" s="2" t="s">
        <v>2923</v>
      </c>
      <c r="L288" s="4"/>
      <c r="M288" s="4"/>
      <c r="N288" s="4"/>
      <c r="O288" s="4"/>
      <c r="P288" s="4"/>
      <c r="Q288" s="4"/>
      <c r="R288" s="4"/>
      <c r="S288" s="4"/>
      <c r="T288" s="4"/>
      <c r="U288" s="4"/>
      <c r="V288" s="4"/>
      <c r="W288" s="4"/>
      <c r="X288" s="4"/>
      <c r="Y288" s="4"/>
      <c r="Z288" s="4"/>
    </row>
    <row r="289">
      <c r="A289" s="33" t="s">
        <v>460</v>
      </c>
      <c r="B289" s="2" t="s">
        <v>2924</v>
      </c>
      <c r="C289" s="2" t="s">
        <v>2925</v>
      </c>
      <c r="D289" s="2" t="s">
        <v>2926</v>
      </c>
      <c r="E289" s="2" t="s">
        <v>27</v>
      </c>
      <c r="F289" s="2" t="s">
        <v>426</v>
      </c>
      <c r="G289" s="92">
        <v>45973.46958739583</v>
      </c>
      <c r="H289" s="92">
        <v>45973.53769671296</v>
      </c>
      <c r="I289" s="2" t="s">
        <v>461</v>
      </c>
      <c r="J289" s="93" t="s">
        <v>2927</v>
      </c>
      <c r="K289" s="2" t="s">
        <v>2928</v>
      </c>
      <c r="L289" s="4"/>
      <c r="M289" s="4"/>
      <c r="N289" s="4"/>
      <c r="O289" s="4"/>
      <c r="P289" s="4"/>
      <c r="Q289" s="4"/>
      <c r="R289" s="4"/>
      <c r="S289" s="4"/>
      <c r="T289" s="4"/>
      <c r="U289" s="4"/>
      <c r="V289" s="4"/>
      <c r="W289" s="4"/>
      <c r="X289" s="4"/>
      <c r="Y289" s="4"/>
      <c r="Z289" s="4"/>
    </row>
    <row r="290">
      <c r="A290" s="33" t="s">
        <v>468</v>
      </c>
      <c r="B290" s="2" t="s">
        <v>2929</v>
      </c>
      <c r="C290" s="2" t="s">
        <v>2117</v>
      </c>
      <c r="D290" s="2" t="s">
        <v>2118</v>
      </c>
      <c r="E290" s="2" t="s">
        <v>41</v>
      </c>
      <c r="F290" s="2" t="s">
        <v>426</v>
      </c>
      <c r="G290" s="92">
        <v>45973.45962447917</v>
      </c>
      <c r="H290" s="92">
        <v>45973.54833799769</v>
      </c>
      <c r="I290" s="2" t="s">
        <v>467</v>
      </c>
      <c r="J290" s="93" t="s">
        <v>2120</v>
      </c>
      <c r="K290" s="2" t="s">
        <v>2121</v>
      </c>
      <c r="L290" s="4"/>
      <c r="M290" s="4"/>
      <c r="N290" s="4"/>
      <c r="O290" s="4"/>
      <c r="P290" s="4"/>
      <c r="Q290" s="4"/>
      <c r="R290" s="4"/>
      <c r="S290" s="4"/>
      <c r="T290" s="4"/>
      <c r="U290" s="4"/>
      <c r="V290" s="4"/>
      <c r="W290" s="4"/>
      <c r="X290" s="4"/>
      <c r="Y290" s="4"/>
      <c r="Z290" s="4"/>
    </row>
    <row r="291">
      <c r="A291" s="33" t="s">
        <v>412</v>
      </c>
      <c r="B291" s="2" t="s">
        <v>413</v>
      </c>
      <c r="C291" s="2" t="s">
        <v>414</v>
      </c>
      <c r="D291" s="2" t="s">
        <v>415</v>
      </c>
      <c r="E291" s="2" t="s">
        <v>33</v>
      </c>
      <c r="F291" s="2" t="s">
        <v>408</v>
      </c>
      <c r="G291" s="92">
        <v>45973.50096106481</v>
      </c>
      <c r="H291" s="92">
        <v>45973.548692094904</v>
      </c>
      <c r="I291" s="2" t="s">
        <v>416</v>
      </c>
      <c r="J291" s="93" t="s">
        <v>417</v>
      </c>
      <c r="K291" s="2" t="s">
        <v>418</v>
      </c>
      <c r="L291" s="4"/>
      <c r="M291" s="4"/>
      <c r="N291" s="4"/>
      <c r="O291" s="4"/>
      <c r="P291" s="4"/>
      <c r="Q291" s="4"/>
      <c r="R291" s="4"/>
      <c r="S291" s="4"/>
      <c r="T291" s="4"/>
      <c r="U291" s="4"/>
      <c r="V291" s="4"/>
      <c r="W291" s="4"/>
      <c r="X291" s="4"/>
      <c r="Y291" s="4"/>
      <c r="Z291" s="4"/>
    </row>
    <row r="292">
      <c r="A292" s="33" t="s">
        <v>404</v>
      </c>
      <c r="B292" s="2" t="s">
        <v>405</v>
      </c>
      <c r="C292" s="2" t="s">
        <v>406</v>
      </c>
      <c r="D292" s="2" t="s">
        <v>407</v>
      </c>
      <c r="E292" s="2" t="s">
        <v>23</v>
      </c>
      <c r="F292" s="2" t="s">
        <v>408</v>
      </c>
      <c r="G292" s="92">
        <v>45973.54761795139</v>
      </c>
      <c r="H292" s="92">
        <v>45973.54969337963</v>
      </c>
      <c r="I292" s="2" t="s">
        <v>409</v>
      </c>
      <c r="J292" s="93" t="s">
        <v>410</v>
      </c>
      <c r="K292" s="93" t="s">
        <v>411</v>
      </c>
      <c r="L292" s="9" t="s">
        <v>21</v>
      </c>
      <c r="M292" s="4"/>
      <c r="N292" s="4"/>
      <c r="O292" s="4"/>
      <c r="P292" s="4"/>
      <c r="Q292" s="4"/>
      <c r="R292" s="4"/>
      <c r="S292" s="4"/>
      <c r="T292" s="4"/>
      <c r="U292" s="4"/>
      <c r="V292" s="4"/>
      <c r="W292" s="4"/>
      <c r="X292" s="4"/>
      <c r="Y292" s="4"/>
      <c r="Z292" s="4"/>
    </row>
    <row r="293">
      <c r="A293" s="33" t="s">
        <v>518</v>
      </c>
      <c r="B293" s="2" t="s">
        <v>2930</v>
      </c>
      <c r="C293" s="2" t="s">
        <v>2931</v>
      </c>
      <c r="D293" s="2" t="s">
        <v>2932</v>
      </c>
      <c r="E293" s="2" t="s">
        <v>35</v>
      </c>
      <c r="F293" s="2" t="s">
        <v>426</v>
      </c>
      <c r="G293" s="92">
        <v>45973.48719623843</v>
      </c>
      <c r="H293" s="92">
        <v>45973.55861472222</v>
      </c>
      <c r="I293" s="2" t="s">
        <v>82</v>
      </c>
      <c r="J293" s="93" t="s">
        <v>2933</v>
      </c>
      <c r="K293" s="2" t="s">
        <v>2934</v>
      </c>
      <c r="L293" s="4"/>
      <c r="M293" s="4"/>
      <c r="N293" s="4"/>
      <c r="O293" s="4"/>
      <c r="P293" s="4"/>
      <c r="Q293" s="4"/>
      <c r="R293" s="4"/>
      <c r="S293" s="4"/>
      <c r="T293" s="4"/>
      <c r="U293" s="4"/>
      <c r="V293" s="4"/>
      <c r="W293" s="4"/>
      <c r="X293" s="4"/>
      <c r="Y293" s="4"/>
      <c r="Z293" s="4"/>
    </row>
    <row r="294">
      <c r="A294" s="33" t="s">
        <v>451</v>
      </c>
      <c r="B294" s="2" t="s">
        <v>2935</v>
      </c>
      <c r="C294" s="2" t="s">
        <v>2936</v>
      </c>
      <c r="D294" s="2" t="s">
        <v>2937</v>
      </c>
      <c r="E294" s="2" t="s">
        <v>31</v>
      </c>
      <c r="F294" s="2" t="s">
        <v>426</v>
      </c>
      <c r="G294" s="92">
        <v>45973.4546553588</v>
      </c>
      <c r="H294" s="92">
        <v>45973.56578821759</v>
      </c>
      <c r="I294" s="2" t="s">
        <v>452</v>
      </c>
      <c r="J294" s="93" t="s">
        <v>2938</v>
      </c>
      <c r="K294" s="2" t="s">
        <v>2939</v>
      </c>
      <c r="L294" s="9" t="s">
        <v>27</v>
      </c>
      <c r="M294" s="4"/>
      <c r="N294" s="4"/>
      <c r="O294" s="4"/>
      <c r="P294" s="4"/>
      <c r="Q294" s="4"/>
      <c r="R294" s="4"/>
      <c r="S294" s="4"/>
      <c r="T294" s="4"/>
      <c r="U294" s="4"/>
      <c r="V294" s="4"/>
      <c r="W294" s="4"/>
      <c r="X294" s="4"/>
      <c r="Y294" s="4"/>
      <c r="Z294" s="4"/>
    </row>
    <row r="295">
      <c r="A295" s="33" t="s">
        <v>492</v>
      </c>
      <c r="B295" s="2" t="s">
        <v>2940</v>
      </c>
      <c r="C295" s="2" t="s">
        <v>2941</v>
      </c>
      <c r="D295" s="2" t="s">
        <v>2942</v>
      </c>
      <c r="E295" s="2" t="s">
        <v>45</v>
      </c>
      <c r="F295" s="2" t="s">
        <v>426</v>
      </c>
      <c r="G295" s="92">
        <v>45973.51785143519</v>
      </c>
      <c r="H295" s="92">
        <v>45973.56751173611</v>
      </c>
      <c r="I295" s="2" t="s">
        <v>493</v>
      </c>
      <c r="J295" s="93" t="s">
        <v>2943</v>
      </c>
      <c r="K295" s="2" t="s">
        <v>2944</v>
      </c>
      <c r="L295" s="9" t="s">
        <v>39</v>
      </c>
      <c r="M295" s="4"/>
      <c r="N295" s="4"/>
      <c r="O295" s="4"/>
      <c r="P295" s="4"/>
      <c r="Q295" s="4"/>
      <c r="R295" s="4"/>
      <c r="S295" s="4"/>
      <c r="T295" s="4"/>
      <c r="U295" s="4"/>
      <c r="V295" s="4"/>
      <c r="W295" s="4"/>
      <c r="X295" s="4"/>
      <c r="Y295" s="4"/>
      <c r="Z295" s="4"/>
    </row>
    <row r="296">
      <c r="A296" s="33" t="s">
        <v>419</v>
      </c>
      <c r="B296" s="2" t="s">
        <v>420</v>
      </c>
      <c r="C296" s="2" t="s">
        <v>421</v>
      </c>
      <c r="D296" s="2" t="s">
        <v>422</v>
      </c>
      <c r="E296" s="2" t="s">
        <v>19</v>
      </c>
      <c r="F296" s="2" t="s">
        <v>408</v>
      </c>
      <c r="G296" s="3">
        <v>45973.51489910879</v>
      </c>
      <c r="H296" s="92">
        <v>45973.582429999995</v>
      </c>
      <c r="I296" s="2" t="s">
        <v>332</v>
      </c>
      <c r="J296" s="93" t="s">
        <v>423</v>
      </c>
      <c r="K296" s="2" t="s">
        <v>424</v>
      </c>
      <c r="L296" s="9" t="s">
        <v>19</v>
      </c>
      <c r="M296" s="4"/>
      <c r="N296" s="4"/>
      <c r="O296" s="4"/>
      <c r="P296" s="4"/>
      <c r="Q296" s="4"/>
      <c r="R296" s="4"/>
      <c r="S296" s="4"/>
      <c r="T296" s="4"/>
      <c r="U296" s="4"/>
      <c r="V296" s="4"/>
      <c r="W296" s="4"/>
      <c r="X296" s="4"/>
      <c r="Y296" s="4"/>
      <c r="Z296" s="4"/>
    </row>
    <row r="297">
      <c r="A297" s="33" t="s">
        <v>533</v>
      </c>
      <c r="B297" s="2" t="s">
        <v>2945</v>
      </c>
      <c r="C297" s="2" t="s">
        <v>2946</v>
      </c>
      <c r="D297" s="2" t="s">
        <v>2947</v>
      </c>
      <c r="E297" s="2" t="s">
        <v>21</v>
      </c>
      <c r="F297" s="2" t="s">
        <v>526</v>
      </c>
      <c r="G297" s="3">
        <v>45973.55493762731</v>
      </c>
      <c r="H297" s="3">
        <v>45973.59280190972</v>
      </c>
      <c r="I297" s="2" t="s">
        <v>491</v>
      </c>
      <c r="J297" s="93" t="s">
        <v>2948</v>
      </c>
      <c r="K297" s="2" t="s">
        <v>2949</v>
      </c>
      <c r="L297" s="4"/>
      <c r="M297" s="4"/>
      <c r="N297" s="4"/>
      <c r="O297" s="4"/>
      <c r="P297" s="4"/>
      <c r="Q297" s="4"/>
      <c r="R297" s="4"/>
      <c r="S297" s="4"/>
      <c r="T297" s="4"/>
      <c r="U297" s="4"/>
      <c r="V297" s="4"/>
      <c r="W297" s="4"/>
      <c r="X297" s="4"/>
      <c r="Y297" s="4"/>
      <c r="Z297" s="4"/>
    </row>
    <row r="298">
      <c r="A298" s="33" t="s">
        <v>551</v>
      </c>
      <c r="B298" s="2" t="s">
        <v>2950</v>
      </c>
      <c r="C298" s="2" t="s">
        <v>2951</v>
      </c>
      <c r="D298" s="2" t="s">
        <v>2952</v>
      </c>
      <c r="E298" s="2" t="s">
        <v>19</v>
      </c>
      <c r="F298" s="2" t="s">
        <v>526</v>
      </c>
      <c r="G298" s="3">
        <v>45973.593358831014</v>
      </c>
      <c r="H298" s="92">
        <v>45973.60276861111</v>
      </c>
      <c r="I298" s="2" t="s">
        <v>515</v>
      </c>
      <c r="J298" s="93" t="s">
        <v>2953</v>
      </c>
      <c r="K298" s="2" t="s">
        <v>2954</v>
      </c>
      <c r="L298" s="4"/>
      <c r="M298" s="4"/>
      <c r="N298" s="4"/>
      <c r="O298" s="4"/>
      <c r="P298" s="4"/>
      <c r="Q298" s="4"/>
      <c r="R298" s="4"/>
      <c r="S298" s="4"/>
      <c r="T298" s="4"/>
      <c r="U298" s="4"/>
      <c r="V298" s="4"/>
      <c r="W298" s="4"/>
      <c r="X298" s="4"/>
      <c r="Y298" s="4"/>
      <c r="Z298" s="4"/>
    </row>
    <row r="299">
      <c r="A299" s="33" t="s">
        <v>453</v>
      </c>
      <c r="B299" s="2" t="s">
        <v>2955</v>
      </c>
      <c r="C299" s="2" t="s">
        <v>2956</v>
      </c>
      <c r="D299" s="2" t="s">
        <v>2957</v>
      </c>
      <c r="E299" s="2" t="s">
        <v>27</v>
      </c>
      <c r="F299" s="2" t="s">
        <v>426</v>
      </c>
      <c r="G299" s="92">
        <v>45973.53798072917</v>
      </c>
      <c r="H299" s="92">
        <v>45973.608465219906</v>
      </c>
      <c r="I299" s="2" t="s">
        <v>454</v>
      </c>
      <c r="J299" s="93" t="s">
        <v>2958</v>
      </c>
      <c r="K299" s="2" t="s">
        <v>2959</v>
      </c>
      <c r="L299" s="4"/>
      <c r="M299" s="4"/>
      <c r="N299" s="4"/>
      <c r="O299" s="4"/>
      <c r="P299" s="4"/>
      <c r="Q299" s="4"/>
      <c r="R299" s="4"/>
      <c r="S299" s="4"/>
      <c r="T299" s="4"/>
      <c r="U299" s="4"/>
      <c r="V299" s="4"/>
      <c r="W299" s="4"/>
      <c r="X299" s="4"/>
      <c r="Y299" s="4"/>
      <c r="Z299" s="4"/>
    </row>
    <row r="300">
      <c r="A300" s="33" t="s">
        <v>425</v>
      </c>
      <c r="B300" s="2" t="s">
        <v>2960</v>
      </c>
      <c r="C300" s="2" t="s">
        <v>2961</v>
      </c>
      <c r="D300" s="2" t="s">
        <v>2962</v>
      </c>
      <c r="E300" s="2" t="s">
        <v>29</v>
      </c>
      <c r="F300" s="2" t="s">
        <v>426</v>
      </c>
      <c r="G300" s="92">
        <v>45973.54779642361</v>
      </c>
      <c r="H300" s="92">
        <v>45973.62455998843</v>
      </c>
      <c r="I300" s="2" t="s">
        <v>427</v>
      </c>
      <c r="J300" s="93" t="s">
        <v>2963</v>
      </c>
      <c r="K300" s="2" t="s">
        <v>2964</v>
      </c>
      <c r="L300" s="4"/>
      <c r="M300" s="4"/>
      <c r="N300" s="4"/>
      <c r="O300" s="4"/>
      <c r="P300" s="4"/>
      <c r="Q300" s="4"/>
      <c r="R300" s="4"/>
      <c r="S300" s="4"/>
      <c r="T300" s="4"/>
      <c r="U300" s="4"/>
      <c r="V300" s="4"/>
      <c r="W300" s="4"/>
      <c r="X300" s="4"/>
      <c r="Y300" s="4"/>
      <c r="Z300" s="4"/>
    </row>
    <row r="301">
      <c r="A301" s="33" t="s">
        <v>528</v>
      </c>
      <c r="B301" s="2" t="s">
        <v>2965</v>
      </c>
      <c r="C301" s="2" t="s">
        <v>2966</v>
      </c>
      <c r="D301" s="2" t="s">
        <v>2967</v>
      </c>
      <c r="E301" s="2" t="s">
        <v>35</v>
      </c>
      <c r="F301" s="2" t="s">
        <v>526</v>
      </c>
      <c r="G301" s="92">
        <v>45973.575473599536</v>
      </c>
      <c r="H301" s="92">
        <v>45973.62514113426</v>
      </c>
      <c r="I301" s="2" t="s">
        <v>493</v>
      </c>
      <c r="J301" s="93" t="s">
        <v>2968</v>
      </c>
      <c r="K301" s="2" t="s">
        <v>2969</v>
      </c>
      <c r="L301" s="4"/>
      <c r="M301" s="4"/>
      <c r="N301" s="4"/>
      <c r="O301" s="4"/>
      <c r="P301" s="4"/>
      <c r="Q301" s="4"/>
      <c r="R301" s="4"/>
      <c r="S301" s="4"/>
      <c r="T301" s="4"/>
      <c r="U301" s="4"/>
      <c r="V301" s="4"/>
      <c r="W301" s="4"/>
      <c r="X301" s="4"/>
      <c r="Y301" s="4"/>
      <c r="Z301" s="4"/>
    </row>
    <row r="302">
      <c r="A302" s="33" t="s">
        <v>479</v>
      </c>
      <c r="B302" s="2" t="s">
        <v>2970</v>
      </c>
      <c r="C302" s="2" t="s">
        <v>2971</v>
      </c>
      <c r="D302" s="2" t="s">
        <v>2972</v>
      </c>
      <c r="E302" s="2" t="s">
        <v>41</v>
      </c>
      <c r="F302" s="2" t="s">
        <v>426</v>
      </c>
      <c r="G302" s="92">
        <v>45973.59422168981</v>
      </c>
      <c r="H302" s="92">
        <v>45973.625602280095</v>
      </c>
      <c r="I302" s="2" t="s">
        <v>167</v>
      </c>
      <c r="J302" s="93" t="s">
        <v>2973</v>
      </c>
      <c r="K302" s="2" t="s">
        <v>2974</v>
      </c>
      <c r="L302" s="4"/>
      <c r="M302" s="4"/>
      <c r="N302" s="4"/>
      <c r="O302" s="4"/>
      <c r="P302" s="4"/>
      <c r="Q302" s="4"/>
      <c r="R302" s="4"/>
      <c r="S302" s="4"/>
      <c r="T302" s="4"/>
      <c r="U302" s="4"/>
      <c r="V302" s="4"/>
      <c r="W302" s="4"/>
      <c r="X302" s="4"/>
      <c r="Y302" s="4"/>
      <c r="Z302" s="4"/>
    </row>
    <row r="303">
      <c r="A303" s="33" t="s">
        <v>389</v>
      </c>
      <c r="B303" s="2" t="s">
        <v>390</v>
      </c>
      <c r="C303" s="2" t="s">
        <v>391</v>
      </c>
      <c r="D303" s="2" t="s">
        <v>392</v>
      </c>
      <c r="E303" s="2" t="s">
        <v>17</v>
      </c>
      <c r="F303" s="2" t="s">
        <v>382</v>
      </c>
      <c r="G303" s="92">
        <v>45973.546032708335</v>
      </c>
      <c r="H303" s="92">
        <v>45973.637600601855</v>
      </c>
      <c r="I303" s="2" t="s">
        <v>393</v>
      </c>
      <c r="J303" s="17"/>
      <c r="K303" s="17"/>
      <c r="L303" s="4"/>
      <c r="M303" s="4"/>
      <c r="N303" s="4"/>
      <c r="O303" s="4"/>
      <c r="P303" s="4"/>
      <c r="Q303" s="4"/>
      <c r="R303" s="4"/>
      <c r="S303" s="4"/>
      <c r="T303" s="4"/>
      <c r="U303" s="4"/>
      <c r="V303" s="4"/>
      <c r="W303" s="4"/>
      <c r="X303" s="4"/>
      <c r="Y303" s="4"/>
      <c r="Z303" s="4"/>
    </row>
    <row r="304">
      <c r="A304" s="33" t="s">
        <v>498</v>
      </c>
      <c r="B304" s="2" t="s">
        <v>2975</v>
      </c>
      <c r="C304" s="2" t="s">
        <v>2976</v>
      </c>
      <c r="D304" s="2" t="s">
        <v>2977</v>
      </c>
      <c r="E304" s="2" t="s">
        <v>31</v>
      </c>
      <c r="F304" s="2" t="s">
        <v>426</v>
      </c>
      <c r="G304" s="92">
        <v>45973.58509516204</v>
      </c>
      <c r="H304" s="92">
        <v>45973.64204491898</v>
      </c>
      <c r="I304" s="2" t="s">
        <v>499</v>
      </c>
      <c r="J304" s="93" t="s">
        <v>2978</v>
      </c>
      <c r="K304" s="2" t="s">
        <v>2979</v>
      </c>
      <c r="L304" s="9" t="s">
        <v>27</v>
      </c>
      <c r="M304" s="4"/>
      <c r="N304" s="4"/>
      <c r="O304" s="4"/>
      <c r="P304" s="4"/>
      <c r="Q304" s="4"/>
      <c r="R304" s="4"/>
      <c r="S304" s="4"/>
      <c r="T304" s="4"/>
      <c r="U304" s="4"/>
      <c r="V304" s="4"/>
      <c r="W304" s="4"/>
      <c r="X304" s="4"/>
      <c r="Y304" s="4"/>
      <c r="Z304" s="4"/>
    </row>
    <row r="305">
      <c r="A305" s="33" t="s">
        <v>394</v>
      </c>
      <c r="B305" s="2" t="s">
        <v>395</v>
      </c>
      <c r="C305" s="2" t="s">
        <v>396</v>
      </c>
      <c r="D305" s="2" t="s">
        <v>397</v>
      </c>
      <c r="E305" s="2" t="s">
        <v>45</v>
      </c>
      <c r="F305" s="2" t="s">
        <v>382</v>
      </c>
      <c r="G305" s="92">
        <v>45973.58740758101</v>
      </c>
      <c r="H305" s="92">
        <v>45973.64338112269</v>
      </c>
      <c r="I305" s="2" t="s">
        <v>398</v>
      </c>
      <c r="J305" s="17"/>
      <c r="K305" s="17"/>
      <c r="L305" s="9" t="s">
        <v>39</v>
      </c>
      <c r="M305" s="4"/>
      <c r="N305" s="4"/>
      <c r="O305" s="4"/>
      <c r="P305" s="4"/>
      <c r="Q305" s="4"/>
      <c r="R305" s="4"/>
      <c r="S305" s="4"/>
      <c r="T305" s="4"/>
      <c r="U305" s="4"/>
      <c r="V305" s="4"/>
      <c r="W305" s="4"/>
      <c r="X305" s="4"/>
      <c r="Y305" s="4"/>
      <c r="Z305" s="4"/>
    </row>
    <row r="306">
      <c r="A306" s="33" t="s">
        <v>350</v>
      </c>
      <c r="B306" s="2" t="s">
        <v>351</v>
      </c>
      <c r="C306" s="2" t="s">
        <v>352</v>
      </c>
      <c r="D306" s="2" t="s">
        <v>353</v>
      </c>
      <c r="E306" s="2" t="s">
        <v>33</v>
      </c>
      <c r="F306" s="2" t="s">
        <v>346</v>
      </c>
      <c r="G306" s="92">
        <v>45973.58241236111</v>
      </c>
      <c r="H306" s="92">
        <v>45973.65685738426</v>
      </c>
      <c r="I306" s="2" t="s">
        <v>354</v>
      </c>
      <c r="J306" s="93" t="s">
        <v>355</v>
      </c>
      <c r="K306" s="2" t="s">
        <v>356</v>
      </c>
      <c r="L306" s="9" t="s">
        <v>27</v>
      </c>
      <c r="M306" s="4"/>
      <c r="N306" s="4"/>
      <c r="O306" s="4"/>
      <c r="P306" s="4"/>
      <c r="Q306" s="4"/>
      <c r="R306" s="4"/>
      <c r="S306" s="4"/>
      <c r="T306" s="4"/>
      <c r="U306" s="4"/>
      <c r="V306" s="4"/>
      <c r="W306" s="4"/>
      <c r="X306" s="4"/>
      <c r="Y306" s="4"/>
      <c r="Z306" s="4"/>
    </row>
    <row r="307">
      <c r="A307" s="33" t="s">
        <v>542</v>
      </c>
      <c r="B307" s="2" t="s">
        <v>2980</v>
      </c>
      <c r="C307" s="2" t="s">
        <v>2981</v>
      </c>
      <c r="D307" s="2" t="s">
        <v>2982</v>
      </c>
      <c r="E307" s="2" t="s">
        <v>25</v>
      </c>
      <c r="F307" s="2" t="s">
        <v>526</v>
      </c>
      <c r="G307" s="92">
        <v>45973.63851971064</v>
      </c>
      <c r="H307" s="92">
        <v>45973.65988747685</v>
      </c>
      <c r="I307" s="2" t="s">
        <v>543</v>
      </c>
      <c r="J307" s="93" t="s">
        <v>2983</v>
      </c>
      <c r="K307" s="2" t="s">
        <v>2984</v>
      </c>
      <c r="L307" s="4"/>
      <c r="M307" s="4"/>
      <c r="N307" s="4"/>
      <c r="O307" s="4"/>
      <c r="P307" s="4"/>
      <c r="Q307" s="4"/>
      <c r="R307" s="4"/>
      <c r="S307" s="4"/>
      <c r="T307" s="4"/>
      <c r="U307" s="4"/>
      <c r="V307" s="4"/>
      <c r="W307" s="4"/>
      <c r="X307" s="4"/>
      <c r="Y307" s="4"/>
      <c r="Z307" s="4"/>
    </row>
    <row r="308">
      <c r="A308" s="33" t="s">
        <v>474</v>
      </c>
      <c r="B308" s="2" t="s">
        <v>2985</v>
      </c>
      <c r="C308" s="2" t="s">
        <v>2986</v>
      </c>
      <c r="D308" s="2" t="s">
        <v>2987</v>
      </c>
      <c r="E308" s="2" t="s">
        <v>19</v>
      </c>
      <c r="F308" s="2" t="s">
        <v>426</v>
      </c>
      <c r="G308" s="3">
        <v>45973.61091314815</v>
      </c>
      <c r="H308" s="92">
        <v>45973.66546740741</v>
      </c>
      <c r="I308" s="2" t="s">
        <v>475</v>
      </c>
      <c r="J308" s="93" t="s">
        <v>2988</v>
      </c>
      <c r="K308" s="2" t="s">
        <v>2989</v>
      </c>
      <c r="L308" s="4"/>
      <c r="M308" s="4"/>
      <c r="N308" s="4"/>
      <c r="O308" s="4"/>
      <c r="P308" s="4"/>
      <c r="Q308" s="4"/>
      <c r="R308" s="4"/>
      <c r="S308" s="4"/>
      <c r="T308" s="4"/>
      <c r="U308" s="4"/>
      <c r="V308" s="4"/>
      <c r="W308" s="4"/>
      <c r="X308" s="4"/>
      <c r="Y308" s="4"/>
      <c r="Z308" s="4"/>
    </row>
    <row r="309">
      <c r="A309" s="33" t="s">
        <v>530</v>
      </c>
      <c r="B309" s="2" t="s">
        <v>2990</v>
      </c>
      <c r="C309" s="2" t="s">
        <v>2991</v>
      </c>
      <c r="D309" s="2" t="s">
        <v>2992</v>
      </c>
      <c r="E309" s="2" t="s">
        <v>35</v>
      </c>
      <c r="F309" s="2" t="s">
        <v>526</v>
      </c>
      <c r="G309" s="92">
        <v>45973.65081489584</v>
      </c>
      <c r="H309" s="92">
        <v>45973.667585821764</v>
      </c>
      <c r="I309" s="2" t="s">
        <v>531</v>
      </c>
      <c r="J309" s="93" t="s">
        <v>2993</v>
      </c>
      <c r="K309" s="2" t="s">
        <v>2994</v>
      </c>
      <c r="L309" s="4"/>
      <c r="M309" s="4"/>
      <c r="N309" s="4"/>
      <c r="O309" s="4"/>
      <c r="P309" s="4"/>
      <c r="Q309" s="4"/>
      <c r="R309" s="4"/>
      <c r="S309" s="4"/>
      <c r="T309" s="4"/>
      <c r="U309" s="4"/>
      <c r="V309" s="4"/>
      <c r="W309" s="4"/>
      <c r="X309" s="4"/>
      <c r="Y309" s="4"/>
      <c r="Z309" s="4"/>
    </row>
    <row r="310">
      <c r="A310" s="33" t="s">
        <v>536</v>
      </c>
      <c r="B310" s="2" t="s">
        <v>2995</v>
      </c>
      <c r="C310" s="2" t="s">
        <v>2996</v>
      </c>
      <c r="D310" s="2" t="s">
        <v>2997</v>
      </c>
      <c r="E310" s="2" t="s">
        <v>21</v>
      </c>
      <c r="F310" s="2" t="s">
        <v>526</v>
      </c>
      <c r="G310" s="3">
        <v>45973.62133760417</v>
      </c>
      <c r="H310" s="3">
        <v>45973.674120763884</v>
      </c>
      <c r="I310" s="2" t="s">
        <v>123</v>
      </c>
      <c r="J310" s="93" t="s">
        <v>2998</v>
      </c>
      <c r="K310" s="2" t="s">
        <v>2999</v>
      </c>
      <c r="L310" s="4"/>
      <c r="M310" s="4"/>
      <c r="N310" s="4"/>
      <c r="O310" s="4"/>
      <c r="P310" s="4"/>
      <c r="Q310" s="4"/>
      <c r="R310" s="4"/>
      <c r="S310" s="4"/>
      <c r="T310" s="4"/>
      <c r="U310" s="4"/>
      <c r="V310" s="4"/>
      <c r="W310" s="4"/>
      <c r="X310" s="4"/>
      <c r="Y310" s="4"/>
      <c r="Z310" s="4"/>
    </row>
    <row r="311">
      <c r="A311" s="33" t="s">
        <v>455</v>
      </c>
      <c r="B311" s="2" t="s">
        <v>3000</v>
      </c>
      <c r="C311" s="2" t="s">
        <v>3001</v>
      </c>
      <c r="D311" s="2" t="s">
        <v>3002</v>
      </c>
      <c r="E311" s="2" t="s">
        <v>23</v>
      </c>
      <c r="F311" s="2" t="s">
        <v>426</v>
      </c>
      <c r="G311" s="92">
        <v>45973.59779763889</v>
      </c>
      <c r="H311" s="92">
        <v>45973.67746284722</v>
      </c>
      <c r="I311" s="2" t="s">
        <v>456</v>
      </c>
      <c r="J311" s="93" t="s">
        <v>3003</v>
      </c>
      <c r="K311" s="2" t="s">
        <v>3004</v>
      </c>
      <c r="L311" s="4"/>
      <c r="M311" s="4"/>
      <c r="N311" s="4"/>
      <c r="O311" s="4"/>
      <c r="P311" s="4"/>
      <c r="Q311" s="4"/>
      <c r="R311" s="4"/>
      <c r="S311" s="4"/>
      <c r="T311" s="4"/>
      <c r="U311" s="4"/>
      <c r="V311" s="4"/>
      <c r="W311" s="4"/>
      <c r="X311" s="4"/>
      <c r="Y311" s="4"/>
      <c r="Z311" s="4"/>
    </row>
    <row r="312">
      <c r="A312" s="33" t="s">
        <v>514</v>
      </c>
      <c r="B312" s="2" t="s">
        <v>3005</v>
      </c>
      <c r="C312" s="2" t="s">
        <v>2333</v>
      </c>
      <c r="D312" s="2" t="s">
        <v>2334</v>
      </c>
      <c r="E312" s="2" t="s">
        <v>25</v>
      </c>
      <c r="F312" s="2" t="s">
        <v>426</v>
      </c>
      <c r="G312" s="92">
        <v>45973.675442754626</v>
      </c>
      <c r="H312" s="92">
        <v>45973.68536087963</v>
      </c>
      <c r="I312" s="2" t="s">
        <v>515</v>
      </c>
      <c r="J312" s="93" t="s">
        <v>2335</v>
      </c>
      <c r="K312" s="2" t="s">
        <v>2336</v>
      </c>
      <c r="L312" s="4"/>
      <c r="M312" s="4"/>
      <c r="N312" s="4"/>
      <c r="O312" s="4"/>
      <c r="P312" s="4"/>
      <c r="Q312" s="4"/>
      <c r="R312" s="4"/>
      <c r="S312" s="4"/>
      <c r="T312" s="4"/>
      <c r="U312" s="4"/>
      <c r="V312" s="4"/>
      <c r="W312" s="4"/>
      <c r="X312" s="4"/>
      <c r="Y312" s="4"/>
      <c r="Z312" s="4"/>
    </row>
    <row r="313">
      <c r="A313" s="33" t="s">
        <v>532</v>
      </c>
      <c r="B313" s="2" t="s">
        <v>3006</v>
      </c>
      <c r="C313" s="2" t="s">
        <v>3007</v>
      </c>
      <c r="D313" s="2" t="s">
        <v>3008</v>
      </c>
      <c r="E313" s="2" t="s">
        <v>35</v>
      </c>
      <c r="F313" s="2" t="s">
        <v>526</v>
      </c>
      <c r="G313" s="92">
        <v>45973.66889223379</v>
      </c>
      <c r="H313" s="92">
        <v>45973.68753274306</v>
      </c>
      <c r="I313" s="2" t="s">
        <v>196</v>
      </c>
      <c r="J313" s="93" t="s">
        <v>3009</v>
      </c>
      <c r="K313" s="2" t="s">
        <v>3010</v>
      </c>
      <c r="L313" s="4"/>
      <c r="M313" s="4"/>
      <c r="N313" s="4"/>
      <c r="O313" s="4"/>
      <c r="P313" s="4"/>
      <c r="Q313" s="4"/>
      <c r="R313" s="4"/>
      <c r="S313" s="4"/>
      <c r="T313" s="4"/>
      <c r="U313" s="4"/>
      <c r="V313" s="4"/>
      <c r="W313" s="4"/>
      <c r="X313" s="4"/>
      <c r="Y313" s="4"/>
      <c r="Z313" s="4"/>
    </row>
    <row r="314">
      <c r="A314" s="33" t="s">
        <v>512</v>
      </c>
      <c r="B314" s="2" t="s">
        <v>3011</v>
      </c>
      <c r="C314" s="2" t="s">
        <v>2286</v>
      </c>
      <c r="D314" s="2" t="s">
        <v>2287</v>
      </c>
      <c r="E314" s="2" t="s">
        <v>25</v>
      </c>
      <c r="F314" s="2" t="s">
        <v>426</v>
      </c>
      <c r="G314" s="92">
        <v>45973.69290371527</v>
      </c>
      <c r="H314" s="92">
        <v>45973.70221553241</v>
      </c>
      <c r="I314" s="2" t="s">
        <v>513</v>
      </c>
      <c r="J314" s="93" t="s">
        <v>2289</v>
      </c>
      <c r="K314" s="2" t="s">
        <v>2290</v>
      </c>
      <c r="L314" s="4"/>
      <c r="M314" s="4"/>
      <c r="N314" s="4"/>
      <c r="O314" s="4"/>
      <c r="P314" s="4"/>
      <c r="Q314" s="4"/>
      <c r="R314" s="4"/>
      <c r="S314" s="4"/>
      <c r="T314" s="4"/>
      <c r="U314" s="4"/>
      <c r="V314" s="4"/>
      <c r="W314" s="4"/>
      <c r="X314" s="4"/>
      <c r="Y314" s="4"/>
      <c r="Z314" s="4"/>
    </row>
    <row r="315">
      <c r="A315" s="33" t="s">
        <v>432</v>
      </c>
      <c r="B315" s="2" t="s">
        <v>3012</v>
      </c>
      <c r="C315" s="2" t="s">
        <v>3013</v>
      </c>
      <c r="D315" s="2" t="s">
        <v>3014</v>
      </c>
      <c r="E315" s="2" t="s">
        <v>41</v>
      </c>
      <c r="F315" s="2" t="s">
        <v>426</v>
      </c>
      <c r="G315" s="92">
        <v>45973.635631111116</v>
      </c>
      <c r="H315" s="92">
        <v>45973.70498427084</v>
      </c>
      <c r="I315" s="2" t="s">
        <v>403</v>
      </c>
      <c r="J315" s="93" t="s">
        <v>3015</v>
      </c>
      <c r="K315" s="2" t="s">
        <v>3016</v>
      </c>
      <c r="L315" s="4"/>
      <c r="M315" s="4"/>
      <c r="N315" s="4"/>
      <c r="O315" s="4"/>
      <c r="P315" s="4"/>
      <c r="Q315" s="4"/>
      <c r="R315" s="4"/>
      <c r="S315" s="4"/>
      <c r="T315" s="4"/>
      <c r="U315" s="4"/>
      <c r="V315" s="4"/>
      <c r="W315" s="4"/>
      <c r="X315" s="4"/>
      <c r="Y315" s="4"/>
      <c r="Z315" s="4"/>
    </row>
    <row r="316">
      <c r="A316" s="33" t="s">
        <v>509</v>
      </c>
      <c r="B316" s="2" t="s">
        <v>3017</v>
      </c>
      <c r="C316" s="2" t="s">
        <v>3018</v>
      </c>
      <c r="D316" s="2" t="s">
        <v>3019</v>
      </c>
      <c r="E316" s="2" t="s">
        <v>17</v>
      </c>
      <c r="F316" s="2" t="s">
        <v>426</v>
      </c>
      <c r="G316" s="92">
        <v>45973.67656577546</v>
      </c>
      <c r="H316" s="92">
        <v>45973.71083570602</v>
      </c>
      <c r="I316" s="2" t="s">
        <v>508</v>
      </c>
      <c r="J316" s="93" t="s">
        <v>3020</v>
      </c>
      <c r="K316" s="2" t="s">
        <v>3021</v>
      </c>
      <c r="L316" s="9" t="s">
        <v>17</v>
      </c>
      <c r="M316" s="4"/>
      <c r="N316" s="4"/>
      <c r="O316" s="4"/>
      <c r="P316" s="4"/>
      <c r="Q316" s="4"/>
      <c r="R316" s="4"/>
      <c r="S316" s="4"/>
      <c r="T316" s="4"/>
      <c r="U316" s="4"/>
      <c r="V316" s="4"/>
      <c r="W316" s="4"/>
      <c r="X316" s="4"/>
      <c r="Y316" s="4"/>
      <c r="Z316" s="4"/>
    </row>
    <row r="317">
      <c r="A317" s="33" t="s">
        <v>480</v>
      </c>
      <c r="B317" s="2" t="s">
        <v>3022</v>
      </c>
      <c r="C317" s="2" t="s">
        <v>2204</v>
      </c>
      <c r="D317" s="2" t="s">
        <v>2205</v>
      </c>
      <c r="E317" s="2" t="s">
        <v>25</v>
      </c>
      <c r="F317" s="2" t="s">
        <v>426</v>
      </c>
      <c r="G317" s="92">
        <v>45973.70542618056</v>
      </c>
      <c r="H317" s="92">
        <v>45973.71969371528</v>
      </c>
      <c r="I317" s="2" t="s">
        <v>215</v>
      </c>
      <c r="J317" s="93" t="s">
        <v>2206</v>
      </c>
      <c r="K317" s="2" t="s">
        <v>2207</v>
      </c>
      <c r="L317" s="4"/>
      <c r="M317" s="4"/>
      <c r="N317" s="4"/>
      <c r="O317" s="4"/>
      <c r="P317" s="4"/>
      <c r="Q317" s="4"/>
      <c r="R317" s="4"/>
      <c r="S317" s="4"/>
      <c r="T317" s="4"/>
      <c r="U317" s="4"/>
      <c r="V317" s="4"/>
      <c r="W317" s="4"/>
      <c r="X317" s="4"/>
      <c r="Y317" s="4"/>
      <c r="Z317" s="4"/>
    </row>
    <row r="318">
      <c r="A318" s="33" t="s">
        <v>484</v>
      </c>
      <c r="B318" s="2" t="s">
        <v>3023</v>
      </c>
      <c r="C318" s="2" t="s">
        <v>3024</v>
      </c>
      <c r="D318" s="2" t="s">
        <v>3025</v>
      </c>
      <c r="E318" s="2" t="s">
        <v>23</v>
      </c>
      <c r="F318" s="2" t="s">
        <v>426</v>
      </c>
      <c r="G318" s="92">
        <v>45973.68582946759</v>
      </c>
      <c r="H318" s="92">
        <v>45973.72289065972</v>
      </c>
      <c r="I318" s="2" t="s">
        <v>485</v>
      </c>
      <c r="J318" s="93" t="s">
        <v>3026</v>
      </c>
      <c r="K318" s="93" t="s">
        <v>3027</v>
      </c>
      <c r="L318" s="4"/>
      <c r="M318" s="4"/>
      <c r="N318" s="4"/>
      <c r="O318" s="4"/>
      <c r="P318" s="4"/>
      <c r="Q318" s="4"/>
      <c r="R318" s="4"/>
      <c r="S318" s="4"/>
      <c r="T318" s="4"/>
      <c r="U318" s="4"/>
      <c r="V318" s="4"/>
      <c r="W318" s="4"/>
      <c r="X318" s="4"/>
      <c r="Y318" s="4"/>
      <c r="Z318" s="4"/>
    </row>
    <row r="319">
      <c r="A319" s="33" t="s">
        <v>481</v>
      </c>
      <c r="B319" s="2" t="s">
        <v>3028</v>
      </c>
      <c r="C319" s="2" t="s">
        <v>2216</v>
      </c>
      <c r="D319" s="2" t="s">
        <v>2217</v>
      </c>
      <c r="E319" s="2" t="s">
        <v>25</v>
      </c>
      <c r="F319" s="2" t="s">
        <v>426</v>
      </c>
      <c r="G319" s="92">
        <v>45973.719853738425</v>
      </c>
      <c r="H319" s="92">
        <v>45973.73933063657</v>
      </c>
      <c r="I319" s="2" t="s">
        <v>171</v>
      </c>
      <c r="J319" s="93" t="s">
        <v>2218</v>
      </c>
      <c r="K319" s="2" t="s">
        <v>2219</v>
      </c>
      <c r="L319" s="4"/>
      <c r="M319" s="4"/>
      <c r="N319" s="4"/>
      <c r="O319" s="4"/>
      <c r="P319" s="4"/>
      <c r="Q319" s="4"/>
      <c r="R319" s="4"/>
      <c r="S319" s="4"/>
      <c r="T319" s="4"/>
      <c r="U319" s="4"/>
      <c r="V319" s="4"/>
      <c r="W319" s="4"/>
      <c r="X319" s="4"/>
      <c r="Y319" s="4"/>
      <c r="Z319" s="4"/>
    </row>
    <row r="320">
      <c r="A320" s="33" t="s">
        <v>441</v>
      </c>
      <c r="B320" s="2" t="s">
        <v>3029</v>
      </c>
      <c r="C320" s="2" t="s">
        <v>3030</v>
      </c>
      <c r="D320" s="2" t="s">
        <v>3031</v>
      </c>
      <c r="E320" s="2" t="s">
        <v>31</v>
      </c>
      <c r="F320" s="2" t="s">
        <v>426</v>
      </c>
      <c r="G320" s="92">
        <v>45973.74285052084</v>
      </c>
      <c r="H320" s="92">
        <v>45973.74347960648</v>
      </c>
      <c r="I320" s="2" t="s">
        <v>243</v>
      </c>
      <c r="J320" s="93" t="s">
        <v>3032</v>
      </c>
      <c r="K320" s="2" t="s">
        <v>3033</v>
      </c>
      <c r="L320" s="9" t="s">
        <v>27</v>
      </c>
      <c r="M320" s="4"/>
      <c r="N320" s="4"/>
      <c r="O320" s="4"/>
      <c r="P320" s="4"/>
      <c r="Q320" s="4"/>
      <c r="R320" s="4"/>
      <c r="S320" s="4"/>
      <c r="T320" s="4"/>
      <c r="U320" s="4"/>
      <c r="V320" s="4"/>
      <c r="W320" s="4"/>
      <c r="X320" s="4"/>
      <c r="Y320" s="4"/>
      <c r="Z320" s="4"/>
    </row>
    <row r="321">
      <c r="A321" s="33" t="s">
        <v>495</v>
      </c>
      <c r="B321" s="2" t="s">
        <v>3034</v>
      </c>
      <c r="C321" s="2" t="s">
        <v>3035</v>
      </c>
      <c r="D321" s="2" t="s">
        <v>3036</v>
      </c>
      <c r="E321" s="2" t="s">
        <v>27</v>
      </c>
      <c r="F321" s="2" t="s">
        <v>426</v>
      </c>
      <c r="G321" s="92">
        <v>45973.627419826385</v>
      </c>
      <c r="H321" s="92">
        <v>45973.7501049537</v>
      </c>
      <c r="I321" s="2" t="s">
        <v>496</v>
      </c>
      <c r="J321" s="93" t="s">
        <v>3037</v>
      </c>
      <c r="K321" s="2" t="s">
        <v>3038</v>
      </c>
      <c r="L321" s="4"/>
      <c r="M321" s="4"/>
      <c r="N321" s="4"/>
      <c r="O321" s="4"/>
      <c r="P321" s="4"/>
      <c r="Q321" s="4"/>
      <c r="R321" s="4"/>
      <c r="S321" s="4"/>
      <c r="T321" s="4"/>
      <c r="U321" s="4"/>
      <c r="V321" s="4"/>
      <c r="W321" s="4"/>
      <c r="X321" s="4"/>
      <c r="Y321" s="4"/>
      <c r="Z321" s="4"/>
    </row>
    <row r="322">
      <c r="A322" s="33" t="s">
        <v>470</v>
      </c>
      <c r="B322" s="2" t="s">
        <v>3039</v>
      </c>
      <c r="C322" s="2" t="s">
        <v>2148</v>
      </c>
      <c r="D322" s="2" t="s">
        <v>2149</v>
      </c>
      <c r="E322" s="2" t="s">
        <v>45</v>
      </c>
      <c r="F322" s="2" t="s">
        <v>426</v>
      </c>
      <c r="G322" s="92">
        <v>45973.66789011574</v>
      </c>
      <c r="H322" s="92">
        <v>45973.75041263889</v>
      </c>
      <c r="I322" s="2" t="s">
        <v>440</v>
      </c>
      <c r="J322" s="93" t="s">
        <v>2151</v>
      </c>
      <c r="K322" s="2" t="s">
        <v>2152</v>
      </c>
      <c r="L322" s="9" t="s">
        <v>39</v>
      </c>
      <c r="M322" s="4"/>
      <c r="N322" s="4"/>
      <c r="O322" s="4"/>
      <c r="P322" s="4"/>
      <c r="Q322" s="4"/>
      <c r="R322" s="4"/>
      <c r="S322" s="4"/>
      <c r="T322" s="4"/>
      <c r="U322" s="4"/>
      <c r="V322" s="4"/>
      <c r="W322" s="4"/>
      <c r="X322" s="4"/>
      <c r="Y322" s="4"/>
      <c r="Z322" s="4"/>
    </row>
    <row r="323">
      <c r="A323" s="33" t="s">
        <v>428</v>
      </c>
      <c r="B323" s="2" t="s">
        <v>3040</v>
      </c>
      <c r="C323" s="2" t="s">
        <v>3041</v>
      </c>
      <c r="D323" s="2" t="s">
        <v>3042</v>
      </c>
      <c r="E323" s="2" t="s">
        <v>41</v>
      </c>
      <c r="F323" s="2" t="s">
        <v>426</v>
      </c>
      <c r="G323" s="92">
        <v>45973.70560313658</v>
      </c>
      <c r="H323" s="92">
        <v>45973.750636365745</v>
      </c>
      <c r="I323" s="2" t="s">
        <v>429</v>
      </c>
      <c r="J323" s="93" t="s">
        <v>3043</v>
      </c>
      <c r="K323" s="2" t="s">
        <v>3044</v>
      </c>
      <c r="L323" s="4"/>
      <c r="M323" s="4"/>
      <c r="N323" s="4"/>
      <c r="O323" s="4"/>
      <c r="P323" s="4"/>
      <c r="Q323" s="4"/>
      <c r="R323" s="4"/>
      <c r="S323" s="4"/>
      <c r="T323" s="4"/>
      <c r="U323" s="4"/>
      <c r="V323" s="4"/>
      <c r="W323" s="4"/>
      <c r="X323" s="4"/>
      <c r="Y323" s="4"/>
      <c r="Z323" s="4"/>
    </row>
    <row r="324">
      <c r="A324" s="33" t="s">
        <v>504</v>
      </c>
      <c r="B324" s="2" t="s">
        <v>3045</v>
      </c>
      <c r="C324" s="2" t="s">
        <v>2408</v>
      </c>
      <c r="D324" s="2" t="s">
        <v>2409</v>
      </c>
      <c r="E324" s="2" t="s">
        <v>29</v>
      </c>
      <c r="F324" s="2" t="s">
        <v>426</v>
      </c>
      <c r="G324" s="92">
        <v>45973.663059004626</v>
      </c>
      <c r="H324" s="92">
        <v>45973.75130549769</v>
      </c>
      <c r="I324" s="2" t="s">
        <v>505</v>
      </c>
      <c r="J324" s="93" t="s">
        <v>2410</v>
      </c>
      <c r="K324" s="2" t="s">
        <v>2411</v>
      </c>
      <c r="L324" s="9" t="s">
        <v>29</v>
      </c>
      <c r="M324" s="4"/>
      <c r="N324" s="4"/>
      <c r="O324" s="4"/>
      <c r="P324" s="4"/>
      <c r="Q324" s="4"/>
      <c r="R324" s="4"/>
      <c r="S324" s="4"/>
      <c r="T324" s="4"/>
      <c r="U324" s="4"/>
      <c r="V324" s="4"/>
      <c r="W324" s="4"/>
      <c r="X324" s="4"/>
      <c r="Y324" s="4"/>
      <c r="Z324" s="4"/>
    </row>
    <row r="325">
      <c r="A325" s="33" t="s">
        <v>540</v>
      </c>
      <c r="B325" s="2" t="s">
        <v>3046</v>
      </c>
      <c r="C325" s="2" t="s">
        <v>3047</v>
      </c>
      <c r="D325" s="2" t="s">
        <v>3048</v>
      </c>
      <c r="E325" s="2" t="s">
        <v>35</v>
      </c>
      <c r="F325" s="2" t="s">
        <v>526</v>
      </c>
      <c r="G325" s="92">
        <v>45973.70110135416</v>
      </c>
      <c r="H325" s="92">
        <v>45973.75149890046</v>
      </c>
      <c r="I325" s="2" t="s">
        <v>541</v>
      </c>
      <c r="J325" s="93" t="s">
        <v>3049</v>
      </c>
      <c r="K325" s="2" t="s">
        <v>3050</v>
      </c>
      <c r="L325" s="4"/>
      <c r="M325" s="4"/>
      <c r="N325" s="4"/>
      <c r="O325" s="4"/>
      <c r="P325" s="4"/>
      <c r="Q325" s="4"/>
      <c r="R325" s="4"/>
      <c r="S325" s="4"/>
      <c r="T325" s="4"/>
      <c r="U325" s="4"/>
      <c r="V325" s="4"/>
      <c r="W325" s="4"/>
      <c r="X325" s="4"/>
      <c r="Y325" s="4"/>
      <c r="Z325" s="4"/>
    </row>
    <row r="326">
      <c r="A326" s="33" t="s">
        <v>538</v>
      </c>
      <c r="B326" s="2" t="s">
        <v>3051</v>
      </c>
      <c r="C326" s="2" t="s">
        <v>3052</v>
      </c>
      <c r="D326" s="2" t="s">
        <v>3053</v>
      </c>
      <c r="E326" s="2" t="s">
        <v>19</v>
      </c>
      <c r="F326" s="2" t="s">
        <v>526</v>
      </c>
      <c r="G326" s="3">
        <v>45973.687782175926</v>
      </c>
      <c r="H326" s="92">
        <v>45973.752085405096</v>
      </c>
      <c r="I326" s="2" t="s">
        <v>539</v>
      </c>
      <c r="J326" s="93" t="s">
        <v>3054</v>
      </c>
      <c r="K326" s="2" t="s">
        <v>3055</v>
      </c>
      <c r="L326" s="4"/>
      <c r="M326" s="4"/>
      <c r="N326" s="4"/>
      <c r="O326" s="4"/>
      <c r="P326" s="4"/>
      <c r="Q326" s="4"/>
      <c r="R326" s="4"/>
      <c r="S326" s="4"/>
      <c r="T326" s="4"/>
      <c r="U326" s="4"/>
      <c r="V326" s="4"/>
      <c r="W326" s="4"/>
      <c r="X326" s="4"/>
      <c r="Y326" s="4"/>
      <c r="Z326" s="4"/>
    </row>
    <row r="327">
      <c r="A327" s="33" t="s">
        <v>510</v>
      </c>
      <c r="B327" s="2" t="s">
        <v>3056</v>
      </c>
      <c r="C327" s="2" t="s">
        <v>3057</v>
      </c>
      <c r="D327" s="2" t="s">
        <v>3058</v>
      </c>
      <c r="E327" s="2" t="s">
        <v>17</v>
      </c>
      <c r="F327" s="2" t="s">
        <v>426</v>
      </c>
      <c r="G327" s="92">
        <v>45973.71859103009</v>
      </c>
      <c r="H327" s="92">
        <v>45973.75673836806</v>
      </c>
      <c r="I327" s="2" t="s">
        <v>491</v>
      </c>
      <c r="J327" s="93" t="s">
        <v>3059</v>
      </c>
      <c r="K327" s="2" t="s">
        <v>3060</v>
      </c>
      <c r="L327" s="4"/>
      <c r="M327" s="4"/>
      <c r="N327" s="4"/>
      <c r="O327" s="4"/>
      <c r="P327" s="4"/>
      <c r="Q327" s="4"/>
      <c r="R327" s="4"/>
      <c r="S327" s="4"/>
      <c r="T327" s="4"/>
      <c r="U327" s="4"/>
      <c r="V327" s="4"/>
      <c r="W327" s="4"/>
      <c r="X327" s="4"/>
      <c r="Y327" s="4"/>
      <c r="Z327" s="4"/>
    </row>
    <row r="328">
      <c r="A328" s="33" t="s">
        <v>554</v>
      </c>
      <c r="B328" s="2" t="s">
        <v>555</v>
      </c>
      <c r="C328" s="2" t="s">
        <v>556</v>
      </c>
      <c r="D328" s="2" t="s">
        <v>557</v>
      </c>
      <c r="E328" s="2" t="s">
        <v>33</v>
      </c>
      <c r="F328" s="2" t="s">
        <v>331</v>
      </c>
      <c r="G328" s="92">
        <v>45973.68818525463</v>
      </c>
      <c r="H328" s="92">
        <v>45973.75960159722</v>
      </c>
      <c r="I328" s="2" t="s">
        <v>82</v>
      </c>
      <c r="J328" s="93" t="s">
        <v>558</v>
      </c>
      <c r="K328" s="2" t="s">
        <v>559</v>
      </c>
      <c r="L328" s="4"/>
      <c r="M328" s="4"/>
      <c r="N328" s="4"/>
      <c r="O328" s="4"/>
      <c r="P328" s="4"/>
      <c r="Q328" s="4"/>
      <c r="R328" s="4"/>
      <c r="S328" s="4"/>
      <c r="T328" s="4"/>
      <c r="U328" s="4"/>
      <c r="V328" s="4"/>
      <c r="W328" s="4"/>
      <c r="X328" s="4"/>
      <c r="Y328" s="4"/>
      <c r="Z328" s="4"/>
    </row>
    <row r="329">
      <c r="A329" s="33" t="s">
        <v>535</v>
      </c>
      <c r="B329" s="2" t="s">
        <v>3061</v>
      </c>
      <c r="C329" s="2" t="s">
        <v>3062</v>
      </c>
      <c r="D329" s="2" t="s">
        <v>3063</v>
      </c>
      <c r="E329" s="2" t="s">
        <v>21</v>
      </c>
      <c r="F329" s="2" t="s">
        <v>526</v>
      </c>
      <c r="G329" s="3">
        <v>45973.70246421296</v>
      </c>
      <c r="H329" s="3">
        <v>45973.76011378472</v>
      </c>
      <c r="I329" s="2" t="s">
        <v>520</v>
      </c>
      <c r="J329" s="93" t="s">
        <v>3064</v>
      </c>
      <c r="K329" s="2" t="s">
        <v>3065</v>
      </c>
      <c r="L329" s="4"/>
      <c r="M329" s="4"/>
      <c r="N329" s="4"/>
      <c r="O329" s="4"/>
      <c r="P329" s="4"/>
      <c r="Q329" s="4"/>
      <c r="R329" s="4"/>
      <c r="S329" s="4"/>
      <c r="T329" s="4"/>
      <c r="U329" s="4"/>
      <c r="V329" s="4"/>
      <c r="W329" s="4"/>
      <c r="X329" s="4"/>
      <c r="Y329" s="4"/>
      <c r="Z329" s="4"/>
    </row>
    <row r="330">
      <c r="A330" s="33" t="s">
        <v>476</v>
      </c>
      <c r="B330" s="2" t="s">
        <v>3066</v>
      </c>
      <c r="C330" s="2" t="s">
        <v>3067</v>
      </c>
      <c r="D330" s="2" t="s">
        <v>3068</v>
      </c>
      <c r="E330" s="2" t="s">
        <v>41</v>
      </c>
      <c r="F330" s="2" t="s">
        <v>426</v>
      </c>
      <c r="G330" s="92">
        <v>45973.75088892361</v>
      </c>
      <c r="H330" s="92">
        <v>45973.79360578704</v>
      </c>
      <c r="I330" s="2" t="s">
        <v>254</v>
      </c>
      <c r="J330" s="93" t="s">
        <v>3069</v>
      </c>
      <c r="K330" s="2" t="s">
        <v>3070</v>
      </c>
      <c r="L330" s="9" t="s">
        <v>19</v>
      </c>
      <c r="M330" s="4"/>
      <c r="N330" s="4"/>
      <c r="O330" s="4"/>
      <c r="P330" s="4"/>
      <c r="Q330" s="4"/>
      <c r="R330" s="4"/>
      <c r="S330" s="4"/>
      <c r="T330" s="4"/>
      <c r="U330" s="4"/>
      <c r="V330" s="4"/>
      <c r="W330" s="4"/>
      <c r="X330" s="4"/>
      <c r="Y330" s="4"/>
      <c r="Z330" s="4"/>
    </row>
    <row r="331">
      <c r="A331" s="33" t="s">
        <v>462</v>
      </c>
      <c r="B331" s="2" t="s">
        <v>2474</v>
      </c>
      <c r="C331" s="2" t="s">
        <v>1730</v>
      </c>
      <c r="D331" s="2" t="s">
        <v>1731</v>
      </c>
      <c r="E331" s="2" t="s">
        <v>41</v>
      </c>
      <c r="F331" s="2" t="s">
        <v>426</v>
      </c>
      <c r="G331" s="92">
        <v>45974.35996299768</v>
      </c>
      <c r="H331" s="92">
        <v>45974.364022800924</v>
      </c>
      <c r="I331" s="2" t="s">
        <v>463</v>
      </c>
      <c r="J331" s="93" t="s">
        <v>1732</v>
      </c>
      <c r="K331" s="2" t="s">
        <v>1733</v>
      </c>
      <c r="L331" s="9" t="s">
        <v>23</v>
      </c>
      <c r="M331" s="4"/>
      <c r="N331" s="4"/>
      <c r="O331" s="4"/>
      <c r="P331" s="4"/>
      <c r="Q331" s="4"/>
      <c r="R331" s="4"/>
      <c r="S331" s="4"/>
      <c r="T331" s="4"/>
      <c r="U331" s="4"/>
      <c r="V331" s="4"/>
      <c r="W331" s="4"/>
      <c r="X331" s="4"/>
      <c r="Y331" s="4"/>
      <c r="Z331" s="4"/>
    </row>
    <row r="332">
      <c r="A332" s="33" t="s">
        <v>545</v>
      </c>
      <c r="B332" s="2" t="s">
        <v>546</v>
      </c>
      <c r="C332" s="2" t="s">
        <v>547</v>
      </c>
      <c r="D332" s="2" t="s">
        <v>548</v>
      </c>
      <c r="E332" s="2" t="s">
        <v>19</v>
      </c>
      <c r="F332" s="2" t="s">
        <v>526</v>
      </c>
      <c r="G332" s="3">
        <v>45974.36934305556</v>
      </c>
      <c r="H332" s="92">
        <v>45974.38062136574</v>
      </c>
      <c r="I332" s="2" t="s">
        <v>211</v>
      </c>
      <c r="J332" s="93" t="s">
        <v>549</v>
      </c>
      <c r="K332" s="2" t="s">
        <v>550</v>
      </c>
      <c r="L332" s="4"/>
      <c r="M332" s="4"/>
      <c r="N332" s="4"/>
      <c r="O332" s="4"/>
      <c r="P332" s="4"/>
      <c r="Q332" s="4"/>
      <c r="R332" s="4"/>
      <c r="S332" s="4"/>
      <c r="T332" s="4"/>
      <c r="U332" s="4"/>
      <c r="V332" s="4"/>
      <c r="W332" s="4"/>
      <c r="X332" s="4"/>
      <c r="Y332" s="4"/>
      <c r="Z332" s="4"/>
    </row>
    <row r="333">
      <c r="A333" s="33" t="s">
        <v>544</v>
      </c>
      <c r="B333" s="2" t="s">
        <v>3071</v>
      </c>
      <c r="C333" s="2" t="s">
        <v>3072</v>
      </c>
      <c r="D333" s="2" t="s">
        <v>3073</v>
      </c>
      <c r="E333" s="2" t="s">
        <v>19</v>
      </c>
      <c r="F333" s="2" t="s">
        <v>526</v>
      </c>
      <c r="G333" s="3">
        <v>45974.38083190972</v>
      </c>
      <c r="H333" s="92">
        <v>45974.39448086805</v>
      </c>
      <c r="I333" s="2" t="s">
        <v>192</v>
      </c>
      <c r="J333" s="93" t="s">
        <v>3074</v>
      </c>
      <c r="K333" s="2" t="s">
        <v>3075</v>
      </c>
      <c r="L333" s="4"/>
      <c r="M333" s="4"/>
      <c r="N333" s="4"/>
      <c r="O333" s="4"/>
      <c r="P333" s="4"/>
      <c r="Q333" s="4"/>
      <c r="R333" s="4"/>
      <c r="S333" s="4"/>
      <c r="T333" s="4"/>
      <c r="U333" s="4"/>
      <c r="V333" s="4"/>
      <c r="W333" s="4"/>
      <c r="X333" s="4"/>
      <c r="Y333" s="4"/>
      <c r="Z333" s="4"/>
    </row>
    <row r="334">
      <c r="A334" s="33" t="s">
        <v>529</v>
      </c>
      <c r="B334" s="2" t="s">
        <v>3076</v>
      </c>
      <c r="C334" s="2" t="s">
        <v>3077</v>
      </c>
      <c r="D334" s="2" t="s">
        <v>3078</v>
      </c>
      <c r="E334" s="2" t="s">
        <v>23</v>
      </c>
      <c r="F334" s="2" t="s">
        <v>526</v>
      </c>
      <c r="G334" s="92">
        <v>45974.36384184028</v>
      </c>
      <c r="H334" s="92">
        <v>45974.42998053241</v>
      </c>
      <c r="I334" s="2" t="s">
        <v>361</v>
      </c>
      <c r="J334" s="93" t="s">
        <v>3079</v>
      </c>
      <c r="K334" s="2" t="s">
        <v>3080</v>
      </c>
      <c r="L334" s="9" t="s">
        <v>39</v>
      </c>
      <c r="M334" s="4"/>
      <c r="N334" s="4"/>
      <c r="O334" s="4"/>
      <c r="P334" s="4"/>
      <c r="Q334" s="4"/>
      <c r="R334" s="4"/>
      <c r="S334" s="4"/>
      <c r="T334" s="4"/>
      <c r="U334" s="4"/>
      <c r="V334" s="4"/>
      <c r="W334" s="4"/>
      <c r="X334" s="4"/>
      <c r="Y334" s="4"/>
      <c r="Z334" s="4"/>
    </row>
    <row r="335">
      <c r="A335" s="33" t="s">
        <v>537</v>
      </c>
      <c r="B335" s="2" t="s">
        <v>3081</v>
      </c>
      <c r="C335" s="2" t="s">
        <v>3082</v>
      </c>
      <c r="D335" s="2" t="s">
        <v>3083</v>
      </c>
      <c r="E335" s="2" t="s">
        <v>25</v>
      </c>
      <c r="F335" s="2" t="s">
        <v>526</v>
      </c>
      <c r="G335" s="92">
        <v>45974.360886967595</v>
      </c>
      <c r="H335" s="92">
        <v>45974.43235318287</v>
      </c>
      <c r="I335" s="2" t="s">
        <v>82</v>
      </c>
      <c r="J335" s="93" t="s">
        <v>3084</v>
      </c>
      <c r="K335" s="2" t="s">
        <v>3085</v>
      </c>
      <c r="L335" s="9" t="s">
        <v>41</v>
      </c>
      <c r="M335" s="4"/>
      <c r="N335" s="4"/>
      <c r="O335" s="4"/>
      <c r="P335" s="4"/>
      <c r="Q335" s="4"/>
      <c r="R335" s="4"/>
      <c r="S335" s="4"/>
      <c r="T335" s="4"/>
      <c r="U335" s="4"/>
      <c r="V335" s="4"/>
      <c r="W335" s="4"/>
      <c r="X335" s="4"/>
      <c r="Y335" s="4"/>
      <c r="Z335" s="4"/>
    </row>
    <row r="336">
      <c r="A336" s="33" t="s">
        <v>464</v>
      </c>
      <c r="B336" s="2" t="s">
        <v>3086</v>
      </c>
      <c r="C336" s="2" t="s">
        <v>3087</v>
      </c>
      <c r="D336" s="2" t="s">
        <v>3088</v>
      </c>
      <c r="E336" s="2" t="s">
        <v>21</v>
      </c>
      <c r="F336" s="2" t="s">
        <v>426</v>
      </c>
      <c r="G336" s="3">
        <v>45974.37404951389</v>
      </c>
      <c r="H336" s="3">
        <v>45974.44096290509</v>
      </c>
      <c r="I336" s="2" t="s">
        <v>465</v>
      </c>
      <c r="J336" s="93" t="s">
        <v>3089</v>
      </c>
      <c r="K336" s="2" t="s">
        <v>3090</v>
      </c>
      <c r="L336" s="4"/>
      <c r="M336" s="4"/>
      <c r="N336" s="4"/>
      <c r="O336" s="4"/>
      <c r="P336" s="4"/>
      <c r="Q336" s="4"/>
      <c r="R336" s="4"/>
      <c r="S336" s="4"/>
      <c r="T336" s="4"/>
      <c r="U336" s="4"/>
      <c r="V336" s="4"/>
      <c r="W336" s="4"/>
      <c r="X336" s="4"/>
      <c r="Y336" s="4"/>
      <c r="Z336" s="4"/>
    </row>
    <row r="337">
      <c r="A337" s="33" t="s">
        <v>494</v>
      </c>
      <c r="B337" s="2" t="s">
        <v>3091</v>
      </c>
      <c r="C337" s="2" t="s">
        <v>3092</v>
      </c>
      <c r="D337" s="2" t="s">
        <v>3093</v>
      </c>
      <c r="E337" s="2" t="s">
        <v>41</v>
      </c>
      <c r="F337" s="2" t="s">
        <v>426</v>
      </c>
      <c r="G337" s="92">
        <v>45974.3909371412</v>
      </c>
      <c r="H337" s="92">
        <v>45974.45403846065</v>
      </c>
      <c r="I337" s="2" t="s">
        <v>102</v>
      </c>
      <c r="J337" s="93" t="s">
        <v>3094</v>
      </c>
      <c r="K337" s="93" t="s">
        <v>3095</v>
      </c>
      <c r="L337" s="9" t="s">
        <v>21</v>
      </c>
      <c r="M337" s="4"/>
      <c r="N337" s="4"/>
      <c r="O337" s="4"/>
      <c r="P337" s="4"/>
      <c r="Q337" s="4"/>
      <c r="R337" s="4"/>
      <c r="S337" s="4"/>
      <c r="T337" s="4"/>
      <c r="U337" s="4"/>
      <c r="V337" s="4"/>
      <c r="W337" s="4"/>
      <c r="X337" s="4"/>
      <c r="Y337" s="4"/>
      <c r="Z337" s="4"/>
    </row>
    <row r="338">
      <c r="A338" s="33" t="s">
        <v>446</v>
      </c>
      <c r="B338" s="2" t="s">
        <v>3096</v>
      </c>
      <c r="C338" s="2" t="s">
        <v>3097</v>
      </c>
      <c r="D338" s="2" t="s">
        <v>3098</v>
      </c>
      <c r="E338" s="2" t="s">
        <v>17</v>
      </c>
      <c r="F338" s="2" t="s">
        <v>426</v>
      </c>
      <c r="G338" s="92">
        <v>45974.36960829861</v>
      </c>
      <c r="H338" s="92">
        <v>45974.46042645833</v>
      </c>
      <c r="I338" s="2" t="s">
        <v>447</v>
      </c>
      <c r="J338" s="93" t="s">
        <v>3099</v>
      </c>
      <c r="K338" s="93" t="s">
        <v>3100</v>
      </c>
      <c r="L338" s="4"/>
      <c r="M338" s="4"/>
      <c r="N338" s="4"/>
      <c r="O338" s="4"/>
      <c r="P338" s="4"/>
      <c r="Q338" s="4"/>
      <c r="R338" s="4"/>
      <c r="S338" s="4"/>
      <c r="T338" s="4"/>
      <c r="U338" s="4"/>
      <c r="V338" s="4"/>
      <c r="W338" s="4"/>
      <c r="X338" s="4"/>
      <c r="Y338" s="4"/>
      <c r="Z338" s="4"/>
    </row>
    <row r="339">
      <c r="A339" s="33" t="s">
        <v>433</v>
      </c>
      <c r="B339" s="2" t="s">
        <v>3101</v>
      </c>
      <c r="C339" s="2" t="s">
        <v>3102</v>
      </c>
      <c r="D339" s="2" t="s">
        <v>3103</v>
      </c>
      <c r="E339" s="2" t="s">
        <v>27</v>
      </c>
      <c r="F339" s="2" t="s">
        <v>426</v>
      </c>
      <c r="G339" s="92">
        <v>45974.3689310301</v>
      </c>
      <c r="H339" s="92">
        <v>45974.46714532407</v>
      </c>
      <c r="I339" s="2" t="s">
        <v>434</v>
      </c>
      <c r="J339" s="93" t="s">
        <v>3104</v>
      </c>
      <c r="K339" s="2" t="s">
        <v>3105</v>
      </c>
      <c r="L339" s="4"/>
      <c r="M339" s="4"/>
      <c r="N339" s="4"/>
      <c r="O339" s="4"/>
      <c r="P339" s="4"/>
      <c r="Q339" s="4"/>
      <c r="R339" s="4"/>
      <c r="S339" s="4"/>
      <c r="T339" s="4"/>
      <c r="U339" s="4"/>
      <c r="V339" s="4"/>
      <c r="W339" s="4"/>
      <c r="X339" s="4"/>
      <c r="Y339" s="4"/>
      <c r="Z339" s="4"/>
    </row>
    <row r="340">
      <c r="A340" s="33" t="s">
        <v>560</v>
      </c>
      <c r="B340" s="2" t="s">
        <v>3106</v>
      </c>
      <c r="C340" s="2" t="s">
        <v>3107</v>
      </c>
      <c r="D340" s="2" t="s">
        <v>3108</v>
      </c>
      <c r="E340" s="2" t="s">
        <v>29</v>
      </c>
      <c r="F340" s="2" t="s">
        <v>331</v>
      </c>
      <c r="G340" s="92">
        <v>45974.36993215278</v>
      </c>
      <c r="H340" s="92">
        <v>45974.47216961806</v>
      </c>
      <c r="I340" s="2" t="s">
        <v>561</v>
      </c>
      <c r="J340" s="93" t="s">
        <v>3109</v>
      </c>
      <c r="K340" s="2" t="s">
        <v>3110</v>
      </c>
      <c r="L340" s="4"/>
      <c r="M340" s="4"/>
      <c r="N340" s="4"/>
      <c r="O340" s="4"/>
      <c r="P340" s="4"/>
      <c r="Q340" s="4"/>
      <c r="R340" s="4"/>
      <c r="S340" s="4"/>
      <c r="T340" s="4"/>
      <c r="U340" s="4"/>
      <c r="V340" s="4"/>
      <c r="W340" s="4"/>
      <c r="X340" s="4"/>
      <c r="Y340" s="4"/>
      <c r="Z340" s="4"/>
    </row>
    <row r="341">
      <c r="A341" s="33" t="s">
        <v>457</v>
      </c>
      <c r="B341" s="2" t="s">
        <v>3111</v>
      </c>
      <c r="C341" s="2" t="s">
        <v>2262</v>
      </c>
      <c r="D341" s="2" t="s">
        <v>2263</v>
      </c>
      <c r="E341" s="2" t="s">
        <v>31</v>
      </c>
      <c r="F341" s="2" t="s">
        <v>426</v>
      </c>
      <c r="G341" s="92">
        <v>45974.37983859953</v>
      </c>
      <c r="H341" s="92">
        <v>45974.475444490745</v>
      </c>
      <c r="I341" s="2" t="s">
        <v>458</v>
      </c>
      <c r="J341" s="93" t="s">
        <v>2265</v>
      </c>
      <c r="K341" s="2" t="s">
        <v>2266</v>
      </c>
      <c r="L341" s="9" t="s">
        <v>29</v>
      </c>
      <c r="M341" s="4"/>
      <c r="N341" s="4"/>
      <c r="O341" s="4"/>
      <c r="P341" s="4"/>
      <c r="Q341" s="4"/>
      <c r="R341" s="4"/>
      <c r="S341" s="4"/>
      <c r="T341" s="4"/>
      <c r="U341" s="4"/>
      <c r="V341" s="4"/>
      <c r="W341" s="4"/>
      <c r="X341" s="4"/>
      <c r="Y341" s="4"/>
      <c r="Z341" s="4"/>
    </row>
    <row r="342">
      <c r="A342" s="33" t="s">
        <v>327</v>
      </c>
      <c r="B342" s="2" t="s">
        <v>328</v>
      </c>
      <c r="C342" s="2" t="s">
        <v>329</v>
      </c>
      <c r="D342" s="2" t="s">
        <v>330</v>
      </c>
      <c r="E342" s="2" t="s">
        <v>19</v>
      </c>
      <c r="F342" s="2" t="s">
        <v>331</v>
      </c>
      <c r="G342" s="3">
        <v>45974.42682113426</v>
      </c>
      <c r="H342" s="92">
        <v>45974.494466041666</v>
      </c>
      <c r="I342" s="2" t="s">
        <v>332</v>
      </c>
      <c r="J342" s="93" t="s">
        <v>333</v>
      </c>
      <c r="K342" s="2" t="s">
        <v>334</v>
      </c>
      <c r="L342" s="9" t="s">
        <v>38</v>
      </c>
      <c r="M342" s="4"/>
      <c r="N342" s="4"/>
      <c r="O342" s="4"/>
      <c r="P342" s="4"/>
      <c r="Q342" s="4"/>
      <c r="R342" s="4"/>
      <c r="S342" s="4"/>
      <c r="T342" s="4"/>
      <c r="U342" s="4"/>
      <c r="V342" s="4"/>
      <c r="W342" s="4"/>
      <c r="X342" s="4"/>
      <c r="Y342" s="4"/>
      <c r="Z342" s="4"/>
    </row>
    <row r="343">
      <c r="A343" s="33" t="s">
        <v>378</v>
      </c>
      <c r="B343" s="2" t="s">
        <v>379</v>
      </c>
      <c r="C343" s="2" t="s">
        <v>380</v>
      </c>
      <c r="D343" s="2" t="s">
        <v>381</v>
      </c>
      <c r="E343" s="2" t="s">
        <v>33</v>
      </c>
      <c r="F343" s="2" t="s">
        <v>382</v>
      </c>
      <c r="G343" s="92">
        <v>45974.38694630787</v>
      </c>
      <c r="H343" s="92">
        <v>45974.498722916665</v>
      </c>
      <c r="I343" s="2" t="s">
        <v>383</v>
      </c>
      <c r="J343" s="17"/>
      <c r="K343" s="17"/>
      <c r="L343" s="9" t="s">
        <v>35</v>
      </c>
      <c r="M343" s="4"/>
      <c r="N343" s="4"/>
      <c r="O343" s="4"/>
      <c r="P343" s="4"/>
      <c r="Q343" s="4"/>
      <c r="R343" s="4"/>
      <c r="S343" s="4"/>
      <c r="T343" s="4"/>
      <c r="U343" s="4"/>
      <c r="V343" s="4"/>
      <c r="W343" s="4"/>
      <c r="X343" s="4"/>
      <c r="Y343" s="4"/>
      <c r="Z343" s="4"/>
    </row>
    <row r="344">
      <c r="A344" s="33" t="s">
        <v>525</v>
      </c>
      <c r="B344" s="2" t="s">
        <v>3112</v>
      </c>
      <c r="C344" s="2" t="s">
        <v>3113</v>
      </c>
      <c r="D344" s="2" t="s">
        <v>3114</v>
      </c>
      <c r="E344" s="2" t="s">
        <v>25</v>
      </c>
      <c r="F344" s="2" t="s">
        <v>526</v>
      </c>
      <c r="G344" s="92">
        <v>45974.45532341435</v>
      </c>
      <c r="H344" s="92">
        <v>45974.50939038194</v>
      </c>
      <c r="I344" s="2" t="s">
        <v>527</v>
      </c>
      <c r="J344" s="93" t="s">
        <v>3115</v>
      </c>
      <c r="K344" s="2" t="s">
        <v>3116</v>
      </c>
      <c r="L344" s="4"/>
      <c r="M344" s="4"/>
      <c r="N344" s="4"/>
      <c r="O344" s="4"/>
      <c r="P344" s="4"/>
      <c r="Q344" s="4"/>
      <c r="R344" s="4"/>
      <c r="S344" s="4"/>
      <c r="T344" s="4"/>
      <c r="U344" s="4"/>
      <c r="V344" s="4"/>
      <c r="W344" s="4"/>
      <c r="X344" s="4"/>
      <c r="Y344" s="4"/>
      <c r="Z344" s="4"/>
    </row>
    <row r="345">
      <c r="A345" s="33" t="s">
        <v>585</v>
      </c>
      <c r="B345" s="2" t="s">
        <v>586</v>
      </c>
      <c r="C345" s="2" t="s">
        <v>587</v>
      </c>
      <c r="D345" s="2" t="s">
        <v>588</v>
      </c>
      <c r="E345" s="2" t="s">
        <v>35</v>
      </c>
      <c r="F345" s="2" t="s">
        <v>129</v>
      </c>
      <c r="G345" s="92">
        <v>45974.4799100463</v>
      </c>
      <c r="H345" s="92">
        <v>45974.515555370366</v>
      </c>
      <c r="I345" s="2" t="s">
        <v>185</v>
      </c>
      <c r="J345" s="17"/>
      <c r="K345" s="17"/>
      <c r="L345" s="4"/>
      <c r="M345" s="4"/>
      <c r="N345" s="4"/>
      <c r="O345" s="4"/>
      <c r="P345" s="4"/>
      <c r="Q345" s="4"/>
      <c r="R345" s="4"/>
      <c r="S345" s="4"/>
      <c r="T345" s="4"/>
      <c r="U345" s="4"/>
      <c r="V345" s="4"/>
      <c r="W345" s="4"/>
      <c r="X345" s="4"/>
      <c r="Y345" s="4"/>
      <c r="Z345" s="4"/>
    </row>
    <row r="346">
      <c r="A346" s="33" t="s">
        <v>442</v>
      </c>
      <c r="B346" s="2" t="s">
        <v>3117</v>
      </c>
      <c r="C346" s="2" t="s">
        <v>3118</v>
      </c>
      <c r="D346" s="2" t="s">
        <v>3119</v>
      </c>
      <c r="E346" s="2" t="s">
        <v>21</v>
      </c>
      <c r="F346" s="2" t="s">
        <v>426</v>
      </c>
      <c r="G346" s="3">
        <v>45974.470384699074</v>
      </c>
      <c r="H346" s="3">
        <v>45974.518593078705</v>
      </c>
      <c r="I346" s="2" t="s">
        <v>416</v>
      </c>
      <c r="J346" s="93" t="s">
        <v>3120</v>
      </c>
      <c r="K346" s="93" t="s">
        <v>3121</v>
      </c>
      <c r="L346" s="4"/>
      <c r="M346" s="4"/>
      <c r="N346" s="4"/>
      <c r="O346" s="4"/>
      <c r="P346" s="4"/>
      <c r="Q346" s="4"/>
      <c r="R346" s="4"/>
      <c r="S346" s="4"/>
      <c r="T346" s="4"/>
      <c r="U346" s="4"/>
      <c r="V346" s="4"/>
      <c r="W346" s="4"/>
      <c r="X346" s="4"/>
      <c r="Y346" s="4"/>
      <c r="Z346" s="4"/>
    </row>
    <row r="347">
      <c r="A347" s="33" t="s">
        <v>580</v>
      </c>
      <c r="B347" s="2" t="s">
        <v>3122</v>
      </c>
      <c r="C347" s="2" t="s">
        <v>3123</v>
      </c>
      <c r="D347" s="2" t="s">
        <v>3124</v>
      </c>
      <c r="E347" s="2" t="s">
        <v>27</v>
      </c>
      <c r="F347" s="2" t="s">
        <v>46</v>
      </c>
      <c r="G347" s="92">
        <v>45974.501472511576</v>
      </c>
      <c r="H347" s="92">
        <v>45974.52263314815</v>
      </c>
      <c r="I347" s="2" t="s">
        <v>487</v>
      </c>
      <c r="J347" s="93" t="s">
        <v>3125</v>
      </c>
      <c r="K347" s="93" t="s">
        <v>3126</v>
      </c>
      <c r="L347" s="4"/>
      <c r="M347" s="4"/>
      <c r="N347" s="4"/>
      <c r="O347" s="4"/>
      <c r="P347" s="4"/>
      <c r="Q347" s="4"/>
      <c r="R347" s="4"/>
      <c r="S347" s="4"/>
      <c r="T347" s="4"/>
      <c r="U347" s="4"/>
      <c r="V347" s="4"/>
      <c r="W347" s="4"/>
      <c r="X347" s="4"/>
      <c r="Y347" s="4"/>
      <c r="Z347" s="4"/>
    </row>
    <row r="348">
      <c r="A348" s="33" t="s">
        <v>471</v>
      </c>
      <c r="B348" s="2" t="s">
        <v>3127</v>
      </c>
      <c r="C348" s="2" t="s">
        <v>3128</v>
      </c>
      <c r="D348" s="2" t="s">
        <v>3129</v>
      </c>
      <c r="E348" s="2" t="s">
        <v>23</v>
      </c>
      <c r="F348" s="2" t="s">
        <v>426</v>
      </c>
      <c r="G348" s="92">
        <v>45974.461504756946</v>
      </c>
      <c r="H348" s="92">
        <v>45974.5332694213</v>
      </c>
      <c r="I348" s="2" t="s">
        <v>82</v>
      </c>
      <c r="J348" s="93" t="s">
        <v>3130</v>
      </c>
      <c r="K348" s="2" t="s">
        <v>3131</v>
      </c>
      <c r="L348" s="9" t="s">
        <v>41</v>
      </c>
      <c r="M348" s="4"/>
      <c r="N348" s="4"/>
      <c r="O348" s="4"/>
      <c r="P348" s="4"/>
      <c r="Q348" s="4"/>
      <c r="R348" s="4"/>
      <c r="S348" s="4"/>
      <c r="T348" s="4"/>
      <c r="U348" s="4"/>
      <c r="V348" s="4"/>
      <c r="W348" s="4"/>
      <c r="X348" s="4"/>
      <c r="Y348" s="4"/>
      <c r="Z348" s="4"/>
    </row>
    <row r="349">
      <c r="A349" s="33" t="s">
        <v>571</v>
      </c>
      <c r="B349" s="2" t="s">
        <v>3132</v>
      </c>
      <c r="C349" s="2" t="s">
        <v>3133</v>
      </c>
      <c r="D349" s="2" t="s">
        <v>3134</v>
      </c>
      <c r="E349" s="2" t="s">
        <v>41</v>
      </c>
      <c r="F349" s="2" t="s">
        <v>46</v>
      </c>
      <c r="G349" s="92">
        <v>45974.48171760417</v>
      </c>
      <c r="H349" s="92">
        <v>45974.53432539351</v>
      </c>
      <c r="I349" s="2" t="s">
        <v>123</v>
      </c>
      <c r="J349" s="93" t="s">
        <v>3135</v>
      </c>
      <c r="K349" s="2" t="s">
        <v>3136</v>
      </c>
      <c r="L349" s="4"/>
      <c r="M349" s="4"/>
      <c r="N349" s="4"/>
      <c r="O349" s="4"/>
      <c r="P349" s="4"/>
      <c r="Q349" s="4"/>
      <c r="R349" s="4"/>
      <c r="S349" s="4"/>
      <c r="T349" s="4"/>
      <c r="U349" s="4"/>
      <c r="V349" s="4"/>
      <c r="W349" s="4"/>
      <c r="X349" s="4"/>
      <c r="Y349" s="4"/>
      <c r="Z349" s="4"/>
    </row>
    <row r="350">
      <c r="A350" s="33" t="s">
        <v>521</v>
      </c>
      <c r="B350" s="2" t="s">
        <v>3137</v>
      </c>
      <c r="C350" s="2" t="s">
        <v>2385</v>
      </c>
      <c r="D350" s="2" t="s">
        <v>2386</v>
      </c>
      <c r="E350" s="2" t="s">
        <v>17</v>
      </c>
      <c r="F350" s="2" t="s">
        <v>426</v>
      </c>
      <c r="G350" s="92">
        <v>45974.46077796296</v>
      </c>
      <c r="H350" s="92">
        <v>45974.5371084375</v>
      </c>
      <c r="I350" s="2" t="s">
        <v>522</v>
      </c>
      <c r="J350" s="93" t="s">
        <v>2388</v>
      </c>
      <c r="K350" s="2" t="s">
        <v>2389</v>
      </c>
      <c r="L350" s="4"/>
      <c r="M350" s="4"/>
      <c r="N350" s="4"/>
      <c r="O350" s="4"/>
      <c r="P350" s="4"/>
      <c r="Q350" s="4"/>
      <c r="R350" s="4"/>
      <c r="S350" s="4"/>
      <c r="T350" s="4"/>
      <c r="U350" s="4"/>
      <c r="V350" s="4"/>
      <c r="W350" s="4"/>
      <c r="X350" s="4"/>
      <c r="Y350" s="4"/>
      <c r="Z350" s="4"/>
    </row>
    <row r="351">
      <c r="A351" s="33" t="s">
        <v>472</v>
      </c>
      <c r="B351" s="2" t="s">
        <v>3138</v>
      </c>
      <c r="C351" s="2" t="s">
        <v>2338</v>
      </c>
      <c r="D351" s="2" t="s">
        <v>2339</v>
      </c>
      <c r="E351" s="2" t="s">
        <v>31</v>
      </c>
      <c r="F351" s="2" t="s">
        <v>426</v>
      </c>
      <c r="G351" s="92">
        <v>45974.482022337965</v>
      </c>
      <c r="H351" s="92">
        <v>45974.54748504629</v>
      </c>
      <c r="I351" s="2" t="s">
        <v>473</v>
      </c>
      <c r="J351" s="93" t="s">
        <v>2341</v>
      </c>
      <c r="K351" s="2" t="s">
        <v>2342</v>
      </c>
      <c r="L351" s="9" t="s">
        <v>29</v>
      </c>
      <c r="M351" s="4"/>
      <c r="N351" s="4"/>
      <c r="O351" s="4"/>
      <c r="P351" s="4"/>
      <c r="Q351" s="4"/>
      <c r="R351" s="4"/>
      <c r="S351" s="4"/>
      <c r="T351" s="4"/>
      <c r="U351" s="4"/>
      <c r="V351" s="4"/>
      <c r="W351" s="4"/>
      <c r="X351" s="4"/>
      <c r="Y351" s="4"/>
      <c r="Z351" s="4"/>
    </row>
    <row r="352">
      <c r="A352" s="33" t="s">
        <v>506</v>
      </c>
      <c r="B352" s="2" t="s">
        <v>3139</v>
      </c>
      <c r="C352" s="2" t="s">
        <v>3140</v>
      </c>
      <c r="D352" s="2" t="s">
        <v>3141</v>
      </c>
      <c r="E352" s="2" t="s">
        <v>33</v>
      </c>
      <c r="F352" s="2" t="s">
        <v>426</v>
      </c>
      <c r="G352" s="92">
        <v>45974.5478540162</v>
      </c>
      <c r="H352" s="92">
        <v>45974.56190023148</v>
      </c>
      <c r="I352" s="2" t="s">
        <v>192</v>
      </c>
      <c r="J352" s="93" t="s">
        <v>3142</v>
      </c>
      <c r="K352" s="2" t="s">
        <v>3143</v>
      </c>
      <c r="L352" s="9" t="s">
        <v>19</v>
      </c>
      <c r="M352" s="4"/>
      <c r="N352" s="4"/>
      <c r="O352" s="4"/>
      <c r="P352" s="4"/>
      <c r="Q352" s="4"/>
      <c r="R352" s="4"/>
      <c r="S352" s="4"/>
      <c r="T352" s="4"/>
      <c r="U352" s="4"/>
      <c r="V352" s="4"/>
      <c r="W352" s="4"/>
      <c r="X352" s="4"/>
      <c r="Y352" s="4"/>
      <c r="Z352" s="4"/>
    </row>
    <row r="353">
      <c r="A353" s="33" t="s">
        <v>507</v>
      </c>
      <c r="B353" s="2" t="s">
        <v>3144</v>
      </c>
      <c r="C353" s="2" t="s">
        <v>2256</v>
      </c>
      <c r="D353" s="2" t="s">
        <v>2257</v>
      </c>
      <c r="E353" s="2" t="s">
        <v>19</v>
      </c>
      <c r="F353" s="2" t="s">
        <v>426</v>
      </c>
      <c r="G353" s="3">
        <v>45974.53120045138</v>
      </c>
      <c r="H353" s="92">
        <v>45974.5651331713</v>
      </c>
      <c r="I353" s="2" t="s">
        <v>508</v>
      </c>
      <c r="J353" s="93" t="s">
        <v>2259</v>
      </c>
      <c r="K353" s="2" t="s">
        <v>2260</v>
      </c>
      <c r="L353" s="4"/>
      <c r="M353" s="4"/>
      <c r="N353" s="4"/>
      <c r="O353" s="4"/>
      <c r="P353" s="4"/>
      <c r="Q353" s="4"/>
      <c r="R353" s="4"/>
      <c r="S353" s="4"/>
      <c r="T353" s="4"/>
      <c r="U353" s="4"/>
      <c r="V353" s="4"/>
      <c r="W353" s="4"/>
      <c r="X353" s="4"/>
      <c r="Y353" s="4"/>
      <c r="Z353" s="4"/>
    </row>
    <row r="354">
      <c r="A354" s="33">
        <v>11125.0</v>
      </c>
      <c r="B354" s="2" t="s">
        <v>599</v>
      </c>
      <c r="C354" s="2" t="s">
        <v>600</v>
      </c>
      <c r="D354" s="2" t="s">
        <v>601</v>
      </c>
      <c r="E354" s="2" t="s">
        <v>35</v>
      </c>
      <c r="F354" s="2" t="s">
        <v>129</v>
      </c>
      <c r="G354" s="92">
        <v>45974.54242424769</v>
      </c>
      <c r="H354" s="92">
        <v>45974.56928960649</v>
      </c>
      <c r="I354" s="2" t="s">
        <v>59</v>
      </c>
      <c r="J354" s="17"/>
      <c r="K354" s="17"/>
      <c r="L354" s="4"/>
      <c r="M354" s="4"/>
      <c r="N354" s="4"/>
      <c r="O354" s="4"/>
      <c r="P354" s="4"/>
      <c r="Q354" s="4"/>
      <c r="R354" s="4"/>
      <c r="S354" s="4"/>
      <c r="T354" s="4"/>
      <c r="U354" s="4"/>
      <c r="V354" s="4"/>
      <c r="W354" s="4"/>
      <c r="X354" s="4"/>
      <c r="Y354" s="4"/>
      <c r="Z354" s="4"/>
    </row>
    <row r="355">
      <c r="A355" s="33" t="s">
        <v>562</v>
      </c>
      <c r="B355" s="2" t="s">
        <v>3145</v>
      </c>
      <c r="C355" s="2" t="s">
        <v>3146</v>
      </c>
      <c r="D355" s="2" t="s">
        <v>3147</v>
      </c>
      <c r="E355" s="2" t="s">
        <v>25</v>
      </c>
      <c r="F355" s="2" t="s">
        <v>46</v>
      </c>
      <c r="G355" s="92">
        <v>45974.56279790509</v>
      </c>
      <c r="H355" s="92">
        <v>45974.586395509265</v>
      </c>
      <c r="I355" s="2" t="s">
        <v>200</v>
      </c>
      <c r="J355" s="93" t="s">
        <v>3148</v>
      </c>
      <c r="K355" s="2" t="s">
        <v>3149</v>
      </c>
      <c r="L355" s="4"/>
      <c r="M355" s="4"/>
      <c r="N355" s="4"/>
      <c r="O355" s="4"/>
      <c r="P355" s="4"/>
      <c r="Q355" s="4"/>
      <c r="R355" s="4"/>
      <c r="S355" s="4"/>
      <c r="T355" s="4"/>
      <c r="U355" s="4"/>
      <c r="V355" s="4"/>
      <c r="W355" s="4"/>
      <c r="X355" s="4"/>
      <c r="Y355" s="4"/>
      <c r="Z355" s="4"/>
    </row>
    <row r="356">
      <c r="A356" s="33">
        <v>11136.0</v>
      </c>
      <c r="B356" s="2" t="s">
        <v>613</v>
      </c>
      <c r="C356" s="2" t="s">
        <v>173</v>
      </c>
      <c r="D356" s="2" t="s">
        <v>174</v>
      </c>
      <c r="E356" s="2" t="s">
        <v>35</v>
      </c>
      <c r="F356" s="2" t="s">
        <v>129</v>
      </c>
      <c r="G356" s="92">
        <v>45974.57400479166</v>
      </c>
      <c r="H356" s="92">
        <v>45974.59138950231</v>
      </c>
      <c r="I356" s="2" t="s">
        <v>524</v>
      </c>
      <c r="J356" s="17"/>
      <c r="K356" s="17"/>
      <c r="L356" s="4"/>
      <c r="M356" s="4"/>
      <c r="N356" s="4"/>
      <c r="O356" s="4"/>
      <c r="P356" s="4"/>
      <c r="Q356" s="4"/>
      <c r="R356" s="4"/>
      <c r="S356" s="4"/>
      <c r="T356" s="4"/>
      <c r="U356" s="4"/>
      <c r="V356" s="4"/>
      <c r="W356" s="4"/>
      <c r="X356" s="4"/>
      <c r="Y356" s="4"/>
      <c r="Z356" s="4"/>
    </row>
    <row r="357">
      <c r="A357" s="33" t="s">
        <v>570</v>
      </c>
      <c r="B357" s="2" t="s">
        <v>3150</v>
      </c>
      <c r="C357" s="2" t="s">
        <v>3151</v>
      </c>
      <c r="D357" s="2" t="s">
        <v>3152</v>
      </c>
      <c r="E357" s="2" t="s">
        <v>41</v>
      </c>
      <c r="F357" s="2" t="s">
        <v>46</v>
      </c>
      <c r="G357" s="92">
        <v>45974.55841189815</v>
      </c>
      <c r="H357" s="92">
        <v>45974.59573887731</v>
      </c>
      <c r="I357" s="2" t="s">
        <v>565</v>
      </c>
      <c r="J357" s="93" t="s">
        <v>3153</v>
      </c>
      <c r="K357" s="2" t="s">
        <v>3154</v>
      </c>
      <c r="L357" s="4"/>
      <c r="M357" s="4"/>
      <c r="N357" s="4"/>
      <c r="O357" s="4"/>
      <c r="P357" s="4"/>
      <c r="Q357" s="4"/>
      <c r="R357" s="4"/>
      <c r="S357" s="4"/>
      <c r="T357" s="4"/>
      <c r="U357" s="4"/>
      <c r="V357" s="4"/>
      <c r="W357" s="4"/>
      <c r="X357" s="4"/>
      <c r="Y357" s="4"/>
      <c r="Z357" s="4"/>
    </row>
    <row r="358">
      <c r="A358" s="33" t="s">
        <v>579</v>
      </c>
      <c r="B358" s="2" t="s">
        <v>3155</v>
      </c>
      <c r="C358" s="2" t="s">
        <v>3156</v>
      </c>
      <c r="D358" s="2" t="s">
        <v>3157</v>
      </c>
      <c r="E358" s="2" t="s">
        <v>31</v>
      </c>
      <c r="F358" s="2" t="s">
        <v>46</v>
      </c>
      <c r="G358" s="92">
        <v>45974.55812271991</v>
      </c>
      <c r="H358" s="92">
        <v>45974.60319185186</v>
      </c>
      <c r="I358" s="2" t="s">
        <v>429</v>
      </c>
      <c r="J358" s="93" t="s">
        <v>3158</v>
      </c>
      <c r="K358" s="2" t="s">
        <v>3159</v>
      </c>
      <c r="L358" s="4"/>
      <c r="M358" s="4"/>
      <c r="N358" s="4"/>
      <c r="O358" s="4"/>
      <c r="P358" s="4"/>
      <c r="Q358" s="4"/>
      <c r="R358" s="4"/>
      <c r="S358" s="4"/>
      <c r="T358" s="4"/>
      <c r="U358" s="4"/>
      <c r="V358" s="4"/>
      <c r="W358" s="4"/>
      <c r="X358" s="4"/>
      <c r="Y358" s="4"/>
      <c r="Z358" s="4"/>
    </row>
    <row r="359">
      <c r="A359" s="33">
        <v>11126.0</v>
      </c>
      <c r="B359" s="2" t="s">
        <v>602</v>
      </c>
      <c r="C359" s="2" t="s">
        <v>603</v>
      </c>
      <c r="D359" s="2" t="s">
        <v>604</v>
      </c>
      <c r="E359" s="2" t="s">
        <v>35</v>
      </c>
      <c r="F359" s="2" t="s">
        <v>129</v>
      </c>
      <c r="G359" s="92">
        <v>45974.59164702546</v>
      </c>
      <c r="H359" s="92">
        <v>45974.60784427084</v>
      </c>
      <c r="I359" s="2" t="s">
        <v>250</v>
      </c>
      <c r="J359" s="17"/>
      <c r="K359" s="17"/>
      <c r="L359" s="4"/>
      <c r="M359" s="4"/>
      <c r="N359" s="4"/>
      <c r="O359" s="4"/>
      <c r="P359" s="4"/>
      <c r="Q359" s="4"/>
      <c r="R359" s="4"/>
      <c r="S359" s="4"/>
      <c r="T359" s="4"/>
      <c r="U359" s="4"/>
      <c r="V359" s="4"/>
      <c r="W359" s="4"/>
      <c r="X359" s="4"/>
      <c r="Y359" s="4"/>
      <c r="Z359" s="4"/>
    </row>
    <row r="360">
      <c r="A360" s="33">
        <v>11127.0</v>
      </c>
      <c r="B360" s="2" t="s">
        <v>605</v>
      </c>
      <c r="C360" s="2" t="s">
        <v>606</v>
      </c>
      <c r="D360" s="2" t="s">
        <v>607</v>
      </c>
      <c r="E360" s="2" t="s">
        <v>35</v>
      </c>
      <c r="F360" s="2" t="s">
        <v>129</v>
      </c>
      <c r="G360" s="92">
        <v>45974.60811681713</v>
      </c>
      <c r="H360" s="92">
        <v>45974.61016899305</v>
      </c>
      <c r="I360" s="2" t="s">
        <v>409</v>
      </c>
      <c r="J360" s="17"/>
      <c r="K360" s="17"/>
      <c r="L360" s="4"/>
      <c r="M360" s="4"/>
      <c r="N360" s="4"/>
      <c r="O360" s="4"/>
      <c r="P360" s="4"/>
      <c r="Q360" s="4"/>
      <c r="R360" s="4"/>
      <c r="S360" s="4"/>
      <c r="T360" s="4"/>
      <c r="U360" s="4"/>
      <c r="V360" s="4"/>
      <c r="W360" s="4"/>
      <c r="X360" s="4"/>
      <c r="Y360" s="4"/>
      <c r="Z360" s="4"/>
    </row>
    <row r="361">
      <c r="A361" s="33" t="s">
        <v>581</v>
      </c>
      <c r="B361" s="2" t="s">
        <v>3160</v>
      </c>
      <c r="C361" s="2" t="s">
        <v>2073</v>
      </c>
      <c r="D361" s="2" t="s">
        <v>2074</v>
      </c>
      <c r="E361" s="2" t="s">
        <v>27</v>
      </c>
      <c r="F361" s="2" t="s">
        <v>46</v>
      </c>
      <c r="G361" s="92">
        <v>45974.523022002315</v>
      </c>
      <c r="H361" s="92">
        <v>45974.62826747685</v>
      </c>
      <c r="I361" s="2" t="s">
        <v>582</v>
      </c>
      <c r="J361" s="93" t="s">
        <v>2075</v>
      </c>
      <c r="K361" s="2" t="s">
        <v>2076</v>
      </c>
      <c r="L361" s="4"/>
      <c r="M361" s="4"/>
      <c r="N361" s="4"/>
      <c r="O361" s="4"/>
      <c r="P361" s="4"/>
      <c r="Q361" s="4"/>
      <c r="R361" s="4"/>
      <c r="S361" s="4"/>
      <c r="T361" s="4"/>
      <c r="U361" s="4"/>
      <c r="V361" s="4"/>
      <c r="W361" s="4"/>
      <c r="X361" s="4"/>
      <c r="Y361" s="4"/>
      <c r="Z361" s="4"/>
    </row>
    <row r="362">
      <c r="A362" s="33" t="s">
        <v>516</v>
      </c>
      <c r="B362" s="2" t="s">
        <v>3161</v>
      </c>
      <c r="C362" s="2" t="s">
        <v>3162</v>
      </c>
      <c r="D362" s="2" t="s">
        <v>3163</v>
      </c>
      <c r="E362" s="2" t="s">
        <v>21</v>
      </c>
      <c r="F362" s="2" t="s">
        <v>426</v>
      </c>
      <c r="G362" s="3">
        <v>45974.58424070602</v>
      </c>
      <c r="H362" s="3">
        <v>45974.637619016205</v>
      </c>
      <c r="I362" s="2" t="s">
        <v>517</v>
      </c>
      <c r="J362" s="93" t="s">
        <v>3164</v>
      </c>
      <c r="K362" s="2" t="s">
        <v>3165</v>
      </c>
      <c r="L362" s="4"/>
      <c r="M362" s="4"/>
      <c r="N362" s="4"/>
      <c r="O362" s="4"/>
      <c r="P362" s="4"/>
      <c r="Q362" s="4"/>
      <c r="R362" s="4"/>
      <c r="S362" s="4"/>
      <c r="T362" s="4"/>
      <c r="U362" s="4"/>
      <c r="V362" s="4"/>
      <c r="W362" s="4"/>
      <c r="X362" s="4"/>
      <c r="Y362" s="4"/>
      <c r="Z362" s="4"/>
    </row>
    <row r="363">
      <c r="A363" s="33" t="s">
        <v>497</v>
      </c>
      <c r="B363" s="2" t="s">
        <v>3166</v>
      </c>
      <c r="C363" s="2" t="s">
        <v>3167</v>
      </c>
      <c r="D363" s="2" t="s">
        <v>3168</v>
      </c>
      <c r="E363" s="2" t="s">
        <v>19</v>
      </c>
      <c r="F363" s="2" t="s">
        <v>426</v>
      </c>
      <c r="G363" s="3">
        <v>45974.59802600695</v>
      </c>
      <c r="H363" s="92">
        <v>45974.638141550924</v>
      </c>
      <c r="I363" s="2" t="s">
        <v>388</v>
      </c>
      <c r="J363" s="93" t="s">
        <v>3169</v>
      </c>
      <c r="K363" s="2" t="s">
        <v>3170</v>
      </c>
      <c r="L363" s="4"/>
      <c r="M363" s="4"/>
      <c r="N363" s="4"/>
      <c r="O363" s="4"/>
      <c r="P363" s="4"/>
      <c r="Q363" s="4"/>
      <c r="R363" s="4"/>
      <c r="S363" s="4"/>
      <c r="T363" s="4"/>
      <c r="U363" s="4"/>
      <c r="V363" s="4"/>
      <c r="W363" s="4"/>
      <c r="X363" s="4"/>
      <c r="Y363" s="4"/>
      <c r="Z363" s="4"/>
    </row>
    <row r="364">
      <c r="A364" s="33" t="s">
        <v>577</v>
      </c>
      <c r="B364" s="2" t="s">
        <v>3171</v>
      </c>
      <c r="C364" s="2" t="s">
        <v>3172</v>
      </c>
      <c r="D364" s="2" t="s">
        <v>3173</v>
      </c>
      <c r="E364" s="2" t="s">
        <v>23</v>
      </c>
      <c r="F364" s="2" t="s">
        <v>46</v>
      </c>
      <c r="G364" s="92">
        <v>45974.58073261574</v>
      </c>
      <c r="H364" s="92">
        <v>45974.64240201389</v>
      </c>
      <c r="I364" s="2" t="s">
        <v>573</v>
      </c>
      <c r="J364" s="93" t="s">
        <v>3174</v>
      </c>
      <c r="K364" s="2" t="s">
        <v>3175</v>
      </c>
      <c r="L364" s="9" t="s">
        <v>23</v>
      </c>
      <c r="M364" s="4"/>
      <c r="N364" s="4"/>
      <c r="O364" s="4"/>
      <c r="P364" s="4"/>
      <c r="Q364" s="4"/>
      <c r="R364" s="4"/>
      <c r="S364" s="4"/>
      <c r="T364" s="4"/>
      <c r="U364" s="4"/>
      <c r="V364" s="4"/>
      <c r="W364" s="4"/>
      <c r="X364" s="4"/>
      <c r="Y364" s="4"/>
      <c r="Z364" s="4"/>
    </row>
    <row r="365">
      <c r="A365" s="33">
        <v>11122.0</v>
      </c>
      <c r="B365" s="2" t="s">
        <v>596</v>
      </c>
      <c r="C365" s="2" t="s">
        <v>597</v>
      </c>
      <c r="D365" s="2" t="s">
        <v>598</v>
      </c>
      <c r="E365" s="2" t="s">
        <v>35</v>
      </c>
      <c r="F365" s="2" t="s">
        <v>129</v>
      </c>
      <c r="G365" s="92">
        <v>45974.634120243056</v>
      </c>
      <c r="H365" s="92">
        <v>45974.64533547453</v>
      </c>
      <c r="I365" s="2" t="s">
        <v>211</v>
      </c>
      <c r="J365" s="17"/>
      <c r="K365" s="17"/>
      <c r="L365" s="4"/>
      <c r="M365" s="4"/>
      <c r="N365" s="4"/>
      <c r="O365" s="4"/>
      <c r="P365" s="4"/>
      <c r="Q365" s="4"/>
      <c r="R365" s="4"/>
      <c r="S365" s="4"/>
      <c r="T365" s="4"/>
      <c r="U365" s="4"/>
      <c r="V365" s="4"/>
      <c r="W365" s="4"/>
      <c r="X365" s="4"/>
      <c r="Y365" s="4"/>
      <c r="Z365" s="4"/>
    </row>
    <row r="366">
      <c r="A366" s="33" t="s">
        <v>572</v>
      </c>
      <c r="B366" s="2" t="s">
        <v>3176</v>
      </c>
      <c r="C366" s="2" t="s">
        <v>3177</v>
      </c>
      <c r="D366" s="2" t="s">
        <v>3178</v>
      </c>
      <c r="E366" s="2" t="s">
        <v>25</v>
      </c>
      <c r="F366" s="2" t="s">
        <v>46</v>
      </c>
      <c r="G366" s="92">
        <v>45974.59060646991</v>
      </c>
      <c r="H366" s="92">
        <v>45974.652480115736</v>
      </c>
      <c r="I366" s="2" t="s">
        <v>573</v>
      </c>
      <c r="J366" s="93" t="s">
        <v>3179</v>
      </c>
      <c r="K366" s="2" t="s">
        <v>3180</v>
      </c>
      <c r="L366" s="4"/>
      <c r="M366" s="4"/>
      <c r="N366" s="4"/>
      <c r="O366" s="4"/>
      <c r="P366" s="4"/>
      <c r="Q366" s="4"/>
      <c r="R366" s="4"/>
      <c r="S366" s="4"/>
      <c r="T366" s="4"/>
      <c r="U366" s="4"/>
      <c r="V366" s="4"/>
      <c r="W366" s="4"/>
      <c r="X366" s="4"/>
      <c r="Y366" s="4"/>
      <c r="Z366" s="4"/>
    </row>
    <row r="367">
      <c r="A367" s="33" t="s">
        <v>568</v>
      </c>
      <c r="B367" s="2" t="s">
        <v>3181</v>
      </c>
      <c r="C367" s="2" t="s">
        <v>3182</v>
      </c>
      <c r="D367" s="2" t="s">
        <v>3183</v>
      </c>
      <c r="E367" s="2" t="s">
        <v>31</v>
      </c>
      <c r="F367" s="2" t="s">
        <v>46</v>
      </c>
      <c r="G367" s="92">
        <v>45974.61463457176</v>
      </c>
      <c r="H367" s="92">
        <v>45974.65544082176</v>
      </c>
      <c r="I367" s="2" t="s">
        <v>569</v>
      </c>
      <c r="J367" s="93" t="s">
        <v>3184</v>
      </c>
      <c r="K367" s="2" t="s">
        <v>3185</v>
      </c>
      <c r="L367" s="4"/>
      <c r="M367" s="4"/>
      <c r="N367" s="4"/>
      <c r="O367" s="4"/>
      <c r="P367" s="4"/>
      <c r="Q367" s="4"/>
      <c r="R367" s="4"/>
      <c r="S367" s="4"/>
      <c r="T367" s="4"/>
      <c r="U367" s="4"/>
      <c r="V367" s="4"/>
      <c r="W367" s="4"/>
      <c r="X367" s="4"/>
      <c r="Y367" s="4"/>
      <c r="Z367" s="4"/>
    </row>
    <row r="368">
      <c r="A368" s="33" t="s">
        <v>443</v>
      </c>
      <c r="B368" s="2" t="s">
        <v>3186</v>
      </c>
      <c r="C368" s="2" t="s">
        <v>3187</v>
      </c>
      <c r="D368" s="2" t="s">
        <v>3188</v>
      </c>
      <c r="E368" s="2" t="s">
        <v>17</v>
      </c>
      <c r="F368" s="2" t="s">
        <v>426</v>
      </c>
      <c r="G368" s="92">
        <v>45974.58300130787</v>
      </c>
      <c r="H368" s="92">
        <v>45974.6618250926</v>
      </c>
      <c r="I368" s="2" t="s">
        <v>444</v>
      </c>
      <c r="J368" s="93" t="s">
        <v>3189</v>
      </c>
      <c r="K368" s="93" t="s">
        <v>3190</v>
      </c>
      <c r="L368" s="4"/>
      <c r="M368" s="4"/>
      <c r="N368" s="4"/>
      <c r="O368" s="4"/>
      <c r="P368" s="4"/>
      <c r="Q368" s="4"/>
      <c r="R368" s="4"/>
      <c r="S368" s="4"/>
      <c r="T368" s="4"/>
      <c r="U368" s="4"/>
      <c r="V368" s="4"/>
      <c r="W368" s="4"/>
      <c r="X368" s="4"/>
      <c r="Y368" s="4"/>
      <c r="Z368" s="4"/>
    </row>
    <row r="369">
      <c r="A369" s="33" t="s">
        <v>578</v>
      </c>
      <c r="B369" s="2" t="s">
        <v>3191</v>
      </c>
      <c r="C369" s="2" t="s">
        <v>3192</v>
      </c>
      <c r="D369" s="2" t="s">
        <v>3193</v>
      </c>
      <c r="E369" s="2" t="s">
        <v>23</v>
      </c>
      <c r="F369" s="2" t="s">
        <v>46</v>
      </c>
      <c r="G369" s="92">
        <v>45974.64261232639</v>
      </c>
      <c r="H369" s="92">
        <v>45974.661940081016</v>
      </c>
      <c r="I369" s="2" t="s">
        <v>171</v>
      </c>
      <c r="J369" s="93" t="s">
        <v>3194</v>
      </c>
      <c r="K369" s="2" t="s">
        <v>3195</v>
      </c>
      <c r="L369" s="4"/>
      <c r="M369" s="4"/>
      <c r="N369" s="4"/>
      <c r="O369" s="4"/>
      <c r="P369" s="4"/>
      <c r="Q369" s="4"/>
      <c r="R369" s="4"/>
      <c r="S369" s="4"/>
      <c r="T369" s="4"/>
      <c r="U369" s="4"/>
      <c r="V369" s="4"/>
      <c r="W369" s="4"/>
      <c r="X369" s="4"/>
      <c r="Y369" s="4"/>
      <c r="Z369" s="4"/>
    </row>
    <row r="370">
      <c r="A370" s="33" t="s">
        <v>450</v>
      </c>
      <c r="B370" s="2" t="s">
        <v>3196</v>
      </c>
      <c r="C370" s="2" t="s">
        <v>3197</v>
      </c>
      <c r="D370" s="2" t="s">
        <v>3198</v>
      </c>
      <c r="E370" s="2" t="s">
        <v>33</v>
      </c>
      <c r="F370" s="2" t="s">
        <v>426</v>
      </c>
      <c r="G370" s="92">
        <v>45974.59274840278</v>
      </c>
      <c r="H370" s="92">
        <v>45974.674335648146</v>
      </c>
      <c r="I370" s="2" t="s">
        <v>108</v>
      </c>
      <c r="J370" s="93" t="s">
        <v>3199</v>
      </c>
      <c r="K370" s="2" t="s">
        <v>3200</v>
      </c>
      <c r="L370" s="9" t="s">
        <v>19</v>
      </c>
      <c r="M370" s="4"/>
      <c r="N370" s="4"/>
      <c r="O370" s="4"/>
      <c r="P370" s="4"/>
      <c r="Q370" s="4"/>
      <c r="R370" s="4"/>
      <c r="S370" s="4"/>
      <c r="T370" s="4"/>
      <c r="U370" s="4"/>
      <c r="V370" s="4"/>
      <c r="W370" s="4"/>
      <c r="X370" s="4"/>
      <c r="Y370" s="4"/>
      <c r="Z370" s="4"/>
    </row>
    <row r="371">
      <c r="A371" s="33">
        <v>11152.0</v>
      </c>
      <c r="B371" s="2" t="s">
        <v>620</v>
      </c>
      <c r="C371" s="2" t="s">
        <v>621</v>
      </c>
      <c r="D371" s="2" t="s">
        <v>622</v>
      </c>
      <c r="E371" s="2" t="s">
        <v>35</v>
      </c>
      <c r="F371" s="2" t="s">
        <v>129</v>
      </c>
      <c r="G371" s="92">
        <v>45974.660368425924</v>
      </c>
      <c r="H371" s="92">
        <v>45974.691316446755</v>
      </c>
      <c r="I371" s="2" t="s">
        <v>167</v>
      </c>
      <c r="J371" s="17"/>
      <c r="K371" s="17"/>
      <c r="L371" s="4"/>
      <c r="M371" s="4"/>
      <c r="N371" s="4"/>
      <c r="O371" s="4"/>
      <c r="P371" s="4"/>
      <c r="Q371" s="4"/>
      <c r="R371" s="4"/>
      <c r="S371" s="4"/>
      <c r="T371" s="4"/>
      <c r="U371" s="4"/>
      <c r="V371" s="4"/>
      <c r="W371" s="4"/>
      <c r="X371" s="4"/>
      <c r="Y371" s="4"/>
      <c r="Z371" s="4"/>
    </row>
    <row r="372">
      <c r="A372" s="33" t="s">
        <v>563</v>
      </c>
      <c r="B372" s="2" t="s">
        <v>3201</v>
      </c>
      <c r="C372" s="2" t="s">
        <v>3202</v>
      </c>
      <c r="D372" s="2" t="s">
        <v>3203</v>
      </c>
      <c r="E372" s="2" t="s">
        <v>41</v>
      </c>
      <c r="F372" s="2" t="s">
        <v>46</v>
      </c>
      <c r="G372" s="92">
        <v>45974.60655755787</v>
      </c>
      <c r="H372" s="92">
        <v>45974.70465997685</v>
      </c>
      <c r="I372" s="2" t="s">
        <v>434</v>
      </c>
      <c r="J372" s="93" t="s">
        <v>3204</v>
      </c>
      <c r="K372" s="2" t="s">
        <v>3205</v>
      </c>
      <c r="L372" s="4"/>
      <c r="M372" s="4"/>
      <c r="N372" s="4"/>
      <c r="O372" s="4"/>
      <c r="P372" s="4"/>
      <c r="Q372" s="4"/>
      <c r="R372" s="4"/>
      <c r="S372" s="4"/>
      <c r="T372" s="4"/>
      <c r="U372" s="4"/>
      <c r="V372" s="4"/>
      <c r="W372" s="4"/>
      <c r="X372" s="4"/>
      <c r="Y372" s="4"/>
      <c r="Z372" s="4"/>
    </row>
    <row r="373">
      <c r="A373" s="33">
        <v>11129.0</v>
      </c>
      <c r="B373" s="2" t="s">
        <v>612</v>
      </c>
      <c r="C373" s="2" t="s">
        <v>609</v>
      </c>
      <c r="D373" s="2" t="s">
        <v>610</v>
      </c>
      <c r="E373" s="2" t="s">
        <v>33</v>
      </c>
      <c r="F373" s="2" t="s">
        <v>129</v>
      </c>
      <c r="G373" s="92">
        <v>45974.72871488426</v>
      </c>
      <c r="H373" s="92">
        <v>45974.72934068287</v>
      </c>
      <c r="I373" s="2" t="s">
        <v>243</v>
      </c>
      <c r="J373" s="17"/>
      <c r="K373" s="17"/>
      <c r="L373" s="4"/>
      <c r="M373" s="4"/>
      <c r="N373" s="4"/>
      <c r="O373" s="4"/>
      <c r="P373" s="4"/>
      <c r="Q373" s="4"/>
      <c r="R373" s="4"/>
      <c r="S373" s="4"/>
      <c r="T373" s="4"/>
      <c r="U373" s="4"/>
      <c r="V373" s="4"/>
      <c r="W373" s="4"/>
      <c r="X373" s="4"/>
      <c r="Y373" s="4"/>
      <c r="Z373" s="4"/>
    </row>
    <row r="374">
      <c r="A374" s="33">
        <v>11128.0</v>
      </c>
      <c r="B374" s="2" t="s">
        <v>608</v>
      </c>
      <c r="C374" s="2" t="s">
        <v>609</v>
      </c>
      <c r="D374" s="2" t="s">
        <v>610</v>
      </c>
      <c r="E374" s="2" t="s">
        <v>33</v>
      </c>
      <c r="F374" s="2" t="s">
        <v>129</v>
      </c>
      <c r="G374" s="92">
        <v>45974.73077274306</v>
      </c>
      <c r="H374" s="92">
        <v>45974.73096075232</v>
      </c>
      <c r="I374" s="2" t="s">
        <v>611</v>
      </c>
      <c r="J374" s="17"/>
      <c r="K374" s="17"/>
      <c r="L374" s="4"/>
      <c r="M374" s="4"/>
      <c r="N374" s="4"/>
      <c r="O374" s="4"/>
      <c r="P374" s="4"/>
      <c r="Q374" s="4"/>
      <c r="R374" s="4"/>
      <c r="S374" s="4"/>
      <c r="T374" s="4"/>
      <c r="U374" s="4"/>
      <c r="V374" s="4"/>
      <c r="W374" s="4"/>
      <c r="X374" s="4"/>
      <c r="Y374" s="4"/>
      <c r="Z374" s="4"/>
    </row>
    <row r="375">
      <c r="A375" s="33" t="s">
        <v>564</v>
      </c>
      <c r="B375" s="2" t="s">
        <v>3206</v>
      </c>
      <c r="C375" s="2" t="s">
        <v>3207</v>
      </c>
      <c r="D375" s="2" t="s">
        <v>3208</v>
      </c>
      <c r="E375" s="2" t="s">
        <v>41</v>
      </c>
      <c r="F375" s="2" t="s">
        <v>46</v>
      </c>
      <c r="G375" s="92">
        <v>45974.70503706019</v>
      </c>
      <c r="H375" s="92">
        <v>45974.74229318287</v>
      </c>
      <c r="I375" s="2" t="s">
        <v>565</v>
      </c>
      <c r="J375" s="93" t="s">
        <v>3209</v>
      </c>
      <c r="K375" s="2" t="s">
        <v>3210</v>
      </c>
      <c r="L375" s="4"/>
      <c r="M375" s="4"/>
      <c r="N375" s="4"/>
      <c r="O375" s="4"/>
      <c r="P375" s="4"/>
      <c r="Q375" s="4"/>
      <c r="R375" s="4"/>
      <c r="S375" s="4"/>
      <c r="T375" s="4"/>
      <c r="U375" s="4"/>
      <c r="V375" s="4"/>
      <c r="W375" s="4"/>
      <c r="X375" s="4"/>
      <c r="Y375" s="4"/>
      <c r="Z375" s="4"/>
    </row>
    <row r="376">
      <c r="A376" s="33" t="s">
        <v>583</v>
      </c>
      <c r="B376" s="2" t="s">
        <v>3211</v>
      </c>
      <c r="C376" s="2" t="s">
        <v>3212</v>
      </c>
      <c r="D376" s="2" t="s">
        <v>3213</v>
      </c>
      <c r="E376" s="2" t="s">
        <v>25</v>
      </c>
      <c r="F376" s="2" t="s">
        <v>46</v>
      </c>
      <c r="G376" s="92">
        <v>45974.65573157408</v>
      </c>
      <c r="H376" s="92">
        <v>45974.74283884259</v>
      </c>
      <c r="I376" s="2" t="s">
        <v>584</v>
      </c>
      <c r="J376" s="93" t="s">
        <v>3214</v>
      </c>
      <c r="K376" s="2" t="s">
        <v>3215</v>
      </c>
      <c r="L376" s="4"/>
      <c r="M376" s="4"/>
      <c r="N376" s="4"/>
      <c r="O376" s="4"/>
      <c r="P376" s="4"/>
      <c r="Q376" s="4"/>
      <c r="R376" s="4"/>
      <c r="S376" s="4"/>
      <c r="T376" s="4"/>
      <c r="U376" s="4"/>
      <c r="V376" s="4"/>
      <c r="W376" s="4"/>
      <c r="X376" s="4"/>
      <c r="Y376" s="4"/>
      <c r="Z376" s="4"/>
    </row>
    <row r="377">
      <c r="A377" s="33">
        <v>11151.0</v>
      </c>
      <c r="B377" s="2" t="s">
        <v>617</v>
      </c>
      <c r="C377" s="2" t="s">
        <v>618</v>
      </c>
      <c r="D377" s="2" t="s">
        <v>619</v>
      </c>
      <c r="E377" s="2" t="s">
        <v>33</v>
      </c>
      <c r="F377" s="2" t="s">
        <v>129</v>
      </c>
      <c r="G377" s="92">
        <v>45974.73559193287</v>
      </c>
      <c r="H377" s="92">
        <v>45974.74696454861</v>
      </c>
      <c r="I377" s="2" t="s">
        <v>211</v>
      </c>
      <c r="J377" s="17"/>
      <c r="K377" s="17"/>
      <c r="L377" s="4"/>
      <c r="M377" s="4"/>
      <c r="N377" s="4"/>
      <c r="O377" s="4"/>
      <c r="P377" s="4"/>
      <c r="Q377" s="4"/>
      <c r="R377" s="4"/>
      <c r="S377" s="4"/>
      <c r="T377" s="4"/>
      <c r="U377" s="4"/>
      <c r="V377" s="4"/>
      <c r="W377" s="4"/>
      <c r="X377" s="4"/>
      <c r="Y377" s="4"/>
      <c r="Z377" s="4"/>
    </row>
    <row r="378">
      <c r="A378" s="33">
        <v>11112.0</v>
      </c>
      <c r="B378" s="2" t="s">
        <v>589</v>
      </c>
      <c r="C378" s="2" t="s">
        <v>590</v>
      </c>
      <c r="D378" s="2" t="s">
        <v>591</v>
      </c>
      <c r="E378" s="2" t="s">
        <v>35</v>
      </c>
      <c r="F378" s="2" t="s">
        <v>129</v>
      </c>
      <c r="G378" s="92">
        <v>45974.73071787037</v>
      </c>
      <c r="H378" s="92">
        <v>45974.74750508102</v>
      </c>
      <c r="I378" s="2" t="s">
        <v>531</v>
      </c>
      <c r="J378" s="17"/>
      <c r="K378" s="17"/>
      <c r="L378" s="4"/>
      <c r="M378" s="4"/>
      <c r="N378" s="4"/>
      <c r="O378" s="4"/>
      <c r="P378" s="4"/>
      <c r="Q378" s="4"/>
      <c r="R378" s="4"/>
      <c r="S378" s="4"/>
      <c r="T378" s="4"/>
      <c r="U378" s="4"/>
      <c r="V378" s="4"/>
      <c r="W378" s="4"/>
      <c r="X378" s="4"/>
      <c r="Y378" s="4"/>
      <c r="Z378" s="4"/>
    </row>
    <row r="379">
      <c r="A379" s="33" t="s">
        <v>566</v>
      </c>
      <c r="B379" s="2" t="s">
        <v>3216</v>
      </c>
      <c r="C379" s="2" t="s">
        <v>3217</v>
      </c>
      <c r="D379" s="2" t="s">
        <v>3218</v>
      </c>
      <c r="E379" s="2" t="s">
        <v>31</v>
      </c>
      <c r="F379" s="2" t="s">
        <v>46</v>
      </c>
      <c r="G379" s="92">
        <v>45974.664309189815</v>
      </c>
      <c r="H379" s="92">
        <v>45974.74813577546</v>
      </c>
      <c r="I379" s="2" t="s">
        <v>567</v>
      </c>
      <c r="J379" s="93" t="s">
        <v>3219</v>
      </c>
      <c r="K379" s="2" t="s">
        <v>3220</v>
      </c>
      <c r="L379" s="4"/>
      <c r="M379" s="4"/>
      <c r="N379" s="4"/>
      <c r="O379" s="4"/>
      <c r="P379" s="4"/>
      <c r="Q379" s="4"/>
      <c r="R379" s="4"/>
      <c r="S379" s="4"/>
      <c r="T379" s="4"/>
      <c r="U379" s="4"/>
      <c r="V379" s="4"/>
      <c r="W379" s="4"/>
      <c r="X379" s="4"/>
      <c r="Y379" s="4"/>
      <c r="Z379" s="4"/>
    </row>
    <row r="380">
      <c r="A380" s="33" t="s">
        <v>574</v>
      </c>
      <c r="B380" s="2" t="s">
        <v>3221</v>
      </c>
      <c r="C380" s="2" t="s">
        <v>2391</v>
      </c>
      <c r="D380" s="2" t="s">
        <v>2392</v>
      </c>
      <c r="E380" s="2" t="s">
        <v>23</v>
      </c>
      <c r="F380" s="2" t="s">
        <v>46</v>
      </c>
      <c r="G380" s="92">
        <v>45974.67291841435</v>
      </c>
      <c r="H380" s="92">
        <v>45974.749362291666</v>
      </c>
      <c r="I380" s="2" t="s">
        <v>522</v>
      </c>
      <c r="J380" s="93" t="s">
        <v>2393</v>
      </c>
      <c r="K380" s="2" t="s">
        <v>2394</v>
      </c>
      <c r="L380" s="4"/>
      <c r="M380" s="4"/>
      <c r="N380" s="4"/>
      <c r="O380" s="4"/>
      <c r="P380" s="4"/>
      <c r="Q380" s="4"/>
      <c r="R380" s="4"/>
      <c r="S380" s="4"/>
      <c r="T380" s="4"/>
      <c r="U380" s="4"/>
      <c r="V380" s="4"/>
      <c r="W380" s="4"/>
      <c r="X380" s="4"/>
      <c r="Y380" s="4"/>
      <c r="Z380" s="4"/>
    </row>
    <row r="381">
      <c r="A381" s="33" t="s">
        <v>364</v>
      </c>
      <c r="B381" s="2" t="s">
        <v>365</v>
      </c>
      <c r="C381" s="2" t="s">
        <v>366</v>
      </c>
      <c r="D381" s="2" t="s">
        <v>367</v>
      </c>
      <c r="E381" s="2" t="s">
        <v>29</v>
      </c>
      <c r="F381" s="2" t="s">
        <v>346</v>
      </c>
      <c r="G381" s="92">
        <v>45974.492473680555</v>
      </c>
      <c r="H381" s="92">
        <v>45974.75129388889</v>
      </c>
      <c r="I381" s="2" t="s">
        <v>368</v>
      </c>
      <c r="J381" s="93" t="s">
        <v>369</v>
      </c>
      <c r="K381" s="93" t="s">
        <v>370</v>
      </c>
      <c r="L381" s="9" t="s">
        <v>41</v>
      </c>
      <c r="M381" s="4"/>
      <c r="N381" s="4"/>
      <c r="O381" s="4"/>
      <c r="P381" s="4"/>
      <c r="Q381" s="4"/>
      <c r="R381" s="4"/>
      <c r="S381" s="4"/>
      <c r="T381" s="4"/>
      <c r="U381" s="4"/>
      <c r="V381" s="4"/>
      <c r="W381" s="4"/>
      <c r="X381" s="4"/>
      <c r="Y381" s="4"/>
      <c r="Z381" s="4"/>
    </row>
    <row r="382">
      <c r="A382" s="33" t="s">
        <v>575</v>
      </c>
      <c r="B382" s="2" t="s">
        <v>3222</v>
      </c>
      <c r="C382" s="2" t="s">
        <v>3223</v>
      </c>
      <c r="D382" s="2" t="s">
        <v>3224</v>
      </c>
      <c r="E382" s="2" t="s">
        <v>27</v>
      </c>
      <c r="F382" s="2" t="s">
        <v>46</v>
      </c>
      <c r="G382" s="92">
        <v>45974.63455908565</v>
      </c>
      <c r="H382" s="92">
        <v>45974.752067407404</v>
      </c>
      <c r="I382" s="2" t="s">
        <v>576</v>
      </c>
      <c r="J382" s="93" t="s">
        <v>3225</v>
      </c>
      <c r="K382" s="2" t="s">
        <v>3226</v>
      </c>
      <c r="L382" s="4"/>
      <c r="M382" s="4"/>
      <c r="N382" s="4"/>
      <c r="O382" s="4"/>
      <c r="P382" s="4"/>
      <c r="Q382" s="4"/>
      <c r="R382" s="4"/>
      <c r="S382" s="4"/>
      <c r="T382" s="4"/>
      <c r="U382" s="4"/>
      <c r="V382" s="4"/>
      <c r="W382" s="4"/>
      <c r="X382" s="4"/>
      <c r="Y382" s="4"/>
      <c r="Z382" s="4"/>
    </row>
    <row r="383">
      <c r="A383" s="33" t="s">
        <v>445</v>
      </c>
      <c r="B383" s="2" t="s">
        <v>3227</v>
      </c>
      <c r="C383" s="2" t="s">
        <v>2228</v>
      </c>
      <c r="D383" s="2" t="s">
        <v>2229</v>
      </c>
      <c r="E383" s="2" t="s">
        <v>17</v>
      </c>
      <c r="F383" s="2" t="s">
        <v>426</v>
      </c>
      <c r="G383" s="92">
        <v>45974.67472679398</v>
      </c>
      <c r="H383" s="92">
        <v>45974.75268100694</v>
      </c>
      <c r="I383" s="2" t="s">
        <v>438</v>
      </c>
      <c r="J383" s="93" t="s">
        <v>2230</v>
      </c>
      <c r="K383" s="2" t="s">
        <v>2231</v>
      </c>
      <c r="L383" s="4"/>
      <c r="M383" s="4"/>
      <c r="N383" s="4"/>
      <c r="O383" s="4"/>
      <c r="P383" s="4"/>
      <c r="Q383" s="4"/>
      <c r="R383" s="4"/>
      <c r="S383" s="4"/>
      <c r="T383" s="4"/>
      <c r="U383" s="4"/>
      <c r="V383" s="4"/>
      <c r="W383" s="4"/>
      <c r="X383" s="4"/>
      <c r="Y383" s="4"/>
      <c r="Z383" s="4"/>
    </row>
    <row r="384">
      <c r="A384" s="33" t="s">
        <v>448</v>
      </c>
      <c r="B384" s="2" t="s">
        <v>3228</v>
      </c>
      <c r="C384" s="2" t="s">
        <v>3229</v>
      </c>
      <c r="D384" s="2" t="s">
        <v>3230</v>
      </c>
      <c r="E384" s="2" t="s">
        <v>21</v>
      </c>
      <c r="F384" s="2" t="s">
        <v>426</v>
      </c>
      <c r="G384" s="3">
        <v>45974.672876041666</v>
      </c>
      <c r="H384" s="3">
        <v>45974.75321355324</v>
      </c>
      <c r="I384" s="2" t="s">
        <v>449</v>
      </c>
      <c r="J384" s="93" t="s">
        <v>3231</v>
      </c>
      <c r="K384" s="2" t="s">
        <v>3232</v>
      </c>
      <c r="L384" s="4"/>
      <c r="M384" s="4"/>
      <c r="N384" s="4"/>
      <c r="O384" s="4"/>
      <c r="P384" s="4"/>
      <c r="Q384" s="4"/>
      <c r="R384" s="4"/>
      <c r="S384" s="4"/>
      <c r="T384" s="4"/>
      <c r="U384" s="4"/>
      <c r="V384" s="4"/>
      <c r="W384" s="4"/>
      <c r="X384" s="4"/>
      <c r="Y384" s="4"/>
      <c r="Z384" s="4"/>
    </row>
    <row r="385">
      <c r="A385" s="33" t="s">
        <v>466</v>
      </c>
      <c r="B385" s="2" t="s">
        <v>3233</v>
      </c>
      <c r="C385" s="2" t="s">
        <v>2375</v>
      </c>
      <c r="D385" s="2" t="s">
        <v>2376</v>
      </c>
      <c r="E385" s="2" t="s">
        <v>19</v>
      </c>
      <c r="F385" s="2" t="s">
        <v>426</v>
      </c>
      <c r="G385" s="3">
        <v>45974.66465193287</v>
      </c>
      <c r="H385" s="92">
        <v>45974.75387274305</v>
      </c>
      <c r="I385" s="2" t="s">
        <v>467</v>
      </c>
      <c r="J385" s="93" t="s">
        <v>2377</v>
      </c>
      <c r="K385" s="2" t="s">
        <v>2378</v>
      </c>
      <c r="L385" s="4"/>
      <c r="M385" s="4"/>
      <c r="N385" s="4"/>
      <c r="O385" s="4"/>
      <c r="P385" s="4"/>
      <c r="Q385" s="4"/>
      <c r="R385" s="4"/>
      <c r="S385" s="4"/>
      <c r="T385" s="4"/>
      <c r="U385" s="4"/>
      <c r="V385" s="4"/>
      <c r="W385" s="4"/>
      <c r="X385" s="4"/>
      <c r="Y385" s="4"/>
      <c r="Z385" s="4"/>
    </row>
    <row r="386">
      <c r="A386" s="33">
        <v>11115.0</v>
      </c>
      <c r="B386" s="2" t="s">
        <v>592</v>
      </c>
      <c r="C386" s="2" t="s">
        <v>593</v>
      </c>
      <c r="D386" s="2" t="s">
        <v>594</v>
      </c>
      <c r="E386" s="2" t="s">
        <v>35</v>
      </c>
      <c r="F386" s="2" t="s">
        <v>129</v>
      </c>
      <c r="G386" s="92">
        <v>45974.75099726852</v>
      </c>
      <c r="H386" s="92">
        <v>45974.759455277774</v>
      </c>
      <c r="I386" s="2" t="s">
        <v>595</v>
      </c>
      <c r="J386" s="17"/>
      <c r="K386" s="17"/>
      <c r="L386" s="4"/>
      <c r="M386" s="4"/>
      <c r="N386" s="4"/>
      <c r="O386" s="4"/>
      <c r="P386" s="4"/>
      <c r="Q386" s="4"/>
      <c r="R386" s="4"/>
      <c r="S386" s="4"/>
      <c r="T386" s="4"/>
      <c r="U386" s="4"/>
      <c r="V386" s="4"/>
      <c r="W386" s="4"/>
      <c r="X386" s="4"/>
      <c r="Y386" s="4"/>
      <c r="Z386" s="4"/>
    </row>
    <row r="387">
      <c r="A387" s="33">
        <v>11148.0</v>
      </c>
      <c r="B387" s="2" t="s">
        <v>614</v>
      </c>
      <c r="C387" s="2" t="s">
        <v>615</v>
      </c>
      <c r="D387" s="2" t="s">
        <v>616</v>
      </c>
      <c r="E387" s="2" t="s">
        <v>33</v>
      </c>
      <c r="F387" s="2" t="s">
        <v>129</v>
      </c>
      <c r="G387" s="92">
        <v>45974.759701076386</v>
      </c>
      <c r="H387" s="92">
        <v>45974.761823900466</v>
      </c>
      <c r="I387" s="2" t="s">
        <v>409</v>
      </c>
      <c r="J387" s="17"/>
      <c r="K387" s="17"/>
      <c r="L387" s="4"/>
      <c r="M387" s="4"/>
      <c r="N387" s="4"/>
      <c r="O387" s="4"/>
      <c r="P387" s="4"/>
      <c r="Q387" s="4"/>
      <c r="R387" s="4"/>
      <c r="S387" s="4"/>
      <c r="T387" s="4"/>
      <c r="U387" s="4"/>
      <c r="V387" s="4"/>
      <c r="W387" s="4"/>
      <c r="X387" s="4"/>
      <c r="Y387" s="4"/>
      <c r="Z387" s="4"/>
    </row>
    <row r="388">
      <c r="A388" s="77"/>
      <c r="B388" s="17"/>
      <c r="C388" s="17"/>
      <c r="D388" s="17"/>
      <c r="E388" s="17"/>
      <c r="F388" s="17"/>
      <c r="G388" s="78"/>
      <c r="H388" s="78"/>
      <c r="I388" s="17"/>
      <c r="J388" s="17"/>
      <c r="K388" s="17"/>
      <c r="L388" s="4"/>
      <c r="M388" s="4"/>
      <c r="N388" s="4"/>
      <c r="O388" s="4"/>
      <c r="P388" s="4"/>
      <c r="Q388" s="4"/>
      <c r="R388" s="4"/>
      <c r="S388" s="4"/>
      <c r="T388" s="4"/>
      <c r="U388" s="4"/>
      <c r="V388" s="4"/>
      <c r="W388" s="4"/>
      <c r="X388" s="4"/>
      <c r="Y388" s="4"/>
      <c r="Z388" s="4"/>
    </row>
    <row r="389">
      <c r="A389" s="77"/>
      <c r="B389" s="17"/>
      <c r="C389" s="17"/>
      <c r="D389" s="17"/>
      <c r="E389" s="17"/>
      <c r="F389" s="17"/>
      <c r="G389" s="78"/>
      <c r="H389" s="78"/>
      <c r="I389" s="17"/>
      <c r="J389" s="17"/>
      <c r="K389" s="17"/>
      <c r="L389" s="4"/>
      <c r="M389" s="4"/>
      <c r="N389" s="4"/>
      <c r="O389" s="4"/>
      <c r="P389" s="4"/>
      <c r="Q389" s="4"/>
      <c r="R389" s="4"/>
      <c r="S389" s="4"/>
      <c r="T389" s="4"/>
      <c r="U389" s="4"/>
      <c r="V389" s="4"/>
      <c r="W389" s="4"/>
      <c r="X389" s="4"/>
      <c r="Y389" s="4"/>
      <c r="Z389" s="4"/>
    </row>
    <row r="390">
      <c r="A390" s="77"/>
      <c r="B390" s="17"/>
      <c r="C390" s="17"/>
      <c r="D390" s="17"/>
      <c r="E390" s="17"/>
      <c r="F390" s="17"/>
      <c r="G390" s="78"/>
      <c r="H390" s="78"/>
      <c r="I390" s="17"/>
      <c r="J390" s="17"/>
      <c r="K390" s="17"/>
      <c r="L390" s="4"/>
      <c r="M390" s="4"/>
      <c r="N390" s="4"/>
      <c r="O390" s="4"/>
      <c r="P390" s="4"/>
      <c r="Q390" s="4"/>
      <c r="R390" s="4"/>
      <c r="S390" s="4"/>
      <c r="T390" s="4"/>
      <c r="U390" s="4"/>
      <c r="V390" s="4"/>
      <c r="W390" s="4"/>
      <c r="X390" s="4"/>
      <c r="Y390" s="4"/>
      <c r="Z390" s="4"/>
    </row>
    <row r="391">
      <c r="A391" s="77"/>
      <c r="B391" s="17"/>
      <c r="C391" s="17"/>
      <c r="D391" s="17"/>
      <c r="E391" s="17"/>
      <c r="F391" s="17"/>
      <c r="G391" s="78"/>
      <c r="H391" s="78"/>
      <c r="I391" s="17"/>
      <c r="J391" s="17"/>
      <c r="K391" s="17"/>
      <c r="L391" s="4"/>
      <c r="M391" s="4"/>
      <c r="N391" s="4"/>
      <c r="O391" s="4"/>
      <c r="P391" s="4"/>
      <c r="Q391" s="4"/>
      <c r="R391" s="4"/>
      <c r="S391" s="4"/>
      <c r="T391" s="4"/>
      <c r="U391" s="4"/>
      <c r="V391" s="4"/>
      <c r="W391" s="4"/>
      <c r="X391" s="4"/>
      <c r="Y391" s="4"/>
      <c r="Z391" s="4"/>
    </row>
    <row r="392">
      <c r="A392" s="77"/>
      <c r="B392" s="17"/>
      <c r="C392" s="17"/>
      <c r="D392" s="17"/>
      <c r="E392" s="17"/>
      <c r="F392" s="17"/>
      <c r="G392" s="78"/>
      <c r="H392" s="78"/>
      <c r="I392" s="17"/>
      <c r="J392" s="17"/>
      <c r="K392" s="17"/>
      <c r="L392" s="4"/>
      <c r="M392" s="4"/>
      <c r="N392" s="4"/>
      <c r="O392" s="4"/>
      <c r="P392" s="4"/>
      <c r="Q392" s="4"/>
      <c r="R392" s="4"/>
      <c r="S392" s="4"/>
      <c r="T392" s="4"/>
      <c r="U392" s="4"/>
      <c r="V392" s="4"/>
      <c r="W392" s="4"/>
      <c r="X392" s="4"/>
      <c r="Y392" s="4"/>
      <c r="Z392" s="4"/>
    </row>
    <row r="393">
      <c r="A393" s="77"/>
      <c r="B393" s="17"/>
      <c r="C393" s="17"/>
      <c r="D393" s="17"/>
      <c r="E393" s="17"/>
      <c r="F393" s="17"/>
      <c r="G393" s="78"/>
      <c r="H393" s="78"/>
      <c r="I393" s="17"/>
      <c r="J393" s="17"/>
      <c r="K393" s="17"/>
      <c r="L393" s="4"/>
      <c r="M393" s="4"/>
      <c r="N393" s="4"/>
      <c r="O393" s="4"/>
      <c r="P393" s="4"/>
      <c r="Q393" s="4"/>
      <c r="R393" s="4"/>
      <c r="S393" s="4"/>
      <c r="T393" s="4"/>
      <c r="U393" s="4"/>
      <c r="V393" s="4"/>
      <c r="W393" s="4"/>
      <c r="X393" s="4"/>
      <c r="Y393" s="4"/>
      <c r="Z393" s="4"/>
    </row>
    <row r="394">
      <c r="A394" s="77"/>
      <c r="B394" s="17"/>
      <c r="C394" s="17"/>
      <c r="D394" s="17"/>
      <c r="E394" s="17"/>
      <c r="F394" s="17"/>
      <c r="G394" s="78"/>
      <c r="H394" s="78"/>
      <c r="I394" s="17"/>
      <c r="J394" s="17"/>
      <c r="K394" s="17"/>
      <c r="L394" s="4"/>
      <c r="M394" s="4"/>
      <c r="N394" s="4"/>
      <c r="O394" s="4"/>
      <c r="P394" s="4"/>
      <c r="Q394" s="4"/>
      <c r="R394" s="4"/>
      <c r="S394" s="4"/>
      <c r="T394" s="4"/>
      <c r="U394" s="4"/>
      <c r="V394" s="4"/>
      <c r="W394" s="4"/>
      <c r="X394" s="4"/>
      <c r="Y394" s="4"/>
      <c r="Z394" s="4"/>
    </row>
    <row r="395">
      <c r="A395" s="77"/>
      <c r="B395" s="17"/>
      <c r="C395" s="17"/>
      <c r="D395" s="17"/>
      <c r="E395" s="17"/>
      <c r="F395" s="17"/>
      <c r="G395" s="78"/>
      <c r="H395" s="78"/>
      <c r="I395" s="17"/>
      <c r="J395" s="17"/>
      <c r="K395" s="17"/>
      <c r="L395" s="4"/>
      <c r="M395" s="4"/>
      <c r="N395" s="4"/>
      <c r="O395" s="4"/>
      <c r="P395" s="4"/>
      <c r="Q395" s="4"/>
      <c r="R395" s="4"/>
      <c r="S395" s="4"/>
      <c r="T395" s="4"/>
      <c r="U395" s="4"/>
      <c r="V395" s="4"/>
      <c r="W395" s="4"/>
      <c r="X395" s="4"/>
      <c r="Y395" s="4"/>
      <c r="Z395" s="4"/>
    </row>
    <row r="396">
      <c r="A396" s="77"/>
      <c r="B396" s="17"/>
      <c r="C396" s="17"/>
      <c r="D396" s="17"/>
      <c r="E396" s="17"/>
      <c r="F396" s="17"/>
      <c r="G396" s="78"/>
      <c r="H396" s="78"/>
      <c r="I396" s="17"/>
      <c r="J396" s="17"/>
      <c r="K396" s="17"/>
      <c r="L396" s="4"/>
      <c r="M396" s="4"/>
      <c r="N396" s="4"/>
      <c r="O396" s="4"/>
      <c r="P396" s="4"/>
      <c r="Q396" s="4"/>
      <c r="R396" s="4"/>
      <c r="S396" s="4"/>
      <c r="T396" s="4"/>
      <c r="U396" s="4"/>
      <c r="V396" s="4"/>
      <c r="W396" s="4"/>
      <c r="X396" s="4"/>
      <c r="Y396" s="4"/>
      <c r="Z396" s="4"/>
    </row>
    <row r="397">
      <c r="A397" s="77"/>
      <c r="B397" s="17"/>
      <c r="C397" s="17"/>
      <c r="D397" s="17"/>
      <c r="E397" s="17"/>
      <c r="F397" s="17"/>
      <c r="G397" s="78"/>
      <c r="H397" s="78"/>
      <c r="I397" s="17"/>
      <c r="J397" s="17"/>
      <c r="K397" s="17"/>
      <c r="L397" s="4"/>
      <c r="M397" s="4"/>
      <c r="N397" s="4"/>
      <c r="O397" s="4"/>
      <c r="P397" s="4"/>
      <c r="Q397" s="4"/>
      <c r="R397" s="4"/>
      <c r="S397" s="4"/>
      <c r="T397" s="4"/>
      <c r="U397" s="4"/>
      <c r="V397" s="4"/>
      <c r="W397" s="4"/>
      <c r="X397" s="4"/>
      <c r="Y397" s="4"/>
      <c r="Z397" s="4"/>
    </row>
    <row r="398">
      <c r="A398" s="77"/>
      <c r="B398" s="17"/>
      <c r="C398" s="17"/>
      <c r="D398" s="17"/>
      <c r="E398" s="17"/>
      <c r="F398" s="17"/>
      <c r="G398" s="78"/>
      <c r="H398" s="78"/>
      <c r="I398" s="17"/>
      <c r="J398" s="17"/>
      <c r="K398" s="17"/>
      <c r="L398" s="4"/>
      <c r="M398" s="4"/>
      <c r="N398" s="4"/>
      <c r="O398" s="4"/>
      <c r="P398" s="4"/>
      <c r="Q398" s="4"/>
      <c r="R398" s="4"/>
      <c r="S398" s="4"/>
      <c r="T398" s="4"/>
      <c r="U398" s="4"/>
      <c r="V398" s="4"/>
      <c r="W398" s="4"/>
      <c r="X398" s="4"/>
      <c r="Y398" s="4"/>
      <c r="Z398" s="4"/>
    </row>
    <row r="399">
      <c r="A399" s="77"/>
      <c r="B399" s="17"/>
      <c r="C399" s="17"/>
      <c r="D399" s="17"/>
      <c r="E399" s="17"/>
      <c r="F399" s="17"/>
      <c r="G399" s="78"/>
      <c r="H399" s="78"/>
      <c r="I399" s="17"/>
      <c r="J399" s="17"/>
      <c r="K399" s="17"/>
      <c r="L399" s="4"/>
      <c r="M399" s="4"/>
      <c r="N399" s="4"/>
      <c r="O399" s="4"/>
      <c r="P399" s="4"/>
      <c r="Q399" s="4"/>
      <c r="R399" s="4"/>
      <c r="S399" s="4"/>
      <c r="T399" s="4"/>
      <c r="U399" s="4"/>
      <c r="V399" s="4"/>
      <c r="W399" s="4"/>
      <c r="X399" s="4"/>
      <c r="Y399" s="4"/>
      <c r="Z399" s="4"/>
    </row>
    <row r="400">
      <c r="A400" s="77"/>
      <c r="B400" s="17"/>
      <c r="C400" s="17"/>
      <c r="D400" s="17"/>
      <c r="E400" s="17"/>
      <c r="F400" s="17"/>
      <c r="G400" s="78"/>
      <c r="H400" s="78"/>
      <c r="I400" s="17"/>
      <c r="J400" s="17"/>
      <c r="K400" s="17"/>
      <c r="L400" s="4"/>
      <c r="M400" s="4"/>
      <c r="N400" s="4"/>
      <c r="O400" s="4"/>
      <c r="P400" s="4"/>
      <c r="Q400" s="4"/>
      <c r="R400" s="4"/>
      <c r="S400" s="4"/>
      <c r="T400" s="4"/>
      <c r="U400" s="4"/>
      <c r="V400" s="4"/>
      <c r="W400" s="4"/>
      <c r="X400" s="4"/>
      <c r="Y400" s="4"/>
      <c r="Z400" s="4"/>
    </row>
    <row r="401">
      <c r="A401" s="77"/>
      <c r="B401" s="17"/>
      <c r="C401" s="17"/>
      <c r="D401" s="17"/>
      <c r="E401" s="17"/>
      <c r="F401" s="17"/>
      <c r="G401" s="78"/>
      <c r="H401" s="78"/>
      <c r="I401" s="17"/>
      <c r="J401" s="17"/>
      <c r="K401" s="17"/>
      <c r="L401" s="4"/>
      <c r="M401" s="4"/>
      <c r="N401" s="4"/>
      <c r="O401" s="4"/>
      <c r="P401" s="4"/>
      <c r="Q401" s="4"/>
      <c r="R401" s="4"/>
      <c r="S401" s="4"/>
      <c r="T401" s="4"/>
      <c r="U401" s="4"/>
      <c r="V401" s="4"/>
      <c r="W401" s="4"/>
      <c r="X401" s="4"/>
      <c r="Y401" s="4"/>
      <c r="Z401" s="4"/>
    </row>
    <row r="402">
      <c r="A402" s="77"/>
      <c r="B402" s="17"/>
      <c r="C402" s="17"/>
      <c r="D402" s="17"/>
      <c r="E402" s="17"/>
      <c r="F402" s="17"/>
      <c r="G402" s="78"/>
      <c r="H402" s="78"/>
      <c r="I402" s="17"/>
      <c r="J402" s="17"/>
      <c r="K402" s="17"/>
      <c r="L402" s="4"/>
      <c r="M402" s="4"/>
      <c r="N402" s="4"/>
      <c r="O402" s="4"/>
      <c r="P402" s="4"/>
      <c r="Q402" s="4"/>
      <c r="R402" s="4"/>
      <c r="S402" s="4"/>
      <c r="T402" s="4"/>
      <c r="U402" s="4"/>
      <c r="V402" s="4"/>
      <c r="W402" s="4"/>
      <c r="X402" s="4"/>
      <c r="Y402" s="4"/>
      <c r="Z402" s="4"/>
    </row>
    <row r="403">
      <c r="A403" s="77"/>
      <c r="B403" s="17"/>
      <c r="C403" s="17"/>
      <c r="D403" s="17"/>
      <c r="E403" s="17"/>
      <c r="F403" s="17"/>
      <c r="G403" s="78"/>
      <c r="H403" s="78"/>
      <c r="I403" s="17"/>
      <c r="J403" s="17"/>
      <c r="K403" s="17"/>
      <c r="L403" s="4"/>
      <c r="M403" s="4"/>
      <c r="N403" s="4"/>
      <c r="O403" s="4"/>
      <c r="P403" s="4"/>
      <c r="Q403" s="4"/>
      <c r="R403" s="4"/>
      <c r="S403" s="4"/>
      <c r="T403" s="4"/>
      <c r="U403" s="4"/>
      <c r="V403" s="4"/>
      <c r="W403" s="4"/>
      <c r="X403" s="4"/>
      <c r="Y403" s="4"/>
      <c r="Z403" s="4"/>
    </row>
    <row r="404">
      <c r="A404" s="77"/>
      <c r="B404" s="17"/>
      <c r="C404" s="17"/>
      <c r="D404" s="17"/>
      <c r="E404" s="17"/>
      <c r="F404" s="17"/>
      <c r="G404" s="78"/>
      <c r="H404" s="78"/>
      <c r="I404" s="17"/>
      <c r="J404" s="17"/>
      <c r="K404" s="17"/>
      <c r="L404" s="4"/>
      <c r="M404" s="4"/>
      <c r="N404" s="4"/>
      <c r="O404" s="4"/>
      <c r="P404" s="4"/>
      <c r="Q404" s="4"/>
      <c r="R404" s="4"/>
      <c r="S404" s="4"/>
      <c r="T404" s="4"/>
      <c r="U404" s="4"/>
      <c r="V404" s="4"/>
      <c r="W404" s="4"/>
      <c r="X404" s="4"/>
      <c r="Y404" s="4"/>
      <c r="Z404" s="4"/>
    </row>
    <row r="405">
      <c r="A405" s="77"/>
      <c r="B405" s="17"/>
      <c r="C405" s="17"/>
      <c r="D405" s="17"/>
      <c r="E405" s="17"/>
      <c r="F405" s="17"/>
      <c r="G405" s="78"/>
      <c r="H405" s="78"/>
      <c r="I405" s="17"/>
      <c r="J405" s="17"/>
      <c r="K405" s="17"/>
      <c r="L405" s="4"/>
      <c r="M405" s="4"/>
      <c r="N405" s="4"/>
      <c r="O405" s="4"/>
      <c r="P405" s="4"/>
      <c r="Q405" s="4"/>
      <c r="R405" s="4"/>
      <c r="S405" s="4"/>
      <c r="T405" s="4"/>
      <c r="U405" s="4"/>
      <c r="V405" s="4"/>
      <c r="W405" s="4"/>
      <c r="X405" s="4"/>
      <c r="Y405" s="4"/>
      <c r="Z405" s="4"/>
    </row>
    <row r="406">
      <c r="A406" s="77"/>
      <c r="B406" s="17"/>
      <c r="C406" s="17"/>
      <c r="D406" s="17"/>
      <c r="E406" s="17"/>
      <c r="F406" s="17"/>
      <c r="G406" s="78"/>
      <c r="H406" s="78"/>
      <c r="I406" s="17"/>
      <c r="J406" s="17"/>
      <c r="K406" s="17"/>
      <c r="L406" s="4"/>
      <c r="M406" s="4"/>
      <c r="N406" s="4"/>
      <c r="O406" s="4"/>
      <c r="P406" s="4"/>
      <c r="Q406" s="4"/>
      <c r="R406" s="4"/>
      <c r="S406" s="4"/>
      <c r="T406" s="4"/>
      <c r="U406" s="4"/>
      <c r="V406" s="4"/>
      <c r="W406" s="4"/>
      <c r="X406" s="4"/>
      <c r="Y406" s="4"/>
      <c r="Z406" s="4"/>
    </row>
    <row r="407">
      <c r="A407" s="77"/>
      <c r="B407" s="17"/>
      <c r="C407" s="17"/>
      <c r="D407" s="17"/>
      <c r="E407" s="17"/>
      <c r="F407" s="17"/>
      <c r="G407" s="78"/>
      <c r="H407" s="78"/>
      <c r="I407" s="17"/>
      <c r="J407" s="17"/>
      <c r="K407" s="17"/>
      <c r="L407" s="4"/>
      <c r="M407" s="4"/>
      <c r="N407" s="4"/>
      <c r="O407" s="4"/>
      <c r="P407" s="4"/>
      <c r="Q407" s="4"/>
      <c r="R407" s="4"/>
      <c r="S407" s="4"/>
      <c r="T407" s="4"/>
      <c r="U407" s="4"/>
      <c r="V407" s="4"/>
      <c r="W407" s="4"/>
      <c r="X407" s="4"/>
      <c r="Y407" s="4"/>
      <c r="Z407" s="4"/>
    </row>
    <row r="408">
      <c r="A408" s="77"/>
      <c r="B408" s="17"/>
      <c r="C408" s="17"/>
      <c r="D408" s="17"/>
      <c r="E408" s="17"/>
      <c r="F408" s="17"/>
      <c r="G408" s="78"/>
      <c r="H408" s="78"/>
      <c r="I408" s="17"/>
      <c r="J408" s="17"/>
      <c r="K408" s="17"/>
      <c r="L408" s="4"/>
      <c r="M408" s="4"/>
      <c r="N408" s="4"/>
      <c r="O408" s="4"/>
      <c r="P408" s="4"/>
      <c r="Q408" s="4"/>
      <c r="R408" s="4"/>
      <c r="S408" s="4"/>
      <c r="T408" s="4"/>
      <c r="U408" s="4"/>
      <c r="V408" s="4"/>
      <c r="W408" s="4"/>
      <c r="X408" s="4"/>
      <c r="Y408" s="4"/>
      <c r="Z408" s="4"/>
    </row>
    <row r="409">
      <c r="A409" s="77"/>
      <c r="B409" s="17"/>
      <c r="C409" s="17"/>
      <c r="D409" s="17"/>
      <c r="E409" s="17"/>
      <c r="F409" s="17"/>
      <c r="G409" s="78"/>
      <c r="H409" s="78"/>
      <c r="I409" s="17"/>
      <c r="J409" s="17"/>
      <c r="K409" s="17"/>
      <c r="L409" s="4"/>
      <c r="M409" s="4"/>
      <c r="N409" s="4"/>
      <c r="O409" s="4"/>
      <c r="P409" s="4"/>
      <c r="Q409" s="4"/>
      <c r="R409" s="4"/>
      <c r="S409" s="4"/>
      <c r="T409" s="4"/>
      <c r="U409" s="4"/>
      <c r="V409" s="4"/>
      <c r="W409" s="4"/>
      <c r="X409" s="4"/>
      <c r="Y409" s="4"/>
      <c r="Z409" s="4"/>
    </row>
    <row r="410">
      <c r="A410" s="77"/>
      <c r="B410" s="17"/>
      <c r="C410" s="17"/>
      <c r="D410" s="17"/>
      <c r="E410" s="17"/>
      <c r="F410" s="17"/>
      <c r="G410" s="78"/>
      <c r="H410" s="78"/>
      <c r="I410" s="17"/>
      <c r="J410" s="17"/>
      <c r="K410" s="17"/>
      <c r="L410" s="4"/>
      <c r="M410" s="4"/>
      <c r="N410" s="4"/>
      <c r="O410" s="4"/>
      <c r="P410" s="4"/>
      <c r="Q410" s="4"/>
      <c r="R410" s="4"/>
      <c r="S410" s="4"/>
      <c r="T410" s="4"/>
      <c r="U410" s="4"/>
      <c r="V410" s="4"/>
      <c r="W410" s="4"/>
      <c r="X410" s="4"/>
      <c r="Y410" s="4"/>
      <c r="Z410" s="4"/>
    </row>
    <row r="411">
      <c r="A411" s="77"/>
      <c r="B411" s="17"/>
      <c r="C411" s="17"/>
      <c r="D411" s="17"/>
      <c r="E411" s="17"/>
      <c r="F411" s="17"/>
      <c r="G411" s="78"/>
      <c r="H411" s="78"/>
      <c r="I411" s="17"/>
      <c r="J411" s="17"/>
      <c r="K411" s="17"/>
      <c r="L411" s="4"/>
      <c r="M411" s="4"/>
      <c r="N411" s="4"/>
      <c r="O411" s="4"/>
      <c r="P411" s="4"/>
      <c r="Q411" s="4"/>
      <c r="R411" s="4"/>
      <c r="S411" s="4"/>
      <c r="T411" s="4"/>
      <c r="U411" s="4"/>
      <c r="V411" s="4"/>
      <c r="W411" s="4"/>
      <c r="X411" s="4"/>
      <c r="Y411" s="4"/>
      <c r="Z411" s="4"/>
    </row>
    <row r="412">
      <c r="A412" s="77"/>
      <c r="B412" s="17"/>
      <c r="C412" s="17"/>
      <c r="D412" s="17"/>
      <c r="E412" s="17"/>
      <c r="F412" s="17"/>
      <c r="G412" s="78"/>
      <c r="H412" s="78"/>
      <c r="I412" s="17"/>
      <c r="J412" s="17"/>
      <c r="K412" s="17"/>
      <c r="L412" s="4"/>
      <c r="M412" s="4"/>
      <c r="N412" s="4"/>
      <c r="O412" s="4"/>
      <c r="P412" s="4"/>
      <c r="Q412" s="4"/>
      <c r="R412" s="4"/>
      <c r="S412" s="4"/>
      <c r="T412" s="4"/>
      <c r="U412" s="4"/>
      <c r="V412" s="4"/>
      <c r="W412" s="4"/>
      <c r="X412" s="4"/>
      <c r="Y412" s="4"/>
      <c r="Z412" s="4"/>
    </row>
    <row r="413">
      <c r="A413" s="77"/>
      <c r="B413" s="17"/>
      <c r="C413" s="17"/>
      <c r="D413" s="17"/>
      <c r="E413" s="17"/>
      <c r="F413" s="17"/>
      <c r="G413" s="78"/>
      <c r="H413" s="78"/>
      <c r="I413" s="17"/>
      <c r="J413" s="17"/>
      <c r="K413" s="17"/>
      <c r="L413" s="4"/>
      <c r="M413" s="4"/>
      <c r="N413" s="4"/>
      <c r="O413" s="4"/>
      <c r="P413" s="4"/>
      <c r="Q413" s="4"/>
      <c r="R413" s="4"/>
      <c r="S413" s="4"/>
      <c r="T413" s="4"/>
      <c r="U413" s="4"/>
      <c r="V413" s="4"/>
      <c r="W413" s="4"/>
      <c r="X413" s="4"/>
      <c r="Y413" s="4"/>
      <c r="Z413" s="4"/>
    </row>
    <row r="414">
      <c r="A414" s="77"/>
      <c r="B414" s="17"/>
      <c r="C414" s="17"/>
      <c r="D414" s="17"/>
      <c r="E414" s="17"/>
      <c r="F414" s="17"/>
      <c r="G414" s="78"/>
      <c r="H414" s="78"/>
      <c r="I414" s="17"/>
      <c r="J414" s="17"/>
      <c r="K414" s="17"/>
      <c r="L414" s="4"/>
      <c r="M414" s="4"/>
      <c r="N414" s="4"/>
      <c r="O414" s="4"/>
      <c r="P414" s="4"/>
      <c r="Q414" s="4"/>
      <c r="R414" s="4"/>
      <c r="S414" s="4"/>
      <c r="T414" s="4"/>
      <c r="U414" s="4"/>
      <c r="V414" s="4"/>
      <c r="W414" s="4"/>
      <c r="X414" s="4"/>
      <c r="Y414" s="4"/>
      <c r="Z414" s="4"/>
    </row>
    <row r="415">
      <c r="A415" s="77"/>
      <c r="B415" s="17"/>
      <c r="C415" s="17"/>
      <c r="D415" s="17"/>
      <c r="E415" s="17"/>
      <c r="F415" s="17"/>
      <c r="G415" s="78"/>
      <c r="H415" s="78"/>
      <c r="I415" s="17"/>
      <c r="J415" s="17"/>
      <c r="K415" s="17"/>
      <c r="L415" s="4"/>
      <c r="M415" s="4"/>
      <c r="N415" s="4"/>
      <c r="O415" s="4"/>
      <c r="P415" s="4"/>
      <c r="Q415" s="4"/>
      <c r="R415" s="4"/>
      <c r="S415" s="4"/>
      <c r="T415" s="4"/>
      <c r="U415" s="4"/>
      <c r="V415" s="4"/>
      <c r="W415" s="4"/>
      <c r="X415" s="4"/>
      <c r="Y415" s="4"/>
      <c r="Z415" s="4"/>
    </row>
    <row r="416">
      <c r="A416" s="77"/>
      <c r="B416" s="17"/>
      <c r="C416" s="17"/>
      <c r="D416" s="17"/>
      <c r="E416" s="17"/>
      <c r="F416" s="17"/>
      <c r="G416" s="78"/>
      <c r="H416" s="78"/>
      <c r="I416" s="17"/>
      <c r="J416" s="17"/>
      <c r="K416" s="17"/>
      <c r="L416" s="4"/>
      <c r="M416" s="4"/>
      <c r="N416" s="4"/>
      <c r="O416" s="4"/>
      <c r="P416" s="4"/>
      <c r="Q416" s="4"/>
      <c r="R416" s="4"/>
      <c r="S416" s="4"/>
      <c r="T416" s="4"/>
      <c r="U416" s="4"/>
      <c r="V416" s="4"/>
      <c r="W416" s="4"/>
      <c r="X416" s="4"/>
      <c r="Y416" s="4"/>
      <c r="Z416" s="4"/>
    </row>
    <row r="417">
      <c r="A417" s="77"/>
      <c r="B417" s="17"/>
      <c r="C417" s="17"/>
      <c r="D417" s="17"/>
      <c r="E417" s="17"/>
      <c r="F417" s="17"/>
      <c r="G417" s="78"/>
      <c r="H417" s="78"/>
      <c r="I417" s="17"/>
      <c r="J417" s="17"/>
      <c r="K417" s="17"/>
      <c r="L417" s="4"/>
      <c r="M417" s="4"/>
      <c r="N417" s="4"/>
      <c r="O417" s="4"/>
      <c r="P417" s="4"/>
      <c r="Q417" s="4"/>
      <c r="R417" s="4"/>
      <c r="S417" s="4"/>
      <c r="T417" s="4"/>
      <c r="U417" s="4"/>
      <c r="V417" s="4"/>
      <c r="W417" s="4"/>
      <c r="X417" s="4"/>
      <c r="Y417" s="4"/>
      <c r="Z417" s="4"/>
    </row>
    <row r="418">
      <c r="A418" s="77"/>
      <c r="B418" s="17"/>
      <c r="C418" s="17"/>
      <c r="D418" s="17"/>
      <c r="E418" s="17"/>
      <c r="F418" s="17"/>
      <c r="G418" s="78"/>
      <c r="H418" s="78"/>
      <c r="I418" s="17"/>
      <c r="J418" s="17"/>
      <c r="K418" s="17"/>
      <c r="L418" s="4"/>
      <c r="M418" s="4"/>
      <c r="N418" s="4"/>
      <c r="O418" s="4"/>
      <c r="P418" s="4"/>
      <c r="Q418" s="4"/>
      <c r="R418" s="4"/>
      <c r="S418" s="4"/>
      <c r="T418" s="4"/>
      <c r="U418" s="4"/>
      <c r="V418" s="4"/>
      <c r="W418" s="4"/>
      <c r="X418" s="4"/>
      <c r="Y418" s="4"/>
      <c r="Z418" s="4"/>
    </row>
    <row r="419">
      <c r="A419" s="77"/>
      <c r="B419" s="17"/>
      <c r="C419" s="17"/>
      <c r="D419" s="17"/>
      <c r="E419" s="17"/>
      <c r="F419" s="17"/>
      <c r="G419" s="78"/>
      <c r="H419" s="78"/>
      <c r="I419" s="17"/>
      <c r="J419" s="17"/>
      <c r="K419" s="17"/>
      <c r="L419" s="4"/>
      <c r="M419" s="4"/>
      <c r="N419" s="4"/>
      <c r="O419" s="4"/>
      <c r="P419" s="4"/>
      <c r="Q419" s="4"/>
      <c r="R419" s="4"/>
      <c r="S419" s="4"/>
      <c r="T419" s="4"/>
      <c r="U419" s="4"/>
      <c r="V419" s="4"/>
      <c r="W419" s="4"/>
      <c r="X419" s="4"/>
      <c r="Y419" s="4"/>
      <c r="Z419" s="4"/>
    </row>
    <row r="420">
      <c r="A420" s="77"/>
      <c r="B420" s="17"/>
      <c r="C420" s="17"/>
      <c r="D420" s="17"/>
      <c r="E420" s="17"/>
      <c r="F420" s="17"/>
      <c r="G420" s="78"/>
      <c r="H420" s="78"/>
      <c r="I420" s="17"/>
      <c r="J420" s="17"/>
      <c r="K420" s="17"/>
      <c r="L420" s="4"/>
      <c r="M420" s="4"/>
      <c r="N420" s="4"/>
      <c r="O420" s="4"/>
      <c r="P420" s="4"/>
      <c r="Q420" s="4"/>
      <c r="R420" s="4"/>
      <c r="S420" s="4"/>
      <c r="T420" s="4"/>
      <c r="U420" s="4"/>
      <c r="V420" s="4"/>
      <c r="W420" s="4"/>
      <c r="X420" s="4"/>
      <c r="Y420" s="4"/>
      <c r="Z420" s="4"/>
    </row>
    <row r="421">
      <c r="A421" s="77"/>
      <c r="B421" s="17"/>
      <c r="C421" s="17"/>
      <c r="D421" s="17"/>
      <c r="E421" s="17"/>
      <c r="F421" s="17"/>
      <c r="G421" s="78"/>
      <c r="H421" s="78"/>
      <c r="I421" s="17"/>
      <c r="J421" s="17"/>
      <c r="K421" s="17"/>
      <c r="L421" s="4"/>
      <c r="M421" s="4"/>
      <c r="N421" s="4"/>
      <c r="O421" s="4"/>
      <c r="P421" s="4"/>
      <c r="Q421" s="4"/>
      <c r="R421" s="4"/>
      <c r="S421" s="4"/>
      <c r="T421" s="4"/>
      <c r="U421" s="4"/>
      <c r="V421" s="4"/>
      <c r="W421" s="4"/>
      <c r="X421" s="4"/>
      <c r="Y421" s="4"/>
      <c r="Z421" s="4"/>
    </row>
    <row r="422">
      <c r="A422" s="77"/>
      <c r="B422" s="17"/>
      <c r="C422" s="17"/>
      <c r="D422" s="17"/>
      <c r="E422" s="17"/>
      <c r="F422" s="17"/>
      <c r="G422" s="78"/>
      <c r="H422" s="78"/>
      <c r="I422" s="17"/>
      <c r="J422" s="17"/>
      <c r="K422" s="17"/>
      <c r="L422" s="4"/>
      <c r="M422" s="4"/>
      <c r="N422" s="4"/>
      <c r="O422" s="4"/>
      <c r="P422" s="4"/>
      <c r="Q422" s="4"/>
      <c r="R422" s="4"/>
      <c r="S422" s="4"/>
      <c r="T422" s="4"/>
      <c r="U422" s="4"/>
      <c r="V422" s="4"/>
      <c r="W422" s="4"/>
      <c r="X422" s="4"/>
      <c r="Y422" s="4"/>
      <c r="Z422" s="4"/>
    </row>
    <row r="423">
      <c r="A423" s="77"/>
      <c r="B423" s="17"/>
      <c r="C423" s="17"/>
      <c r="D423" s="17"/>
      <c r="E423" s="17"/>
      <c r="F423" s="17"/>
      <c r="G423" s="78"/>
      <c r="H423" s="78"/>
      <c r="I423" s="17"/>
      <c r="J423" s="17"/>
      <c r="K423" s="17"/>
      <c r="L423" s="4"/>
      <c r="M423" s="4"/>
      <c r="N423" s="4"/>
      <c r="O423" s="4"/>
      <c r="P423" s="4"/>
      <c r="Q423" s="4"/>
      <c r="R423" s="4"/>
      <c r="S423" s="4"/>
      <c r="T423" s="4"/>
      <c r="U423" s="4"/>
      <c r="V423" s="4"/>
      <c r="W423" s="4"/>
      <c r="X423" s="4"/>
      <c r="Y423" s="4"/>
      <c r="Z423" s="4"/>
    </row>
    <row r="424">
      <c r="A424" s="77"/>
      <c r="B424" s="17"/>
      <c r="C424" s="17"/>
      <c r="D424" s="17"/>
      <c r="E424" s="17"/>
      <c r="F424" s="17"/>
      <c r="G424" s="78"/>
      <c r="H424" s="78"/>
      <c r="I424" s="17"/>
      <c r="J424" s="17"/>
      <c r="K424" s="17"/>
      <c r="L424" s="4"/>
      <c r="M424" s="4"/>
      <c r="N424" s="4"/>
      <c r="O424" s="4"/>
      <c r="P424" s="4"/>
      <c r="Q424" s="4"/>
      <c r="R424" s="4"/>
      <c r="S424" s="4"/>
      <c r="T424" s="4"/>
      <c r="U424" s="4"/>
      <c r="V424" s="4"/>
      <c r="W424" s="4"/>
      <c r="X424" s="4"/>
      <c r="Y424" s="4"/>
      <c r="Z424" s="4"/>
    </row>
    <row r="425">
      <c r="A425" s="77"/>
      <c r="B425" s="17"/>
      <c r="C425" s="17"/>
      <c r="D425" s="17"/>
      <c r="E425" s="17"/>
      <c r="F425" s="17"/>
      <c r="G425" s="78"/>
      <c r="H425" s="78"/>
      <c r="I425" s="17"/>
      <c r="J425" s="17"/>
      <c r="K425" s="17"/>
      <c r="L425" s="4"/>
      <c r="M425" s="4"/>
      <c r="N425" s="4"/>
      <c r="O425" s="4"/>
      <c r="P425" s="4"/>
      <c r="Q425" s="4"/>
      <c r="R425" s="4"/>
      <c r="S425" s="4"/>
      <c r="T425" s="4"/>
      <c r="U425" s="4"/>
      <c r="V425" s="4"/>
      <c r="W425" s="4"/>
      <c r="X425" s="4"/>
      <c r="Y425" s="4"/>
      <c r="Z425" s="4"/>
    </row>
    <row r="426">
      <c r="A426" s="77"/>
      <c r="B426" s="17"/>
      <c r="C426" s="17"/>
      <c r="D426" s="17"/>
      <c r="E426" s="17"/>
      <c r="F426" s="17"/>
      <c r="G426" s="78"/>
      <c r="H426" s="78"/>
      <c r="I426" s="17"/>
      <c r="J426" s="17"/>
      <c r="K426" s="17"/>
      <c r="L426" s="4"/>
      <c r="M426" s="4"/>
      <c r="N426" s="4"/>
      <c r="O426" s="4"/>
      <c r="P426" s="4"/>
      <c r="Q426" s="4"/>
      <c r="R426" s="4"/>
      <c r="S426" s="4"/>
      <c r="T426" s="4"/>
      <c r="U426" s="4"/>
      <c r="V426" s="4"/>
      <c r="W426" s="4"/>
      <c r="X426" s="4"/>
      <c r="Y426" s="4"/>
      <c r="Z426" s="4"/>
    </row>
    <row r="427">
      <c r="A427" s="77"/>
      <c r="B427" s="17"/>
      <c r="C427" s="17"/>
      <c r="D427" s="17"/>
      <c r="E427" s="17"/>
      <c r="F427" s="17"/>
      <c r="G427" s="78"/>
      <c r="H427" s="78"/>
      <c r="I427" s="17"/>
      <c r="J427" s="17"/>
      <c r="K427" s="17"/>
      <c r="L427" s="4"/>
      <c r="M427" s="4"/>
      <c r="N427" s="4"/>
      <c r="O427" s="4"/>
      <c r="P427" s="4"/>
      <c r="Q427" s="4"/>
      <c r="R427" s="4"/>
      <c r="S427" s="4"/>
      <c r="T427" s="4"/>
      <c r="U427" s="4"/>
      <c r="V427" s="4"/>
      <c r="W427" s="4"/>
      <c r="X427" s="4"/>
      <c r="Y427" s="4"/>
      <c r="Z427" s="4"/>
    </row>
    <row r="428">
      <c r="A428" s="77"/>
      <c r="B428" s="17"/>
      <c r="C428" s="17"/>
      <c r="D428" s="17"/>
      <c r="E428" s="17"/>
      <c r="F428" s="17"/>
      <c r="G428" s="78"/>
      <c r="H428" s="78"/>
      <c r="I428" s="17"/>
      <c r="J428" s="17"/>
      <c r="K428" s="17"/>
      <c r="L428" s="4"/>
      <c r="M428" s="4"/>
      <c r="N428" s="4"/>
      <c r="O428" s="4"/>
      <c r="P428" s="4"/>
      <c r="Q428" s="4"/>
      <c r="R428" s="4"/>
      <c r="S428" s="4"/>
      <c r="T428" s="4"/>
      <c r="U428" s="4"/>
      <c r="V428" s="4"/>
      <c r="W428" s="4"/>
      <c r="X428" s="4"/>
      <c r="Y428" s="4"/>
      <c r="Z428" s="4"/>
    </row>
    <row r="429">
      <c r="A429" s="77"/>
      <c r="B429" s="17"/>
      <c r="C429" s="17"/>
      <c r="D429" s="17"/>
      <c r="E429" s="17"/>
      <c r="F429" s="17"/>
      <c r="G429" s="78"/>
      <c r="H429" s="78"/>
      <c r="I429" s="17"/>
      <c r="J429" s="17"/>
      <c r="K429" s="17"/>
      <c r="L429" s="4"/>
      <c r="M429" s="4"/>
      <c r="N429" s="4"/>
      <c r="O429" s="4"/>
      <c r="P429" s="4"/>
      <c r="Q429" s="4"/>
      <c r="R429" s="4"/>
      <c r="S429" s="4"/>
      <c r="T429" s="4"/>
      <c r="U429" s="4"/>
      <c r="V429" s="4"/>
      <c r="W429" s="4"/>
      <c r="X429" s="4"/>
      <c r="Y429" s="4"/>
      <c r="Z429" s="4"/>
    </row>
    <row r="430">
      <c r="A430" s="77"/>
      <c r="B430" s="17"/>
      <c r="C430" s="17"/>
      <c r="D430" s="17"/>
      <c r="E430" s="17"/>
      <c r="F430" s="17"/>
      <c r="G430" s="78"/>
      <c r="H430" s="78"/>
      <c r="I430" s="17"/>
      <c r="J430" s="17"/>
      <c r="K430" s="17"/>
      <c r="L430" s="4"/>
      <c r="M430" s="4"/>
      <c r="N430" s="4"/>
      <c r="O430" s="4"/>
      <c r="P430" s="4"/>
      <c r="Q430" s="4"/>
      <c r="R430" s="4"/>
      <c r="S430" s="4"/>
      <c r="T430" s="4"/>
      <c r="U430" s="4"/>
      <c r="V430" s="4"/>
      <c r="W430" s="4"/>
      <c r="X430" s="4"/>
      <c r="Y430" s="4"/>
      <c r="Z430" s="4"/>
    </row>
    <row r="431">
      <c r="A431" s="77"/>
      <c r="B431" s="17"/>
      <c r="C431" s="17"/>
      <c r="D431" s="17"/>
      <c r="E431" s="17"/>
      <c r="F431" s="17"/>
      <c r="G431" s="78"/>
      <c r="H431" s="78"/>
      <c r="I431" s="17"/>
      <c r="J431" s="17"/>
      <c r="K431" s="17"/>
      <c r="L431" s="4"/>
      <c r="M431" s="4"/>
      <c r="N431" s="4"/>
      <c r="O431" s="4"/>
      <c r="P431" s="4"/>
      <c r="Q431" s="4"/>
      <c r="R431" s="4"/>
      <c r="S431" s="4"/>
      <c r="T431" s="4"/>
      <c r="U431" s="4"/>
      <c r="V431" s="4"/>
      <c r="W431" s="4"/>
      <c r="X431" s="4"/>
      <c r="Y431" s="4"/>
      <c r="Z431" s="4"/>
    </row>
    <row r="432">
      <c r="A432" s="77"/>
      <c r="B432" s="17"/>
      <c r="C432" s="17"/>
      <c r="D432" s="17"/>
      <c r="E432" s="17"/>
      <c r="F432" s="17"/>
      <c r="G432" s="78"/>
      <c r="H432" s="78"/>
      <c r="I432" s="17"/>
      <c r="J432" s="17"/>
      <c r="K432" s="17"/>
      <c r="L432" s="4"/>
      <c r="M432" s="4"/>
      <c r="N432" s="4"/>
      <c r="O432" s="4"/>
      <c r="P432" s="4"/>
      <c r="Q432" s="4"/>
      <c r="R432" s="4"/>
      <c r="S432" s="4"/>
      <c r="T432" s="4"/>
      <c r="U432" s="4"/>
      <c r="V432" s="4"/>
      <c r="W432" s="4"/>
      <c r="X432" s="4"/>
      <c r="Y432" s="4"/>
      <c r="Z432" s="4"/>
    </row>
    <row r="433">
      <c r="A433" s="77"/>
      <c r="B433" s="17"/>
      <c r="C433" s="17"/>
      <c r="D433" s="17"/>
      <c r="E433" s="17"/>
      <c r="F433" s="17"/>
      <c r="G433" s="78"/>
      <c r="H433" s="78"/>
      <c r="I433" s="17"/>
      <c r="J433" s="17"/>
      <c r="K433" s="17"/>
      <c r="L433" s="4"/>
      <c r="M433" s="4"/>
      <c r="N433" s="4"/>
      <c r="O433" s="4"/>
      <c r="P433" s="4"/>
      <c r="Q433" s="4"/>
      <c r="R433" s="4"/>
      <c r="S433" s="4"/>
      <c r="T433" s="4"/>
      <c r="U433" s="4"/>
      <c r="V433" s="4"/>
      <c r="W433" s="4"/>
      <c r="X433" s="4"/>
      <c r="Y433" s="4"/>
      <c r="Z433" s="4"/>
    </row>
    <row r="434">
      <c r="A434" s="77"/>
      <c r="B434" s="17"/>
      <c r="C434" s="17"/>
      <c r="D434" s="17"/>
      <c r="E434" s="17"/>
      <c r="F434" s="17"/>
      <c r="G434" s="78"/>
      <c r="H434" s="78"/>
      <c r="I434" s="17"/>
      <c r="J434" s="17"/>
      <c r="K434" s="17"/>
      <c r="L434" s="4"/>
      <c r="M434" s="4"/>
      <c r="N434" s="4"/>
      <c r="O434" s="4"/>
      <c r="P434" s="4"/>
      <c r="Q434" s="4"/>
      <c r="R434" s="4"/>
      <c r="S434" s="4"/>
      <c r="T434" s="4"/>
      <c r="U434" s="4"/>
      <c r="V434" s="4"/>
      <c r="W434" s="4"/>
      <c r="X434" s="4"/>
      <c r="Y434" s="4"/>
      <c r="Z434" s="4"/>
    </row>
    <row r="435">
      <c r="A435" s="77"/>
      <c r="B435" s="17"/>
      <c r="C435" s="17"/>
      <c r="D435" s="17"/>
      <c r="E435" s="17"/>
      <c r="F435" s="17"/>
      <c r="G435" s="78"/>
      <c r="H435" s="78"/>
      <c r="I435" s="17"/>
      <c r="J435" s="17"/>
      <c r="K435" s="17"/>
      <c r="L435" s="4"/>
      <c r="M435" s="4"/>
      <c r="N435" s="4"/>
      <c r="O435" s="4"/>
      <c r="P435" s="4"/>
      <c r="Q435" s="4"/>
      <c r="R435" s="4"/>
      <c r="S435" s="4"/>
      <c r="T435" s="4"/>
      <c r="U435" s="4"/>
      <c r="V435" s="4"/>
      <c r="W435" s="4"/>
      <c r="X435" s="4"/>
      <c r="Y435" s="4"/>
      <c r="Z435" s="4"/>
    </row>
    <row r="436">
      <c r="A436" s="77"/>
      <c r="B436" s="17"/>
      <c r="C436" s="17"/>
      <c r="D436" s="17"/>
      <c r="E436" s="17"/>
      <c r="F436" s="17"/>
      <c r="G436" s="78"/>
      <c r="H436" s="78"/>
      <c r="I436" s="17"/>
      <c r="J436" s="17"/>
      <c r="K436" s="17"/>
      <c r="L436" s="4"/>
      <c r="M436" s="4"/>
      <c r="N436" s="4"/>
      <c r="O436" s="4"/>
      <c r="P436" s="4"/>
      <c r="Q436" s="4"/>
      <c r="R436" s="4"/>
      <c r="S436" s="4"/>
      <c r="T436" s="4"/>
      <c r="U436" s="4"/>
      <c r="V436" s="4"/>
      <c r="W436" s="4"/>
      <c r="X436" s="4"/>
      <c r="Y436" s="4"/>
      <c r="Z436" s="4"/>
    </row>
    <row r="437">
      <c r="A437" s="77"/>
      <c r="B437" s="17"/>
      <c r="C437" s="17"/>
      <c r="D437" s="17"/>
      <c r="E437" s="17"/>
      <c r="F437" s="17"/>
      <c r="G437" s="78"/>
      <c r="H437" s="78"/>
      <c r="I437" s="17"/>
      <c r="J437" s="17"/>
      <c r="K437" s="17"/>
      <c r="L437" s="4"/>
      <c r="M437" s="4"/>
      <c r="N437" s="4"/>
      <c r="O437" s="4"/>
      <c r="P437" s="4"/>
      <c r="Q437" s="4"/>
      <c r="R437" s="4"/>
      <c r="S437" s="4"/>
      <c r="T437" s="4"/>
      <c r="U437" s="4"/>
      <c r="V437" s="4"/>
      <c r="W437" s="4"/>
      <c r="X437" s="4"/>
      <c r="Y437" s="4"/>
      <c r="Z437" s="4"/>
    </row>
    <row r="438">
      <c r="A438" s="77"/>
      <c r="B438" s="17"/>
      <c r="C438" s="17"/>
      <c r="D438" s="17"/>
      <c r="E438" s="17"/>
      <c r="F438" s="17"/>
      <c r="G438" s="78"/>
      <c r="H438" s="78"/>
      <c r="I438" s="17"/>
      <c r="J438" s="17"/>
      <c r="K438" s="17"/>
      <c r="L438" s="4"/>
      <c r="M438" s="4"/>
      <c r="N438" s="4"/>
      <c r="O438" s="4"/>
      <c r="P438" s="4"/>
      <c r="Q438" s="4"/>
      <c r="R438" s="4"/>
      <c r="S438" s="4"/>
      <c r="T438" s="4"/>
      <c r="U438" s="4"/>
      <c r="V438" s="4"/>
      <c r="W438" s="4"/>
      <c r="X438" s="4"/>
      <c r="Y438" s="4"/>
      <c r="Z438" s="4"/>
    </row>
    <row r="439">
      <c r="A439" s="77"/>
      <c r="B439" s="17"/>
      <c r="C439" s="17"/>
      <c r="D439" s="17"/>
      <c r="E439" s="17"/>
      <c r="F439" s="17"/>
      <c r="G439" s="78"/>
      <c r="H439" s="78"/>
      <c r="I439" s="17"/>
      <c r="J439" s="17"/>
      <c r="K439" s="17"/>
      <c r="L439" s="4"/>
      <c r="M439" s="4"/>
      <c r="N439" s="4"/>
      <c r="O439" s="4"/>
      <c r="P439" s="4"/>
      <c r="Q439" s="4"/>
      <c r="R439" s="4"/>
      <c r="S439" s="4"/>
      <c r="T439" s="4"/>
      <c r="U439" s="4"/>
      <c r="V439" s="4"/>
      <c r="W439" s="4"/>
      <c r="X439" s="4"/>
      <c r="Y439" s="4"/>
      <c r="Z439" s="4"/>
    </row>
    <row r="440">
      <c r="A440" s="77"/>
      <c r="B440" s="17"/>
      <c r="C440" s="17"/>
      <c r="D440" s="17"/>
      <c r="E440" s="17"/>
      <c r="F440" s="17"/>
      <c r="G440" s="78"/>
      <c r="H440" s="78"/>
      <c r="I440" s="17"/>
      <c r="J440" s="17"/>
      <c r="K440" s="17"/>
      <c r="L440" s="4"/>
      <c r="M440" s="4"/>
      <c r="N440" s="4"/>
      <c r="O440" s="4"/>
      <c r="P440" s="4"/>
      <c r="Q440" s="4"/>
      <c r="R440" s="4"/>
      <c r="S440" s="4"/>
      <c r="T440" s="4"/>
      <c r="U440" s="4"/>
      <c r="V440" s="4"/>
      <c r="W440" s="4"/>
      <c r="X440" s="4"/>
      <c r="Y440" s="4"/>
      <c r="Z440" s="4"/>
    </row>
    <row r="441">
      <c r="A441" s="77"/>
      <c r="B441" s="17"/>
      <c r="C441" s="17"/>
      <c r="D441" s="17"/>
      <c r="E441" s="17"/>
      <c r="F441" s="17"/>
      <c r="G441" s="78"/>
      <c r="H441" s="78"/>
      <c r="I441" s="17"/>
      <c r="J441" s="17"/>
      <c r="K441" s="17"/>
      <c r="L441" s="4"/>
      <c r="M441" s="4"/>
      <c r="N441" s="4"/>
      <c r="O441" s="4"/>
      <c r="P441" s="4"/>
      <c r="Q441" s="4"/>
      <c r="R441" s="4"/>
      <c r="S441" s="4"/>
      <c r="T441" s="4"/>
      <c r="U441" s="4"/>
      <c r="V441" s="4"/>
      <c r="W441" s="4"/>
      <c r="X441" s="4"/>
      <c r="Y441" s="4"/>
      <c r="Z441" s="4"/>
    </row>
    <row r="442">
      <c r="A442" s="77"/>
      <c r="B442" s="17"/>
      <c r="C442" s="17"/>
      <c r="D442" s="17"/>
      <c r="E442" s="17"/>
      <c r="F442" s="17"/>
      <c r="G442" s="78"/>
      <c r="H442" s="78"/>
      <c r="I442" s="17"/>
      <c r="J442" s="17"/>
      <c r="K442" s="17"/>
      <c r="L442" s="4"/>
      <c r="M442" s="4"/>
      <c r="N442" s="4"/>
      <c r="O442" s="4"/>
      <c r="P442" s="4"/>
      <c r="Q442" s="4"/>
      <c r="R442" s="4"/>
      <c r="S442" s="4"/>
      <c r="T442" s="4"/>
      <c r="U442" s="4"/>
      <c r="V442" s="4"/>
      <c r="W442" s="4"/>
      <c r="X442" s="4"/>
      <c r="Y442" s="4"/>
      <c r="Z442" s="4"/>
    </row>
    <row r="443">
      <c r="A443" s="77"/>
      <c r="B443" s="17"/>
      <c r="C443" s="17"/>
      <c r="D443" s="17"/>
      <c r="E443" s="17"/>
      <c r="F443" s="17"/>
      <c r="G443" s="78"/>
      <c r="H443" s="78"/>
      <c r="I443" s="17"/>
      <c r="J443" s="17"/>
      <c r="K443" s="17"/>
      <c r="L443" s="4"/>
      <c r="M443" s="4"/>
      <c r="N443" s="4"/>
      <c r="O443" s="4"/>
      <c r="P443" s="4"/>
      <c r="Q443" s="4"/>
      <c r="R443" s="4"/>
      <c r="S443" s="4"/>
      <c r="T443" s="4"/>
      <c r="U443" s="4"/>
      <c r="V443" s="4"/>
      <c r="W443" s="4"/>
      <c r="X443" s="4"/>
      <c r="Y443" s="4"/>
      <c r="Z443" s="4"/>
    </row>
    <row r="444">
      <c r="A444" s="77"/>
      <c r="B444" s="17"/>
      <c r="C444" s="17"/>
      <c r="D444" s="17"/>
      <c r="E444" s="17"/>
      <c r="F444" s="17"/>
      <c r="G444" s="78"/>
      <c r="H444" s="78"/>
      <c r="I444" s="17"/>
      <c r="J444" s="17"/>
      <c r="K444" s="17"/>
      <c r="L444" s="4"/>
      <c r="M444" s="4"/>
      <c r="N444" s="4"/>
      <c r="O444" s="4"/>
      <c r="P444" s="4"/>
      <c r="Q444" s="4"/>
      <c r="R444" s="4"/>
      <c r="S444" s="4"/>
      <c r="T444" s="4"/>
      <c r="U444" s="4"/>
      <c r="V444" s="4"/>
      <c r="W444" s="4"/>
      <c r="X444" s="4"/>
      <c r="Y444" s="4"/>
      <c r="Z444" s="4"/>
    </row>
    <row r="445">
      <c r="A445" s="77"/>
      <c r="B445" s="17"/>
      <c r="C445" s="17"/>
      <c r="D445" s="17"/>
      <c r="E445" s="17"/>
      <c r="F445" s="17"/>
      <c r="G445" s="78"/>
      <c r="H445" s="78"/>
      <c r="I445" s="17"/>
      <c r="J445" s="17"/>
      <c r="K445" s="17"/>
      <c r="L445" s="4"/>
      <c r="M445" s="4"/>
      <c r="N445" s="4"/>
      <c r="O445" s="4"/>
      <c r="P445" s="4"/>
      <c r="Q445" s="4"/>
      <c r="R445" s="4"/>
      <c r="S445" s="4"/>
      <c r="T445" s="4"/>
      <c r="U445" s="4"/>
      <c r="V445" s="4"/>
      <c r="W445" s="4"/>
      <c r="X445" s="4"/>
      <c r="Y445" s="4"/>
      <c r="Z445" s="4"/>
    </row>
    <row r="446">
      <c r="A446" s="77"/>
      <c r="B446" s="17"/>
      <c r="C446" s="17"/>
      <c r="D446" s="17"/>
      <c r="E446" s="17"/>
      <c r="F446" s="17"/>
      <c r="G446" s="78"/>
      <c r="H446" s="78"/>
      <c r="I446" s="17"/>
      <c r="J446" s="17"/>
      <c r="K446" s="17"/>
      <c r="L446" s="4"/>
      <c r="M446" s="4"/>
      <c r="N446" s="4"/>
      <c r="O446" s="4"/>
      <c r="P446" s="4"/>
      <c r="Q446" s="4"/>
      <c r="R446" s="4"/>
      <c r="S446" s="4"/>
      <c r="T446" s="4"/>
      <c r="U446" s="4"/>
      <c r="V446" s="4"/>
      <c r="W446" s="4"/>
      <c r="X446" s="4"/>
      <c r="Y446" s="4"/>
      <c r="Z446" s="4"/>
    </row>
    <row r="447">
      <c r="A447" s="77"/>
      <c r="B447" s="17"/>
      <c r="C447" s="17"/>
      <c r="D447" s="17"/>
      <c r="E447" s="17"/>
      <c r="F447" s="17"/>
      <c r="G447" s="78"/>
      <c r="H447" s="78"/>
      <c r="I447" s="17"/>
      <c r="J447" s="17"/>
      <c r="K447" s="17"/>
      <c r="L447" s="4"/>
      <c r="M447" s="4"/>
      <c r="N447" s="4"/>
      <c r="O447" s="4"/>
      <c r="P447" s="4"/>
      <c r="Q447" s="4"/>
      <c r="R447" s="4"/>
      <c r="S447" s="4"/>
      <c r="T447" s="4"/>
      <c r="U447" s="4"/>
      <c r="V447" s="4"/>
      <c r="W447" s="4"/>
      <c r="X447" s="4"/>
      <c r="Y447" s="4"/>
      <c r="Z447" s="4"/>
    </row>
    <row r="448">
      <c r="A448" s="77"/>
      <c r="B448" s="17"/>
      <c r="C448" s="17"/>
      <c r="D448" s="17"/>
      <c r="E448" s="17"/>
      <c r="F448" s="17"/>
      <c r="G448" s="78"/>
      <c r="H448" s="78"/>
      <c r="I448" s="17"/>
      <c r="J448" s="17"/>
      <c r="K448" s="17"/>
      <c r="L448" s="4"/>
      <c r="M448" s="4"/>
      <c r="N448" s="4"/>
      <c r="O448" s="4"/>
      <c r="P448" s="4"/>
      <c r="Q448" s="4"/>
      <c r="R448" s="4"/>
      <c r="S448" s="4"/>
      <c r="T448" s="4"/>
      <c r="U448" s="4"/>
      <c r="V448" s="4"/>
      <c r="W448" s="4"/>
      <c r="X448" s="4"/>
      <c r="Y448" s="4"/>
      <c r="Z448" s="4"/>
    </row>
    <row r="449">
      <c r="A449" s="77"/>
      <c r="B449" s="17"/>
      <c r="C449" s="17"/>
      <c r="D449" s="17"/>
      <c r="E449" s="17"/>
      <c r="F449" s="17"/>
      <c r="G449" s="78"/>
      <c r="H449" s="78"/>
      <c r="I449" s="17"/>
      <c r="J449" s="17"/>
      <c r="K449" s="17"/>
      <c r="L449" s="4"/>
      <c r="M449" s="4"/>
      <c r="N449" s="4"/>
      <c r="O449" s="4"/>
      <c r="P449" s="4"/>
      <c r="Q449" s="4"/>
      <c r="R449" s="4"/>
      <c r="S449" s="4"/>
      <c r="T449" s="4"/>
      <c r="U449" s="4"/>
      <c r="V449" s="4"/>
      <c r="W449" s="4"/>
      <c r="X449" s="4"/>
      <c r="Y449" s="4"/>
      <c r="Z449" s="4"/>
    </row>
    <row r="450">
      <c r="A450" s="77"/>
      <c r="B450" s="17"/>
      <c r="C450" s="17"/>
      <c r="D450" s="17"/>
      <c r="E450" s="17"/>
      <c r="F450" s="17"/>
      <c r="G450" s="78"/>
      <c r="H450" s="78"/>
      <c r="I450" s="17"/>
      <c r="J450" s="17"/>
      <c r="K450" s="17"/>
      <c r="L450" s="4"/>
      <c r="M450" s="4"/>
      <c r="N450" s="4"/>
      <c r="O450" s="4"/>
      <c r="P450" s="4"/>
      <c r="Q450" s="4"/>
      <c r="R450" s="4"/>
      <c r="S450" s="4"/>
      <c r="T450" s="4"/>
      <c r="U450" s="4"/>
      <c r="V450" s="4"/>
      <c r="W450" s="4"/>
      <c r="X450" s="4"/>
      <c r="Y450" s="4"/>
      <c r="Z450" s="4"/>
    </row>
    <row r="451">
      <c r="A451" s="77"/>
      <c r="B451" s="17"/>
      <c r="C451" s="17"/>
      <c r="D451" s="17"/>
      <c r="E451" s="17"/>
      <c r="F451" s="17"/>
      <c r="G451" s="78"/>
      <c r="H451" s="78"/>
      <c r="I451" s="17"/>
      <c r="J451" s="17"/>
      <c r="K451" s="17"/>
      <c r="L451" s="4"/>
      <c r="M451" s="4"/>
      <c r="N451" s="4"/>
      <c r="O451" s="4"/>
      <c r="P451" s="4"/>
      <c r="Q451" s="4"/>
      <c r="R451" s="4"/>
      <c r="S451" s="4"/>
      <c r="T451" s="4"/>
      <c r="U451" s="4"/>
      <c r="V451" s="4"/>
      <c r="W451" s="4"/>
      <c r="X451" s="4"/>
      <c r="Y451" s="4"/>
      <c r="Z451" s="4"/>
    </row>
    <row r="452">
      <c r="A452" s="77"/>
      <c r="B452" s="17"/>
      <c r="C452" s="17"/>
      <c r="D452" s="17"/>
      <c r="E452" s="17"/>
      <c r="F452" s="17"/>
      <c r="G452" s="78"/>
      <c r="H452" s="78"/>
      <c r="I452" s="17"/>
      <c r="J452" s="17"/>
      <c r="K452" s="17"/>
      <c r="L452" s="4"/>
      <c r="M452" s="4"/>
      <c r="N452" s="4"/>
      <c r="O452" s="4"/>
      <c r="P452" s="4"/>
      <c r="Q452" s="4"/>
      <c r="R452" s="4"/>
      <c r="S452" s="4"/>
      <c r="T452" s="4"/>
      <c r="U452" s="4"/>
      <c r="V452" s="4"/>
      <c r="W452" s="4"/>
      <c r="X452" s="4"/>
      <c r="Y452" s="4"/>
      <c r="Z452" s="4"/>
    </row>
    <row r="453">
      <c r="A453" s="77"/>
      <c r="B453" s="17"/>
      <c r="C453" s="17"/>
      <c r="D453" s="17"/>
      <c r="E453" s="17"/>
      <c r="F453" s="17"/>
      <c r="G453" s="78"/>
      <c r="H453" s="78"/>
      <c r="I453" s="17"/>
      <c r="J453" s="17"/>
      <c r="K453" s="17"/>
      <c r="L453" s="4"/>
      <c r="M453" s="4"/>
      <c r="N453" s="4"/>
      <c r="O453" s="4"/>
      <c r="P453" s="4"/>
      <c r="Q453" s="4"/>
      <c r="R453" s="4"/>
      <c r="S453" s="4"/>
      <c r="T453" s="4"/>
      <c r="U453" s="4"/>
      <c r="V453" s="4"/>
      <c r="W453" s="4"/>
      <c r="X453" s="4"/>
      <c r="Y453" s="4"/>
      <c r="Z453" s="4"/>
    </row>
    <row r="454">
      <c r="A454" s="77"/>
      <c r="B454" s="17"/>
      <c r="C454" s="17"/>
      <c r="D454" s="17"/>
      <c r="E454" s="17"/>
      <c r="F454" s="17"/>
      <c r="G454" s="78"/>
      <c r="H454" s="78"/>
      <c r="I454" s="17"/>
      <c r="J454" s="17"/>
      <c r="K454" s="17"/>
      <c r="L454" s="4"/>
      <c r="M454" s="4"/>
      <c r="N454" s="4"/>
      <c r="O454" s="4"/>
      <c r="P454" s="4"/>
      <c r="Q454" s="4"/>
      <c r="R454" s="4"/>
      <c r="S454" s="4"/>
      <c r="T454" s="4"/>
      <c r="U454" s="4"/>
      <c r="V454" s="4"/>
      <c r="W454" s="4"/>
      <c r="X454" s="4"/>
      <c r="Y454" s="4"/>
      <c r="Z454" s="4"/>
    </row>
    <row r="455">
      <c r="A455" s="77"/>
      <c r="B455" s="17"/>
      <c r="C455" s="17"/>
      <c r="D455" s="17"/>
      <c r="E455" s="17"/>
      <c r="F455" s="17"/>
      <c r="G455" s="78"/>
      <c r="H455" s="78"/>
      <c r="I455" s="17"/>
      <c r="J455" s="17"/>
      <c r="K455" s="17"/>
      <c r="L455" s="4"/>
      <c r="M455" s="4"/>
      <c r="N455" s="4"/>
      <c r="O455" s="4"/>
      <c r="P455" s="4"/>
      <c r="Q455" s="4"/>
      <c r="R455" s="4"/>
      <c r="S455" s="4"/>
      <c r="T455" s="4"/>
      <c r="U455" s="4"/>
      <c r="V455" s="4"/>
      <c r="W455" s="4"/>
      <c r="X455" s="4"/>
      <c r="Y455" s="4"/>
      <c r="Z455" s="4"/>
    </row>
    <row r="456">
      <c r="A456" s="77"/>
      <c r="B456" s="17"/>
      <c r="C456" s="17"/>
      <c r="D456" s="17"/>
      <c r="E456" s="17"/>
      <c r="F456" s="17"/>
      <c r="G456" s="78"/>
      <c r="H456" s="78"/>
      <c r="I456" s="17"/>
      <c r="J456" s="17"/>
      <c r="K456" s="17"/>
      <c r="L456" s="4"/>
      <c r="M456" s="4"/>
      <c r="N456" s="4"/>
      <c r="O456" s="4"/>
      <c r="P456" s="4"/>
      <c r="Q456" s="4"/>
      <c r="R456" s="4"/>
      <c r="S456" s="4"/>
      <c r="T456" s="4"/>
      <c r="U456" s="4"/>
      <c r="V456" s="4"/>
      <c r="W456" s="4"/>
      <c r="X456" s="4"/>
      <c r="Y456" s="4"/>
      <c r="Z456" s="4"/>
    </row>
    <row r="457">
      <c r="A457" s="77"/>
      <c r="B457" s="17"/>
      <c r="C457" s="17"/>
      <c r="D457" s="17"/>
      <c r="E457" s="17"/>
      <c r="F457" s="17"/>
      <c r="G457" s="78"/>
      <c r="H457" s="78"/>
      <c r="I457" s="17"/>
      <c r="J457" s="17"/>
      <c r="K457" s="17"/>
      <c r="L457" s="4"/>
      <c r="M457" s="4"/>
      <c r="N457" s="4"/>
      <c r="O457" s="4"/>
      <c r="P457" s="4"/>
      <c r="Q457" s="4"/>
      <c r="R457" s="4"/>
      <c r="S457" s="4"/>
      <c r="T457" s="4"/>
      <c r="U457" s="4"/>
      <c r="V457" s="4"/>
      <c r="W457" s="4"/>
      <c r="X457" s="4"/>
      <c r="Y457" s="4"/>
      <c r="Z457" s="4"/>
    </row>
    <row r="458">
      <c r="A458" s="77"/>
      <c r="B458" s="17"/>
      <c r="C458" s="17"/>
      <c r="D458" s="17"/>
      <c r="E458" s="17"/>
      <c r="F458" s="17"/>
      <c r="G458" s="78"/>
      <c r="H458" s="78"/>
      <c r="I458" s="17"/>
      <c r="J458" s="17"/>
      <c r="K458" s="17"/>
      <c r="L458" s="4"/>
      <c r="M458" s="4"/>
      <c r="N458" s="4"/>
      <c r="O458" s="4"/>
      <c r="P458" s="4"/>
      <c r="Q458" s="4"/>
      <c r="R458" s="4"/>
      <c r="S458" s="4"/>
      <c r="T458" s="4"/>
      <c r="U458" s="4"/>
      <c r="V458" s="4"/>
      <c r="W458" s="4"/>
      <c r="X458" s="4"/>
      <c r="Y458" s="4"/>
      <c r="Z458" s="4"/>
    </row>
    <row r="459">
      <c r="A459" s="77"/>
      <c r="B459" s="17"/>
      <c r="C459" s="17"/>
      <c r="D459" s="17"/>
      <c r="E459" s="17"/>
      <c r="F459" s="17"/>
      <c r="G459" s="78"/>
      <c r="H459" s="78"/>
      <c r="I459" s="17"/>
      <c r="J459" s="17"/>
      <c r="K459" s="17"/>
      <c r="L459" s="4"/>
      <c r="M459" s="4"/>
      <c r="N459" s="4"/>
      <c r="O459" s="4"/>
      <c r="P459" s="4"/>
      <c r="Q459" s="4"/>
      <c r="R459" s="4"/>
      <c r="S459" s="4"/>
      <c r="T459" s="4"/>
      <c r="U459" s="4"/>
      <c r="V459" s="4"/>
      <c r="W459" s="4"/>
      <c r="X459" s="4"/>
      <c r="Y459" s="4"/>
      <c r="Z459" s="4"/>
    </row>
    <row r="460">
      <c r="A460" s="77"/>
      <c r="B460" s="17"/>
      <c r="C460" s="17"/>
      <c r="D460" s="17"/>
      <c r="E460" s="17"/>
      <c r="F460" s="17"/>
      <c r="G460" s="78"/>
      <c r="H460" s="78"/>
      <c r="I460" s="17"/>
      <c r="J460" s="17"/>
      <c r="K460" s="17"/>
      <c r="L460" s="4"/>
      <c r="M460" s="4"/>
      <c r="N460" s="4"/>
      <c r="O460" s="4"/>
      <c r="P460" s="4"/>
      <c r="Q460" s="4"/>
      <c r="R460" s="4"/>
      <c r="S460" s="4"/>
      <c r="T460" s="4"/>
      <c r="U460" s="4"/>
      <c r="V460" s="4"/>
      <c r="W460" s="4"/>
      <c r="X460" s="4"/>
      <c r="Y460" s="4"/>
      <c r="Z460" s="4"/>
    </row>
    <row r="461">
      <c r="A461" s="77"/>
      <c r="B461" s="17"/>
      <c r="C461" s="17"/>
      <c r="D461" s="17"/>
      <c r="E461" s="17"/>
      <c r="F461" s="17"/>
      <c r="G461" s="78"/>
      <c r="H461" s="78"/>
      <c r="I461" s="17"/>
      <c r="J461" s="17"/>
      <c r="K461" s="17"/>
      <c r="L461" s="4"/>
      <c r="M461" s="4"/>
      <c r="N461" s="4"/>
      <c r="O461" s="4"/>
      <c r="P461" s="4"/>
      <c r="Q461" s="4"/>
      <c r="R461" s="4"/>
      <c r="S461" s="4"/>
      <c r="T461" s="4"/>
      <c r="U461" s="4"/>
      <c r="V461" s="4"/>
      <c r="W461" s="4"/>
      <c r="X461" s="4"/>
      <c r="Y461" s="4"/>
      <c r="Z461" s="4"/>
    </row>
    <row r="462">
      <c r="A462" s="77"/>
      <c r="B462" s="17"/>
      <c r="C462" s="17"/>
      <c r="D462" s="17"/>
      <c r="E462" s="17"/>
      <c r="F462" s="17"/>
      <c r="G462" s="78"/>
      <c r="H462" s="78"/>
      <c r="I462" s="17"/>
      <c r="J462" s="17"/>
      <c r="K462" s="17"/>
      <c r="L462" s="4"/>
      <c r="M462" s="4"/>
      <c r="N462" s="4"/>
      <c r="O462" s="4"/>
      <c r="P462" s="4"/>
      <c r="Q462" s="4"/>
      <c r="R462" s="4"/>
      <c r="S462" s="4"/>
      <c r="T462" s="4"/>
      <c r="U462" s="4"/>
      <c r="V462" s="4"/>
      <c r="W462" s="4"/>
      <c r="X462" s="4"/>
      <c r="Y462" s="4"/>
      <c r="Z462" s="4"/>
    </row>
    <row r="463">
      <c r="A463" s="77"/>
      <c r="B463" s="17"/>
      <c r="C463" s="17"/>
      <c r="D463" s="17"/>
      <c r="E463" s="17"/>
      <c r="F463" s="17"/>
      <c r="G463" s="78"/>
      <c r="H463" s="78"/>
      <c r="I463" s="17"/>
      <c r="J463" s="17"/>
      <c r="K463" s="17"/>
      <c r="L463" s="4"/>
      <c r="M463" s="4"/>
      <c r="N463" s="4"/>
      <c r="O463" s="4"/>
      <c r="P463" s="4"/>
      <c r="Q463" s="4"/>
      <c r="R463" s="4"/>
      <c r="S463" s="4"/>
      <c r="T463" s="4"/>
      <c r="U463" s="4"/>
      <c r="V463" s="4"/>
      <c r="W463" s="4"/>
      <c r="X463" s="4"/>
      <c r="Y463" s="4"/>
      <c r="Z463" s="4"/>
    </row>
    <row r="464">
      <c r="A464" s="77"/>
      <c r="B464" s="17"/>
      <c r="C464" s="17"/>
      <c r="D464" s="17"/>
      <c r="E464" s="17"/>
      <c r="F464" s="17"/>
      <c r="G464" s="78"/>
      <c r="H464" s="78"/>
      <c r="I464" s="17"/>
      <c r="J464" s="17"/>
      <c r="K464" s="17"/>
      <c r="L464" s="4"/>
      <c r="M464" s="4"/>
      <c r="N464" s="4"/>
      <c r="O464" s="4"/>
      <c r="P464" s="4"/>
      <c r="Q464" s="4"/>
      <c r="R464" s="4"/>
      <c r="S464" s="4"/>
      <c r="T464" s="4"/>
      <c r="U464" s="4"/>
      <c r="V464" s="4"/>
      <c r="W464" s="4"/>
      <c r="X464" s="4"/>
      <c r="Y464" s="4"/>
      <c r="Z464" s="4"/>
    </row>
    <row r="465">
      <c r="A465" s="77"/>
      <c r="B465" s="17"/>
      <c r="C465" s="17"/>
      <c r="D465" s="17"/>
      <c r="E465" s="17"/>
      <c r="F465" s="17"/>
      <c r="G465" s="78"/>
      <c r="H465" s="78"/>
      <c r="I465" s="17"/>
      <c r="J465" s="17"/>
      <c r="K465" s="17"/>
      <c r="L465" s="4"/>
      <c r="M465" s="4"/>
      <c r="N465" s="4"/>
      <c r="O465" s="4"/>
      <c r="P465" s="4"/>
      <c r="Q465" s="4"/>
      <c r="R465" s="4"/>
      <c r="S465" s="4"/>
      <c r="T465" s="4"/>
      <c r="U465" s="4"/>
      <c r="V465" s="4"/>
      <c r="W465" s="4"/>
      <c r="X465" s="4"/>
      <c r="Y465" s="4"/>
      <c r="Z465" s="4"/>
    </row>
    <row r="466">
      <c r="A466" s="77"/>
      <c r="B466" s="17"/>
      <c r="C466" s="17"/>
      <c r="D466" s="17"/>
      <c r="E466" s="17"/>
      <c r="F466" s="17"/>
      <c r="G466" s="78"/>
      <c r="H466" s="78"/>
      <c r="I466" s="17"/>
      <c r="J466" s="17"/>
      <c r="K466" s="17"/>
      <c r="L466" s="4"/>
      <c r="M466" s="4"/>
      <c r="N466" s="4"/>
      <c r="O466" s="4"/>
      <c r="P466" s="4"/>
      <c r="Q466" s="4"/>
      <c r="R466" s="4"/>
      <c r="S466" s="4"/>
      <c r="T466" s="4"/>
      <c r="U466" s="4"/>
      <c r="V466" s="4"/>
      <c r="W466" s="4"/>
      <c r="X466" s="4"/>
      <c r="Y466" s="4"/>
      <c r="Z466" s="4"/>
    </row>
    <row r="467">
      <c r="A467" s="77"/>
      <c r="B467" s="17"/>
      <c r="C467" s="17"/>
      <c r="D467" s="17"/>
      <c r="E467" s="17"/>
      <c r="F467" s="17"/>
      <c r="G467" s="78"/>
      <c r="H467" s="78"/>
      <c r="I467" s="17"/>
      <c r="J467" s="17"/>
      <c r="K467" s="17"/>
      <c r="L467" s="4"/>
      <c r="M467" s="4"/>
      <c r="N467" s="4"/>
      <c r="O467" s="4"/>
      <c r="P467" s="4"/>
      <c r="Q467" s="4"/>
      <c r="R467" s="4"/>
      <c r="S467" s="4"/>
      <c r="T467" s="4"/>
      <c r="U467" s="4"/>
      <c r="V467" s="4"/>
      <c r="W467" s="4"/>
      <c r="X467" s="4"/>
      <c r="Y467" s="4"/>
      <c r="Z467" s="4"/>
    </row>
    <row r="468">
      <c r="A468" s="77"/>
      <c r="B468" s="17"/>
      <c r="C468" s="17"/>
      <c r="D468" s="17"/>
      <c r="E468" s="17"/>
      <c r="F468" s="17"/>
      <c r="G468" s="78"/>
      <c r="H468" s="78"/>
      <c r="I468" s="17"/>
      <c r="J468" s="17"/>
      <c r="K468" s="17"/>
      <c r="L468" s="4"/>
      <c r="M468" s="4"/>
      <c r="N468" s="4"/>
      <c r="O468" s="4"/>
      <c r="P468" s="4"/>
      <c r="Q468" s="4"/>
      <c r="R468" s="4"/>
      <c r="S468" s="4"/>
      <c r="T468" s="4"/>
      <c r="U468" s="4"/>
      <c r="V468" s="4"/>
      <c r="W468" s="4"/>
      <c r="X468" s="4"/>
      <c r="Y468" s="4"/>
      <c r="Z468" s="4"/>
    </row>
    <row r="469">
      <c r="A469" s="77"/>
      <c r="B469" s="17"/>
      <c r="C469" s="17"/>
      <c r="D469" s="17"/>
      <c r="E469" s="17"/>
      <c r="F469" s="17"/>
      <c r="G469" s="78"/>
      <c r="H469" s="78"/>
      <c r="I469" s="17"/>
      <c r="J469" s="17"/>
      <c r="K469" s="17"/>
      <c r="L469" s="4"/>
      <c r="M469" s="4"/>
      <c r="N469" s="4"/>
      <c r="O469" s="4"/>
      <c r="P469" s="4"/>
      <c r="Q469" s="4"/>
      <c r="R469" s="4"/>
      <c r="S469" s="4"/>
      <c r="T469" s="4"/>
      <c r="U469" s="4"/>
      <c r="V469" s="4"/>
      <c r="W469" s="4"/>
      <c r="X469" s="4"/>
      <c r="Y469" s="4"/>
      <c r="Z469" s="4"/>
    </row>
    <row r="470">
      <c r="A470" s="77"/>
      <c r="B470" s="17"/>
      <c r="C470" s="17"/>
      <c r="D470" s="17"/>
      <c r="E470" s="17"/>
      <c r="F470" s="17"/>
      <c r="G470" s="78"/>
      <c r="H470" s="78"/>
      <c r="I470" s="17"/>
      <c r="J470" s="17"/>
      <c r="K470" s="17"/>
      <c r="L470" s="4"/>
      <c r="M470" s="4"/>
      <c r="N470" s="4"/>
      <c r="O470" s="4"/>
      <c r="P470" s="4"/>
      <c r="Q470" s="4"/>
      <c r="R470" s="4"/>
      <c r="S470" s="4"/>
      <c r="T470" s="4"/>
      <c r="U470" s="4"/>
      <c r="V470" s="4"/>
      <c r="W470" s="4"/>
      <c r="X470" s="4"/>
      <c r="Y470" s="4"/>
      <c r="Z470" s="4"/>
    </row>
    <row r="471">
      <c r="A471" s="77"/>
      <c r="B471" s="17"/>
      <c r="C471" s="17"/>
      <c r="D471" s="17"/>
      <c r="E471" s="17"/>
      <c r="F471" s="17"/>
      <c r="G471" s="78"/>
      <c r="H471" s="78"/>
      <c r="I471" s="17"/>
      <c r="J471" s="17"/>
      <c r="K471" s="17"/>
      <c r="L471" s="4"/>
      <c r="M471" s="4"/>
      <c r="N471" s="4"/>
      <c r="O471" s="4"/>
      <c r="P471" s="4"/>
      <c r="Q471" s="4"/>
      <c r="R471" s="4"/>
      <c r="S471" s="4"/>
      <c r="T471" s="4"/>
      <c r="U471" s="4"/>
      <c r="V471" s="4"/>
      <c r="W471" s="4"/>
      <c r="X471" s="4"/>
      <c r="Y471" s="4"/>
      <c r="Z471" s="4"/>
    </row>
    <row r="472">
      <c r="A472" s="77"/>
      <c r="B472" s="17"/>
      <c r="C472" s="17"/>
      <c r="D472" s="17"/>
      <c r="E472" s="17"/>
      <c r="F472" s="17"/>
      <c r="G472" s="78"/>
      <c r="H472" s="78"/>
      <c r="I472" s="17"/>
      <c r="J472" s="17"/>
      <c r="K472" s="17"/>
      <c r="L472" s="4"/>
      <c r="M472" s="4"/>
      <c r="N472" s="4"/>
      <c r="O472" s="4"/>
      <c r="P472" s="4"/>
      <c r="Q472" s="4"/>
      <c r="R472" s="4"/>
      <c r="S472" s="4"/>
      <c r="T472" s="4"/>
      <c r="U472" s="4"/>
      <c r="V472" s="4"/>
      <c r="W472" s="4"/>
      <c r="X472" s="4"/>
      <c r="Y472" s="4"/>
      <c r="Z472" s="4"/>
    </row>
    <row r="473">
      <c r="A473" s="77"/>
      <c r="B473" s="17"/>
      <c r="C473" s="17"/>
      <c r="D473" s="17"/>
      <c r="E473" s="17"/>
      <c r="F473" s="17"/>
      <c r="G473" s="78"/>
      <c r="H473" s="78"/>
      <c r="I473" s="17"/>
      <c r="J473" s="17"/>
      <c r="K473" s="17"/>
      <c r="L473" s="4"/>
      <c r="M473" s="4"/>
      <c r="N473" s="4"/>
      <c r="O473" s="4"/>
      <c r="P473" s="4"/>
      <c r="Q473" s="4"/>
      <c r="R473" s="4"/>
      <c r="S473" s="4"/>
      <c r="T473" s="4"/>
      <c r="U473" s="4"/>
      <c r="V473" s="4"/>
      <c r="W473" s="4"/>
      <c r="X473" s="4"/>
      <c r="Y473" s="4"/>
      <c r="Z473" s="4"/>
    </row>
    <row r="474">
      <c r="A474" s="77"/>
      <c r="B474" s="17"/>
      <c r="C474" s="17"/>
      <c r="D474" s="17"/>
      <c r="E474" s="17"/>
      <c r="F474" s="17"/>
      <c r="G474" s="78"/>
      <c r="H474" s="78"/>
      <c r="I474" s="17"/>
      <c r="J474" s="17"/>
      <c r="K474" s="17"/>
      <c r="L474" s="4"/>
      <c r="M474" s="4"/>
      <c r="N474" s="4"/>
      <c r="O474" s="4"/>
      <c r="P474" s="4"/>
      <c r="Q474" s="4"/>
      <c r="R474" s="4"/>
      <c r="S474" s="4"/>
      <c r="T474" s="4"/>
      <c r="U474" s="4"/>
      <c r="V474" s="4"/>
      <c r="W474" s="4"/>
      <c r="X474" s="4"/>
      <c r="Y474" s="4"/>
      <c r="Z474" s="4"/>
    </row>
    <row r="475">
      <c r="A475" s="77"/>
      <c r="B475" s="17"/>
      <c r="C475" s="17"/>
      <c r="D475" s="17"/>
      <c r="E475" s="17"/>
      <c r="F475" s="17"/>
      <c r="G475" s="78"/>
      <c r="H475" s="78"/>
      <c r="I475" s="17"/>
      <c r="J475" s="17"/>
      <c r="K475" s="17"/>
      <c r="L475" s="4"/>
      <c r="M475" s="4"/>
      <c r="N475" s="4"/>
      <c r="O475" s="4"/>
      <c r="P475" s="4"/>
      <c r="Q475" s="4"/>
      <c r="R475" s="4"/>
      <c r="S475" s="4"/>
      <c r="T475" s="4"/>
      <c r="U475" s="4"/>
      <c r="V475" s="4"/>
      <c r="W475" s="4"/>
      <c r="X475" s="4"/>
      <c r="Y475" s="4"/>
      <c r="Z475" s="4"/>
    </row>
    <row r="476">
      <c r="A476" s="77"/>
      <c r="B476" s="17"/>
      <c r="C476" s="17"/>
      <c r="D476" s="17"/>
      <c r="E476" s="17"/>
      <c r="F476" s="17"/>
      <c r="G476" s="78"/>
      <c r="H476" s="78"/>
      <c r="I476" s="17"/>
      <c r="J476" s="17"/>
      <c r="K476" s="17"/>
      <c r="L476" s="4"/>
      <c r="M476" s="4"/>
      <c r="N476" s="4"/>
      <c r="O476" s="4"/>
      <c r="P476" s="4"/>
      <c r="Q476" s="4"/>
      <c r="R476" s="4"/>
      <c r="S476" s="4"/>
      <c r="T476" s="4"/>
      <c r="U476" s="4"/>
      <c r="V476" s="4"/>
      <c r="W476" s="4"/>
      <c r="X476" s="4"/>
      <c r="Y476" s="4"/>
      <c r="Z476" s="4"/>
    </row>
    <row r="477">
      <c r="A477" s="77"/>
      <c r="B477" s="17"/>
      <c r="C477" s="17"/>
      <c r="D477" s="17"/>
      <c r="E477" s="17"/>
      <c r="F477" s="17"/>
      <c r="G477" s="78"/>
      <c r="H477" s="78"/>
      <c r="I477" s="17"/>
      <c r="J477" s="17"/>
      <c r="K477" s="17"/>
      <c r="L477" s="4"/>
      <c r="M477" s="4"/>
      <c r="N477" s="4"/>
      <c r="O477" s="4"/>
      <c r="P477" s="4"/>
      <c r="Q477" s="4"/>
      <c r="R477" s="4"/>
      <c r="S477" s="4"/>
      <c r="T477" s="4"/>
      <c r="U477" s="4"/>
      <c r="V477" s="4"/>
      <c r="W477" s="4"/>
      <c r="X477" s="4"/>
      <c r="Y477" s="4"/>
      <c r="Z477" s="4"/>
    </row>
    <row r="478">
      <c r="A478" s="77"/>
      <c r="B478" s="17"/>
      <c r="C478" s="17"/>
      <c r="D478" s="17"/>
      <c r="E478" s="17"/>
      <c r="F478" s="17"/>
      <c r="G478" s="78"/>
      <c r="H478" s="78"/>
      <c r="I478" s="17"/>
      <c r="J478" s="17"/>
      <c r="K478" s="17"/>
      <c r="L478" s="4"/>
      <c r="M478" s="4"/>
      <c r="N478" s="4"/>
      <c r="O478" s="4"/>
      <c r="P478" s="4"/>
      <c r="Q478" s="4"/>
      <c r="R478" s="4"/>
      <c r="S478" s="4"/>
      <c r="T478" s="4"/>
      <c r="U478" s="4"/>
      <c r="V478" s="4"/>
      <c r="W478" s="4"/>
      <c r="X478" s="4"/>
      <c r="Y478" s="4"/>
      <c r="Z478" s="4"/>
    </row>
    <row r="479">
      <c r="A479" s="77"/>
      <c r="B479" s="17"/>
      <c r="C479" s="17"/>
      <c r="D479" s="17"/>
      <c r="E479" s="17"/>
      <c r="F479" s="17"/>
      <c r="G479" s="78"/>
      <c r="H479" s="78"/>
      <c r="I479" s="17"/>
      <c r="J479" s="17"/>
      <c r="K479" s="17"/>
      <c r="L479" s="4"/>
      <c r="M479" s="4"/>
      <c r="N479" s="4"/>
      <c r="O479" s="4"/>
      <c r="P479" s="4"/>
      <c r="Q479" s="4"/>
      <c r="R479" s="4"/>
      <c r="S479" s="4"/>
      <c r="T479" s="4"/>
      <c r="U479" s="4"/>
      <c r="V479" s="4"/>
      <c r="W479" s="4"/>
      <c r="X479" s="4"/>
      <c r="Y479" s="4"/>
      <c r="Z479" s="4"/>
    </row>
    <row r="480">
      <c r="A480" s="77"/>
      <c r="B480" s="17"/>
      <c r="C480" s="17"/>
      <c r="D480" s="17"/>
      <c r="E480" s="17"/>
      <c r="F480" s="17"/>
      <c r="G480" s="78"/>
      <c r="H480" s="78"/>
      <c r="I480" s="17"/>
      <c r="J480" s="17"/>
      <c r="K480" s="17"/>
      <c r="L480" s="4"/>
      <c r="M480" s="4"/>
      <c r="N480" s="4"/>
      <c r="O480" s="4"/>
      <c r="P480" s="4"/>
      <c r="Q480" s="4"/>
      <c r="R480" s="4"/>
      <c r="S480" s="4"/>
      <c r="T480" s="4"/>
      <c r="U480" s="4"/>
      <c r="V480" s="4"/>
      <c r="W480" s="4"/>
      <c r="X480" s="4"/>
      <c r="Y480" s="4"/>
      <c r="Z480" s="4"/>
    </row>
    <row r="481">
      <c r="A481" s="77"/>
      <c r="B481" s="17"/>
      <c r="C481" s="17"/>
      <c r="D481" s="17"/>
      <c r="E481" s="17"/>
      <c r="F481" s="17"/>
      <c r="G481" s="78"/>
      <c r="H481" s="78"/>
      <c r="I481" s="17"/>
      <c r="J481" s="17"/>
      <c r="K481" s="17"/>
      <c r="L481" s="4"/>
      <c r="M481" s="4"/>
      <c r="N481" s="4"/>
      <c r="O481" s="4"/>
      <c r="P481" s="4"/>
      <c r="Q481" s="4"/>
      <c r="R481" s="4"/>
      <c r="S481" s="4"/>
      <c r="T481" s="4"/>
      <c r="U481" s="4"/>
      <c r="V481" s="4"/>
      <c r="W481" s="4"/>
      <c r="X481" s="4"/>
      <c r="Y481" s="4"/>
      <c r="Z481" s="4"/>
    </row>
    <row r="482">
      <c r="A482" s="77"/>
      <c r="B482" s="17"/>
      <c r="C482" s="17"/>
      <c r="D482" s="17"/>
      <c r="E482" s="17"/>
      <c r="F482" s="17"/>
      <c r="G482" s="78"/>
      <c r="H482" s="78"/>
      <c r="I482" s="17"/>
      <c r="J482" s="17"/>
      <c r="K482" s="17"/>
      <c r="L482" s="4"/>
      <c r="M482" s="4"/>
      <c r="N482" s="4"/>
      <c r="O482" s="4"/>
      <c r="P482" s="4"/>
      <c r="Q482" s="4"/>
      <c r="R482" s="4"/>
      <c r="S482" s="4"/>
      <c r="T482" s="4"/>
      <c r="U482" s="4"/>
      <c r="V482" s="4"/>
      <c r="W482" s="4"/>
      <c r="X482" s="4"/>
      <c r="Y482" s="4"/>
      <c r="Z482" s="4"/>
    </row>
    <row r="483">
      <c r="A483" s="77"/>
      <c r="B483" s="17"/>
      <c r="C483" s="17"/>
      <c r="D483" s="17"/>
      <c r="E483" s="17"/>
      <c r="F483" s="17"/>
      <c r="G483" s="78"/>
      <c r="H483" s="78"/>
      <c r="I483" s="17"/>
      <c r="J483" s="17"/>
      <c r="K483" s="17"/>
      <c r="L483" s="4"/>
      <c r="M483" s="4"/>
      <c r="N483" s="4"/>
      <c r="O483" s="4"/>
      <c r="P483" s="4"/>
      <c r="Q483" s="4"/>
      <c r="R483" s="4"/>
      <c r="S483" s="4"/>
      <c r="T483" s="4"/>
      <c r="U483" s="4"/>
      <c r="V483" s="4"/>
      <c r="W483" s="4"/>
      <c r="X483" s="4"/>
      <c r="Y483" s="4"/>
      <c r="Z483" s="4"/>
    </row>
    <row r="484">
      <c r="A484" s="77"/>
      <c r="B484" s="17"/>
      <c r="C484" s="17"/>
      <c r="D484" s="17"/>
      <c r="E484" s="17"/>
      <c r="F484" s="17"/>
      <c r="G484" s="78"/>
      <c r="H484" s="78"/>
      <c r="I484" s="17"/>
      <c r="J484" s="17"/>
      <c r="K484" s="17"/>
      <c r="L484" s="4"/>
      <c r="M484" s="4"/>
      <c r="N484" s="4"/>
      <c r="O484" s="4"/>
      <c r="P484" s="4"/>
      <c r="Q484" s="4"/>
      <c r="R484" s="4"/>
      <c r="S484" s="4"/>
      <c r="T484" s="4"/>
      <c r="U484" s="4"/>
      <c r="V484" s="4"/>
      <c r="W484" s="4"/>
      <c r="X484" s="4"/>
      <c r="Y484" s="4"/>
      <c r="Z484" s="4"/>
    </row>
    <row r="485">
      <c r="A485" s="77"/>
      <c r="B485" s="17"/>
      <c r="C485" s="17"/>
      <c r="D485" s="17"/>
      <c r="E485" s="17"/>
      <c r="F485" s="17"/>
      <c r="G485" s="78"/>
      <c r="H485" s="78"/>
      <c r="I485" s="17"/>
      <c r="J485" s="17"/>
      <c r="K485" s="17"/>
      <c r="L485" s="4"/>
      <c r="M485" s="4"/>
      <c r="N485" s="4"/>
      <c r="O485" s="4"/>
      <c r="P485" s="4"/>
      <c r="Q485" s="4"/>
      <c r="R485" s="4"/>
      <c r="S485" s="4"/>
      <c r="T485" s="4"/>
      <c r="U485" s="4"/>
      <c r="V485" s="4"/>
      <c r="W485" s="4"/>
      <c r="X485" s="4"/>
      <c r="Y485" s="4"/>
      <c r="Z485" s="4"/>
    </row>
    <row r="486">
      <c r="A486" s="77"/>
      <c r="B486" s="17"/>
      <c r="C486" s="17"/>
      <c r="D486" s="17"/>
      <c r="E486" s="17"/>
      <c r="F486" s="17"/>
      <c r="G486" s="78"/>
      <c r="H486" s="78"/>
      <c r="I486" s="17"/>
      <c r="J486" s="17"/>
      <c r="K486" s="17"/>
      <c r="L486" s="4"/>
      <c r="M486" s="4"/>
      <c r="N486" s="4"/>
      <c r="O486" s="4"/>
      <c r="P486" s="4"/>
      <c r="Q486" s="4"/>
      <c r="R486" s="4"/>
      <c r="S486" s="4"/>
      <c r="T486" s="4"/>
      <c r="U486" s="4"/>
      <c r="V486" s="4"/>
      <c r="W486" s="4"/>
      <c r="X486" s="4"/>
      <c r="Y486" s="4"/>
      <c r="Z486" s="4"/>
    </row>
    <row r="487">
      <c r="A487" s="77"/>
      <c r="B487" s="17"/>
      <c r="C487" s="17"/>
      <c r="D487" s="17"/>
      <c r="E487" s="17"/>
      <c r="F487" s="17"/>
      <c r="G487" s="78"/>
      <c r="H487" s="78"/>
      <c r="I487" s="17"/>
      <c r="J487" s="17"/>
      <c r="K487" s="17"/>
      <c r="L487" s="4"/>
      <c r="M487" s="4"/>
      <c r="N487" s="4"/>
      <c r="O487" s="4"/>
      <c r="P487" s="4"/>
      <c r="Q487" s="4"/>
      <c r="R487" s="4"/>
      <c r="S487" s="4"/>
      <c r="T487" s="4"/>
      <c r="U487" s="4"/>
      <c r="V487" s="4"/>
      <c r="W487" s="4"/>
      <c r="X487" s="4"/>
      <c r="Y487" s="4"/>
      <c r="Z487" s="4"/>
    </row>
    <row r="488">
      <c r="A488" s="77"/>
      <c r="B488" s="17"/>
      <c r="C488" s="17"/>
      <c r="D488" s="17"/>
      <c r="E488" s="17"/>
      <c r="F488" s="17"/>
      <c r="G488" s="78"/>
      <c r="H488" s="78"/>
      <c r="I488" s="17"/>
      <c r="J488" s="17"/>
      <c r="K488" s="17"/>
      <c r="L488" s="4"/>
      <c r="M488" s="4"/>
      <c r="N488" s="4"/>
      <c r="O488" s="4"/>
      <c r="P488" s="4"/>
      <c r="Q488" s="4"/>
      <c r="R488" s="4"/>
      <c r="S488" s="4"/>
      <c r="T488" s="4"/>
      <c r="U488" s="4"/>
      <c r="V488" s="4"/>
      <c r="W488" s="4"/>
      <c r="X488" s="4"/>
      <c r="Y488" s="4"/>
      <c r="Z488" s="4"/>
    </row>
    <row r="489">
      <c r="A489" s="77"/>
      <c r="B489" s="17"/>
      <c r="C489" s="17"/>
      <c r="D489" s="17"/>
      <c r="E489" s="17"/>
      <c r="F489" s="17"/>
      <c r="G489" s="78"/>
      <c r="H489" s="78"/>
      <c r="I489" s="17"/>
      <c r="J489" s="17"/>
      <c r="K489" s="17"/>
      <c r="L489" s="4"/>
      <c r="M489" s="4"/>
      <c r="N489" s="4"/>
      <c r="O489" s="4"/>
      <c r="P489" s="4"/>
      <c r="Q489" s="4"/>
      <c r="R489" s="4"/>
      <c r="S489" s="4"/>
      <c r="T489" s="4"/>
      <c r="U489" s="4"/>
      <c r="V489" s="4"/>
      <c r="W489" s="4"/>
      <c r="X489" s="4"/>
      <c r="Y489" s="4"/>
      <c r="Z489" s="4"/>
    </row>
    <row r="490">
      <c r="A490" s="77"/>
      <c r="B490" s="17"/>
      <c r="C490" s="17"/>
      <c r="D490" s="17"/>
      <c r="E490" s="17"/>
      <c r="F490" s="17"/>
      <c r="G490" s="78"/>
      <c r="H490" s="78"/>
      <c r="I490" s="17"/>
      <c r="J490" s="17"/>
      <c r="K490" s="17"/>
      <c r="L490" s="4"/>
      <c r="M490" s="4"/>
      <c r="N490" s="4"/>
      <c r="O490" s="4"/>
      <c r="P490" s="4"/>
      <c r="Q490" s="4"/>
      <c r="R490" s="4"/>
      <c r="S490" s="4"/>
      <c r="T490" s="4"/>
      <c r="U490" s="4"/>
      <c r="V490" s="4"/>
      <c r="W490" s="4"/>
      <c r="X490" s="4"/>
      <c r="Y490" s="4"/>
      <c r="Z490" s="4"/>
    </row>
    <row r="491">
      <c r="A491" s="77"/>
      <c r="B491" s="17"/>
      <c r="C491" s="17"/>
      <c r="D491" s="17"/>
      <c r="E491" s="17"/>
      <c r="F491" s="17"/>
      <c r="G491" s="78"/>
      <c r="H491" s="78"/>
      <c r="I491" s="17"/>
      <c r="J491" s="17"/>
      <c r="K491" s="17"/>
      <c r="L491" s="4"/>
      <c r="M491" s="4"/>
      <c r="N491" s="4"/>
      <c r="O491" s="4"/>
      <c r="P491" s="4"/>
      <c r="Q491" s="4"/>
      <c r="R491" s="4"/>
      <c r="S491" s="4"/>
      <c r="T491" s="4"/>
      <c r="U491" s="4"/>
      <c r="V491" s="4"/>
      <c r="W491" s="4"/>
      <c r="X491" s="4"/>
      <c r="Y491" s="4"/>
      <c r="Z491" s="4"/>
    </row>
    <row r="492">
      <c r="A492" s="77"/>
      <c r="B492" s="17"/>
      <c r="C492" s="17"/>
      <c r="D492" s="17"/>
      <c r="E492" s="17"/>
      <c r="F492" s="17"/>
      <c r="G492" s="78"/>
      <c r="H492" s="78"/>
      <c r="I492" s="17"/>
      <c r="J492" s="17"/>
      <c r="K492" s="17"/>
      <c r="L492" s="4"/>
      <c r="M492" s="4"/>
      <c r="N492" s="4"/>
      <c r="O492" s="4"/>
      <c r="P492" s="4"/>
      <c r="Q492" s="4"/>
      <c r="R492" s="4"/>
      <c r="S492" s="4"/>
      <c r="T492" s="4"/>
      <c r="U492" s="4"/>
      <c r="V492" s="4"/>
      <c r="W492" s="4"/>
      <c r="X492" s="4"/>
      <c r="Y492" s="4"/>
      <c r="Z492" s="4"/>
    </row>
    <row r="493">
      <c r="A493" s="77"/>
      <c r="B493" s="17"/>
      <c r="C493" s="17"/>
      <c r="D493" s="17"/>
      <c r="E493" s="17"/>
      <c r="F493" s="17"/>
      <c r="G493" s="78"/>
      <c r="H493" s="78"/>
      <c r="I493" s="17"/>
      <c r="J493" s="17"/>
      <c r="K493" s="17"/>
      <c r="L493" s="4"/>
      <c r="M493" s="4"/>
      <c r="N493" s="4"/>
      <c r="O493" s="4"/>
      <c r="P493" s="4"/>
      <c r="Q493" s="4"/>
      <c r="R493" s="4"/>
      <c r="S493" s="4"/>
      <c r="T493" s="4"/>
      <c r="U493" s="4"/>
      <c r="V493" s="4"/>
      <c r="W493" s="4"/>
      <c r="X493" s="4"/>
      <c r="Y493" s="4"/>
      <c r="Z493" s="4"/>
    </row>
    <row r="494">
      <c r="A494" s="77"/>
      <c r="B494" s="17"/>
      <c r="C494" s="17"/>
      <c r="D494" s="17"/>
      <c r="E494" s="17"/>
      <c r="F494" s="17"/>
      <c r="G494" s="78"/>
      <c r="H494" s="78"/>
      <c r="I494" s="17"/>
      <c r="J494" s="17"/>
      <c r="K494" s="17"/>
      <c r="L494" s="4"/>
      <c r="M494" s="4"/>
      <c r="N494" s="4"/>
      <c r="O494" s="4"/>
      <c r="P494" s="4"/>
      <c r="Q494" s="4"/>
      <c r="R494" s="4"/>
      <c r="S494" s="4"/>
      <c r="T494" s="4"/>
      <c r="U494" s="4"/>
      <c r="V494" s="4"/>
      <c r="W494" s="4"/>
      <c r="X494" s="4"/>
      <c r="Y494" s="4"/>
      <c r="Z494" s="4"/>
    </row>
    <row r="495">
      <c r="A495" s="77"/>
      <c r="B495" s="17"/>
      <c r="C495" s="17"/>
      <c r="D495" s="17"/>
      <c r="E495" s="17"/>
      <c r="F495" s="17"/>
      <c r="G495" s="78"/>
      <c r="H495" s="78"/>
      <c r="I495" s="17"/>
      <c r="J495" s="17"/>
      <c r="K495" s="17"/>
      <c r="L495" s="4"/>
      <c r="M495" s="4"/>
      <c r="N495" s="4"/>
      <c r="O495" s="4"/>
      <c r="P495" s="4"/>
      <c r="Q495" s="4"/>
      <c r="R495" s="4"/>
      <c r="S495" s="4"/>
      <c r="T495" s="4"/>
      <c r="U495" s="4"/>
      <c r="V495" s="4"/>
      <c r="W495" s="4"/>
      <c r="X495" s="4"/>
      <c r="Y495" s="4"/>
      <c r="Z495" s="4"/>
    </row>
    <row r="496">
      <c r="A496" s="77"/>
      <c r="B496" s="17"/>
      <c r="C496" s="17"/>
      <c r="D496" s="17"/>
      <c r="E496" s="17"/>
      <c r="F496" s="17"/>
      <c r="G496" s="78"/>
      <c r="H496" s="78"/>
      <c r="I496" s="17"/>
      <c r="J496" s="17"/>
      <c r="K496" s="17"/>
      <c r="L496" s="4"/>
      <c r="M496" s="4"/>
      <c r="N496" s="4"/>
      <c r="O496" s="4"/>
      <c r="P496" s="4"/>
      <c r="Q496" s="4"/>
      <c r="R496" s="4"/>
      <c r="S496" s="4"/>
      <c r="T496" s="4"/>
      <c r="U496" s="4"/>
      <c r="V496" s="4"/>
      <c r="W496" s="4"/>
      <c r="X496" s="4"/>
      <c r="Y496" s="4"/>
      <c r="Z496" s="4"/>
    </row>
    <row r="497">
      <c r="A497" s="77"/>
      <c r="B497" s="17"/>
      <c r="C497" s="17"/>
      <c r="D497" s="17"/>
      <c r="E497" s="17"/>
      <c r="F497" s="17"/>
      <c r="G497" s="78"/>
      <c r="H497" s="78"/>
      <c r="I497" s="17"/>
      <c r="J497" s="17"/>
      <c r="K497" s="17"/>
      <c r="L497" s="4"/>
      <c r="M497" s="4"/>
      <c r="N497" s="4"/>
      <c r="O497" s="4"/>
      <c r="P497" s="4"/>
      <c r="Q497" s="4"/>
      <c r="R497" s="4"/>
      <c r="S497" s="4"/>
      <c r="T497" s="4"/>
      <c r="U497" s="4"/>
      <c r="V497" s="4"/>
      <c r="W497" s="4"/>
      <c r="X497" s="4"/>
      <c r="Y497" s="4"/>
      <c r="Z497" s="4"/>
    </row>
    <row r="498">
      <c r="A498" s="77"/>
      <c r="B498" s="17"/>
      <c r="C498" s="17"/>
      <c r="D498" s="17"/>
      <c r="E498" s="17"/>
      <c r="F498" s="17"/>
      <c r="G498" s="78"/>
      <c r="H498" s="78"/>
      <c r="I498" s="17"/>
      <c r="J498" s="17"/>
      <c r="K498" s="17"/>
      <c r="L498" s="4"/>
      <c r="M498" s="4"/>
      <c r="N498" s="4"/>
      <c r="O498" s="4"/>
      <c r="P498" s="4"/>
      <c r="Q498" s="4"/>
      <c r="R498" s="4"/>
      <c r="S498" s="4"/>
      <c r="T498" s="4"/>
      <c r="U498" s="4"/>
      <c r="V498" s="4"/>
      <c r="W498" s="4"/>
      <c r="X498" s="4"/>
      <c r="Y498" s="4"/>
      <c r="Z498" s="4"/>
    </row>
    <row r="499">
      <c r="A499" s="77"/>
      <c r="B499" s="17"/>
      <c r="C499" s="17"/>
      <c r="D499" s="17"/>
      <c r="E499" s="17"/>
      <c r="F499" s="17"/>
      <c r="G499" s="78"/>
      <c r="H499" s="78"/>
      <c r="I499" s="17"/>
      <c r="J499" s="17"/>
      <c r="K499" s="17"/>
      <c r="L499" s="4"/>
      <c r="M499" s="4"/>
      <c r="N499" s="4"/>
      <c r="O499" s="4"/>
      <c r="P499" s="4"/>
      <c r="Q499" s="4"/>
      <c r="R499" s="4"/>
      <c r="S499" s="4"/>
      <c r="T499" s="4"/>
      <c r="U499" s="4"/>
      <c r="V499" s="4"/>
      <c r="W499" s="4"/>
      <c r="X499" s="4"/>
      <c r="Y499" s="4"/>
      <c r="Z499" s="4"/>
    </row>
    <row r="500">
      <c r="A500" s="77"/>
      <c r="B500" s="17"/>
      <c r="C500" s="17"/>
      <c r="D500" s="17"/>
      <c r="E500" s="17"/>
      <c r="F500" s="17"/>
      <c r="G500" s="78"/>
      <c r="H500" s="78"/>
      <c r="I500" s="17"/>
      <c r="J500" s="17"/>
      <c r="K500" s="17"/>
      <c r="L500" s="4"/>
      <c r="M500" s="4"/>
      <c r="N500" s="4"/>
      <c r="O500" s="4"/>
      <c r="P500" s="4"/>
      <c r="Q500" s="4"/>
      <c r="R500" s="4"/>
      <c r="S500" s="4"/>
      <c r="T500" s="4"/>
      <c r="U500" s="4"/>
      <c r="V500" s="4"/>
      <c r="W500" s="4"/>
      <c r="X500" s="4"/>
      <c r="Y500" s="4"/>
      <c r="Z500" s="4"/>
    </row>
    <row r="501">
      <c r="A501" s="77"/>
      <c r="B501" s="17"/>
      <c r="C501" s="17"/>
      <c r="D501" s="17"/>
      <c r="E501" s="17"/>
      <c r="F501" s="17"/>
      <c r="G501" s="78"/>
      <c r="H501" s="78"/>
      <c r="I501" s="17"/>
      <c r="J501" s="17"/>
      <c r="K501" s="17"/>
      <c r="L501" s="4"/>
      <c r="M501" s="4"/>
      <c r="N501" s="4"/>
      <c r="O501" s="4"/>
      <c r="P501" s="4"/>
      <c r="Q501" s="4"/>
      <c r="R501" s="4"/>
      <c r="S501" s="4"/>
      <c r="T501" s="4"/>
      <c r="U501" s="4"/>
      <c r="V501" s="4"/>
      <c r="W501" s="4"/>
      <c r="X501" s="4"/>
      <c r="Y501" s="4"/>
      <c r="Z501" s="4"/>
    </row>
    <row r="502">
      <c r="A502" s="77"/>
      <c r="B502" s="17"/>
      <c r="C502" s="17"/>
      <c r="D502" s="17"/>
      <c r="E502" s="17"/>
      <c r="F502" s="17"/>
      <c r="G502" s="78"/>
      <c r="H502" s="78"/>
      <c r="I502" s="17"/>
      <c r="J502" s="17"/>
      <c r="K502" s="17"/>
      <c r="L502" s="4"/>
      <c r="M502" s="4"/>
      <c r="N502" s="4"/>
      <c r="O502" s="4"/>
      <c r="P502" s="4"/>
      <c r="Q502" s="4"/>
      <c r="R502" s="4"/>
      <c r="S502" s="4"/>
      <c r="T502" s="4"/>
      <c r="U502" s="4"/>
      <c r="V502" s="4"/>
      <c r="W502" s="4"/>
      <c r="X502" s="4"/>
      <c r="Y502" s="4"/>
      <c r="Z502" s="4"/>
    </row>
    <row r="503">
      <c r="A503" s="77"/>
      <c r="B503" s="17"/>
      <c r="C503" s="17"/>
      <c r="D503" s="17"/>
      <c r="E503" s="17"/>
      <c r="F503" s="17"/>
      <c r="G503" s="78"/>
      <c r="H503" s="78"/>
      <c r="I503" s="17"/>
      <c r="J503" s="17"/>
      <c r="K503" s="17"/>
      <c r="L503" s="4"/>
      <c r="M503" s="4"/>
      <c r="N503" s="4"/>
      <c r="O503" s="4"/>
      <c r="P503" s="4"/>
      <c r="Q503" s="4"/>
      <c r="R503" s="4"/>
      <c r="S503" s="4"/>
      <c r="T503" s="4"/>
      <c r="U503" s="4"/>
      <c r="V503" s="4"/>
      <c r="W503" s="4"/>
      <c r="X503" s="4"/>
      <c r="Y503" s="4"/>
      <c r="Z503" s="4"/>
    </row>
    <row r="504">
      <c r="A504" s="77"/>
      <c r="B504" s="17"/>
      <c r="C504" s="17"/>
      <c r="D504" s="17"/>
      <c r="E504" s="17"/>
      <c r="F504" s="17"/>
      <c r="G504" s="78"/>
      <c r="H504" s="78"/>
      <c r="I504" s="17"/>
      <c r="J504" s="17"/>
      <c r="K504" s="17"/>
      <c r="L504" s="4"/>
      <c r="M504" s="4"/>
      <c r="N504" s="4"/>
      <c r="O504" s="4"/>
      <c r="P504" s="4"/>
      <c r="Q504" s="4"/>
      <c r="R504" s="4"/>
      <c r="S504" s="4"/>
      <c r="T504" s="4"/>
      <c r="U504" s="4"/>
      <c r="V504" s="4"/>
      <c r="W504" s="4"/>
      <c r="X504" s="4"/>
      <c r="Y504" s="4"/>
      <c r="Z504" s="4"/>
    </row>
    <row r="505">
      <c r="A505" s="77"/>
      <c r="B505" s="17"/>
      <c r="C505" s="17"/>
      <c r="D505" s="17"/>
      <c r="E505" s="17"/>
      <c r="F505" s="17"/>
      <c r="G505" s="78"/>
      <c r="H505" s="78"/>
      <c r="I505" s="17"/>
      <c r="J505" s="17"/>
      <c r="K505" s="17"/>
      <c r="L505" s="4"/>
      <c r="M505" s="4"/>
      <c r="N505" s="4"/>
      <c r="O505" s="4"/>
      <c r="P505" s="4"/>
      <c r="Q505" s="4"/>
      <c r="R505" s="4"/>
      <c r="S505" s="4"/>
      <c r="T505" s="4"/>
      <c r="U505" s="4"/>
      <c r="V505" s="4"/>
      <c r="W505" s="4"/>
      <c r="X505" s="4"/>
      <c r="Y505" s="4"/>
      <c r="Z505" s="4"/>
    </row>
    <row r="506">
      <c r="A506" s="77"/>
      <c r="B506" s="17"/>
      <c r="C506" s="17"/>
      <c r="D506" s="17"/>
      <c r="E506" s="17"/>
      <c r="F506" s="17"/>
      <c r="G506" s="78"/>
      <c r="H506" s="78"/>
      <c r="I506" s="17"/>
      <c r="J506" s="17"/>
      <c r="K506" s="17"/>
      <c r="L506" s="4"/>
      <c r="M506" s="4"/>
      <c r="N506" s="4"/>
      <c r="O506" s="4"/>
      <c r="P506" s="4"/>
      <c r="Q506" s="4"/>
      <c r="R506" s="4"/>
      <c r="S506" s="4"/>
      <c r="T506" s="4"/>
      <c r="U506" s="4"/>
      <c r="V506" s="4"/>
      <c r="W506" s="4"/>
      <c r="X506" s="4"/>
      <c r="Y506" s="4"/>
      <c r="Z506" s="4"/>
    </row>
    <row r="507">
      <c r="A507" s="77"/>
      <c r="B507" s="17"/>
      <c r="C507" s="17"/>
      <c r="D507" s="17"/>
      <c r="E507" s="17"/>
      <c r="F507" s="17"/>
      <c r="G507" s="78"/>
      <c r="H507" s="78"/>
      <c r="I507" s="17"/>
      <c r="J507" s="17"/>
      <c r="K507" s="17"/>
      <c r="L507" s="4"/>
      <c r="M507" s="4"/>
      <c r="N507" s="4"/>
      <c r="O507" s="4"/>
      <c r="P507" s="4"/>
      <c r="Q507" s="4"/>
      <c r="R507" s="4"/>
      <c r="S507" s="4"/>
      <c r="T507" s="4"/>
      <c r="U507" s="4"/>
      <c r="V507" s="4"/>
      <c r="W507" s="4"/>
      <c r="X507" s="4"/>
      <c r="Y507" s="4"/>
      <c r="Z507" s="4"/>
    </row>
    <row r="508">
      <c r="A508" s="77"/>
      <c r="B508" s="17"/>
      <c r="C508" s="17"/>
      <c r="D508" s="17"/>
      <c r="E508" s="17"/>
      <c r="F508" s="17"/>
      <c r="G508" s="78"/>
      <c r="H508" s="78"/>
      <c r="I508" s="17"/>
      <c r="J508" s="17"/>
      <c r="K508" s="17"/>
      <c r="L508" s="4"/>
      <c r="M508" s="4"/>
      <c r="N508" s="4"/>
      <c r="O508" s="4"/>
      <c r="P508" s="4"/>
      <c r="Q508" s="4"/>
      <c r="R508" s="4"/>
      <c r="S508" s="4"/>
      <c r="T508" s="4"/>
      <c r="U508" s="4"/>
      <c r="V508" s="4"/>
      <c r="W508" s="4"/>
      <c r="X508" s="4"/>
      <c r="Y508" s="4"/>
      <c r="Z508" s="4"/>
    </row>
    <row r="509">
      <c r="A509" s="77"/>
      <c r="B509" s="17"/>
      <c r="C509" s="17"/>
      <c r="D509" s="17"/>
      <c r="E509" s="17"/>
      <c r="F509" s="17"/>
      <c r="G509" s="78"/>
      <c r="H509" s="78"/>
      <c r="I509" s="17"/>
      <c r="J509" s="17"/>
      <c r="K509" s="17"/>
      <c r="L509" s="4"/>
      <c r="M509" s="4"/>
      <c r="N509" s="4"/>
      <c r="O509" s="4"/>
      <c r="P509" s="4"/>
      <c r="Q509" s="4"/>
      <c r="R509" s="4"/>
      <c r="S509" s="4"/>
      <c r="T509" s="4"/>
      <c r="U509" s="4"/>
      <c r="V509" s="4"/>
      <c r="W509" s="4"/>
      <c r="X509" s="4"/>
      <c r="Y509" s="4"/>
      <c r="Z509" s="4"/>
    </row>
    <row r="510">
      <c r="A510" s="77"/>
      <c r="B510" s="17"/>
      <c r="C510" s="17"/>
      <c r="D510" s="17"/>
      <c r="E510" s="17"/>
      <c r="F510" s="17"/>
      <c r="G510" s="78"/>
      <c r="H510" s="78"/>
      <c r="I510" s="17"/>
      <c r="J510" s="17"/>
      <c r="K510" s="17"/>
      <c r="L510" s="4"/>
      <c r="M510" s="4"/>
      <c r="N510" s="4"/>
      <c r="O510" s="4"/>
      <c r="P510" s="4"/>
      <c r="Q510" s="4"/>
      <c r="R510" s="4"/>
      <c r="S510" s="4"/>
      <c r="T510" s="4"/>
      <c r="U510" s="4"/>
      <c r="V510" s="4"/>
      <c r="W510" s="4"/>
      <c r="X510" s="4"/>
      <c r="Y510" s="4"/>
      <c r="Z510" s="4"/>
    </row>
    <row r="511">
      <c r="A511" s="77"/>
      <c r="B511" s="17"/>
      <c r="C511" s="17"/>
      <c r="D511" s="17"/>
      <c r="E511" s="17"/>
      <c r="F511" s="17"/>
      <c r="G511" s="78"/>
      <c r="H511" s="78"/>
      <c r="I511" s="17"/>
      <c r="J511" s="17"/>
      <c r="K511" s="17"/>
      <c r="L511" s="4"/>
      <c r="M511" s="4"/>
      <c r="N511" s="4"/>
      <c r="O511" s="4"/>
      <c r="P511" s="4"/>
      <c r="Q511" s="4"/>
      <c r="R511" s="4"/>
      <c r="S511" s="4"/>
      <c r="T511" s="4"/>
      <c r="U511" s="4"/>
      <c r="V511" s="4"/>
      <c r="W511" s="4"/>
      <c r="X511" s="4"/>
      <c r="Y511" s="4"/>
      <c r="Z511" s="4"/>
    </row>
    <row r="512">
      <c r="A512" s="77"/>
      <c r="B512" s="17"/>
      <c r="C512" s="17"/>
      <c r="D512" s="17"/>
      <c r="E512" s="17"/>
      <c r="F512" s="17"/>
      <c r="G512" s="78"/>
      <c r="H512" s="78"/>
      <c r="I512" s="17"/>
      <c r="J512" s="17"/>
      <c r="K512" s="17"/>
      <c r="L512" s="4"/>
      <c r="M512" s="4"/>
      <c r="N512" s="4"/>
      <c r="O512" s="4"/>
      <c r="P512" s="4"/>
      <c r="Q512" s="4"/>
      <c r="R512" s="4"/>
      <c r="S512" s="4"/>
      <c r="T512" s="4"/>
      <c r="U512" s="4"/>
      <c r="V512" s="4"/>
      <c r="W512" s="4"/>
      <c r="X512" s="4"/>
      <c r="Y512" s="4"/>
      <c r="Z512" s="4"/>
    </row>
    <row r="513">
      <c r="A513" s="77"/>
      <c r="B513" s="17"/>
      <c r="C513" s="17"/>
      <c r="D513" s="17"/>
      <c r="E513" s="17"/>
      <c r="F513" s="17"/>
      <c r="G513" s="78"/>
      <c r="H513" s="78"/>
      <c r="I513" s="17"/>
      <c r="J513" s="17"/>
      <c r="K513" s="17"/>
      <c r="L513" s="4"/>
      <c r="M513" s="4"/>
      <c r="N513" s="4"/>
      <c r="O513" s="4"/>
      <c r="P513" s="4"/>
      <c r="Q513" s="4"/>
      <c r="R513" s="4"/>
      <c r="S513" s="4"/>
      <c r="T513" s="4"/>
      <c r="U513" s="4"/>
      <c r="V513" s="4"/>
      <c r="W513" s="4"/>
      <c r="X513" s="4"/>
      <c r="Y513" s="4"/>
      <c r="Z513" s="4"/>
    </row>
    <row r="514">
      <c r="A514" s="77"/>
      <c r="B514" s="17"/>
      <c r="C514" s="17"/>
      <c r="D514" s="17"/>
      <c r="E514" s="17"/>
      <c r="F514" s="17"/>
      <c r="G514" s="78"/>
      <c r="H514" s="78"/>
      <c r="I514" s="17"/>
      <c r="J514" s="17"/>
      <c r="K514" s="17"/>
      <c r="L514" s="4"/>
      <c r="M514" s="4"/>
      <c r="N514" s="4"/>
      <c r="O514" s="4"/>
      <c r="P514" s="4"/>
      <c r="Q514" s="4"/>
      <c r="R514" s="4"/>
      <c r="S514" s="4"/>
      <c r="T514" s="4"/>
      <c r="U514" s="4"/>
      <c r="V514" s="4"/>
      <c r="W514" s="4"/>
      <c r="X514" s="4"/>
      <c r="Y514" s="4"/>
      <c r="Z514" s="4"/>
    </row>
    <row r="515">
      <c r="A515" s="77"/>
      <c r="B515" s="17"/>
      <c r="C515" s="17"/>
      <c r="D515" s="17"/>
      <c r="E515" s="17"/>
      <c r="F515" s="17"/>
      <c r="G515" s="78"/>
      <c r="H515" s="78"/>
      <c r="I515" s="17"/>
      <c r="J515" s="17"/>
      <c r="K515" s="17"/>
      <c r="L515" s="4"/>
      <c r="M515" s="4"/>
      <c r="N515" s="4"/>
      <c r="O515" s="4"/>
      <c r="P515" s="4"/>
      <c r="Q515" s="4"/>
      <c r="R515" s="4"/>
      <c r="S515" s="4"/>
      <c r="T515" s="4"/>
      <c r="U515" s="4"/>
      <c r="V515" s="4"/>
      <c r="W515" s="4"/>
      <c r="X515" s="4"/>
      <c r="Y515" s="4"/>
      <c r="Z515" s="4"/>
    </row>
    <row r="516">
      <c r="A516" s="77"/>
      <c r="B516" s="17"/>
      <c r="C516" s="17"/>
      <c r="D516" s="17"/>
      <c r="E516" s="17"/>
      <c r="F516" s="17"/>
      <c r="G516" s="78"/>
      <c r="H516" s="78"/>
      <c r="I516" s="17"/>
      <c r="J516" s="17"/>
      <c r="K516" s="17"/>
      <c r="L516" s="4"/>
      <c r="M516" s="4"/>
      <c r="N516" s="4"/>
      <c r="O516" s="4"/>
      <c r="P516" s="4"/>
      <c r="Q516" s="4"/>
      <c r="R516" s="4"/>
      <c r="S516" s="4"/>
      <c r="T516" s="4"/>
      <c r="U516" s="4"/>
      <c r="V516" s="4"/>
      <c r="W516" s="4"/>
      <c r="X516" s="4"/>
      <c r="Y516" s="4"/>
      <c r="Z516" s="4"/>
    </row>
    <row r="517">
      <c r="A517" s="77"/>
      <c r="B517" s="17"/>
      <c r="C517" s="17"/>
      <c r="D517" s="17"/>
      <c r="E517" s="17"/>
      <c r="F517" s="17"/>
      <c r="G517" s="78"/>
      <c r="H517" s="78"/>
      <c r="I517" s="17"/>
      <c r="J517" s="17"/>
      <c r="K517" s="17"/>
      <c r="L517" s="4"/>
      <c r="M517" s="4"/>
      <c r="N517" s="4"/>
      <c r="O517" s="4"/>
      <c r="P517" s="4"/>
      <c r="Q517" s="4"/>
      <c r="R517" s="4"/>
      <c r="S517" s="4"/>
      <c r="T517" s="4"/>
      <c r="U517" s="4"/>
      <c r="V517" s="4"/>
      <c r="W517" s="4"/>
      <c r="X517" s="4"/>
      <c r="Y517" s="4"/>
      <c r="Z517" s="4"/>
    </row>
    <row r="518">
      <c r="A518" s="77"/>
      <c r="B518" s="17"/>
      <c r="C518" s="17"/>
      <c r="D518" s="17"/>
      <c r="E518" s="17"/>
      <c r="F518" s="17"/>
      <c r="G518" s="78"/>
      <c r="H518" s="78"/>
      <c r="I518" s="17"/>
      <c r="J518" s="17"/>
      <c r="K518" s="17"/>
      <c r="L518" s="4"/>
      <c r="M518" s="4"/>
      <c r="N518" s="4"/>
      <c r="O518" s="4"/>
      <c r="P518" s="4"/>
      <c r="Q518" s="4"/>
      <c r="R518" s="4"/>
      <c r="S518" s="4"/>
      <c r="T518" s="4"/>
      <c r="U518" s="4"/>
      <c r="V518" s="4"/>
      <c r="W518" s="4"/>
      <c r="X518" s="4"/>
      <c r="Y518" s="4"/>
      <c r="Z518" s="4"/>
    </row>
    <row r="519">
      <c r="A519" s="77"/>
      <c r="B519" s="17"/>
      <c r="C519" s="17"/>
      <c r="D519" s="17"/>
      <c r="E519" s="17"/>
      <c r="F519" s="17"/>
      <c r="G519" s="78"/>
      <c r="H519" s="78"/>
      <c r="I519" s="17"/>
      <c r="J519" s="17"/>
      <c r="K519" s="17"/>
      <c r="L519" s="4"/>
      <c r="M519" s="4"/>
      <c r="N519" s="4"/>
      <c r="O519" s="4"/>
      <c r="P519" s="4"/>
      <c r="Q519" s="4"/>
      <c r="R519" s="4"/>
      <c r="S519" s="4"/>
      <c r="T519" s="4"/>
      <c r="U519" s="4"/>
      <c r="V519" s="4"/>
      <c r="W519" s="4"/>
      <c r="X519" s="4"/>
      <c r="Y519" s="4"/>
      <c r="Z519" s="4"/>
    </row>
    <row r="520">
      <c r="A520" s="77"/>
      <c r="B520" s="17"/>
      <c r="C520" s="17"/>
      <c r="D520" s="17"/>
      <c r="E520" s="17"/>
      <c r="F520" s="17"/>
      <c r="G520" s="78"/>
      <c r="H520" s="78"/>
      <c r="I520" s="17"/>
      <c r="J520" s="17"/>
      <c r="K520" s="17"/>
      <c r="L520" s="4"/>
      <c r="M520" s="4"/>
      <c r="N520" s="4"/>
      <c r="O520" s="4"/>
      <c r="P520" s="4"/>
      <c r="Q520" s="4"/>
      <c r="R520" s="4"/>
      <c r="S520" s="4"/>
      <c r="T520" s="4"/>
      <c r="U520" s="4"/>
      <c r="V520" s="4"/>
      <c r="W520" s="4"/>
      <c r="X520" s="4"/>
      <c r="Y520" s="4"/>
      <c r="Z520" s="4"/>
    </row>
    <row r="521">
      <c r="A521" s="77"/>
      <c r="B521" s="17"/>
      <c r="C521" s="17"/>
      <c r="D521" s="17"/>
      <c r="E521" s="17"/>
      <c r="F521" s="17"/>
      <c r="G521" s="78"/>
      <c r="H521" s="78"/>
      <c r="I521" s="17"/>
      <c r="J521" s="17"/>
      <c r="K521" s="17"/>
      <c r="L521" s="4"/>
      <c r="M521" s="4"/>
      <c r="N521" s="4"/>
      <c r="O521" s="4"/>
      <c r="P521" s="4"/>
      <c r="Q521" s="4"/>
      <c r="R521" s="4"/>
      <c r="S521" s="4"/>
      <c r="T521" s="4"/>
      <c r="U521" s="4"/>
      <c r="V521" s="4"/>
      <c r="W521" s="4"/>
      <c r="X521" s="4"/>
      <c r="Y521" s="4"/>
      <c r="Z521" s="4"/>
    </row>
    <row r="522">
      <c r="A522" s="77"/>
      <c r="B522" s="17"/>
      <c r="C522" s="17"/>
      <c r="D522" s="17"/>
      <c r="E522" s="17"/>
      <c r="F522" s="17"/>
      <c r="G522" s="78"/>
      <c r="H522" s="78"/>
      <c r="I522" s="17"/>
      <c r="J522" s="17"/>
      <c r="K522" s="17"/>
      <c r="L522" s="4"/>
      <c r="M522" s="4"/>
      <c r="N522" s="4"/>
      <c r="O522" s="4"/>
      <c r="P522" s="4"/>
      <c r="Q522" s="4"/>
      <c r="R522" s="4"/>
      <c r="S522" s="4"/>
      <c r="T522" s="4"/>
      <c r="U522" s="4"/>
      <c r="V522" s="4"/>
      <c r="W522" s="4"/>
      <c r="X522" s="4"/>
      <c r="Y522" s="4"/>
      <c r="Z522" s="4"/>
    </row>
    <row r="523">
      <c r="A523" s="77"/>
      <c r="B523" s="17"/>
      <c r="C523" s="17"/>
      <c r="D523" s="17"/>
      <c r="E523" s="17"/>
      <c r="F523" s="17"/>
      <c r="G523" s="78"/>
      <c r="H523" s="78"/>
      <c r="I523" s="17"/>
      <c r="J523" s="17"/>
      <c r="K523" s="17"/>
      <c r="L523" s="4"/>
      <c r="M523" s="4"/>
      <c r="N523" s="4"/>
      <c r="O523" s="4"/>
      <c r="P523" s="4"/>
      <c r="Q523" s="4"/>
      <c r="R523" s="4"/>
      <c r="S523" s="4"/>
      <c r="T523" s="4"/>
      <c r="U523" s="4"/>
      <c r="V523" s="4"/>
      <c r="W523" s="4"/>
      <c r="X523" s="4"/>
      <c r="Y523" s="4"/>
      <c r="Z523" s="4"/>
    </row>
    <row r="524">
      <c r="A524" s="77"/>
      <c r="B524" s="17"/>
      <c r="C524" s="17"/>
      <c r="D524" s="17"/>
      <c r="E524" s="17"/>
      <c r="F524" s="17"/>
      <c r="G524" s="78"/>
      <c r="H524" s="78"/>
      <c r="I524" s="17"/>
      <c r="J524" s="17"/>
      <c r="K524" s="17"/>
      <c r="L524" s="4"/>
      <c r="M524" s="4"/>
      <c r="N524" s="4"/>
      <c r="O524" s="4"/>
      <c r="P524" s="4"/>
      <c r="Q524" s="4"/>
      <c r="R524" s="4"/>
      <c r="S524" s="4"/>
      <c r="T524" s="4"/>
      <c r="U524" s="4"/>
      <c r="V524" s="4"/>
      <c r="W524" s="4"/>
      <c r="X524" s="4"/>
      <c r="Y524" s="4"/>
      <c r="Z524" s="4"/>
    </row>
    <row r="525">
      <c r="A525" s="77"/>
      <c r="B525" s="17"/>
      <c r="C525" s="17"/>
      <c r="D525" s="17"/>
      <c r="E525" s="17"/>
      <c r="F525" s="17"/>
      <c r="G525" s="78"/>
      <c r="H525" s="78"/>
      <c r="I525" s="17"/>
      <c r="J525" s="17"/>
      <c r="K525" s="17"/>
      <c r="L525" s="4"/>
      <c r="M525" s="4"/>
      <c r="N525" s="4"/>
      <c r="O525" s="4"/>
      <c r="P525" s="4"/>
      <c r="Q525" s="4"/>
      <c r="R525" s="4"/>
      <c r="S525" s="4"/>
      <c r="T525" s="4"/>
      <c r="U525" s="4"/>
      <c r="V525" s="4"/>
      <c r="W525" s="4"/>
      <c r="X525" s="4"/>
      <c r="Y525" s="4"/>
      <c r="Z525" s="4"/>
    </row>
    <row r="526">
      <c r="A526" s="77"/>
      <c r="B526" s="17"/>
      <c r="C526" s="17"/>
      <c r="D526" s="17"/>
      <c r="E526" s="17"/>
      <c r="F526" s="17"/>
      <c r="G526" s="78"/>
      <c r="H526" s="78"/>
      <c r="I526" s="17"/>
      <c r="J526" s="17"/>
      <c r="K526" s="17"/>
      <c r="L526" s="4"/>
      <c r="M526" s="4"/>
      <c r="N526" s="4"/>
      <c r="O526" s="4"/>
      <c r="P526" s="4"/>
      <c r="Q526" s="4"/>
      <c r="R526" s="4"/>
      <c r="S526" s="4"/>
      <c r="T526" s="4"/>
      <c r="U526" s="4"/>
      <c r="V526" s="4"/>
      <c r="W526" s="4"/>
      <c r="X526" s="4"/>
      <c r="Y526" s="4"/>
      <c r="Z526" s="4"/>
    </row>
    <row r="527">
      <c r="A527" s="77"/>
      <c r="B527" s="17"/>
      <c r="C527" s="17"/>
      <c r="D527" s="17"/>
      <c r="E527" s="17"/>
      <c r="F527" s="17"/>
      <c r="G527" s="78"/>
      <c r="H527" s="78"/>
      <c r="I527" s="17"/>
      <c r="J527" s="17"/>
      <c r="K527" s="17"/>
      <c r="L527" s="4"/>
      <c r="M527" s="4"/>
      <c r="N527" s="4"/>
      <c r="O527" s="4"/>
      <c r="P527" s="4"/>
      <c r="Q527" s="4"/>
      <c r="R527" s="4"/>
      <c r="S527" s="4"/>
      <c r="T527" s="4"/>
      <c r="U527" s="4"/>
      <c r="V527" s="4"/>
      <c r="W527" s="4"/>
      <c r="X527" s="4"/>
      <c r="Y527" s="4"/>
      <c r="Z527" s="4"/>
    </row>
    <row r="528">
      <c r="A528" s="77"/>
      <c r="B528" s="17"/>
      <c r="C528" s="17"/>
      <c r="D528" s="17"/>
      <c r="E528" s="17"/>
      <c r="F528" s="17"/>
      <c r="G528" s="78"/>
      <c r="H528" s="78"/>
      <c r="I528" s="17"/>
      <c r="J528" s="17"/>
      <c r="K528" s="17"/>
      <c r="L528" s="4"/>
      <c r="M528" s="4"/>
      <c r="N528" s="4"/>
      <c r="O528" s="4"/>
      <c r="P528" s="4"/>
      <c r="Q528" s="4"/>
      <c r="R528" s="4"/>
      <c r="S528" s="4"/>
      <c r="T528" s="4"/>
      <c r="U528" s="4"/>
      <c r="V528" s="4"/>
      <c r="W528" s="4"/>
      <c r="X528" s="4"/>
      <c r="Y528" s="4"/>
      <c r="Z528" s="4"/>
    </row>
    <row r="529">
      <c r="A529" s="77"/>
      <c r="B529" s="17"/>
      <c r="C529" s="17"/>
      <c r="D529" s="17"/>
      <c r="E529" s="17"/>
      <c r="F529" s="17"/>
      <c r="G529" s="78"/>
      <c r="H529" s="78"/>
      <c r="I529" s="17"/>
      <c r="J529" s="17"/>
      <c r="K529" s="17"/>
      <c r="L529" s="4"/>
      <c r="M529" s="4"/>
      <c r="N529" s="4"/>
      <c r="O529" s="4"/>
      <c r="P529" s="4"/>
      <c r="Q529" s="4"/>
      <c r="R529" s="4"/>
      <c r="S529" s="4"/>
      <c r="T529" s="4"/>
      <c r="U529" s="4"/>
      <c r="V529" s="4"/>
      <c r="W529" s="4"/>
      <c r="X529" s="4"/>
      <c r="Y529" s="4"/>
      <c r="Z529" s="4"/>
    </row>
    <row r="530">
      <c r="A530" s="77"/>
      <c r="B530" s="17"/>
      <c r="C530" s="17"/>
      <c r="D530" s="17"/>
      <c r="E530" s="17"/>
      <c r="F530" s="17"/>
      <c r="G530" s="78"/>
      <c r="H530" s="78"/>
      <c r="I530" s="17"/>
      <c r="J530" s="17"/>
      <c r="K530" s="17"/>
      <c r="L530" s="4"/>
      <c r="M530" s="4"/>
      <c r="N530" s="4"/>
      <c r="O530" s="4"/>
      <c r="P530" s="4"/>
      <c r="Q530" s="4"/>
      <c r="R530" s="4"/>
      <c r="S530" s="4"/>
      <c r="T530" s="4"/>
      <c r="U530" s="4"/>
      <c r="V530" s="4"/>
      <c r="W530" s="4"/>
      <c r="X530" s="4"/>
      <c r="Y530" s="4"/>
      <c r="Z530" s="4"/>
    </row>
    <row r="531">
      <c r="A531" s="77"/>
      <c r="B531" s="17"/>
      <c r="C531" s="17"/>
      <c r="D531" s="17"/>
      <c r="E531" s="17"/>
      <c r="F531" s="17"/>
      <c r="G531" s="78"/>
      <c r="H531" s="78"/>
      <c r="I531" s="17"/>
      <c r="J531" s="17"/>
      <c r="K531" s="17"/>
      <c r="L531" s="4"/>
      <c r="M531" s="4"/>
      <c r="N531" s="4"/>
      <c r="O531" s="4"/>
      <c r="P531" s="4"/>
      <c r="Q531" s="4"/>
      <c r="R531" s="4"/>
      <c r="S531" s="4"/>
      <c r="T531" s="4"/>
      <c r="U531" s="4"/>
      <c r="V531" s="4"/>
      <c r="W531" s="4"/>
      <c r="X531" s="4"/>
      <c r="Y531" s="4"/>
      <c r="Z531" s="4"/>
    </row>
    <row r="532">
      <c r="A532" s="77"/>
      <c r="B532" s="17"/>
      <c r="C532" s="17"/>
      <c r="D532" s="17"/>
      <c r="E532" s="17"/>
      <c r="F532" s="17"/>
      <c r="G532" s="78"/>
      <c r="H532" s="78"/>
      <c r="I532" s="17"/>
      <c r="J532" s="17"/>
      <c r="K532" s="17"/>
      <c r="L532" s="4"/>
      <c r="M532" s="4"/>
      <c r="N532" s="4"/>
      <c r="O532" s="4"/>
      <c r="P532" s="4"/>
      <c r="Q532" s="4"/>
      <c r="R532" s="4"/>
      <c r="S532" s="4"/>
      <c r="T532" s="4"/>
      <c r="U532" s="4"/>
      <c r="V532" s="4"/>
      <c r="W532" s="4"/>
      <c r="X532" s="4"/>
      <c r="Y532" s="4"/>
      <c r="Z532" s="4"/>
    </row>
    <row r="533">
      <c r="A533" s="77"/>
      <c r="B533" s="17"/>
      <c r="C533" s="17"/>
      <c r="D533" s="17"/>
      <c r="E533" s="17"/>
      <c r="F533" s="17"/>
      <c r="G533" s="78"/>
      <c r="H533" s="78"/>
      <c r="I533" s="17"/>
      <c r="J533" s="17"/>
      <c r="K533" s="17"/>
      <c r="L533" s="4"/>
      <c r="M533" s="4"/>
      <c r="N533" s="4"/>
      <c r="O533" s="4"/>
      <c r="P533" s="4"/>
      <c r="Q533" s="4"/>
      <c r="R533" s="4"/>
      <c r="S533" s="4"/>
      <c r="T533" s="4"/>
      <c r="U533" s="4"/>
      <c r="V533" s="4"/>
      <c r="W533" s="4"/>
      <c r="X533" s="4"/>
      <c r="Y533" s="4"/>
      <c r="Z533" s="4"/>
    </row>
    <row r="534">
      <c r="A534" s="77"/>
      <c r="B534" s="17"/>
      <c r="C534" s="17"/>
      <c r="D534" s="17"/>
      <c r="E534" s="17"/>
      <c r="F534" s="17"/>
      <c r="G534" s="78"/>
      <c r="H534" s="78"/>
      <c r="I534" s="17"/>
      <c r="J534" s="17"/>
      <c r="K534" s="17"/>
      <c r="L534" s="4"/>
      <c r="M534" s="4"/>
      <c r="N534" s="4"/>
      <c r="O534" s="4"/>
      <c r="P534" s="4"/>
      <c r="Q534" s="4"/>
      <c r="R534" s="4"/>
      <c r="S534" s="4"/>
      <c r="T534" s="4"/>
      <c r="U534" s="4"/>
      <c r="V534" s="4"/>
      <c r="W534" s="4"/>
      <c r="X534" s="4"/>
      <c r="Y534" s="4"/>
      <c r="Z534" s="4"/>
    </row>
    <row r="535">
      <c r="A535" s="77"/>
      <c r="B535" s="17"/>
      <c r="C535" s="17"/>
      <c r="D535" s="17"/>
      <c r="E535" s="17"/>
      <c r="F535" s="17"/>
      <c r="G535" s="78"/>
      <c r="H535" s="78"/>
      <c r="I535" s="17"/>
      <c r="J535" s="17"/>
      <c r="K535" s="17"/>
      <c r="L535" s="4"/>
      <c r="M535" s="4"/>
      <c r="N535" s="4"/>
      <c r="O535" s="4"/>
      <c r="P535" s="4"/>
      <c r="Q535" s="4"/>
      <c r="R535" s="4"/>
      <c r="S535" s="4"/>
      <c r="T535" s="4"/>
      <c r="U535" s="4"/>
      <c r="V535" s="4"/>
      <c r="W535" s="4"/>
      <c r="X535" s="4"/>
      <c r="Y535" s="4"/>
      <c r="Z535" s="4"/>
    </row>
    <row r="536">
      <c r="A536" s="77"/>
      <c r="B536" s="17"/>
      <c r="C536" s="17"/>
      <c r="D536" s="17"/>
      <c r="E536" s="17"/>
      <c r="F536" s="17"/>
      <c r="G536" s="78"/>
      <c r="H536" s="78"/>
      <c r="I536" s="17"/>
      <c r="J536" s="17"/>
      <c r="K536" s="17"/>
      <c r="L536" s="4"/>
      <c r="M536" s="4"/>
      <c r="N536" s="4"/>
      <c r="O536" s="4"/>
      <c r="P536" s="4"/>
      <c r="Q536" s="4"/>
      <c r="R536" s="4"/>
      <c r="S536" s="4"/>
      <c r="T536" s="4"/>
      <c r="U536" s="4"/>
      <c r="V536" s="4"/>
      <c r="W536" s="4"/>
      <c r="X536" s="4"/>
      <c r="Y536" s="4"/>
      <c r="Z536" s="4"/>
    </row>
    <row r="537">
      <c r="A537" s="77"/>
      <c r="B537" s="17"/>
      <c r="C537" s="17"/>
      <c r="D537" s="17"/>
      <c r="E537" s="17"/>
      <c r="F537" s="17"/>
      <c r="G537" s="78"/>
      <c r="H537" s="78"/>
      <c r="I537" s="17"/>
      <c r="J537" s="17"/>
      <c r="K537" s="17"/>
      <c r="L537" s="4"/>
      <c r="M537" s="4"/>
      <c r="N537" s="4"/>
      <c r="O537" s="4"/>
      <c r="P537" s="4"/>
      <c r="Q537" s="4"/>
      <c r="R537" s="4"/>
      <c r="S537" s="4"/>
      <c r="T537" s="4"/>
      <c r="U537" s="4"/>
      <c r="V537" s="4"/>
      <c r="W537" s="4"/>
      <c r="X537" s="4"/>
      <c r="Y537" s="4"/>
      <c r="Z537" s="4"/>
    </row>
    <row r="538">
      <c r="A538" s="77"/>
      <c r="B538" s="17"/>
      <c r="C538" s="17"/>
      <c r="D538" s="17"/>
      <c r="E538" s="17"/>
      <c r="F538" s="17"/>
      <c r="G538" s="78"/>
      <c r="H538" s="78"/>
      <c r="I538" s="17"/>
      <c r="J538" s="17"/>
      <c r="K538" s="17"/>
      <c r="L538" s="4"/>
      <c r="M538" s="4"/>
      <c r="N538" s="4"/>
      <c r="O538" s="4"/>
      <c r="P538" s="4"/>
      <c r="Q538" s="4"/>
      <c r="R538" s="4"/>
      <c r="S538" s="4"/>
      <c r="T538" s="4"/>
      <c r="U538" s="4"/>
      <c r="V538" s="4"/>
      <c r="W538" s="4"/>
      <c r="X538" s="4"/>
      <c r="Y538" s="4"/>
      <c r="Z538" s="4"/>
    </row>
    <row r="539">
      <c r="A539" s="77"/>
      <c r="B539" s="17"/>
      <c r="C539" s="17"/>
      <c r="D539" s="17"/>
      <c r="E539" s="17"/>
      <c r="F539" s="17"/>
      <c r="G539" s="78"/>
      <c r="H539" s="78"/>
      <c r="I539" s="17"/>
      <c r="J539" s="17"/>
      <c r="K539" s="17"/>
      <c r="L539" s="4"/>
      <c r="M539" s="4"/>
      <c r="N539" s="4"/>
      <c r="O539" s="4"/>
      <c r="P539" s="4"/>
      <c r="Q539" s="4"/>
      <c r="R539" s="4"/>
      <c r="S539" s="4"/>
      <c r="T539" s="4"/>
      <c r="U539" s="4"/>
      <c r="V539" s="4"/>
      <c r="W539" s="4"/>
      <c r="X539" s="4"/>
      <c r="Y539" s="4"/>
      <c r="Z539" s="4"/>
    </row>
    <row r="540">
      <c r="A540" s="77"/>
      <c r="B540" s="17"/>
      <c r="C540" s="17"/>
      <c r="D540" s="17"/>
      <c r="E540" s="17"/>
      <c r="F540" s="17"/>
      <c r="G540" s="78"/>
      <c r="H540" s="78"/>
      <c r="I540" s="17"/>
      <c r="J540" s="17"/>
      <c r="K540" s="17"/>
      <c r="L540" s="4"/>
      <c r="M540" s="4"/>
      <c r="N540" s="4"/>
      <c r="O540" s="4"/>
      <c r="P540" s="4"/>
      <c r="Q540" s="4"/>
      <c r="R540" s="4"/>
      <c r="S540" s="4"/>
      <c r="T540" s="4"/>
      <c r="U540" s="4"/>
      <c r="V540" s="4"/>
      <c r="W540" s="4"/>
      <c r="X540" s="4"/>
      <c r="Y540" s="4"/>
      <c r="Z540" s="4"/>
    </row>
    <row r="541">
      <c r="A541" s="77"/>
      <c r="B541" s="17"/>
      <c r="C541" s="17"/>
      <c r="D541" s="17"/>
      <c r="E541" s="17"/>
      <c r="F541" s="17"/>
      <c r="G541" s="78"/>
      <c r="H541" s="78"/>
      <c r="I541" s="17"/>
      <c r="J541" s="17"/>
      <c r="K541" s="17"/>
      <c r="L541" s="4"/>
      <c r="M541" s="4"/>
      <c r="N541" s="4"/>
      <c r="O541" s="4"/>
      <c r="P541" s="4"/>
      <c r="Q541" s="4"/>
      <c r="R541" s="4"/>
      <c r="S541" s="4"/>
      <c r="T541" s="4"/>
      <c r="U541" s="4"/>
      <c r="V541" s="4"/>
      <c r="W541" s="4"/>
      <c r="X541" s="4"/>
      <c r="Y541" s="4"/>
      <c r="Z541" s="4"/>
    </row>
    <row r="542">
      <c r="A542" s="77"/>
      <c r="B542" s="17"/>
      <c r="C542" s="17"/>
      <c r="D542" s="17"/>
      <c r="E542" s="17"/>
      <c r="F542" s="17"/>
      <c r="G542" s="78"/>
      <c r="H542" s="78"/>
      <c r="I542" s="17"/>
      <c r="J542" s="17"/>
      <c r="K542" s="17"/>
      <c r="L542" s="4"/>
      <c r="M542" s="4"/>
      <c r="N542" s="4"/>
      <c r="O542" s="4"/>
      <c r="P542" s="4"/>
      <c r="Q542" s="4"/>
      <c r="R542" s="4"/>
      <c r="S542" s="4"/>
      <c r="T542" s="4"/>
      <c r="U542" s="4"/>
      <c r="V542" s="4"/>
      <c r="W542" s="4"/>
      <c r="X542" s="4"/>
      <c r="Y542" s="4"/>
      <c r="Z542" s="4"/>
    </row>
    <row r="543">
      <c r="A543" s="77"/>
      <c r="B543" s="17"/>
      <c r="C543" s="17"/>
      <c r="D543" s="17"/>
      <c r="E543" s="17"/>
      <c r="F543" s="17"/>
      <c r="G543" s="78"/>
      <c r="H543" s="78"/>
      <c r="I543" s="17"/>
      <c r="J543" s="17"/>
      <c r="K543" s="17"/>
      <c r="L543" s="4"/>
      <c r="M543" s="4"/>
      <c r="N543" s="4"/>
      <c r="O543" s="4"/>
      <c r="P543" s="4"/>
      <c r="Q543" s="4"/>
      <c r="R543" s="4"/>
      <c r="S543" s="4"/>
      <c r="T543" s="4"/>
      <c r="U543" s="4"/>
      <c r="V543" s="4"/>
      <c r="W543" s="4"/>
      <c r="X543" s="4"/>
      <c r="Y543" s="4"/>
      <c r="Z543" s="4"/>
    </row>
    <row r="544">
      <c r="A544" s="77"/>
      <c r="B544" s="17"/>
      <c r="C544" s="17"/>
      <c r="D544" s="17"/>
      <c r="E544" s="17"/>
      <c r="F544" s="17"/>
      <c r="G544" s="78"/>
      <c r="H544" s="78"/>
      <c r="I544" s="17"/>
      <c r="J544" s="17"/>
      <c r="K544" s="17"/>
      <c r="L544" s="4"/>
      <c r="M544" s="4"/>
      <c r="N544" s="4"/>
      <c r="O544" s="4"/>
      <c r="P544" s="4"/>
      <c r="Q544" s="4"/>
      <c r="R544" s="4"/>
      <c r="S544" s="4"/>
      <c r="T544" s="4"/>
      <c r="U544" s="4"/>
      <c r="V544" s="4"/>
      <c r="W544" s="4"/>
      <c r="X544" s="4"/>
      <c r="Y544" s="4"/>
      <c r="Z544" s="4"/>
    </row>
    <row r="545">
      <c r="A545" s="77"/>
      <c r="B545" s="17"/>
      <c r="C545" s="17"/>
      <c r="D545" s="17"/>
      <c r="E545" s="17"/>
      <c r="F545" s="17"/>
      <c r="G545" s="78"/>
      <c r="H545" s="78"/>
      <c r="I545" s="17"/>
      <c r="J545" s="17"/>
      <c r="K545" s="17"/>
      <c r="L545" s="4"/>
      <c r="M545" s="4"/>
      <c r="N545" s="4"/>
      <c r="O545" s="4"/>
      <c r="P545" s="4"/>
      <c r="Q545" s="4"/>
      <c r="R545" s="4"/>
      <c r="S545" s="4"/>
      <c r="T545" s="4"/>
      <c r="U545" s="4"/>
      <c r="V545" s="4"/>
      <c r="W545" s="4"/>
      <c r="X545" s="4"/>
      <c r="Y545" s="4"/>
      <c r="Z545" s="4"/>
    </row>
    <row r="546">
      <c r="A546" s="77"/>
      <c r="B546" s="17"/>
      <c r="C546" s="17"/>
      <c r="D546" s="17"/>
      <c r="E546" s="17"/>
      <c r="F546" s="17"/>
      <c r="G546" s="78"/>
      <c r="H546" s="78"/>
      <c r="I546" s="17"/>
      <c r="J546" s="17"/>
      <c r="K546" s="17"/>
      <c r="L546" s="4"/>
      <c r="M546" s="4"/>
      <c r="N546" s="4"/>
      <c r="O546" s="4"/>
      <c r="P546" s="4"/>
      <c r="Q546" s="4"/>
      <c r="R546" s="4"/>
      <c r="S546" s="4"/>
      <c r="T546" s="4"/>
      <c r="U546" s="4"/>
      <c r="V546" s="4"/>
      <c r="W546" s="4"/>
      <c r="X546" s="4"/>
      <c r="Y546" s="4"/>
      <c r="Z546" s="4"/>
    </row>
    <row r="547">
      <c r="A547" s="77"/>
      <c r="B547" s="17"/>
      <c r="C547" s="17"/>
      <c r="D547" s="17"/>
      <c r="E547" s="17"/>
      <c r="F547" s="17"/>
      <c r="G547" s="78"/>
      <c r="H547" s="78"/>
      <c r="I547" s="17"/>
      <c r="J547" s="17"/>
      <c r="K547" s="17"/>
      <c r="L547" s="4"/>
      <c r="M547" s="4"/>
      <c r="N547" s="4"/>
      <c r="O547" s="4"/>
      <c r="P547" s="4"/>
      <c r="Q547" s="4"/>
      <c r="R547" s="4"/>
      <c r="S547" s="4"/>
      <c r="T547" s="4"/>
      <c r="U547" s="4"/>
      <c r="V547" s="4"/>
      <c r="W547" s="4"/>
      <c r="X547" s="4"/>
      <c r="Y547" s="4"/>
      <c r="Z547" s="4"/>
    </row>
    <row r="548">
      <c r="A548" s="77"/>
      <c r="B548" s="17"/>
      <c r="C548" s="17"/>
      <c r="D548" s="17"/>
      <c r="E548" s="17"/>
      <c r="F548" s="17"/>
      <c r="G548" s="78"/>
      <c r="H548" s="78"/>
      <c r="I548" s="17"/>
      <c r="J548" s="17"/>
      <c r="K548" s="17"/>
      <c r="L548" s="4"/>
      <c r="M548" s="4"/>
      <c r="N548" s="4"/>
      <c r="O548" s="4"/>
      <c r="P548" s="4"/>
      <c r="Q548" s="4"/>
      <c r="R548" s="4"/>
      <c r="S548" s="4"/>
      <c r="T548" s="4"/>
      <c r="U548" s="4"/>
      <c r="V548" s="4"/>
      <c r="W548" s="4"/>
      <c r="X548" s="4"/>
      <c r="Y548" s="4"/>
      <c r="Z548" s="4"/>
    </row>
    <row r="549">
      <c r="A549" s="77"/>
      <c r="B549" s="17"/>
      <c r="C549" s="17"/>
      <c r="D549" s="17"/>
      <c r="E549" s="17"/>
      <c r="F549" s="17"/>
      <c r="G549" s="78"/>
      <c r="H549" s="78"/>
      <c r="I549" s="17"/>
      <c r="J549" s="17"/>
      <c r="K549" s="17"/>
      <c r="L549" s="4"/>
      <c r="M549" s="4"/>
      <c r="N549" s="4"/>
      <c r="O549" s="4"/>
      <c r="P549" s="4"/>
      <c r="Q549" s="4"/>
      <c r="R549" s="4"/>
      <c r="S549" s="4"/>
      <c r="T549" s="4"/>
      <c r="U549" s="4"/>
      <c r="V549" s="4"/>
      <c r="W549" s="4"/>
      <c r="X549" s="4"/>
      <c r="Y549" s="4"/>
      <c r="Z549" s="4"/>
    </row>
    <row r="550">
      <c r="A550" s="77"/>
      <c r="B550" s="17"/>
      <c r="C550" s="17"/>
      <c r="D550" s="17"/>
      <c r="E550" s="17"/>
      <c r="F550" s="17"/>
      <c r="G550" s="78"/>
      <c r="H550" s="78"/>
      <c r="I550" s="17"/>
      <c r="J550" s="17"/>
      <c r="K550" s="17"/>
      <c r="L550" s="4"/>
      <c r="M550" s="4"/>
      <c r="N550" s="4"/>
      <c r="O550" s="4"/>
      <c r="P550" s="4"/>
      <c r="Q550" s="4"/>
      <c r="R550" s="4"/>
      <c r="S550" s="4"/>
      <c r="T550" s="4"/>
      <c r="U550" s="4"/>
      <c r="V550" s="4"/>
      <c r="W550" s="4"/>
      <c r="X550" s="4"/>
      <c r="Y550" s="4"/>
      <c r="Z550" s="4"/>
    </row>
    <row r="551">
      <c r="A551" s="77"/>
      <c r="B551" s="17"/>
      <c r="C551" s="17"/>
      <c r="D551" s="17"/>
      <c r="E551" s="17"/>
      <c r="F551" s="17"/>
      <c r="G551" s="78"/>
      <c r="H551" s="78"/>
      <c r="I551" s="17"/>
      <c r="J551" s="17"/>
      <c r="K551" s="17"/>
      <c r="L551" s="4"/>
      <c r="M551" s="4"/>
      <c r="N551" s="4"/>
      <c r="O551" s="4"/>
      <c r="P551" s="4"/>
      <c r="Q551" s="4"/>
      <c r="R551" s="4"/>
      <c r="S551" s="4"/>
      <c r="T551" s="4"/>
      <c r="U551" s="4"/>
      <c r="V551" s="4"/>
      <c r="W551" s="4"/>
      <c r="X551" s="4"/>
      <c r="Y551" s="4"/>
      <c r="Z551" s="4"/>
    </row>
    <row r="552">
      <c r="A552" s="77"/>
      <c r="B552" s="17"/>
      <c r="C552" s="17"/>
      <c r="D552" s="17"/>
      <c r="E552" s="17"/>
      <c r="F552" s="17"/>
      <c r="G552" s="78"/>
      <c r="H552" s="78"/>
      <c r="I552" s="17"/>
      <c r="J552" s="17"/>
      <c r="K552" s="17"/>
      <c r="L552" s="4"/>
      <c r="M552" s="4"/>
      <c r="N552" s="4"/>
      <c r="O552" s="4"/>
      <c r="P552" s="4"/>
      <c r="Q552" s="4"/>
      <c r="R552" s="4"/>
      <c r="S552" s="4"/>
      <c r="T552" s="4"/>
      <c r="U552" s="4"/>
      <c r="V552" s="4"/>
      <c r="W552" s="4"/>
      <c r="X552" s="4"/>
      <c r="Y552" s="4"/>
      <c r="Z552" s="4"/>
    </row>
    <row r="553">
      <c r="A553" s="77"/>
      <c r="B553" s="17"/>
      <c r="C553" s="17"/>
      <c r="D553" s="17"/>
      <c r="E553" s="17"/>
      <c r="F553" s="17"/>
      <c r="G553" s="78"/>
      <c r="H553" s="78"/>
      <c r="I553" s="17"/>
      <c r="J553" s="17"/>
      <c r="K553" s="17"/>
      <c r="L553" s="4"/>
      <c r="M553" s="4"/>
      <c r="N553" s="4"/>
      <c r="O553" s="4"/>
      <c r="P553" s="4"/>
      <c r="Q553" s="4"/>
      <c r="R553" s="4"/>
      <c r="S553" s="4"/>
      <c r="T553" s="4"/>
      <c r="U553" s="4"/>
      <c r="V553" s="4"/>
      <c r="W553" s="4"/>
      <c r="X553" s="4"/>
      <c r="Y553" s="4"/>
      <c r="Z553" s="4"/>
    </row>
    <row r="554">
      <c r="A554" s="77"/>
      <c r="B554" s="17"/>
      <c r="C554" s="17"/>
      <c r="D554" s="17"/>
      <c r="E554" s="17"/>
      <c r="F554" s="17"/>
      <c r="G554" s="78"/>
      <c r="H554" s="78"/>
      <c r="I554" s="17"/>
      <c r="J554" s="17"/>
      <c r="K554" s="17"/>
      <c r="L554" s="4"/>
      <c r="M554" s="4"/>
      <c r="N554" s="4"/>
      <c r="O554" s="4"/>
      <c r="P554" s="4"/>
      <c r="Q554" s="4"/>
      <c r="R554" s="4"/>
      <c r="S554" s="4"/>
      <c r="T554" s="4"/>
      <c r="U554" s="4"/>
      <c r="V554" s="4"/>
      <c r="W554" s="4"/>
      <c r="X554" s="4"/>
      <c r="Y554" s="4"/>
      <c r="Z554" s="4"/>
    </row>
    <row r="555">
      <c r="A555" s="77"/>
      <c r="B555" s="17"/>
      <c r="C555" s="17"/>
      <c r="D555" s="17"/>
      <c r="E555" s="17"/>
      <c r="F555" s="17"/>
      <c r="G555" s="78"/>
      <c r="H555" s="78"/>
      <c r="I555" s="17"/>
      <c r="J555" s="17"/>
      <c r="K555" s="17"/>
      <c r="L555" s="4"/>
      <c r="M555" s="4"/>
      <c r="N555" s="4"/>
      <c r="O555" s="4"/>
      <c r="P555" s="4"/>
      <c r="Q555" s="4"/>
      <c r="R555" s="4"/>
      <c r="S555" s="4"/>
      <c r="T555" s="4"/>
      <c r="U555" s="4"/>
      <c r="V555" s="4"/>
      <c r="W555" s="4"/>
      <c r="X555" s="4"/>
      <c r="Y555" s="4"/>
      <c r="Z555" s="4"/>
    </row>
    <row r="556">
      <c r="A556" s="77"/>
      <c r="B556" s="17"/>
      <c r="C556" s="17"/>
      <c r="D556" s="17"/>
      <c r="E556" s="17"/>
      <c r="F556" s="17"/>
      <c r="G556" s="78"/>
      <c r="H556" s="78"/>
      <c r="I556" s="17"/>
      <c r="J556" s="17"/>
      <c r="K556" s="17"/>
      <c r="L556" s="4"/>
      <c r="M556" s="4"/>
      <c r="N556" s="4"/>
      <c r="O556" s="4"/>
      <c r="P556" s="4"/>
      <c r="Q556" s="4"/>
      <c r="R556" s="4"/>
      <c r="S556" s="4"/>
      <c r="T556" s="4"/>
      <c r="U556" s="4"/>
      <c r="V556" s="4"/>
      <c r="W556" s="4"/>
      <c r="X556" s="4"/>
      <c r="Y556" s="4"/>
      <c r="Z556" s="4"/>
    </row>
    <row r="557">
      <c r="A557" s="77"/>
      <c r="B557" s="17"/>
      <c r="C557" s="17"/>
      <c r="D557" s="17"/>
      <c r="E557" s="17"/>
      <c r="F557" s="17"/>
      <c r="G557" s="78"/>
      <c r="H557" s="78"/>
      <c r="I557" s="17"/>
      <c r="J557" s="17"/>
      <c r="K557" s="17"/>
      <c r="L557" s="4"/>
      <c r="M557" s="4"/>
      <c r="N557" s="4"/>
      <c r="O557" s="4"/>
      <c r="P557" s="4"/>
      <c r="Q557" s="4"/>
      <c r="R557" s="4"/>
      <c r="S557" s="4"/>
      <c r="T557" s="4"/>
      <c r="U557" s="4"/>
      <c r="V557" s="4"/>
      <c r="W557" s="4"/>
      <c r="X557" s="4"/>
      <c r="Y557" s="4"/>
      <c r="Z557" s="4"/>
    </row>
    <row r="558">
      <c r="A558" s="77"/>
      <c r="B558" s="17"/>
      <c r="C558" s="17"/>
      <c r="D558" s="17"/>
      <c r="E558" s="17"/>
      <c r="F558" s="17"/>
      <c r="G558" s="78"/>
      <c r="H558" s="78"/>
      <c r="I558" s="17"/>
      <c r="J558" s="17"/>
      <c r="K558" s="17"/>
      <c r="L558" s="4"/>
      <c r="M558" s="4"/>
      <c r="N558" s="4"/>
      <c r="O558" s="4"/>
      <c r="P558" s="4"/>
      <c r="Q558" s="4"/>
      <c r="R558" s="4"/>
      <c r="S558" s="4"/>
      <c r="T558" s="4"/>
      <c r="U558" s="4"/>
      <c r="V558" s="4"/>
      <c r="W558" s="4"/>
      <c r="X558" s="4"/>
      <c r="Y558" s="4"/>
      <c r="Z558" s="4"/>
    </row>
    <row r="559">
      <c r="A559" s="77"/>
      <c r="B559" s="17"/>
      <c r="C559" s="17"/>
      <c r="D559" s="17"/>
      <c r="E559" s="17"/>
      <c r="F559" s="17"/>
      <c r="G559" s="78"/>
      <c r="H559" s="78"/>
      <c r="I559" s="17"/>
      <c r="J559" s="17"/>
      <c r="K559" s="17"/>
      <c r="L559" s="4"/>
      <c r="M559" s="4"/>
      <c r="N559" s="4"/>
      <c r="O559" s="4"/>
      <c r="P559" s="4"/>
      <c r="Q559" s="4"/>
      <c r="R559" s="4"/>
      <c r="S559" s="4"/>
      <c r="T559" s="4"/>
      <c r="U559" s="4"/>
      <c r="V559" s="4"/>
      <c r="W559" s="4"/>
      <c r="X559" s="4"/>
      <c r="Y559" s="4"/>
      <c r="Z559" s="4"/>
    </row>
    <row r="560">
      <c r="A560" s="77"/>
      <c r="B560" s="17"/>
      <c r="C560" s="17"/>
      <c r="D560" s="17"/>
      <c r="E560" s="17"/>
      <c r="F560" s="17"/>
      <c r="G560" s="78"/>
      <c r="H560" s="78"/>
      <c r="I560" s="17"/>
      <c r="J560" s="17"/>
      <c r="K560" s="17"/>
      <c r="L560" s="4"/>
      <c r="M560" s="4"/>
      <c r="N560" s="4"/>
      <c r="O560" s="4"/>
      <c r="P560" s="4"/>
      <c r="Q560" s="4"/>
      <c r="R560" s="4"/>
      <c r="S560" s="4"/>
      <c r="T560" s="4"/>
      <c r="U560" s="4"/>
      <c r="V560" s="4"/>
      <c r="W560" s="4"/>
      <c r="X560" s="4"/>
      <c r="Y560" s="4"/>
      <c r="Z560" s="4"/>
    </row>
    <row r="561">
      <c r="A561" s="77"/>
      <c r="B561" s="17"/>
      <c r="C561" s="17"/>
      <c r="D561" s="17"/>
      <c r="E561" s="17"/>
      <c r="F561" s="17"/>
      <c r="G561" s="78"/>
      <c r="H561" s="78"/>
      <c r="I561" s="17"/>
      <c r="J561" s="17"/>
      <c r="K561" s="17"/>
      <c r="L561" s="4"/>
      <c r="M561" s="4"/>
      <c r="N561" s="4"/>
      <c r="O561" s="4"/>
      <c r="P561" s="4"/>
      <c r="Q561" s="4"/>
      <c r="R561" s="4"/>
      <c r="S561" s="4"/>
      <c r="T561" s="4"/>
      <c r="U561" s="4"/>
      <c r="V561" s="4"/>
      <c r="W561" s="4"/>
      <c r="X561" s="4"/>
      <c r="Y561" s="4"/>
      <c r="Z561" s="4"/>
    </row>
    <row r="562">
      <c r="A562" s="77"/>
      <c r="B562" s="17"/>
      <c r="C562" s="17"/>
      <c r="D562" s="17"/>
      <c r="E562" s="17"/>
      <c r="F562" s="17"/>
      <c r="G562" s="78"/>
      <c r="H562" s="78"/>
      <c r="I562" s="17"/>
      <c r="J562" s="17"/>
      <c r="K562" s="17"/>
      <c r="L562" s="4"/>
      <c r="M562" s="4"/>
      <c r="N562" s="4"/>
      <c r="O562" s="4"/>
      <c r="P562" s="4"/>
      <c r="Q562" s="4"/>
      <c r="R562" s="4"/>
      <c r="S562" s="4"/>
      <c r="T562" s="4"/>
      <c r="U562" s="4"/>
      <c r="V562" s="4"/>
      <c r="W562" s="4"/>
      <c r="X562" s="4"/>
      <c r="Y562" s="4"/>
      <c r="Z562" s="4"/>
    </row>
    <row r="563">
      <c r="A563" s="77"/>
      <c r="B563" s="17"/>
      <c r="C563" s="17"/>
      <c r="D563" s="17"/>
      <c r="E563" s="17"/>
      <c r="F563" s="17"/>
      <c r="G563" s="78"/>
      <c r="H563" s="78"/>
      <c r="I563" s="17"/>
      <c r="J563" s="17"/>
      <c r="K563" s="17"/>
      <c r="L563" s="4"/>
      <c r="M563" s="4"/>
      <c r="N563" s="4"/>
      <c r="O563" s="4"/>
      <c r="P563" s="4"/>
      <c r="Q563" s="4"/>
      <c r="R563" s="4"/>
      <c r="S563" s="4"/>
      <c r="T563" s="4"/>
      <c r="U563" s="4"/>
      <c r="V563" s="4"/>
      <c r="W563" s="4"/>
      <c r="X563" s="4"/>
      <c r="Y563" s="4"/>
      <c r="Z563" s="4"/>
    </row>
    <row r="564">
      <c r="A564" s="77"/>
      <c r="B564" s="17"/>
      <c r="C564" s="17"/>
      <c r="D564" s="17"/>
      <c r="E564" s="17"/>
      <c r="F564" s="17"/>
      <c r="G564" s="78"/>
      <c r="H564" s="78"/>
      <c r="I564" s="17"/>
      <c r="J564" s="17"/>
      <c r="K564" s="17"/>
      <c r="L564" s="4"/>
      <c r="M564" s="4"/>
      <c r="N564" s="4"/>
      <c r="O564" s="4"/>
      <c r="P564" s="4"/>
      <c r="Q564" s="4"/>
      <c r="R564" s="4"/>
      <c r="S564" s="4"/>
      <c r="T564" s="4"/>
      <c r="U564" s="4"/>
      <c r="V564" s="4"/>
      <c r="W564" s="4"/>
      <c r="X564" s="4"/>
      <c r="Y564" s="4"/>
      <c r="Z564" s="4"/>
    </row>
    <row r="565">
      <c r="A565" s="77"/>
      <c r="B565" s="17"/>
      <c r="C565" s="17"/>
      <c r="D565" s="17"/>
      <c r="E565" s="17"/>
      <c r="F565" s="17"/>
      <c r="G565" s="78"/>
      <c r="H565" s="78"/>
      <c r="I565" s="17"/>
      <c r="J565" s="17"/>
      <c r="K565" s="17"/>
      <c r="L565" s="4"/>
      <c r="M565" s="4"/>
      <c r="N565" s="4"/>
      <c r="O565" s="4"/>
      <c r="P565" s="4"/>
      <c r="Q565" s="4"/>
      <c r="R565" s="4"/>
      <c r="S565" s="4"/>
      <c r="T565" s="4"/>
      <c r="U565" s="4"/>
      <c r="V565" s="4"/>
      <c r="W565" s="4"/>
      <c r="X565" s="4"/>
      <c r="Y565" s="4"/>
      <c r="Z565" s="4"/>
    </row>
    <row r="566">
      <c r="A566" s="77"/>
      <c r="B566" s="17"/>
      <c r="C566" s="17"/>
      <c r="D566" s="17"/>
      <c r="E566" s="17"/>
      <c r="F566" s="17"/>
      <c r="G566" s="78"/>
      <c r="H566" s="78"/>
      <c r="I566" s="17"/>
      <c r="J566" s="17"/>
      <c r="K566" s="17"/>
      <c r="L566" s="4"/>
      <c r="M566" s="4"/>
      <c r="N566" s="4"/>
      <c r="O566" s="4"/>
      <c r="P566" s="4"/>
      <c r="Q566" s="4"/>
      <c r="R566" s="4"/>
      <c r="S566" s="4"/>
      <c r="T566" s="4"/>
      <c r="U566" s="4"/>
      <c r="V566" s="4"/>
      <c r="W566" s="4"/>
      <c r="X566" s="4"/>
      <c r="Y566" s="4"/>
      <c r="Z566" s="4"/>
    </row>
    <row r="567">
      <c r="A567" s="77"/>
      <c r="B567" s="17"/>
      <c r="C567" s="17"/>
      <c r="D567" s="17"/>
      <c r="E567" s="17"/>
      <c r="F567" s="17"/>
      <c r="G567" s="78"/>
      <c r="H567" s="78"/>
      <c r="I567" s="17"/>
      <c r="J567" s="17"/>
      <c r="K567" s="17"/>
      <c r="L567" s="4"/>
      <c r="M567" s="4"/>
      <c r="N567" s="4"/>
      <c r="O567" s="4"/>
      <c r="P567" s="4"/>
      <c r="Q567" s="4"/>
      <c r="R567" s="4"/>
      <c r="S567" s="4"/>
      <c r="T567" s="4"/>
      <c r="U567" s="4"/>
      <c r="V567" s="4"/>
      <c r="W567" s="4"/>
      <c r="X567" s="4"/>
      <c r="Y567" s="4"/>
      <c r="Z567" s="4"/>
    </row>
    <row r="568">
      <c r="A568" s="77"/>
      <c r="B568" s="17"/>
      <c r="C568" s="17"/>
      <c r="D568" s="17"/>
      <c r="E568" s="17"/>
      <c r="F568" s="17"/>
      <c r="G568" s="78"/>
      <c r="H568" s="78"/>
      <c r="I568" s="17"/>
      <c r="J568" s="17"/>
      <c r="K568" s="17"/>
      <c r="L568" s="4"/>
      <c r="M568" s="4"/>
      <c r="N568" s="4"/>
      <c r="O568" s="4"/>
      <c r="P568" s="4"/>
      <c r="Q568" s="4"/>
      <c r="R568" s="4"/>
      <c r="S568" s="4"/>
      <c r="T568" s="4"/>
      <c r="U568" s="4"/>
      <c r="V568" s="4"/>
      <c r="W568" s="4"/>
      <c r="X568" s="4"/>
      <c r="Y568" s="4"/>
      <c r="Z568" s="4"/>
    </row>
    <row r="569">
      <c r="A569" s="77"/>
      <c r="B569" s="17"/>
      <c r="C569" s="17"/>
      <c r="D569" s="17"/>
      <c r="E569" s="17"/>
      <c r="F569" s="17"/>
      <c r="G569" s="78"/>
      <c r="H569" s="78"/>
      <c r="I569" s="17"/>
      <c r="J569" s="17"/>
      <c r="K569" s="17"/>
      <c r="L569" s="4"/>
      <c r="M569" s="4"/>
      <c r="N569" s="4"/>
      <c r="O569" s="4"/>
      <c r="P569" s="4"/>
      <c r="Q569" s="4"/>
      <c r="R569" s="4"/>
      <c r="S569" s="4"/>
      <c r="T569" s="4"/>
      <c r="U569" s="4"/>
      <c r="V569" s="4"/>
      <c r="W569" s="4"/>
      <c r="X569" s="4"/>
      <c r="Y569" s="4"/>
      <c r="Z569" s="4"/>
    </row>
    <row r="570">
      <c r="A570" s="77"/>
      <c r="B570" s="17"/>
      <c r="C570" s="17"/>
      <c r="D570" s="17"/>
      <c r="E570" s="17"/>
      <c r="F570" s="17"/>
      <c r="G570" s="78"/>
      <c r="H570" s="78"/>
      <c r="I570" s="17"/>
      <c r="J570" s="17"/>
      <c r="K570" s="17"/>
      <c r="L570" s="4"/>
      <c r="M570" s="4"/>
      <c r="N570" s="4"/>
      <c r="O570" s="4"/>
      <c r="P570" s="4"/>
      <c r="Q570" s="4"/>
      <c r="R570" s="4"/>
      <c r="S570" s="4"/>
      <c r="T570" s="4"/>
      <c r="U570" s="4"/>
      <c r="V570" s="4"/>
      <c r="W570" s="4"/>
      <c r="X570" s="4"/>
      <c r="Y570" s="4"/>
      <c r="Z570" s="4"/>
    </row>
    <row r="571">
      <c r="A571" s="77"/>
      <c r="B571" s="17"/>
      <c r="C571" s="17"/>
      <c r="D571" s="17"/>
      <c r="E571" s="17"/>
      <c r="F571" s="17"/>
      <c r="G571" s="78"/>
      <c r="H571" s="78"/>
      <c r="I571" s="17"/>
      <c r="J571" s="17"/>
      <c r="K571" s="17"/>
      <c r="L571" s="4"/>
      <c r="M571" s="4"/>
      <c r="N571" s="4"/>
      <c r="O571" s="4"/>
      <c r="P571" s="4"/>
      <c r="Q571" s="4"/>
      <c r="R571" s="4"/>
      <c r="S571" s="4"/>
      <c r="T571" s="4"/>
      <c r="U571" s="4"/>
      <c r="V571" s="4"/>
      <c r="W571" s="4"/>
      <c r="X571" s="4"/>
      <c r="Y571" s="4"/>
      <c r="Z571" s="4"/>
    </row>
    <row r="572">
      <c r="A572" s="77"/>
      <c r="B572" s="17"/>
      <c r="C572" s="17"/>
      <c r="D572" s="17"/>
      <c r="E572" s="17"/>
      <c r="F572" s="17"/>
      <c r="G572" s="78"/>
      <c r="H572" s="78"/>
      <c r="I572" s="17"/>
      <c r="J572" s="17"/>
      <c r="K572" s="17"/>
      <c r="L572" s="4"/>
      <c r="M572" s="4"/>
      <c r="N572" s="4"/>
      <c r="O572" s="4"/>
      <c r="P572" s="4"/>
      <c r="Q572" s="4"/>
      <c r="R572" s="4"/>
      <c r="S572" s="4"/>
      <c r="T572" s="4"/>
      <c r="U572" s="4"/>
      <c r="V572" s="4"/>
      <c r="W572" s="4"/>
      <c r="X572" s="4"/>
      <c r="Y572" s="4"/>
      <c r="Z572" s="4"/>
    </row>
    <row r="573">
      <c r="A573" s="77"/>
      <c r="B573" s="17"/>
      <c r="C573" s="17"/>
      <c r="D573" s="17"/>
      <c r="E573" s="17"/>
      <c r="F573" s="17"/>
      <c r="G573" s="78"/>
      <c r="H573" s="78"/>
      <c r="I573" s="17"/>
      <c r="J573" s="17"/>
      <c r="K573" s="17"/>
      <c r="L573" s="4"/>
      <c r="M573" s="4"/>
      <c r="N573" s="4"/>
      <c r="O573" s="4"/>
      <c r="P573" s="4"/>
      <c r="Q573" s="4"/>
      <c r="R573" s="4"/>
      <c r="S573" s="4"/>
      <c r="T573" s="4"/>
      <c r="U573" s="4"/>
      <c r="V573" s="4"/>
      <c r="W573" s="4"/>
      <c r="X573" s="4"/>
      <c r="Y573" s="4"/>
      <c r="Z573" s="4"/>
    </row>
    <row r="574">
      <c r="A574" s="77"/>
      <c r="B574" s="17"/>
      <c r="C574" s="17"/>
      <c r="D574" s="17"/>
      <c r="E574" s="17"/>
      <c r="F574" s="17"/>
      <c r="G574" s="78"/>
      <c r="H574" s="78"/>
      <c r="I574" s="17"/>
      <c r="J574" s="17"/>
      <c r="K574" s="17"/>
      <c r="L574" s="4"/>
      <c r="M574" s="4"/>
      <c r="N574" s="4"/>
      <c r="O574" s="4"/>
      <c r="P574" s="4"/>
      <c r="Q574" s="4"/>
      <c r="R574" s="4"/>
      <c r="S574" s="4"/>
      <c r="T574" s="4"/>
      <c r="U574" s="4"/>
      <c r="V574" s="4"/>
      <c r="W574" s="4"/>
      <c r="X574" s="4"/>
      <c r="Y574" s="4"/>
      <c r="Z574" s="4"/>
    </row>
    <row r="575">
      <c r="A575" s="77"/>
      <c r="B575" s="17"/>
      <c r="C575" s="17"/>
      <c r="D575" s="17"/>
      <c r="E575" s="17"/>
      <c r="F575" s="17"/>
      <c r="G575" s="78"/>
      <c r="H575" s="78"/>
      <c r="I575" s="17"/>
      <c r="J575" s="17"/>
      <c r="K575" s="17"/>
      <c r="L575" s="4"/>
      <c r="M575" s="4"/>
      <c r="N575" s="4"/>
      <c r="O575" s="4"/>
      <c r="P575" s="4"/>
      <c r="Q575" s="4"/>
      <c r="R575" s="4"/>
      <c r="S575" s="4"/>
      <c r="T575" s="4"/>
      <c r="U575" s="4"/>
      <c r="V575" s="4"/>
      <c r="W575" s="4"/>
      <c r="X575" s="4"/>
      <c r="Y575" s="4"/>
      <c r="Z575" s="4"/>
    </row>
    <row r="576">
      <c r="A576" s="77"/>
      <c r="B576" s="17"/>
      <c r="C576" s="17"/>
      <c r="D576" s="17"/>
      <c r="E576" s="17"/>
      <c r="F576" s="17"/>
      <c r="G576" s="78"/>
      <c r="H576" s="78"/>
      <c r="I576" s="17"/>
      <c r="J576" s="17"/>
      <c r="K576" s="17"/>
      <c r="L576" s="4"/>
      <c r="M576" s="4"/>
      <c r="N576" s="4"/>
      <c r="O576" s="4"/>
      <c r="P576" s="4"/>
      <c r="Q576" s="4"/>
      <c r="R576" s="4"/>
      <c r="S576" s="4"/>
      <c r="T576" s="4"/>
      <c r="U576" s="4"/>
      <c r="V576" s="4"/>
      <c r="W576" s="4"/>
      <c r="X576" s="4"/>
      <c r="Y576" s="4"/>
      <c r="Z576" s="4"/>
    </row>
    <row r="577">
      <c r="A577" s="77"/>
      <c r="B577" s="17"/>
      <c r="C577" s="17"/>
      <c r="D577" s="17"/>
      <c r="E577" s="17"/>
      <c r="F577" s="17"/>
      <c r="G577" s="78"/>
      <c r="H577" s="78"/>
      <c r="I577" s="17"/>
      <c r="J577" s="17"/>
      <c r="K577" s="17"/>
      <c r="L577" s="4"/>
      <c r="M577" s="4"/>
      <c r="N577" s="4"/>
      <c r="O577" s="4"/>
      <c r="P577" s="4"/>
      <c r="Q577" s="4"/>
      <c r="R577" s="4"/>
      <c r="S577" s="4"/>
      <c r="T577" s="4"/>
      <c r="U577" s="4"/>
      <c r="V577" s="4"/>
      <c r="W577" s="4"/>
      <c r="X577" s="4"/>
      <c r="Y577" s="4"/>
      <c r="Z577" s="4"/>
    </row>
    <row r="578">
      <c r="A578" s="77"/>
      <c r="B578" s="17"/>
      <c r="C578" s="17"/>
      <c r="D578" s="17"/>
      <c r="E578" s="17"/>
      <c r="F578" s="17"/>
      <c r="G578" s="78"/>
      <c r="H578" s="78"/>
      <c r="I578" s="17"/>
      <c r="J578" s="17"/>
      <c r="K578" s="17"/>
      <c r="L578" s="4"/>
      <c r="M578" s="4"/>
      <c r="N578" s="4"/>
      <c r="O578" s="4"/>
      <c r="P578" s="4"/>
      <c r="Q578" s="4"/>
      <c r="R578" s="4"/>
      <c r="S578" s="4"/>
      <c r="T578" s="4"/>
      <c r="U578" s="4"/>
      <c r="V578" s="4"/>
      <c r="W578" s="4"/>
      <c r="X578" s="4"/>
      <c r="Y578" s="4"/>
      <c r="Z578" s="4"/>
    </row>
    <row r="579">
      <c r="A579" s="77"/>
      <c r="B579" s="17"/>
      <c r="C579" s="17"/>
      <c r="D579" s="17"/>
      <c r="E579" s="17"/>
      <c r="F579" s="17"/>
      <c r="G579" s="78"/>
      <c r="H579" s="78"/>
      <c r="I579" s="17"/>
      <c r="J579" s="17"/>
      <c r="K579" s="17"/>
      <c r="L579" s="4"/>
      <c r="M579" s="4"/>
      <c r="N579" s="4"/>
      <c r="O579" s="4"/>
      <c r="P579" s="4"/>
      <c r="Q579" s="4"/>
      <c r="R579" s="4"/>
      <c r="S579" s="4"/>
      <c r="T579" s="4"/>
      <c r="U579" s="4"/>
      <c r="V579" s="4"/>
      <c r="W579" s="4"/>
      <c r="X579" s="4"/>
      <c r="Y579" s="4"/>
      <c r="Z579" s="4"/>
    </row>
    <row r="580">
      <c r="A580" s="77"/>
      <c r="B580" s="17"/>
      <c r="C580" s="17"/>
      <c r="D580" s="17"/>
      <c r="E580" s="17"/>
      <c r="F580" s="17"/>
      <c r="G580" s="78"/>
      <c r="H580" s="78"/>
      <c r="I580" s="17"/>
      <c r="J580" s="17"/>
      <c r="K580" s="17"/>
      <c r="L580" s="4"/>
      <c r="M580" s="4"/>
      <c r="N580" s="4"/>
      <c r="O580" s="4"/>
      <c r="P580" s="4"/>
      <c r="Q580" s="4"/>
      <c r="R580" s="4"/>
      <c r="S580" s="4"/>
      <c r="T580" s="4"/>
      <c r="U580" s="4"/>
      <c r="V580" s="4"/>
      <c r="W580" s="4"/>
      <c r="X580" s="4"/>
      <c r="Y580" s="4"/>
      <c r="Z580" s="4"/>
    </row>
    <row r="581">
      <c r="A581" s="77"/>
      <c r="B581" s="17"/>
      <c r="C581" s="17"/>
      <c r="D581" s="17"/>
      <c r="E581" s="17"/>
      <c r="F581" s="17"/>
      <c r="G581" s="78"/>
      <c r="H581" s="78"/>
      <c r="I581" s="17"/>
      <c r="J581" s="17"/>
      <c r="K581" s="17"/>
      <c r="L581" s="4"/>
      <c r="M581" s="4"/>
      <c r="N581" s="4"/>
      <c r="O581" s="4"/>
      <c r="P581" s="4"/>
      <c r="Q581" s="4"/>
      <c r="R581" s="4"/>
      <c r="S581" s="4"/>
      <c r="T581" s="4"/>
      <c r="U581" s="4"/>
      <c r="V581" s="4"/>
      <c r="W581" s="4"/>
      <c r="X581" s="4"/>
      <c r="Y581" s="4"/>
      <c r="Z581" s="4"/>
    </row>
    <row r="582">
      <c r="A582" s="77"/>
      <c r="B582" s="17"/>
      <c r="C582" s="17"/>
      <c r="D582" s="17"/>
      <c r="E582" s="17"/>
      <c r="F582" s="17"/>
      <c r="G582" s="78"/>
      <c r="H582" s="78"/>
      <c r="I582" s="17"/>
      <c r="J582" s="17"/>
      <c r="K582" s="17"/>
      <c r="L582" s="4"/>
      <c r="M582" s="4"/>
      <c r="N582" s="4"/>
      <c r="O582" s="4"/>
      <c r="P582" s="4"/>
      <c r="Q582" s="4"/>
      <c r="R582" s="4"/>
      <c r="S582" s="4"/>
      <c r="T582" s="4"/>
      <c r="U582" s="4"/>
      <c r="V582" s="4"/>
      <c r="W582" s="4"/>
      <c r="X582" s="4"/>
      <c r="Y582" s="4"/>
      <c r="Z582" s="4"/>
    </row>
    <row r="583">
      <c r="A583" s="77"/>
      <c r="B583" s="17"/>
      <c r="C583" s="17"/>
      <c r="D583" s="17"/>
      <c r="E583" s="17"/>
      <c r="F583" s="17"/>
      <c r="G583" s="78"/>
      <c r="H583" s="78"/>
      <c r="I583" s="17"/>
      <c r="J583" s="17"/>
      <c r="K583" s="17"/>
      <c r="L583" s="4"/>
      <c r="M583" s="4"/>
      <c r="N583" s="4"/>
      <c r="O583" s="4"/>
      <c r="P583" s="4"/>
      <c r="Q583" s="4"/>
      <c r="R583" s="4"/>
      <c r="S583" s="4"/>
      <c r="T583" s="4"/>
      <c r="U583" s="4"/>
      <c r="V583" s="4"/>
      <c r="W583" s="4"/>
      <c r="X583" s="4"/>
      <c r="Y583" s="4"/>
      <c r="Z583" s="4"/>
    </row>
    <row r="584">
      <c r="A584" s="77"/>
      <c r="B584" s="17"/>
      <c r="C584" s="17"/>
      <c r="D584" s="17"/>
      <c r="E584" s="17"/>
      <c r="F584" s="17"/>
      <c r="G584" s="78"/>
      <c r="H584" s="78"/>
      <c r="I584" s="17"/>
      <c r="J584" s="17"/>
      <c r="K584" s="17"/>
      <c r="L584" s="4"/>
      <c r="M584" s="4"/>
      <c r="N584" s="4"/>
      <c r="O584" s="4"/>
      <c r="P584" s="4"/>
      <c r="Q584" s="4"/>
      <c r="R584" s="4"/>
      <c r="S584" s="4"/>
      <c r="T584" s="4"/>
      <c r="U584" s="4"/>
      <c r="V584" s="4"/>
      <c r="W584" s="4"/>
      <c r="X584" s="4"/>
      <c r="Y584" s="4"/>
      <c r="Z584" s="4"/>
    </row>
    <row r="585">
      <c r="A585" s="77"/>
      <c r="B585" s="17"/>
      <c r="C585" s="17"/>
      <c r="D585" s="17"/>
      <c r="E585" s="17"/>
      <c r="F585" s="17"/>
      <c r="G585" s="78"/>
      <c r="H585" s="78"/>
      <c r="I585" s="17"/>
      <c r="J585" s="17"/>
      <c r="K585" s="17"/>
      <c r="L585" s="4"/>
      <c r="M585" s="4"/>
      <c r="N585" s="4"/>
      <c r="O585" s="4"/>
      <c r="P585" s="4"/>
      <c r="Q585" s="4"/>
      <c r="R585" s="4"/>
      <c r="S585" s="4"/>
      <c r="T585" s="4"/>
      <c r="U585" s="4"/>
      <c r="V585" s="4"/>
      <c r="W585" s="4"/>
      <c r="X585" s="4"/>
      <c r="Y585" s="4"/>
      <c r="Z585" s="4"/>
    </row>
    <row r="586">
      <c r="A586" s="77"/>
      <c r="B586" s="17"/>
      <c r="C586" s="17"/>
      <c r="D586" s="17"/>
      <c r="E586" s="17"/>
      <c r="F586" s="17"/>
      <c r="G586" s="78"/>
      <c r="H586" s="78"/>
      <c r="I586" s="17"/>
      <c r="J586" s="17"/>
      <c r="K586" s="17"/>
      <c r="L586" s="4"/>
      <c r="M586" s="4"/>
      <c r="N586" s="4"/>
      <c r="O586" s="4"/>
      <c r="P586" s="4"/>
      <c r="Q586" s="4"/>
      <c r="R586" s="4"/>
      <c r="S586" s="4"/>
      <c r="T586" s="4"/>
      <c r="U586" s="4"/>
      <c r="V586" s="4"/>
      <c r="W586" s="4"/>
      <c r="X586" s="4"/>
      <c r="Y586" s="4"/>
      <c r="Z586" s="4"/>
    </row>
    <row r="587">
      <c r="A587" s="77"/>
      <c r="B587" s="17"/>
      <c r="C587" s="17"/>
      <c r="D587" s="17"/>
      <c r="E587" s="17"/>
      <c r="F587" s="17"/>
      <c r="G587" s="78"/>
      <c r="H587" s="78"/>
      <c r="I587" s="17"/>
      <c r="J587" s="17"/>
      <c r="K587" s="17"/>
      <c r="L587" s="4"/>
      <c r="M587" s="4"/>
      <c r="N587" s="4"/>
      <c r="O587" s="4"/>
      <c r="P587" s="4"/>
      <c r="Q587" s="4"/>
      <c r="R587" s="4"/>
      <c r="S587" s="4"/>
      <c r="T587" s="4"/>
      <c r="U587" s="4"/>
      <c r="V587" s="4"/>
      <c r="W587" s="4"/>
      <c r="X587" s="4"/>
      <c r="Y587" s="4"/>
      <c r="Z587" s="4"/>
    </row>
    <row r="588">
      <c r="A588" s="77"/>
      <c r="B588" s="17"/>
      <c r="C588" s="17"/>
      <c r="D588" s="17"/>
      <c r="E588" s="17"/>
      <c r="F588" s="17"/>
      <c r="G588" s="78"/>
      <c r="H588" s="78"/>
      <c r="I588" s="17"/>
      <c r="J588" s="17"/>
      <c r="K588" s="17"/>
      <c r="L588" s="4"/>
      <c r="M588" s="4"/>
      <c r="N588" s="4"/>
      <c r="O588" s="4"/>
      <c r="P588" s="4"/>
      <c r="Q588" s="4"/>
      <c r="R588" s="4"/>
      <c r="S588" s="4"/>
      <c r="T588" s="4"/>
      <c r="U588" s="4"/>
      <c r="V588" s="4"/>
      <c r="W588" s="4"/>
      <c r="X588" s="4"/>
      <c r="Y588" s="4"/>
      <c r="Z588" s="4"/>
    </row>
    <row r="589">
      <c r="A589" s="77"/>
      <c r="B589" s="17"/>
      <c r="C589" s="17"/>
      <c r="D589" s="17"/>
      <c r="E589" s="17"/>
      <c r="F589" s="17"/>
      <c r="G589" s="78"/>
      <c r="H589" s="78"/>
      <c r="I589" s="17"/>
      <c r="J589" s="17"/>
      <c r="K589" s="17"/>
      <c r="L589" s="4"/>
      <c r="M589" s="4"/>
      <c r="N589" s="4"/>
      <c r="O589" s="4"/>
      <c r="P589" s="4"/>
      <c r="Q589" s="4"/>
      <c r="R589" s="4"/>
      <c r="S589" s="4"/>
      <c r="T589" s="4"/>
      <c r="U589" s="4"/>
      <c r="V589" s="4"/>
      <c r="W589" s="4"/>
      <c r="X589" s="4"/>
      <c r="Y589" s="4"/>
      <c r="Z589" s="4"/>
    </row>
    <row r="590">
      <c r="A590" s="77"/>
      <c r="B590" s="17"/>
      <c r="C590" s="17"/>
      <c r="D590" s="17"/>
      <c r="E590" s="17"/>
      <c r="F590" s="17"/>
      <c r="G590" s="78"/>
      <c r="H590" s="78"/>
      <c r="I590" s="17"/>
      <c r="J590" s="17"/>
      <c r="K590" s="17"/>
      <c r="L590" s="4"/>
      <c r="M590" s="4"/>
      <c r="N590" s="4"/>
      <c r="O590" s="4"/>
      <c r="P590" s="4"/>
      <c r="Q590" s="4"/>
      <c r="R590" s="4"/>
      <c r="S590" s="4"/>
      <c r="T590" s="4"/>
      <c r="U590" s="4"/>
      <c r="V590" s="4"/>
      <c r="W590" s="4"/>
      <c r="X590" s="4"/>
      <c r="Y590" s="4"/>
      <c r="Z590" s="4"/>
    </row>
    <row r="591">
      <c r="A591" s="77"/>
      <c r="B591" s="17"/>
      <c r="C591" s="17"/>
      <c r="D591" s="17"/>
      <c r="E591" s="17"/>
      <c r="F591" s="17"/>
      <c r="G591" s="78"/>
      <c r="H591" s="78"/>
      <c r="I591" s="17"/>
      <c r="J591" s="17"/>
      <c r="K591" s="17"/>
      <c r="L591" s="4"/>
      <c r="M591" s="4"/>
      <c r="N591" s="4"/>
      <c r="O591" s="4"/>
      <c r="P591" s="4"/>
      <c r="Q591" s="4"/>
      <c r="R591" s="4"/>
      <c r="S591" s="4"/>
      <c r="T591" s="4"/>
      <c r="U591" s="4"/>
      <c r="V591" s="4"/>
      <c r="W591" s="4"/>
      <c r="X591" s="4"/>
      <c r="Y591" s="4"/>
      <c r="Z591" s="4"/>
    </row>
    <row r="592">
      <c r="A592" s="77"/>
      <c r="B592" s="17"/>
      <c r="C592" s="17"/>
      <c r="D592" s="17"/>
      <c r="E592" s="17"/>
      <c r="F592" s="17"/>
      <c r="G592" s="78"/>
      <c r="H592" s="78"/>
      <c r="I592" s="17"/>
      <c r="J592" s="17"/>
      <c r="K592" s="17"/>
      <c r="L592" s="4"/>
      <c r="M592" s="4"/>
      <c r="N592" s="4"/>
      <c r="O592" s="4"/>
      <c r="P592" s="4"/>
      <c r="Q592" s="4"/>
      <c r="R592" s="4"/>
      <c r="S592" s="4"/>
      <c r="T592" s="4"/>
      <c r="U592" s="4"/>
      <c r="V592" s="4"/>
      <c r="W592" s="4"/>
      <c r="X592" s="4"/>
      <c r="Y592" s="4"/>
      <c r="Z592" s="4"/>
    </row>
    <row r="593">
      <c r="A593" s="77"/>
      <c r="B593" s="17"/>
      <c r="C593" s="17"/>
      <c r="D593" s="17"/>
      <c r="E593" s="17"/>
      <c r="F593" s="17"/>
      <c r="G593" s="78"/>
      <c r="H593" s="78"/>
      <c r="I593" s="17"/>
      <c r="J593" s="17"/>
      <c r="K593" s="17"/>
      <c r="L593" s="4"/>
      <c r="M593" s="4"/>
      <c r="N593" s="4"/>
      <c r="O593" s="4"/>
      <c r="P593" s="4"/>
      <c r="Q593" s="4"/>
      <c r="R593" s="4"/>
      <c r="S593" s="4"/>
      <c r="T593" s="4"/>
      <c r="U593" s="4"/>
      <c r="V593" s="4"/>
      <c r="W593" s="4"/>
      <c r="X593" s="4"/>
      <c r="Y593" s="4"/>
      <c r="Z593" s="4"/>
    </row>
    <row r="594">
      <c r="A594" s="77"/>
      <c r="B594" s="17"/>
      <c r="C594" s="17"/>
      <c r="D594" s="17"/>
      <c r="E594" s="17"/>
      <c r="F594" s="17"/>
      <c r="G594" s="78"/>
      <c r="H594" s="78"/>
      <c r="I594" s="17"/>
      <c r="J594" s="17"/>
      <c r="K594" s="17"/>
      <c r="L594" s="4"/>
      <c r="M594" s="4"/>
      <c r="N594" s="4"/>
      <c r="O594" s="4"/>
      <c r="P594" s="4"/>
      <c r="Q594" s="4"/>
      <c r="R594" s="4"/>
      <c r="S594" s="4"/>
      <c r="T594" s="4"/>
      <c r="U594" s="4"/>
      <c r="V594" s="4"/>
      <c r="W594" s="4"/>
      <c r="X594" s="4"/>
      <c r="Y594" s="4"/>
      <c r="Z594" s="4"/>
    </row>
    <row r="595">
      <c r="A595" s="77"/>
      <c r="B595" s="17"/>
      <c r="C595" s="17"/>
      <c r="D595" s="17"/>
      <c r="E595" s="17"/>
      <c r="F595" s="17"/>
      <c r="G595" s="78"/>
      <c r="H595" s="78"/>
      <c r="I595" s="17"/>
      <c r="J595" s="17"/>
      <c r="K595" s="17"/>
      <c r="L595" s="4"/>
      <c r="M595" s="4"/>
      <c r="N595" s="4"/>
      <c r="O595" s="4"/>
      <c r="P595" s="4"/>
      <c r="Q595" s="4"/>
      <c r="R595" s="4"/>
      <c r="S595" s="4"/>
      <c r="T595" s="4"/>
      <c r="U595" s="4"/>
      <c r="V595" s="4"/>
      <c r="W595" s="4"/>
      <c r="X595" s="4"/>
      <c r="Y595" s="4"/>
      <c r="Z595" s="4"/>
    </row>
    <row r="596">
      <c r="A596" s="77"/>
      <c r="B596" s="17"/>
      <c r="C596" s="17"/>
      <c r="D596" s="17"/>
      <c r="E596" s="17"/>
      <c r="F596" s="17"/>
      <c r="G596" s="78"/>
      <c r="H596" s="78"/>
      <c r="I596" s="17"/>
      <c r="J596" s="17"/>
      <c r="K596" s="17"/>
      <c r="L596" s="4"/>
      <c r="M596" s="4"/>
      <c r="N596" s="4"/>
      <c r="O596" s="4"/>
      <c r="P596" s="4"/>
      <c r="Q596" s="4"/>
      <c r="R596" s="4"/>
      <c r="S596" s="4"/>
      <c r="T596" s="4"/>
      <c r="U596" s="4"/>
      <c r="V596" s="4"/>
      <c r="W596" s="4"/>
      <c r="X596" s="4"/>
      <c r="Y596" s="4"/>
      <c r="Z596" s="4"/>
    </row>
    <row r="597">
      <c r="A597" s="77"/>
      <c r="B597" s="17"/>
      <c r="C597" s="17"/>
      <c r="D597" s="17"/>
      <c r="E597" s="17"/>
      <c r="F597" s="17"/>
      <c r="G597" s="78"/>
      <c r="H597" s="78"/>
      <c r="I597" s="17"/>
      <c r="J597" s="17"/>
      <c r="K597" s="17"/>
      <c r="L597" s="4"/>
      <c r="M597" s="4"/>
      <c r="N597" s="4"/>
      <c r="O597" s="4"/>
      <c r="P597" s="4"/>
      <c r="Q597" s="4"/>
      <c r="R597" s="4"/>
      <c r="S597" s="4"/>
      <c r="T597" s="4"/>
      <c r="U597" s="4"/>
      <c r="V597" s="4"/>
      <c r="W597" s="4"/>
      <c r="X597" s="4"/>
      <c r="Y597" s="4"/>
      <c r="Z597" s="4"/>
    </row>
    <row r="598">
      <c r="A598" s="77"/>
      <c r="B598" s="17"/>
      <c r="C598" s="17"/>
      <c r="D598" s="17"/>
      <c r="E598" s="17"/>
      <c r="F598" s="17"/>
      <c r="G598" s="78"/>
      <c r="H598" s="78"/>
      <c r="I598" s="17"/>
      <c r="J598" s="17"/>
      <c r="K598" s="17"/>
      <c r="L598" s="4"/>
      <c r="M598" s="4"/>
      <c r="N598" s="4"/>
      <c r="O598" s="4"/>
      <c r="P598" s="4"/>
      <c r="Q598" s="4"/>
      <c r="R598" s="4"/>
      <c r="S598" s="4"/>
      <c r="T598" s="4"/>
      <c r="U598" s="4"/>
      <c r="V598" s="4"/>
      <c r="W598" s="4"/>
      <c r="X598" s="4"/>
      <c r="Y598" s="4"/>
      <c r="Z598" s="4"/>
    </row>
    <row r="599">
      <c r="A599" s="77"/>
      <c r="B599" s="17"/>
      <c r="C599" s="17"/>
      <c r="D599" s="17"/>
      <c r="E599" s="17"/>
      <c r="F599" s="17"/>
      <c r="G599" s="78"/>
      <c r="H599" s="78"/>
      <c r="I599" s="17"/>
      <c r="J599" s="17"/>
      <c r="K599" s="17"/>
      <c r="L599" s="4"/>
      <c r="M599" s="4"/>
      <c r="N599" s="4"/>
      <c r="O599" s="4"/>
      <c r="P599" s="4"/>
      <c r="Q599" s="4"/>
      <c r="R599" s="4"/>
      <c r="S599" s="4"/>
      <c r="T599" s="4"/>
      <c r="U599" s="4"/>
      <c r="V599" s="4"/>
      <c r="W599" s="4"/>
      <c r="X599" s="4"/>
      <c r="Y599" s="4"/>
      <c r="Z599" s="4"/>
    </row>
    <row r="600">
      <c r="A600" s="77"/>
      <c r="B600" s="17"/>
      <c r="C600" s="17"/>
      <c r="D600" s="17"/>
      <c r="E600" s="17"/>
      <c r="F600" s="17"/>
      <c r="G600" s="78"/>
      <c r="H600" s="78"/>
      <c r="I600" s="17"/>
      <c r="J600" s="17"/>
      <c r="K600" s="17"/>
      <c r="L600" s="4"/>
      <c r="M600" s="4"/>
      <c r="N600" s="4"/>
      <c r="O600" s="4"/>
      <c r="P600" s="4"/>
      <c r="Q600" s="4"/>
      <c r="R600" s="4"/>
      <c r="S600" s="4"/>
      <c r="T600" s="4"/>
      <c r="U600" s="4"/>
      <c r="V600" s="4"/>
      <c r="W600" s="4"/>
      <c r="X600" s="4"/>
      <c r="Y600" s="4"/>
      <c r="Z600" s="4"/>
    </row>
    <row r="601">
      <c r="A601" s="77"/>
      <c r="B601" s="17"/>
      <c r="C601" s="17"/>
      <c r="D601" s="17"/>
      <c r="E601" s="17"/>
      <c r="F601" s="17"/>
      <c r="G601" s="78"/>
      <c r="H601" s="78"/>
      <c r="I601" s="17"/>
      <c r="J601" s="17"/>
      <c r="K601" s="17"/>
      <c r="L601" s="4"/>
      <c r="M601" s="4"/>
      <c r="N601" s="4"/>
      <c r="O601" s="4"/>
      <c r="P601" s="4"/>
      <c r="Q601" s="4"/>
      <c r="R601" s="4"/>
      <c r="S601" s="4"/>
      <c r="T601" s="4"/>
      <c r="U601" s="4"/>
      <c r="V601" s="4"/>
      <c r="W601" s="4"/>
      <c r="X601" s="4"/>
      <c r="Y601" s="4"/>
      <c r="Z601" s="4"/>
    </row>
    <row r="602">
      <c r="A602" s="77"/>
      <c r="B602" s="17"/>
      <c r="C602" s="17"/>
      <c r="D602" s="17"/>
      <c r="E602" s="17"/>
      <c r="F602" s="17"/>
      <c r="G602" s="78"/>
      <c r="H602" s="78"/>
      <c r="I602" s="17"/>
      <c r="J602" s="17"/>
      <c r="K602" s="17"/>
      <c r="L602" s="4"/>
      <c r="M602" s="4"/>
      <c r="N602" s="4"/>
      <c r="O602" s="4"/>
      <c r="P602" s="4"/>
      <c r="Q602" s="4"/>
      <c r="R602" s="4"/>
      <c r="S602" s="4"/>
      <c r="T602" s="4"/>
      <c r="U602" s="4"/>
      <c r="V602" s="4"/>
      <c r="W602" s="4"/>
      <c r="X602" s="4"/>
      <c r="Y602" s="4"/>
      <c r="Z602" s="4"/>
    </row>
    <row r="603">
      <c r="A603" s="77"/>
      <c r="B603" s="17"/>
      <c r="C603" s="17"/>
      <c r="D603" s="17"/>
      <c r="E603" s="17"/>
      <c r="F603" s="17"/>
      <c r="G603" s="78"/>
      <c r="H603" s="78"/>
      <c r="I603" s="17"/>
      <c r="J603" s="17"/>
      <c r="K603" s="17"/>
      <c r="L603" s="4"/>
      <c r="M603" s="4"/>
      <c r="N603" s="4"/>
      <c r="O603" s="4"/>
      <c r="P603" s="4"/>
      <c r="Q603" s="4"/>
      <c r="R603" s="4"/>
      <c r="S603" s="4"/>
      <c r="T603" s="4"/>
      <c r="U603" s="4"/>
      <c r="V603" s="4"/>
      <c r="W603" s="4"/>
      <c r="X603" s="4"/>
      <c r="Y603" s="4"/>
      <c r="Z603" s="4"/>
    </row>
    <row r="604">
      <c r="A604" s="77"/>
      <c r="B604" s="17"/>
      <c r="C604" s="17"/>
      <c r="D604" s="17"/>
      <c r="E604" s="17"/>
      <c r="F604" s="17"/>
      <c r="G604" s="78"/>
      <c r="H604" s="78"/>
      <c r="I604" s="17"/>
      <c r="J604" s="17"/>
      <c r="K604" s="17"/>
      <c r="L604" s="4"/>
      <c r="M604" s="4"/>
      <c r="N604" s="4"/>
      <c r="O604" s="4"/>
      <c r="P604" s="4"/>
      <c r="Q604" s="4"/>
      <c r="R604" s="4"/>
      <c r="S604" s="4"/>
      <c r="T604" s="4"/>
      <c r="U604" s="4"/>
      <c r="V604" s="4"/>
      <c r="W604" s="4"/>
      <c r="X604" s="4"/>
      <c r="Y604" s="4"/>
      <c r="Z604" s="4"/>
    </row>
    <row r="605">
      <c r="A605" s="77"/>
      <c r="B605" s="17"/>
      <c r="C605" s="17"/>
      <c r="D605" s="17"/>
      <c r="E605" s="17"/>
      <c r="F605" s="17"/>
      <c r="G605" s="78"/>
      <c r="H605" s="78"/>
      <c r="I605" s="17"/>
      <c r="J605" s="17"/>
      <c r="K605" s="17"/>
      <c r="L605" s="4"/>
      <c r="M605" s="4"/>
      <c r="N605" s="4"/>
      <c r="O605" s="4"/>
      <c r="P605" s="4"/>
      <c r="Q605" s="4"/>
      <c r="R605" s="4"/>
      <c r="S605" s="4"/>
      <c r="T605" s="4"/>
      <c r="U605" s="4"/>
      <c r="V605" s="4"/>
      <c r="W605" s="4"/>
      <c r="X605" s="4"/>
      <c r="Y605" s="4"/>
      <c r="Z605" s="4"/>
    </row>
    <row r="606">
      <c r="A606" s="77"/>
      <c r="B606" s="17"/>
      <c r="C606" s="17"/>
      <c r="D606" s="17"/>
      <c r="E606" s="17"/>
      <c r="F606" s="17"/>
      <c r="G606" s="78"/>
      <c r="H606" s="78"/>
      <c r="I606" s="17"/>
      <c r="J606" s="17"/>
      <c r="K606" s="17"/>
      <c r="L606" s="4"/>
      <c r="M606" s="4"/>
      <c r="N606" s="4"/>
      <c r="O606" s="4"/>
      <c r="P606" s="4"/>
      <c r="Q606" s="4"/>
      <c r="R606" s="4"/>
      <c r="S606" s="4"/>
      <c r="T606" s="4"/>
      <c r="U606" s="4"/>
      <c r="V606" s="4"/>
      <c r="W606" s="4"/>
      <c r="X606" s="4"/>
      <c r="Y606" s="4"/>
      <c r="Z606" s="4"/>
    </row>
    <row r="607">
      <c r="A607" s="77"/>
      <c r="B607" s="17"/>
      <c r="C607" s="17"/>
      <c r="D607" s="17"/>
      <c r="E607" s="17"/>
      <c r="F607" s="17"/>
      <c r="G607" s="78"/>
      <c r="H607" s="78"/>
      <c r="I607" s="17"/>
      <c r="J607" s="17"/>
      <c r="K607" s="17"/>
      <c r="L607" s="4"/>
      <c r="M607" s="4"/>
      <c r="N607" s="4"/>
      <c r="O607" s="4"/>
      <c r="P607" s="4"/>
      <c r="Q607" s="4"/>
      <c r="R607" s="4"/>
      <c r="S607" s="4"/>
      <c r="T607" s="4"/>
      <c r="U607" s="4"/>
      <c r="V607" s="4"/>
      <c r="W607" s="4"/>
      <c r="X607" s="4"/>
      <c r="Y607" s="4"/>
      <c r="Z607" s="4"/>
    </row>
    <row r="608">
      <c r="A608" s="77"/>
      <c r="B608" s="17"/>
      <c r="C608" s="17"/>
      <c r="D608" s="17"/>
      <c r="E608" s="17"/>
      <c r="F608" s="17"/>
      <c r="G608" s="78"/>
      <c r="H608" s="78"/>
      <c r="I608" s="17"/>
      <c r="J608" s="17"/>
      <c r="K608" s="17"/>
      <c r="L608" s="4"/>
      <c r="M608" s="4"/>
      <c r="N608" s="4"/>
      <c r="O608" s="4"/>
      <c r="P608" s="4"/>
      <c r="Q608" s="4"/>
      <c r="R608" s="4"/>
      <c r="S608" s="4"/>
      <c r="T608" s="4"/>
      <c r="U608" s="4"/>
      <c r="V608" s="4"/>
      <c r="W608" s="4"/>
      <c r="X608" s="4"/>
      <c r="Y608" s="4"/>
      <c r="Z608" s="4"/>
    </row>
    <row r="609">
      <c r="A609" s="77"/>
      <c r="B609" s="17"/>
      <c r="C609" s="17"/>
      <c r="D609" s="17"/>
      <c r="E609" s="17"/>
      <c r="F609" s="17"/>
      <c r="G609" s="78"/>
      <c r="H609" s="78"/>
      <c r="I609" s="17"/>
      <c r="J609" s="17"/>
      <c r="K609" s="17"/>
      <c r="L609" s="4"/>
      <c r="M609" s="4"/>
      <c r="N609" s="4"/>
      <c r="O609" s="4"/>
      <c r="P609" s="4"/>
      <c r="Q609" s="4"/>
      <c r="R609" s="4"/>
      <c r="S609" s="4"/>
      <c r="T609" s="4"/>
      <c r="U609" s="4"/>
      <c r="V609" s="4"/>
      <c r="W609" s="4"/>
      <c r="X609" s="4"/>
      <c r="Y609" s="4"/>
      <c r="Z609" s="4"/>
    </row>
    <row r="610">
      <c r="A610" s="77"/>
      <c r="B610" s="17"/>
      <c r="C610" s="17"/>
      <c r="D610" s="17"/>
      <c r="E610" s="17"/>
      <c r="F610" s="17"/>
      <c r="G610" s="78"/>
      <c r="H610" s="78"/>
      <c r="I610" s="17"/>
      <c r="J610" s="17"/>
      <c r="K610" s="17"/>
      <c r="L610" s="4"/>
      <c r="M610" s="4"/>
      <c r="N610" s="4"/>
      <c r="O610" s="4"/>
      <c r="P610" s="4"/>
      <c r="Q610" s="4"/>
      <c r="R610" s="4"/>
      <c r="S610" s="4"/>
      <c r="T610" s="4"/>
      <c r="U610" s="4"/>
      <c r="V610" s="4"/>
      <c r="W610" s="4"/>
      <c r="X610" s="4"/>
      <c r="Y610" s="4"/>
      <c r="Z610" s="4"/>
    </row>
    <row r="611">
      <c r="A611" s="77"/>
      <c r="B611" s="17"/>
      <c r="C611" s="17"/>
      <c r="D611" s="17"/>
      <c r="E611" s="17"/>
      <c r="F611" s="17"/>
      <c r="G611" s="78"/>
      <c r="H611" s="78"/>
      <c r="I611" s="17"/>
      <c r="J611" s="17"/>
      <c r="K611" s="17"/>
      <c r="L611" s="4"/>
      <c r="M611" s="4"/>
      <c r="N611" s="4"/>
      <c r="O611" s="4"/>
      <c r="P611" s="4"/>
      <c r="Q611" s="4"/>
      <c r="R611" s="4"/>
      <c r="S611" s="4"/>
      <c r="T611" s="4"/>
      <c r="U611" s="4"/>
      <c r="V611" s="4"/>
      <c r="W611" s="4"/>
      <c r="X611" s="4"/>
      <c r="Y611" s="4"/>
      <c r="Z611" s="4"/>
    </row>
    <row r="612">
      <c r="A612" s="77"/>
      <c r="B612" s="17"/>
      <c r="C612" s="17"/>
      <c r="D612" s="17"/>
      <c r="E612" s="17"/>
      <c r="F612" s="17"/>
      <c r="G612" s="78"/>
      <c r="H612" s="78"/>
      <c r="I612" s="17"/>
      <c r="J612" s="17"/>
      <c r="K612" s="17"/>
      <c r="L612" s="4"/>
      <c r="M612" s="4"/>
      <c r="N612" s="4"/>
      <c r="O612" s="4"/>
      <c r="P612" s="4"/>
      <c r="Q612" s="4"/>
      <c r="R612" s="4"/>
      <c r="S612" s="4"/>
      <c r="T612" s="4"/>
      <c r="U612" s="4"/>
      <c r="V612" s="4"/>
      <c r="W612" s="4"/>
      <c r="X612" s="4"/>
      <c r="Y612" s="4"/>
      <c r="Z612" s="4"/>
    </row>
    <row r="613">
      <c r="A613" s="77"/>
      <c r="B613" s="17"/>
      <c r="C613" s="17"/>
      <c r="D613" s="17"/>
      <c r="E613" s="17"/>
      <c r="F613" s="17"/>
      <c r="G613" s="78"/>
      <c r="H613" s="78"/>
      <c r="I613" s="17"/>
      <c r="J613" s="17"/>
      <c r="K613" s="17"/>
      <c r="L613" s="4"/>
      <c r="M613" s="4"/>
      <c r="N613" s="4"/>
      <c r="O613" s="4"/>
      <c r="P613" s="4"/>
      <c r="Q613" s="4"/>
      <c r="R613" s="4"/>
      <c r="S613" s="4"/>
      <c r="T613" s="4"/>
      <c r="U613" s="4"/>
      <c r="V613" s="4"/>
      <c r="W613" s="4"/>
      <c r="X613" s="4"/>
      <c r="Y613" s="4"/>
      <c r="Z613" s="4"/>
    </row>
    <row r="614">
      <c r="A614" s="77"/>
      <c r="B614" s="17"/>
      <c r="C614" s="17"/>
      <c r="D614" s="17"/>
      <c r="E614" s="17"/>
      <c r="F614" s="17"/>
      <c r="G614" s="78"/>
      <c r="H614" s="78"/>
      <c r="I614" s="17"/>
      <c r="J614" s="17"/>
      <c r="K614" s="17"/>
      <c r="L614" s="4"/>
      <c r="M614" s="4"/>
      <c r="N614" s="4"/>
      <c r="O614" s="4"/>
      <c r="P614" s="4"/>
      <c r="Q614" s="4"/>
      <c r="R614" s="4"/>
      <c r="S614" s="4"/>
      <c r="T614" s="4"/>
      <c r="U614" s="4"/>
      <c r="V614" s="4"/>
      <c r="W614" s="4"/>
      <c r="X614" s="4"/>
      <c r="Y614" s="4"/>
      <c r="Z614" s="4"/>
    </row>
    <row r="615">
      <c r="A615" s="77"/>
      <c r="B615" s="17"/>
      <c r="C615" s="17"/>
      <c r="D615" s="17"/>
      <c r="E615" s="17"/>
      <c r="F615" s="17"/>
      <c r="G615" s="78"/>
      <c r="H615" s="78"/>
      <c r="I615" s="17"/>
      <c r="J615" s="17"/>
      <c r="K615" s="17"/>
      <c r="L615" s="4"/>
      <c r="M615" s="4"/>
      <c r="N615" s="4"/>
      <c r="O615" s="4"/>
      <c r="P615" s="4"/>
      <c r="Q615" s="4"/>
      <c r="R615" s="4"/>
      <c r="S615" s="4"/>
      <c r="T615" s="4"/>
      <c r="U615" s="4"/>
      <c r="V615" s="4"/>
      <c r="W615" s="4"/>
      <c r="X615" s="4"/>
      <c r="Y615" s="4"/>
      <c r="Z615" s="4"/>
    </row>
    <row r="616">
      <c r="A616" s="77"/>
      <c r="B616" s="17"/>
      <c r="C616" s="17"/>
      <c r="D616" s="17"/>
      <c r="E616" s="17"/>
      <c r="F616" s="17"/>
      <c r="G616" s="78"/>
      <c r="H616" s="78"/>
      <c r="I616" s="17"/>
      <c r="J616" s="17"/>
      <c r="K616" s="17"/>
      <c r="L616" s="4"/>
      <c r="M616" s="4"/>
      <c r="N616" s="4"/>
      <c r="O616" s="4"/>
      <c r="P616" s="4"/>
      <c r="Q616" s="4"/>
      <c r="R616" s="4"/>
      <c r="S616" s="4"/>
      <c r="T616" s="4"/>
      <c r="U616" s="4"/>
      <c r="V616" s="4"/>
      <c r="W616" s="4"/>
      <c r="X616" s="4"/>
      <c r="Y616" s="4"/>
      <c r="Z616" s="4"/>
    </row>
    <row r="617">
      <c r="A617" s="77"/>
      <c r="B617" s="17"/>
      <c r="C617" s="17"/>
      <c r="D617" s="17"/>
      <c r="E617" s="17"/>
      <c r="F617" s="17"/>
      <c r="G617" s="78"/>
      <c r="H617" s="78"/>
      <c r="I617" s="17"/>
      <c r="J617" s="17"/>
      <c r="K617" s="17"/>
      <c r="L617" s="4"/>
      <c r="M617" s="4"/>
      <c r="N617" s="4"/>
      <c r="O617" s="4"/>
      <c r="P617" s="4"/>
      <c r="Q617" s="4"/>
      <c r="R617" s="4"/>
      <c r="S617" s="4"/>
      <c r="T617" s="4"/>
      <c r="U617" s="4"/>
      <c r="V617" s="4"/>
      <c r="W617" s="4"/>
      <c r="X617" s="4"/>
      <c r="Y617" s="4"/>
      <c r="Z617" s="4"/>
    </row>
    <row r="618">
      <c r="A618" s="77"/>
      <c r="B618" s="17"/>
      <c r="C618" s="17"/>
      <c r="D618" s="17"/>
      <c r="E618" s="17"/>
      <c r="F618" s="17"/>
      <c r="G618" s="78"/>
      <c r="H618" s="78"/>
      <c r="I618" s="17"/>
      <c r="J618" s="17"/>
      <c r="K618" s="17"/>
      <c r="L618" s="4"/>
      <c r="M618" s="4"/>
      <c r="N618" s="4"/>
      <c r="O618" s="4"/>
      <c r="P618" s="4"/>
      <c r="Q618" s="4"/>
      <c r="R618" s="4"/>
      <c r="S618" s="4"/>
      <c r="T618" s="4"/>
      <c r="U618" s="4"/>
      <c r="V618" s="4"/>
      <c r="W618" s="4"/>
      <c r="X618" s="4"/>
      <c r="Y618" s="4"/>
      <c r="Z618" s="4"/>
    </row>
    <row r="619">
      <c r="A619" s="77"/>
      <c r="B619" s="17"/>
      <c r="C619" s="17"/>
      <c r="D619" s="17"/>
      <c r="E619" s="17"/>
      <c r="F619" s="17"/>
      <c r="G619" s="78"/>
      <c r="H619" s="78"/>
      <c r="I619" s="17"/>
      <c r="J619" s="17"/>
      <c r="K619" s="17"/>
      <c r="L619" s="4"/>
      <c r="M619" s="4"/>
      <c r="N619" s="4"/>
      <c r="O619" s="4"/>
      <c r="P619" s="4"/>
      <c r="Q619" s="4"/>
      <c r="R619" s="4"/>
      <c r="S619" s="4"/>
      <c r="T619" s="4"/>
      <c r="U619" s="4"/>
      <c r="V619" s="4"/>
      <c r="W619" s="4"/>
      <c r="X619" s="4"/>
      <c r="Y619" s="4"/>
      <c r="Z619" s="4"/>
    </row>
    <row r="620">
      <c r="A620" s="77"/>
      <c r="B620" s="17"/>
      <c r="C620" s="17"/>
      <c r="D620" s="17"/>
      <c r="E620" s="17"/>
      <c r="F620" s="17"/>
      <c r="G620" s="78"/>
      <c r="H620" s="78"/>
      <c r="I620" s="17"/>
      <c r="J620" s="17"/>
      <c r="K620" s="17"/>
      <c r="L620" s="4"/>
      <c r="M620" s="4"/>
      <c r="N620" s="4"/>
      <c r="O620" s="4"/>
      <c r="P620" s="4"/>
      <c r="Q620" s="4"/>
      <c r="R620" s="4"/>
      <c r="S620" s="4"/>
      <c r="T620" s="4"/>
      <c r="U620" s="4"/>
      <c r="V620" s="4"/>
      <c r="W620" s="4"/>
      <c r="X620" s="4"/>
      <c r="Y620" s="4"/>
      <c r="Z620" s="4"/>
    </row>
    <row r="621">
      <c r="A621" s="77"/>
      <c r="B621" s="17"/>
      <c r="C621" s="17"/>
      <c r="D621" s="17"/>
      <c r="E621" s="17"/>
      <c r="F621" s="17"/>
      <c r="G621" s="78"/>
      <c r="H621" s="78"/>
      <c r="I621" s="17"/>
      <c r="J621" s="17"/>
      <c r="K621" s="17"/>
      <c r="L621" s="4"/>
      <c r="M621" s="4"/>
      <c r="N621" s="4"/>
      <c r="O621" s="4"/>
      <c r="P621" s="4"/>
      <c r="Q621" s="4"/>
      <c r="R621" s="4"/>
      <c r="S621" s="4"/>
      <c r="T621" s="4"/>
      <c r="U621" s="4"/>
      <c r="V621" s="4"/>
      <c r="W621" s="4"/>
      <c r="X621" s="4"/>
      <c r="Y621" s="4"/>
      <c r="Z621" s="4"/>
    </row>
    <row r="622">
      <c r="A622" s="77"/>
      <c r="B622" s="17"/>
      <c r="C622" s="17"/>
      <c r="D622" s="17"/>
      <c r="E622" s="17"/>
      <c r="F622" s="17"/>
      <c r="G622" s="78"/>
      <c r="H622" s="78"/>
      <c r="I622" s="17"/>
      <c r="J622" s="17"/>
      <c r="K622" s="17"/>
      <c r="L622" s="4"/>
      <c r="M622" s="4"/>
      <c r="N622" s="4"/>
      <c r="O622" s="4"/>
      <c r="P622" s="4"/>
      <c r="Q622" s="4"/>
      <c r="R622" s="4"/>
      <c r="S622" s="4"/>
      <c r="T622" s="4"/>
      <c r="U622" s="4"/>
      <c r="V622" s="4"/>
      <c r="W622" s="4"/>
      <c r="X622" s="4"/>
      <c r="Y622" s="4"/>
      <c r="Z622" s="4"/>
    </row>
    <row r="623">
      <c r="A623" s="77"/>
      <c r="B623" s="17"/>
      <c r="C623" s="17"/>
      <c r="D623" s="17"/>
      <c r="E623" s="17"/>
      <c r="F623" s="17"/>
      <c r="G623" s="78"/>
      <c r="H623" s="78"/>
      <c r="I623" s="17"/>
      <c r="J623" s="17"/>
      <c r="K623" s="17"/>
      <c r="L623" s="4"/>
      <c r="M623" s="4"/>
      <c r="N623" s="4"/>
      <c r="O623" s="4"/>
      <c r="P623" s="4"/>
      <c r="Q623" s="4"/>
      <c r="R623" s="4"/>
      <c r="S623" s="4"/>
      <c r="T623" s="4"/>
      <c r="U623" s="4"/>
      <c r="V623" s="4"/>
      <c r="W623" s="4"/>
      <c r="X623" s="4"/>
      <c r="Y623" s="4"/>
      <c r="Z623" s="4"/>
    </row>
    <row r="624">
      <c r="A624" s="77"/>
      <c r="B624" s="17"/>
      <c r="C624" s="17"/>
      <c r="D624" s="17"/>
      <c r="E624" s="17"/>
      <c r="F624" s="17"/>
      <c r="G624" s="78"/>
      <c r="H624" s="78"/>
      <c r="I624" s="17"/>
      <c r="J624" s="17"/>
      <c r="K624" s="17"/>
      <c r="L624" s="4"/>
      <c r="M624" s="4"/>
      <c r="N624" s="4"/>
      <c r="O624" s="4"/>
      <c r="P624" s="4"/>
      <c r="Q624" s="4"/>
      <c r="R624" s="4"/>
      <c r="S624" s="4"/>
      <c r="T624" s="4"/>
      <c r="U624" s="4"/>
      <c r="V624" s="4"/>
      <c r="W624" s="4"/>
      <c r="X624" s="4"/>
      <c r="Y624" s="4"/>
      <c r="Z624" s="4"/>
    </row>
    <row r="625">
      <c r="A625" s="77"/>
      <c r="B625" s="17"/>
      <c r="C625" s="17"/>
      <c r="D625" s="17"/>
      <c r="E625" s="17"/>
      <c r="F625" s="17"/>
      <c r="G625" s="78"/>
      <c r="H625" s="78"/>
      <c r="I625" s="17"/>
      <c r="J625" s="17"/>
      <c r="K625" s="17"/>
      <c r="L625" s="4"/>
      <c r="M625" s="4"/>
      <c r="N625" s="4"/>
      <c r="O625" s="4"/>
      <c r="P625" s="4"/>
      <c r="Q625" s="4"/>
      <c r="R625" s="4"/>
      <c r="S625" s="4"/>
      <c r="T625" s="4"/>
      <c r="U625" s="4"/>
      <c r="V625" s="4"/>
      <c r="W625" s="4"/>
      <c r="X625" s="4"/>
      <c r="Y625" s="4"/>
      <c r="Z625" s="4"/>
    </row>
    <row r="626">
      <c r="A626" s="77"/>
      <c r="B626" s="17"/>
      <c r="C626" s="17"/>
      <c r="D626" s="17"/>
      <c r="E626" s="17"/>
      <c r="F626" s="17"/>
      <c r="G626" s="78"/>
      <c r="H626" s="78"/>
      <c r="I626" s="17"/>
      <c r="J626" s="17"/>
      <c r="K626" s="17"/>
      <c r="L626" s="4"/>
      <c r="M626" s="4"/>
      <c r="N626" s="4"/>
      <c r="O626" s="4"/>
      <c r="P626" s="4"/>
      <c r="Q626" s="4"/>
      <c r="R626" s="4"/>
      <c r="S626" s="4"/>
      <c r="T626" s="4"/>
      <c r="U626" s="4"/>
      <c r="V626" s="4"/>
      <c r="W626" s="4"/>
      <c r="X626" s="4"/>
      <c r="Y626" s="4"/>
      <c r="Z626" s="4"/>
    </row>
    <row r="627">
      <c r="A627" s="77"/>
      <c r="B627" s="17"/>
      <c r="C627" s="17"/>
      <c r="D627" s="17"/>
      <c r="E627" s="17"/>
      <c r="F627" s="17"/>
      <c r="G627" s="78"/>
      <c r="H627" s="78"/>
      <c r="I627" s="17"/>
      <c r="J627" s="17"/>
      <c r="K627" s="17"/>
      <c r="L627" s="4"/>
      <c r="M627" s="4"/>
      <c r="N627" s="4"/>
      <c r="O627" s="4"/>
      <c r="P627" s="4"/>
      <c r="Q627" s="4"/>
      <c r="R627" s="4"/>
      <c r="S627" s="4"/>
      <c r="T627" s="4"/>
      <c r="U627" s="4"/>
      <c r="V627" s="4"/>
      <c r="W627" s="4"/>
      <c r="X627" s="4"/>
      <c r="Y627" s="4"/>
      <c r="Z627" s="4"/>
    </row>
    <row r="628">
      <c r="A628" s="77"/>
      <c r="B628" s="17"/>
      <c r="C628" s="17"/>
      <c r="D628" s="17"/>
      <c r="E628" s="17"/>
      <c r="F628" s="17"/>
      <c r="G628" s="78"/>
      <c r="H628" s="78"/>
      <c r="I628" s="17"/>
      <c r="J628" s="17"/>
      <c r="K628" s="17"/>
      <c r="L628" s="4"/>
      <c r="M628" s="4"/>
      <c r="N628" s="4"/>
      <c r="O628" s="4"/>
      <c r="P628" s="4"/>
      <c r="Q628" s="4"/>
      <c r="R628" s="4"/>
      <c r="S628" s="4"/>
      <c r="T628" s="4"/>
      <c r="U628" s="4"/>
      <c r="V628" s="4"/>
      <c r="W628" s="4"/>
      <c r="X628" s="4"/>
      <c r="Y628" s="4"/>
      <c r="Z628" s="4"/>
    </row>
    <row r="629">
      <c r="A629" s="77"/>
      <c r="B629" s="17"/>
      <c r="C629" s="17"/>
      <c r="D629" s="17"/>
      <c r="E629" s="17"/>
      <c r="F629" s="17"/>
      <c r="G629" s="78"/>
      <c r="H629" s="78"/>
      <c r="I629" s="17"/>
      <c r="J629" s="17"/>
      <c r="K629" s="17"/>
      <c r="L629" s="4"/>
      <c r="M629" s="4"/>
      <c r="N629" s="4"/>
      <c r="O629" s="4"/>
      <c r="P629" s="4"/>
      <c r="Q629" s="4"/>
      <c r="R629" s="4"/>
      <c r="S629" s="4"/>
      <c r="T629" s="4"/>
      <c r="U629" s="4"/>
      <c r="V629" s="4"/>
      <c r="W629" s="4"/>
      <c r="X629" s="4"/>
      <c r="Y629" s="4"/>
      <c r="Z629" s="4"/>
    </row>
    <row r="630">
      <c r="A630" s="77"/>
      <c r="B630" s="17"/>
      <c r="C630" s="17"/>
      <c r="D630" s="17"/>
      <c r="E630" s="17"/>
      <c r="F630" s="17"/>
      <c r="G630" s="78"/>
      <c r="H630" s="78"/>
      <c r="I630" s="17"/>
      <c r="J630" s="17"/>
      <c r="K630" s="17"/>
      <c r="L630" s="4"/>
      <c r="M630" s="4"/>
      <c r="N630" s="4"/>
      <c r="O630" s="4"/>
      <c r="P630" s="4"/>
      <c r="Q630" s="4"/>
      <c r="R630" s="4"/>
      <c r="S630" s="4"/>
      <c r="T630" s="4"/>
      <c r="U630" s="4"/>
      <c r="V630" s="4"/>
      <c r="W630" s="4"/>
      <c r="X630" s="4"/>
      <c r="Y630" s="4"/>
      <c r="Z630" s="4"/>
    </row>
    <row r="631">
      <c r="A631" s="77"/>
      <c r="B631" s="17"/>
      <c r="C631" s="17"/>
      <c r="D631" s="17"/>
      <c r="E631" s="17"/>
      <c r="F631" s="17"/>
      <c r="G631" s="78"/>
      <c r="H631" s="78"/>
      <c r="I631" s="17"/>
      <c r="J631" s="17"/>
      <c r="K631" s="17"/>
      <c r="L631" s="4"/>
      <c r="M631" s="4"/>
      <c r="N631" s="4"/>
      <c r="O631" s="4"/>
      <c r="P631" s="4"/>
      <c r="Q631" s="4"/>
      <c r="R631" s="4"/>
      <c r="S631" s="4"/>
      <c r="T631" s="4"/>
      <c r="U631" s="4"/>
      <c r="V631" s="4"/>
      <c r="W631" s="4"/>
      <c r="X631" s="4"/>
      <c r="Y631" s="4"/>
      <c r="Z631" s="4"/>
    </row>
    <row r="632">
      <c r="A632" s="77"/>
      <c r="B632" s="17"/>
      <c r="C632" s="17"/>
      <c r="D632" s="17"/>
      <c r="E632" s="17"/>
      <c r="F632" s="17"/>
      <c r="G632" s="78"/>
      <c r="H632" s="78"/>
      <c r="I632" s="17"/>
      <c r="J632" s="17"/>
      <c r="K632" s="17"/>
      <c r="L632" s="4"/>
      <c r="M632" s="4"/>
      <c r="N632" s="4"/>
      <c r="O632" s="4"/>
      <c r="P632" s="4"/>
      <c r="Q632" s="4"/>
      <c r="R632" s="4"/>
      <c r="S632" s="4"/>
      <c r="T632" s="4"/>
      <c r="U632" s="4"/>
      <c r="V632" s="4"/>
      <c r="W632" s="4"/>
      <c r="X632" s="4"/>
      <c r="Y632" s="4"/>
      <c r="Z632" s="4"/>
    </row>
    <row r="633">
      <c r="A633" s="77"/>
      <c r="B633" s="17"/>
      <c r="C633" s="17"/>
      <c r="D633" s="17"/>
      <c r="E633" s="17"/>
      <c r="F633" s="17"/>
      <c r="G633" s="78"/>
      <c r="H633" s="78"/>
      <c r="I633" s="17"/>
      <c r="J633" s="17"/>
      <c r="K633" s="17"/>
      <c r="L633" s="4"/>
      <c r="M633" s="4"/>
      <c r="N633" s="4"/>
      <c r="O633" s="4"/>
      <c r="P633" s="4"/>
      <c r="Q633" s="4"/>
      <c r="R633" s="4"/>
      <c r="S633" s="4"/>
      <c r="T633" s="4"/>
      <c r="U633" s="4"/>
      <c r="V633" s="4"/>
      <c r="W633" s="4"/>
      <c r="X633" s="4"/>
      <c r="Y633" s="4"/>
      <c r="Z633" s="4"/>
    </row>
    <row r="634">
      <c r="A634" s="77"/>
      <c r="B634" s="17"/>
      <c r="C634" s="17"/>
      <c r="D634" s="17"/>
      <c r="E634" s="17"/>
      <c r="F634" s="17"/>
      <c r="G634" s="78"/>
      <c r="H634" s="78"/>
      <c r="I634" s="17"/>
      <c r="J634" s="17"/>
      <c r="K634" s="17"/>
      <c r="L634" s="4"/>
      <c r="M634" s="4"/>
      <c r="N634" s="4"/>
      <c r="O634" s="4"/>
      <c r="P634" s="4"/>
      <c r="Q634" s="4"/>
      <c r="R634" s="4"/>
      <c r="S634" s="4"/>
      <c r="T634" s="4"/>
      <c r="U634" s="4"/>
      <c r="V634" s="4"/>
      <c r="W634" s="4"/>
      <c r="X634" s="4"/>
      <c r="Y634" s="4"/>
      <c r="Z634" s="4"/>
    </row>
    <row r="635">
      <c r="A635" s="77"/>
      <c r="B635" s="17"/>
      <c r="C635" s="17"/>
      <c r="D635" s="17"/>
      <c r="E635" s="17"/>
      <c r="F635" s="17"/>
      <c r="G635" s="78"/>
      <c r="H635" s="78"/>
      <c r="I635" s="17"/>
      <c r="J635" s="17"/>
      <c r="K635" s="17"/>
      <c r="L635" s="4"/>
      <c r="M635" s="4"/>
      <c r="N635" s="4"/>
      <c r="O635" s="4"/>
      <c r="P635" s="4"/>
      <c r="Q635" s="4"/>
      <c r="R635" s="4"/>
      <c r="S635" s="4"/>
      <c r="T635" s="4"/>
      <c r="U635" s="4"/>
      <c r="V635" s="4"/>
      <c r="W635" s="4"/>
      <c r="X635" s="4"/>
      <c r="Y635" s="4"/>
      <c r="Z635" s="4"/>
    </row>
    <row r="636">
      <c r="A636" s="77"/>
      <c r="B636" s="17"/>
      <c r="C636" s="17"/>
      <c r="D636" s="17"/>
      <c r="E636" s="17"/>
      <c r="F636" s="17"/>
      <c r="G636" s="78"/>
      <c r="H636" s="78"/>
      <c r="I636" s="17"/>
      <c r="J636" s="17"/>
      <c r="K636" s="17"/>
      <c r="L636" s="4"/>
      <c r="M636" s="4"/>
      <c r="N636" s="4"/>
      <c r="O636" s="4"/>
      <c r="P636" s="4"/>
      <c r="Q636" s="4"/>
      <c r="R636" s="4"/>
      <c r="S636" s="4"/>
      <c r="T636" s="4"/>
      <c r="U636" s="4"/>
      <c r="V636" s="4"/>
      <c r="W636" s="4"/>
      <c r="X636" s="4"/>
      <c r="Y636" s="4"/>
      <c r="Z636" s="4"/>
    </row>
    <row r="637">
      <c r="A637" s="77"/>
      <c r="B637" s="17"/>
      <c r="C637" s="17"/>
      <c r="D637" s="17"/>
      <c r="E637" s="17"/>
      <c r="F637" s="17"/>
      <c r="G637" s="78"/>
      <c r="H637" s="78"/>
      <c r="I637" s="17"/>
      <c r="J637" s="17"/>
      <c r="K637" s="17"/>
      <c r="L637" s="4"/>
      <c r="M637" s="4"/>
      <c r="N637" s="4"/>
      <c r="O637" s="4"/>
      <c r="P637" s="4"/>
      <c r="Q637" s="4"/>
      <c r="R637" s="4"/>
      <c r="S637" s="4"/>
      <c r="T637" s="4"/>
      <c r="U637" s="4"/>
      <c r="V637" s="4"/>
      <c r="W637" s="4"/>
      <c r="X637" s="4"/>
      <c r="Y637" s="4"/>
      <c r="Z637" s="4"/>
    </row>
    <row r="638">
      <c r="A638" s="77"/>
      <c r="B638" s="17"/>
      <c r="C638" s="17"/>
      <c r="D638" s="17"/>
      <c r="E638" s="17"/>
      <c r="F638" s="17"/>
      <c r="G638" s="78"/>
      <c r="H638" s="78"/>
      <c r="I638" s="17"/>
      <c r="J638" s="17"/>
      <c r="K638" s="17"/>
      <c r="L638" s="4"/>
      <c r="M638" s="4"/>
      <c r="N638" s="4"/>
      <c r="O638" s="4"/>
      <c r="P638" s="4"/>
      <c r="Q638" s="4"/>
      <c r="R638" s="4"/>
      <c r="S638" s="4"/>
      <c r="T638" s="4"/>
      <c r="U638" s="4"/>
      <c r="V638" s="4"/>
      <c r="W638" s="4"/>
      <c r="X638" s="4"/>
      <c r="Y638" s="4"/>
      <c r="Z638" s="4"/>
    </row>
    <row r="639">
      <c r="A639" s="77"/>
      <c r="B639" s="17"/>
      <c r="C639" s="17"/>
      <c r="D639" s="17"/>
      <c r="E639" s="17"/>
      <c r="F639" s="17"/>
      <c r="G639" s="78"/>
      <c r="H639" s="78"/>
      <c r="I639" s="17"/>
      <c r="J639" s="17"/>
      <c r="K639" s="17"/>
      <c r="L639" s="4"/>
      <c r="M639" s="4"/>
      <c r="N639" s="4"/>
      <c r="O639" s="4"/>
      <c r="P639" s="4"/>
      <c r="Q639" s="4"/>
      <c r="R639" s="4"/>
      <c r="S639" s="4"/>
      <c r="T639" s="4"/>
      <c r="U639" s="4"/>
      <c r="V639" s="4"/>
      <c r="W639" s="4"/>
      <c r="X639" s="4"/>
      <c r="Y639" s="4"/>
      <c r="Z639" s="4"/>
    </row>
    <row r="640">
      <c r="A640" s="77"/>
      <c r="B640" s="17"/>
      <c r="C640" s="17"/>
      <c r="D640" s="17"/>
      <c r="E640" s="17"/>
      <c r="F640" s="17"/>
      <c r="G640" s="78"/>
      <c r="H640" s="78"/>
      <c r="I640" s="17"/>
      <c r="J640" s="17"/>
      <c r="K640" s="17"/>
      <c r="L640" s="4"/>
      <c r="M640" s="4"/>
      <c r="N640" s="4"/>
      <c r="O640" s="4"/>
      <c r="P640" s="4"/>
      <c r="Q640" s="4"/>
      <c r="R640" s="4"/>
      <c r="S640" s="4"/>
      <c r="T640" s="4"/>
      <c r="U640" s="4"/>
      <c r="V640" s="4"/>
      <c r="W640" s="4"/>
      <c r="X640" s="4"/>
      <c r="Y640" s="4"/>
      <c r="Z640" s="4"/>
    </row>
    <row r="641">
      <c r="A641" s="77"/>
      <c r="B641" s="17"/>
      <c r="C641" s="17"/>
      <c r="D641" s="17"/>
      <c r="E641" s="17"/>
      <c r="F641" s="17"/>
      <c r="G641" s="78"/>
      <c r="H641" s="78"/>
      <c r="I641" s="17"/>
      <c r="J641" s="17"/>
      <c r="K641" s="17"/>
      <c r="L641" s="4"/>
      <c r="M641" s="4"/>
      <c r="N641" s="4"/>
      <c r="O641" s="4"/>
      <c r="P641" s="4"/>
      <c r="Q641" s="4"/>
      <c r="R641" s="4"/>
      <c r="S641" s="4"/>
      <c r="T641" s="4"/>
      <c r="U641" s="4"/>
      <c r="V641" s="4"/>
      <c r="W641" s="4"/>
      <c r="X641" s="4"/>
      <c r="Y641" s="4"/>
      <c r="Z641" s="4"/>
    </row>
    <row r="642">
      <c r="A642" s="77"/>
      <c r="B642" s="17"/>
      <c r="C642" s="17"/>
      <c r="D642" s="17"/>
      <c r="E642" s="17"/>
      <c r="F642" s="17"/>
      <c r="G642" s="78"/>
      <c r="H642" s="78"/>
      <c r="I642" s="17"/>
      <c r="J642" s="17"/>
      <c r="K642" s="17"/>
      <c r="L642" s="4"/>
      <c r="M642" s="4"/>
      <c r="N642" s="4"/>
      <c r="O642" s="4"/>
      <c r="P642" s="4"/>
      <c r="Q642" s="4"/>
      <c r="R642" s="4"/>
      <c r="S642" s="4"/>
      <c r="T642" s="4"/>
      <c r="U642" s="4"/>
      <c r="V642" s="4"/>
      <c r="W642" s="4"/>
      <c r="X642" s="4"/>
      <c r="Y642" s="4"/>
      <c r="Z642" s="4"/>
    </row>
    <row r="643">
      <c r="A643" s="77"/>
      <c r="B643" s="17"/>
      <c r="C643" s="17"/>
      <c r="D643" s="17"/>
      <c r="E643" s="17"/>
      <c r="F643" s="17"/>
      <c r="G643" s="78"/>
      <c r="H643" s="78"/>
      <c r="I643" s="17"/>
      <c r="J643" s="17"/>
      <c r="K643" s="17"/>
      <c r="L643" s="4"/>
      <c r="M643" s="4"/>
      <c r="N643" s="4"/>
      <c r="O643" s="4"/>
      <c r="P643" s="4"/>
      <c r="Q643" s="4"/>
      <c r="R643" s="4"/>
      <c r="S643" s="4"/>
      <c r="T643" s="4"/>
      <c r="U643" s="4"/>
      <c r="V643" s="4"/>
      <c r="W643" s="4"/>
      <c r="X643" s="4"/>
      <c r="Y643" s="4"/>
      <c r="Z643" s="4"/>
    </row>
    <row r="644">
      <c r="A644" s="77"/>
      <c r="B644" s="17"/>
      <c r="C644" s="17"/>
      <c r="D644" s="17"/>
      <c r="E644" s="17"/>
      <c r="F644" s="17"/>
      <c r="G644" s="78"/>
      <c r="H644" s="78"/>
      <c r="I644" s="17"/>
      <c r="J644" s="17"/>
      <c r="K644" s="17"/>
      <c r="L644" s="4"/>
      <c r="M644" s="4"/>
      <c r="N644" s="4"/>
      <c r="O644" s="4"/>
      <c r="P644" s="4"/>
      <c r="Q644" s="4"/>
      <c r="R644" s="4"/>
      <c r="S644" s="4"/>
      <c r="T644" s="4"/>
      <c r="U644" s="4"/>
      <c r="V644" s="4"/>
      <c r="W644" s="4"/>
      <c r="X644" s="4"/>
      <c r="Y644" s="4"/>
      <c r="Z644" s="4"/>
    </row>
    <row r="645">
      <c r="A645" s="77"/>
      <c r="B645" s="17"/>
      <c r="C645" s="17"/>
      <c r="D645" s="17"/>
      <c r="E645" s="17"/>
      <c r="F645" s="17"/>
      <c r="G645" s="78"/>
      <c r="H645" s="78"/>
      <c r="I645" s="17"/>
      <c r="J645" s="17"/>
      <c r="K645" s="17"/>
      <c r="L645" s="4"/>
      <c r="M645" s="4"/>
      <c r="N645" s="4"/>
      <c r="O645" s="4"/>
      <c r="P645" s="4"/>
      <c r="Q645" s="4"/>
      <c r="R645" s="4"/>
      <c r="S645" s="4"/>
      <c r="T645" s="4"/>
      <c r="U645" s="4"/>
      <c r="V645" s="4"/>
      <c r="W645" s="4"/>
      <c r="X645" s="4"/>
      <c r="Y645" s="4"/>
      <c r="Z645" s="4"/>
    </row>
    <row r="646">
      <c r="A646" s="77"/>
      <c r="B646" s="17"/>
      <c r="C646" s="17"/>
      <c r="D646" s="17"/>
      <c r="E646" s="17"/>
      <c r="F646" s="17"/>
      <c r="G646" s="78"/>
      <c r="H646" s="78"/>
      <c r="I646" s="17"/>
      <c r="J646" s="17"/>
      <c r="K646" s="17"/>
      <c r="L646" s="4"/>
      <c r="M646" s="4"/>
      <c r="N646" s="4"/>
      <c r="O646" s="4"/>
      <c r="P646" s="4"/>
      <c r="Q646" s="4"/>
      <c r="R646" s="4"/>
      <c r="S646" s="4"/>
      <c r="T646" s="4"/>
      <c r="U646" s="4"/>
      <c r="V646" s="4"/>
      <c r="W646" s="4"/>
      <c r="X646" s="4"/>
      <c r="Y646" s="4"/>
      <c r="Z646" s="4"/>
    </row>
    <row r="647">
      <c r="A647" s="77"/>
      <c r="B647" s="17"/>
      <c r="C647" s="17"/>
      <c r="D647" s="17"/>
      <c r="E647" s="17"/>
      <c r="F647" s="17"/>
      <c r="G647" s="78"/>
      <c r="H647" s="78"/>
      <c r="I647" s="17"/>
      <c r="J647" s="17"/>
      <c r="K647" s="17"/>
      <c r="L647" s="4"/>
      <c r="M647" s="4"/>
      <c r="N647" s="4"/>
      <c r="O647" s="4"/>
      <c r="P647" s="4"/>
      <c r="Q647" s="4"/>
      <c r="R647" s="4"/>
      <c r="S647" s="4"/>
      <c r="T647" s="4"/>
      <c r="U647" s="4"/>
      <c r="V647" s="4"/>
      <c r="W647" s="4"/>
      <c r="X647" s="4"/>
      <c r="Y647" s="4"/>
      <c r="Z647" s="4"/>
    </row>
    <row r="648">
      <c r="A648" s="77"/>
      <c r="B648" s="17"/>
      <c r="C648" s="17"/>
      <c r="D648" s="17"/>
      <c r="E648" s="17"/>
      <c r="F648" s="17"/>
      <c r="G648" s="78"/>
      <c r="H648" s="78"/>
      <c r="I648" s="17"/>
      <c r="J648" s="17"/>
      <c r="K648" s="17"/>
      <c r="L648" s="4"/>
      <c r="M648" s="4"/>
      <c r="N648" s="4"/>
      <c r="O648" s="4"/>
      <c r="P648" s="4"/>
      <c r="Q648" s="4"/>
      <c r="R648" s="4"/>
      <c r="S648" s="4"/>
      <c r="T648" s="4"/>
      <c r="U648" s="4"/>
      <c r="V648" s="4"/>
      <c r="W648" s="4"/>
      <c r="X648" s="4"/>
      <c r="Y648" s="4"/>
      <c r="Z648" s="4"/>
    </row>
    <row r="649">
      <c r="A649" s="77"/>
      <c r="B649" s="17"/>
      <c r="C649" s="17"/>
      <c r="D649" s="17"/>
      <c r="E649" s="17"/>
      <c r="F649" s="17"/>
      <c r="G649" s="78"/>
      <c r="H649" s="78"/>
      <c r="I649" s="17"/>
      <c r="J649" s="17"/>
      <c r="K649" s="17"/>
      <c r="L649" s="4"/>
      <c r="M649" s="4"/>
      <c r="N649" s="4"/>
      <c r="O649" s="4"/>
      <c r="P649" s="4"/>
      <c r="Q649" s="4"/>
      <c r="R649" s="4"/>
      <c r="S649" s="4"/>
      <c r="T649" s="4"/>
      <c r="U649" s="4"/>
      <c r="V649" s="4"/>
      <c r="W649" s="4"/>
      <c r="X649" s="4"/>
      <c r="Y649" s="4"/>
      <c r="Z649" s="4"/>
    </row>
    <row r="650">
      <c r="A650" s="77"/>
      <c r="B650" s="17"/>
      <c r="C650" s="17"/>
      <c r="D650" s="17"/>
      <c r="E650" s="17"/>
      <c r="F650" s="17"/>
      <c r="G650" s="78"/>
      <c r="H650" s="78"/>
      <c r="I650" s="17"/>
      <c r="J650" s="17"/>
      <c r="K650" s="17"/>
      <c r="L650" s="4"/>
      <c r="M650" s="4"/>
      <c r="N650" s="4"/>
      <c r="O650" s="4"/>
      <c r="P650" s="4"/>
      <c r="Q650" s="4"/>
      <c r="R650" s="4"/>
      <c r="S650" s="4"/>
      <c r="T650" s="4"/>
      <c r="U650" s="4"/>
      <c r="V650" s="4"/>
      <c r="W650" s="4"/>
      <c r="X650" s="4"/>
      <c r="Y650" s="4"/>
      <c r="Z650" s="4"/>
    </row>
    <row r="651">
      <c r="A651" s="77"/>
      <c r="B651" s="17"/>
      <c r="C651" s="17"/>
      <c r="D651" s="17"/>
      <c r="E651" s="17"/>
      <c r="F651" s="17"/>
      <c r="G651" s="78"/>
      <c r="H651" s="78"/>
      <c r="I651" s="17"/>
      <c r="J651" s="17"/>
      <c r="K651" s="17"/>
      <c r="L651" s="4"/>
      <c r="M651" s="4"/>
      <c r="N651" s="4"/>
      <c r="O651" s="4"/>
      <c r="P651" s="4"/>
      <c r="Q651" s="4"/>
      <c r="R651" s="4"/>
      <c r="S651" s="4"/>
      <c r="T651" s="4"/>
      <c r="U651" s="4"/>
      <c r="V651" s="4"/>
      <c r="W651" s="4"/>
      <c r="X651" s="4"/>
      <c r="Y651" s="4"/>
      <c r="Z651" s="4"/>
    </row>
    <row r="652">
      <c r="A652" s="77"/>
      <c r="B652" s="17"/>
      <c r="C652" s="17"/>
      <c r="D652" s="17"/>
      <c r="E652" s="17"/>
      <c r="F652" s="17"/>
      <c r="G652" s="78"/>
      <c r="H652" s="78"/>
      <c r="I652" s="17"/>
      <c r="J652" s="17"/>
      <c r="K652" s="17"/>
      <c r="L652" s="4"/>
      <c r="M652" s="4"/>
      <c r="N652" s="4"/>
      <c r="O652" s="4"/>
      <c r="P652" s="4"/>
      <c r="Q652" s="4"/>
      <c r="R652" s="4"/>
      <c r="S652" s="4"/>
      <c r="T652" s="4"/>
      <c r="U652" s="4"/>
      <c r="V652" s="4"/>
      <c r="W652" s="4"/>
      <c r="X652" s="4"/>
      <c r="Y652" s="4"/>
      <c r="Z652" s="4"/>
    </row>
    <row r="653">
      <c r="A653" s="77"/>
      <c r="B653" s="17"/>
      <c r="C653" s="17"/>
      <c r="D653" s="17"/>
      <c r="E653" s="17"/>
      <c r="F653" s="17"/>
      <c r="G653" s="78"/>
      <c r="H653" s="78"/>
      <c r="I653" s="17"/>
      <c r="J653" s="17"/>
      <c r="K653" s="17"/>
      <c r="L653" s="4"/>
      <c r="M653" s="4"/>
      <c r="N653" s="4"/>
      <c r="O653" s="4"/>
      <c r="P653" s="4"/>
      <c r="Q653" s="4"/>
      <c r="R653" s="4"/>
      <c r="S653" s="4"/>
      <c r="T653" s="4"/>
      <c r="U653" s="4"/>
      <c r="V653" s="4"/>
      <c r="W653" s="4"/>
      <c r="X653" s="4"/>
      <c r="Y653" s="4"/>
      <c r="Z653" s="4"/>
    </row>
    <row r="654">
      <c r="A654" s="77"/>
      <c r="B654" s="17"/>
      <c r="C654" s="17"/>
      <c r="D654" s="17"/>
      <c r="E654" s="17"/>
      <c r="F654" s="17"/>
      <c r="G654" s="78"/>
      <c r="H654" s="78"/>
      <c r="I654" s="17"/>
      <c r="J654" s="17"/>
      <c r="K654" s="17"/>
      <c r="L654" s="4"/>
      <c r="M654" s="4"/>
      <c r="N654" s="4"/>
      <c r="O654" s="4"/>
      <c r="P654" s="4"/>
      <c r="Q654" s="4"/>
      <c r="R654" s="4"/>
      <c r="S654" s="4"/>
      <c r="T654" s="4"/>
      <c r="U654" s="4"/>
      <c r="V654" s="4"/>
      <c r="W654" s="4"/>
      <c r="X654" s="4"/>
      <c r="Y654" s="4"/>
      <c r="Z654" s="4"/>
    </row>
    <row r="655">
      <c r="A655" s="77"/>
      <c r="B655" s="17"/>
      <c r="C655" s="17"/>
      <c r="D655" s="17"/>
      <c r="E655" s="17"/>
      <c r="F655" s="17"/>
      <c r="G655" s="78"/>
      <c r="H655" s="78"/>
      <c r="I655" s="17"/>
      <c r="J655" s="17"/>
      <c r="K655" s="17"/>
      <c r="L655" s="4"/>
      <c r="M655" s="4"/>
      <c r="N655" s="4"/>
      <c r="O655" s="4"/>
      <c r="P655" s="4"/>
      <c r="Q655" s="4"/>
      <c r="R655" s="4"/>
      <c r="S655" s="4"/>
      <c r="T655" s="4"/>
      <c r="U655" s="4"/>
      <c r="V655" s="4"/>
      <c r="W655" s="4"/>
      <c r="X655" s="4"/>
      <c r="Y655" s="4"/>
      <c r="Z655" s="4"/>
    </row>
    <row r="656">
      <c r="A656" s="77"/>
      <c r="B656" s="17"/>
      <c r="C656" s="17"/>
      <c r="D656" s="17"/>
      <c r="E656" s="17"/>
      <c r="F656" s="17"/>
      <c r="G656" s="78"/>
      <c r="H656" s="78"/>
      <c r="I656" s="17"/>
      <c r="J656" s="17"/>
      <c r="K656" s="17"/>
      <c r="L656" s="4"/>
      <c r="M656" s="4"/>
      <c r="N656" s="4"/>
      <c r="O656" s="4"/>
      <c r="P656" s="4"/>
      <c r="Q656" s="4"/>
      <c r="R656" s="4"/>
      <c r="S656" s="4"/>
      <c r="T656" s="4"/>
      <c r="U656" s="4"/>
      <c r="V656" s="4"/>
      <c r="W656" s="4"/>
      <c r="X656" s="4"/>
      <c r="Y656" s="4"/>
      <c r="Z656" s="4"/>
    </row>
    <row r="657">
      <c r="A657" s="77"/>
      <c r="B657" s="17"/>
      <c r="C657" s="17"/>
      <c r="D657" s="17"/>
      <c r="E657" s="17"/>
      <c r="F657" s="17"/>
      <c r="G657" s="78"/>
      <c r="H657" s="78"/>
      <c r="I657" s="17"/>
      <c r="J657" s="17"/>
      <c r="K657" s="17"/>
      <c r="L657" s="4"/>
      <c r="M657" s="4"/>
      <c r="N657" s="4"/>
      <c r="O657" s="4"/>
      <c r="P657" s="4"/>
      <c r="Q657" s="4"/>
      <c r="R657" s="4"/>
      <c r="S657" s="4"/>
      <c r="T657" s="4"/>
      <c r="U657" s="4"/>
      <c r="V657" s="4"/>
      <c r="W657" s="4"/>
      <c r="X657" s="4"/>
      <c r="Y657" s="4"/>
      <c r="Z657" s="4"/>
    </row>
    <row r="658">
      <c r="A658" s="77"/>
      <c r="B658" s="17"/>
      <c r="C658" s="17"/>
      <c r="D658" s="17"/>
      <c r="E658" s="17"/>
      <c r="F658" s="17"/>
      <c r="G658" s="78"/>
      <c r="H658" s="78"/>
      <c r="I658" s="17"/>
      <c r="J658" s="17"/>
      <c r="K658" s="17"/>
      <c r="L658" s="4"/>
      <c r="M658" s="4"/>
      <c r="N658" s="4"/>
      <c r="O658" s="4"/>
      <c r="P658" s="4"/>
      <c r="Q658" s="4"/>
      <c r="R658" s="4"/>
      <c r="S658" s="4"/>
      <c r="T658" s="4"/>
      <c r="U658" s="4"/>
      <c r="V658" s="4"/>
      <c r="W658" s="4"/>
      <c r="X658" s="4"/>
      <c r="Y658" s="4"/>
      <c r="Z658" s="4"/>
    </row>
    <row r="659">
      <c r="A659" s="77"/>
      <c r="B659" s="17"/>
      <c r="C659" s="17"/>
      <c r="D659" s="17"/>
      <c r="E659" s="17"/>
      <c r="F659" s="17"/>
      <c r="G659" s="78"/>
      <c r="H659" s="78"/>
      <c r="I659" s="17"/>
      <c r="J659" s="17"/>
      <c r="K659" s="17"/>
      <c r="L659" s="4"/>
      <c r="M659" s="4"/>
      <c r="N659" s="4"/>
      <c r="O659" s="4"/>
      <c r="P659" s="4"/>
      <c r="Q659" s="4"/>
      <c r="R659" s="4"/>
      <c r="S659" s="4"/>
      <c r="T659" s="4"/>
      <c r="U659" s="4"/>
      <c r="V659" s="4"/>
      <c r="W659" s="4"/>
      <c r="X659" s="4"/>
      <c r="Y659" s="4"/>
      <c r="Z659" s="4"/>
    </row>
    <row r="660">
      <c r="A660" s="77"/>
      <c r="B660" s="17"/>
      <c r="C660" s="17"/>
      <c r="D660" s="17"/>
      <c r="E660" s="17"/>
      <c r="F660" s="17"/>
      <c r="G660" s="78"/>
      <c r="H660" s="78"/>
      <c r="I660" s="17"/>
      <c r="J660" s="17"/>
      <c r="K660" s="17"/>
      <c r="L660" s="4"/>
      <c r="M660" s="4"/>
      <c r="N660" s="4"/>
      <c r="O660" s="4"/>
      <c r="P660" s="4"/>
      <c r="Q660" s="4"/>
      <c r="R660" s="4"/>
      <c r="S660" s="4"/>
      <c r="T660" s="4"/>
      <c r="U660" s="4"/>
      <c r="V660" s="4"/>
      <c r="W660" s="4"/>
      <c r="X660" s="4"/>
      <c r="Y660" s="4"/>
      <c r="Z660" s="4"/>
    </row>
    <row r="661">
      <c r="A661" s="77"/>
      <c r="B661" s="17"/>
      <c r="C661" s="17"/>
      <c r="D661" s="17"/>
      <c r="E661" s="17"/>
      <c r="F661" s="17"/>
      <c r="G661" s="78"/>
      <c r="H661" s="78"/>
      <c r="I661" s="17"/>
      <c r="J661" s="17"/>
      <c r="K661" s="17"/>
      <c r="L661" s="4"/>
      <c r="M661" s="4"/>
      <c r="N661" s="4"/>
      <c r="O661" s="4"/>
      <c r="P661" s="4"/>
      <c r="Q661" s="4"/>
      <c r="R661" s="4"/>
      <c r="S661" s="4"/>
      <c r="T661" s="4"/>
      <c r="U661" s="4"/>
      <c r="V661" s="4"/>
      <c r="W661" s="4"/>
      <c r="X661" s="4"/>
      <c r="Y661" s="4"/>
      <c r="Z661" s="4"/>
    </row>
    <row r="662">
      <c r="A662" s="77"/>
      <c r="B662" s="17"/>
      <c r="C662" s="17"/>
      <c r="D662" s="17"/>
      <c r="E662" s="17"/>
      <c r="F662" s="17"/>
      <c r="G662" s="78"/>
      <c r="H662" s="78"/>
      <c r="I662" s="17"/>
      <c r="J662" s="17"/>
      <c r="K662" s="17"/>
      <c r="L662" s="4"/>
      <c r="M662" s="4"/>
      <c r="N662" s="4"/>
      <c r="O662" s="4"/>
      <c r="P662" s="4"/>
      <c r="Q662" s="4"/>
      <c r="R662" s="4"/>
      <c r="S662" s="4"/>
      <c r="T662" s="4"/>
      <c r="U662" s="4"/>
      <c r="V662" s="4"/>
      <c r="W662" s="4"/>
      <c r="X662" s="4"/>
      <c r="Y662" s="4"/>
      <c r="Z662" s="4"/>
    </row>
    <row r="663">
      <c r="A663" s="77"/>
      <c r="B663" s="17"/>
      <c r="C663" s="17"/>
      <c r="D663" s="17"/>
      <c r="E663" s="17"/>
      <c r="F663" s="17"/>
      <c r="G663" s="78"/>
      <c r="H663" s="78"/>
      <c r="I663" s="17"/>
      <c r="J663" s="17"/>
      <c r="K663" s="17"/>
      <c r="L663" s="4"/>
      <c r="M663" s="4"/>
      <c r="N663" s="4"/>
      <c r="O663" s="4"/>
      <c r="P663" s="4"/>
      <c r="Q663" s="4"/>
      <c r="R663" s="4"/>
      <c r="S663" s="4"/>
      <c r="T663" s="4"/>
      <c r="U663" s="4"/>
      <c r="V663" s="4"/>
      <c r="W663" s="4"/>
      <c r="X663" s="4"/>
      <c r="Y663" s="4"/>
      <c r="Z663" s="4"/>
    </row>
    <row r="664">
      <c r="A664" s="77"/>
      <c r="B664" s="17"/>
      <c r="C664" s="17"/>
      <c r="D664" s="17"/>
      <c r="E664" s="17"/>
      <c r="F664" s="17"/>
      <c r="G664" s="78"/>
      <c r="H664" s="78"/>
      <c r="I664" s="17"/>
      <c r="J664" s="17"/>
      <c r="K664" s="17"/>
      <c r="L664" s="4"/>
      <c r="M664" s="4"/>
      <c r="N664" s="4"/>
      <c r="O664" s="4"/>
      <c r="P664" s="4"/>
      <c r="Q664" s="4"/>
      <c r="R664" s="4"/>
      <c r="S664" s="4"/>
      <c r="T664" s="4"/>
      <c r="U664" s="4"/>
      <c r="V664" s="4"/>
      <c r="W664" s="4"/>
      <c r="X664" s="4"/>
      <c r="Y664" s="4"/>
      <c r="Z664" s="4"/>
    </row>
    <row r="665">
      <c r="A665" s="77"/>
      <c r="B665" s="17"/>
      <c r="C665" s="17"/>
      <c r="D665" s="17"/>
      <c r="E665" s="17"/>
      <c r="F665" s="17"/>
      <c r="G665" s="78"/>
      <c r="H665" s="78"/>
      <c r="I665" s="17"/>
      <c r="J665" s="17"/>
      <c r="K665" s="17"/>
      <c r="L665" s="4"/>
      <c r="M665" s="4"/>
      <c r="N665" s="4"/>
      <c r="O665" s="4"/>
      <c r="P665" s="4"/>
      <c r="Q665" s="4"/>
      <c r="R665" s="4"/>
      <c r="S665" s="4"/>
      <c r="T665" s="4"/>
      <c r="U665" s="4"/>
      <c r="V665" s="4"/>
      <c r="W665" s="4"/>
      <c r="X665" s="4"/>
      <c r="Y665" s="4"/>
      <c r="Z665" s="4"/>
    </row>
    <row r="666">
      <c r="A666" s="77"/>
      <c r="B666" s="17"/>
      <c r="C666" s="17"/>
      <c r="D666" s="17"/>
      <c r="E666" s="17"/>
      <c r="F666" s="17"/>
      <c r="G666" s="78"/>
      <c r="H666" s="78"/>
      <c r="I666" s="17"/>
      <c r="J666" s="17"/>
      <c r="K666" s="17"/>
      <c r="L666" s="4"/>
      <c r="M666" s="4"/>
      <c r="N666" s="4"/>
      <c r="O666" s="4"/>
      <c r="P666" s="4"/>
      <c r="Q666" s="4"/>
      <c r="R666" s="4"/>
      <c r="S666" s="4"/>
      <c r="T666" s="4"/>
      <c r="U666" s="4"/>
      <c r="V666" s="4"/>
      <c r="W666" s="4"/>
      <c r="X666" s="4"/>
      <c r="Y666" s="4"/>
      <c r="Z666" s="4"/>
    </row>
    <row r="667">
      <c r="A667" s="77"/>
      <c r="B667" s="17"/>
      <c r="C667" s="17"/>
      <c r="D667" s="17"/>
      <c r="E667" s="17"/>
      <c r="F667" s="17"/>
      <c r="G667" s="78"/>
      <c r="H667" s="78"/>
      <c r="I667" s="17"/>
      <c r="J667" s="17"/>
      <c r="K667" s="17"/>
      <c r="L667" s="4"/>
      <c r="M667" s="4"/>
      <c r="N667" s="4"/>
      <c r="O667" s="4"/>
      <c r="P667" s="4"/>
      <c r="Q667" s="4"/>
      <c r="R667" s="4"/>
      <c r="S667" s="4"/>
      <c r="T667" s="4"/>
      <c r="U667" s="4"/>
      <c r="V667" s="4"/>
      <c r="W667" s="4"/>
      <c r="X667" s="4"/>
      <c r="Y667" s="4"/>
      <c r="Z667" s="4"/>
    </row>
    <row r="668">
      <c r="A668" s="77"/>
      <c r="B668" s="17"/>
      <c r="C668" s="17"/>
      <c r="D668" s="17"/>
      <c r="E668" s="17"/>
      <c r="F668" s="17"/>
      <c r="G668" s="78"/>
      <c r="H668" s="78"/>
      <c r="I668" s="17"/>
      <c r="J668" s="17"/>
      <c r="K668" s="17"/>
      <c r="L668" s="4"/>
      <c r="M668" s="4"/>
      <c r="N668" s="4"/>
      <c r="O668" s="4"/>
      <c r="P668" s="4"/>
      <c r="Q668" s="4"/>
      <c r="R668" s="4"/>
      <c r="S668" s="4"/>
      <c r="T668" s="4"/>
      <c r="U668" s="4"/>
      <c r="V668" s="4"/>
      <c r="W668" s="4"/>
      <c r="X668" s="4"/>
      <c r="Y668" s="4"/>
      <c r="Z668" s="4"/>
    </row>
    <row r="669">
      <c r="A669" s="77"/>
      <c r="B669" s="17"/>
      <c r="C669" s="17"/>
      <c r="D669" s="17"/>
      <c r="E669" s="17"/>
      <c r="F669" s="17"/>
      <c r="G669" s="78"/>
      <c r="H669" s="78"/>
      <c r="I669" s="17"/>
      <c r="J669" s="17"/>
      <c r="K669" s="17"/>
      <c r="L669" s="4"/>
      <c r="M669" s="4"/>
      <c r="N669" s="4"/>
      <c r="O669" s="4"/>
      <c r="P669" s="4"/>
      <c r="Q669" s="4"/>
      <c r="R669" s="4"/>
      <c r="S669" s="4"/>
      <c r="T669" s="4"/>
      <c r="U669" s="4"/>
      <c r="V669" s="4"/>
      <c r="W669" s="4"/>
      <c r="X669" s="4"/>
      <c r="Y669" s="4"/>
      <c r="Z669" s="4"/>
    </row>
    <row r="670">
      <c r="A670" s="77"/>
      <c r="B670" s="17"/>
      <c r="C670" s="17"/>
      <c r="D670" s="17"/>
      <c r="E670" s="17"/>
      <c r="F670" s="17"/>
      <c r="G670" s="78"/>
      <c r="H670" s="78"/>
      <c r="I670" s="17"/>
      <c r="J670" s="17"/>
      <c r="K670" s="17"/>
      <c r="L670" s="4"/>
      <c r="M670" s="4"/>
      <c r="N670" s="4"/>
      <c r="O670" s="4"/>
      <c r="P670" s="4"/>
      <c r="Q670" s="4"/>
      <c r="R670" s="4"/>
      <c r="S670" s="4"/>
      <c r="T670" s="4"/>
      <c r="U670" s="4"/>
      <c r="V670" s="4"/>
      <c r="W670" s="4"/>
      <c r="X670" s="4"/>
      <c r="Y670" s="4"/>
      <c r="Z670" s="4"/>
    </row>
    <row r="671">
      <c r="A671" s="77"/>
      <c r="B671" s="17"/>
      <c r="C671" s="17"/>
      <c r="D671" s="17"/>
      <c r="E671" s="17"/>
      <c r="F671" s="17"/>
      <c r="G671" s="78"/>
      <c r="H671" s="78"/>
      <c r="I671" s="17"/>
      <c r="J671" s="17"/>
      <c r="K671" s="17"/>
      <c r="L671" s="4"/>
      <c r="M671" s="4"/>
      <c r="N671" s="4"/>
      <c r="O671" s="4"/>
      <c r="P671" s="4"/>
      <c r="Q671" s="4"/>
      <c r="R671" s="4"/>
      <c r="S671" s="4"/>
      <c r="T671" s="4"/>
      <c r="U671" s="4"/>
      <c r="V671" s="4"/>
      <c r="W671" s="4"/>
      <c r="X671" s="4"/>
      <c r="Y671" s="4"/>
      <c r="Z671" s="4"/>
    </row>
    <row r="672">
      <c r="A672" s="77"/>
      <c r="B672" s="17"/>
      <c r="C672" s="17"/>
      <c r="D672" s="17"/>
      <c r="E672" s="17"/>
      <c r="F672" s="17"/>
      <c r="G672" s="78"/>
      <c r="H672" s="78"/>
      <c r="I672" s="17"/>
      <c r="J672" s="17"/>
      <c r="K672" s="17"/>
      <c r="L672" s="4"/>
      <c r="M672" s="4"/>
      <c r="N672" s="4"/>
      <c r="O672" s="4"/>
      <c r="P672" s="4"/>
      <c r="Q672" s="4"/>
      <c r="R672" s="4"/>
      <c r="S672" s="4"/>
      <c r="T672" s="4"/>
      <c r="U672" s="4"/>
      <c r="V672" s="4"/>
      <c r="W672" s="4"/>
      <c r="X672" s="4"/>
      <c r="Y672" s="4"/>
      <c r="Z672" s="4"/>
    </row>
    <row r="673">
      <c r="A673" s="77"/>
      <c r="B673" s="17"/>
      <c r="C673" s="17"/>
      <c r="D673" s="17"/>
      <c r="E673" s="17"/>
      <c r="F673" s="17"/>
      <c r="G673" s="78"/>
      <c r="H673" s="78"/>
      <c r="I673" s="17"/>
      <c r="J673" s="17"/>
      <c r="K673" s="17"/>
      <c r="L673" s="4"/>
      <c r="M673" s="4"/>
      <c r="N673" s="4"/>
      <c r="O673" s="4"/>
      <c r="P673" s="4"/>
      <c r="Q673" s="4"/>
      <c r="R673" s="4"/>
      <c r="S673" s="4"/>
      <c r="T673" s="4"/>
      <c r="U673" s="4"/>
      <c r="V673" s="4"/>
      <c r="W673" s="4"/>
      <c r="X673" s="4"/>
      <c r="Y673" s="4"/>
      <c r="Z673" s="4"/>
    </row>
    <row r="674">
      <c r="A674" s="77"/>
      <c r="B674" s="17"/>
      <c r="C674" s="17"/>
      <c r="D674" s="17"/>
      <c r="E674" s="17"/>
      <c r="F674" s="17"/>
      <c r="G674" s="78"/>
      <c r="H674" s="78"/>
      <c r="I674" s="17"/>
      <c r="J674" s="17"/>
      <c r="K674" s="17"/>
      <c r="L674" s="4"/>
      <c r="M674" s="4"/>
      <c r="N674" s="4"/>
      <c r="O674" s="4"/>
      <c r="P674" s="4"/>
      <c r="Q674" s="4"/>
      <c r="R674" s="4"/>
      <c r="S674" s="4"/>
      <c r="T674" s="4"/>
      <c r="U674" s="4"/>
      <c r="V674" s="4"/>
      <c r="W674" s="4"/>
      <c r="X674" s="4"/>
      <c r="Y674" s="4"/>
      <c r="Z674" s="4"/>
    </row>
    <row r="675">
      <c r="A675" s="77"/>
      <c r="B675" s="17"/>
      <c r="C675" s="17"/>
      <c r="D675" s="17"/>
      <c r="E675" s="17"/>
      <c r="F675" s="17"/>
      <c r="G675" s="78"/>
      <c r="H675" s="78"/>
      <c r="I675" s="17"/>
      <c r="J675" s="17"/>
      <c r="K675" s="17"/>
      <c r="L675" s="4"/>
      <c r="M675" s="4"/>
      <c r="N675" s="4"/>
      <c r="O675" s="4"/>
      <c r="P675" s="4"/>
      <c r="Q675" s="4"/>
      <c r="R675" s="4"/>
      <c r="S675" s="4"/>
      <c r="T675" s="4"/>
      <c r="U675" s="4"/>
      <c r="V675" s="4"/>
      <c r="W675" s="4"/>
      <c r="X675" s="4"/>
      <c r="Y675" s="4"/>
      <c r="Z675" s="4"/>
    </row>
    <row r="676">
      <c r="A676" s="77"/>
      <c r="B676" s="17"/>
      <c r="C676" s="17"/>
      <c r="D676" s="17"/>
      <c r="E676" s="17"/>
      <c r="F676" s="17"/>
      <c r="G676" s="78"/>
      <c r="H676" s="78"/>
      <c r="I676" s="17"/>
      <c r="J676" s="17"/>
      <c r="K676" s="17"/>
      <c r="L676" s="4"/>
      <c r="M676" s="4"/>
      <c r="N676" s="4"/>
      <c r="O676" s="4"/>
      <c r="P676" s="4"/>
      <c r="Q676" s="4"/>
      <c r="R676" s="4"/>
      <c r="S676" s="4"/>
      <c r="T676" s="4"/>
      <c r="U676" s="4"/>
      <c r="V676" s="4"/>
      <c r="W676" s="4"/>
      <c r="X676" s="4"/>
      <c r="Y676" s="4"/>
      <c r="Z676" s="4"/>
    </row>
    <row r="677">
      <c r="A677" s="77"/>
      <c r="B677" s="17"/>
      <c r="C677" s="17"/>
      <c r="D677" s="17"/>
      <c r="E677" s="17"/>
      <c r="F677" s="17"/>
      <c r="G677" s="78"/>
      <c r="H677" s="78"/>
      <c r="I677" s="17"/>
      <c r="J677" s="17"/>
      <c r="K677" s="17"/>
      <c r="L677" s="4"/>
      <c r="M677" s="4"/>
      <c r="N677" s="4"/>
      <c r="O677" s="4"/>
      <c r="P677" s="4"/>
      <c r="Q677" s="4"/>
      <c r="R677" s="4"/>
      <c r="S677" s="4"/>
      <c r="T677" s="4"/>
      <c r="U677" s="4"/>
      <c r="V677" s="4"/>
      <c r="W677" s="4"/>
      <c r="X677" s="4"/>
      <c r="Y677" s="4"/>
      <c r="Z677" s="4"/>
    </row>
    <row r="678">
      <c r="A678" s="77"/>
      <c r="B678" s="17"/>
      <c r="C678" s="17"/>
      <c r="D678" s="17"/>
      <c r="E678" s="17"/>
      <c r="F678" s="17"/>
      <c r="G678" s="78"/>
      <c r="H678" s="78"/>
      <c r="I678" s="17"/>
      <c r="J678" s="17"/>
      <c r="K678" s="17"/>
      <c r="L678" s="4"/>
      <c r="M678" s="4"/>
      <c r="N678" s="4"/>
      <c r="O678" s="4"/>
      <c r="P678" s="4"/>
      <c r="Q678" s="4"/>
      <c r="R678" s="4"/>
      <c r="S678" s="4"/>
      <c r="T678" s="4"/>
      <c r="U678" s="4"/>
      <c r="V678" s="4"/>
      <c r="W678" s="4"/>
      <c r="X678" s="4"/>
      <c r="Y678" s="4"/>
      <c r="Z678" s="4"/>
    </row>
    <row r="679">
      <c r="A679" s="77"/>
      <c r="B679" s="17"/>
      <c r="C679" s="17"/>
      <c r="D679" s="17"/>
      <c r="E679" s="17"/>
      <c r="F679" s="17"/>
      <c r="G679" s="78"/>
      <c r="H679" s="78"/>
      <c r="I679" s="17"/>
      <c r="J679" s="17"/>
      <c r="K679" s="17"/>
      <c r="L679" s="4"/>
      <c r="M679" s="4"/>
      <c r="N679" s="4"/>
      <c r="O679" s="4"/>
      <c r="P679" s="4"/>
      <c r="Q679" s="4"/>
      <c r="R679" s="4"/>
      <c r="S679" s="4"/>
      <c r="T679" s="4"/>
      <c r="U679" s="4"/>
      <c r="V679" s="4"/>
      <c r="W679" s="4"/>
      <c r="X679" s="4"/>
      <c r="Y679" s="4"/>
      <c r="Z679" s="4"/>
    </row>
    <row r="680">
      <c r="A680" s="77"/>
      <c r="B680" s="17"/>
      <c r="C680" s="17"/>
      <c r="D680" s="17"/>
      <c r="E680" s="17"/>
      <c r="F680" s="17"/>
      <c r="G680" s="78"/>
      <c r="H680" s="78"/>
      <c r="I680" s="17"/>
      <c r="J680" s="17"/>
      <c r="K680" s="17"/>
      <c r="L680" s="4"/>
      <c r="M680" s="4"/>
      <c r="N680" s="4"/>
      <c r="O680" s="4"/>
      <c r="P680" s="4"/>
      <c r="Q680" s="4"/>
      <c r="R680" s="4"/>
      <c r="S680" s="4"/>
      <c r="T680" s="4"/>
      <c r="U680" s="4"/>
      <c r="V680" s="4"/>
      <c r="W680" s="4"/>
      <c r="X680" s="4"/>
      <c r="Y680" s="4"/>
      <c r="Z680" s="4"/>
    </row>
    <row r="681">
      <c r="A681" s="77"/>
      <c r="B681" s="17"/>
      <c r="C681" s="17"/>
      <c r="D681" s="17"/>
      <c r="E681" s="17"/>
      <c r="F681" s="17"/>
      <c r="G681" s="78"/>
      <c r="H681" s="78"/>
      <c r="I681" s="17"/>
      <c r="J681" s="17"/>
      <c r="K681" s="17"/>
      <c r="L681" s="4"/>
      <c r="M681" s="4"/>
      <c r="N681" s="4"/>
      <c r="O681" s="4"/>
      <c r="P681" s="4"/>
      <c r="Q681" s="4"/>
      <c r="R681" s="4"/>
      <c r="S681" s="4"/>
      <c r="T681" s="4"/>
      <c r="U681" s="4"/>
      <c r="V681" s="4"/>
      <c r="W681" s="4"/>
      <c r="X681" s="4"/>
      <c r="Y681" s="4"/>
      <c r="Z681" s="4"/>
    </row>
    <row r="682">
      <c r="A682" s="77"/>
      <c r="B682" s="17"/>
      <c r="C682" s="17"/>
      <c r="D682" s="17"/>
      <c r="E682" s="17"/>
      <c r="F682" s="17"/>
      <c r="G682" s="78"/>
      <c r="H682" s="78"/>
      <c r="I682" s="17"/>
      <c r="J682" s="17"/>
      <c r="K682" s="17"/>
      <c r="L682" s="4"/>
      <c r="M682" s="4"/>
      <c r="N682" s="4"/>
      <c r="O682" s="4"/>
      <c r="P682" s="4"/>
      <c r="Q682" s="4"/>
      <c r="R682" s="4"/>
      <c r="S682" s="4"/>
      <c r="T682" s="4"/>
      <c r="U682" s="4"/>
      <c r="V682" s="4"/>
      <c r="W682" s="4"/>
      <c r="X682" s="4"/>
      <c r="Y682" s="4"/>
      <c r="Z682" s="4"/>
    </row>
    <row r="683">
      <c r="A683" s="77"/>
      <c r="B683" s="17"/>
      <c r="C683" s="17"/>
      <c r="D683" s="17"/>
      <c r="E683" s="17"/>
      <c r="F683" s="17"/>
      <c r="G683" s="78"/>
      <c r="H683" s="78"/>
      <c r="I683" s="17"/>
      <c r="J683" s="17"/>
      <c r="K683" s="17"/>
      <c r="L683" s="4"/>
      <c r="M683" s="4"/>
      <c r="N683" s="4"/>
      <c r="O683" s="4"/>
      <c r="P683" s="4"/>
      <c r="Q683" s="4"/>
      <c r="R683" s="4"/>
      <c r="S683" s="4"/>
      <c r="T683" s="4"/>
      <c r="U683" s="4"/>
      <c r="V683" s="4"/>
      <c r="W683" s="4"/>
      <c r="X683" s="4"/>
      <c r="Y683" s="4"/>
      <c r="Z683" s="4"/>
    </row>
    <row r="684">
      <c r="A684" s="77"/>
      <c r="B684" s="17"/>
      <c r="C684" s="17"/>
      <c r="D684" s="17"/>
      <c r="E684" s="17"/>
      <c r="F684" s="17"/>
      <c r="G684" s="78"/>
      <c r="H684" s="78"/>
      <c r="I684" s="17"/>
      <c r="J684" s="17"/>
      <c r="K684" s="17"/>
      <c r="L684" s="4"/>
      <c r="M684" s="4"/>
      <c r="N684" s="4"/>
      <c r="O684" s="4"/>
      <c r="P684" s="4"/>
      <c r="Q684" s="4"/>
      <c r="R684" s="4"/>
      <c r="S684" s="4"/>
      <c r="T684" s="4"/>
      <c r="U684" s="4"/>
      <c r="V684" s="4"/>
      <c r="W684" s="4"/>
      <c r="X684" s="4"/>
      <c r="Y684" s="4"/>
      <c r="Z684" s="4"/>
    </row>
    <row r="685">
      <c r="A685" s="77"/>
      <c r="B685" s="17"/>
      <c r="C685" s="17"/>
      <c r="D685" s="17"/>
      <c r="E685" s="17"/>
      <c r="F685" s="17"/>
      <c r="G685" s="78"/>
      <c r="H685" s="78"/>
      <c r="I685" s="17"/>
      <c r="J685" s="17"/>
      <c r="K685" s="17"/>
      <c r="L685" s="4"/>
      <c r="M685" s="4"/>
      <c r="N685" s="4"/>
      <c r="O685" s="4"/>
      <c r="P685" s="4"/>
      <c r="Q685" s="4"/>
      <c r="R685" s="4"/>
      <c r="S685" s="4"/>
      <c r="T685" s="4"/>
      <c r="U685" s="4"/>
      <c r="V685" s="4"/>
      <c r="W685" s="4"/>
      <c r="X685" s="4"/>
      <c r="Y685" s="4"/>
      <c r="Z685" s="4"/>
    </row>
    <row r="686">
      <c r="A686" s="77"/>
      <c r="B686" s="17"/>
      <c r="C686" s="17"/>
      <c r="D686" s="17"/>
      <c r="E686" s="17"/>
      <c r="F686" s="17"/>
      <c r="G686" s="78"/>
      <c r="H686" s="78"/>
      <c r="I686" s="17"/>
      <c r="J686" s="17"/>
      <c r="K686" s="17"/>
      <c r="L686" s="4"/>
      <c r="M686" s="4"/>
      <c r="N686" s="4"/>
      <c r="O686" s="4"/>
      <c r="P686" s="4"/>
      <c r="Q686" s="4"/>
      <c r="R686" s="4"/>
      <c r="S686" s="4"/>
      <c r="T686" s="4"/>
      <c r="U686" s="4"/>
      <c r="V686" s="4"/>
      <c r="W686" s="4"/>
      <c r="X686" s="4"/>
      <c r="Y686" s="4"/>
      <c r="Z686" s="4"/>
    </row>
    <row r="687">
      <c r="A687" s="77"/>
      <c r="B687" s="17"/>
      <c r="C687" s="17"/>
      <c r="D687" s="17"/>
      <c r="E687" s="17"/>
      <c r="F687" s="17"/>
      <c r="G687" s="78"/>
      <c r="H687" s="78"/>
      <c r="I687" s="17"/>
      <c r="J687" s="17"/>
      <c r="K687" s="17"/>
      <c r="L687" s="4"/>
      <c r="M687" s="4"/>
      <c r="N687" s="4"/>
      <c r="O687" s="4"/>
      <c r="P687" s="4"/>
      <c r="Q687" s="4"/>
      <c r="R687" s="4"/>
      <c r="S687" s="4"/>
      <c r="T687" s="4"/>
      <c r="U687" s="4"/>
      <c r="V687" s="4"/>
      <c r="W687" s="4"/>
      <c r="X687" s="4"/>
      <c r="Y687" s="4"/>
      <c r="Z687" s="4"/>
    </row>
    <row r="688">
      <c r="A688" s="77"/>
      <c r="B688" s="17"/>
      <c r="C688" s="17"/>
      <c r="D688" s="17"/>
      <c r="E688" s="17"/>
      <c r="F688" s="17"/>
      <c r="G688" s="78"/>
      <c r="H688" s="78"/>
      <c r="I688" s="17"/>
      <c r="J688" s="17"/>
      <c r="K688" s="17"/>
      <c r="L688" s="4"/>
      <c r="M688" s="4"/>
      <c r="N688" s="4"/>
      <c r="O688" s="4"/>
      <c r="P688" s="4"/>
      <c r="Q688" s="4"/>
      <c r="R688" s="4"/>
      <c r="S688" s="4"/>
      <c r="T688" s="4"/>
      <c r="U688" s="4"/>
      <c r="V688" s="4"/>
      <c r="W688" s="4"/>
      <c r="X688" s="4"/>
      <c r="Y688" s="4"/>
      <c r="Z688" s="4"/>
    </row>
    <row r="689">
      <c r="A689" s="77"/>
      <c r="B689" s="17"/>
      <c r="C689" s="17"/>
      <c r="D689" s="17"/>
      <c r="E689" s="17"/>
      <c r="F689" s="17"/>
      <c r="G689" s="78"/>
      <c r="H689" s="78"/>
      <c r="I689" s="17"/>
      <c r="J689" s="17"/>
      <c r="K689" s="17"/>
      <c r="L689" s="4"/>
      <c r="M689" s="4"/>
      <c r="N689" s="4"/>
      <c r="O689" s="4"/>
      <c r="P689" s="4"/>
      <c r="Q689" s="4"/>
      <c r="R689" s="4"/>
      <c r="S689" s="4"/>
      <c r="T689" s="4"/>
      <c r="U689" s="4"/>
      <c r="V689" s="4"/>
      <c r="W689" s="4"/>
      <c r="X689" s="4"/>
      <c r="Y689" s="4"/>
      <c r="Z689" s="4"/>
    </row>
    <row r="690">
      <c r="A690" s="77"/>
      <c r="B690" s="17"/>
      <c r="C690" s="17"/>
      <c r="D690" s="17"/>
      <c r="E690" s="17"/>
      <c r="F690" s="17"/>
      <c r="G690" s="78"/>
      <c r="H690" s="78"/>
      <c r="I690" s="17"/>
      <c r="J690" s="17"/>
      <c r="K690" s="17"/>
      <c r="L690" s="4"/>
      <c r="M690" s="4"/>
      <c r="N690" s="4"/>
      <c r="O690" s="4"/>
      <c r="P690" s="4"/>
      <c r="Q690" s="4"/>
      <c r="R690" s="4"/>
      <c r="S690" s="4"/>
      <c r="T690" s="4"/>
      <c r="U690" s="4"/>
      <c r="V690" s="4"/>
      <c r="W690" s="4"/>
      <c r="X690" s="4"/>
      <c r="Y690" s="4"/>
      <c r="Z690" s="4"/>
    </row>
    <row r="691">
      <c r="A691" s="77"/>
      <c r="B691" s="17"/>
      <c r="C691" s="17"/>
      <c r="D691" s="17"/>
      <c r="E691" s="17"/>
      <c r="F691" s="17"/>
      <c r="G691" s="78"/>
      <c r="H691" s="78"/>
      <c r="I691" s="17"/>
      <c r="J691" s="17"/>
      <c r="K691" s="17"/>
      <c r="L691" s="4"/>
      <c r="M691" s="4"/>
      <c r="N691" s="4"/>
      <c r="O691" s="4"/>
      <c r="P691" s="4"/>
      <c r="Q691" s="4"/>
      <c r="R691" s="4"/>
      <c r="S691" s="4"/>
      <c r="T691" s="4"/>
      <c r="U691" s="4"/>
      <c r="V691" s="4"/>
      <c r="W691" s="4"/>
      <c r="X691" s="4"/>
      <c r="Y691" s="4"/>
      <c r="Z691" s="4"/>
    </row>
    <row r="692">
      <c r="A692" s="77"/>
      <c r="B692" s="17"/>
      <c r="C692" s="17"/>
      <c r="D692" s="17"/>
      <c r="E692" s="17"/>
      <c r="F692" s="17"/>
      <c r="G692" s="78"/>
      <c r="H692" s="78"/>
      <c r="I692" s="17"/>
      <c r="J692" s="17"/>
      <c r="K692" s="17"/>
      <c r="L692" s="4"/>
      <c r="M692" s="4"/>
      <c r="N692" s="4"/>
      <c r="O692" s="4"/>
      <c r="P692" s="4"/>
      <c r="Q692" s="4"/>
      <c r="R692" s="4"/>
      <c r="S692" s="4"/>
      <c r="T692" s="4"/>
      <c r="U692" s="4"/>
      <c r="V692" s="4"/>
      <c r="W692" s="4"/>
      <c r="X692" s="4"/>
      <c r="Y692" s="4"/>
      <c r="Z692" s="4"/>
    </row>
    <row r="693">
      <c r="A693" s="77"/>
      <c r="B693" s="17"/>
      <c r="C693" s="17"/>
      <c r="D693" s="17"/>
      <c r="E693" s="17"/>
      <c r="F693" s="17"/>
      <c r="G693" s="78"/>
      <c r="H693" s="78"/>
      <c r="I693" s="17"/>
      <c r="J693" s="17"/>
      <c r="K693" s="17"/>
      <c r="L693" s="4"/>
      <c r="M693" s="4"/>
      <c r="N693" s="4"/>
      <c r="O693" s="4"/>
      <c r="P693" s="4"/>
      <c r="Q693" s="4"/>
      <c r="R693" s="4"/>
      <c r="S693" s="4"/>
      <c r="T693" s="4"/>
      <c r="U693" s="4"/>
      <c r="V693" s="4"/>
      <c r="W693" s="4"/>
      <c r="X693" s="4"/>
      <c r="Y693" s="4"/>
      <c r="Z693" s="4"/>
    </row>
    <row r="694">
      <c r="A694" s="77"/>
      <c r="B694" s="17"/>
      <c r="C694" s="17"/>
      <c r="D694" s="17"/>
      <c r="E694" s="17"/>
      <c r="F694" s="17"/>
      <c r="G694" s="78"/>
      <c r="H694" s="78"/>
      <c r="I694" s="17"/>
      <c r="J694" s="17"/>
      <c r="K694" s="17"/>
      <c r="L694" s="4"/>
      <c r="M694" s="4"/>
      <c r="N694" s="4"/>
      <c r="O694" s="4"/>
      <c r="P694" s="4"/>
      <c r="Q694" s="4"/>
      <c r="R694" s="4"/>
      <c r="S694" s="4"/>
      <c r="T694" s="4"/>
      <c r="U694" s="4"/>
      <c r="V694" s="4"/>
      <c r="W694" s="4"/>
      <c r="X694" s="4"/>
      <c r="Y694" s="4"/>
      <c r="Z694" s="4"/>
    </row>
    <row r="695">
      <c r="A695" s="77"/>
      <c r="B695" s="17"/>
      <c r="C695" s="17"/>
      <c r="D695" s="17"/>
      <c r="E695" s="17"/>
      <c r="F695" s="17"/>
      <c r="G695" s="78"/>
      <c r="H695" s="78"/>
      <c r="I695" s="17"/>
      <c r="J695" s="17"/>
      <c r="K695" s="17"/>
      <c r="L695" s="4"/>
      <c r="M695" s="4"/>
      <c r="N695" s="4"/>
      <c r="O695" s="4"/>
      <c r="P695" s="4"/>
      <c r="Q695" s="4"/>
      <c r="R695" s="4"/>
      <c r="S695" s="4"/>
      <c r="T695" s="4"/>
      <c r="U695" s="4"/>
      <c r="V695" s="4"/>
      <c r="W695" s="4"/>
      <c r="X695" s="4"/>
      <c r="Y695" s="4"/>
      <c r="Z695" s="4"/>
    </row>
    <row r="696">
      <c r="A696" s="77"/>
      <c r="B696" s="17"/>
      <c r="C696" s="17"/>
      <c r="D696" s="17"/>
      <c r="E696" s="17"/>
      <c r="F696" s="17"/>
      <c r="G696" s="78"/>
      <c r="H696" s="78"/>
      <c r="I696" s="17"/>
      <c r="J696" s="17"/>
      <c r="K696" s="17"/>
      <c r="L696" s="4"/>
      <c r="M696" s="4"/>
      <c r="N696" s="4"/>
      <c r="O696" s="4"/>
      <c r="P696" s="4"/>
      <c r="Q696" s="4"/>
      <c r="R696" s="4"/>
      <c r="S696" s="4"/>
      <c r="T696" s="4"/>
      <c r="U696" s="4"/>
      <c r="V696" s="4"/>
      <c r="W696" s="4"/>
      <c r="X696" s="4"/>
      <c r="Y696" s="4"/>
      <c r="Z696" s="4"/>
    </row>
    <row r="697">
      <c r="A697" s="77"/>
      <c r="B697" s="17"/>
      <c r="C697" s="17"/>
      <c r="D697" s="17"/>
      <c r="E697" s="17"/>
      <c r="F697" s="17"/>
      <c r="G697" s="78"/>
      <c r="H697" s="78"/>
      <c r="I697" s="17"/>
      <c r="J697" s="17"/>
      <c r="K697" s="17"/>
      <c r="L697" s="4"/>
      <c r="M697" s="4"/>
      <c r="N697" s="4"/>
      <c r="O697" s="4"/>
      <c r="P697" s="4"/>
      <c r="Q697" s="4"/>
      <c r="R697" s="4"/>
      <c r="S697" s="4"/>
      <c r="T697" s="4"/>
      <c r="U697" s="4"/>
      <c r="V697" s="4"/>
      <c r="W697" s="4"/>
      <c r="X697" s="4"/>
      <c r="Y697" s="4"/>
      <c r="Z697" s="4"/>
    </row>
    <row r="698">
      <c r="A698" s="77"/>
      <c r="B698" s="17"/>
      <c r="C698" s="17"/>
      <c r="D698" s="17"/>
      <c r="E698" s="17"/>
      <c r="F698" s="17"/>
      <c r="G698" s="78"/>
      <c r="H698" s="78"/>
      <c r="I698" s="17"/>
      <c r="J698" s="17"/>
      <c r="K698" s="17"/>
      <c r="L698" s="4"/>
      <c r="M698" s="4"/>
      <c r="N698" s="4"/>
      <c r="O698" s="4"/>
      <c r="P698" s="4"/>
      <c r="Q698" s="4"/>
      <c r="R698" s="4"/>
      <c r="S698" s="4"/>
      <c r="T698" s="4"/>
      <c r="U698" s="4"/>
      <c r="V698" s="4"/>
      <c r="W698" s="4"/>
      <c r="X698" s="4"/>
      <c r="Y698" s="4"/>
      <c r="Z698" s="4"/>
    </row>
    <row r="699">
      <c r="A699" s="77"/>
      <c r="B699" s="17"/>
      <c r="C699" s="17"/>
      <c r="D699" s="17"/>
      <c r="E699" s="17"/>
      <c r="F699" s="17"/>
      <c r="G699" s="78"/>
      <c r="H699" s="78"/>
      <c r="I699" s="17"/>
      <c r="J699" s="17"/>
      <c r="K699" s="17"/>
      <c r="L699" s="4"/>
      <c r="M699" s="4"/>
      <c r="N699" s="4"/>
      <c r="O699" s="4"/>
      <c r="P699" s="4"/>
      <c r="Q699" s="4"/>
      <c r="R699" s="4"/>
      <c r="S699" s="4"/>
      <c r="T699" s="4"/>
      <c r="U699" s="4"/>
      <c r="V699" s="4"/>
      <c r="W699" s="4"/>
      <c r="X699" s="4"/>
      <c r="Y699" s="4"/>
      <c r="Z699" s="4"/>
    </row>
    <row r="700">
      <c r="A700" s="77"/>
      <c r="B700" s="17"/>
      <c r="C700" s="17"/>
      <c r="D700" s="17"/>
      <c r="E700" s="17"/>
      <c r="F700" s="17"/>
      <c r="G700" s="78"/>
      <c r="H700" s="78"/>
      <c r="I700" s="17"/>
      <c r="J700" s="17"/>
      <c r="K700" s="17"/>
      <c r="L700" s="4"/>
      <c r="M700" s="4"/>
      <c r="N700" s="4"/>
      <c r="O700" s="4"/>
      <c r="P700" s="4"/>
      <c r="Q700" s="4"/>
      <c r="R700" s="4"/>
      <c r="S700" s="4"/>
      <c r="T700" s="4"/>
      <c r="U700" s="4"/>
      <c r="V700" s="4"/>
      <c r="W700" s="4"/>
      <c r="X700" s="4"/>
      <c r="Y700" s="4"/>
      <c r="Z700" s="4"/>
    </row>
    <row r="701">
      <c r="A701" s="77"/>
      <c r="B701" s="17"/>
      <c r="C701" s="17"/>
      <c r="D701" s="17"/>
      <c r="E701" s="17"/>
      <c r="F701" s="17"/>
      <c r="G701" s="78"/>
      <c r="H701" s="78"/>
      <c r="I701" s="17"/>
      <c r="J701" s="17"/>
      <c r="K701" s="17"/>
      <c r="L701" s="4"/>
      <c r="M701" s="4"/>
      <c r="N701" s="4"/>
      <c r="O701" s="4"/>
      <c r="P701" s="4"/>
      <c r="Q701" s="4"/>
      <c r="R701" s="4"/>
      <c r="S701" s="4"/>
      <c r="T701" s="4"/>
      <c r="U701" s="4"/>
      <c r="V701" s="4"/>
      <c r="W701" s="4"/>
      <c r="X701" s="4"/>
      <c r="Y701" s="4"/>
      <c r="Z701" s="4"/>
    </row>
    <row r="702">
      <c r="A702" s="77"/>
      <c r="B702" s="17"/>
      <c r="C702" s="17"/>
      <c r="D702" s="17"/>
      <c r="E702" s="17"/>
      <c r="F702" s="17"/>
      <c r="G702" s="78"/>
      <c r="H702" s="78"/>
      <c r="I702" s="17"/>
      <c r="J702" s="17"/>
      <c r="K702" s="17"/>
      <c r="L702" s="4"/>
      <c r="M702" s="4"/>
      <c r="N702" s="4"/>
      <c r="O702" s="4"/>
      <c r="P702" s="4"/>
      <c r="Q702" s="4"/>
      <c r="R702" s="4"/>
      <c r="S702" s="4"/>
      <c r="T702" s="4"/>
      <c r="U702" s="4"/>
      <c r="V702" s="4"/>
      <c r="W702" s="4"/>
      <c r="X702" s="4"/>
      <c r="Y702" s="4"/>
      <c r="Z702" s="4"/>
    </row>
    <row r="703">
      <c r="A703" s="77"/>
      <c r="B703" s="17"/>
      <c r="C703" s="17"/>
      <c r="D703" s="17"/>
      <c r="E703" s="17"/>
      <c r="F703" s="17"/>
      <c r="G703" s="78"/>
      <c r="H703" s="78"/>
      <c r="I703" s="17"/>
      <c r="J703" s="17"/>
      <c r="K703" s="17"/>
      <c r="L703" s="4"/>
      <c r="M703" s="4"/>
      <c r="N703" s="4"/>
      <c r="O703" s="4"/>
      <c r="P703" s="4"/>
      <c r="Q703" s="4"/>
      <c r="R703" s="4"/>
      <c r="S703" s="4"/>
      <c r="T703" s="4"/>
      <c r="U703" s="4"/>
      <c r="V703" s="4"/>
      <c r="W703" s="4"/>
      <c r="X703" s="4"/>
      <c r="Y703" s="4"/>
      <c r="Z703" s="4"/>
    </row>
    <row r="704">
      <c r="A704" s="77"/>
      <c r="B704" s="17"/>
      <c r="C704" s="17"/>
      <c r="D704" s="17"/>
      <c r="E704" s="17"/>
      <c r="F704" s="17"/>
      <c r="G704" s="78"/>
      <c r="H704" s="78"/>
      <c r="I704" s="17"/>
      <c r="J704" s="17"/>
      <c r="K704" s="17"/>
      <c r="L704" s="4"/>
      <c r="M704" s="4"/>
      <c r="N704" s="4"/>
      <c r="O704" s="4"/>
      <c r="P704" s="4"/>
      <c r="Q704" s="4"/>
      <c r="R704" s="4"/>
      <c r="S704" s="4"/>
      <c r="T704" s="4"/>
      <c r="U704" s="4"/>
      <c r="V704" s="4"/>
      <c r="W704" s="4"/>
      <c r="X704" s="4"/>
      <c r="Y704" s="4"/>
      <c r="Z704" s="4"/>
    </row>
    <row r="705">
      <c r="A705" s="77"/>
      <c r="B705" s="17"/>
      <c r="C705" s="17"/>
      <c r="D705" s="17"/>
      <c r="E705" s="17"/>
      <c r="F705" s="17"/>
      <c r="G705" s="78"/>
      <c r="H705" s="78"/>
      <c r="I705" s="17"/>
      <c r="J705" s="17"/>
      <c r="K705" s="17"/>
      <c r="L705" s="4"/>
      <c r="M705" s="4"/>
      <c r="N705" s="4"/>
      <c r="O705" s="4"/>
      <c r="P705" s="4"/>
      <c r="Q705" s="4"/>
      <c r="R705" s="4"/>
      <c r="S705" s="4"/>
      <c r="T705" s="4"/>
      <c r="U705" s="4"/>
      <c r="V705" s="4"/>
      <c r="W705" s="4"/>
      <c r="X705" s="4"/>
      <c r="Y705" s="4"/>
      <c r="Z705" s="4"/>
    </row>
    <row r="706">
      <c r="A706" s="77"/>
      <c r="B706" s="17"/>
      <c r="C706" s="17"/>
      <c r="D706" s="17"/>
      <c r="E706" s="17"/>
      <c r="F706" s="17"/>
      <c r="G706" s="78"/>
      <c r="H706" s="78"/>
      <c r="I706" s="17"/>
      <c r="J706" s="17"/>
      <c r="K706" s="17"/>
      <c r="L706" s="4"/>
      <c r="M706" s="4"/>
      <c r="N706" s="4"/>
      <c r="O706" s="4"/>
      <c r="P706" s="4"/>
      <c r="Q706" s="4"/>
      <c r="R706" s="4"/>
      <c r="S706" s="4"/>
      <c r="T706" s="4"/>
      <c r="U706" s="4"/>
      <c r="V706" s="4"/>
      <c r="W706" s="4"/>
      <c r="X706" s="4"/>
      <c r="Y706" s="4"/>
      <c r="Z706" s="4"/>
    </row>
    <row r="707">
      <c r="A707" s="77"/>
      <c r="B707" s="17"/>
      <c r="C707" s="17"/>
      <c r="D707" s="17"/>
      <c r="E707" s="17"/>
      <c r="F707" s="17"/>
      <c r="G707" s="78"/>
      <c r="H707" s="78"/>
      <c r="I707" s="17"/>
      <c r="J707" s="17"/>
      <c r="K707" s="17"/>
      <c r="L707" s="4"/>
      <c r="M707" s="4"/>
      <c r="N707" s="4"/>
      <c r="O707" s="4"/>
      <c r="P707" s="4"/>
      <c r="Q707" s="4"/>
      <c r="R707" s="4"/>
      <c r="S707" s="4"/>
      <c r="T707" s="4"/>
      <c r="U707" s="4"/>
      <c r="V707" s="4"/>
      <c r="W707" s="4"/>
      <c r="X707" s="4"/>
      <c r="Y707" s="4"/>
      <c r="Z707" s="4"/>
    </row>
    <row r="708">
      <c r="A708" s="77"/>
      <c r="B708" s="17"/>
      <c r="C708" s="17"/>
      <c r="D708" s="17"/>
      <c r="E708" s="17"/>
      <c r="F708" s="17"/>
      <c r="G708" s="78"/>
      <c r="H708" s="78"/>
      <c r="I708" s="17"/>
      <c r="J708" s="17"/>
      <c r="K708" s="17"/>
      <c r="L708" s="4"/>
      <c r="M708" s="4"/>
      <c r="N708" s="4"/>
      <c r="O708" s="4"/>
      <c r="P708" s="4"/>
      <c r="Q708" s="4"/>
      <c r="R708" s="4"/>
      <c r="S708" s="4"/>
      <c r="T708" s="4"/>
      <c r="U708" s="4"/>
      <c r="V708" s="4"/>
      <c r="W708" s="4"/>
      <c r="X708" s="4"/>
      <c r="Y708" s="4"/>
      <c r="Z708" s="4"/>
    </row>
    <row r="709">
      <c r="A709" s="77"/>
      <c r="B709" s="17"/>
      <c r="C709" s="17"/>
      <c r="D709" s="17"/>
      <c r="E709" s="17"/>
      <c r="F709" s="17"/>
      <c r="G709" s="78"/>
      <c r="H709" s="78"/>
      <c r="I709" s="17"/>
      <c r="J709" s="17"/>
      <c r="K709" s="17"/>
      <c r="L709" s="4"/>
      <c r="M709" s="4"/>
      <c r="N709" s="4"/>
      <c r="O709" s="4"/>
      <c r="P709" s="4"/>
      <c r="Q709" s="4"/>
      <c r="R709" s="4"/>
      <c r="S709" s="4"/>
      <c r="T709" s="4"/>
      <c r="U709" s="4"/>
      <c r="V709" s="4"/>
      <c r="W709" s="4"/>
      <c r="X709" s="4"/>
      <c r="Y709" s="4"/>
      <c r="Z709" s="4"/>
    </row>
    <row r="710">
      <c r="A710" s="77"/>
      <c r="B710" s="17"/>
      <c r="C710" s="17"/>
      <c r="D710" s="17"/>
      <c r="E710" s="17"/>
      <c r="F710" s="17"/>
      <c r="G710" s="78"/>
      <c r="H710" s="78"/>
      <c r="I710" s="17"/>
      <c r="J710" s="17"/>
      <c r="K710" s="17"/>
      <c r="L710" s="4"/>
      <c r="M710" s="4"/>
      <c r="N710" s="4"/>
      <c r="O710" s="4"/>
      <c r="P710" s="4"/>
      <c r="Q710" s="4"/>
      <c r="R710" s="4"/>
      <c r="S710" s="4"/>
      <c r="T710" s="4"/>
      <c r="U710" s="4"/>
      <c r="V710" s="4"/>
      <c r="W710" s="4"/>
      <c r="X710" s="4"/>
      <c r="Y710" s="4"/>
      <c r="Z710" s="4"/>
    </row>
    <row r="711">
      <c r="A711" s="77"/>
      <c r="B711" s="17"/>
      <c r="C711" s="17"/>
      <c r="D711" s="17"/>
      <c r="E711" s="17"/>
      <c r="F711" s="17"/>
      <c r="G711" s="78"/>
      <c r="H711" s="78"/>
      <c r="I711" s="17"/>
      <c r="J711" s="17"/>
      <c r="K711" s="17"/>
      <c r="L711" s="4"/>
      <c r="M711" s="4"/>
      <c r="N711" s="4"/>
      <c r="O711" s="4"/>
      <c r="P711" s="4"/>
      <c r="Q711" s="4"/>
      <c r="R711" s="4"/>
      <c r="S711" s="4"/>
      <c r="T711" s="4"/>
      <c r="U711" s="4"/>
      <c r="V711" s="4"/>
      <c r="W711" s="4"/>
      <c r="X711" s="4"/>
      <c r="Y711" s="4"/>
      <c r="Z711" s="4"/>
    </row>
    <row r="712">
      <c r="A712" s="77"/>
      <c r="B712" s="17"/>
      <c r="C712" s="17"/>
      <c r="D712" s="17"/>
      <c r="E712" s="17"/>
      <c r="F712" s="17"/>
      <c r="G712" s="78"/>
      <c r="H712" s="78"/>
      <c r="I712" s="17"/>
      <c r="J712" s="17"/>
      <c r="K712" s="17"/>
      <c r="L712" s="4"/>
      <c r="M712" s="4"/>
      <c r="N712" s="4"/>
      <c r="O712" s="4"/>
      <c r="P712" s="4"/>
      <c r="Q712" s="4"/>
      <c r="R712" s="4"/>
      <c r="S712" s="4"/>
      <c r="T712" s="4"/>
      <c r="U712" s="4"/>
      <c r="V712" s="4"/>
      <c r="W712" s="4"/>
      <c r="X712" s="4"/>
      <c r="Y712" s="4"/>
      <c r="Z712" s="4"/>
    </row>
    <row r="713">
      <c r="A713" s="77"/>
      <c r="B713" s="17"/>
      <c r="C713" s="17"/>
      <c r="D713" s="17"/>
      <c r="E713" s="17"/>
      <c r="F713" s="17"/>
      <c r="G713" s="78"/>
      <c r="H713" s="78"/>
      <c r="I713" s="17"/>
      <c r="J713" s="17"/>
      <c r="K713" s="17"/>
      <c r="L713" s="4"/>
      <c r="M713" s="4"/>
      <c r="N713" s="4"/>
      <c r="O713" s="4"/>
      <c r="P713" s="4"/>
      <c r="Q713" s="4"/>
      <c r="R713" s="4"/>
      <c r="S713" s="4"/>
      <c r="T713" s="4"/>
      <c r="U713" s="4"/>
      <c r="V713" s="4"/>
      <c r="W713" s="4"/>
      <c r="X713" s="4"/>
      <c r="Y713" s="4"/>
      <c r="Z713" s="4"/>
    </row>
    <row r="714">
      <c r="A714" s="77"/>
      <c r="B714" s="17"/>
      <c r="C714" s="17"/>
      <c r="D714" s="17"/>
      <c r="E714" s="17"/>
      <c r="F714" s="17"/>
      <c r="G714" s="78"/>
      <c r="H714" s="78"/>
      <c r="I714" s="17"/>
      <c r="J714" s="17"/>
      <c r="K714" s="17"/>
      <c r="L714" s="4"/>
      <c r="M714" s="4"/>
      <c r="N714" s="4"/>
      <c r="O714" s="4"/>
      <c r="P714" s="4"/>
      <c r="Q714" s="4"/>
      <c r="R714" s="4"/>
      <c r="S714" s="4"/>
      <c r="T714" s="4"/>
      <c r="U714" s="4"/>
      <c r="V714" s="4"/>
      <c r="W714" s="4"/>
      <c r="X714" s="4"/>
      <c r="Y714" s="4"/>
      <c r="Z714" s="4"/>
    </row>
    <row r="715">
      <c r="A715" s="77"/>
      <c r="B715" s="17"/>
      <c r="C715" s="17"/>
      <c r="D715" s="17"/>
      <c r="E715" s="17"/>
      <c r="F715" s="17"/>
      <c r="G715" s="78"/>
      <c r="H715" s="78"/>
      <c r="I715" s="17"/>
      <c r="J715" s="17"/>
      <c r="K715" s="17"/>
      <c r="L715" s="4"/>
      <c r="M715" s="4"/>
      <c r="N715" s="4"/>
      <c r="O715" s="4"/>
      <c r="P715" s="4"/>
      <c r="Q715" s="4"/>
      <c r="R715" s="4"/>
      <c r="S715" s="4"/>
      <c r="T715" s="4"/>
      <c r="U715" s="4"/>
      <c r="V715" s="4"/>
      <c r="W715" s="4"/>
      <c r="X715" s="4"/>
      <c r="Y715" s="4"/>
      <c r="Z715" s="4"/>
    </row>
    <row r="716">
      <c r="A716" s="77"/>
      <c r="B716" s="17"/>
      <c r="C716" s="17"/>
      <c r="D716" s="17"/>
      <c r="E716" s="17"/>
      <c r="F716" s="17"/>
      <c r="G716" s="78"/>
      <c r="H716" s="78"/>
      <c r="I716" s="17"/>
      <c r="J716" s="17"/>
      <c r="K716" s="17"/>
      <c r="L716" s="4"/>
      <c r="M716" s="4"/>
      <c r="N716" s="4"/>
      <c r="O716" s="4"/>
      <c r="P716" s="4"/>
      <c r="Q716" s="4"/>
      <c r="R716" s="4"/>
      <c r="S716" s="4"/>
      <c r="T716" s="4"/>
      <c r="U716" s="4"/>
      <c r="V716" s="4"/>
      <c r="W716" s="4"/>
      <c r="X716" s="4"/>
      <c r="Y716" s="4"/>
      <c r="Z716" s="4"/>
    </row>
    <row r="717">
      <c r="A717" s="77"/>
      <c r="B717" s="17"/>
      <c r="C717" s="17"/>
      <c r="D717" s="17"/>
      <c r="E717" s="17"/>
      <c r="F717" s="17"/>
      <c r="G717" s="78"/>
      <c r="H717" s="78"/>
      <c r="I717" s="17"/>
      <c r="J717" s="17"/>
      <c r="K717" s="17"/>
      <c r="L717" s="4"/>
      <c r="M717" s="4"/>
      <c r="N717" s="4"/>
      <c r="O717" s="4"/>
      <c r="P717" s="4"/>
      <c r="Q717" s="4"/>
      <c r="R717" s="4"/>
      <c r="S717" s="4"/>
      <c r="T717" s="4"/>
      <c r="U717" s="4"/>
      <c r="V717" s="4"/>
      <c r="W717" s="4"/>
      <c r="X717" s="4"/>
      <c r="Y717" s="4"/>
      <c r="Z717" s="4"/>
    </row>
    <row r="718">
      <c r="A718" s="77"/>
      <c r="B718" s="17"/>
      <c r="C718" s="17"/>
      <c r="D718" s="17"/>
      <c r="E718" s="17"/>
      <c r="F718" s="17"/>
      <c r="G718" s="78"/>
      <c r="H718" s="78"/>
      <c r="I718" s="17"/>
      <c r="J718" s="17"/>
      <c r="K718" s="17"/>
      <c r="L718" s="4"/>
      <c r="M718" s="4"/>
      <c r="N718" s="4"/>
      <c r="O718" s="4"/>
      <c r="P718" s="4"/>
      <c r="Q718" s="4"/>
      <c r="R718" s="4"/>
      <c r="S718" s="4"/>
      <c r="T718" s="4"/>
      <c r="U718" s="4"/>
      <c r="V718" s="4"/>
      <c r="W718" s="4"/>
      <c r="X718" s="4"/>
      <c r="Y718" s="4"/>
      <c r="Z718" s="4"/>
    </row>
    <row r="719">
      <c r="A719" s="77"/>
      <c r="B719" s="17"/>
      <c r="C719" s="17"/>
      <c r="D719" s="17"/>
      <c r="E719" s="17"/>
      <c r="F719" s="17"/>
      <c r="G719" s="78"/>
      <c r="H719" s="78"/>
      <c r="I719" s="17"/>
      <c r="J719" s="17"/>
      <c r="K719" s="17"/>
      <c r="L719" s="4"/>
      <c r="M719" s="4"/>
      <c r="N719" s="4"/>
      <c r="O719" s="4"/>
      <c r="P719" s="4"/>
      <c r="Q719" s="4"/>
      <c r="R719" s="4"/>
      <c r="S719" s="4"/>
      <c r="T719" s="4"/>
      <c r="U719" s="4"/>
      <c r="V719" s="4"/>
      <c r="W719" s="4"/>
      <c r="X719" s="4"/>
      <c r="Y719" s="4"/>
      <c r="Z719" s="4"/>
    </row>
    <row r="720">
      <c r="A720" s="77"/>
      <c r="B720" s="17"/>
      <c r="C720" s="17"/>
      <c r="D720" s="17"/>
      <c r="E720" s="17"/>
      <c r="F720" s="17"/>
      <c r="G720" s="78"/>
      <c r="H720" s="78"/>
      <c r="I720" s="17"/>
      <c r="J720" s="17"/>
      <c r="K720" s="17"/>
      <c r="L720" s="4"/>
      <c r="M720" s="4"/>
      <c r="N720" s="4"/>
      <c r="O720" s="4"/>
      <c r="P720" s="4"/>
      <c r="Q720" s="4"/>
      <c r="R720" s="4"/>
      <c r="S720" s="4"/>
      <c r="T720" s="4"/>
      <c r="U720" s="4"/>
      <c r="V720" s="4"/>
      <c r="W720" s="4"/>
      <c r="X720" s="4"/>
      <c r="Y720" s="4"/>
      <c r="Z720" s="4"/>
    </row>
    <row r="721">
      <c r="A721" s="77"/>
      <c r="B721" s="17"/>
      <c r="C721" s="17"/>
      <c r="D721" s="17"/>
      <c r="E721" s="17"/>
      <c r="F721" s="17"/>
      <c r="G721" s="78"/>
      <c r="H721" s="78"/>
      <c r="I721" s="17"/>
      <c r="J721" s="17"/>
      <c r="K721" s="17"/>
      <c r="L721" s="4"/>
      <c r="M721" s="4"/>
      <c r="N721" s="4"/>
      <c r="O721" s="4"/>
      <c r="P721" s="4"/>
      <c r="Q721" s="4"/>
      <c r="R721" s="4"/>
      <c r="S721" s="4"/>
      <c r="T721" s="4"/>
      <c r="U721" s="4"/>
      <c r="V721" s="4"/>
      <c r="W721" s="4"/>
      <c r="X721" s="4"/>
      <c r="Y721" s="4"/>
      <c r="Z721" s="4"/>
    </row>
    <row r="722">
      <c r="A722" s="77"/>
      <c r="B722" s="17"/>
      <c r="C722" s="17"/>
      <c r="D722" s="17"/>
      <c r="E722" s="17"/>
      <c r="F722" s="17"/>
      <c r="G722" s="78"/>
      <c r="H722" s="78"/>
      <c r="I722" s="17"/>
      <c r="J722" s="17"/>
      <c r="K722" s="17"/>
      <c r="L722" s="4"/>
      <c r="M722" s="4"/>
      <c r="N722" s="4"/>
      <c r="O722" s="4"/>
      <c r="P722" s="4"/>
      <c r="Q722" s="4"/>
      <c r="R722" s="4"/>
      <c r="S722" s="4"/>
      <c r="T722" s="4"/>
      <c r="U722" s="4"/>
      <c r="V722" s="4"/>
      <c r="W722" s="4"/>
      <c r="X722" s="4"/>
      <c r="Y722" s="4"/>
      <c r="Z722" s="4"/>
    </row>
    <row r="723">
      <c r="A723" s="77"/>
      <c r="B723" s="17"/>
      <c r="C723" s="17"/>
      <c r="D723" s="17"/>
      <c r="E723" s="17"/>
      <c r="F723" s="17"/>
      <c r="G723" s="78"/>
      <c r="H723" s="78"/>
      <c r="I723" s="17"/>
      <c r="J723" s="17"/>
      <c r="K723" s="17"/>
      <c r="L723" s="4"/>
      <c r="M723" s="4"/>
      <c r="N723" s="4"/>
      <c r="O723" s="4"/>
      <c r="P723" s="4"/>
      <c r="Q723" s="4"/>
      <c r="R723" s="4"/>
      <c r="S723" s="4"/>
      <c r="T723" s="4"/>
      <c r="U723" s="4"/>
      <c r="V723" s="4"/>
      <c r="W723" s="4"/>
      <c r="X723" s="4"/>
      <c r="Y723" s="4"/>
      <c r="Z723" s="4"/>
    </row>
    <row r="724">
      <c r="A724" s="77"/>
      <c r="B724" s="17"/>
      <c r="C724" s="17"/>
      <c r="D724" s="17"/>
      <c r="E724" s="17"/>
      <c r="F724" s="17"/>
      <c r="G724" s="78"/>
      <c r="H724" s="78"/>
      <c r="I724" s="17"/>
      <c r="J724" s="17"/>
      <c r="K724" s="17"/>
      <c r="L724" s="4"/>
      <c r="M724" s="4"/>
      <c r="N724" s="4"/>
      <c r="O724" s="4"/>
      <c r="P724" s="4"/>
      <c r="Q724" s="4"/>
      <c r="R724" s="4"/>
      <c r="S724" s="4"/>
      <c r="T724" s="4"/>
      <c r="U724" s="4"/>
      <c r="V724" s="4"/>
      <c r="W724" s="4"/>
      <c r="X724" s="4"/>
      <c r="Y724" s="4"/>
      <c r="Z724" s="4"/>
    </row>
    <row r="725">
      <c r="A725" s="77"/>
      <c r="B725" s="17"/>
      <c r="C725" s="17"/>
      <c r="D725" s="17"/>
      <c r="E725" s="17"/>
      <c r="F725" s="17"/>
      <c r="G725" s="78"/>
      <c r="H725" s="78"/>
      <c r="I725" s="17"/>
      <c r="J725" s="17"/>
      <c r="K725" s="17"/>
      <c r="L725" s="4"/>
      <c r="M725" s="4"/>
      <c r="N725" s="4"/>
      <c r="O725" s="4"/>
      <c r="P725" s="4"/>
      <c r="Q725" s="4"/>
      <c r="R725" s="4"/>
      <c r="S725" s="4"/>
      <c r="T725" s="4"/>
      <c r="U725" s="4"/>
      <c r="V725" s="4"/>
      <c r="W725" s="4"/>
      <c r="X725" s="4"/>
      <c r="Y725" s="4"/>
      <c r="Z725" s="4"/>
    </row>
    <row r="726">
      <c r="A726" s="77"/>
      <c r="B726" s="17"/>
      <c r="C726" s="17"/>
      <c r="D726" s="17"/>
      <c r="E726" s="17"/>
      <c r="F726" s="17"/>
      <c r="G726" s="78"/>
      <c r="H726" s="78"/>
      <c r="I726" s="17"/>
      <c r="J726" s="17"/>
      <c r="K726" s="17"/>
      <c r="L726" s="4"/>
      <c r="M726" s="4"/>
      <c r="N726" s="4"/>
      <c r="O726" s="4"/>
      <c r="P726" s="4"/>
      <c r="Q726" s="4"/>
      <c r="R726" s="4"/>
      <c r="S726" s="4"/>
      <c r="T726" s="4"/>
      <c r="U726" s="4"/>
      <c r="V726" s="4"/>
      <c r="W726" s="4"/>
      <c r="X726" s="4"/>
      <c r="Y726" s="4"/>
      <c r="Z726" s="4"/>
    </row>
    <row r="727">
      <c r="A727" s="77"/>
      <c r="B727" s="17"/>
      <c r="C727" s="17"/>
      <c r="D727" s="17"/>
      <c r="E727" s="17"/>
      <c r="F727" s="17"/>
      <c r="G727" s="78"/>
      <c r="H727" s="78"/>
      <c r="I727" s="17"/>
      <c r="J727" s="17"/>
      <c r="K727" s="17"/>
      <c r="L727" s="4"/>
      <c r="M727" s="4"/>
      <c r="N727" s="4"/>
      <c r="O727" s="4"/>
      <c r="P727" s="4"/>
      <c r="Q727" s="4"/>
      <c r="R727" s="4"/>
      <c r="S727" s="4"/>
      <c r="T727" s="4"/>
      <c r="U727" s="4"/>
      <c r="V727" s="4"/>
      <c r="W727" s="4"/>
      <c r="X727" s="4"/>
      <c r="Y727" s="4"/>
      <c r="Z727" s="4"/>
    </row>
    <row r="728">
      <c r="A728" s="77"/>
      <c r="B728" s="17"/>
      <c r="C728" s="17"/>
      <c r="D728" s="17"/>
      <c r="E728" s="17"/>
      <c r="F728" s="17"/>
      <c r="G728" s="78"/>
      <c r="H728" s="78"/>
      <c r="I728" s="17"/>
      <c r="J728" s="17"/>
      <c r="K728" s="17"/>
      <c r="L728" s="4"/>
      <c r="M728" s="4"/>
      <c r="N728" s="4"/>
      <c r="O728" s="4"/>
      <c r="P728" s="4"/>
      <c r="Q728" s="4"/>
      <c r="R728" s="4"/>
      <c r="S728" s="4"/>
      <c r="T728" s="4"/>
      <c r="U728" s="4"/>
      <c r="V728" s="4"/>
      <c r="W728" s="4"/>
      <c r="X728" s="4"/>
      <c r="Y728" s="4"/>
      <c r="Z728" s="4"/>
    </row>
    <row r="729">
      <c r="A729" s="77"/>
      <c r="B729" s="17"/>
      <c r="C729" s="17"/>
      <c r="D729" s="17"/>
      <c r="E729" s="17"/>
      <c r="F729" s="17"/>
      <c r="G729" s="78"/>
      <c r="H729" s="78"/>
      <c r="I729" s="17"/>
      <c r="J729" s="17"/>
      <c r="K729" s="17"/>
      <c r="L729" s="4"/>
      <c r="M729" s="4"/>
      <c r="N729" s="4"/>
      <c r="O729" s="4"/>
      <c r="P729" s="4"/>
      <c r="Q729" s="4"/>
      <c r="R729" s="4"/>
      <c r="S729" s="4"/>
      <c r="T729" s="4"/>
      <c r="U729" s="4"/>
      <c r="V729" s="4"/>
      <c r="W729" s="4"/>
      <c r="X729" s="4"/>
      <c r="Y729" s="4"/>
      <c r="Z729" s="4"/>
    </row>
    <row r="730">
      <c r="A730" s="77"/>
      <c r="B730" s="17"/>
      <c r="C730" s="17"/>
      <c r="D730" s="17"/>
      <c r="E730" s="17"/>
      <c r="F730" s="17"/>
      <c r="G730" s="78"/>
      <c r="H730" s="78"/>
      <c r="I730" s="17"/>
      <c r="J730" s="17"/>
      <c r="K730" s="17"/>
      <c r="L730" s="4"/>
      <c r="M730" s="4"/>
      <c r="N730" s="4"/>
      <c r="O730" s="4"/>
      <c r="P730" s="4"/>
      <c r="Q730" s="4"/>
      <c r="R730" s="4"/>
      <c r="S730" s="4"/>
      <c r="T730" s="4"/>
      <c r="U730" s="4"/>
      <c r="V730" s="4"/>
      <c r="W730" s="4"/>
      <c r="X730" s="4"/>
      <c r="Y730" s="4"/>
      <c r="Z730" s="4"/>
    </row>
    <row r="731">
      <c r="A731" s="77"/>
      <c r="B731" s="17"/>
      <c r="C731" s="17"/>
      <c r="D731" s="17"/>
      <c r="E731" s="17"/>
      <c r="F731" s="17"/>
      <c r="G731" s="78"/>
      <c r="H731" s="78"/>
      <c r="I731" s="17"/>
      <c r="J731" s="17"/>
      <c r="K731" s="17"/>
      <c r="L731" s="4"/>
      <c r="M731" s="4"/>
      <c r="N731" s="4"/>
      <c r="O731" s="4"/>
      <c r="P731" s="4"/>
      <c r="Q731" s="4"/>
      <c r="R731" s="4"/>
      <c r="S731" s="4"/>
      <c r="T731" s="4"/>
      <c r="U731" s="4"/>
      <c r="V731" s="4"/>
      <c r="W731" s="4"/>
      <c r="X731" s="4"/>
      <c r="Y731" s="4"/>
      <c r="Z731" s="4"/>
    </row>
    <row r="732">
      <c r="A732" s="77"/>
      <c r="B732" s="17"/>
      <c r="C732" s="17"/>
      <c r="D732" s="17"/>
      <c r="E732" s="17"/>
      <c r="F732" s="17"/>
      <c r="G732" s="78"/>
      <c r="H732" s="78"/>
      <c r="I732" s="17"/>
      <c r="J732" s="17"/>
      <c r="K732" s="17"/>
      <c r="L732" s="4"/>
      <c r="M732" s="4"/>
      <c r="N732" s="4"/>
      <c r="O732" s="4"/>
      <c r="P732" s="4"/>
      <c r="Q732" s="4"/>
      <c r="R732" s="4"/>
      <c r="S732" s="4"/>
      <c r="T732" s="4"/>
      <c r="U732" s="4"/>
      <c r="V732" s="4"/>
      <c r="W732" s="4"/>
      <c r="X732" s="4"/>
      <c r="Y732" s="4"/>
      <c r="Z732" s="4"/>
    </row>
    <row r="733">
      <c r="A733" s="77"/>
      <c r="B733" s="17"/>
      <c r="C733" s="17"/>
      <c r="D733" s="17"/>
      <c r="E733" s="17"/>
      <c r="F733" s="17"/>
      <c r="G733" s="78"/>
      <c r="H733" s="78"/>
      <c r="I733" s="17"/>
      <c r="J733" s="17"/>
      <c r="K733" s="17"/>
      <c r="L733" s="4"/>
      <c r="M733" s="4"/>
      <c r="N733" s="4"/>
      <c r="O733" s="4"/>
      <c r="P733" s="4"/>
      <c r="Q733" s="4"/>
      <c r="R733" s="4"/>
      <c r="S733" s="4"/>
      <c r="T733" s="4"/>
      <c r="U733" s="4"/>
      <c r="V733" s="4"/>
      <c r="W733" s="4"/>
      <c r="X733" s="4"/>
      <c r="Y733" s="4"/>
      <c r="Z733" s="4"/>
    </row>
    <row r="734">
      <c r="A734" s="77"/>
      <c r="B734" s="17"/>
      <c r="C734" s="17"/>
      <c r="D734" s="17"/>
      <c r="E734" s="17"/>
      <c r="F734" s="17"/>
      <c r="G734" s="78"/>
      <c r="H734" s="78"/>
      <c r="I734" s="17"/>
      <c r="J734" s="17"/>
      <c r="K734" s="17"/>
      <c r="L734" s="4"/>
      <c r="M734" s="4"/>
      <c r="N734" s="4"/>
      <c r="O734" s="4"/>
      <c r="P734" s="4"/>
      <c r="Q734" s="4"/>
      <c r="R734" s="4"/>
      <c r="S734" s="4"/>
      <c r="T734" s="4"/>
      <c r="U734" s="4"/>
      <c r="V734" s="4"/>
      <c r="W734" s="4"/>
      <c r="X734" s="4"/>
      <c r="Y734" s="4"/>
      <c r="Z734" s="4"/>
    </row>
    <row r="735">
      <c r="A735" s="77"/>
      <c r="B735" s="17"/>
      <c r="C735" s="17"/>
      <c r="D735" s="17"/>
      <c r="E735" s="17"/>
      <c r="F735" s="17"/>
      <c r="G735" s="78"/>
      <c r="H735" s="78"/>
      <c r="I735" s="17"/>
      <c r="J735" s="17"/>
      <c r="K735" s="17"/>
      <c r="L735" s="4"/>
      <c r="M735" s="4"/>
      <c r="N735" s="4"/>
      <c r="O735" s="4"/>
      <c r="P735" s="4"/>
      <c r="Q735" s="4"/>
      <c r="R735" s="4"/>
      <c r="S735" s="4"/>
      <c r="T735" s="4"/>
      <c r="U735" s="4"/>
      <c r="V735" s="4"/>
      <c r="W735" s="4"/>
      <c r="X735" s="4"/>
      <c r="Y735" s="4"/>
      <c r="Z735" s="4"/>
    </row>
    <row r="736">
      <c r="A736" s="77"/>
      <c r="B736" s="17"/>
      <c r="C736" s="17"/>
      <c r="D736" s="17"/>
      <c r="E736" s="17"/>
      <c r="F736" s="17"/>
      <c r="G736" s="78"/>
      <c r="H736" s="78"/>
      <c r="I736" s="17"/>
      <c r="J736" s="17"/>
      <c r="K736" s="17"/>
      <c r="L736" s="4"/>
      <c r="M736" s="4"/>
      <c r="N736" s="4"/>
      <c r="O736" s="4"/>
      <c r="P736" s="4"/>
      <c r="Q736" s="4"/>
      <c r="R736" s="4"/>
      <c r="S736" s="4"/>
      <c r="T736" s="4"/>
      <c r="U736" s="4"/>
      <c r="V736" s="4"/>
      <c r="W736" s="4"/>
      <c r="X736" s="4"/>
      <c r="Y736" s="4"/>
      <c r="Z736" s="4"/>
    </row>
    <row r="737">
      <c r="A737" s="77"/>
      <c r="B737" s="17"/>
      <c r="C737" s="17"/>
      <c r="D737" s="17"/>
      <c r="E737" s="17"/>
      <c r="F737" s="17"/>
      <c r="G737" s="78"/>
      <c r="H737" s="78"/>
      <c r="I737" s="17"/>
      <c r="J737" s="17"/>
      <c r="K737" s="17"/>
      <c r="L737" s="4"/>
      <c r="M737" s="4"/>
      <c r="N737" s="4"/>
      <c r="O737" s="4"/>
      <c r="P737" s="4"/>
      <c r="Q737" s="4"/>
      <c r="R737" s="4"/>
      <c r="S737" s="4"/>
      <c r="T737" s="4"/>
      <c r="U737" s="4"/>
      <c r="V737" s="4"/>
      <c r="W737" s="4"/>
      <c r="X737" s="4"/>
      <c r="Y737" s="4"/>
      <c r="Z737" s="4"/>
    </row>
    <row r="738">
      <c r="A738" s="77"/>
      <c r="B738" s="17"/>
      <c r="C738" s="17"/>
      <c r="D738" s="17"/>
      <c r="E738" s="17"/>
      <c r="F738" s="17"/>
      <c r="G738" s="78"/>
      <c r="H738" s="78"/>
      <c r="I738" s="17"/>
      <c r="J738" s="17"/>
      <c r="K738" s="17"/>
      <c r="L738" s="4"/>
      <c r="M738" s="4"/>
      <c r="N738" s="4"/>
      <c r="O738" s="4"/>
      <c r="P738" s="4"/>
      <c r="Q738" s="4"/>
      <c r="R738" s="4"/>
      <c r="S738" s="4"/>
      <c r="T738" s="4"/>
      <c r="U738" s="4"/>
      <c r="V738" s="4"/>
      <c r="W738" s="4"/>
      <c r="X738" s="4"/>
      <c r="Y738" s="4"/>
      <c r="Z738" s="4"/>
    </row>
    <row r="739">
      <c r="A739" s="77"/>
      <c r="B739" s="17"/>
      <c r="C739" s="17"/>
      <c r="D739" s="17"/>
      <c r="E739" s="17"/>
      <c r="F739" s="17"/>
      <c r="G739" s="78"/>
      <c r="H739" s="78"/>
      <c r="I739" s="17"/>
      <c r="J739" s="17"/>
      <c r="K739" s="17"/>
      <c r="L739" s="4"/>
      <c r="M739" s="4"/>
      <c r="N739" s="4"/>
      <c r="O739" s="4"/>
      <c r="P739" s="4"/>
      <c r="Q739" s="4"/>
      <c r="R739" s="4"/>
      <c r="S739" s="4"/>
      <c r="T739" s="4"/>
      <c r="U739" s="4"/>
      <c r="V739" s="4"/>
      <c r="W739" s="4"/>
      <c r="X739" s="4"/>
      <c r="Y739" s="4"/>
      <c r="Z739" s="4"/>
    </row>
    <row r="740">
      <c r="A740" s="77"/>
      <c r="B740" s="17"/>
      <c r="C740" s="17"/>
      <c r="D740" s="17"/>
      <c r="E740" s="17"/>
      <c r="F740" s="17"/>
      <c r="G740" s="78"/>
      <c r="H740" s="78"/>
      <c r="I740" s="17"/>
      <c r="J740" s="17"/>
      <c r="K740" s="17"/>
      <c r="L740" s="4"/>
      <c r="M740" s="4"/>
      <c r="N740" s="4"/>
      <c r="O740" s="4"/>
      <c r="P740" s="4"/>
      <c r="Q740" s="4"/>
      <c r="R740" s="4"/>
      <c r="S740" s="4"/>
      <c r="T740" s="4"/>
      <c r="U740" s="4"/>
      <c r="V740" s="4"/>
      <c r="W740" s="4"/>
      <c r="X740" s="4"/>
      <c r="Y740" s="4"/>
      <c r="Z740" s="4"/>
    </row>
    <row r="741">
      <c r="A741" s="77"/>
      <c r="B741" s="17"/>
      <c r="C741" s="17"/>
      <c r="D741" s="17"/>
      <c r="E741" s="17"/>
      <c r="F741" s="17"/>
      <c r="G741" s="78"/>
      <c r="H741" s="78"/>
      <c r="I741" s="17"/>
      <c r="J741" s="17"/>
      <c r="K741" s="17"/>
      <c r="L741" s="4"/>
      <c r="M741" s="4"/>
      <c r="N741" s="4"/>
      <c r="O741" s="4"/>
      <c r="P741" s="4"/>
      <c r="Q741" s="4"/>
      <c r="R741" s="4"/>
      <c r="S741" s="4"/>
      <c r="T741" s="4"/>
      <c r="U741" s="4"/>
      <c r="V741" s="4"/>
      <c r="W741" s="4"/>
      <c r="X741" s="4"/>
      <c r="Y741" s="4"/>
      <c r="Z741" s="4"/>
    </row>
    <row r="742">
      <c r="A742" s="77"/>
      <c r="B742" s="17"/>
      <c r="C742" s="17"/>
      <c r="D742" s="17"/>
      <c r="E742" s="17"/>
      <c r="F742" s="17"/>
      <c r="G742" s="78"/>
      <c r="H742" s="78"/>
      <c r="I742" s="17"/>
      <c r="J742" s="17"/>
      <c r="K742" s="17"/>
      <c r="L742" s="4"/>
      <c r="M742" s="4"/>
      <c r="N742" s="4"/>
      <c r="O742" s="4"/>
      <c r="P742" s="4"/>
      <c r="Q742" s="4"/>
      <c r="R742" s="4"/>
      <c r="S742" s="4"/>
      <c r="T742" s="4"/>
      <c r="U742" s="4"/>
      <c r="V742" s="4"/>
      <c r="W742" s="4"/>
      <c r="X742" s="4"/>
      <c r="Y742" s="4"/>
      <c r="Z742" s="4"/>
    </row>
    <row r="743">
      <c r="A743" s="77"/>
      <c r="B743" s="17"/>
      <c r="C743" s="17"/>
      <c r="D743" s="17"/>
      <c r="E743" s="17"/>
      <c r="F743" s="17"/>
      <c r="G743" s="78"/>
      <c r="H743" s="78"/>
      <c r="I743" s="17"/>
      <c r="J743" s="17"/>
      <c r="K743" s="17"/>
      <c r="L743" s="4"/>
      <c r="M743" s="4"/>
      <c r="N743" s="4"/>
      <c r="O743" s="4"/>
      <c r="P743" s="4"/>
      <c r="Q743" s="4"/>
      <c r="R743" s="4"/>
      <c r="S743" s="4"/>
      <c r="T743" s="4"/>
      <c r="U743" s="4"/>
      <c r="V743" s="4"/>
      <c r="W743" s="4"/>
      <c r="X743" s="4"/>
      <c r="Y743" s="4"/>
      <c r="Z743" s="4"/>
    </row>
    <row r="744">
      <c r="A744" s="77"/>
      <c r="B744" s="17"/>
      <c r="C744" s="17"/>
      <c r="D744" s="17"/>
      <c r="E744" s="17"/>
      <c r="F744" s="17"/>
      <c r="G744" s="78"/>
      <c r="H744" s="78"/>
      <c r="I744" s="17"/>
      <c r="J744" s="17"/>
      <c r="K744" s="17"/>
      <c r="L744" s="4"/>
      <c r="M744" s="4"/>
      <c r="N744" s="4"/>
      <c r="O744" s="4"/>
      <c r="P744" s="4"/>
      <c r="Q744" s="4"/>
      <c r="R744" s="4"/>
      <c r="S744" s="4"/>
      <c r="T744" s="4"/>
      <c r="U744" s="4"/>
      <c r="V744" s="4"/>
      <c r="W744" s="4"/>
      <c r="X744" s="4"/>
      <c r="Y744" s="4"/>
      <c r="Z744" s="4"/>
    </row>
    <row r="745">
      <c r="A745" s="77"/>
      <c r="B745" s="17"/>
      <c r="C745" s="17"/>
      <c r="D745" s="17"/>
      <c r="E745" s="17"/>
      <c r="F745" s="17"/>
      <c r="G745" s="78"/>
      <c r="H745" s="78"/>
      <c r="I745" s="17"/>
      <c r="J745" s="17"/>
      <c r="K745" s="17"/>
      <c r="L745" s="4"/>
      <c r="M745" s="4"/>
      <c r="N745" s="4"/>
      <c r="O745" s="4"/>
      <c r="P745" s="4"/>
      <c r="Q745" s="4"/>
      <c r="R745" s="4"/>
      <c r="S745" s="4"/>
      <c r="T745" s="4"/>
      <c r="U745" s="4"/>
      <c r="V745" s="4"/>
      <c r="W745" s="4"/>
      <c r="X745" s="4"/>
      <c r="Y745" s="4"/>
      <c r="Z745" s="4"/>
    </row>
    <row r="746">
      <c r="A746" s="77"/>
      <c r="B746" s="17"/>
      <c r="C746" s="17"/>
      <c r="D746" s="17"/>
      <c r="E746" s="17"/>
      <c r="F746" s="17"/>
      <c r="G746" s="78"/>
      <c r="H746" s="78"/>
      <c r="I746" s="17"/>
      <c r="J746" s="17"/>
      <c r="K746" s="17"/>
      <c r="L746" s="4"/>
      <c r="M746" s="4"/>
      <c r="N746" s="4"/>
      <c r="O746" s="4"/>
      <c r="P746" s="4"/>
      <c r="Q746" s="4"/>
      <c r="R746" s="4"/>
      <c r="S746" s="4"/>
      <c r="T746" s="4"/>
      <c r="U746" s="4"/>
      <c r="V746" s="4"/>
      <c r="W746" s="4"/>
      <c r="X746" s="4"/>
      <c r="Y746" s="4"/>
      <c r="Z746" s="4"/>
    </row>
    <row r="747">
      <c r="A747" s="77"/>
      <c r="B747" s="17"/>
      <c r="C747" s="17"/>
      <c r="D747" s="17"/>
      <c r="E747" s="17"/>
      <c r="F747" s="17"/>
      <c r="G747" s="78"/>
      <c r="H747" s="78"/>
      <c r="I747" s="17"/>
      <c r="J747" s="17"/>
      <c r="K747" s="17"/>
      <c r="L747" s="4"/>
      <c r="M747" s="4"/>
      <c r="N747" s="4"/>
      <c r="O747" s="4"/>
      <c r="P747" s="4"/>
      <c r="Q747" s="4"/>
      <c r="R747" s="4"/>
      <c r="S747" s="4"/>
      <c r="T747" s="4"/>
      <c r="U747" s="4"/>
      <c r="V747" s="4"/>
      <c r="W747" s="4"/>
      <c r="X747" s="4"/>
      <c r="Y747" s="4"/>
      <c r="Z747" s="4"/>
    </row>
    <row r="748">
      <c r="A748" s="77"/>
      <c r="B748" s="17"/>
      <c r="C748" s="17"/>
      <c r="D748" s="17"/>
      <c r="E748" s="17"/>
      <c r="F748" s="17"/>
      <c r="G748" s="78"/>
      <c r="H748" s="78"/>
      <c r="I748" s="17"/>
      <c r="J748" s="17"/>
      <c r="K748" s="17"/>
      <c r="L748" s="4"/>
      <c r="M748" s="4"/>
      <c r="N748" s="4"/>
      <c r="O748" s="4"/>
      <c r="P748" s="4"/>
      <c r="Q748" s="4"/>
      <c r="R748" s="4"/>
      <c r="S748" s="4"/>
      <c r="T748" s="4"/>
      <c r="U748" s="4"/>
      <c r="V748" s="4"/>
      <c r="W748" s="4"/>
      <c r="X748" s="4"/>
      <c r="Y748" s="4"/>
      <c r="Z748" s="4"/>
    </row>
    <row r="749">
      <c r="A749" s="77"/>
      <c r="B749" s="17"/>
      <c r="C749" s="17"/>
      <c r="D749" s="17"/>
      <c r="E749" s="17"/>
      <c r="F749" s="17"/>
      <c r="G749" s="78"/>
      <c r="H749" s="78"/>
      <c r="I749" s="17"/>
      <c r="J749" s="17"/>
      <c r="K749" s="17"/>
      <c r="L749" s="4"/>
      <c r="M749" s="4"/>
      <c r="N749" s="4"/>
      <c r="O749" s="4"/>
      <c r="P749" s="4"/>
      <c r="Q749" s="4"/>
      <c r="R749" s="4"/>
      <c r="S749" s="4"/>
      <c r="T749" s="4"/>
      <c r="U749" s="4"/>
      <c r="V749" s="4"/>
      <c r="W749" s="4"/>
      <c r="X749" s="4"/>
      <c r="Y749" s="4"/>
      <c r="Z749" s="4"/>
    </row>
    <row r="750">
      <c r="A750" s="77"/>
      <c r="B750" s="17"/>
      <c r="C750" s="17"/>
      <c r="D750" s="17"/>
      <c r="E750" s="17"/>
      <c r="F750" s="17"/>
      <c r="G750" s="78"/>
      <c r="H750" s="78"/>
      <c r="I750" s="17"/>
      <c r="J750" s="17"/>
      <c r="K750" s="17"/>
      <c r="L750" s="4"/>
      <c r="M750" s="4"/>
      <c r="N750" s="4"/>
      <c r="O750" s="4"/>
      <c r="P750" s="4"/>
      <c r="Q750" s="4"/>
      <c r="R750" s="4"/>
      <c r="S750" s="4"/>
      <c r="T750" s="4"/>
      <c r="U750" s="4"/>
      <c r="V750" s="4"/>
      <c r="W750" s="4"/>
      <c r="X750" s="4"/>
      <c r="Y750" s="4"/>
      <c r="Z750" s="4"/>
    </row>
    <row r="751">
      <c r="A751" s="77"/>
      <c r="B751" s="17"/>
      <c r="C751" s="17"/>
      <c r="D751" s="17"/>
      <c r="E751" s="17"/>
      <c r="F751" s="17"/>
      <c r="G751" s="78"/>
      <c r="H751" s="78"/>
      <c r="I751" s="17"/>
      <c r="J751" s="17"/>
      <c r="K751" s="17"/>
      <c r="L751" s="4"/>
      <c r="M751" s="4"/>
      <c r="N751" s="4"/>
      <c r="O751" s="4"/>
      <c r="P751" s="4"/>
      <c r="Q751" s="4"/>
      <c r="R751" s="4"/>
      <c r="S751" s="4"/>
      <c r="T751" s="4"/>
      <c r="U751" s="4"/>
      <c r="V751" s="4"/>
      <c r="W751" s="4"/>
      <c r="X751" s="4"/>
      <c r="Y751" s="4"/>
      <c r="Z751" s="4"/>
    </row>
    <row r="752">
      <c r="A752" s="77"/>
      <c r="B752" s="17"/>
      <c r="C752" s="17"/>
      <c r="D752" s="17"/>
      <c r="E752" s="17"/>
      <c r="F752" s="17"/>
      <c r="G752" s="78"/>
      <c r="H752" s="78"/>
      <c r="I752" s="17"/>
      <c r="J752" s="17"/>
      <c r="K752" s="17"/>
      <c r="L752" s="4"/>
      <c r="M752" s="4"/>
      <c r="N752" s="4"/>
      <c r="O752" s="4"/>
      <c r="P752" s="4"/>
      <c r="Q752" s="4"/>
      <c r="R752" s="4"/>
      <c r="S752" s="4"/>
      <c r="T752" s="4"/>
      <c r="U752" s="4"/>
      <c r="V752" s="4"/>
      <c r="W752" s="4"/>
      <c r="X752" s="4"/>
      <c r="Y752" s="4"/>
      <c r="Z752" s="4"/>
    </row>
    <row r="753">
      <c r="A753" s="77"/>
      <c r="B753" s="17"/>
      <c r="C753" s="17"/>
      <c r="D753" s="17"/>
      <c r="E753" s="17"/>
      <c r="F753" s="17"/>
      <c r="G753" s="78"/>
      <c r="H753" s="78"/>
      <c r="I753" s="17"/>
      <c r="J753" s="17"/>
      <c r="K753" s="17"/>
      <c r="L753" s="4"/>
      <c r="M753" s="4"/>
      <c r="N753" s="4"/>
      <c r="O753" s="4"/>
      <c r="P753" s="4"/>
      <c r="Q753" s="4"/>
      <c r="R753" s="4"/>
      <c r="S753" s="4"/>
      <c r="T753" s="4"/>
      <c r="U753" s="4"/>
      <c r="V753" s="4"/>
      <c r="W753" s="4"/>
      <c r="X753" s="4"/>
      <c r="Y753" s="4"/>
      <c r="Z753" s="4"/>
    </row>
    <row r="754">
      <c r="A754" s="77"/>
      <c r="B754" s="17"/>
      <c r="C754" s="17"/>
      <c r="D754" s="17"/>
      <c r="E754" s="17"/>
      <c r="F754" s="17"/>
      <c r="G754" s="78"/>
      <c r="H754" s="78"/>
      <c r="I754" s="17"/>
      <c r="J754" s="17"/>
      <c r="K754" s="17"/>
      <c r="L754" s="4"/>
      <c r="M754" s="4"/>
      <c r="N754" s="4"/>
      <c r="O754" s="4"/>
      <c r="P754" s="4"/>
      <c r="Q754" s="4"/>
      <c r="R754" s="4"/>
      <c r="S754" s="4"/>
      <c r="T754" s="4"/>
      <c r="U754" s="4"/>
      <c r="V754" s="4"/>
      <c r="W754" s="4"/>
      <c r="X754" s="4"/>
      <c r="Y754" s="4"/>
      <c r="Z754" s="4"/>
    </row>
    <row r="755">
      <c r="A755" s="77"/>
      <c r="B755" s="17"/>
      <c r="C755" s="17"/>
      <c r="D755" s="17"/>
      <c r="E755" s="17"/>
      <c r="F755" s="17"/>
      <c r="G755" s="78"/>
      <c r="H755" s="78"/>
      <c r="I755" s="17"/>
      <c r="J755" s="17"/>
      <c r="K755" s="17"/>
      <c r="L755" s="4"/>
      <c r="M755" s="4"/>
      <c r="N755" s="4"/>
      <c r="O755" s="4"/>
      <c r="P755" s="4"/>
      <c r="Q755" s="4"/>
      <c r="R755" s="4"/>
      <c r="S755" s="4"/>
      <c r="T755" s="4"/>
      <c r="U755" s="4"/>
      <c r="V755" s="4"/>
      <c r="W755" s="4"/>
      <c r="X755" s="4"/>
      <c r="Y755" s="4"/>
      <c r="Z755" s="4"/>
    </row>
    <row r="756">
      <c r="A756" s="77"/>
      <c r="B756" s="17"/>
      <c r="C756" s="17"/>
      <c r="D756" s="17"/>
      <c r="E756" s="17"/>
      <c r="F756" s="17"/>
      <c r="G756" s="78"/>
      <c r="H756" s="78"/>
      <c r="I756" s="17"/>
      <c r="J756" s="17"/>
      <c r="K756" s="17"/>
      <c r="L756" s="4"/>
      <c r="M756" s="4"/>
      <c r="N756" s="4"/>
      <c r="O756" s="4"/>
      <c r="P756" s="4"/>
      <c r="Q756" s="4"/>
      <c r="R756" s="4"/>
      <c r="S756" s="4"/>
      <c r="T756" s="4"/>
      <c r="U756" s="4"/>
      <c r="V756" s="4"/>
      <c r="W756" s="4"/>
      <c r="X756" s="4"/>
      <c r="Y756" s="4"/>
      <c r="Z756" s="4"/>
    </row>
    <row r="757">
      <c r="A757" s="77"/>
      <c r="B757" s="17"/>
      <c r="C757" s="17"/>
      <c r="D757" s="17"/>
      <c r="E757" s="17"/>
      <c r="F757" s="17"/>
      <c r="G757" s="78"/>
      <c r="H757" s="78"/>
      <c r="I757" s="17"/>
      <c r="J757" s="17"/>
      <c r="K757" s="17"/>
      <c r="L757" s="4"/>
      <c r="M757" s="4"/>
      <c r="N757" s="4"/>
      <c r="O757" s="4"/>
      <c r="P757" s="4"/>
      <c r="Q757" s="4"/>
      <c r="R757" s="4"/>
      <c r="S757" s="4"/>
      <c r="T757" s="4"/>
      <c r="U757" s="4"/>
      <c r="V757" s="4"/>
      <c r="W757" s="4"/>
      <c r="X757" s="4"/>
      <c r="Y757" s="4"/>
      <c r="Z757" s="4"/>
    </row>
    <row r="758">
      <c r="A758" s="77"/>
      <c r="B758" s="17"/>
      <c r="C758" s="17"/>
      <c r="D758" s="17"/>
      <c r="E758" s="17"/>
      <c r="F758" s="17"/>
      <c r="G758" s="78"/>
      <c r="H758" s="78"/>
      <c r="I758" s="17"/>
      <c r="J758" s="17"/>
      <c r="K758" s="17"/>
      <c r="L758" s="4"/>
      <c r="M758" s="4"/>
      <c r="N758" s="4"/>
      <c r="O758" s="4"/>
      <c r="P758" s="4"/>
      <c r="Q758" s="4"/>
      <c r="R758" s="4"/>
      <c r="S758" s="4"/>
      <c r="T758" s="4"/>
      <c r="U758" s="4"/>
      <c r="V758" s="4"/>
      <c r="W758" s="4"/>
      <c r="X758" s="4"/>
      <c r="Y758" s="4"/>
      <c r="Z758" s="4"/>
    </row>
    <row r="759">
      <c r="A759" s="77"/>
      <c r="B759" s="17"/>
      <c r="C759" s="17"/>
      <c r="D759" s="17"/>
      <c r="E759" s="17"/>
      <c r="F759" s="17"/>
      <c r="G759" s="78"/>
      <c r="H759" s="78"/>
      <c r="I759" s="17"/>
      <c r="J759" s="17"/>
      <c r="K759" s="17"/>
      <c r="L759" s="4"/>
      <c r="M759" s="4"/>
      <c r="N759" s="4"/>
      <c r="O759" s="4"/>
      <c r="P759" s="4"/>
      <c r="Q759" s="4"/>
      <c r="R759" s="4"/>
      <c r="S759" s="4"/>
      <c r="T759" s="4"/>
      <c r="U759" s="4"/>
      <c r="V759" s="4"/>
      <c r="W759" s="4"/>
      <c r="X759" s="4"/>
      <c r="Y759" s="4"/>
      <c r="Z759" s="4"/>
    </row>
    <row r="760">
      <c r="A760" s="77"/>
      <c r="B760" s="17"/>
      <c r="C760" s="17"/>
      <c r="D760" s="17"/>
      <c r="E760" s="17"/>
      <c r="F760" s="17"/>
      <c r="G760" s="78"/>
      <c r="H760" s="78"/>
      <c r="I760" s="17"/>
      <c r="J760" s="17"/>
      <c r="K760" s="17"/>
      <c r="L760" s="4"/>
      <c r="M760" s="4"/>
      <c r="N760" s="4"/>
      <c r="O760" s="4"/>
      <c r="P760" s="4"/>
      <c r="Q760" s="4"/>
      <c r="R760" s="4"/>
      <c r="S760" s="4"/>
      <c r="T760" s="4"/>
      <c r="U760" s="4"/>
      <c r="V760" s="4"/>
      <c r="W760" s="4"/>
      <c r="X760" s="4"/>
      <c r="Y760" s="4"/>
      <c r="Z760" s="4"/>
    </row>
    <row r="761">
      <c r="A761" s="77"/>
      <c r="B761" s="17"/>
      <c r="C761" s="17"/>
      <c r="D761" s="17"/>
      <c r="E761" s="17"/>
      <c r="F761" s="17"/>
      <c r="G761" s="78"/>
      <c r="H761" s="78"/>
      <c r="I761" s="17"/>
      <c r="J761" s="17"/>
      <c r="K761" s="17"/>
      <c r="L761" s="4"/>
      <c r="M761" s="4"/>
      <c r="N761" s="4"/>
      <c r="O761" s="4"/>
      <c r="P761" s="4"/>
      <c r="Q761" s="4"/>
      <c r="R761" s="4"/>
      <c r="S761" s="4"/>
      <c r="T761" s="4"/>
      <c r="U761" s="4"/>
      <c r="V761" s="4"/>
      <c r="W761" s="4"/>
      <c r="X761" s="4"/>
      <c r="Y761" s="4"/>
      <c r="Z761" s="4"/>
    </row>
    <row r="762">
      <c r="A762" s="77"/>
      <c r="B762" s="17"/>
      <c r="C762" s="17"/>
      <c r="D762" s="17"/>
      <c r="E762" s="17"/>
      <c r="F762" s="17"/>
      <c r="G762" s="78"/>
      <c r="H762" s="78"/>
      <c r="I762" s="17"/>
      <c r="J762" s="17"/>
      <c r="K762" s="17"/>
      <c r="L762" s="4"/>
      <c r="M762" s="4"/>
      <c r="N762" s="4"/>
      <c r="O762" s="4"/>
      <c r="P762" s="4"/>
      <c r="Q762" s="4"/>
      <c r="R762" s="4"/>
      <c r="S762" s="4"/>
      <c r="T762" s="4"/>
      <c r="U762" s="4"/>
      <c r="V762" s="4"/>
      <c r="W762" s="4"/>
      <c r="X762" s="4"/>
      <c r="Y762" s="4"/>
      <c r="Z762" s="4"/>
    </row>
    <row r="763">
      <c r="A763" s="77"/>
      <c r="B763" s="17"/>
      <c r="C763" s="17"/>
      <c r="D763" s="17"/>
      <c r="E763" s="17"/>
      <c r="F763" s="17"/>
      <c r="G763" s="78"/>
      <c r="H763" s="78"/>
      <c r="I763" s="17"/>
      <c r="J763" s="17"/>
      <c r="K763" s="17"/>
      <c r="L763" s="4"/>
      <c r="M763" s="4"/>
      <c r="N763" s="4"/>
      <c r="O763" s="4"/>
      <c r="P763" s="4"/>
      <c r="Q763" s="4"/>
      <c r="R763" s="4"/>
      <c r="S763" s="4"/>
      <c r="T763" s="4"/>
      <c r="U763" s="4"/>
      <c r="V763" s="4"/>
      <c r="W763" s="4"/>
      <c r="X763" s="4"/>
      <c r="Y763" s="4"/>
      <c r="Z763" s="4"/>
    </row>
    <row r="764">
      <c r="A764" s="77"/>
      <c r="B764" s="17"/>
      <c r="C764" s="17"/>
      <c r="D764" s="17"/>
      <c r="E764" s="17"/>
      <c r="F764" s="17"/>
      <c r="G764" s="78"/>
      <c r="H764" s="78"/>
      <c r="I764" s="17"/>
      <c r="J764" s="17"/>
      <c r="K764" s="17"/>
      <c r="L764" s="4"/>
      <c r="M764" s="4"/>
      <c r="N764" s="4"/>
      <c r="O764" s="4"/>
      <c r="P764" s="4"/>
      <c r="Q764" s="4"/>
      <c r="R764" s="4"/>
      <c r="S764" s="4"/>
      <c r="T764" s="4"/>
      <c r="U764" s="4"/>
      <c r="V764" s="4"/>
      <c r="W764" s="4"/>
      <c r="X764" s="4"/>
      <c r="Y764" s="4"/>
      <c r="Z764" s="4"/>
    </row>
    <row r="765">
      <c r="A765" s="77"/>
      <c r="B765" s="17"/>
      <c r="C765" s="17"/>
      <c r="D765" s="17"/>
      <c r="E765" s="17"/>
      <c r="F765" s="17"/>
      <c r="G765" s="78"/>
      <c r="H765" s="78"/>
      <c r="I765" s="17"/>
      <c r="J765" s="17"/>
      <c r="K765" s="17"/>
      <c r="L765" s="4"/>
      <c r="M765" s="4"/>
      <c r="N765" s="4"/>
      <c r="O765" s="4"/>
      <c r="P765" s="4"/>
      <c r="Q765" s="4"/>
      <c r="R765" s="4"/>
      <c r="S765" s="4"/>
      <c r="T765" s="4"/>
      <c r="U765" s="4"/>
      <c r="V765" s="4"/>
      <c r="W765" s="4"/>
      <c r="X765" s="4"/>
      <c r="Y765" s="4"/>
      <c r="Z765" s="4"/>
    </row>
    <row r="766">
      <c r="A766" s="77"/>
      <c r="B766" s="17"/>
      <c r="C766" s="17"/>
      <c r="D766" s="17"/>
      <c r="E766" s="17"/>
      <c r="F766" s="17"/>
      <c r="G766" s="78"/>
      <c r="H766" s="78"/>
      <c r="I766" s="17"/>
      <c r="J766" s="17"/>
      <c r="K766" s="17"/>
      <c r="L766" s="4"/>
      <c r="M766" s="4"/>
      <c r="N766" s="4"/>
      <c r="O766" s="4"/>
      <c r="P766" s="4"/>
      <c r="Q766" s="4"/>
      <c r="R766" s="4"/>
      <c r="S766" s="4"/>
      <c r="T766" s="4"/>
      <c r="U766" s="4"/>
      <c r="V766" s="4"/>
      <c r="W766" s="4"/>
      <c r="X766" s="4"/>
      <c r="Y766" s="4"/>
      <c r="Z766" s="4"/>
    </row>
    <row r="767">
      <c r="A767" s="77"/>
      <c r="B767" s="17"/>
      <c r="C767" s="17"/>
      <c r="D767" s="17"/>
      <c r="E767" s="17"/>
      <c r="F767" s="17"/>
      <c r="G767" s="78"/>
      <c r="H767" s="78"/>
      <c r="I767" s="17"/>
      <c r="J767" s="17"/>
      <c r="K767" s="17"/>
      <c r="L767" s="4"/>
      <c r="M767" s="4"/>
      <c r="N767" s="4"/>
      <c r="O767" s="4"/>
      <c r="P767" s="4"/>
      <c r="Q767" s="4"/>
      <c r="R767" s="4"/>
      <c r="S767" s="4"/>
      <c r="T767" s="4"/>
      <c r="U767" s="4"/>
      <c r="V767" s="4"/>
      <c r="W767" s="4"/>
      <c r="X767" s="4"/>
      <c r="Y767" s="4"/>
      <c r="Z767" s="4"/>
    </row>
    <row r="768">
      <c r="A768" s="77"/>
      <c r="B768" s="17"/>
      <c r="C768" s="17"/>
      <c r="D768" s="17"/>
      <c r="E768" s="17"/>
      <c r="F768" s="17"/>
      <c r="G768" s="78"/>
      <c r="H768" s="78"/>
      <c r="I768" s="17"/>
      <c r="J768" s="17"/>
      <c r="K768" s="17"/>
      <c r="L768" s="4"/>
      <c r="M768" s="4"/>
      <c r="N768" s="4"/>
      <c r="O768" s="4"/>
      <c r="P768" s="4"/>
      <c r="Q768" s="4"/>
      <c r="R768" s="4"/>
      <c r="S768" s="4"/>
      <c r="T768" s="4"/>
      <c r="U768" s="4"/>
      <c r="V768" s="4"/>
      <c r="W768" s="4"/>
      <c r="X768" s="4"/>
      <c r="Y768" s="4"/>
      <c r="Z768" s="4"/>
    </row>
    <row r="769">
      <c r="A769" s="77"/>
      <c r="B769" s="17"/>
      <c r="C769" s="17"/>
      <c r="D769" s="17"/>
      <c r="E769" s="17"/>
      <c r="F769" s="17"/>
      <c r="G769" s="78"/>
      <c r="H769" s="78"/>
      <c r="I769" s="17"/>
      <c r="J769" s="17"/>
      <c r="K769" s="17"/>
      <c r="L769" s="4"/>
      <c r="M769" s="4"/>
      <c r="N769" s="4"/>
      <c r="O769" s="4"/>
      <c r="P769" s="4"/>
      <c r="Q769" s="4"/>
      <c r="R769" s="4"/>
      <c r="S769" s="4"/>
      <c r="T769" s="4"/>
      <c r="U769" s="4"/>
      <c r="V769" s="4"/>
      <c r="W769" s="4"/>
      <c r="X769" s="4"/>
      <c r="Y769" s="4"/>
      <c r="Z769" s="4"/>
    </row>
    <row r="770">
      <c r="A770" s="77"/>
      <c r="B770" s="17"/>
      <c r="C770" s="17"/>
      <c r="D770" s="17"/>
      <c r="E770" s="17"/>
      <c r="F770" s="17"/>
      <c r="G770" s="78"/>
      <c r="H770" s="78"/>
      <c r="I770" s="17"/>
      <c r="J770" s="17"/>
      <c r="K770" s="17"/>
      <c r="L770" s="4"/>
      <c r="M770" s="4"/>
      <c r="N770" s="4"/>
      <c r="O770" s="4"/>
      <c r="P770" s="4"/>
      <c r="Q770" s="4"/>
      <c r="R770" s="4"/>
      <c r="S770" s="4"/>
      <c r="T770" s="4"/>
      <c r="U770" s="4"/>
      <c r="V770" s="4"/>
      <c r="W770" s="4"/>
      <c r="X770" s="4"/>
      <c r="Y770" s="4"/>
      <c r="Z770" s="4"/>
    </row>
    <row r="771">
      <c r="A771" s="77"/>
      <c r="B771" s="17"/>
      <c r="C771" s="17"/>
      <c r="D771" s="17"/>
      <c r="E771" s="17"/>
      <c r="F771" s="17"/>
      <c r="G771" s="78"/>
      <c r="H771" s="78"/>
      <c r="I771" s="17"/>
      <c r="J771" s="17"/>
      <c r="K771" s="17"/>
      <c r="L771" s="4"/>
      <c r="M771" s="4"/>
      <c r="N771" s="4"/>
      <c r="O771" s="4"/>
      <c r="P771" s="4"/>
      <c r="Q771" s="4"/>
      <c r="R771" s="4"/>
      <c r="S771" s="4"/>
      <c r="T771" s="4"/>
      <c r="U771" s="4"/>
      <c r="V771" s="4"/>
      <c r="W771" s="4"/>
      <c r="X771" s="4"/>
      <c r="Y771" s="4"/>
      <c r="Z771" s="4"/>
    </row>
    <row r="772">
      <c r="A772" s="77"/>
      <c r="B772" s="17"/>
      <c r="C772" s="17"/>
      <c r="D772" s="17"/>
      <c r="E772" s="17"/>
      <c r="F772" s="17"/>
      <c r="G772" s="78"/>
      <c r="H772" s="78"/>
      <c r="I772" s="17"/>
      <c r="J772" s="17"/>
      <c r="K772" s="17"/>
      <c r="L772" s="4"/>
      <c r="M772" s="4"/>
      <c r="N772" s="4"/>
      <c r="O772" s="4"/>
      <c r="P772" s="4"/>
      <c r="Q772" s="4"/>
      <c r="R772" s="4"/>
      <c r="S772" s="4"/>
      <c r="T772" s="4"/>
      <c r="U772" s="4"/>
      <c r="V772" s="4"/>
      <c r="W772" s="4"/>
      <c r="X772" s="4"/>
      <c r="Y772" s="4"/>
      <c r="Z772" s="4"/>
    </row>
    <row r="773">
      <c r="A773" s="77"/>
      <c r="B773" s="17"/>
      <c r="C773" s="17"/>
      <c r="D773" s="17"/>
      <c r="E773" s="17"/>
      <c r="F773" s="17"/>
      <c r="G773" s="78"/>
      <c r="H773" s="78"/>
      <c r="I773" s="17"/>
      <c r="J773" s="17"/>
      <c r="K773" s="17"/>
      <c r="L773" s="4"/>
      <c r="M773" s="4"/>
      <c r="N773" s="4"/>
      <c r="O773" s="4"/>
      <c r="P773" s="4"/>
      <c r="Q773" s="4"/>
      <c r="R773" s="4"/>
      <c r="S773" s="4"/>
      <c r="T773" s="4"/>
      <c r="U773" s="4"/>
      <c r="V773" s="4"/>
      <c r="W773" s="4"/>
      <c r="X773" s="4"/>
      <c r="Y773" s="4"/>
      <c r="Z773" s="4"/>
    </row>
    <row r="774">
      <c r="A774" s="77"/>
      <c r="B774" s="17"/>
      <c r="C774" s="17"/>
      <c r="D774" s="17"/>
      <c r="E774" s="17"/>
      <c r="F774" s="17"/>
      <c r="G774" s="78"/>
      <c r="H774" s="78"/>
      <c r="I774" s="17"/>
      <c r="J774" s="17"/>
      <c r="K774" s="17"/>
      <c r="L774" s="4"/>
      <c r="M774" s="4"/>
      <c r="N774" s="4"/>
      <c r="O774" s="4"/>
      <c r="P774" s="4"/>
      <c r="Q774" s="4"/>
      <c r="R774" s="4"/>
      <c r="S774" s="4"/>
      <c r="T774" s="4"/>
      <c r="U774" s="4"/>
      <c r="V774" s="4"/>
      <c r="W774" s="4"/>
      <c r="X774" s="4"/>
      <c r="Y774" s="4"/>
      <c r="Z774" s="4"/>
    </row>
    <row r="775">
      <c r="A775" s="77"/>
      <c r="B775" s="17"/>
      <c r="C775" s="17"/>
      <c r="D775" s="17"/>
      <c r="E775" s="17"/>
      <c r="F775" s="17"/>
      <c r="G775" s="78"/>
      <c r="H775" s="78"/>
      <c r="I775" s="17"/>
      <c r="J775" s="17"/>
      <c r="K775" s="17"/>
      <c r="L775" s="4"/>
      <c r="M775" s="4"/>
      <c r="N775" s="4"/>
      <c r="O775" s="4"/>
      <c r="P775" s="4"/>
      <c r="Q775" s="4"/>
      <c r="R775" s="4"/>
      <c r="S775" s="4"/>
      <c r="T775" s="4"/>
      <c r="U775" s="4"/>
      <c r="V775" s="4"/>
      <c r="W775" s="4"/>
      <c r="X775" s="4"/>
      <c r="Y775" s="4"/>
      <c r="Z775" s="4"/>
    </row>
    <row r="776">
      <c r="A776" s="77"/>
      <c r="B776" s="17"/>
      <c r="C776" s="17"/>
      <c r="D776" s="17"/>
      <c r="E776" s="17"/>
      <c r="F776" s="17"/>
      <c r="G776" s="78"/>
      <c r="H776" s="78"/>
      <c r="I776" s="17"/>
      <c r="J776" s="17"/>
      <c r="K776" s="17"/>
      <c r="L776" s="4"/>
      <c r="M776" s="4"/>
      <c r="N776" s="4"/>
      <c r="O776" s="4"/>
      <c r="P776" s="4"/>
      <c r="Q776" s="4"/>
      <c r="R776" s="4"/>
      <c r="S776" s="4"/>
      <c r="T776" s="4"/>
      <c r="U776" s="4"/>
      <c r="V776" s="4"/>
      <c r="W776" s="4"/>
      <c r="X776" s="4"/>
      <c r="Y776" s="4"/>
      <c r="Z776" s="4"/>
    </row>
    <row r="777">
      <c r="A777" s="77"/>
      <c r="B777" s="17"/>
      <c r="C777" s="17"/>
      <c r="D777" s="17"/>
      <c r="E777" s="17"/>
      <c r="F777" s="17"/>
      <c r="G777" s="78"/>
      <c r="H777" s="78"/>
      <c r="I777" s="17"/>
      <c r="J777" s="17"/>
      <c r="K777" s="17"/>
      <c r="L777" s="4"/>
      <c r="M777" s="4"/>
      <c r="N777" s="4"/>
      <c r="O777" s="4"/>
      <c r="P777" s="4"/>
      <c r="Q777" s="4"/>
      <c r="R777" s="4"/>
      <c r="S777" s="4"/>
      <c r="T777" s="4"/>
      <c r="U777" s="4"/>
      <c r="V777" s="4"/>
      <c r="W777" s="4"/>
      <c r="X777" s="4"/>
      <c r="Y777" s="4"/>
      <c r="Z777" s="4"/>
    </row>
    <row r="778">
      <c r="A778" s="77"/>
      <c r="B778" s="17"/>
      <c r="C778" s="17"/>
      <c r="D778" s="17"/>
      <c r="E778" s="17"/>
      <c r="F778" s="17"/>
      <c r="G778" s="78"/>
      <c r="H778" s="78"/>
      <c r="I778" s="17"/>
      <c r="J778" s="17"/>
      <c r="K778" s="17"/>
      <c r="L778" s="4"/>
      <c r="M778" s="4"/>
      <c r="N778" s="4"/>
      <c r="O778" s="4"/>
      <c r="P778" s="4"/>
      <c r="Q778" s="4"/>
      <c r="R778" s="4"/>
      <c r="S778" s="4"/>
      <c r="T778" s="4"/>
      <c r="U778" s="4"/>
      <c r="V778" s="4"/>
      <c r="W778" s="4"/>
      <c r="X778" s="4"/>
      <c r="Y778" s="4"/>
      <c r="Z778" s="4"/>
    </row>
    <row r="779">
      <c r="A779" s="77"/>
      <c r="B779" s="17"/>
      <c r="C779" s="17"/>
      <c r="D779" s="17"/>
      <c r="E779" s="17"/>
      <c r="F779" s="17"/>
      <c r="G779" s="78"/>
      <c r="H779" s="78"/>
      <c r="I779" s="17"/>
      <c r="J779" s="17"/>
      <c r="K779" s="17"/>
      <c r="L779" s="4"/>
      <c r="M779" s="4"/>
      <c r="N779" s="4"/>
      <c r="O779" s="4"/>
      <c r="P779" s="4"/>
      <c r="Q779" s="4"/>
      <c r="R779" s="4"/>
      <c r="S779" s="4"/>
      <c r="T779" s="4"/>
      <c r="U779" s="4"/>
      <c r="V779" s="4"/>
      <c r="W779" s="4"/>
      <c r="X779" s="4"/>
      <c r="Y779" s="4"/>
      <c r="Z779" s="4"/>
    </row>
    <row r="780">
      <c r="A780" s="77"/>
      <c r="B780" s="17"/>
      <c r="C780" s="17"/>
      <c r="D780" s="17"/>
      <c r="E780" s="17"/>
      <c r="F780" s="17"/>
      <c r="G780" s="78"/>
      <c r="H780" s="78"/>
      <c r="I780" s="17"/>
      <c r="J780" s="17"/>
      <c r="K780" s="17"/>
      <c r="L780" s="4"/>
      <c r="M780" s="4"/>
      <c r="N780" s="4"/>
      <c r="O780" s="4"/>
      <c r="P780" s="4"/>
      <c r="Q780" s="4"/>
      <c r="R780" s="4"/>
      <c r="S780" s="4"/>
      <c r="T780" s="4"/>
      <c r="U780" s="4"/>
      <c r="V780" s="4"/>
      <c r="W780" s="4"/>
      <c r="X780" s="4"/>
      <c r="Y780" s="4"/>
      <c r="Z780" s="4"/>
    </row>
    <row r="781">
      <c r="A781" s="77"/>
      <c r="B781" s="17"/>
      <c r="C781" s="17"/>
      <c r="D781" s="17"/>
      <c r="E781" s="17"/>
      <c r="F781" s="17"/>
      <c r="G781" s="78"/>
      <c r="H781" s="78"/>
      <c r="I781" s="17"/>
      <c r="J781" s="17"/>
      <c r="K781" s="17"/>
      <c r="L781" s="4"/>
      <c r="M781" s="4"/>
      <c r="N781" s="4"/>
      <c r="O781" s="4"/>
      <c r="P781" s="4"/>
      <c r="Q781" s="4"/>
      <c r="R781" s="4"/>
      <c r="S781" s="4"/>
      <c r="T781" s="4"/>
      <c r="U781" s="4"/>
      <c r="V781" s="4"/>
      <c r="W781" s="4"/>
      <c r="X781" s="4"/>
      <c r="Y781" s="4"/>
      <c r="Z781" s="4"/>
    </row>
    <row r="782">
      <c r="A782" s="77"/>
      <c r="B782" s="17"/>
      <c r="C782" s="17"/>
      <c r="D782" s="17"/>
      <c r="E782" s="17"/>
      <c r="F782" s="17"/>
      <c r="G782" s="78"/>
      <c r="H782" s="78"/>
      <c r="I782" s="17"/>
      <c r="J782" s="17"/>
      <c r="K782" s="17"/>
      <c r="L782" s="4"/>
      <c r="M782" s="4"/>
      <c r="N782" s="4"/>
      <c r="O782" s="4"/>
      <c r="P782" s="4"/>
      <c r="Q782" s="4"/>
      <c r="R782" s="4"/>
      <c r="S782" s="4"/>
      <c r="T782" s="4"/>
      <c r="U782" s="4"/>
      <c r="V782" s="4"/>
      <c r="W782" s="4"/>
      <c r="X782" s="4"/>
      <c r="Y782" s="4"/>
      <c r="Z782" s="4"/>
    </row>
    <row r="783">
      <c r="A783" s="77"/>
      <c r="B783" s="17"/>
      <c r="C783" s="17"/>
      <c r="D783" s="17"/>
      <c r="E783" s="17"/>
      <c r="F783" s="17"/>
      <c r="G783" s="78"/>
      <c r="H783" s="78"/>
      <c r="I783" s="17"/>
      <c r="J783" s="17"/>
      <c r="K783" s="17"/>
      <c r="L783" s="4"/>
      <c r="M783" s="4"/>
      <c r="N783" s="4"/>
      <c r="O783" s="4"/>
      <c r="P783" s="4"/>
      <c r="Q783" s="4"/>
      <c r="R783" s="4"/>
      <c r="S783" s="4"/>
      <c r="T783" s="4"/>
      <c r="U783" s="4"/>
      <c r="V783" s="4"/>
      <c r="W783" s="4"/>
      <c r="X783" s="4"/>
      <c r="Y783" s="4"/>
      <c r="Z783" s="4"/>
    </row>
    <row r="784">
      <c r="A784" s="77"/>
      <c r="B784" s="17"/>
      <c r="C784" s="17"/>
      <c r="D784" s="17"/>
      <c r="E784" s="17"/>
      <c r="F784" s="17"/>
      <c r="G784" s="78"/>
      <c r="H784" s="78"/>
      <c r="I784" s="17"/>
      <c r="J784" s="17"/>
      <c r="K784" s="17"/>
      <c r="L784" s="4"/>
      <c r="M784" s="4"/>
      <c r="N784" s="4"/>
      <c r="O784" s="4"/>
      <c r="P784" s="4"/>
      <c r="Q784" s="4"/>
      <c r="R784" s="4"/>
      <c r="S784" s="4"/>
      <c r="T784" s="4"/>
      <c r="U784" s="4"/>
      <c r="V784" s="4"/>
      <c r="W784" s="4"/>
      <c r="X784" s="4"/>
      <c r="Y784" s="4"/>
      <c r="Z784" s="4"/>
    </row>
    <row r="785">
      <c r="A785" s="77"/>
      <c r="B785" s="17"/>
      <c r="C785" s="17"/>
      <c r="D785" s="17"/>
      <c r="E785" s="17"/>
      <c r="F785" s="17"/>
      <c r="G785" s="78"/>
      <c r="H785" s="78"/>
      <c r="I785" s="17"/>
      <c r="J785" s="17"/>
      <c r="K785" s="17"/>
      <c r="L785" s="4"/>
      <c r="M785" s="4"/>
      <c r="N785" s="4"/>
      <c r="O785" s="4"/>
      <c r="P785" s="4"/>
      <c r="Q785" s="4"/>
      <c r="R785" s="4"/>
      <c r="S785" s="4"/>
      <c r="T785" s="4"/>
      <c r="U785" s="4"/>
      <c r="V785" s="4"/>
      <c r="W785" s="4"/>
      <c r="X785" s="4"/>
      <c r="Y785" s="4"/>
      <c r="Z785" s="4"/>
    </row>
    <row r="786">
      <c r="A786" s="77"/>
      <c r="B786" s="17"/>
      <c r="C786" s="17"/>
      <c r="D786" s="17"/>
      <c r="E786" s="17"/>
      <c r="F786" s="17"/>
      <c r="G786" s="78"/>
      <c r="H786" s="78"/>
      <c r="I786" s="17"/>
      <c r="J786" s="17"/>
      <c r="K786" s="17"/>
      <c r="L786" s="4"/>
      <c r="M786" s="4"/>
      <c r="N786" s="4"/>
      <c r="O786" s="4"/>
      <c r="P786" s="4"/>
      <c r="Q786" s="4"/>
      <c r="R786" s="4"/>
      <c r="S786" s="4"/>
      <c r="T786" s="4"/>
      <c r="U786" s="4"/>
      <c r="V786" s="4"/>
      <c r="W786" s="4"/>
      <c r="X786" s="4"/>
      <c r="Y786" s="4"/>
      <c r="Z786" s="4"/>
    </row>
    <row r="787">
      <c r="A787" s="77"/>
      <c r="B787" s="17"/>
      <c r="C787" s="17"/>
      <c r="D787" s="17"/>
      <c r="E787" s="17"/>
      <c r="F787" s="17"/>
      <c r="G787" s="78"/>
      <c r="H787" s="78"/>
      <c r="I787" s="17"/>
      <c r="J787" s="17"/>
      <c r="K787" s="17"/>
      <c r="L787" s="4"/>
      <c r="M787" s="4"/>
      <c r="N787" s="4"/>
      <c r="O787" s="4"/>
      <c r="P787" s="4"/>
      <c r="Q787" s="4"/>
      <c r="R787" s="4"/>
      <c r="S787" s="4"/>
      <c r="T787" s="4"/>
      <c r="U787" s="4"/>
      <c r="V787" s="4"/>
      <c r="W787" s="4"/>
      <c r="X787" s="4"/>
      <c r="Y787" s="4"/>
      <c r="Z787" s="4"/>
    </row>
    <row r="788">
      <c r="A788" s="77"/>
      <c r="B788" s="17"/>
      <c r="C788" s="17"/>
      <c r="D788" s="17"/>
      <c r="E788" s="17"/>
      <c r="F788" s="17"/>
      <c r="G788" s="78"/>
      <c r="H788" s="78"/>
      <c r="I788" s="17"/>
      <c r="J788" s="17"/>
      <c r="K788" s="17"/>
      <c r="L788" s="4"/>
      <c r="M788" s="4"/>
      <c r="N788" s="4"/>
      <c r="O788" s="4"/>
      <c r="P788" s="4"/>
      <c r="Q788" s="4"/>
      <c r="R788" s="4"/>
      <c r="S788" s="4"/>
      <c r="T788" s="4"/>
      <c r="U788" s="4"/>
      <c r="V788" s="4"/>
      <c r="W788" s="4"/>
      <c r="X788" s="4"/>
      <c r="Y788" s="4"/>
      <c r="Z788" s="4"/>
    </row>
    <row r="789">
      <c r="A789" s="77"/>
      <c r="B789" s="17"/>
      <c r="C789" s="17"/>
      <c r="D789" s="17"/>
      <c r="E789" s="17"/>
      <c r="F789" s="17"/>
      <c r="G789" s="78"/>
      <c r="H789" s="78"/>
      <c r="I789" s="17"/>
      <c r="J789" s="17"/>
      <c r="K789" s="17"/>
      <c r="L789" s="4"/>
      <c r="M789" s="4"/>
      <c r="N789" s="4"/>
      <c r="O789" s="4"/>
      <c r="P789" s="4"/>
      <c r="Q789" s="4"/>
      <c r="R789" s="4"/>
      <c r="S789" s="4"/>
      <c r="T789" s="4"/>
      <c r="U789" s="4"/>
      <c r="V789" s="4"/>
      <c r="W789" s="4"/>
      <c r="X789" s="4"/>
      <c r="Y789" s="4"/>
      <c r="Z789" s="4"/>
    </row>
    <row r="790">
      <c r="A790" s="77"/>
      <c r="B790" s="17"/>
      <c r="C790" s="17"/>
      <c r="D790" s="17"/>
      <c r="E790" s="17"/>
      <c r="F790" s="17"/>
      <c r="G790" s="78"/>
      <c r="H790" s="78"/>
      <c r="I790" s="17"/>
      <c r="J790" s="17"/>
      <c r="K790" s="17"/>
      <c r="L790" s="4"/>
      <c r="M790" s="4"/>
      <c r="N790" s="4"/>
      <c r="O790" s="4"/>
      <c r="P790" s="4"/>
      <c r="Q790" s="4"/>
      <c r="R790" s="4"/>
      <c r="S790" s="4"/>
      <c r="T790" s="4"/>
      <c r="U790" s="4"/>
      <c r="V790" s="4"/>
      <c r="W790" s="4"/>
      <c r="X790" s="4"/>
      <c r="Y790" s="4"/>
      <c r="Z790" s="4"/>
    </row>
    <row r="791">
      <c r="A791" s="77"/>
      <c r="B791" s="17"/>
      <c r="C791" s="17"/>
      <c r="D791" s="17"/>
      <c r="E791" s="17"/>
      <c r="F791" s="17"/>
      <c r="G791" s="78"/>
      <c r="H791" s="78"/>
      <c r="I791" s="17"/>
      <c r="J791" s="17"/>
      <c r="K791" s="17"/>
      <c r="L791" s="4"/>
      <c r="M791" s="4"/>
      <c r="N791" s="4"/>
      <c r="O791" s="4"/>
      <c r="P791" s="4"/>
      <c r="Q791" s="4"/>
      <c r="R791" s="4"/>
      <c r="S791" s="4"/>
      <c r="T791" s="4"/>
      <c r="U791" s="4"/>
      <c r="V791" s="4"/>
      <c r="W791" s="4"/>
      <c r="X791" s="4"/>
      <c r="Y791" s="4"/>
      <c r="Z791" s="4"/>
    </row>
    <row r="792">
      <c r="A792" s="77"/>
      <c r="B792" s="17"/>
      <c r="C792" s="17"/>
      <c r="D792" s="17"/>
      <c r="E792" s="17"/>
      <c r="F792" s="17"/>
      <c r="G792" s="78"/>
      <c r="H792" s="78"/>
      <c r="I792" s="17"/>
      <c r="J792" s="17"/>
      <c r="K792" s="17"/>
      <c r="L792" s="4"/>
      <c r="M792" s="4"/>
      <c r="N792" s="4"/>
      <c r="O792" s="4"/>
      <c r="P792" s="4"/>
      <c r="Q792" s="4"/>
      <c r="R792" s="4"/>
      <c r="S792" s="4"/>
      <c r="T792" s="4"/>
      <c r="U792" s="4"/>
      <c r="V792" s="4"/>
      <c r="W792" s="4"/>
      <c r="X792" s="4"/>
      <c r="Y792" s="4"/>
      <c r="Z792" s="4"/>
    </row>
    <row r="793">
      <c r="A793" s="77"/>
      <c r="B793" s="17"/>
      <c r="C793" s="17"/>
      <c r="D793" s="17"/>
      <c r="E793" s="17"/>
      <c r="F793" s="17"/>
      <c r="G793" s="78"/>
      <c r="H793" s="78"/>
      <c r="I793" s="17"/>
      <c r="J793" s="17"/>
      <c r="K793" s="17"/>
      <c r="L793" s="4"/>
      <c r="M793" s="4"/>
      <c r="N793" s="4"/>
      <c r="O793" s="4"/>
      <c r="P793" s="4"/>
      <c r="Q793" s="4"/>
      <c r="R793" s="4"/>
      <c r="S793" s="4"/>
      <c r="T793" s="4"/>
      <c r="U793" s="4"/>
      <c r="V793" s="4"/>
      <c r="W793" s="4"/>
      <c r="X793" s="4"/>
      <c r="Y793" s="4"/>
      <c r="Z793" s="4"/>
    </row>
    <row r="794">
      <c r="A794" s="77"/>
      <c r="B794" s="17"/>
      <c r="C794" s="17"/>
      <c r="D794" s="17"/>
      <c r="E794" s="17"/>
      <c r="F794" s="17"/>
      <c r="G794" s="78"/>
      <c r="H794" s="78"/>
      <c r="I794" s="17"/>
      <c r="J794" s="17"/>
      <c r="K794" s="17"/>
      <c r="L794" s="4"/>
      <c r="M794" s="4"/>
      <c r="N794" s="4"/>
      <c r="O794" s="4"/>
      <c r="P794" s="4"/>
      <c r="Q794" s="4"/>
      <c r="R794" s="4"/>
      <c r="S794" s="4"/>
      <c r="T794" s="4"/>
      <c r="U794" s="4"/>
      <c r="V794" s="4"/>
      <c r="W794" s="4"/>
      <c r="X794" s="4"/>
      <c r="Y794" s="4"/>
      <c r="Z794" s="4"/>
    </row>
    <row r="795">
      <c r="A795" s="77"/>
      <c r="B795" s="17"/>
      <c r="C795" s="17"/>
      <c r="D795" s="17"/>
      <c r="E795" s="17"/>
      <c r="F795" s="17"/>
      <c r="G795" s="78"/>
      <c r="H795" s="78"/>
      <c r="I795" s="17"/>
      <c r="J795" s="17"/>
      <c r="K795" s="17"/>
      <c r="L795" s="4"/>
      <c r="M795" s="4"/>
      <c r="N795" s="4"/>
      <c r="O795" s="4"/>
      <c r="P795" s="4"/>
      <c r="Q795" s="4"/>
      <c r="R795" s="4"/>
      <c r="S795" s="4"/>
      <c r="T795" s="4"/>
      <c r="U795" s="4"/>
      <c r="V795" s="4"/>
      <c r="W795" s="4"/>
      <c r="X795" s="4"/>
      <c r="Y795" s="4"/>
      <c r="Z795" s="4"/>
    </row>
    <row r="796">
      <c r="A796" s="77"/>
      <c r="B796" s="17"/>
      <c r="C796" s="17"/>
      <c r="D796" s="17"/>
      <c r="E796" s="17"/>
      <c r="F796" s="17"/>
      <c r="G796" s="78"/>
      <c r="H796" s="78"/>
      <c r="I796" s="17"/>
      <c r="J796" s="17"/>
      <c r="K796" s="17"/>
      <c r="L796" s="4"/>
      <c r="M796" s="4"/>
      <c r="N796" s="4"/>
      <c r="O796" s="4"/>
      <c r="P796" s="4"/>
      <c r="Q796" s="4"/>
      <c r="R796" s="4"/>
      <c r="S796" s="4"/>
      <c r="T796" s="4"/>
      <c r="U796" s="4"/>
      <c r="V796" s="4"/>
      <c r="W796" s="4"/>
      <c r="X796" s="4"/>
      <c r="Y796" s="4"/>
      <c r="Z796" s="4"/>
    </row>
    <row r="797">
      <c r="A797" s="77"/>
      <c r="B797" s="17"/>
      <c r="C797" s="17"/>
      <c r="D797" s="17"/>
      <c r="E797" s="17"/>
      <c r="F797" s="17"/>
      <c r="G797" s="78"/>
      <c r="H797" s="78"/>
      <c r="I797" s="17"/>
      <c r="J797" s="17"/>
      <c r="K797" s="17"/>
      <c r="L797" s="4"/>
      <c r="M797" s="4"/>
      <c r="N797" s="4"/>
      <c r="O797" s="4"/>
      <c r="P797" s="4"/>
      <c r="Q797" s="4"/>
      <c r="R797" s="4"/>
      <c r="S797" s="4"/>
      <c r="T797" s="4"/>
      <c r="U797" s="4"/>
      <c r="V797" s="4"/>
      <c r="W797" s="4"/>
      <c r="X797" s="4"/>
      <c r="Y797" s="4"/>
      <c r="Z797" s="4"/>
    </row>
    <row r="798">
      <c r="A798" s="77"/>
      <c r="B798" s="17"/>
      <c r="C798" s="17"/>
      <c r="D798" s="17"/>
      <c r="E798" s="17"/>
      <c r="F798" s="17"/>
      <c r="G798" s="78"/>
      <c r="H798" s="78"/>
      <c r="I798" s="17"/>
      <c r="J798" s="17"/>
      <c r="K798" s="17"/>
      <c r="L798" s="4"/>
      <c r="M798" s="4"/>
      <c r="N798" s="4"/>
      <c r="O798" s="4"/>
      <c r="P798" s="4"/>
      <c r="Q798" s="4"/>
      <c r="R798" s="4"/>
      <c r="S798" s="4"/>
      <c r="T798" s="4"/>
      <c r="U798" s="4"/>
      <c r="V798" s="4"/>
      <c r="W798" s="4"/>
      <c r="X798" s="4"/>
      <c r="Y798" s="4"/>
      <c r="Z798" s="4"/>
    </row>
    <row r="799">
      <c r="A799" s="77"/>
      <c r="B799" s="17"/>
      <c r="C799" s="17"/>
      <c r="D799" s="17"/>
      <c r="E799" s="17"/>
      <c r="F799" s="17"/>
      <c r="G799" s="78"/>
      <c r="H799" s="78"/>
      <c r="I799" s="17"/>
      <c r="J799" s="17"/>
      <c r="K799" s="17"/>
      <c r="L799" s="4"/>
      <c r="M799" s="4"/>
      <c r="N799" s="4"/>
      <c r="O799" s="4"/>
      <c r="P799" s="4"/>
      <c r="Q799" s="4"/>
      <c r="R799" s="4"/>
      <c r="S799" s="4"/>
      <c r="T799" s="4"/>
      <c r="U799" s="4"/>
      <c r="V799" s="4"/>
      <c r="W799" s="4"/>
      <c r="X799" s="4"/>
      <c r="Y799" s="4"/>
      <c r="Z799" s="4"/>
    </row>
    <row r="800">
      <c r="A800" s="77"/>
      <c r="B800" s="17"/>
      <c r="C800" s="17"/>
      <c r="D800" s="17"/>
      <c r="E800" s="17"/>
      <c r="F800" s="17"/>
      <c r="G800" s="78"/>
      <c r="H800" s="78"/>
      <c r="I800" s="17"/>
      <c r="J800" s="17"/>
      <c r="K800" s="17"/>
      <c r="L800" s="4"/>
      <c r="M800" s="4"/>
      <c r="N800" s="4"/>
      <c r="O800" s="4"/>
      <c r="P800" s="4"/>
      <c r="Q800" s="4"/>
      <c r="R800" s="4"/>
      <c r="S800" s="4"/>
      <c r="T800" s="4"/>
      <c r="U800" s="4"/>
      <c r="V800" s="4"/>
      <c r="W800" s="4"/>
      <c r="X800" s="4"/>
      <c r="Y800" s="4"/>
      <c r="Z800" s="4"/>
    </row>
    <row r="801">
      <c r="A801" s="77"/>
      <c r="B801" s="17"/>
      <c r="C801" s="17"/>
      <c r="D801" s="17"/>
      <c r="E801" s="17"/>
      <c r="F801" s="17"/>
      <c r="G801" s="78"/>
      <c r="H801" s="78"/>
      <c r="I801" s="17"/>
      <c r="J801" s="17"/>
      <c r="K801" s="17"/>
      <c r="L801" s="4"/>
      <c r="M801" s="4"/>
      <c r="N801" s="4"/>
      <c r="O801" s="4"/>
      <c r="P801" s="4"/>
      <c r="Q801" s="4"/>
      <c r="R801" s="4"/>
      <c r="S801" s="4"/>
      <c r="T801" s="4"/>
      <c r="U801" s="4"/>
      <c r="V801" s="4"/>
      <c r="W801" s="4"/>
      <c r="X801" s="4"/>
      <c r="Y801" s="4"/>
      <c r="Z801" s="4"/>
    </row>
    <row r="802">
      <c r="A802" s="77"/>
      <c r="B802" s="17"/>
      <c r="C802" s="17"/>
      <c r="D802" s="17"/>
      <c r="E802" s="17"/>
      <c r="F802" s="17"/>
      <c r="G802" s="78"/>
      <c r="H802" s="78"/>
      <c r="I802" s="17"/>
      <c r="J802" s="17"/>
      <c r="K802" s="17"/>
      <c r="L802" s="4"/>
      <c r="M802" s="4"/>
      <c r="N802" s="4"/>
      <c r="O802" s="4"/>
      <c r="P802" s="4"/>
      <c r="Q802" s="4"/>
      <c r="R802" s="4"/>
      <c r="S802" s="4"/>
      <c r="T802" s="4"/>
      <c r="U802" s="4"/>
      <c r="V802" s="4"/>
      <c r="W802" s="4"/>
      <c r="X802" s="4"/>
      <c r="Y802" s="4"/>
      <c r="Z802" s="4"/>
    </row>
    <row r="803">
      <c r="A803" s="77"/>
      <c r="B803" s="17"/>
      <c r="C803" s="17"/>
      <c r="D803" s="17"/>
      <c r="E803" s="17"/>
      <c r="F803" s="17"/>
      <c r="G803" s="78"/>
      <c r="H803" s="78"/>
      <c r="I803" s="17"/>
      <c r="J803" s="17"/>
      <c r="K803" s="17"/>
      <c r="L803" s="4"/>
      <c r="M803" s="4"/>
      <c r="N803" s="4"/>
      <c r="O803" s="4"/>
      <c r="P803" s="4"/>
      <c r="Q803" s="4"/>
      <c r="R803" s="4"/>
      <c r="S803" s="4"/>
      <c r="T803" s="4"/>
      <c r="U803" s="4"/>
      <c r="V803" s="4"/>
      <c r="W803" s="4"/>
      <c r="X803" s="4"/>
      <c r="Y803" s="4"/>
      <c r="Z803" s="4"/>
    </row>
    <row r="804">
      <c r="A804" s="77"/>
      <c r="B804" s="17"/>
      <c r="C804" s="17"/>
      <c r="D804" s="17"/>
      <c r="E804" s="17"/>
      <c r="F804" s="17"/>
      <c r="G804" s="78"/>
      <c r="H804" s="78"/>
      <c r="I804" s="17"/>
      <c r="J804" s="17"/>
      <c r="K804" s="17"/>
      <c r="L804" s="4"/>
      <c r="M804" s="4"/>
      <c r="N804" s="4"/>
      <c r="O804" s="4"/>
      <c r="P804" s="4"/>
      <c r="Q804" s="4"/>
      <c r="R804" s="4"/>
      <c r="S804" s="4"/>
      <c r="T804" s="4"/>
      <c r="U804" s="4"/>
      <c r="V804" s="4"/>
      <c r="W804" s="4"/>
      <c r="X804" s="4"/>
      <c r="Y804" s="4"/>
      <c r="Z804" s="4"/>
    </row>
    <row r="805">
      <c r="A805" s="77"/>
      <c r="B805" s="17"/>
      <c r="C805" s="17"/>
      <c r="D805" s="17"/>
      <c r="E805" s="17"/>
      <c r="F805" s="17"/>
      <c r="G805" s="78"/>
      <c r="H805" s="78"/>
      <c r="I805" s="17"/>
      <c r="J805" s="17"/>
      <c r="K805" s="17"/>
      <c r="L805" s="4"/>
      <c r="M805" s="4"/>
      <c r="N805" s="4"/>
      <c r="O805" s="4"/>
      <c r="P805" s="4"/>
      <c r="Q805" s="4"/>
      <c r="R805" s="4"/>
      <c r="S805" s="4"/>
      <c r="T805" s="4"/>
      <c r="U805" s="4"/>
      <c r="V805" s="4"/>
      <c r="W805" s="4"/>
      <c r="X805" s="4"/>
      <c r="Y805" s="4"/>
      <c r="Z805" s="4"/>
    </row>
    <row r="806">
      <c r="A806" s="77"/>
      <c r="B806" s="17"/>
      <c r="C806" s="17"/>
      <c r="D806" s="17"/>
      <c r="E806" s="17"/>
      <c r="F806" s="17"/>
      <c r="G806" s="78"/>
      <c r="H806" s="78"/>
      <c r="I806" s="17"/>
      <c r="J806" s="17"/>
      <c r="K806" s="17"/>
      <c r="L806" s="4"/>
      <c r="M806" s="4"/>
      <c r="N806" s="4"/>
      <c r="O806" s="4"/>
      <c r="P806" s="4"/>
      <c r="Q806" s="4"/>
      <c r="R806" s="4"/>
      <c r="S806" s="4"/>
      <c r="T806" s="4"/>
      <c r="U806" s="4"/>
      <c r="V806" s="4"/>
      <c r="W806" s="4"/>
      <c r="X806" s="4"/>
      <c r="Y806" s="4"/>
      <c r="Z806" s="4"/>
    </row>
    <row r="807">
      <c r="A807" s="77"/>
      <c r="B807" s="17"/>
      <c r="C807" s="17"/>
      <c r="D807" s="17"/>
      <c r="E807" s="17"/>
      <c r="F807" s="17"/>
      <c r="G807" s="78"/>
      <c r="H807" s="78"/>
      <c r="I807" s="17"/>
      <c r="J807" s="17"/>
      <c r="K807" s="17"/>
      <c r="L807" s="4"/>
      <c r="M807" s="4"/>
      <c r="N807" s="4"/>
      <c r="O807" s="4"/>
      <c r="P807" s="4"/>
      <c r="Q807" s="4"/>
      <c r="R807" s="4"/>
      <c r="S807" s="4"/>
      <c r="T807" s="4"/>
      <c r="U807" s="4"/>
      <c r="V807" s="4"/>
      <c r="W807" s="4"/>
      <c r="X807" s="4"/>
      <c r="Y807" s="4"/>
      <c r="Z807" s="4"/>
    </row>
    <row r="808">
      <c r="A808" s="77"/>
      <c r="B808" s="17"/>
      <c r="C808" s="17"/>
      <c r="D808" s="17"/>
      <c r="E808" s="17"/>
      <c r="F808" s="17"/>
      <c r="G808" s="78"/>
      <c r="H808" s="78"/>
      <c r="I808" s="17"/>
      <c r="J808" s="17"/>
      <c r="K808" s="17"/>
      <c r="L808" s="4"/>
      <c r="M808" s="4"/>
      <c r="N808" s="4"/>
      <c r="O808" s="4"/>
      <c r="P808" s="4"/>
      <c r="Q808" s="4"/>
      <c r="R808" s="4"/>
      <c r="S808" s="4"/>
      <c r="T808" s="4"/>
      <c r="U808" s="4"/>
      <c r="V808" s="4"/>
      <c r="W808" s="4"/>
      <c r="X808" s="4"/>
      <c r="Y808" s="4"/>
      <c r="Z808" s="4"/>
    </row>
    <row r="809">
      <c r="A809" s="77"/>
      <c r="B809" s="17"/>
      <c r="C809" s="17"/>
      <c r="D809" s="17"/>
      <c r="E809" s="17"/>
      <c r="F809" s="17"/>
      <c r="G809" s="78"/>
      <c r="H809" s="78"/>
      <c r="I809" s="17"/>
      <c r="J809" s="17"/>
      <c r="K809" s="17"/>
      <c r="L809" s="4"/>
      <c r="M809" s="4"/>
      <c r="N809" s="4"/>
      <c r="O809" s="4"/>
      <c r="P809" s="4"/>
      <c r="Q809" s="4"/>
      <c r="R809" s="4"/>
      <c r="S809" s="4"/>
      <c r="T809" s="4"/>
      <c r="U809" s="4"/>
      <c r="V809" s="4"/>
      <c r="W809" s="4"/>
      <c r="X809" s="4"/>
      <c r="Y809" s="4"/>
      <c r="Z809" s="4"/>
    </row>
    <row r="810">
      <c r="A810" s="77"/>
      <c r="B810" s="17"/>
      <c r="C810" s="17"/>
      <c r="D810" s="17"/>
      <c r="E810" s="17"/>
      <c r="F810" s="17"/>
      <c r="G810" s="78"/>
      <c r="H810" s="78"/>
      <c r="I810" s="17"/>
      <c r="J810" s="17"/>
      <c r="K810" s="17"/>
      <c r="L810" s="4"/>
      <c r="M810" s="4"/>
      <c r="N810" s="4"/>
      <c r="O810" s="4"/>
      <c r="P810" s="4"/>
      <c r="Q810" s="4"/>
      <c r="R810" s="4"/>
      <c r="S810" s="4"/>
      <c r="T810" s="4"/>
      <c r="U810" s="4"/>
      <c r="V810" s="4"/>
      <c r="W810" s="4"/>
      <c r="X810" s="4"/>
      <c r="Y810" s="4"/>
      <c r="Z810" s="4"/>
    </row>
    <row r="811">
      <c r="A811" s="77"/>
      <c r="B811" s="17"/>
      <c r="C811" s="17"/>
      <c r="D811" s="17"/>
      <c r="E811" s="17"/>
      <c r="F811" s="17"/>
      <c r="G811" s="78"/>
      <c r="H811" s="78"/>
      <c r="I811" s="17"/>
      <c r="J811" s="17"/>
      <c r="K811" s="17"/>
      <c r="L811" s="4"/>
      <c r="M811" s="4"/>
      <c r="N811" s="4"/>
      <c r="O811" s="4"/>
      <c r="P811" s="4"/>
      <c r="Q811" s="4"/>
      <c r="R811" s="4"/>
      <c r="S811" s="4"/>
      <c r="T811" s="4"/>
      <c r="U811" s="4"/>
      <c r="V811" s="4"/>
      <c r="W811" s="4"/>
      <c r="X811" s="4"/>
      <c r="Y811" s="4"/>
      <c r="Z811" s="4"/>
    </row>
    <row r="812">
      <c r="A812" s="77"/>
      <c r="B812" s="17"/>
      <c r="C812" s="17"/>
      <c r="D812" s="17"/>
      <c r="E812" s="17"/>
      <c r="F812" s="17"/>
      <c r="G812" s="78"/>
      <c r="H812" s="78"/>
      <c r="I812" s="17"/>
      <c r="J812" s="17"/>
      <c r="K812" s="17"/>
      <c r="L812" s="4"/>
      <c r="M812" s="4"/>
      <c r="N812" s="4"/>
      <c r="O812" s="4"/>
      <c r="P812" s="4"/>
      <c r="Q812" s="4"/>
      <c r="R812" s="4"/>
      <c r="S812" s="4"/>
      <c r="T812" s="4"/>
      <c r="U812" s="4"/>
      <c r="V812" s="4"/>
      <c r="W812" s="4"/>
      <c r="X812" s="4"/>
      <c r="Y812" s="4"/>
      <c r="Z812" s="4"/>
    </row>
    <row r="813">
      <c r="A813" s="77"/>
      <c r="B813" s="17"/>
      <c r="C813" s="17"/>
      <c r="D813" s="17"/>
      <c r="E813" s="17"/>
      <c r="F813" s="17"/>
      <c r="G813" s="78"/>
      <c r="H813" s="78"/>
      <c r="I813" s="17"/>
      <c r="J813" s="17"/>
      <c r="K813" s="17"/>
      <c r="L813" s="4"/>
      <c r="M813" s="4"/>
      <c r="N813" s="4"/>
      <c r="O813" s="4"/>
      <c r="P813" s="4"/>
      <c r="Q813" s="4"/>
      <c r="R813" s="4"/>
      <c r="S813" s="4"/>
      <c r="T813" s="4"/>
      <c r="U813" s="4"/>
      <c r="V813" s="4"/>
      <c r="W813" s="4"/>
      <c r="X813" s="4"/>
      <c r="Y813" s="4"/>
      <c r="Z813" s="4"/>
    </row>
    <row r="814">
      <c r="A814" s="77"/>
      <c r="B814" s="17"/>
      <c r="C814" s="17"/>
      <c r="D814" s="17"/>
      <c r="E814" s="17"/>
      <c r="F814" s="17"/>
      <c r="G814" s="78"/>
      <c r="H814" s="78"/>
      <c r="I814" s="17"/>
      <c r="J814" s="17"/>
      <c r="K814" s="17"/>
      <c r="L814" s="4"/>
      <c r="M814" s="4"/>
      <c r="N814" s="4"/>
      <c r="O814" s="4"/>
      <c r="P814" s="4"/>
      <c r="Q814" s="4"/>
      <c r="R814" s="4"/>
      <c r="S814" s="4"/>
      <c r="T814" s="4"/>
      <c r="U814" s="4"/>
      <c r="V814" s="4"/>
      <c r="W814" s="4"/>
      <c r="X814" s="4"/>
      <c r="Y814" s="4"/>
      <c r="Z814" s="4"/>
    </row>
    <row r="815">
      <c r="A815" s="77"/>
      <c r="B815" s="17"/>
      <c r="C815" s="17"/>
      <c r="D815" s="17"/>
      <c r="E815" s="17"/>
      <c r="F815" s="17"/>
      <c r="G815" s="78"/>
      <c r="H815" s="78"/>
      <c r="I815" s="17"/>
      <c r="J815" s="17"/>
      <c r="K815" s="17"/>
      <c r="L815" s="4"/>
      <c r="M815" s="4"/>
      <c r="N815" s="4"/>
      <c r="O815" s="4"/>
      <c r="P815" s="4"/>
      <c r="Q815" s="4"/>
      <c r="R815" s="4"/>
      <c r="S815" s="4"/>
      <c r="T815" s="4"/>
      <c r="U815" s="4"/>
      <c r="V815" s="4"/>
      <c r="W815" s="4"/>
      <c r="X815" s="4"/>
      <c r="Y815" s="4"/>
      <c r="Z815" s="4"/>
    </row>
    <row r="816">
      <c r="A816" s="77"/>
      <c r="B816" s="17"/>
      <c r="C816" s="17"/>
      <c r="D816" s="17"/>
      <c r="E816" s="17"/>
      <c r="F816" s="17"/>
      <c r="G816" s="78"/>
      <c r="H816" s="78"/>
      <c r="I816" s="17"/>
      <c r="J816" s="17"/>
      <c r="K816" s="17"/>
      <c r="L816" s="4"/>
      <c r="M816" s="4"/>
      <c r="N816" s="4"/>
      <c r="O816" s="4"/>
      <c r="P816" s="4"/>
      <c r="Q816" s="4"/>
      <c r="R816" s="4"/>
      <c r="S816" s="4"/>
      <c r="T816" s="4"/>
      <c r="U816" s="4"/>
      <c r="V816" s="4"/>
      <c r="W816" s="4"/>
      <c r="X816" s="4"/>
      <c r="Y816" s="4"/>
      <c r="Z816" s="4"/>
    </row>
    <row r="817">
      <c r="A817" s="77"/>
      <c r="B817" s="17"/>
      <c r="C817" s="17"/>
      <c r="D817" s="17"/>
      <c r="E817" s="17"/>
      <c r="F817" s="17"/>
      <c r="G817" s="78"/>
      <c r="H817" s="78"/>
      <c r="I817" s="17"/>
      <c r="J817" s="17"/>
      <c r="K817" s="17"/>
      <c r="L817" s="4"/>
      <c r="M817" s="4"/>
      <c r="N817" s="4"/>
      <c r="O817" s="4"/>
      <c r="P817" s="4"/>
      <c r="Q817" s="4"/>
      <c r="R817" s="4"/>
      <c r="S817" s="4"/>
      <c r="T817" s="4"/>
      <c r="U817" s="4"/>
      <c r="V817" s="4"/>
      <c r="W817" s="4"/>
      <c r="X817" s="4"/>
      <c r="Y817" s="4"/>
      <c r="Z817" s="4"/>
    </row>
    <row r="818">
      <c r="A818" s="77"/>
      <c r="B818" s="17"/>
      <c r="C818" s="17"/>
      <c r="D818" s="17"/>
      <c r="E818" s="17"/>
      <c r="F818" s="17"/>
      <c r="G818" s="78"/>
      <c r="H818" s="78"/>
      <c r="I818" s="17"/>
      <c r="J818" s="17"/>
      <c r="K818" s="17"/>
      <c r="L818" s="4"/>
      <c r="M818" s="4"/>
      <c r="N818" s="4"/>
      <c r="O818" s="4"/>
      <c r="P818" s="4"/>
      <c r="Q818" s="4"/>
      <c r="R818" s="4"/>
      <c r="S818" s="4"/>
      <c r="T818" s="4"/>
      <c r="U818" s="4"/>
      <c r="V818" s="4"/>
      <c r="W818" s="4"/>
      <c r="X818" s="4"/>
      <c r="Y818" s="4"/>
      <c r="Z818" s="4"/>
    </row>
    <row r="819">
      <c r="A819" s="77"/>
      <c r="B819" s="17"/>
      <c r="C819" s="17"/>
      <c r="D819" s="17"/>
      <c r="E819" s="17"/>
      <c r="F819" s="17"/>
      <c r="G819" s="78"/>
      <c r="H819" s="78"/>
      <c r="I819" s="17"/>
      <c r="J819" s="17"/>
      <c r="K819" s="17"/>
      <c r="L819" s="4"/>
      <c r="M819" s="4"/>
      <c r="N819" s="4"/>
      <c r="O819" s="4"/>
      <c r="P819" s="4"/>
      <c r="Q819" s="4"/>
      <c r="R819" s="4"/>
      <c r="S819" s="4"/>
      <c r="T819" s="4"/>
      <c r="U819" s="4"/>
      <c r="V819" s="4"/>
      <c r="W819" s="4"/>
      <c r="X819" s="4"/>
      <c r="Y819" s="4"/>
      <c r="Z819" s="4"/>
    </row>
    <row r="820">
      <c r="A820" s="77"/>
      <c r="B820" s="17"/>
      <c r="C820" s="17"/>
      <c r="D820" s="17"/>
      <c r="E820" s="17"/>
      <c r="F820" s="17"/>
      <c r="G820" s="78"/>
      <c r="H820" s="78"/>
      <c r="I820" s="17"/>
      <c r="J820" s="17"/>
      <c r="K820" s="17"/>
      <c r="L820" s="4"/>
      <c r="M820" s="4"/>
      <c r="N820" s="4"/>
      <c r="O820" s="4"/>
      <c r="P820" s="4"/>
      <c r="Q820" s="4"/>
      <c r="R820" s="4"/>
      <c r="S820" s="4"/>
      <c r="T820" s="4"/>
      <c r="U820" s="4"/>
      <c r="V820" s="4"/>
      <c r="W820" s="4"/>
      <c r="X820" s="4"/>
      <c r="Y820" s="4"/>
      <c r="Z820" s="4"/>
    </row>
    <row r="821">
      <c r="A821" s="77"/>
      <c r="B821" s="17"/>
      <c r="C821" s="17"/>
      <c r="D821" s="17"/>
      <c r="E821" s="17"/>
      <c r="F821" s="17"/>
      <c r="G821" s="78"/>
      <c r="H821" s="78"/>
      <c r="I821" s="17"/>
      <c r="J821" s="17"/>
      <c r="K821" s="17"/>
      <c r="L821" s="4"/>
      <c r="M821" s="4"/>
      <c r="N821" s="4"/>
      <c r="O821" s="4"/>
      <c r="P821" s="4"/>
      <c r="Q821" s="4"/>
      <c r="R821" s="4"/>
      <c r="S821" s="4"/>
      <c r="T821" s="4"/>
      <c r="U821" s="4"/>
      <c r="V821" s="4"/>
      <c r="W821" s="4"/>
      <c r="X821" s="4"/>
      <c r="Y821" s="4"/>
      <c r="Z821" s="4"/>
    </row>
    <row r="822">
      <c r="A822" s="77"/>
      <c r="B822" s="17"/>
      <c r="C822" s="17"/>
      <c r="D822" s="17"/>
      <c r="E822" s="17"/>
      <c r="F822" s="17"/>
      <c r="G822" s="78"/>
      <c r="H822" s="78"/>
      <c r="I822" s="17"/>
      <c r="J822" s="17"/>
      <c r="K822" s="17"/>
      <c r="L822" s="4"/>
      <c r="M822" s="4"/>
      <c r="N822" s="4"/>
      <c r="O822" s="4"/>
      <c r="P822" s="4"/>
      <c r="Q822" s="4"/>
      <c r="R822" s="4"/>
      <c r="S822" s="4"/>
      <c r="T822" s="4"/>
      <c r="U822" s="4"/>
      <c r="V822" s="4"/>
      <c r="W822" s="4"/>
      <c r="X822" s="4"/>
      <c r="Y822" s="4"/>
      <c r="Z822" s="4"/>
    </row>
    <row r="823">
      <c r="A823" s="77"/>
      <c r="B823" s="17"/>
      <c r="C823" s="17"/>
      <c r="D823" s="17"/>
      <c r="E823" s="17"/>
      <c r="F823" s="17"/>
      <c r="G823" s="78"/>
      <c r="H823" s="78"/>
      <c r="I823" s="17"/>
      <c r="J823" s="17"/>
      <c r="K823" s="17"/>
      <c r="L823" s="4"/>
      <c r="M823" s="4"/>
      <c r="N823" s="4"/>
      <c r="O823" s="4"/>
      <c r="P823" s="4"/>
      <c r="Q823" s="4"/>
      <c r="R823" s="4"/>
      <c r="S823" s="4"/>
      <c r="T823" s="4"/>
      <c r="U823" s="4"/>
      <c r="V823" s="4"/>
      <c r="W823" s="4"/>
      <c r="X823" s="4"/>
      <c r="Y823" s="4"/>
      <c r="Z823" s="4"/>
    </row>
    <row r="824">
      <c r="A824" s="77"/>
      <c r="B824" s="17"/>
      <c r="C824" s="17"/>
      <c r="D824" s="17"/>
      <c r="E824" s="17"/>
      <c r="F824" s="17"/>
      <c r="G824" s="78"/>
      <c r="H824" s="78"/>
      <c r="I824" s="17"/>
      <c r="J824" s="17"/>
      <c r="K824" s="17"/>
      <c r="L824" s="4"/>
      <c r="M824" s="4"/>
      <c r="N824" s="4"/>
      <c r="O824" s="4"/>
      <c r="P824" s="4"/>
      <c r="Q824" s="4"/>
      <c r="R824" s="4"/>
      <c r="S824" s="4"/>
      <c r="T824" s="4"/>
      <c r="U824" s="4"/>
      <c r="V824" s="4"/>
      <c r="W824" s="4"/>
      <c r="X824" s="4"/>
      <c r="Y824" s="4"/>
      <c r="Z824" s="4"/>
    </row>
    <row r="825">
      <c r="A825" s="77"/>
      <c r="B825" s="17"/>
      <c r="C825" s="17"/>
      <c r="D825" s="17"/>
      <c r="E825" s="17"/>
      <c r="F825" s="17"/>
      <c r="G825" s="78"/>
      <c r="H825" s="78"/>
      <c r="I825" s="17"/>
      <c r="J825" s="17"/>
      <c r="K825" s="17"/>
      <c r="L825" s="4"/>
      <c r="M825" s="4"/>
      <c r="N825" s="4"/>
      <c r="O825" s="4"/>
      <c r="P825" s="4"/>
      <c r="Q825" s="4"/>
      <c r="R825" s="4"/>
      <c r="S825" s="4"/>
      <c r="T825" s="4"/>
      <c r="U825" s="4"/>
      <c r="V825" s="4"/>
      <c r="W825" s="4"/>
      <c r="X825" s="4"/>
      <c r="Y825" s="4"/>
      <c r="Z825" s="4"/>
    </row>
    <row r="826">
      <c r="A826" s="77"/>
      <c r="B826" s="17"/>
      <c r="C826" s="17"/>
      <c r="D826" s="17"/>
      <c r="E826" s="17"/>
      <c r="F826" s="17"/>
      <c r="G826" s="78"/>
      <c r="H826" s="78"/>
      <c r="I826" s="17"/>
      <c r="J826" s="17"/>
      <c r="K826" s="17"/>
      <c r="L826" s="4"/>
      <c r="M826" s="4"/>
      <c r="N826" s="4"/>
      <c r="O826" s="4"/>
      <c r="P826" s="4"/>
      <c r="Q826" s="4"/>
      <c r="R826" s="4"/>
      <c r="S826" s="4"/>
      <c r="T826" s="4"/>
      <c r="U826" s="4"/>
      <c r="V826" s="4"/>
      <c r="W826" s="4"/>
      <c r="X826" s="4"/>
      <c r="Y826" s="4"/>
      <c r="Z826" s="4"/>
    </row>
    <row r="827">
      <c r="A827" s="77"/>
      <c r="B827" s="17"/>
      <c r="C827" s="17"/>
      <c r="D827" s="17"/>
      <c r="E827" s="17"/>
      <c r="F827" s="17"/>
      <c r="G827" s="78"/>
      <c r="H827" s="78"/>
      <c r="I827" s="17"/>
      <c r="J827" s="17"/>
      <c r="K827" s="17"/>
      <c r="L827" s="4"/>
      <c r="M827" s="4"/>
      <c r="N827" s="4"/>
      <c r="O827" s="4"/>
      <c r="P827" s="4"/>
      <c r="Q827" s="4"/>
      <c r="R827" s="4"/>
      <c r="S827" s="4"/>
      <c r="T827" s="4"/>
      <c r="U827" s="4"/>
      <c r="V827" s="4"/>
      <c r="W827" s="4"/>
      <c r="X827" s="4"/>
      <c r="Y827" s="4"/>
      <c r="Z827" s="4"/>
    </row>
    <row r="828">
      <c r="A828" s="77"/>
      <c r="B828" s="17"/>
      <c r="C828" s="17"/>
      <c r="D828" s="17"/>
      <c r="E828" s="17"/>
      <c r="F828" s="17"/>
      <c r="G828" s="78"/>
      <c r="H828" s="78"/>
      <c r="I828" s="17"/>
      <c r="J828" s="17"/>
      <c r="K828" s="17"/>
      <c r="L828" s="4"/>
      <c r="M828" s="4"/>
      <c r="N828" s="4"/>
      <c r="O828" s="4"/>
      <c r="P828" s="4"/>
      <c r="Q828" s="4"/>
      <c r="R828" s="4"/>
      <c r="S828" s="4"/>
      <c r="T828" s="4"/>
      <c r="U828" s="4"/>
      <c r="V828" s="4"/>
      <c r="W828" s="4"/>
      <c r="X828" s="4"/>
      <c r="Y828" s="4"/>
      <c r="Z828" s="4"/>
    </row>
    <row r="829">
      <c r="A829" s="77"/>
      <c r="B829" s="17"/>
      <c r="C829" s="17"/>
      <c r="D829" s="17"/>
      <c r="E829" s="17"/>
      <c r="F829" s="17"/>
      <c r="G829" s="78"/>
      <c r="H829" s="78"/>
      <c r="I829" s="17"/>
      <c r="J829" s="17"/>
      <c r="K829" s="17"/>
      <c r="L829" s="4"/>
      <c r="M829" s="4"/>
      <c r="N829" s="4"/>
      <c r="O829" s="4"/>
      <c r="P829" s="4"/>
      <c r="Q829" s="4"/>
      <c r="R829" s="4"/>
      <c r="S829" s="4"/>
      <c r="T829" s="4"/>
      <c r="U829" s="4"/>
      <c r="V829" s="4"/>
      <c r="W829" s="4"/>
      <c r="X829" s="4"/>
      <c r="Y829" s="4"/>
      <c r="Z829" s="4"/>
    </row>
    <row r="830">
      <c r="A830" s="77"/>
      <c r="B830" s="17"/>
      <c r="C830" s="17"/>
      <c r="D830" s="17"/>
      <c r="E830" s="17"/>
      <c r="F830" s="17"/>
      <c r="G830" s="78"/>
      <c r="H830" s="78"/>
      <c r="I830" s="17"/>
      <c r="J830" s="17"/>
      <c r="K830" s="17"/>
      <c r="L830" s="4"/>
      <c r="M830" s="4"/>
      <c r="N830" s="4"/>
      <c r="O830" s="4"/>
      <c r="P830" s="4"/>
      <c r="Q830" s="4"/>
      <c r="R830" s="4"/>
      <c r="S830" s="4"/>
      <c r="T830" s="4"/>
      <c r="U830" s="4"/>
      <c r="V830" s="4"/>
      <c r="W830" s="4"/>
      <c r="X830" s="4"/>
      <c r="Y830" s="4"/>
      <c r="Z830" s="4"/>
    </row>
    <row r="831">
      <c r="A831" s="77"/>
      <c r="B831" s="17"/>
      <c r="C831" s="17"/>
      <c r="D831" s="17"/>
      <c r="E831" s="17"/>
      <c r="F831" s="17"/>
      <c r="G831" s="78"/>
      <c r="H831" s="78"/>
      <c r="I831" s="17"/>
      <c r="J831" s="17"/>
      <c r="K831" s="17"/>
      <c r="L831" s="4"/>
      <c r="M831" s="4"/>
      <c r="N831" s="4"/>
      <c r="O831" s="4"/>
      <c r="P831" s="4"/>
      <c r="Q831" s="4"/>
      <c r="R831" s="4"/>
      <c r="S831" s="4"/>
      <c r="T831" s="4"/>
      <c r="U831" s="4"/>
      <c r="V831" s="4"/>
      <c r="W831" s="4"/>
      <c r="X831" s="4"/>
      <c r="Y831" s="4"/>
      <c r="Z831" s="4"/>
    </row>
    <row r="832">
      <c r="A832" s="77"/>
      <c r="B832" s="17"/>
      <c r="C832" s="17"/>
      <c r="D832" s="17"/>
      <c r="E832" s="17"/>
      <c r="F832" s="17"/>
      <c r="G832" s="78"/>
      <c r="H832" s="78"/>
      <c r="I832" s="17"/>
      <c r="J832" s="17"/>
      <c r="K832" s="17"/>
      <c r="L832" s="4"/>
      <c r="M832" s="4"/>
      <c r="N832" s="4"/>
      <c r="O832" s="4"/>
      <c r="P832" s="4"/>
      <c r="Q832" s="4"/>
      <c r="R832" s="4"/>
      <c r="S832" s="4"/>
      <c r="T832" s="4"/>
      <c r="U832" s="4"/>
      <c r="V832" s="4"/>
      <c r="W832" s="4"/>
      <c r="X832" s="4"/>
      <c r="Y832" s="4"/>
      <c r="Z832" s="4"/>
    </row>
    <row r="833">
      <c r="A833" s="77"/>
      <c r="B833" s="17"/>
      <c r="C833" s="17"/>
      <c r="D833" s="17"/>
      <c r="E833" s="17"/>
      <c r="F833" s="17"/>
      <c r="G833" s="78"/>
      <c r="H833" s="78"/>
      <c r="I833" s="17"/>
      <c r="J833" s="17"/>
      <c r="K833" s="17"/>
      <c r="L833" s="4"/>
      <c r="M833" s="4"/>
      <c r="N833" s="4"/>
      <c r="O833" s="4"/>
      <c r="P833" s="4"/>
      <c r="Q833" s="4"/>
      <c r="R833" s="4"/>
      <c r="S833" s="4"/>
      <c r="T833" s="4"/>
      <c r="U833" s="4"/>
      <c r="V833" s="4"/>
      <c r="W833" s="4"/>
      <c r="X833" s="4"/>
      <c r="Y833" s="4"/>
      <c r="Z833" s="4"/>
    </row>
    <row r="834">
      <c r="A834" s="77"/>
      <c r="B834" s="17"/>
      <c r="C834" s="17"/>
      <c r="D834" s="17"/>
      <c r="E834" s="17"/>
      <c r="F834" s="17"/>
      <c r="G834" s="78"/>
      <c r="H834" s="78"/>
      <c r="I834" s="17"/>
      <c r="J834" s="17"/>
      <c r="K834" s="17"/>
      <c r="L834" s="4"/>
      <c r="M834" s="4"/>
      <c r="N834" s="4"/>
      <c r="O834" s="4"/>
      <c r="P834" s="4"/>
      <c r="Q834" s="4"/>
      <c r="R834" s="4"/>
      <c r="S834" s="4"/>
      <c r="T834" s="4"/>
      <c r="U834" s="4"/>
      <c r="V834" s="4"/>
      <c r="W834" s="4"/>
      <c r="X834" s="4"/>
      <c r="Y834" s="4"/>
      <c r="Z834" s="4"/>
    </row>
    <row r="835">
      <c r="A835" s="77"/>
      <c r="B835" s="17"/>
      <c r="C835" s="17"/>
      <c r="D835" s="17"/>
      <c r="E835" s="17"/>
      <c r="F835" s="17"/>
      <c r="G835" s="78"/>
      <c r="H835" s="78"/>
      <c r="I835" s="17"/>
      <c r="J835" s="17"/>
      <c r="K835" s="17"/>
      <c r="L835" s="4"/>
      <c r="M835" s="4"/>
      <c r="N835" s="4"/>
      <c r="O835" s="4"/>
      <c r="P835" s="4"/>
      <c r="Q835" s="4"/>
      <c r="R835" s="4"/>
      <c r="S835" s="4"/>
      <c r="T835" s="4"/>
      <c r="U835" s="4"/>
      <c r="V835" s="4"/>
      <c r="W835" s="4"/>
      <c r="X835" s="4"/>
      <c r="Y835" s="4"/>
      <c r="Z835" s="4"/>
    </row>
    <row r="836">
      <c r="A836" s="77"/>
      <c r="B836" s="17"/>
      <c r="C836" s="17"/>
      <c r="D836" s="17"/>
      <c r="E836" s="17"/>
      <c r="F836" s="17"/>
      <c r="G836" s="78"/>
      <c r="H836" s="78"/>
      <c r="I836" s="17"/>
      <c r="J836" s="17"/>
      <c r="K836" s="17"/>
      <c r="L836" s="4"/>
      <c r="M836" s="4"/>
      <c r="N836" s="4"/>
      <c r="O836" s="4"/>
      <c r="P836" s="4"/>
      <c r="Q836" s="4"/>
      <c r="R836" s="4"/>
      <c r="S836" s="4"/>
      <c r="T836" s="4"/>
      <c r="U836" s="4"/>
      <c r="V836" s="4"/>
      <c r="W836" s="4"/>
      <c r="X836" s="4"/>
      <c r="Y836" s="4"/>
      <c r="Z836" s="4"/>
    </row>
    <row r="837">
      <c r="A837" s="77"/>
      <c r="B837" s="17"/>
      <c r="C837" s="17"/>
      <c r="D837" s="17"/>
      <c r="E837" s="17"/>
      <c r="F837" s="17"/>
      <c r="G837" s="78"/>
      <c r="H837" s="78"/>
      <c r="I837" s="17"/>
      <c r="J837" s="17"/>
      <c r="K837" s="17"/>
      <c r="L837" s="4"/>
      <c r="M837" s="4"/>
      <c r="N837" s="4"/>
      <c r="O837" s="4"/>
      <c r="P837" s="4"/>
      <c r="Q837" s="4"/>
      <c r="R837" s="4"/>
      <c r="S837" s="4"/>
      <c r="T837" s="4"/>
      <c r="U837" s="4"/>
      <c r="V837" s="4"/>
      <c r="W837" s="4"/>
      <c r="X837" s="4"/>
      <c r="Y837" s="4"/>
      <c r="Z837" s="4"/>
    </row>
    <row r="838">
      <c r="A838" s="77"/>
      <c r="B838" s="17"/>
      <c r="C838" s="17"/>
      <c r="D838" s="17"/>
      <c r="E838" s="17"/>
      <c r="F838" s="17"/>
      <c r="G838" s="78"/>
      <c r="H838" s="78"/>
      <c r="I838" s="17"/>
      <c r="J838" s="17"/>
      <c r="K838" s="17"/>
      <c r="L838" s="4"/>
      <c r="M838" s="4"/>
      <c r="N838" s="4"/>
      <c r="O838" s="4"/>
      <c r="P838" s="4"/>
      <c r="Q838" s="4"/>
      <c r="R838" s="4"/>
      <c r="S838" s="4"/>
      <c r="T838" s="4"/>
      <c r="U838" s="4"/>
      <c r="V838" s="4"/>
      <c r="W838" s="4"/>
      <c r="X838" s="4"/>
      <c r="Y838" s="4"/>
      <c r="Z838" s="4"/>
    </row>
    <row r="839">
      <c r="A839" s="77"/>
      <c r="B839" s="17"/>
      <c r="C839" s="17"/>
      <c r="D839" s="17"/>
      <c r="E839" s="17"/>
      <c r="F839" s="17"/>
      <c r="G839" s="78"/>
      <c r="H839" s="78"/>
      <c r="I839" s="17"/>
      <c r="J839" s="17"/>
      <c r="K839" s="17"/>
      <c r="L839" s="4"/>
      <c r="M839" s="4"/>
      <c r="N839" s="4"/>
      <c r="O839" s="4"/>
      <c r="P839" s="4"/>
      <c r="Q839" s="4"/>
      <c r="R839" s="4"/>
      <c r="S839" s="4"/>
      <c r="T839" s="4"/>
      <c r="U839" s="4"/>
      <c r="V839" s="4"/>
      <c r="W839" s="4"/>
      <c r="X839" s="4"/>
      <c r="Y839" s="4"/>
      <c r="Z839" s="4"/>
    </row>
    <row r="840">
      <c r="A840" s="77"/>
      <c r="B840" s="17"/>
      <c r="C840" s="17"/>
      <c r="D840" s="17"/>
      <c r="E840" s="17"/>
      <c r="F840" s="17"/>
      <c r="G840" s="78"/>
      <c r="H840" s="78"/>
      <c r="I840" s="17"/>
      <c r="J840" s="17"/>
      <c r="K840" s="17"/>
      <c r="L840" s="4"/>
      <c r="M840" s="4"/>
      <c r="N840" s="4"/>
      <c r="O840" s="4"/>
      <c r="P840" s="4"/>
      <c r="Q840" s="4"/>
      <c r="R840" s="4"/>
      <c r="S840" s="4"/>
      <c r="T840" s="4"/>
      <c r="U840" s="4"/>
      <c r="V840" s="4"/>
      <c r="W840" s="4"/>
      <c r="X840" s="4"/>
      <c r="Y840" s="4"/>
      <c r="Z840" s="4"/>
    </row>
    <row r="841">
      <c r="A841" s="77"/>
      <c r="B841" s="17"/>
      <c r="C841" s="17"/>
      <c r="D841" s="17"/>
      <c r="E841" s="17"/>
      <c r="F841" s="17"/>
      <c r="G841" s="78"/>
      <c r="H841" s="78"/>
      <c r="I841" s="17"/>
      <c r="J841" s="17"/>
      <c r="K841" s="17"/>
      <c r="L841" s="4"/>
      <c r="M841" s="4"/>
      <c r="N841" s="4"/>
      <c r="O841" s="4"/>
      <c r="P841" s="4"/>
      <c r="Q841" s="4"/>
      <c r="R841" s="4"/>
      <c r="S841" s="4"/>
      <c r="T841" s="4"/>
      <c r="U841" s="4"/>
      <c r="V841" s="4"/>
      <c r="W841" s="4"/>
      <c r="X841" s="4"/>
      <c r="Y841" s="4"/>
      <c r="Z841" s="4"/>
    </row>
    <row r="842">
      <c r="A842" s="77"/>
      <c r="B842" s="17"/>
      <c r="C842" s="17"/>
      <c r="D842" s="17"/>
      <c r="E842" s="17"/>
      <c r="F842" s="17"/>
      <c r="G842" s="78"/>
      <c r="H842" s="78"/>
      <c r="I842" s="17"/>
      <c r="J842" s="17"/>
      <c r="K842" s="17"/>
      <c r="L842" s="4"/>
      <c r="M842" s="4"/>
      <c r="N842" s="4"/>
      <c r="O842" s="4"/>
      <c r="P842" s="4"/>
      <c r="Q842" s="4"/>
      <c r="R842" s="4"/>
      <c r="S842" s="4"/>
      <c r="T842" s="4"/>
      <c r="U842" s="4"/>
      <c r="V842" s="4"/>
      <c r="W842" s="4"/>
      <c r="X842" s="4"/>
      <c r="Y842" s="4"/>
      <c r="Z842" s="4"/>
    </row>
    <row r="843">
      <c r="A843" s="77"/>
      <c r="B843" s="17"/>
      <c r="C843" s="17"/>
      <c r="D843" s="17"/>
      <c r="E843" s="17"/>
      <c r="F843" s="17"/>
      <c r="G843" s="78"/>
      <c r="H843" s="78"/>
      <c r="I843" s="17"/>
      <c r="J843" s="17"/>
      <c r="K843" s="17"/>
      <c r="L843" s="4"/>
      <c r="M843" s="4"/>
      <c r="N843" s="4"/>
      <c r="O843" s="4"/>
      <c r="P843" s="4"/>
      <c r="Q843" s="4"/>
      <c r="R843" s="4"/>
      <c r="S843" s="4"/>
      <c r="T843" s="4"/>
      <c r="U843" s="4"/>
      <c r="V843" s="4"/>
      <c r="W843" s="4"/>
      <c r="X843" s="4"/>
      <c r="Y843" s="4"/>
      <c r="Z843" s="4"/>
    </row>
    <row r="844">
      <c r="A844" s="77"/>
      <c r="B844" s="17"/>
      <c r="C844" s="17"/>
      <c r="D844" s="17"/>
      <c r="E844" s="17"/>
      <c r="F844" s="17"/>
      <c r="G844" s="78"/>
      <c r="H844" s="78"/>
      <c r="I844" s="17"/>
      <c r="J844" s="17"/>
      <c r="K844" s="17"/>
      <c r="L844" s="4"/>
      <c r="M844" s="4"/>
      <c r="N844" s="4"/>
      <c r="O844" s="4"/>
      <c r="P844" s="4"/>
      <c r="Q844" s="4"/>
      <c r="R844" s="4"/>
      <c r="S844" s="4"/>
      <c r="T844" s="4"/>
      <c r="U844" s="4"/>
      <c r="V844" s="4"/>
      <c r="W844" s="4"/>
      <c r="X844" s="4"/>
      <c r="Y844" s="4"/>
      <c r="Z844" s="4"/>
    </row>
    <row r="845">
      <c r="A845" s="77"/>
      <c r="B845" s="17"/>
      <c r="C845" s="17"/>
      <c r="D845" s="17"/>
      <c r="E845" s="17"/>
      <c r="F845" s="17"/>
      <c r="G845" s="78"/>
      <c r="H845" s="78"/>
      <c r="I845" s="17"/>
      <c r="J845" s="17"/>
      <c r="K845" s="17"/>
      <c r="L845" s="4"/>
      <c r="M845" s="4"/>
      <c r="N845" s="4"/>
      <c r="O845" s="4"/>
      <c r="P845" s="4"/>
      <c r="Q845" s="4"/>
      <c r="R845" s="4"/>
      <c r="S845" s="4"/>
      <c r="T845" s="4"/>
      <c r="U845" s="4"/>
      <c r="V845" s="4"/>
      <c r="W845" s="4"/>
      <c r="X845" s="4"/>
      <c r="Y845" s="4"/>
      <c r="Z845" s="4"/>
    </row>
    <row r="846">
      <c r="A846" s="77"/>
      <c r="B846" s="17"/>
      <c r="C846" s="17"/>
      <c r="D846" s="17"/>
      <c r="E846" s="17"/>
      <c r="F846" s="17"/>
      <c r="G846" s="78"/>
      <c r="H846" s="78"/>
      <c r="I846" s="17"/>
      <c r="J846" s="17"/>
      <c r="K846" s="17"/>
      <c r="L846" s="4"/>
      <c r="M846" s="4"/>
      <c r="N846" s="4"/>
      <c r="O846" s="4"/>
      <c r="P846" s="4"/>
      <c r="Q846" s="4"/>
      <c r="R846" s="4"/>
      <c r="S846" s="4"/>
      <c r="T846" s="4"/>
      <c r="U846" s="4"/>
      <c r="V846" s="4"/>
      <c r="W846" s="4"/>
      <c r="X846" s="4"/>
      <c r="Y846" s="4"/>
      <c r="Z846" s="4"/>
    </row>
    <row r="847">
      <c r="A847" s="77"/>
      <c r="B847" s="17"/>
      <c r="C847" s="17"/>
      <c r="D847" s="17"/>
      <c r="E847" s="17"/>
      <c r="F847" s="17"/>
      <c r="G847" s="78"/>
      <c r="H847" s="78"/>
      <c r="I847" s="17"/>
      <c r="J847" s="17"/>
      <c r="K847" s="17"/>
      <c r="L847" s="4"/>
      <c r="M847" s="4"/>
      <c r="N847" s="4"/>
      <c r="O847" s="4"/>
      <c r="P847" s="4"/>
      <c r="Q847" s="4"/>
      <c r="R847" s="4"/>
      <c r="S847" s="4"/>
      <c r="T847" s="4"/>
      <c r="U847" s="4"/>
      <c r="V847" s="4"/>
      <c r="W847" s="4"/>
      <c r="X847" s="4"/>
      <c r="Y847" s="4"/>
      <c r="Z847" s="4"/>
    </row>
    <row r="848">
      <c r="A848" s="77"/>
      <c r="B848" s="17"/>
      <c r="C848" s="17"/>
      <c r="D848" s="17"/>
      <c r="E848" s="17"/>
      <c r="F848" s="17"/>
      <c r="G848" s="78"/>
      <c r="H848" s="78"/>
      <c r="I848" s="17"/>
      <c r="J848" s="17"/>
      <c r="K848" s="17"/>
      <c r="L848" s="4"/>
      <c r="M848" s="4"/>
      <c r="N848" s="4"/>
      <c r="O848" s="4"/>
      <c r="P848" s="4"/>
      <c r="Q848" s="4"/>
      <c r="R848" s="4"/>
      <c r="S848" s="4"/>
      <c r="T848" s="4"/>
      <c r="U848" s="4"/>
      <c r="V848" s="4"/>
      <c r="W848" s="4"/>
      <c r="X848" s="4"/>
      <c r="Y848" s="4"/>
      <c r="Z848" s="4"/>
    </row>
    <row r="849">
      <c r="A849" s="77"/>
      <c r="B849" s="17"/>
      <c r="C849" s="17"/>
      <c r="D849" s="17"/>
      <c r="E849" s="17"/>
      <c r="F849" s="17"/>
      <c r="G849" s="78"/>
      <c r="H849" s="78"/>
      <c r="I849" s="17"/>
      <c r="J849" s="17"/>
      <c r="K849" s="17"/>
      <c r="L849" s="4"/>
      <c r="M849" s="4"/>
      <c r="N849" s="4"/>
      <c r="O849" s="4"/>
      <c r="P849" s="4"/>
      <c r="Q849" s="4"/>
      <c r="R849" s="4"/>
      <c r="S849" s="4"/>
      <c r="T849" s="4"/>
      <c r="U849" s="4"/>
      <c r="V849" s="4"/>
      <c r="W849" s="4"/>
      <c r="X849" s="4"/>
      <c r="Y849" s="4"/>
      <c r="Z849" s="4"/>
    </row>
    <row r="850">
      <c r="A850" s="77"/>
      <c r="B850" s="17"/>
      <c r="C850" s="17"/>
      <c r="D850" s="17"/>
      <c r="E850" s="17"/>
      <c r="F850" s="17"/>
      <c r="G850" s="78"/>
      <c r="H850" s="78"/>
      <c r="I850" s="17"/>
      <c r="J850" s="17"/>
      <c r="K850" s="17"/>
      <c r="L850" s="4"/>
      <c r="M850" s="4"/>
      <c r="N850" s="4"/>
      <c r="O850" s="4"/>
      <c r="P850" s="4"/>
      <c r="Q850" s="4"/>
      <c r="R850" s="4"/>
      <c r="S850" s="4"/>
      <c r="T850" s="4"/>
      <c r="U850" s="4"/>
      <c r="V850" s="4"/>
      <c r="W850" s="4"/>
      <c r="X850" s="4"/>
      <c r="Y850" s="4"/>
      <c r="Z850" s="4"/>
    </row>
    <row r="851">
      <c r="A851" s="77"/>
      <c r="B851" s="17"/>
      <c r="C851" s="17"/>
      <c r="D851" s="17"/>
      <c r="E851" s="17"/>
      <c r="F851" s="17"/>
      <c r="G851" s="78"/>
      <c r="H851" s="78"/>
      <c r="I851" s="17"/>
      <c r="J851" s="17"/>
      <c r="K851" s="17"/>
      <c r="L851" s="4"/>
      <c r="M851" s="4"/>
      <c r="N851" s="4"/>
      <c r="O851" s="4"/>
      <c r="P851" s="4"/>
      <c r="Q851" s="4"/>
      <c r="R851" s="4"/>
      <c r="S851" s="4"/>
      <c r="T851" s="4"/>
      <c r="U851" s="4"/>
      <c r="V851" s="4"/>
      <c r="W851" s="4"/>
      <c r="X851" s="4"/>
      <c r="Y851" s="4"/>
      <c r="Z851" s="4"/>
    </row>
    <row r="852">
      <c r="A852" s="77"/>
      <c r="B852" s="17"/>
      <c r="C852" s="17"/>
      <c r="D852" s="17"/>
      <c r="E852" s="17"/>
      <c r="F852" s="17"/>
      <c r="G852" s="78"/>
      <c r="H852" s="78"/>
      <c r="I852" s="17"/>
      <c r="J852" s="17"/>
      <c r="K852" s="17"/>
      <c r="L852" s="4"/>
      <c r="M852" s="4"/>
      <c r="N852" s="4"/>
      <c r="O852" s="4"/>
      <c r="P852" s="4"/>
      <c r="Q852" s="4"/>
      <c r="R852" s="4"/>
      <c r="S852" s="4"/>
      <c r="T852" s="4"/>
      <c r="U852" s="4"/>
      <c r="V852" s="4"/>
      <c r="W852" s="4"/>
      <c r="X852" s="4"/>
      <c r="Y852" s="4"/>
      <c r="Z852" s="4"/>
    </row>
    <row r="853">
      <c r="A853" s="77"/>
      <c r="B853" s="17"/>
      <c r="C853" s="17"/>
      <c r="D853" s="17"/>
      <c r="E853" s="17"/>
      <c r="F853" s="17"/>
      <c r="G853" s="78"/>
      <c r="H853" s="78"/>
      <c r="I853" s="17"/>
      <c r="J853" s="17"/>
      <c r="K853" s="17"/>
      <c r="L853" s="4"/>
      <c r="M853" s="4"/>
      <c r="N853" s="4"/>
      <c r="O853" s="4"/>
      <c r="P853" s="4"/>
      <c r="Q853" s="4"/>
      <c r="R853" s="4"/>
      <c r="S853" s="4"/>
      <c r="T853" s="4"/>
      <c r="U853" s="4"/>
      <c r="V853" s="4"/>
      <c r="W853" s="4"/>
      <c r="X853" s="4"/>
      <c r="Y853" s="4"/>
      <c r="Z853" s="4"/>
    </row>
    <row r="854">
      <c r="A854" s="77"/>
      <c r="B854" s="17"/>
      <c r="C854" s="17"/>
      <c r="D854" s="17"/>
      <c r="E854" s="17"/>
      <c r="F854" s="17"/>
      <c r="G854" s="78"/>
      <c r="H854" s="78"/>
      <c r="I854" s="17"/>
      <c r="J854" s="17"/>
      <c r="K854" s="17"/>
      <c r="L854" s="4"/>
      <c r="M854" s="4"/>
      <c r="N854" s="4"/>
      <c r="O854" s="4"/>
      <c r="P854" s="4"/>
      <c r="Q854" s="4"/>
      <c r="R854" s="4"/>
      <c r="S854" s="4"/>
      <c r="T854" s="4"/>
      <c r="U854" s="4"/>
      <c r="V854" s="4"/>
      <c r="W854" s="4"/>
      <c r="X854" s="4"/>
      <c r="Y854" s="4"/>
      <c r="Z854" s="4"/>
    </row>
    <row r="855">
      <c r="A855" s="77"/>
      <c r="B855" s="17"/>
      <c r="C855" s="17"/>
      <c r="D855" s="17"/>
      <c r="E855" s="17"/>
      <c r="F855" s="17"/>
      <c r="G855" s="78"/>
      <c r="H855" s="78"/>
      <c r="I855" s="17"/>
      <c r="J855" s="17"/>
      <c r="K855" s="17"/>
      <c r="L855" s="4"/>
      <c r="M855" s="4"/>
      <c r="N855" s="4"/>
      <c r="O855" s="4"/>
      <c r="P855" s="4"/>
      <c r="Q855" s="4"/>
      <c r="R855" s="4"/>
      <c r="S855" s="4"/>
      <c r="T855" s="4"/>
      <c r="U855" s="4"/>
      <c r="V855" s="4"/>
      <c r="W855" s="4"/>
      <c r="X855" s="4"/>
      <c r="Y855" s="4"/>
      <c r="Z855" s="4"/>
    </row>
    <row r="856">
      <c r="A856" s="77"/>
      <c r="B856" s="17"/>
      <c r="C856" s="17"/>
      <c r="D856" s="17"/>
      <c r="E856" s="17"/>
      <c r="F856" s="17"/>
      <c r="G856" s="78"/>
      <c r="H856" s="78"/>
      <c r="I856" s="17"/>
      <c r="J856" s="17"/>
      <c r="K856" s="17"/>
      <c r="L856" s="4"/>
      <c r="M856" s="4"/>
      <c r="N856" s="4"/>
      <c r="O856" s="4"/>
      <c r="P856" s="4"/>
      <c r="Q856" s="4"/>
      <c r="R856" s="4"/>
      <c r="S856" s="4"/>
      <c r="T856" s="4"/>
      <c r="U856" s="4"/>
      <c r="V856" s="4"/>
      <c r="W856" s="4"/>
      <c r="X856" s="4"/>
      <c r="Y856" s="4"/>
      <c r="Z856" s="4"/>
    </row>
    <row r="857">
      <c r="A857" s="77"/>
      <c r="B857" s="17"/>
      <c r="C857" s="17"/>
      <c r="D857" s="17"/>
      <c r="E857" s="17"/>
      <c r="F857" s="17"/>
      <c r="G857" s="78"/>
      <c r="H857" s="78"/>
      <c r="I857" s="17"/>
      <c r="J857" s="17"/>
      <c r="K857" s="17"/>
      <c r="L857" s="4"/>
      <c r="M857" s="4"/>
      <c r="N857" s="4"/>
      <c r="O857" s="4"/>
      <c r="P857" s="4"/>
      <c r="Q857" s="4"/>
      <c r="R857" s="4"/>
      <c r="S857" s="4"/>
      <c r="T857" s="4"/>
      <c r="U857" s="4"/>
      <c r="V857" s="4"/>
      <c r="W857" s="4"/>
      <c r="X857" s="4"/>
      <c r="Y857" s="4"/>
      <c r="Z857" s="4"/>
    </row>
    <row r="858">
      <c r="A858" s="77"/>
      <c r="B858" s="17"/>
      <c r="C858" s="17"/>
      <c r="D858" s="17"/>
      <c r="E858" s="17"/>
      <c r="F858" s="17"/>
      <c r="G858" s="78"/>
      <c r="H858" s="78"/>
      <c r="I858" s="17"/>
      <c r="J858" s="17"/>
      <c r="K858" s="17"/>
      <c r="L858" s="4"/>
      <c r="M858" s="4"/>
      <c r="N858" s="4"/>
      <c r="O858" s="4"/>
      <c r="P858" s="4"/>
      <c r="Q858" s="4"/>
      <c r="R858" s="4"/>
      <c r="S858" s="4"/>
      <c r="T858" s="4"/>
      <c r="U858" s="4"/>
      <c r="V858" s="4"/>
      <c r="W858" s="4"/>
      <c r="X858" s="4"/>
      <c r="Y858" s="4"/>
      <c r="Z858" s="4"/>
    </row>
    <row r="859">
      <c r="A859" s="77"/>
      <c r="B859" s="17"/>
      <c r="C859" s="17"/>
      <c r="D859" s="17"/>
      <c r="E859" s="17"/>
      <c r="F859" s="17"/>
      <c r="G859" s="78"/>
      <c r="H859" s="78"/>
      <c r="I859" s="17"/>
      <c r="J859" s="17"/>
      <c r="K859" s="17"/>
      <c r="L859" s="4"/>
      <c r="M859" s="4"/>
      <c r="N859" s="4"/>
      <c r="O859" s="4"/>
      <c r="P859" s="4"/>
      <c r="Q859" s="4"/>
      <c r="R859" s="4"/>
      <c r="S859" s="4"/>
      <c r="T859" s="4"/>
      <c r="U859" s="4"/>
      <c r="V859" s="4"/>
      <c r="W859" s="4"/>
      <c r="X859" s="4"/>
      <c r="Y859" s="4"/>
      <c r="Z859" s="4"/>
    </row>
    <row r="860">
      <c r="A860" s="77"/>
      <c r="B860" s="17"/>
      <c r="C860" s="17"/>
      <c r="D860" s="17"/>
      <c r="E860" s="17"/>
      <c r="F860" s="17"/>
      <c r="G860" s="78"/>
      <c r="H860" s="78"/>
      <c r="I860" s="17"/>
      <c r="J860" s="17"/>
      <c r="K860" s="17"/>
      <c r="L860" s="4"/>
      <c r="M860" s="4"/>
      <c r="N860" s="4"/>
      <c r="O860" s="4"/>
      <c r="P860" s="4"/>
      <c r="Q860" s="4"/>
      <c r="R860" s="4"/>
      <c r="S860" s="4"/>
      <c r="T860" s="4"/>
      <c r="U860" s="4"/>
      <c r="V860" s="4"/>
      <c r="W860" s="4"/>
      <c r="X860" s="4"/>
      <c r="Y860" s="4"/>
      <c r="Z860" s="4"/>
    </row>
    <row r="861">
      <c r="A861" s="77"/>
      <c r="B861" s="17"/>
      <c r="C861" s="17"/>
      <c r="D861" s="17"/>
      <c r="E861" s="17"/>
      <c r="F861" s="17"/>
      <c r="G861" s="78"/>
      <c r="H861" s="78"/>
      <c r="I861" s="17"/>
      <c r="J861" s="17"/>
      <c r="K861" s="17"/>
      <c r="L861" s="4"/>
      <c r="M861" s="4"/>
      <c r="N861" s="4"/>
      <c r="O861" s="4"/>
      <c r="P861" s="4"/>
      <c r="Q861" s="4"/>
      <c r="R861" s="4"/>
      <c r="S861" s="4"/>
      <c r="T861" s="4"/>
      <c r="U861" s="4"/>
      <c r="V861" s="4"/>
      <c r="W861" s="4"/>
      <c r="X861" s="4"/>
      <c r="Y861" s="4"/>
      <c r="Z861" s="4"/>
    </row>
    <row r="862">
      <c r="A862" s="77"/>
      <c r="B862" s="17"/>
      <c r="C862" s="17"/>
      <c r="D862" s="17"/>
      <c r="E862" s="17"/>
      <c r="F862" s="17"/>
      <c r="G862" s="78"/>
      <c r="H862" s="78"/>
      <c r="I862" s="17"/>
      <c r="J862" s="17"/>
      <c r="K862" s="17"/>
      <c r="L862" s="4"/>
      <c r="M862" s="4"/>
      <c r="N862" s="4"/>
      <c r="O862" s="4"/>
      <c r="P862" s="4"/>
      <c r="Q862" s="4"/>
      <c r="R862" s="4"/>
      <c r="S862" s="4"/>
      <c r="T862" s="4"/>
      <c r="U862" s="4"/>
      <c r="V862" s="4"/>
      <c r="W862" s="4"/>
      <c r="X862" s="4"/>
      <c r="Y862" s="4"/>
      <c r="Z862" s="4"/>
    </row>
    <row r="863">
      <c r="A863" s="77"/>
      <c r="B863" s="17"/>
      <c r="C863" s="17"/>
      <c r="D863" s="17"/>
      <c r="E863" s="17"/>
      <c r="F863" s="17"/>
      <c r="G863" s="78"/>
      <c r="H863" s="78"/>
      <c r="I863" s="17"/>
      <c r="J863" s="17"/>
      <c r="K863" s="17"/>
      <c r="L863" s="4"/>
      <c r="M863" s="4"/>
      <c r="N863" s="4"/>
      <c r="O863" s="4"/>
      <c r="P863" s="4"/>
      <c r="Q863" s="4"/>
      <c r="R863" s="4"/>
      <c r="S863" s="4"/>
      <c r="T863" s="4"/>
      <c r="U863" s="4"/>
      <c r="V863" s="4"/>
      <c r="W863" s="4"/>
      <c r="X863" s="4"/>
      <c r="Y863" s="4"/>
      <c r="Z863" s="4"/>
    </row>
    <row r="864">
      <c r="A864" s="77"/>
      <c r="B864" s="17"/>
      <c r="C864" s="17"/>
      <c r="D864" s="17"/>
      <c r="E864" s="17"/>
      <c r="F864" s="17"/>
      <c r="G864" s="78"/>
      <c r="H864" s="78"/>
      <c r="I864" s="17"/>
      <c r="J864" s="17"/>
      <c r="K864" s="17"/>
      <c r="L864" s="4"/>
      <c r="M864" s="4"/>
      <c r="N864" s="4"/>
      <c r="O864" s="4"/>
      <c r="P864" s="4"/>
      <c r="Q864" s="4"/>
      <c r="R864" s="4"/>
      <c r="S864" s="4"/>
      <c r="T864" s="4"/>
      <c r="U864" s="4"/>
      <c r="V864" s="4"/>
      <c r="W864" s="4"/>
      <c r="X864" s="4"/>
      <c r="Y864" s="4"/>
      <c r="Z864" s="4"/>
    </row>
    <row r="865">
      <c r="A865" s="77"/>
      <c r="B865" s="17"/>
      <c r="C865" s="17"/>
      <c r="D865" s="17"/>
      <c r="E865" s="17"/>
      <c r="F865" s="17"/>
      <c r="G865" s="78"/>
      <c r="H865" s="78"/>
      <c r="I865" s="17"/>
      <c r="J865" s="17"/>
      <c r="K865" s="17"/>
      <c r="L865" s="4"/>
      <c r="M865" s="4"/>
      <c r="N865" s="4"/>
      <c r="O865" s="4"/>
      <c r="P865" s="4"/>
      <c r="Q865" s="4"/>
      <c r="R865" s="4"/>
      <c r="S865" s="4"/>
      <c r="T865" s="4"/>
      <c r="U865" s="4"/>
      <c r="V865" s="4"/>
      <c r="W865" s="4"/>
      <c r="X865" s="4"/>
      <c r="Y865" s="4"/>
      <c r="Z865" s="4"/>
    </row>
    <row r="866">
      <c r="A866" s="77"/>
      <c r="B866" s="17"/>
      <c r="C866" s="17"/>
      <c r="D866" s="17"/>
      <c r="E866" s="17"/>
      <c r="F866" s="17"/>
      <c r="G866" s="78"/>
      <c r="H866" s="78"/>
      <c r="I866" s="17"/>
      <c r="J866" s="17"/>
      <c r="K866" s="17"/>
      <c r="L866" s="4"/>
      <c r="M866" s="4"/>
      <c r="N866" s="4"/>
      <c r="O866" s="4"/>
      <c r="P866" s="4"/>
      <c r="Q866" s="4"/>
      <c r="R866" s="4"/>
      <c r="S866" s="4"/>
      <c r="T866" s="4"/>
      <c r="U866" s="4"/>
      <c r="V866" s="4"/>
      <c r="W866" s="4"/>
      <c r="X866" s="4"/>
      <c r="Y866" s="4"/>
      <c r="Z866" s="4"/>
    </row>
    <row r="867">
      <c r="A867" s="77"/>
      <c r="B867" s="17"/>
      <c r="C867" s="17"/>
      <c r="D867" s="17"/>
      <c r="E867" s="17"/>
      <c r="F867" s="17"/>
      <c r="G867" s="78"/>
      <c r="H867" s="78"/>
      <c r="I867" s="17"/>
      <c r="J867" s="17"/>
      <c r="K867" s="17"/>
      <c r="L867" s="4"/>
      <c r="M867" s="4"/>
      <c r="N867" s="4"/>
      <c r="O867" s="4"/>
      <c r="P867" s="4"/>
      <c r="Q867" s="4"/>
      <c r="R867" s="4"/>
      <c r="S867" s="4"/>
      <c r="T867" s="4"/>
      <c r="U867" s="4"/>
      <c r="V867" s="4"/>
      <c r="W867" s="4"/>
      <c r="X867" s="4"/>
      <c r="Y867" s="4"/>
      <c r="Z867" s="4"/>
    </row>
    <row r="868">
      <c r="A868" s="77"/>
      <c r="B868" s="17"/>
      <c r="C868" s="17"/>
      <c r="D868" s="17"/>
      <c r="E868" s="17"/>
      <c r="F868" s="17"/>
      <c r="G868" s="78"/>
      <c r="H868" s="78"/>
      <c r="I868" s="17"/>
      <c r="J868" s="17"/>
      <c r="K868" s="17"/>
      <c r="L868" s="4"/>
      <c r="M868" s="4"/>
      <c r="N868" s="4"/>
      <c r="O868" s="4"/>
      <c r="P868" s="4"/>
      <c r="Q868" s="4"/>
      <c r="R868" s="4"/>
      <c r="S868" s="4"/>
      <c r="T868" s="4"/>
      <c r="U868" s="4"/>
      <c r="V868" s="4"/>
      <c r="W868" s="4"/>
      <c r="X868" s="4"/>
      <c r="Y868" s="4"/>
      <c r="Z868" s="4"/>
    </row>
    <row r="869">
      <c r="A869" s="77"/>
      <c r="B869" s="17"/>
      <c r="C869" s="17"/>
      <c r="D869" s="17"/>
      <c r="E869" s="17"/>
      <c r="F869" s="17"/>
      <c r="G869" s="78"/>
      <c r="H869" s="78"/>
      <c r="I869" s="17"/>
      <c r="J869" s="17"/>
      <c r="K869" s="17"/>
      <c r="L869" s="4"/>
      <c r="M869" s="4"/>
      <c r="N869" s="4"/>
      <c r="O869" s="4"/>
      <c r="P869" s="4"/>
      <c r="Q869" s="4"/>
      <c r="R869" s="4"/>
      <c r="S869" s="4"/>
      <c r="T869" s="4"/>
      <c r="U869" s="4"/>
      <c r="V869" s="4"/>
      <c r="W869" s="4"/>
      <c r="X869" s="4"/>
      <c r="Y869" s="4"/>
      <c r="Z869" s="4"/>
    </row>
    <row r="870">
      <c r="A870" s="77"/>
      <c r="B870" s="17"/>
      <c r="C870" s="17"/>
      <c r="D870" s="17"/>
      <c r="E870" s="17"/>
      <c r="F870" s="17"/>
      <c r="G870" s="78"/>
      <c r="H870" s="78"/>
      <c r="I870" s="17"/>
      <c r="J870" s="17"/>
      <c r="K870" s="17"/>
      <c r="L870" s="4"/>
      <c r="M870" s="4"/>
      <c r="N870" s="4"/>
      <c r="O870" s="4"/>
      <c r="P870" s="4"/>
      <c r="Q870" s="4"/>
      <c r="R870" s="4"/>
      <c r="S870" s="4"/>
      <c r="T870" s="4"/>
      <c r="U870" s="4"/>
      <c r="V870" s="4"/>
      <c r="W870" s="4"/>
      <c r="X870" s="4"/>
      <c r="Y870" s="4"/>
      <c r="Z870" s="4"/>
    </row>
    <row r="871">
      <c r="A871" s="77"/>
      <c r="B871" s="17"/>
      <c r="C871" s="17"/>
      <c r="D871" s="17"/>
      <c r="E871" s="17"/>
      <c r="F871" s="17"/>
      <c r="G871" s="78"/>
      <c r="H871" s="78"/>
      <c r="I871" s="17"/>
      <c r="J871" s="17"/>
      <c r="K871" s="17"/>
      <c r="L871" s="4"/>
      <c r="M871" s="4"/>
      <c r="N871" s="4"/>
      <c r="O871" s="4"/>
      <c r="P871" s="4"/>
      <c r="Q871" s="4"/>
      <c r="R871" s="4"/>
      <c r="S871" s="4"/>
      <c r="T871" s="4"/>
      <c r="U871" s="4"/>
      <c r="V871" s="4"/>
      <c r="W871" s="4"/>
      <c r="X871" s="4"/>
      <c r="Y871" s="4"/>
      <c r="Z871" s="4"/>
    </row>
    <row r="872">
      <c r="A872" s="77"/>
      <c r="B872" s="17"/>
      <c r="C872" s="17"/>
      <c r="D872" s="17"/>
      <c r="E872" s="17"/>
      <c r="F872" s="17"/>
      <c r="G872" s="78"/>
      <c r="H872" s="78"/>
      <c r="I872" s="17"/>
      <c r="J872" s="17"/>
      <c r="K872" s="17"/>
      <c r="L872" s="4"/>
      <c r="M872" s="4"/>
      <c r="N872" s="4"/>
      <c r="O872" s="4"/>
      <c r="P872" s="4"/>
      <c r="Q872" s="4"/>
      <c r="R872" s="4"/>
      <c r="S872" s="4"/>
      <c r="T872" s="4"/>
      <c r="U872" s="4"/>
      <c r="V872" s="4"/>
      <c r="W872" s="4"/>
      <c r="X872" s="4"/>
      <c r="Y872" s="4"/>
      <c r="Z872" s="4"/>
    </row>
    <row r="873">
      <c r="A873" s="77"/>
      <c r="B873" s="17"/>
      <c r="C873" s="17"/>
      <c r="D873" s="17"/>
      <c r="E873" s="17"/>
      <c r="F873" s="17"/>
      <c r="G873" s="78"/>
      <c r="H873" s="78"/>
      <c r="I873" s="17"/>
      <c r="J873" s="17"/>
      <c r="K873" s="17"/>
      <c r="L873" s="4"/>
      <c r="M873" s="4"/>
      <c r="N873" s="4"/>
      <c r="O873" s="4"/>
      <c r="P873" s="4"/>
      <c r="Q873" s="4"/>
      <c r="R873" s="4"/>
      <c r="S873" s="4"/>
      <c r="T873" s="4"/>
      <c r="U873" s="4"/>
      <c r="V873" s="4"/>
      <c r="W873" s="4"/>
      <c r="X873" s="4"/>
      <c r="Y873" s="4"/>
      <c r="Z873" s="4"/>
    </row>
    <row r="874">
      <c r="A874" s="77"/>
      <c r="B874" s="17"/>
      <c r="C874" s="17"/>
      <c r="D874" s="17"/>
      <c r="E874" s="17"/>
      <c r="F874" s="17"/>
      <c r="G874" s="78"/>
      <c r="H874" s="78"/>
      <c r="I874" s="17"/>
      <c r="J874" s="17"/>
      <c r="K874" s="17"/>
      <c r="L874" s="4"/>
      <c r="M874" s="4"/>
      <c r="N874" s="4"/>
      <c r="O874" s="4"/>
      <c r="P874" s="4"/>
      <c r="Q874" s="4"/>
      <c r="R874" s="4"/>
      <c r="S874" s="4"/>
      <c r="T874" s="4"/>
      <c r="U874" s="4"/>
      <c r="V874" s="4"/>
      <c r="W874" s="4"/>
      <c r="X874" s="4"/>
      <c r="Y874" s="4"/>
      <c r="Z874" s="4"/>
    </row>
    <row r="875">
      <c r="A875" s="77"/>
      <c r="B875" s="17"/>
      <c r="C875" s="17"/>
      <c r="D875" s="17"/>
      <c r="E875" s="17"/>
      <c r="F875" s="17"/>
      <c r="G875" s="78"/>
      <c r="H875" s="78"/>
      <c r="I875" s="17"/>
      <c r="J875" s="17"/>
      <c r="K875" s="17"/>
      <c r="L875" s="4"/>
      <c r="M875" s="4"/>
      <c r="N875" s="4"/>
      <c r="O875" s="4"/>
      <c r="P875" s="4"/>
      <c r="Q875" s="4"/>
      <c r="R875" s="4"/>
      <c r="S875" s="4"/>
      <c r="T875" s="4"/>
      <c r="U875" s="4"/>
      <c r="V875" s="4"/>
      <c r="W875" s="4"/>
      <c r="X875" s="4"/>
      <c r="Y875" s="4"/>
      <c r="Z875" s="4"/>
    </row>
    <row r="876">
      <c r="A876" s="77"/>
      <c r="B876" s="17"/>
      <c r="C876" s="17"/>
      <c r="D876" s="17"/>
      <c r="E876" s="17"/>
      <c r="F876" s="17"/>
      <c r="G876" s="78"/>
      <c r="H876" s="78"/>
      <c r="I876" s="17"/>
      <c r="J876" s="17"/>
      <c r="K876" s="17"/>
      <c r="L876" s="4"/>
      <c r="M876" s="4"/>
      <c r="N876" s="4"/>
      <c r="O876" s="4"/>
      <c r="P876" s="4"/>
      <c r="Q876" s="4"/>
      <c r="R876" s="4"/>
      <c r="S876" s="4"/>
      <c r="T876" s="4"/>
      <c r="U876" s="4"/>
      <c r="V876" s="4"/>
      <c r="W876" s="4"/>
      <c r="X876" s="4"/>
      <c r="Y876" s="4"/>
      <c r="Z876" s="4"/>
    </row>
    <row r="877">
      <c r="A877" s="77"/>
      <c r="B877" s="17"/>
      <c r="C877" s="17"/>
      <c r="D877" s="17"/>
      <c r="E877" s="17"/>
      <c r="F877" s="17"/>
      <c r="G877" s="78"/>
      <c r="H877" s="78"/>
      <c r="I877" s="17"/>
      <c r="J877" s="17"/>
      <c r="K877" s="17"/>
      <c r="L877" s="4"/>
      <c r="M877" s="4"/>
      <c r="N877" s="4"/>
      <c r="O877" s="4"/>
      <c r="P877" s="4"/>
      <c r="Q877" s="4"/>
      <c r="R877" s="4"/>
      <c r="S877" s="4"/>
      <c r="T877" s="4"/>
      <c r="U877" s="4"/>
      <c r="V877" s="4"/>
      <c r="W877" s="4"/>
      <c r="X877" s="4"/>
      <c r="Y877" s="4"/>
      <c r="Z877" s="4"/>
    </row>
    <row r="878">
      <c r="A878" s="77"/>
      <c r="B878" s="17"/>
      <c r="C878" s="17"/>
      <c r="D878" s="17"/>
      <c r="E878" s="17"/>
      <c r="F878" s="17"/>
      <c r="G878" s="78"/>
      <c r="H878" s="78"/>
      <c r="I878" s="17"/>
      <c r="J878" s="17"/>
      <c r="K878" s="17"/>
      <c r="L878" s="4"/>
      <c r="M878" s="4"/>
      <c r="N878" s="4"/>
      <c r="O878" s="4"/>
      <c r="P878" s="4"/>
      <c r="Q878" s="4"/>
      <c r="R878" s="4"/>
      <c r="S878" s="4"/>
      <c r="T878" s="4"/>
      <c r="U878" s="4"/>
      <c r="V878" s="4"/>
      <c r="W878" s="4"/>
      <c r="X878" s="4"/>
      <c r="Y878" s="4"/>
      <c r="Z878" s="4"/>
    </row>
    <row r="879">
      <c r="A879" s="77"/>
      <c r="B879" s="17"/>
      <c r="C879" s="17"/>
      <c r="D879" s="17"/>
      <c r="E879" s="17"/>
      <c r="F879" s="17"/>
      <c r="G879" s="78"/>
      <c r="H879" s="78"/>
      <c r="I879" s="17"/>
      <c r="J879" s="17"/>
      <c r="K879" s="17"/>
      <c r="L879" s="4"/>
      <c r="M879" s="4"/>
      <c r="N879" s="4"/>
      <c r="O879" s="4"/>
      <c r="P879" s="4"/>
      <c r="Q879" s="4"/>
      <c r="R879" s="4"/>
      <c r="S879" s="4"/>
      <c r="T879" s="4"/>
      <c r="U879" s="4"/>
      <c r="V879" s="4"/>
      <c r="W879" s="4"/>
      <c r="X879" s="4"/>
      <c r="Y879" s="4"/>
      <c r="Z879" s="4"/>
    </row>
    <row r="880">
      <c r="A880" s="77"/>
      <c r="B880" s="17"/>
      <c r="C880" s="17"/>
      <c r="D880" s="17"/>
      <c r="E880" s="17"/>
      <c r="F880" s="17"/>
      <c r="G880" s="78"/>
      <c r="H880" s="78"/>
      <c r="I880" s="17"/>
      <c r="J880" s="17"/>
      <c r="K880" s="17"/>
      <c r="L880" s="4"/>
      <c r="M880" s="4"/>
      <c r="N880" s="4"/>
      <c r="O880" s="4"/>
      <c r="P880" s="4"/>
      <c r="Q880" s="4"/>
      <c r="R880" s="4"/>
      <c r="S880" s="4"/>
      <c r="T880" s="4"/>
      <c r="U880" s="4"/>
      <c r="V880" s="4"/>
      <c r="W880" s="4"/>
      <c r="X880" s="4"/>
      <c r="Y880" s="4"/>
      <c r="Z880" s="4"/>
    </row>
    <row r="881">
      <c r="A881" s="77"/>
      <c r="B881" s="17"/>
      <c r="C881" s="17"/>
      <c r="D881" s="17"/>
      <c r="E881" s="17"/>
      <c r="F881" s="17"/>
      <c r="G881" s="78"/>
      <c r="H881" s="78"/>
      <c r="I881" s="17"/>
      <c r="J881" s="17"/>
      <c r="K881" s="17"/>
      <c r="L881" s="4"/>
      <c r="M881" s="4"/>
      <c r="N881" s="4"/>
      <c r="O881" s="4"/>
      <c r="P881" s="4"/>
      <c r="Q881" s="4"/>
      <c r="R881" s="4"/>
      <c r="S881" s="4"/>
      <c r="T881" s="4"/>
      <c r="U881" s="4"/>
      <c r="V881" s="4"/>
      <c r="W881" s="4"/>
      <c r="X881" s="4"/>
      <c r="Y881" s="4"/>
      <c r="Z881" s="4"/>
    </row>
    <row r="882">
      <c r="A882" s="77"/>
      <c r="B882" s="17"/>
      <c r="C882" s="17"/>
      <c r="D882" s="17"/>
      <c r="E882" s="17"/>
      <c r="F882" s="17"/>
      <c r="G882" s="78"/>
      <c r="H882" s="78"/>
      <c r="I882" s="17"/>
      <c r="J882" s="17"/>
      <c r="K882" s="17"/>
      <c r="L882" s="4"/>
      <c r="M882" s="4"/>
      <c r="N882" s="4"/>
      <c r="O882" s="4"/>
      <c r="P882" s="4"/>
      <c r="Q882" s="4"/>
      <c r="R882" s="4"/>
      <c r="S882" s="4"/>
      <c r="T882" s="4"/>
      <c r="U882" s="4"/>
      <c r="V882" s="4"/>
      <c r="W882" s="4"/>
      <c r="X882" s="4"/>
      <c r="Y882" s="4"/>
      <c r="Z882" s="4"/>
    </row>
    <row r="883">
      <c r="A883" s="77"/>
      <c r="B883" s="17"/>
      <c r="C883" s="17"/>
      <c r="D883" s="17"/>
      <c r="E883" s="17"/>
      <c r="F883" s="17"/>
      <c r="G883" s="78"/>
      <c r="H883" s="78"/>
      <c r="I883" s="17"/>
      <c r="J883" s="17"/>
      <c r="K883" s="17"/>
      <c r="L883" s="4"/>
      <c r="M883" s="4"/>
      <c r="N883" s="4"/>
      <c r="O883" s="4"/>
      <c r="P883" s="4"/>
      <c r="Q883" s="4"/>
      <c r="R883" s="4"/>
      <c r="S883" s="4"/>
      <c r="T883" s="4"/>
      <c r="U883" s="4"/>
      <c r="V883" s="4"/>
      <c r="W883" s="4"/>
      <c r="X883" s="4"/>
      <c r="Y883" s="4"/>
      <c r="Z883" s="4"/>
    </row>
    <row r="884">
      <c r="A884" s="77"/>
      <c r="B884" s="17"/>
      <c r="C884" s="17"/>
      <c r="D884" s="17"/>
      <c r="E884" s="17"/>
      <c r="F884" s="17"/>
      <c r="G884" s="78"/>
      <c r="H884" s="78"/>
      <c r="I884" s="17"/>
      <c r="J884" s="17"/>
      <c r="K884" s="17"/>
      <c r="L884" s="4"/>
      <c r="M884" s="4"/>
      <c r="N884" s="4"/>
      <c r="O884" s="4"/>
      <c r="P884" s="4"/>
      <c r="Q884" s="4"/>
      <c r="R884" s="4"/>
      <c r="S884" s="4"/>
      <c r="T884" s="4"/>
      <c r="U884" s="4"/>
      <c r="V884" s="4"/>
      <c r="W884" s="4"/>
      <c r="X884" s="4"/>
      <c r="Y884" s="4"/>
      <c r="Z884" s="4"/>
    </row>
    <row r="885">
      <c r="A885" s="77"/>
      <c r="B885" s="17"/>
      <c r="C885" s="17"/>
      <c r="D885" s="17"/>
      <c r="E885" s="17"/>
      <c r="F885" s="17"/>
      <c r="G885" s="78"/>
      <c r="H885" s="78"/>
      <c r="I885" s="17"/>
      <c r="J885" s="17"/>
      <c r="K885" s="17"/>
      <c r="L885" s="4"/>
      <c r="M885" s="4"/>
      <c r="N885" s="4"/>
      <c r="O885" s="4"/>
      <c r="P885" s="4"/>
      <c r="Q885" s="4"/>
      <c r="R885" s="4"/>
      <c r="S885" s="4"/>
      <c r="T885" s="4"/>
      <c r="U885" s="4"/>
      <c r="V885" s="4"/>
      <c r="W885" s="4"/>
      <c r="X885" s="4"/>
      <c r="Y885" s="4"/>
      <c r="Z885" s="4"/>
    </row>
    <row r="886">
      <c r="A886" s="77"/>
      <c r="B886" s="17"/>
      <c r="C886" s="17"/>
      <c r="D886" s="17"/>
      <c r="E886" s="17"/>
      <c r="F886" s="17"/>
      <c r="G886" s="78"/>
      <c r="H886" s="78"/>
      <c r="I886" s="17"/>
      <c r="J886" s="17"/>
      <c r="K886" s="17"/>
      <c r="L886" s="4"/>
      <c r="M886" s="4"/>
      <c r="N886" s="4"/>
      <c r="O886" s="4"/>
      <c r="P886" s="4"/>
      <c r="Q886" s="4"/>
      <c r="R886" s="4"/>
      <c r="S886" s="4"/>
      <c r="T886" s="4"/>
      <c r="U886" s="4"/>
      <c r="V886" s="4"/>
      <c r="W886" s="4"/>
      <c r="X886" s="4"/>
      <c r="Y886" s="4"/>
      <c r="Z886" s="4"/>
    </row>
    <row r="887">
      <c r="A887" s="77"/>
      <c r="B887" s="17"/>
      <c r="C887" s="17"/>
      <c r="D887" s="17"/>
      <c r="E887" s="17"/>
      <c r="F887" s="17"/>
      <c r="G887" s="78"/>
      <c r="H887" s="78"/>
      <c r="I887" s="17"/>
      <c r="J887" s="17"/>
      <c r="K887" s="17"/>
      <c r="L887" s="4"/>
      <c r="M887" s="4"/>
      <c r="N887" s="4"/>
      <c r="O887" s="4"/>
      <c r="P887" s="4"/>
      <c r="Q887" s="4"/>
      <c r="R887" s="4"/>
      <c r="S887" s="4"/>
      <c r="T887" s="4"/>
      <c r="U887" s="4"/>
      <c r="V887" s="4"/>
      <c r="W887" s="4"/>
      <c r="X887" s="4"/>
      <c r="Y887" s="4"/>
      <c r="Z887" s="4"/>
    </row>
    <row r="888">
      <c r="A888" s="77"/>
      <c r="B888" s="17"/>
      <c r="C888" s="17"/>
      <c r="D888" s="17"/>
      <c r="E888" s="17"/>
      <c r="F888" s="17"/>
      <c r="G888" s="78"/>
      <c r="H888" s="78"/>
      <c r="I888" s="17"/>
      <c r="J888" s="17"/>
      <c r="K888" s="17"/>
      <c r="L888" s="4"/>
      <c r="M888" s="4"/>
      <c r="N888" s="4"/>
      <c r="O888" s="4"/>
      <c r="P888" s="4"/>
      <c r="Q888" s="4"/>
      <c r="R888" s="4"/>
      <c r="S888" s="4"/>
      <c r="T888" s="4"/>
      <c r="U888" s="4"/>
      <c r="V888" s="4"/>
      <c r="W888" s="4"/>
      <c r="X888" s="4"/>
      <c r="Y888" s="4"/>
      <c r="Z888" s="4"/>
    </row>
    <row r="889">
      <c r="A889" s="77"/>
      <c r="B889" s="17"/>
      <c r="C889" s="17"/>
      <c r="D889" s="17"/>
      <c r="E889" s="17"/>
      <c r="F889" s="17"/>
      <c r="G889" s="78"/>
      <c r="H889" s="78"/>
      <c r="I889" s="17"/>
      <c r="J889" s="17"/>
      <c r="K889" s="17"/>
      <c r="L889" s="4"/>
      <c r="M889" s="4"/>
      <c r="N889" s="4"/>
      <c r="O889" s="4"/>
      <c r="P889" s="4"/>
      <c r="Q889" s="4"/>
      <c r="R889" s="4"/>
      <c r="S889" s="4"/>
      <c r="T889" s="4"/>
      <c r="U889" s="4"/>
      <c r="V889" s="4"/>
      <c r="W889" s="4"/>
      <c r="X889" s="4"/>
      <c r="Y889" s="4"/>
      <c r="Z889" s="4"/>
    </row>
    <row r="890">
      <c r="A890" s="77"/>
      <c r="B890" s="17"/>
      <c r="C890" s="17"/>
      <c r="D890" s="17"/>
      <c r="E890" s="17"/>
      <c r="F890" s="17"/>
      <c r="G890" s="78"/>
      <c r="H890" s="78"/>
      <c r="I890" s="17"/>
      <c r="J890" s="17"/>
      <c r="K890" s="17"/>
      <c r="L890" s="4"/>
      <c r="M890" s="4"/>
      <c r="N890" s="4"/>
      <c r="O890" s="4"/>
      <c r="P890" s="4"/>
      <c r="Q890" s="4"/>
      <c r="R890" s="4"/>
      <c r="S890" s="4"/>
      <c r="T890" s="4"/>
      <c r="U890" s="4"/>
      <c r="V890" s="4"/>
      <c r="W890" s="4"/>
      <c r="X890" s="4"/>
      <c r="Y890" s="4"/>
      <c r="Z890" s="4"/>
    </row>
    <row r="891">
      <c r="A891" s="77"/>
      <c r="B891" s="17"/>
      <c r="C891" s="17"/>
      <c r="D891" s="17"/>
      <c r="E891" s="17"/>
      <c r="F891" s="17"/>
      <c r="G891" s="78"/>
      <c r="H891" s="78"/>
      <c r="I891" s="17"/>
      <c r="J891" s="17"/>
      <c r="K891" s="17"/>
      <c r="L891" s="4"/>
      <c r="M891" s="4"/>
      <c r="N891" s="4"/>
      <c r="O891" s="4"/>
      <c r="P891" s="4"/>
      <c r="Q891" s="4"/>
      <c r="R891" s="4"/>
      <c r="S891" s="4"/>
      <c r="T891" s="4"/>
      <c r="U891" s="4"/>
      <c r="V891" s="4"/>
      <c r="W891" s="4"/>
      <c r="X891" s="4"/>
      <c r="Y891" s="4"/>
      <c r="Z891" s="4"/>
    </row>
    <row r="892">
      <c r="A892" s="77"/>
      <c r="B892" s="17"/>
      <c r="C892" s="17"/>
      <c r="D892" s="17"/>
      <c r="E892" s="17"/>
      <c r="F892" s="17"/>
      <c r="G892" s="78"/>
      <c r="H892" s="78"/>
      <c r="I892" s="17"/>
      <c r="J892" s="17"/>
      <c r="K892" s="17"/>
      <c r="L892" s="4"/>
      <c r="M892" s="4"/>
      <c r="N892" s="4"/>
      <c r="O892" s="4"/>
      <c r="P892" s="4"/>
      <c r="Q892" s="4"/>
      <c r="R892" s="4"/>
      <c r="S892" s="4"/>
      <c r="T892" s="4"/>
      <c r="U892" s="4"/>
      <c r="V892" s="4"/>
      <c r="W892" s="4"/>
      <c r="X892" s="4"/>
      <c r="Y892" s="4"/>
      <c r="Z892" s="4"/>
    </row>
    <row r="893">
      <c r="A893" s="77"/>
      <c r="B893" s="17"/>
      <c r="C893" s="17"/>
      <c r="D893" s="17"/>
      <c r="E893" s="17"/>
      <c r="F893" s="17"/>
      <c r="G893" s="78"/>
      <c r="H893" s="78"/>
      <c r="I893" s="17"/>
      <c r="J893" s="17"/>
      <c r="K893" s="17"/>
      <c r="L893" s="4"/>
      <c r="M893" s="4"/>
      <c r="N893" s="4"/>
      <c r="O893" s="4"/>
      <c r="P893" s="4"/>
      <c r="Q893" s="4"/>
      <c r="R893" s="4"/>
      <c r="S893" s="4"/>
      <c r="T893" s="4"/>
      <c r="U893" s="4"/>
      <c r="V893" s="4"/>
      <c r="W893" s="4"/>
      <c r="X893" s="4"/>
      <c r="Y893" s="4"/>
      <c r="Z893" s="4"/>
    </row>
    <row r="894">
      <c r="A894" s="77"/>
      <c r="B894" s="17"/>
      <c r="C894" s="17"/>
      <c r="D894" s="17"/>
      <c r="E894" s="17"/>
      <c r="F894" s="17"/>
      <c r="G894" s="78"/>
      <c r="H894" s="78"/>
      <c r="I894" s="17"/>
      <c r="J894" s="17"/>
      <c r="K894" s="17"/>
      <c r="L894" s="4"/>
      <c r="M894" s="4"/>
      <c r="N894" s="4"/>
      <c r="O894" s="4"/>
      <c r="P894" s="4"/>
      <c r="Q894" s="4"/>
      <c r="R894" s="4"/>
      <c r="S894" s="4"/>
      <c r="T894" s="4"/>
      <c r="U894" s="4"/>
      <c r="V894" s="4"/>
      <c r="W894" s="4"/>
      <c r="X894" s="4"/>
      <c r="Y894" s="4"/>
      <c r="Z894" s="4"/>
    </row>
    <row r="895">
      <c r="A895" s="77"/>
      <c r="B895" s="17"/>
      <c r="C895" s="17"/>
      <c r="D895" s="17"/>
      <c r="E895" s="17"/>
      <c r="F895" s="17"/>
      <c r="G895" s="78"/>
      <c r="H895" s="78"/>
      <c r="I895" s="17"/>
      <c r="J895" s="17"/>
      <c r="K895" s="17"/>
      <c r="L895" s="4"/>
      <c r="M895" s="4"/>
      <c r="N895" s="4"/>
      <c r="O895" s="4"/>
      <c r="P895" s="4"/>
      <c r="Q895" s="4"/>
      <c r="R895" s="4"/>
      <c r="S895" s="4"/>
      <c r="T895" s="4"/>
      <c r="U895" s="4"/>
      <c r="V895" s="4"/>
      <c r="W895" s="4"/>
      <c r="X895" s="4"/>
      <c r="Y895" s="4"/>
      <c r="Z895" s="4"/>
    </row>
    <row r="896">
      <c r="A896" s="77"/>
      <c r="B896" s="17"/>
      <c r="C896" s="17"/>
      <c r="D896" s="17"/>
      <c r="E896" s="17"/>
      <c r="F896" s="17"/>
      <c r="G896" s="78"/>
      <c r="H896" s="78"/>
      <c r="I896" s="17"/>
      <c r="J896" s="17"/>
      <c r="K896" s="17"/>
      <c r="L896" s="4"/>
      <c r="M896" s="4"/>
      <c r="N896" s="4"/>
      <c r="O896" s="4"/>
      <c r="P896" s="4"/>
      <c r="Q896" s="4"/>
      <c r="R896" s="4"/>
      <c r="S896" s="4"/>
      <c r="T896" s="4"/>
      <c r="U896" s="4"/>
      <c r="V896" s="4"/>
      <c r="W896" s="4"/>
      <c r="X896" s="4"/>
      <c r="Y896" s="4"/>
      <c r="Z896" s="4"/>
    </row>
    <row r="897">
      <c r="A897" s="77"/>
      <c r="B897" s="17"/>
      <c r="C897" s="17"/>
      <c r="D897" s="17"/>
      <c r="E897" s="17"/>
      <c r="F897" s="17"/>
      <c r="G897" s="78"/>
      <c r="H897" s="78"/>
      <c r="I897" s="17"/>
      <c r="J897" s="17"/>
      <c r="K897" s="17"/>
      <c r="L897" s="4"/>
      <c r="M897" s="4"/>
      <c r="N897" s="4"/>
      <c r="O897" s="4"/>
      <c r="P897" s="4"/>
      <c r="Q897" s="4"/>
      <c r="R897" s="4"/>
      <c r="S897" s="4"/>
      <c r="T897" s="4"/>
      <c r="U897" s="4"/>
      <c r="V897" s="4"/>
      <c r="W897" s="4"/>
      <c r="X897" s="4"/>
      <c r="Y897" s="4"/>
      <c r="Z897" s="4"/>
    </row>
    <row r="898">
      <c r="A898" s="77"/>
      <c r="B898" s="17"/>
      <c r="C898" s="17"/>
      <c r="D898" s="17"/>
      <c r="E898" s="17"/>
      <c r="F898" s="17"/>
      <c r="G898" s="78"/>
      <c r="H898" s="78"/>
      <c r="I898" s="17"/>
      <c r="J898" s="17"/>
      <c r="K898" s="17"/>
      <c r="L898" s="4"/>
      <c r="M898" s="4"/>
      <c r="N898" s="4"/>
      <c r="O898" s="4"/>
      <c r="P898" s="4"/>
      <c r="Q898" s="4"/>
      <c r="R898" s="4"/>
      <c r="S898" s="4"/>
      <c r="T898" s="4"/>
      <c r="U898" s="4"/>
      <c r="V898" s="4"/>
      <c r="W898" s="4"/>
      <c r="X898" s="4"/>
      <c r="Y898" s="4"/>
      <c r="Z898" s="4"/>
    </row>
    <row r="899">
      <c r="A899" s="77"/>
      <c r="B899" s="17"/>
      <c r="C899" s="17"/>
      <c r="D899" s="17"/>
      <c r="E899" s="17"/>
      <c r="F899" s="17"/>
      <c r="G899" s="78"/>
      <c r="H899" s="78"/>
      <c r="I899" s="17"/>
      <c r="J899" s="17"/>
      <c r="K899" s="17"/>
      <c r="L899" s="4"/>
      <c r="M899" s="4"/>
      <c r="N899" s="4"/>
      <c r="O899" s="4"/>
      <c r="P899" s="4"/>
      <c r="Q899" s="4"/>
      <c r="R899" s="4"/>
      <c r="S899" s="4"/>
      <c r="T899" s="4"/>
      <c r="U899" s="4"/>
      <c r="V899" s="4"/>
      <c r="W899" s="4"/>
      <c r="X899" s="4"/>
      <c r="Y899" s="4"/>
      <c r="Z899" s="4"/>
    </row>
    <row r="900">
      <c r="A900" s="77"/>
      <c r="B900" s="17"/>
      <c r="C900" s="17"/>
      <c r="D900" s="17"/>
      <c r="E900" s="17"/>
      <c r="F900" s="17"/>
      <c r="G900" s="78"/>
      <c r="H900" s="78"/>
      <c r="I900" s="17"/>
      <c r="J900" s="17"/>
      <c r="K900" s="17"/>
      <c r="L900" s="4"/>
      <c r="M900" s="4"/>
      <c r="N900" s="4"/>
      <c r="O900" s="4"/>
      <c r="P900" s="4"/>
      <c r="Q900" s="4"/>
      <c r="R900" s="4"/>
      <c r="S900" s="4"/>
      <c r="T900" s="4"/>
      <c r="U900" s="4"/>
      <c r="V900" s="4"/>
      <c r="W900" s="4"/>
      <c r="X900" s="4"/>
      <c r="Y900" s="4"/>
      <c r="Z900" s="4"/>
    </row>
    <row r="901">
      <c r="A901" s="77"/>
      <c r="B901" s="17"/>
      <c r="C901" s="17"/>
      <c r="D901" s="17"/>
      <c r="E901" s="17"/>
      <c r="F901" s="17"/>
      <c r="G901" s="78"/>
      <c r="H901" s="78"/>
      <c r="I901" s="17"/>
      <c r="J901" s="17"/>
      <c r="K901" s="17"/>
      <c r="L901" s="4"/>
      <c r="M901" s="4"/>
      <c r="N901" s="4"/>
      <c r="O901" s="4"/>
      <c r="P901" s="4"/>
      <c r="Q901" s="4"/>
      <c r="R901" s="4"/>
      <c r="S901" s="4"/>
      <c r="T901" s="4"/>
      <c r="U901" s="4"/>
      <c r="V901" s="4"/>
      <c r="W901" s="4"/>
      <c r="X901" s="4"/>
      <c r="Y901" s="4"/>
      <c r="Z901" s="4"/>
    </row>
    <row r="902">
      <c r="A902" s="77"/>
      <c r="B902" s="17"/>
      <c r="C902" s="17"/>
      <c r="D902" s="17"/>
      <c r="E902" s="17"/>
      <c r="F902" s="17"/>
      <c r="G902" s="78"/>
      <c r="H902" s="78"/>
      <c r="I902" s="17"/>
      <c r="J902" s="17"/>
      <c r="K902" s="17"/>
      <c r="L902" s="4"/>
      <c r="M902" s="4"/>
      <c r="N902" s="4"/>
      <c r="O902" s="4"/>
      <c r="P902" s="4"/>
      <c r="Q902" s="4"/>
      <c r="R902" s="4"/>
      <c r="S902" s="4"/>
      <c r="T902" s="4"/>
      <c r="U902" s="4"/>
      <c r="V902" s="4"/>
      <c r="W902" s="4"/>
      <c r="X902" s="4"/>
      <c r="Y902" s="4"/>
      <c r="Z902" s="4"/>
    </row>
    <row r="903">
      <c r="A903" s="77"/>
      <c r="B903" s="17"/>
      <c r="C903" s="17"/>
      <c r="D903" s="17"/>
      <c r="E903" s="17"/>
      <c r="F903" s="17"/>
      <c r="G903" s="78"/>
      <c r="H903" s="78"/>
      <c r="I903" s="17"/>
      <c r="J903" s="17"/>
      <c r="K903" s="17"/>
      <c r="L903" s="4"/>
      <c r="M903" s="4"/>
      <c r="N903" s="4"/>
      <c r="O903" s="4"/>
      <c r="P903" s="4"/>
      <c r="Q903" s="4"/>
      <c r="R903" s="4"/>
      <c r="S903" s="4"/>
      <c r="T903" s="4"/>
      <c r="U903" s="4"/>
      <c r="V903" s="4"/>
      <c r="W903" s="4"/>
      <c r="X903" s="4"/>
      <c r="Y903" s="4"/>
      <c r="Z903" s="4"/>
    </row>
    <row r="904">
      <c r="A904" s="77"/>
      <c r="B904" s="17"/>
      <c r="C904" s="17"/>
      <c r="D904" s="17"/>
      <c r="E904" s="17"/>
      <c r="F904" s="17"/>
      <c r="G904" s="78"/>
      <c r="H904" s="78"/>
      <c r="I904" s="17"/>
      <c r="J904" s="17"/>
      <c r="K904" s="17"/>
      <c r="L904" s="4"/>
      <c r="M904" s="4"/>
      <c r="N904" s="4"/>
      <c r="O904" s="4"/>
      <c r="P904" s="4"/>
      <c r="Q904" s="4"/>
      <c r="R904" s="4"/>
      <c r="S904" s="4"/>
      <c r="T904" s="4"/>
      <c r="U904" s="4"/>
      <c r="V904" s="4"/>
      <c r="W904" s="4"/>
      <c r="X904" s="4"/>
      <c r="Y904" s="4"/>
      <c r="Z904" s="4"/>
    </row>
    <row r="905">
      <c r="A905" s="77"/>
      <c r="B905" s="17"/>
      <c r="C905" s="17"/>
      <c r="D905" s="17"/>
      <c r="E905" s="17"/>
      <c r="F905" s="17"/>
      <c r="G905" s="78"/>
      <c r="H905" s="78"/>
      <c r="I905" s="17"/>
      <c r="J905" s="17"/>
      <c r="K905" s="17"/>
      <c r="L905" s="4"/>
      <c r="M905" s="4"/>
      <c r="N905" s="4"/>
      <c r="O905" s="4"/>
      <c r="P905" s="4"/>
      <c r="Q905" s="4"/>
      <c r="R905" s="4"/>
      <c r="S905" s="4"/>
      <c r="T905" s="4"/>
      <c r="U905" s="4"/>
      <c r="V905" s="4"/>
      <c r="W905" s="4"/>
      <c r="X905" s="4"/>
      <c r="Y905" s="4"/>
      <c r="Z905" s="4"/>
    </row>
    <row r="906">
      <c r="A906" s="77"/>
      <c r="B906" s="17"/>
      <c r="C906" s="17"/>
      <c r="D906" s="17"/>
      <c r="E906" s="17"/>
      <c r="F906" s="17"/>
      <c r="G906" s="78"/>
      <c r="H906" s="78"/>
      <c r="I906" s="17"/>
      <c r="J906" s="17"/>
      <c r="K906" s="17"/>
      <c r="L906" s="4"/>
      <c r="M906" s="4"/>
      <c r="N906" s="4"/>
      <c r="O906" s="4"/>
      <c r="P906" s="4"/>
      <c r="Q906" s="4"/>
      <c r="R906" s="4"/>
      <c r="S906" s="4"/>
      <c r="T906" s="4"/>
      <c r="U906" s="4"/>
      <c r="V906" s="4"/>
      <c r="W906" s="4"/>
      <c r="X906" s="4"/>
      <c r="Y906" s="4"/>
      <c r="Z906" s="4"/>
    </row>
    <row r="907">
      <c r="A907" s="77"/>
      <c r="B907" s="17"/>
      <c r="C907" s="17"/>
      <c r="D907" s="17"/>
      <c r="E907" s="17"/>
      <c r="F907" s="17"/>
      <c r="G907" s="78"/>
      <c r="H907" s="78"/>
      <c r="I907" s="17"/>
      <c r="J907" s="17"/>
      <c r="K907" s="17"/>
      <c r="L907" s="4"/>
      <c r="M907" s="4"/>
      <c r="N907" s="4"/>
      <c r="O907" s="4"/>
      <c r="P907" s="4"/>
      <c r="Q907" s="4"/>
      <c r="R907" s="4"/>
      <c r="S907" s="4"/>
      <c r="T907" s="4"/>
      <c r="U907" s="4"/>
      <c r="V907" s="4"/>
      <c r="W907" s="4"/>
      <c r="X907" s="4"/>
      <c r="Y907" s="4"/>
      <c r="Z907" s="4"/>
    </row>
    <row r="908">
      <c r="A908" s="77"/>
      <c r="B908" s="17"/>
      <c r="C908" s="17"/>
      <c r="D908" s="17"/>
      <c r="E908" s="17"/>
      <c r="F908" s="17"/>
      <c r="G908" s="78"/>
      <c r="H908" s="78"/>
      <c r="I908" s="17"/>
      <c r="J908" s="17"/>
      <c r="K908" s="17"/>
      <c r="L908" s="4"/>
      <c r="M908" s="4"/>
      <c r="N908" s="4"/>
      <c r="O908" s="4"/>
      <c r="P908" s="4"/>
      <c r="Q908" s="4"/>
      <c r="R908" s="4"/>
      <c r="S908" s="4"/>
      <c r="T908" s="4"/>
      <c r="U908" s="4"/>
      <c r="V908" s="4"/>
      <c r="W908" s="4"/>
      <c r="X908" s="4"/>
      <c r="Y908" s="4"/>
      <c r="Z908" s="4"/>
    </row>
    <row r="909">
      <c r="A909" s="77"/>
      <c r="B909" s="17"/>
      <c r="C909" s="17"/>
      <c r="D909" s="17"/>
      <c r="E909" s="17"/>
      <c r="F909" s="17"/>
      <c r="G909" s="78"/>
      <c r="H909" s="78"/>
      <c r="I909" s="17"/>
      <c r="J909" s="17"/>
      <c r="K909" s="17"/>
      <c r="L909" s="4"/>
      <c r="M909" s="4"/>
      <c r="N909" s="4"/>
      <c r="O909" s="4"/>
      <c r="P909" s="4"/>
      <c r="Q909" s="4"/>
      <c r="R909" s="4"/>
      <c r="S909" s="4"/>
      <c r="T909" s="4"/>
      <c r="U909" s="4"/>
      <c r="V909" s="4"/>
      <c r="W909" s="4"/>
      <c r="X909" s="4"/>
      <c r="Y909" s="4"/>
      <c r="Z909" s="4"/>
    </row>
    <row r="910">
      <c r="A910" s="77"/>
      <c r="B910" s="17"/>
      <c r="C910" s="17"/>
      <c r="D910" s="17"/>
      <c r="E910" s="17"/>
      <c r="F910" s="17"/>
      <c r="G910" s="78"/>
      <c r="H910" s="78"/>
      <c r="I910" s="17"/>
      <c r="J910" s="17"/>
      <c r="K910" s="17"/>
      <c r="L910" s="4"/>
      <c r="M910" s="4"/>
      <c r="N910" s="4"/>
      <c r="O910" s="4"/>
      <c r="P910" s="4"/>
      <c r="Q910" s="4"/>
      <c r="R910" s="4"/>
      <c r="S910" s="4"/>
      <c r="T910" s="4"/>
      <c r="U910" s="4"/>
      <c r="V910" s="4"/>
      <c r="W910" s="4"/>
      <c r="X910" s="4"/>
      <c r="Y910" s="4"/>
      <c r="Z910" s="4"/>
    </row>
    <row r="911">
      <c r="A911" s="77"/>
      <c r="B911" s="17"/>
      <c r="C911" s="17"/>
      <c r="D911" s="17"/>
      <c r="E911" s="17"/>
      <c r="F911" s="17"/>
      <c r="G911" s="78"/>
      <c r="H911" s="78"/>
      <c r="I911" s="17"/>
      <c r="J911" s="17"/>
      <c r="K911" s="17"/>
      <c r="L911" s="4"/>
      <c r="M911" s="4"/>
      <c r="N911" s="4"/>
      <c r="O911" s="4"/>
      <c r="P911" s="4"/>
      <c r="Q911" s="4"/>
      <c r="R911" s="4"/>
      <c r="S911" s="4"/>
      <c r="T911" s="4"/>
      <c r="U911" s="4"/>
      <c r="V911" s="4"/>
      <c r="W911" s="4"/>
      <c r="X911" s="4"/>
      <c r="Y911" s="4"/>
      <c r="Z911" s="4"/>
    </row>
    <row r="912">
      <c r="A912" s="77"/>
      <c r="B912" s="17"/>
      <c r="C912" s="17"/>
      <c r="D912" s="17"/>
      <c r="E912" s="17"/>
      <c r="F912" s="17"/>
      <c r="G912" s="78"/>
      <c r="H912" s="78"/>
      <c r="I912" s="17"/>
      <c r="J912" s="17"/>
      <c r="K912" s="17"/>
      <c r="L912" s="4"/>
      <c r="M912" s="4"/>
      <c r="N912" s="4"/>
      <c r="O912" s="4"/>
      <c r="P912" s="4"/>
      <c r="Q912" s="4"/>
      <c r="R912" s="4"/>
      <c r="S912" s="4"/>
      <c r="T912" s="4"/>
      <c r="U912" s="4"/>
      <c r="V912" s="4"/>
      <c r="W912" s="4"/>
      <c r="X912" s="4"/>
      <c r="Y912" s="4"/>
      <c r="Z912" s="4"/>
    </row>
    <row r="913">
      <c r="A913" s="77"/>
      <c r="B913" s="17"/>
      <c r="C913" s="17"/>
      <c r="D913" s="17"/>
      <c r="E913" s="17"/>
      <c r="F913" s="17"/>
      <c r="G913" s="78"/>
      <c r="H913" s="78"/>
      <c r="I913" s="17"/>
      <c r="J913" s="17"/>
      <c r="K913" s="17"/>
      <c r="L913" s="4"/>
      <c r="M913" s="4"/>
      <c r="N913" s="4"/>
      <c r="O913" s="4"/>
      <c r="P913" s="4"/>
      <c r="Q913" s="4"/>
      <c r="R913" s="4"/>
      <c r="S913" s="4"/>
      <c r="T913" s="4"/>
      <c r="U913" s="4"/>
      <c r="V913" s="4"/>
      <c r="W913" s="4"/>
      <c r="X913" s="4"/>
      <c r="Y913" s="4"/>
      <c r="Z913" s="4"/>
    </row>
    <row r="914">
      <c r="A914" s="77"/>
      <c r="B914" s="17"/>
      <c r="C914" s="17"/>
      <c r="D914" s="17"/>
      <c r="E914" s="17"/>
      <c r="F914" s="17"/>
      <c r="G914" s="78"/>
      <c r="H914" s="78"/>
      <c r="I914" s="17"/>
      <c r="J914" s="17"/>
      <c r="K914" s="17"/>
      <c r="L914" s="4"/>
      <c r="M914" s="4"/>
      <c r="N914" s="4"/>
      <c r="O914" s="4"/>
      <c r="P914" s="4"/>
      <c r="Q914" s="4"/>
      <c r="R914" s="4"/>
      <c r="S914" s="4"/>
      <c r="T914" s="4"/>
      <c r="U914" s="4"/>
      <c r="V914" s="4"/>
      <c r="W914" s="4"/>
      <c r="X914" s="4"/>
      <c r="Y914" s="4"/>
      <c r="Z914" s="4"/>
    </row>
    <row r="915">
      <c r="A915" s="77"/>
      <c r="B915" s="17"/>
      <c r="C915" s="17"/>
      <c r="D915" s="17"/>
      <c r="E915" s="17"/>
      <c r="F915" s="17"/>
      <c r="G915" s="78"/>
      <c r="H915" s="78"/>
      <c r="I915" s="17"/>
      <c r="J915" s="17"/>
      <c r="K915" s="17"/>
      <c r="L915" s="4"/>
      <c r="M915" s="4"/>
      <c r="N915" s="4"/>
      <c r="O915" s="4"/>
      <c r="P915" s="4"/>
      <c r="Q915" s="4"/>
      <c r="R915" s="4"/>
      <c r="S915" s="4"/>
      <c r="T915" s="4"/>
      <c r="U915" s="4"/>
      <c r="V915" s="4"/>
      <c r="W915" s="4"/>
      <c r="X915" s="4"/>
      <c r="Y915" s="4"/>
      <c r="Z915" s="4"/>
    </row>
    <row r="916">
      <c r="A916" s="77"/>
      <c r="B916" s="17"/>
      <c r="C916" s="17"/>
      <c r="D916" s="17"/>
      <c r="E916" s="17"/>
      <c r="F916" s="17"/>
      <c r="G916" s="78"/>
      <c r="H916" s="78"/>
      <c r="I916" s="17"/>
      <c r="J916" s="17"/>
      <c r="K916" s="17"/>
      <c r="L916" s="4"/>
      <c r="M916" s="4"/>
      <c r="N916" s="4"/>
      <c r="O916" s="4"/>
      <c r="P916" s="4"/>
      <c r="Q916" s="4"/>
      <c r="R916" s="4"/>
      <c r="S916" s="4"/>
      <c r="T916" s="4"/>
      <c r="U916" s="4"/>
      <c r="V916" s="4"/>
      <c r="W916" s="4"/>
      <c r="X916" s="4"/>
      <c r="Y916" s="4"/>
      <c r="Z916" s="4"/>
    </row>
    <row r="917">
      <c r="A917" s="77"/>
      <c r="B917" s="17"/>
      <c r="C917" s="17"/>
      <c r="D917" s="17"/>
      <c r="E917" s="17"/>
      <c r="F917" s="17"/>
      <c r="G917" s="78"/>
      <c r="H917" s="78"/>
      <c r="I917" s="17"/>
      <c r="J917" s="17"/>
      <c r="K917" s="17"/>
      <c r="L917" s="4"/>
      <c r="M917" s="4"/>
      <c r="N917" s="4"/>
      <c r="O917" s="4"/>
      <c r="P917" s="4"/>
      <c r="Q917" s="4"/>
      <c r="R917" s="4"/>
      <c r="S917" s="4"/>
      <c r="T917" s="4"/>
      <c r="U917" s="4"/>
      <c r="V917" s="4"/>
      <c r="W917" s="4"/>
      <c r="X917" s="4"/>
      <c r="Y917" s="4"/>
      <c r="Z917" s="4"/>
    </row>
    <row r="918">
      <c r="A918" s="77"/>
      <c r="B918" s="17"/>
      <c r="C918" s="17"/>
      <c r="D918" s="17"/>
      <c r="E918" s="17"/>
      <c r="F918" s="17"/>
      <c r="G918" s="78"/>
      <c r="H918" s="78"/>
      <c r="I918" s="17"/>
      <c r="J918" s="17"/>
      <c r="K918" s="17"/>
      <c r="L918" s="4"/>
      <c r="M918" s="4"/>
      <c r="N918" s="4"/>
      <c r="O918" s="4"/>
      <c r="P918" s="4"/>
      <c r="Q918" s="4"/>
      <c r="R918" s="4"/>
      <c r="S918" s="4"/>
      <c r="T918" s="4"/>
      <c r="U918" s="4"/>
      <c r="V918" s="4"/>
      <c r="W918" s="4"/>
      <c r="X918" s="4"/>
      <c r="Y918" s="4"/>
      <c r="Z918" s="4"/>
    </row>
    <row r="919">
      <c r="A919" s="77"/>
      <c r="B919" s="17"/>
      <c r="C919" s="17"/>
      <c r="D919" s="17"/>
      <c r="E919" s="17"/>
      <c r="F919" s="17"/>
      <c r="G919" s="78"/>
      <c r="H919" s="78"/>
      <c r="I919" s="17"/>
      <c r="J919" s="17"/>
      <c r="K919" s="17"/>
      <c r="L919" s="4"/>
      <c r="M919" s="4"/>
      <c r="N919" s="4"/>
      <c r="O919" s="4"/>
      <c r="P919" s="4"/>
      <c r="Q919" s="4"/>
      <c r="R919" s="4"/>
      <c r="S919" s="4"/>
      <c r="T919" s="4"/>
      <c r="U919" s="4"/>
      <c r="V919" s="4"/>
      <c r="W919" s="4"/>
      <c r="X919" s="4"/>
      <c r="Y919" s="4"/>
      <c r="Z919" s="4"/>
    </row>
    <row r="920">
      <c r="A920" s="77"/>
      <c r="B920" s="17"/>
      <c r="C920" s="17"/>
      <c r="D920" s="17"/>
      <c r="E920" s="17"/>
      <c r="F920" s="17"/>
      <c r="G920" s="78"/>
      <c r="H920" s="78"/>
      <c r="I920" s="17"/>
      <c r="J920" s="17"/>
      <c r="K920" s="17"/>
      <c r="L920" s="4"/>
      <c r="M920" s="4"/>
      <c r="N920" s="4"/>
      <c r="O920" s="4"/>
      <c r="P920" s="4"/>
      <c r="Q920" s="4"/>
      <c r="R920" s="4"/>
      <c r="S920" s="4"/>
      <c r="T920" s="4"/>
      <c r="U920" s="4"/>
      <c r="V920" s="4"/>
      <c r="W920" s="4"/>
      <c r="X920" s="4"/>
      <c r="Y920" s="4"/>
      <c r="Z920" s="4"/>
    </row>
    <row r="921">
      <c r="A921" s="77"/>
      <c r="B921" s="17"/>
      <c r="C921" s="17"/>
      <c r="D921" s="17"/>
      <c r="E921" s="17"/>
      <c r="F921" s="17"/>
      <c r="G921" s="78"/>
      <c r="H921" s="78"/>
      <c r="I921" s="17"/>
      <c r="J921" s="17"/>
      <c r="K921" s="17"/>
      <c r="L921" s="4"/>
      <c r="M921" s="4"/>
      <c r="N921" s="4"/>
      <c r="O921" s="4"/>
      <c r="P921" s="4"/>
      <c r="Q921" s="4"/>
      <c r="R921" s="4"/>
      <c r="S921" s="4"/>
      <c r="T921" s="4"/>
      <c r="U921" s="4"/>
      <c r="V921" s="4"/>
      <c r="W921" s="4"/>
      <c r="X921" s="4"/>
      <c r="Y921" s="4"/>
      <c r="Z921" s="4"/>
    </row>
    <row r="922">
      <c r="A922" s="77"/>
      <c r="B922" s="17"/>
      <c r="C922" s="17"/>
      <c r="D922" s="17"/>
      <c r="E922" s="17"/>
      <c r="F922" s="17"/>
      <c r="G922" s="78"/>
      <c r="H922" s="78"/>
      <c r="I922" s="17"/>
      <c r="J922" s="17"/>
      <c r="K922" s="17"/>
      <c r="L922" s="4"/>
      <c r="M922" s="4"/>
      <c r="N922" s="4"/>
      <c r="O922" s="4"/>
      <c r="P922" s="4"/>
      <c r="Q922" s="4"/>
      <c r="R922" s="4"/>
      <c r="S922" s="4"/>
      <c r="T922" s="4"/>
      <c r="U922" s="4"/>
      <c r="V922" s="4"/>
      <c r="W922" s="4"/>
      <c r="X922" s="4"/>
      <c r="Y922" s="4"/>
      <c r="Z922" s="4"/>
    </row>
    <row r="923">
      <c r="A923" s="77"/>
      <c r="B923" s="17"/>
      <c r="C923" s="17"/>
      <c r="D923" s="17"/>
      <c r="E923" s="17"/>
      <c r="F923" s="17"/>
      <c r="G923" s="78"/>
      <c r="H923" s="78"/>
      <c r="I923" s="17"/>
      <c r="J923" s="17"/>
      <c r="K923" s="17"/>
      <c r="L923" s="4"/>
      <c r="M923" s="4"/>
      <c r="N923" s="4"/>
      <c r="O923" s="4"/>
      <c r="P923" s="4"/>
      <c r="Q923" s="4"/>
      <c r="R923" s="4"/>
      <c r="S923" s="4"/>
      <c r="T923" s="4"/>
      <c r="U923" s="4"/>
      <c r="V923" s="4"/>
      <c r="W923" s="4"/>
      <c r="X923" s="4"/>
      <c r="Y923" s="4"/>
      <c r="Z923" s="4"/>
    </row>
    <row r="924">
      <c r="A924" s="77"/>
      <c r="B924" s="17"/>
      <c r="C924" s="17"/>
      <c r="D924" s="17"/>
      <c r="E924" s="17"/>
      <c r="F924" s="17"/>
      <c r="G924" s="78"/>
      <c r="H924" s="78"/>
      <c r="I924" s="17"/>
      <c r="J924" s="17"/>
      <c r="K924" s="17"/>
      <c r="L924" s="4"/>
      <c r="M924" s="4"/>
      <c r="N924" s="4"/>
      <c r="O924" s="4"/>
      <c r="P924" s="4"/>
      <c r="Q924" s="4"/>
      <c r="R924" s="4"/>
      <c r="S924" s="4"/>
      <c r="T924" s="4"/>
      <c r="U924" s="4"/>
      <c r="V924" s="4"/>
      <c r="W924" s="4"/>
      <c r="X924" s="4"/>
      <c r="Y924" s="4"/>
      <c r="Z924" s="4"/>
    </row>
    <row r="925">
      <c r="A925" s="77"/>
      <c r="B925" s="17"/>
      <c r="C925" s="17"/>
      <c r="D925" s="17"/>
      <c r="E925" s="17"/>
      <c r="F925" s="17"/>
      <c r="G925" s="78"/>
      <c r="H925" s="78"/>
      <c r="I925" s="17"/>
      <c r="J925" s="17"/>
      <c r="K925" s="17"/>
      <c r="L925" s="4"/>
      <c r="M925" s="4"/>
      <c r="N925" s="4"/>
      <c r="O925" s="4"/>
      <c r="P925" s="4"/>
      <c r="Q925" s="4"/>
      <c r="R925" s="4"/>
      <c r="S925" s="4"/>
      <c r="T925" s="4"/>
      <c r="U925" s="4"/>
      <c r="V925" s="4"/>
      <c r="W925" s="4"/>
      <c r="X925" s="4"/>
      <c r="Y925" s="4"/>
      <c r="Z925" s="4"/>
    </row>
    <row r="926">
      <c r="A926" s="77"/>
      <c r="B926" s="17"/>
      <c r="C926" s="17"/>
      <c r="D926" s="17"/>
      <c r="E926" s="17"/>
      <c r="F926" s="17"/>
      <c r="G926" s="78"/>
      <c r="H926" s="78"/>
      <c r="I926" s="17"/>
      <c r="J926" s="17"/>
      <c r="K926" s="17"/>
      <c r="L926" s="4"/>
      <c r="M926" s="4"/>
      <c r="N926" s="4"/>
      <c r="O926" s="4"/>
      <c r="P926" s="4"/>
      <c r="Q926" s="4"/>
      <c r="R926" s="4"/>
      <c r="S926" s="4"/>
      <c r="T926" s="4"/>
      <c r="U926" s="4"/>
      <c r="V926" s="4"/>
      <c r="W926" s="4"/>
      <c r="X926" s="4"/>
      <c r="Y926" s="4"/>
      <c r="Z926" s="4"/>
    </row>
    <row r="927">
      <c r="A927" s="77"/>
      <c r="B927" s="17"/>
      <c r="C927" s="17"/>
      <c r="D927" s="17"/>
      <c r="E927" s="17"/>
      <c r="F927" s="17"/>
      <c r="G927" s="78"/>
      <c r="H927" s="78"/>
      <c r="I927" s="17"/>
      <c r="J927" s="17"/>
      <c r="K927" s="17"/>
      <c r="L927" s="4"/>
      <c r="M927" s="4"/>
      <c r="N927" s="4"/>
      <c r="O927" s="4"/>
      <c r="P927" s="4"/>
      <c r="Q927" s="4"/>
      <c r="R927" s="4"/>
      <c r="S927" s="4"/>
      <c r="T927" s="4"/>
      <c r="U927" s="4"/>
      <c r="V927" s="4"/>
      <c r="W927" s="4"/>
      <c r="X927" s="4"/>
      <c r="Y927" s="4"/>
      <c r="Z927" s="4"/>
    </row>
    <row r="928">
      <c r="A928" s="77"/>
      <c r="B928" s="17"/>
      <c r="C928" s="17"/>
      <c r="D928" s="17"/>
      <c r="E928" s="17"/>
      <c r="F928" s="17"/>
      <c r="G928" s="78"/>
      <c r="H928" s="78"/>
      <c r="I928" s="17"/>
      <c r="J928" s="17"/>
      <c r="K928" s="17"/>
      <c r="L928" s="4"/>
      <c r="M928" s="4"/>
      <c r="N928" s="4"/>
      <c r="O928" s="4"/>
      <c r="P928" s="4"/>
      <c r="Q928" s="4"/>
      <c r="R928" s="4"/>
      <c r="S928" s="4"/>
      <c r="T928" s="4"/>
      <c r="U928" s="4"/>
      <c r="V928" s="4"/>
      <c r="W928" s="4"/>
      <c r="X928" s="4"/>
      <c r="Y928" s="4"/>
      <c r="Z928" s="4"/>
    </row>
    <row r="929">
      <c r="A929" s="77"/>
      <c r="B929" s="17"/>
      <c r="C929" s="17"/>
      <c r="D929" s="17"/>
      <c r="E929" s="17"/>
      <c r="F929" s="17"/>
      <c r="G929" s="78"/>
      <c r="H929" s="78"/>
      <c r="I929" s="17"/>
      <c r="J929" s="17"/>
      <c r="K929" s="17"/>
      <c r="L929" s="4"/>
      <c r="M929" s="4"/>
      <c r="N929" s="4"/>
      <c r="O929" s="4"/>
      <c r="P929" s="4"/>
      <c r="Q929" s="4"/>
      <c r="R929" s="4"/>
      <c r="S929" s="4"/>
      <c r="T929" s="4"/>
      <c r="U929" s="4"/>
      <c r="V929" s="4"/>
      <c r="W929" s="4"/>
      <c r="X929" s="4"/>
      <c r="Y929" s="4"/>
      <c r="Z929" s="4"/>
    </row>
    <row r="930">
      <c r="A930" s="77"/>
      <c r="B930" s="17"/>
      <c r="C930" s="17"/>
      <c r="D930" s="17"/>
      <c r="E930" s="17"/>
      <c r="F930" s="17"/>
      <c r="G930" s="78"/>
      <c r="H930" s="78"/>
      <c r="I930" s="17"/>
      <c r="J930" s="17"/>
      <c r="K930" s="17"/>
      <c r="L930" s="4"/>
      <c r="M930" s="4"/>
      <c r="N930" s="4"/>
      <c r="O930" s="4"/>
      <c r="P930" s="4"/>
      <c r="Q930" s="4"/>
      <c r="R930" s="4"/>
      <c r="S930" s="4"/>
      <c r="T930" s="4"/>
      <c r="U930" s="4"/>
      <c r="V930" s="4"/>
      <c r="W930" s="4"/>
      <c r="X930" s="4"/>
      <c r="Y930" s="4"/>
      <c r="Z930" s="4"/>
    </row>
    <row r="931">
      <c r="A931" s="77"/>
      <c r="B931" s="17"/>
      <c r="C931" s="17"/>
      <c r="D931" s="17"/>
      <c r="E931" s="17"/>
      <c r="F931" s="17"/>
      <c r="G931" s="78"/>
      <c r="H931" s="78"/>
      <c r="I931" s="17"/>
      <c r="J931" s="17"/>
      <c r="K931" s="17"/>
      <c r="L931" s="4"/>
      <c r="M931" s="4"/>
      <c r="N931" s="4"/>
      <c r="O931" s="4"/>
      <c r="P931" s="4"/>
      <c r="Q931" s="4"/>
      <c r="R931" s="4"/>
      <c r="S931" s="4"/>
      <c r="T931" s="4"/>
      <c r="U931" s="4"/>
      <c r="V931" s="4"/>
      <c r="W931" s="4"/>
      <c r="X931" s="4"/>
      <c r="Y931" s="4"/>
      <c r="Z931" s="4"/>
    </row>
    <row r="932">
      <c r="A932" s="77"/>
      <c r="B932" s="17"/>
      <c r="C932" s="17"/>
      <c r="D932" s="17"/>
      <c r="E932" s="17"/>
      <c r="F932" s="17"/>
      <c r="G932" s="78"/>
      <c r="H932" s="78"/>
      <c r="I932" s="17"/>
      <c r="J932" s="17"/>
      <c r="K932" s="17"/>
      <c r="L932" s="4"/>
      <c r="M932" s="4"/>
      <c r="N932" s="4"/>
      <c r="O932" s="4"/>
      <c r="P932" s="4"/>
      <c r="Q932" s="4"/>
      <c r="R932" s="4"/>
      <c r="S932" s="4"/>
      <c r="T932" s="4"/>
      <c r="U932" s="4"/>
      <c r="V932" s="4"/>
      <c r="W932" s="4"/>
      <c r="X932" s="4"/>
      <c r="Y932" s="4"/>
      <c r="Z932" s="4"/>
    </row>
    <row r="933">
      <c r="A933" s="77"/>
      <c r="B933" s="17"/>
      <c r="C933" s="17"/>
      <c r="D933" s="17"/>
      <c r="E933" s="17"/>
      <c r="F933" s="17"/>
      <c r="G933" s="78"/>
      <c r="H933" s="78"/>
      <c r="I933" s="17"/>
      <c r="J933" s="17"/>
      <c r="K933" s="17"/>
      <c r="L933" s="4"/>
      <c r="M933" s="4"/>
      <c r="N933" s="4"/>
      <c r="O933" s="4"/>
      <c r="P933" s="4"/>
      <c r="Q933" s="4"/>
      <c r="R933" s="4"/>
      <c r="S933" s="4"/>
      <c r="T933" s="4"/>
      <c r="U933" s="4"/>
      <c r="V933" s="4"/>
      <c r="W933" s="4"/>
      <c r="X933" s="4"/>
      <c r="Y933" s="4"/>
      <c r="Z933" s="4"/>
    </row>
    <row r="934">
      <c r="A934" s="77"/>
      <c r="B934" s="17"/>
      <c r="C934" s="17"/>
      <c r="D934" s="17"/>
      <c r="E934" s="17"/>
      <c r="F934" s="17"/>
      <c r="G934" s="78"/>
      <c r="H934" s="78"/>
      <c r="I934" s="17"/>
      <c r="J934" s="17"/>
      <c r="K934" s="17"/>
      <c r="L934" s="4"/>
      <c r="M934" s="4"/>
      <c r="N934" s="4"/>
      <c r="O934" s="4"/>
      <c r="P934" s="4"/>
      <c r="Q934" s="4"/>
      <c r="R934" s="4"/>
      <c r="S934" s="4"/>
      <c r="T934" s="4"/>
      <c r="U934" s="4"/>
      <c r="V934" s="4"/>
      <c r="W934" s="4"/>
      <c r="X934" s="4"/>
      <c r="Y934" s="4"/>
      <c r="Z934" s="4"/>
    </row>
    <row r="935">
      <c r="A935" s="77"/>
      <c r="B935" s="17"/>
      <c r="C935" s="17"/>
      <c r="D935" s="17"/>
      <c r="E935" s="17"/>
      <c r="F935" s="17"/>
      <c r="G935" s="78"/>
      <c r="H935" s="78"/>
      <c r="I935" s="17"/>
      <c r="J935" s="17"/>
      <c r="K935" s="17"/>
      <c r="L935" s="4"/>
      <c r="M935" s="4"/>
      <c r="N935" s="4"/>
      <c r="O935" s="4"/>
      <c r="P935" s="4"/>
      <c r="Q935" s="4"/>
      <c r="R935" s="4"/>
      <c r="S935" s="4"/>
      <c r="T935" s="4"/>
      <c r="U935" s="4"/>
      <c r="V935" s="4"/>
      <c r="W935" s="4"/>
      <c r="X935" s="4"/>
      <c r="Y935" s="4"/>
      <c r="Z935" s="4"/>
    </row>
    <row r="936">
      <c r="A936" s="77"/>
      <c r="B936" s="17"/>
      <c r="C936" s="17"/>
      <c r="D936" s="17"/>
      <c r="E936" s="17"/>
      <c r="F936" s="17"/>
      <c r="G936" s="78"/>
      <c r="H936" s="78"/>
      <c r="I936" s="17"/>
      <c r="J936" s="17"/>
      <c r="K936" s="17"/>
      <c r="L936" s="4"/>
      <c r="M936" s="4"/>
      <c r="N936" s="4"/>
      <c r="O936" s="4"/>
      <c r="P936" s="4"/>
      <c r="Q936" s="4"/>
      <c r="R936" s="4"/>
      <c r="S936" s="4"/>
      <c r="T936" s="4"/>
      <c r="U936" s="4"/>
      <c r="V936" s="4"/>
      <c r="W936" s="4"/>
      <c r="X936" s="4"/>
      <c r="Y936" s="4"/>
      <c r="Z936" s="4"/>
    </row>
    <row r="937">
      <c r="A937" s="77"/>
      <c r="B937" s="17"/>
      <c r="C937" s="17"/>
      <c r="D937" s="17"/>
      <c r="E937" s="17"/>
      <c r="F937" s="17"/>
      <c r="G937" s="78"/>
      <c r="H937" s="78"/>
      <c r="I937" s="17"/>
      <c r="J937" s="17"/>
      <c r="K937" s="17"/>
      <c r="L937" s="4"/>
      <c r="M937" s="4"/>
      <c r="N937" s="4"/>
      <c r="O937" s="4"/>
      <c r="P937" s="4"/>
      <c r="Q937" s="4"/>
      <c r="R937" s="4"/>
      <c r="S937" s="4"/>
      <c r="T937" s="4"/>
      <c r="U937" s="4"/>
      <c r="V937" s="4"/>
      <c r="W937" s="4"/>
      <c r="X937" s="4"/>
      <c r="Y937" s="4"/>
      <c r="Z937" s="4"/>
    </row>
    <row r="938">
      <c r="A938" s="77"/>
      <c r="B938" s="17"/>
      <c r="C938" s="17"/>
      <c r="D938" s="17"/>
      <c r="E938" s="17"/>
      <c r="F938" s="17"/>
      <c r="G938" s="78"/>
      <c r="H938" s="78"/>
      <c r="I938" s="17"/>
      <c r="J938" s="17"/>
      <c r="K938" s="17"/>
      <c r="L938" s="4"/>
      <c r="M938" s="4"/>
      <c r="N938" s="4"/>
      <c r="O938" s="4"/>
      <c r="P938" s="4"/>
      <c r="Q938" s="4"/>
      <c r="R938" s="4"/>
      <c r="S938" s="4"/>
      <c r="T938" s="4"/>
      <c r="U938" s="4"/>
      <c r="V938" s="4"/>
      <c r="W938" s="4"/>
      <c r="X938" s="4"/>
      <c r="Y938" s="4"/>
      <c r="Z938" s="4"/>
    </row>
    <row r="939">
      <c r="A939" s="77"/>
      <c r="B939" s="17"/>
      <c r="C939" s="17"/>
      <c r="D939" s="17"/>
      <c r="E939" s="17"/>
      <c r="F939" s="17"/>
      <c r="G939" s="78"/>
      <c r="H939" s="78"/>
      <c r="I939" s="17"/>
      <c r="J939" s="17"/>
      <c r="K939" s="17"/>
      <c r="L939" s="4"/>
      <c r="M939" s="4"/>
      <c r="N939" s="4"/>
      <c r="O939" s="4"/>
      <c r="P939" s="4"/>
      <c r="Q939" s="4"/>
      <c r="R939" s="4"/>
      <c r="S939" s="4"/>
      <c r="T939" s="4"/>
      <c r="U939" s="4"/>
      <c r="V939" s="4"/>
      <c r="W939" s="4"/>
      <c r="X939" s="4"/>
      <c r="Y939" s="4"/>
      <c r="Z939" s="4"/>
    </row>
    <row r="940">
      <c r="A940" s="77"/>
      <c r="B940" s="17"/>
      <c r="C940" s="17"/>
      <c r="D940" s="17"/>
      <c r="E940" s="17"/>
      <c r="F940" s="17"/>
      <c r="G940" s="78"/>
      <c r="H940" s="78"/>
      <c r="I940" s="17"/>
      <c r="J940" s="17"/>
      <c r="K940" s="17"/>
      <c r="L940" s="4"/>
      <c r="M940" s="4"/>
      <c r="N940" s="4"/>
      <c r="O940" s="4"/>
      <c r="P940" s="4"/>
      <c r="Q940" s="4"/>
      <c r="R940" s="4"/>
      <c r="S940" s="4"/>
      <c r="T940" s="4"/>
      <c r="U940" s="4"/>
      <c r="V940" s="4"/>
      <c r="W940" s="4"/>
      <c r="X940" s="4"/>
      <c r="Y940" s="4"/>
      <c r="Z940" s="4"/>
    </row>
    <row r="941">
      <c r="A941" s="77"/>
      <c r="B941" s="17"/>
      <c r="C941" s="17"/>
      <c r="D941" s="17"/>
      <c r="E941" s="17"/>
      <c r="F941" s="17"/>
      <c r="G941" s="78"/>
      <c r="H941" s="78"/>
      <c r="I941" s="17"/>
      <c r="J941" s="17"/>
      <c r="K941" s="17"/>
      <c r="L941" s="4"/>
      <c r="M941" s="4"/>
      <c r="N941" s="4"/>
      <c r="O941" s="4"/>
      <c r="P941" s="4"/>
      <c r="Q941" s="4"/>
      <c r="R941" s="4"/>
      <c r="S941" s="4"/>
      <c r="T941" s="4"/>
      <c r="U941" s="4"/>
      <c r="V941" s="4"/>
      <c r="W941" s="4"/>
      <c r="X941" s="4"/>
      <c r="Y941" s="4"/>
      <c r="Z941" s="4"/>
    </row>
    <row r="942">
      <c r="A942" s="77"/>
      <c r="B942" s="17"/>
      <c r="C942" s="17"/>
      <c r="D942" s="17"/>
      <c r="E942" s="17"/>
      <c r="F942" s="17"/>
      <c r="G942" s="78"/>
      <c r="H942" s="78"/>
      <c r="I942" s="17"/>
      <c r="J942" s="17"/>
      <c r="K942" s="17"/>
      <c r="L942" s="4"/>
      <c r="M942" s="4"/>
      <c r="N942" s="4"/>
      <c r="O942" s="4"/>
      <c r="P942" s="4"/>
      <c r="Q942" s="4"/>
      <c r="R942" s="4"/>
      <c r="S942" s="4"/>
      <c r="T942" s="4"/>
      <c r="U942" s="4"/>
      <c r="V942" s="4"/>
      <c r="W942" s="4"/>
      <c r="X942" s="4"/>
      <c r="Y942" s="4"/>
      <c r="Z942" s="4"/>
    </row>
    <row r="943">
      <c r="A943" s="77"/>
      <c r="B943" s="17"/>
      <c r="C943" s="17"/>
      <c r="D943" s="17"/>
      <c r="E943" s="17"/>
      <c r="F943" s="17"/>
      <c r="G943" s="78"/>
      <c r="H943" s="78"/>
      <c r="I943" s="17"/>
      <c r="J943" s="17"/>
      <c r="K943" s="17"/>
      <c r="L943" s="4"/>
      <c r="M943" s="4"/>
      <c r="N943" s="4"/>
      <c r="O943" s="4"/>
      <c r="P943" s="4"/>
      <c r="Q943" s="4"/>
      <c r="R943" s="4"/>
      <c r="S943" s="4"/>
      <c r="T943" s="4"/>
      <c r="U943" s="4"/>
      <c r="V943" s="4"/>
      <c r="W943" s="4"/>
      <c r="X943" s="4"/>
      <c r="Y943" s="4"/>
      <c r="Z943" s="4"/>
    </row>
    <row r="944">
      <c r="A944" s="77"/>
      <c r="B944" s="17"/>
      <c r="C944" s="17"/>
      <c r="D944" s="17"/>
      <c r="E944" s="17"/>
      <c r="F944" s="17"/>
      <c r="G944" s="78"/>
      <c r="H944" s="78"/>
      <c r="I944" s="17"/>
      <c r="J944" s="17"/>
      <c r="K944" s="17"/>
      <c r="L944" s="4"/>
      <c r="M944" s="4"/>
      <c r="N944" s="4"/>
      <c r="O944" s="4"/>
      <c r="P944" s="4"/>
      <c r="Q944" s="4"/>
      <c r="R944" s="4"/>
      <c r="S944" s="4"/>
      <c r="T944" s="4"/>
      <c r="U944" s="4"/>
      <c r="V944" s="4"/>
      <c r="W944" s="4"/>
      <c r="X944" s="4"/>
      <c r="Y944" s="4"/>
      <c r="Z944" s="4"/>
    </row>
    <row r="945">
      <c r="A945" s="77"/>
      <c r="B945" s="17"/>
      <c r="C945" s="17"/>
      <c r="D945" s="17"/>
      <c r="E945" s="17"/>
      <c r="F945" s="17"/>
      <c r="G945" s="78"/>
      <c r="H945" s="78"/>
      <c r="I945" s="17"/>
      <c r="J945" s="17"/>
      <c r="K945" s="17"/>
      <c r="L945" s="4"/>
      <c r="M945" s="4"/>
      <c r="N945" s="4"/>
      <c r="O945" s="4"/>
      <c r="P945" s="4"/>
      <c r="Q945" s="4"/>
      <c r="R945" s="4"/>
      <c r="S945" s="4"/>
      <c r="T945" s="4"/>
      <c r="U945" s="4"/>
      <c r="V945" s="4"/>
      <c r="W945" s="4"/>
      <c r="X945" s="4"/>
      <c r="Y945" s="4"/>
      <c r="Z945" s="4"/>
    </row>
    <row r="946">
      <c r="A946" s="77"/>
      <c r="B946" s="17"/>
      <c r="C946" s="17"/>
      <c r="D946" s="17"/>
      <c r="E946" s="17"/>
      <c r="F946" s="17"/>
      <c r="G946" s="78"/>
      <c r="H946" s="78"/>
      <c r="I946" s="17"/>
      <c r="J946" s="17"/>
      <c r="K946" s="17"/>
      <c r="L946" s="4"/>
      <c r="M946" s="4"/>
      <c r="N946" s="4"/>
      <c r="O946" s="4"/>
      <c r="P946" s="4"/>
      <c r="Q946" s="4"/>
      <c r="R946" s="4"/>
      <c r="S946" s="4"/>
      <c r="T946" s="4"/>
      <c r="U946" s="4"/>
      <c r="V946" s="4"/>
      <c r="W946" s="4"/>
      <c r="X946" s="4"/>
      <c r="Y946" s="4"/>
      <c r="Z946" s="4"/>
    </row>
    <row r="947">
      <c r="A947" s="77"/>
      <c r="B947" s="17"/>
      <c r="C947" s="17"/>
      <c r="D947" s="17"/>
      <c r="E947" s="17"/>
      <c r="F947" s="17"/>
      <c r="G947" s="78"/>
      <c r="H947" s="78"/>
      <c r="I947" s="17"/>
      <c r="J947" s="17"/>
      <c r="K947" s="17"/>
      <c r="L947" s="4"/>
      <c r="M947" s="4"/>
      <c r="N947" s="4"/>
      <c r="O947" s="4"/>
      <c r="P947" s="4"/>
      <c r="Q947" s="4"/>
      <c r="R947" s="4"/>
      <c r="S947" s="4"/>
      <c r="T947" s="4"/>
      <c r="U947" s="4"/>
      <c r="V947" s="4"/>
      <c r="W947" s="4"/>
      <c r="X947" s="4"/>
      <c r="Y947" s="4"/>
      <c r="Z947" s="4"/>
    </row>
    <row r="948">
      <c r="A948" s="77"/>
      <c r="B948" s="17"/>
      <c r="C948" s="17"/>
      <c r="D948" s="17"/>
      <c r="E948" s="17"/>
      <c r="F948" s="17"/>
      <c r="G948" s="78"/>
      <c r="H948" s="78"/>
      <c r="I948" s="17"/>
      <c r="J948" s="17"/>
      <c r="K948" s="17"/>
      <c r="L948" s="4"/>
      <c r="M948" s="4"/>
      <c r="N948" s="4"/>
      <c r="O948" s="4"/>
      <c r="P948" s="4"/>
      <c r="Q948" s="4"/>
      <c r="R948" s="4"/>
      <c r="S948" s="4"/>
      <c r="T948" s="4"/>
      <c r="U948" s="4"/>
      <c r="V948" s="4"/>
      <c r="W948" s="4"/>
      <c r="X948" s="4"/>
      <c r="Y948" s="4"/>
      <c r="Z948" s="4"/>
    </row>
    <row r="949">
      <c r="A949" s="77"/>
      <c r="B949" s="17"/>
      <c r="C949" s="17"/>
      <c r="D949" s="17"/>
      <c r="E949" s="17"/>
      <c r="F949" s="17"/>
      <c r="G949" s="78"/>
      <c r="H949" s="78"/>
      <c r="I949" s="17"/>
      <c r="J949" s="17"/>
      <c r="K949" s="17"/>
      <c r="L949" s="4"/>
      <c r="M949" s="4"/>
      <c r="N949" s="4"/>
      <c r="O949" s="4"/>
      <c r="P949" s="4"/>
      <c r="Q949" s="4"/>
      <c r="R949" s="4"/>
      <c r="S949" s="4"/>
      <c r="T949" s="4"/>
      <c r="U949" s="4"/>
      <c r="V949" s="4"/>
      <c r="W949" s="4"/>
      <c r="X949" s="4"/>
      <c r="Y949" s="4"/>
      <c r="Z949" s="4"/>
    </row>
    <row r="950">
      <c r="A950" s="77"/>
      <c r="B950" s="17"/>
      <c r="C950" s="17"/>
      <c r="D950" s="17"/>
      <c r="E950" s="17"/>
      <c r="F950" s="17"/>
      <c r="G950" s="78"/>
      <c r="H950" s="78"/>
      <c r="I950" s="17"/>
      <c r="J950" s="17"/>
      <c r="K950" s="17"/>
      <c r="L950" s="4"/>
      <c r="M950" s="4"/>
      <c r="N950" s="4"/>
      <c r="O950" s="4"/>
      <c r="P950" s="4"/>
      <c r="Q950" s="4"/>
      <c r="R950" s="4"/>
      <c r="S950" s="4"/>
      <c r="T950" s="4"/>
      <c r="U950" s="4"/>
      <c r="V950" s="4"/>
      <c r="W950" s="4"/>
      <c r="X950" s="4"/>
      <c r="Y950" s="4"/>
      <c r="Z950" s="4"/>
    </row>
    <row r="951">
      <c r="A951" s="77"/>
      <c r="B951" s="17"/>
      <c r="C951" s="17"/>
      <c r="D951" s="17"/>
      <c r="E951" s="17"/>
      <c r="F951" s="17"/>
      <c r="G951" s="78"/>
      <c r="H951" s="78"/>
      <c r="I951" s="17"/>
      <c r="J951" s="17"/>
      <c r="K951" s="17"/>
      <c r="L951" s="4"/>
      <c r="M951" s="4"/>
      <c r="N951" s="4"/>
      <c r="O951" s="4"/>
      <c r="P951" s="4"/>
      <c r="Q951" s="4"/>
      <c r="R951" s="4"/>
      <c r="S951" s="4"/>
      <c r="T951" s="4"/>
      <c r="U951" s="4"/>
      <c r="V951" s="4"/>
      <c r="W951" s="4"/>
      <c r="X951" s="4"/>
      <c r="Y951" s="4"/>
      <c r="Z951" s="4"/>
    </row>
    <row r="952">
      <c r="A952" s="77"/>
      <c r="B952" s="17"/>
      <c r="C952" s="17"/>
      <c r="D952" s="17"/>
      <c r="E952" s="17"/>
      <c r="F952" s="17"/>
      <c r="G952" s="78"/>
      <c r="H952" s="78"/>
      <c r="I952" s="17"/>
      <c r="J952" s="17"/>
      <c r="K952" s="17"/>
      <c r="L952" s="4"/>
      <c r="M952" s="4"/>
      <c r="N952" s="4"/>
      <c r="O952" s="4"/>
      <c r="P952" s="4"/>
      <c r="Q952" s="4"/>
      <c r="R952" s="4"/>
      <c r="S952" s="4"/>
      <c r="T952" s="4"/>
      <c r="U952" s="4"/>
      <c r="V952" s="4"/>
      <c r="W952" s="4"/>
      <c r="X952" s="4"/>
      <c r="Y952" s="4"/>
      <c r="Z952" s="4"/>
    </row>
    <row r="953">
      <c r="A953" s="77"/>
      <c r="B953" s="17"/>
      <c r="C953" s="17"/>
      <c r="D953" s="17"/>
      <c r="E953" s="17"/>
      <c r="F953" s="17"/>
      <c r="G953" s="78"/>
      <c r="H953" s="78"/>
      <c r="I953" s="17"/>
      <c r="J953" s="17"/>
      <c r="K953" s="17"/>
      <c r="L953" s="4"/>
      <c r="M953" s="4"/>
      <c r="N953" s="4"/>
      <c r="O953" s="4"/>
      <c r="P953" s="4"/>
      <c r="Q953" s="4"/>
      <c r="R953" s="4"/>
      <c r="S953" s="4"/>
      <c r="T953" s="4"/>
      <c r="U953" s="4"/>
      <c r="V953" s="4"/>
      <c r="W953" s="4"/>
      <c r="X953" s="4"/>
      <c r="Y953" s="4"/>
      <c r="Z953" s="4"/>
    </row>
    <row r="954">
      <c r="A954" s="77"/>
      <c r="B954" s="17"/>
      <c r="C954" s="17"/>
      <c r="D954" s="17"/>
      <c r="E954" s="17"/>
      <c r="F954" s="17"/>
      <c r="G954" s="78"/>
      <c r="H954" s="78"/>
      <c r="I954" s="17"/>
      <c r="J954" s="17"/>
      <c r="K954" s="17"/>
      <c r="L954" s="4"/>
      <c r="M954" s="4"/>
      <c r="N954" s="4"/>
      <c r="O954" s="4"/>
      <c r="P954" s="4"/>
      <c r="Q954" s="4"/>
      <c r="R954" s="4"/>
      <c r="S954" s="4"/>
      <c r="T954" s="4"/>
      <c r="U954" s="4"/>
      <c r="V954" s="4"/>
      <c r="W954" s="4"/>
      <c r="X954" s="4"/>
      <c r="Y954" s="4"/>
      <c r="Z954" s="4"/>
    </row>
    <row r="955">
      <c r="A955" s="77"/>
      <c r="B955" s="17"/>
      <c r="C955" s="17"/>
      <c r="D955" s="17"/>
      <c r="E955" s="17"/>
      <c r="F955" s="17"/>
      <c r="G955" s="78"/>
      <c r="H955" s="78"/>
      <c r="I955" s="17"/>
      <c r="J955" s="17"/>
      <c r="K955" s="17"/>
      <c r="L955" s="4"/>
      <c r="M955" s="4"/>
      <c r="N955" s="4"/>
      <c r="O955" s="4"/>
      <c r="P955" s="4"/>
      <c r="Q955" s="4"/>
      <c r="R955" s="4"/>
      <c r="S955" s="4"/>
      <c r="T955" s="4"/>
      <c r="U955" s="4"/>
      <c r="V955" s="4"/>
      <c r="W955" s="4"/>
      <c r="X955" s="4"/>
      <c r="Y955" s="4"/>
      <c r="Z955" s="4"/>
    </row>
    <row r="956">
      <c r="A956" s="77"/>
      <c r="B956" s="17"/>
      <c r="C956" s="17"/>
      <c r="D956" s="17"/>
      <c r="E956" s="17"/>
      <c r="F956" s="17"/>
      <c r="G956" s="78"/>
      <c r="H956" s="78"/>
      <c r="I956" s="17"/>
      <c r="J956" s="17"/>
      <c r="K956" s="17"/>
      <c r="L956" s="4"/>
      <c r="M956" s="4"/>
      <c r="N956" s="4"/>
      <c r="O956" s="4"/>
      <c r="P956" s="4"/>
      <c r="Q956" s="4"/>
      <c r="R956" s="4"/>
      <c r="S956" s="4"/>
      <c r="T956" s="4"/>
      <c r="U956" s="4"/>
      <c r="V956" s="4"/>
      <c r="W956" s="4"/>
      <c r="X956" s="4"/>
      <c r="Y956" s="4"/>
      <c r="Z956" s="4"/>
    </row>
    <row r="957">
      <c r="A957" s="77"/>
      <c r="B957" s="17"/>
      <c r="C957" s="17"/>
      <c r="D957" s="17"/>
      <c r="E957" s="17"/>
      <c r="F957" s="17"/>
      <c r="G957" s="78"/>
      <c r="H957" s="78"/>
      <c r="I957" s="17"/>
      <c r="J957" s="17"/>
      <c r="K957" s="17"/>
      <c r="L957" s="4"/>
      <c r="M957" s="4"/>
      <c r="N957" s="4"/>
      <c r="O957" s="4"/>
      <c r="P957" s="4"/>
      <c r="Q957" s="4"/>
      <c r="R957" s="4"/>
      <c r="S957" s="4"/>
      <c r="T957" s="4"/>
      <c r="U957" s="4"/>
      <c r="V957" s="4"/>
      <c r="W957" s="4"/>
      <c r="X957" s="4"/>
      <c r="Y957" s="4"/>
      <c r="Z957" s="4"/>
    </row>
    <row r="958">
      <c r="A958" s="77"/>
      <c r="B958" s="17"/>
      <c r="C958" s="17"/>
      <c r="D958" s="17"/>
      <c r="E958" s="17"/>
      <c r="F958" s="17"/>
      <c r="G958" s="78"/>
      <c r="H958" s="78"/>
      <c r="I958" s="17"/>
      <c r="J958" s="17"/>
      <c r="K958" s="17"/>
      <c r="L958" s="4"/>
      <c r="M958" s="4"/>
      <c r="N958" s="4"/>
      <c r="O958" s="4"/>
      <c r="P958" s="4"/>
      <c r="Q958" s="4"/>
      <c r="R958" s="4"/>
      <c r="S958" s="4"/>
      <c r="T958" s="4"/>
      <c r="U958" s="4"/>
      <c r="V958" s="4"/>
      <c r="W958" s="4"/>
      <c r="X958" s="4"/>
      <c r="Y958" s="4"/>
      <c r="Z958" s="4"/>
    </row>
    <row r="959">
      <c r="A959" s="77"/>
      <c r="B959" s="17"/>
      <c r="C959" s="17"/>
      <c r="D959" s="17"/>
      <c r="E959" s="17"/>
      <c r="F959" s="17"/>
      <c r="G959" s="78"/>
      <c r="H959" s="78"/>
      <c r="I959" s="17"/>
      <c r="J959" s="17"/>
      <c r="K959" s="17"/>
      <c r="L959" s="4"/>
      <c r="M959" s="4"/>
      <c r="N959" s="4"/>
      <c r="O959" s="4"/>
      <c r="P959" s="4"/>
      <c r="Q959" s="4"/>
      <c r="R959" s="4"/>
      <c r="S959" s="4"/>
      <c r="T959" s="4"/>
      <c r="U959" s="4"/>
      <c r="V959" s="4"/>
      <c r="W959" s="4"/>
      <c r="X959" s="4"/>
      <c r="Y959" s="4"/>
      <c r="Z959" s="4"/>
    </row>
    <row r="960">
      <c r="A960" s="77"/>
      <c r="B960" s="17"/>
      <c r="C960" s="17"/>
      <c r="D960" s="17"/>
      <c r="E960" s="17"/>
      <c r="F960" s="17"/>
      <c r="G960" s="78"/>
      <c r="H960" s="78"/>
      <c r="I960" s="17"/>
      <c r="J960" s="17"/>
      <c r="K960" s="17"/>
      <c r="L960" s="4"/>
      <c r="M960" s="4"/>
      <c r="N960" s="4"/>
      <c r="O960" s="4"/>
      <c r="P960" s="4"/>
      <c r="Q960" s="4"/>
      <c r="R960" s="4"/>
      <c r="S960" s="4"/>
      <c r="T960" s="4"/>
      <c r="U960" s="4"/>
      <c r="V960" s="4"/>
      <c r="W960" s="4"/>
      <c r="X960" s="4"/>
      <c r="Y960" s="4"/>
      <c r="Z960" s="4"/>
    </row>
    <row r="961">
      <c r="A961" s="77"/>
      <c r="B961" s="17"/>
      <c r="C961" s="17"/>
      <c r="D961" s="17"/>
      <c r="E961" s="17"/>
      <c r="F961" s="17"/>
      <c r="G961" s="78"/>
      <c r="H961" s="78"/>
      <c r="I961" s="17"/>
      <c r="J961" s="17"/>
      <c r="K961" s="17"/>
      <c r="L961" s="4"/>
      <c r="M961" s="4"/>
      <c r="N961" s="4"/>
      <c r="O961" s="4"/>
      <c r="P961" s="4"/>
      <c r="Q961" s="4"/>
      <c r="R961" s="4"/>
      <c r="S961" s="4"/>
      <c r="T961" s="4"/>
      <c r="U961" s="4"/>
      <c r="V961" s="4"/>
      <c r="W961" s="4"/>
      <c r="X961" s="4"/>
      <c r="Y961" s="4"/>
      <c r="Z961" s="4"/>
    </row>
    <row r="962">
      <c r="A962" s="77"/>
      <c r="B962" s="17"/>
      <c r="C962" s="17"/>
      <c r="D962" s="17"/>
      <c r="E962" s="17"/>
      <c r="F962" s="17"/>
      <c r="G962" s="78"/>
      <c r="H962" s="78"/>
      <c r="I962" s="17"/>
      <c r="J962" s="17"/>
      <c r="K962" s="17"/>
      <c r="L962" s="4"/>
      <c r="M962" s="4"/>
      <c r="N962" s="4"/>
      <c r="O962" s="4"/>
      <c r="P962" s="4"/>
      <c r="Q962" s="4"/>
      <c r="R962" s="4"/>
      <c r="S962" s="4"/>
      <c r="T962" s="4"/>
      <c r="U962" s="4"/>
      <c r="V962" s="4"/>
      <c r="W962" s="4"/>
      <c r="X962" s="4"/>
      <c r="Y962" s="4"/>
      <c r="Z962" s="4"/>
    </row>
    <row r="963">
      <c r="A963" s="97"/>
      <c r="B963" s="6"/>
      <c r="C963" s="6"/>
      <c r="D963" s="6"/>
      <c r="E963" s="6"/>
      <c r="F963" s="6"/>
      <c r="G963" s="16"/>
      <c r="H963" s="16"/>
      <c r="I963" s="6"/>
      <c r="J963" s="6"/>
      <c r="K963" s="6"/>
    </row>
    <row r="964">
      <c r="A964" s="97"/>
      <c r="B964" s="6"/>
      <c r="C964" s="6"/>
      <c r="D964" s="6"/>
      <c r="E964" s="6"/>
      <c r="F964" s="6"/>
      <c r="G964" s="16"/>
      <c r="H964" s="16"/>
      <c r="I964" s="6"/>
      <c r="J964" s="6"/>
      <c r="K964" s="6"/>
    </row>
    <row r="965">
      <c r="A965" s="97"/>
      <c r="B965" s="6"/>
      <c r="C965" s="6"/>
      <c r="D965" s="6"/>
      <c r="E965" s="6"/>
      <c r="F965" s="6"/>
      <c r="G965" s="16"/>
      <c r="H965" s="16"/>
      <c r="I965" s="6"/>
      <c r="J965" s="6"/>
      <c r="K965" s="6"/>
    </row>
    <row r="966">
      <c r="A966" s="97"/>
      <c r="B966" s="6"/>
      <c r="C966" s="6"/>
      <c r="D966" s="6"/>
      <c r="E966" s="6"/>
      <c r="F966" s="6"/>
      <c r="G966" s="16"/>
      <c r="H966" s="16"/>
      <c r="I966" s="6"/>
      <c r="J966" s="6"/>
      <c r="K966" s="6"/>
    </row>
    <row r="967">
      <c r="A967" s="97"/>
      <c r="B967" s="6"/>
      <c r="C967" s="6"/>
      <c r="D967" s="6"/>
      <c r="E967" s="6"/>
      <c r="F967" s="6"/>
      <c r="G967" s="16"/>
      <c r="H967" s="16"/>
      <c r="I967" s="6"/>
      <c r="J967" s="6"/>
      <c r="K967" s="6"/>
    </row>
    <row r="968">
      <c r="A968" s="97"/>
      <c r="B968" s="6"/>
      <c r="C968" s="6"/>
      <c r="D968" s="6"/>
      <c r="E968" s="6"/>
      <c r="F968" s="6"/>
      <c r="G968" s="16"/>
      <c r="H968" s="16"/>
      <c r="I968" s="6"/>
      <c r="J968" s="6"/>
      <c r="K968" s="6"/>
    </row>
    <row r="969">
      <c r="A969" s="97"/>
      <c r="B969" s="6"/>
      <c r="C969" s="6"/>
      <c r="D969" s="6"/>
      <c r="E969" s="6"/>
      <c r="F969" s="6"/>
      <c r="G969" s="16"/>
      <c r="H969" s="16"/>
      <c r="I969" s="6"/>
      <c r="J969" s="6"/>
      <c r="K969" s="6"/>
    </row>
    <row r="970">
      <c r="A970" s="97"/>
      <c r="B970" s="6"/>
      <c r="C970" s="6"/>
      <c r="D970" s="6"/>
      <c r="E970" s="6"/>
      <c r="F970" s="6"/>
      <c r="G970" s="16"/>
      <c r="H970" s="16"/>
      <c r="I970" s="6"/>
      <c r="J970" s="6"/>
      <c r="K970" s="6"/>
    </row>
    <row r="971">
      <c r="A971" s="97"/>
      <c r="B971" s="6"/>
      <c r="C971" s="6"/>
      <c r="D971" s="6"/>
      <c r="E971" s="6"/>
      <c r="F971" s="6"/>
      <c r="G971" s="16"/>
      <c r="H971" s="16"/>
      <c r="I971" s="6"/>
      <c r="J971" s="6"/>
      <c r="K971" s="6"/>
    </row>
    <row r="972">
      <c r="A972" s="97"/>
      <c r="B972" s="6"/>
      <c r="C972" s="6"/>
      <c r="D972" s="6"/>
      <c r="E972" s="6"/>
      <c r="F972" s="6"/>
      <c r="G972" s="16"/>
      <c r="H972" s="16"/>
      <c r="I972" s="6"/>
      <c r="J972" s="6"/>
      <c r="K972" s="6"/>
    </row>
    <row r="973">
      <c r="A973" s="97"/>
      <c r="B973" s="6"/>
      <c r="C973" s="6"/>
      <c r="D973" s="6"/>
      <c r="E973" s="6"/>
      <c r="F973" s="6"/>
      <c r="G973" s="16"/>
      <c r="H973" s="16"/>
      <c r="I973" s="6"/>
      <c r="J973" s="6"/>
      <c r="K973" s="6"/>
    </row>
    <row r="974">
      <c r="A974" s="97"/>
      <c r="B974" s="6"/>
      <c r="C974" s="6"/>
      <c r="D974" s="6"/>
      <c r="E974" s="6"/>
      <c r="F974" s="6"/>
      <c r="G974" s="16"/>
      <c r="H974" s="16"/>
      <c r="I974" s="6"/>
      <c r="J974" s="6"/>
      <c r="K974" s="6"/>
    </row>
    <row r="975">
      <c r="A975" s="97"/>
      <c r="B975" s="6"/>
      <c r="C975" s="6"/>
      <c r="D975" s="6"/>
      <c r="E975" s="6"/>
      <c r="F975" s="6"/>
      <c r="G975" s="16"/>
      <c r="H975" s="16"/>
      <c r="I975" s="6"/>
      <c r="J975" s="6"/>
      <c r="K975" s="6"/>
    </row>
    <row r="976">
      <c r="A976" s="97"/>
      <c r="B976" s="6"/>
      <c r="C976" s="6"/>
      <c r="D976" s="6"/>
      <c r="E976" s="6"/>
      <c r="F976" s="6"/>
      <c r="G976" s="16"/>
      <c r="H976" s="16"/>
      <c r="I976" s="6"/>
      <c r="J976" s="6"/>
      <c r="K976" s="6"/>
    </row>
    <row r="977">
      <c r="A977" s="97"/>
      <c r="B977" s="6"/>
      <c r="C977" s="6"/>
      <c r="D977" s="6"/>
      <c r="E977" s="6"/>
      <c r="F977" s="6"/>
      <c r="G977" s="16"/>
      <c r="H977" s="16"/>
      <c r="I977" s="6"/>
      <c r="J977" s="6"/>
      <c r="K977" s="6"/>
    </row>
    <row r="978">
      <c r="A978" s="97"/>
      <c r="B978" s="6"/>
      <c r="C978" s="6"/>
      <c r="D978" s="6"/>
      <c r="E978" s="6"/>
      <c r="F978" s="6"/>
      <c r="G978" s="16"/>
      <c r="H978" s="16"/>
      <c r="I978" s="6"/>
      <c r="J978" s="6"/>
      <c r="K978" s="6"/>
    </row>
    <row r="979">
      <c r="A979" s="97"/>
      <c r="B979" s="6"/>
      <c r="C979" s="6"/>
      <c r="D979" s="6"/>
      <c r="E979" s="6"/>
      <c r="F979" s="6"/>
      <c r="G979" s="16"/>
      <c r="H979" s="16"/>
      <c r="I979" s="6"/>
      <c r="J979" s="6"/>
      <c r="K979" s="6"/>
    </row>
    <row r="980">
      <c r="A980" s="97"/>
      <c r="B980" s="6"/>
      <c r="C980" s="6"/>
      <c r="D980" s="6"/>
      <c r="E980" s="6"/>
      <c r="F980" s="6"/>
      <c r="G980" s="16"/>
      <c r="H980" s="16"/>
      <c r="I980" s="6"/>
      <c r="J980" s="6"/>
      <c r="K980" s="6"/>
    </row>
    <row r="981">
      <c r="A981" s="97"/>
      <c r="B981" s="6"/>
      <c r="C981" s="6"/>
      <c r="D981" s="6"/>
      <c r="E981" s="6"/>
      <c r="F981" s="6"/>
      <c r="G981" s="16"/>
      <c r="H981" s="16"/>
      <c r="I981" s="6"/>
      <c r="J981" s="6"/>
      <c r="K981" s="6"/>
    </row>
    <row r="982">
      <c r="A982" s="97"/>
      <c r="B982" s="6"/>
      <c r="C982" s="6"/>
      <c r="D982" s="6"/>
      <c r="E982" s="6"/>
      <c r="F982" s="6"/>
      <c r="G982" s="16"/>
      <c r="H982" s="16"/>
      <c r="I982" s="6"/>
      <c r="J982" s="6"/>
      <c r="K982" s="6"/>
    </row>
    <row r="983">
      <c r="A983" s="97"/>
      <c r="B983" s="6"/>
      <c r="C983" s="6"/>
      <c r="D983" s="6"/>
      <c r="E983" s="6"/>
      <c r="F983" s="6"/>
      <c r="G983" s="16"/>
      <c r="H983" s="16"/>
      <c r="I983" s="6"/>
      <c r="J983" s="6"/>
      <c r="K983" s="6"/>
    </row>
    <row r="984">
      <c r="A984" s="97"/>
      <c r="B984" s="6"/>
      <c r="C984" s="6"/>
      <c r="D984" s="6"/>
      <c r="E984" s="6"/>
      <c r="F984" s="6"/>
      <c r="G984" s="16"/>
      <c r="H984" s="16"/>
      <c r="I984" s="6"/>
      <c r="J984" s="6"/>
      <c r="K984" s="6"/>
    </row>
    <row r="985">
      <c r="A985" s="97"/>
      <c r="B985" s="6"/>
      <c r="C985" s="6"/>
      <c r="D985" s="6"/>
      <c r="E985" s="6"/>
      <c r="F985" s="6"/>
      <c r="G985" s="16"/>
      <c r="H985" s="16"/>
      <c r="I985" s="6"/>
      <c r="J985" s="6"/>
      <c r="K985" s="6"/>
    </row>
    <row r="986">
      <c r="A986" s="97"/>
      <c r="B986" s="6"/>
      <c r="C986" s="6"/>
      <c r="D986" s="6"/>
      <c r="E986" s="6"/>
      <c r="F986" s="6"/>
      <c r="G986" s="16"/>
      <c r="H986" s="16"/>
      <c r="I986" s="6"/>
      <c r="J986" s="6"/>
      <c r="K986" s="6"/>
    </row>
    <row r="987">
      <c r="A987" s="97"/>
      <c r="B987" s="6"/>
      <c r="C987" s="6"/>
      <c r="D987" s="6"/>
      <c r="E987" s="6"/>
      <c r="F987" s="6"/>
      <c r="G987" s="16"/>
      <c r="H987" s="16"/>
      <c r="I987" s="6"/>
      <c r="J987" s="6"/>
      <c r="K987" s="6"/>
    </row>
    <row r="988">
      <c r="A988" s="97"/>
      <c r="B988" s="6"/>
      <c r="C988" s="6"/>
      <c r="D988" s="6"/>
      <c r="E988" s="6"/>
      <c r="F988" s="6"/>
      <c r="G988" s="16"/>
      <c r="H988" s="16"/>
      <c r="I988" s="6"/>
      <c r="J988" s="6"/>
      <c r="K988" s="6"/>
    </row>
    <row r="989">
      <c r="A989" s="97"/>
      <c r="B989" s="6"/>
      <c r="C989" s="6"/>
      <c r="D989" s="6"/>
      <c r="E989" s="6"/>
      <c r="F989" s="6"/>
      <c r="G989" s="16"/>
      <c r="H989" s="16"/>
      <c r="I989" s="6"/>
      <c r="J989" s="6"/>
      <c r="K989" s="6"/>
    </row>
    <row r="990">
      <c r="A990" s="97"/>
      <c r="B990" s="6"/>
      <c r="C990" s="6"/>
      <c r="D990" s="6"/>
      <c r="E990" s="6"/>
      <c r="F990" s="6"/>
      <c r="G990" s="16"/>
      <c r="H990" s="16"/>
      <c r="I990" s="6"/>
      <c r="J990" s="6"/>
      <c r="K990" s="6"/>
    </row>
    <row r="991">
      <c r="A991" s="97"/>
      <c r="B991" s="6"/>
      <c r="C991" s="6"/>
      <c r="D991" s="6"/>
      <c r="E991" s="6"/>
      <c r="F991" s="6"/>
      <c r="G991" s="16"/>
      <c r="H991" s="16"/>
      <c r="I991" s="6"/>
      <c r="J991" s="6"/>
      <c r="K991" s="6"/>
    </row>
    <row r="992">
      <c r="A992" s="97"/>
      <c r="B992" s="6"/>
      <c r="C992" s="6"/>
      <c r="D992" s="6"/>
      <c r="E992" s="6"/>
      <c r="F992" s="6"/>
      <c r="G992" s="16"/>
      <c r="H992" s="16"/>
      <c r="I992" s="6"/>
      <c r="J992" s="6"/>
      <c r="K992" s="6"/>
    </row>
    <row r="993">
      <c r="A993" s="97"/>
      <c r="B993" s="6"/>
      <c r="C993" s="6"/>
      <c r="D993" s="6"/>
      <c r="E993" s="6"/>
      <c r="F993" s="6"/>
      <c r="G993" s="16"/>
      <c r="H993" s="16"/>
      <c r="I993" s="6"/>
      <c r="J993" s="6"/>
      <c r="K993" s="6"/>
    </row>
    <row r="994">
      <c r="A994" s="97"/>
      <c r="B994" s="6"/>
      <c r="C994" s="6"/>
      <c r="D994" s="6"/>
      <c r="E994" s="6"/>
      <c r="F994" s="6"/>
      <c r="G994" s="16"/>
      <c r="H994" s="16"/>
      <c r="I994" s="6"/>
      <c r="J994" s="6"/>
      <c r="K994" s="6"/>
    </row>
    <row r="995">
      <c r="A995" s="97"/>
      <c r="B995" s="6"/>
      <c r="C995" s="6"/>
      <c r="D995" s="6"/>
      <c r="E995" s="6"/>
      <c r="F995" s="6"/>
      <c r="G995" s="16"/>
      <c r="H995" s="16"/>
      <c r="I995" s="6"/>
      <c r="J995" s="6"/>
      <c r="K995" s="6"/>
    </row>
    <row r="996">
      <c r="A996" s="97"/>
      <c r="B996" s="6"/>
      <c r="C996" s="6"/>
      <c r="D996" s="6"/>
      <c r="E996" s="6"/>
      <c r="F996" s="6"/>
      <c r="G996" s="16"/>
      <c r="H996" s="16"/>
      <c r="I996" s="6"/>
      <c r="J996" s="6"/>
      <c r="K996" s="6"/>
    </row>
    <row r="997">
      <c r="A997" s="97"/>
      <c r="B997" s="6"/>
      <c r="C997" s="6"/>
      <c r="D997" s="6"/>
      <c r="E997" s="6"/>
      <c r="F997" s="6"/>
      <c r="G997" s="16"/>
      <c r="H997" s="16"/>
      <c r="I997" s="6"/>
      <c r="J997" s="6"/>
      <c r="K997" s="6"/>
    </row>
    <row r="998">
      <c r="A998" s="97"/>
      <c r="B998" s="6"/>
      <c r="C998" s="6"/>
      <c r="D998" s="6"/>
      <c r="E998" s="6"/>
      <c r="F998" s="6"/>
      <c r="G998" s="16"/>
      <c r="H998" s="16"/>
      <c r="I998" s="6"/>
      <c r="J998" s="6"/>
      <c r="K998" s="6"/>
    </row>
    <row r="999">
      <c r="A999" s="97"/>
      <c r="B999" s="6"/>
      <c r="C999" s="6"/>
      <c r="D999" s="6"/>
      <c r="E999" s="6"/>
      <c r="F999" s="6"/>
      <c r="G999" s="16"/>
      <c r="H999" s="16"/>
      <c r="I999" s="6"/>
      <c r="J999" s="6"/>
      <c r="K999" s="6"/>
    </row>
    <row r="1000">
      <c r="A1000" s="97"/>
      <c r="B1000" s="6"/>
      <c r="C1000" s="6"/>
      <c r="D1000" s="6"/>
      <c r="E1000" s="6"/>
      <c r="F1000" s="6"/>
      <c r="G1000" s="16"/>
      <c r="H1000" s="16"/>
      <c r="I1000" s="6"/>
      <c r="J1000" s="6"/>
      <c r="K1000" s="6"/>
    </row>
  </sheetData>
  <hyperlinks>
    <hyperlink r:id="rId1" location="gid=1102875556" ref="J96"/>
    <hyperlink r:id="rId2" location="gid=1509093390" ref="J97"/>
    <hyperlink r:id="rId3" location="gid=2006507373" ref="J98"/>
    <hyperlink r:id="rId4" ref="K98"/>
    <hyperlink r:id="rId5" location="gid=1354888420" ref="J99"/>
    <hyperlink r:id="rId6" location="gid=1318424610" ref="J100"/>
    <hyperlink r:id="rId7" ref="K100"/>
    <hyperlink r:id="rId8" location="gid=1071202217" ref="J101"/>
    <hyperlink r:id="rId9" location="gid=444310098" ref="J102"/>
    <hyperlink r:id="rId10" location="gid=55726116" ref="J103"/>
    <hyperlink r:id="rId11" location="gid=833062955" ref="J104"/>
    <hyperlink r:id="rId12" location="gid=249071120" ref="J105"/>
    <hyperlink r:id="rId13" location="gid=920768533" ref="J106"/>
    <hyperlink r:id="rId14" ref="K106"/>
    <hyperlink r:id="rId15" location="gid=328082788" ref="J107"/>
    <hyperlink r:id="rId16" location="gid=894458513" ref="J108"/>
    <hyperlink r:id="rId17" ref="K108"/>
    <hyperlink r:id="rId18" location="gid=1180712542" ref="J109"/>
    <hyperlink r:id="rId19" location="gid=1202640333" ref="J110"/>
    <hyperlink r:id="rId20" location="gid=1455430518" ref="J111"/>
    <hyperlink r:id="rId21" location="gid=363363152" ref="J112"/>
    <hyperlink r:id="rId22" ref="K112"/>
    <hyperlink r:id="rId23" location="gid=1232103407" ref="J113"/>
    <hyperlink r:id="rId24" ref="K113"/>
    <hyperlink r:id="rId25" location="gid=257429727" ref="J114"/>
    <hyperlink r:id="rId26" location="gid=1734112233" ref="J115"/>
    <hyperlink r:id="rId27" ref="K115"/>
    <hyperlink r:id="rId28" location="gid=984031511" ref="J116"/>
    <hyperlink r:id="rId29" location="gid=811633138" ref="J117"/>
    <hyperlink r:id="rId30" location="gid=1340012708" ref="J118"/>
    <hyperlink r:id="rId31" location="gid=187611865" ref="J119"/>
    <hyperlink r:id="rId32" ref="K119"/>
    <hyperlink r:id="rId33" location="gid=771281495" ref="J120"/>
    <hyperlink r:id="rId34" location="gid=1943197822" ref="J121"/>
    <hyperlink r:id="rId35" location="gid=1791563527" ref="J122"/>
    <hyperlink r:id="rId36" location="gid=387655725" ref="J123"/>
    <hyperlink r:id="rId37" location="gid=1404088730" ref="J124"/>
    <hyperlink r:id="rId38" ref="K124"/>
    <hyperlink r:id="rId39" location="gid=1009116353" ref="J125"/>
    <hyperlink r:id="rId40" location="gid=252316906" ref="J126"/>
    <hyperlink r:id="rId41" location="gid=1315766169" ref="J127"/>
    <hyperlink r:id="rId42" location="gid=1835376342" ref="J128"/>
    <hyperlink r:id="rId43" location="gid=314292055" ref="J129"/>
    <hyperlink r:id="rId44" location="gid=1380549667" ref="J130"/>
    <hyperlink r:id="rId45" location="gid=830671407" ref="J131"/>
    <hyperlink r:id="rId46" location="gid=590835051" ref="J132"/>
    <hyperlink r:id="rId47" location="gid=1589688669" ref="J133"/>
    <hyperlink r:id="rId48" location="gid=1127542232" ref="J134"/>
    <hyperlink r:id="rId49" location="gid=1161001794" ref="J135"/>
    <hyperlink r:id="rId50" location="gid=1089584377" ref="J136"/>
    <hyperlink r:id="rId51" ref="K136"/>
    <hyperlink r:id="rId52" location="gid=1295057076" ref="J137"/>
    <hyperlink r:id="rId53" ref="K137"/>
    <hyperlink r:id="rId54" location="gid=168468884" ref="J138"/>
    <hyperlink r:id="rId55" location="gid=953902791" ref="J139"/>
    <hyperlink r:id="rId56" location="gid=238290316" ref="J140"/>
    <hyperlink r:id="rId57" location="gid=932084254" ref="J141"/>
    <hyperlink r:id="rId58" location="gid=998835814" ref="J142"/>
    <hyperlink r:id="rId59" location="gid=1697091636" ref="J143"/>
    <hyperlink r:id="rId60" ref="K143"/>
    <hyperlink r:id="rId61" location="gid=223359966" ref="J144"/>
    <hyperlink r:id="rId62" location="gid=1195287561" ref="J145"/>
    <hyperlink r:id="rId63" location="gid=325961003" ref="J146"/>
    <hyperlink r:id="rId64" location="gid=1587877211" ref="J147"/>
    <hyperlink r:id="rId65" location="gid=1721879742" ref="J148"/>
    <hyperlink r:id="rId66" location="gid=43981398" ref="J149"/>
    <hyperlink r:id="rId67" location="gid=39049871" ref="J150"/>
    <hyperlink r:id="rId68" location="gid=1721100499" ref="J151"/>
    <hyperlink r:id="rId69" ref="K151"/>
    <hyperlink r:id="rId70" location="gid=747557076" ref="J152"/>
    <hyperlink r:id="rId71" location="gid=1525507838" ref="J153"/>
    <hyperlink r:id="rId72" location="gid=900983135" ref="J154"/>
    <hyperlink r:id="rId73" location="gid=1127401829" ref="J155"/>
    <hyperlink r:id="rId74" ref="K155"/>
    <hyperlink r:id="rId75" location="gid=1529981182" ref="J156"/>
    <hyperlink r:id="rId76" ref="K156"/>
    <hyperlink r:id="rId77" location="gid=1390124130" ref="J157"/>
    <hyperlink r:id="rId78" location="gid=1007518382" ref="J158"/>
    <hyperlink r:id="rId79" ref="K158"/>
    <hyperlink r:id="rId80" location="gid=1578036964" ref="J159"/>
    <hyperlink r:id="rId81" location="gid=1242332740" ref="J160"/>
    <hyperlink r:id="rId82" location="gid=1568412544" ref="J163"/>
    <hyperlink r:id="rId83" ref="K163"/>
    <hyperlink r:id="rId84" location="gid=1477675576" ref="J164"/>
    <hyperlink r:id="rId85" location="gid=1645222765" ref="J165"/>
    <hyperlink r:id="rId86" location="gid=1191711449" ref="J166"/>
    <hyperlink r:id="rId87" location="gid=191758898" ref="J167"/>
    <hyperlink r:id="rId88" location="gid=1429092860" ref="J168"/>
    <hyperlink r:id="rId89" location="gid=1311899156" ref="J169"/>
    <hyperlink r:id="rId90" location="gid=864081677" ref="J170"/>
    <hyperlink r:id="rId91" location="gid=80969039" ref="J171"/>
    <hyperlink r:id="rId92" location="gid=509147488" ref="J172"/>
    <hyperlink r:id="rId93" location="gid=1230967250" ref="J173"/>
    <hyperlink r:id="rId94" location="gid=613124997" ref="J174"/>
    <hyperlink r:id="rId95" ref="K174"/>
    <hyperlink r:id="rId96" location="gid=140939233" ref="J175"/>
    <hyperlink r:id="rId97" location="gid=242811066" ref="J176"/>
    <hyperlink r:id="rId98" location="gid=908182805" ref="J177"/>
    <hyperlink r:id="rId99" location="gid=1145227752" ref="J178"/>
    <hyperlink r:id="rId100" location="gid=310058684" ref="J179"/>
    <hyperlink r:id="rId101" ref="K179"/>
    <hyperlink r:id="rId102" location="gid=799259912" ref="J180"/>
    <hyperlink r:id="rId103" location="gid=1366886932" ref="J181"/>
    <hyperlink r:id="rId104" location="gid=141428453" ref="J182"/>
    <hyperlink r:id="rId105" location="gid=815627436" ref="J183"/>
    <hyperlink r:id="rId106" location="gid=425127641" ref="J184"/>
    <hyperlink r:id="rId107" location="gid=68210689" ref="J186"/>
    <hyperlink r:id="rId108" location="gid=2120381921" ref="J187"/>
    <hyperlink r:id="rId109" location="gid=204053805" ref="J188"/>
    <hyperlink r:id="rId110" location="gid=2096121583" ref="J189"/>
    <hyperlink r:id="rId111" location="gid=493360007" ref="J190"/>
    <hyperlink r:id="rId112" location="gid=989193180" ref="J191"/>
    <hyperlink r:id="rId113" location="gid=1026471419" ref="J192"/>
    <hyperlink r:id="rId114" location="gid=808158041" ref="J193"/>
    <hyperlink r:id="rId115" ref="K193"/>
    <hyperlink r:id="rId116" location="gid=1721100499" ref="J194"/>
    <hyperlink r:id="rId117" location="gid=1476336114" ref="J195"/>
    <hyperlink r:id="rId118" location="gid=1676523530" ref="J196"/>
    <hyperlink r:id="rId119" location="gid=1407262521" ref="J198"/>
    <hyperlink r:id="rId120" ref="K198"/>
    <hyperlink r:id="rId121" location="gid=2065488739" ref="J199"/>
    <hyperlink r:id="rId122" ref="K199"/>
    <hyperlink r:id="rId123" location="gid=1830744104" ref="J200"/>
    <hyperlink r:id="rId124" location="gid=340433280" ref="J202"/>
    <hyperlink r:id="rId125" location="gid=1995746861" ref="J203"/>
    <hyperlink r:id="rId126" location="gid=779020277" ref="J205"/>
    <hyperlink r:id="rId127" location="gid=1849856896" ref="J207"/>
    <hyperlink r:id="rId128" location="gid=1656513014" ref="J208"/>
    <hyperlink r:id="rId129" location="gid=2132720371" ref="J209"/>
    <hyperlink r:id="rId130" ref="K209"/>
    <hyperlink r:id="rId131" location="gid=701601389" ref="J210"/>
    <hyperlink r:id="rId132" location="gid=60135188" ref="J211"/>
    <hyperlink r:id="rId133" location="gid=48405114" ref="J212"/>
    <hyperlink r:id="rId134" location="gid=1735599010" ref="J213"/>
    <hyperlink r:id="rId135" location="gid=1870096044" ref="J215"/>
    <hyperlink r:id="rId136" location="gid=1430585638" ref="J216"/>
    <hyperlink r:id="rId137" ref="K216"/>
    <hyperlink r:id="rId138" location="gid=763040175" ref="J217"/>
    <hyperlink r:id="rId139" location="gid=1715541541" ref="J218"/>
    <hyperlink r:id="rId140" location="gid=1120669271" ref="J219"/>
    <hyperlink r:id="rId141" location="gid=908346785" ref="J220"/>
    <hyperlink r:id="rId142" location="gid=987830810" ref="J221"/>
    <hyperlink r:id="rId143" location="gid=570396026" ref="J222"/>
    <hyperlink r:id="rId144" location="gid=1455966079" ref="J223"/>
    <hyperlink r:id="rId145" location="gid=338449454" ref="J224"/>
    <hyperlink r:id="rId146" location="gid=363267103" ref="J225"/>
    <hyperlink r:id="rId147" location="gid=1426054658" ref="J226"/>
    <hyperlink r:id="rId148" location="gid=1377920249" ref="J227"/>
    <hyperlink r:id="rId149" location="gid=945188652" ref="J228"/>
    <hyperlink r:id="rId150" location="gid=1745739766" ref="J229"/>
    <hyperlink r:id="rId151" ref="K229"/>
    <hyperlink r:id="rId152" location="gid=1593340955" ref="J230"/>
    <hyperlink r:id="rId153" location="gid=189831964" ref="J231"/>
    <hyperlink r:id="rId154" ref="K231"/>
    <hyperlink r:id="rId155" location="gid=673551977" ref="J232"/>
    <hyperlink r:id="rId156" location="gid=1865118876" ref="J233"/>
    <hyperlink r:id="rId157" ref="K233"/>
    <hyperlink r:id="rId158" location="gid=930912850" ref="J234"/>
    <hyperlink r:id="rId159" location="gid=1666294966" ref="J236"/>
    <hyperlink r:id="rId160" location="gid=1944955293" ref="J237"/>
    <hyperlink r:id="rId161" ref="K237"/>
    <hyperlink r:id="rId162" location="gid=955409547" ref="J238"/>
    <hyperlink r:id="rId163" location="gid=1728236412" ref="J239"/>
    <hyperlink r:id="rId164" location="gid=17563487" ref="J242"/>
    <hyperlink r:id="rId165" location="gid=444385228" ref="J243"/>
    <hyperlink r:id="rId166" location="gid=198115662" ref="J244"/>
    <hyperlink r:id="rId167" location="gid=1504466944" ref="J246"/>
    <hyperlink r:id="rId168" location="gid=2077416738" ref="J247"/>
    <hyperlink r:id="rId169" location="gid=1609263203" ref="J250"/>
    <hyperlink r:id="rId170" location="gid=335429819" ref="J251"/>
    <hyperlink r:id="rId171" location="gid=2011623621" ref="J252"/>
    <hyperlink r:id="rId172" ref="K252"/>
    <hyperlink r:id="rId173" location="gid=44399105" ref="J253"/>
    <hyperlink r:id="rId174" location="gid=1916178969" ref="J255"/>
    <hyperlink r:id="rId175" location="gid=413594252" ref="J256"/>
    <hyperlink r:id="rId176" location="gid=1648385259" ref="J257"/>
    <hyperlink r:id="rId177" location="gid=1021209176" ref="J258"/>
    <hyperlink r:id="rId178" location="gid=1314726953" ref="J259"/>
    <hyperlink r:id="rId179" location="gid=2126809757" ref="J260"/>
    <hyperlink r:id="rId180" location="gid=964974032" ref="J261"/>
    <hyperlink r:id="rId181" location="gid=1877394014" ref="J264"/>
    <hyperlink r:id="rId182" location="gid=1439077148" ref="J265"/>
    <hyperlink r:id="rId183" ref="K265"/>
    <hyperlink r:id="rId184" location="gid=1108501275" ref="J266"/>
    <hyperlink r:id="rId185" location="gid=672785947" ref="J267"/>
    <hyperlink r:id="rId186" location="gid=1853936778" ref="J268"/>
    <hyperlink r:id="rId187" location="gid=1538306210" ref="J269"/>
    <hyperlink r:id="rId188" location="gid=918222638" ref="J270"/>
    <hyperlink r:id="rId189" location="gid=1320846516" ref="J271"/>
    <hyperlink r:id="rId190" location="gid=1217417878" ref="J272"/>
    <hyperlink r:id="rId191" location="gid=1493713747" ref="J274"/>
    <hyperlink r:id="rId192" location="gid=961840138" ref="J275"/>
    <hyperlink r:id="rId193" location="gid=747557076" ref="J276"/>
    <hyperlink r:id="rId194" location="gid=640523369" ref="J277"/>
    <hyperlink r:id="rId195" location="gid=511980375" ref="J278"/>
    <hyperlink r:id="rId196" location="gid=788221100" ref="J279"/>
    <hyperlink r:id="rId197" location="gid=1412429298" ref="J280"/>
    <hyperlink r:id="rId198" ref="K280"/>
    <hyperlink r:id="rId199" location="gid=1451563730" ref="J281"/>
    <hyperlink r:id="rId200" location="gid=1988948543" ref="J282"/>
    <hyperlink r:id="rId201" location="gid=1846163124" ref="J283"/>
    <hyperlink r:id="rId202" location="gid=1084360480" ref="J284"/>
    <hyperlink r:id="rId203" location="gid=471133046" ref="J286"/>
    <hyperlink r:id="rId204" ref="K286"/>
    <hyperlink r:id="rId205" location="gid=540934155" ref="J287"/>
    <hyperlink r:id="rId206" location="gid=1984564802" ref="J288"/>
    <hyperlink r:id="rId207" location="gid=2107770933" ref="J289"/>
    <hyperlink r:id="rId208" location="gid=833062955" ref="J290"/>
    <hyperlink r:id="rId209" location="gid=809581458" ref="J291"/>
    <hyperlink r:id="rId210" location="gid=901281284" ref="J292"/>
    <hyperlink r:id="rId211" ref="K292"/>
    <hyperlink r:id="rId212" location="gid=1407510683" ref="J293"/>
    <hyperlink r:id="rId213" location="gid=1407301391" ref="J294"/>
    <hyperlink r:id="rId214" location="gid=1611612481" ref="J295"/>
    <hyperlink r:id="rId215" location="gid=1559792467" ref="J296"/>
    <hyperlink r:id="rId216" location="gid=617262299" ref="J297"/>
    <hyperlink r:id="rId217" location="gid=2079091831" ref="J298"/>
    <hyperlink r:id="rId218" location="gid=139795987" ref="J299"/>
    <hyperlink r:id="rId219" location="gid=1298340576" ref="J300"/>
    <hyperlink r:id="rId220" location="gid=2057787589" ref="J301"/>
    <hyperlink r:id="rId221" location="gid=152190080" ref="J302"/>
    <hyperlink r:id="rId222" location="gid=632308495" ref="J304"/>
    <hyperlink r:id="rId223" location="gid=1000032786" ref="J306"/>
    <hyperlink r:id="rId224" location="gid=1530580258" ref="J307"/>
    <hyperlink r:id="rId225" location="gid=2092914415" ref="J308"/>
    <hyperlink r:id="rId226" location="gid=376178489" ref="J309"/>
    <hyperlink r:id="rId227" location="gid=235307605" ref="J310"/>
    <hyperlink r:id="rId228" location="gid=432585965" ref="J311"/>
    <hyperlink r:id="rId229" location="gid=238290316" ref="J312"/>
    <hyperlink r:id="rId230" location="gid=1839942165" ref="J313"/>
    <hyperlink r:id="rId231" location="gid=590835051" ref="J314"/>
    <hyperlink r:id="rId232" location="gid=632665949" ref="J315"/>
    <hyperlink r:id="rId233" location="gid=667094303" ref="J316"/>
    <hyperlink r:id="rId234" location="gid=1340012708" ref="J317"/>
    <hyperlink r:id="rId235" location="gid=1285905712" ref="J318"/>
    <hyperlink r:id="rId236" ref="K318"/>
    <hyperlink r:id="rId237" location="gid=771281495" ref="J319"/>
    <hyperlink r:id="rId238" location="gid=1879792750" ref="J320"/>
    <hyperlink r:id="rId239" location="gid=858056712" ref="J321"/>
    <hyperlink r:id="rId240" location="gid=1180712542" ref="J322"/>
    <hyperlink r:id="rId241" location="gid=84528393" ref="J323"/>
    <hyperlink r:id="rId242" location="gid=900983135" ref="J324"/>
    <hyperlink r:id="rId243" location="gid=226411409" ref="J325"/>
    <hyperlink r:id="rId244" location="gid=1402918255" ref="J326"/>
    <hyperlink r:id="rId245" location="gid=151666570" ref="J327"/>
    <hyperlink r:id="rId246" location="gid=270470148" ref="J328"/>
    <hyperlink r:id="rId247" location="gid=478234873" ref="J329"/>
    <hyperlink r:id="rId248" location="gid=1553204611" ref="J330"/>
    <hyperlink r:id="rId249" location="gid=864081677" ref="J331"/>
    <hyperlink r:id="rId250" location="gid=783421015" ref="J332"/>
    <hyperlink r:id="rId251" location="gid=583489484" ref="J333"/>
    <hyperlink r:id="rId252" location="gid=1460101979" ref="J334"/>
    <hyperlink r:id="rId253" location="gid=1103814472" ref="J335"/>
    <hyperlink r:id="rId254" location="gid=1599124365" ref="J336"/>
    <hyperlink r:id="rId255" location="gid=1294085884" ref="J337"/>
    <hyperlink r:id="rId256" ref="K337"/>
    <hyperlink r:id="rId257" location="gid=683523839" ref="J338"/>
    <hyperlink r:id="rId258" ref="K338"/>
    <hyperlink r:id="rId259" location="gid=947386880" ref="J339"/>
    <hyperlink r:id="rId260" location="gid=772910058" ref="J340"/>
    <hyperlink r:id="rId261" location="gid=1835376342" ref="J341"/>
    <hyperlink r:id="rId262" location="gid=623093467" ref="J342"/>
    <hyperlink r:id="rId263" location="gid=326698304" ref="J344"/>
    <hyperlink r:id="rId264" location="gid=1956651299" ref="J346"/>
    <hyperlink r:id="rId265" ref="K346"/>
    <hyperlink r:id="rId266" location="gid=1868311876" ref="J347"/>
    <hyperlink r:id="rId267" ref="K347"/>
    <hyperlink r:id="rId268" location="gid=1252296860" ref="J348"/>
    <hyperlink r:id="rId269" location="gid=113121864" ref="J349"/>
    <hyperlink r:id="rId270" location="gid=43981398" ref="J350"/>
    <hyperlink r:id="rId271" location="gid=932084254" ref="J351"/>
    <hyperlink r:id="rId272" location="gid=679741287" ref="J352"/>
    <hyperlink r:id="rId273" location="gid=1315766169" ref="J353"/>
    <hyperlink r:id="rId274" location="gid=573547240" ref="J355"/>
    <hyperlink r:id="rId275" location="gid=415706414" ref="J357"/>
    <hyperlink r:id="rId276" location="gid=733134081" ref="J358"/>
    <hyperlink r:id="rId277" location="gid=1509093390" ref="J361"/>
    <hyperlink r:id="rId278" location="gid=1068599727" ref="J362"/>
    <hyperlink r:id="rId279" location="gid=625147630" ref="J363"/>
    <hyperlink r:id="rId280" location="gid=1984267459" ref="J364"/>
    <hyperlink r:id="rId281" location="gid=282401999" ref="J366"/>
    <hyperlink r:id="rId282" location="gid=1203948268" ref="J367"/>
    <hyperlink r:id="rId283" location="gid=33336285" ref="J368"/>
    <hyperlink r:id="rId284" ref="K368"/>
    <hyperlink r:id="rId285" location="gid=1480745629" ref="J369"/>
    <hyperlink r:id="rId286" location="gid=1181793870" ref="J370"/>
    <hyperlink r:id="rId287" location="gid=580229704" ref="J372"/>
    <hyperlink r:id="rId288" location="gid=372457040" ref="J375"/>
    <hyperlink r:id="rId289" location="gid=2115012790" ref="J376"/>
    <hyperlink r:id="rId290" location="gid=1656095741" ref="J379"/>
    <hyperlink r:id="rId291" location="gid=39049871" ref="J380"/>
    <hyperlink r:id="rId292" location="gid=1401788865" ref="J381"/>
    <hyperlink r:id="rId293" ref="K381"/>
    <hyperlink r:id="rId294" location="gid=3373357" ref="J382"/>
    <hyperlink r:id="rId295" location="gid=1791563527" ref="J383"/>
    <hyperlink r:id="rId296" location="gid=1900542966" ref="J384"/>
    <hyperlink r:id="rId297" location="gid=1587877211" ref="J385"/>
  </hyperlinks>
  <drawing r:id="rId29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63"/>
  </cols>
  <sheetData>
    <row r="1">
      <c r="A1" s="77" t="s">
        <v>0</v>
      </c>
      <c r="B1" s="17" t="s">
        <v>1</v>
      </c>
      <c r="C1" s="17" t="s">
        <v>2</v>
      </c>
      <c r="D1" s="17" t="s">
        <v>3</v>
      </c>
      <c r="E1" s="17" t="s">
        <v>4</v>
      </c>
      <c r="F1" s="17" t="s">
        <v>5</v>
      </c>
      <c r="G1" s="78" t="s">
        <v>6</v>
      </c>
      <c r="H1" s="78" t="s">
        <v>7</v>
      </c>
      <c r="I1" s="17" t="s">
        <v>8</v>
      </c>
      <c r="J1" s="17" t="s">
        <v>9</v>
      </c>
      <c r="K1" s="17" t="s">
        <v>10</v>
      </c>
      <c r="L1" s="4"/>
      <c r="M1" s="4"/>
      <c r="N1" s="10"/>
      <c r="O1" s="4"/>
      <c r="P1" s="4"/>
      <c r="Q1" s="4"/>
      <c r="R1" s="4"/>
      <c r="S1" s="4"/>
      <c r="T1" s="4"/>
      <c r="U1" s="4"/>
      <c r="V1" s="4"/>
      <c r="W1" s="4"/>
      <c r="X1" s="4"/>
      <c r="Y1" s="4"/>
      <c r="Z1" s="4"/>
    </row>
    <row r="2">
      <c r="A2" s="77" t="s">
        <v>1541</v>
      </c>
      <c r="B2" s="17" t="s">
        <v>1542</v>
      </c>
      <c r="C2" s="17" t="s">
        <v>1543</v>
      </c>
      <c r="D2" s="17" t="s">
        <v>1544</v>
      </c>
      <c r="E2" s="79" t="s">
        <v>41</v>
      </c>
      <c r="F2" s="17" t="s">
        <v>331</v>
      </c>
      <c r="G2" s="83">
        <v>45966.36343207176</v>
      </c>
      <c r="H2" s="83">
        <v>45966.41211443287</v>
      </c>
      <c r="I2" s="79"/>
      <c r="J2" s="79" t="s">
        <v>1545</v>
      </c>
      <c r="K2" s="79" t="s">
        <v>1546</v>
      </c>
      <c r="L2" s="4"/>
      <c r="M2" s="4"/>
      <c r="N2" s="81"/>
      <c r="O2" s="4"/>
      <c r="P2" s="82"/>
      <c r="Q2" s="4"/>
      <c r="R2" s="4"/>
      <c r="S2" s="4"/>
      <c r="T2" s="4"/>
      <c r="U2" s="4"/>
      <c r="V2" s="4"/>
      <c r="W2" s="4"/>
      <c r="X2" s="4"/>
      <c r="Y2" s="4"/>
      <c r="Z2" s="4"/>
    </row>
    <row r="3">
      <c r="A3" s="77" t="s">
        <v>289</v>
      </c>
      <c r="B3" s="17" t="s">
        <v>1547</v>
      </c>
      <c r="C3" s="17" t="s">
        <v>291</v>
      </c>
      <c r="D3" s="17" t="s">
        <v>292</v>
      </c>
      <c r="E3" s="79" t="s">
        <v>35</v>
      </c>
      <c r="F3" s="17" t="s">
        <v>331</v>
      </c>
      <c r="G3" s="83">
        <v>45966.37096613426</v>
      </c>
      <c r="H3" s="83">
        <v>45966.41853364583</v>
      </c>
      <c r="I3" s="79"/>
      <c r="J3" s="79" t="s">
        <v>295</v>
      </c>
      <c r="K3" s="79" t="s">
        <v>1548</v>
      </c>
      <c r="L3" s="4"/>
      <c r="M3" s="4"/>
      <c r="N3" s="81"/>
      <c r="O3" s="4"/>
      <c r="P3" s="82"/>
      <c r="Q3" s="4"/>
      <c r="R3" s="4"/>
      <c r="S3" s="4"/>
      <c r="T3" s="4"/>
      <c r="U3" s="4"/>
      <c r="V3" s="4"/>
      <c r="W3" s="4"/>
      <c r="X3" s="4"/>
      <c r="Y3" s="4"/>
      <c r="Z3" s="4"/>
    </row>
    <row r="4">
      <c r="A4" s="77" t="s">
        <v>1549</v>
      </c>
      <c r="B4" s="17" t="s">
        <v>1550</v>
      </c>
      <c r="C4" s="17" t="s">
        <v>1551</v>
      </c>
      <c r="D4" s="17" t="s">
        <v>1552</v>
      </c>
      <c r="E4" s="79" t="s">
        <v>21</v>
      </c>
      <c r="F4" s="17" t="s">
        <v>331</v>
      </c>
      <c r="G4" s="83">
        <v>45966.37771703704</v>
      </c>
      <c r="H4" s="83">
        <v>45966.42580582176</v>
      </c>
      <c r="I4" s="79"/>
      <c r="J4" s="79" t="s">
        <v>1553</v>
      </c>
      <c r="K4" s="79" t="s">
        <v>1554</v>
      </c>
      <c r="L4" s="4"/>
      <c r="M4" s="4"/>
      <c r="N4" s="4"/>
      <c r="O4" s="4"/>
      <c r="P4" s="4"/>
      <c r="Q4" s="4"/>
      <c r="R4" s="4"/>
      <c r="S4" s="4"/>
      <c r="T4" s="4"/>
      <c r="U4" s="4"/>
      <c r="V4" s="4"/>
      <c r="W4" s="4"/>
      <c r="X4" s="4"/>
      <c r="Y4" s="4"/>
      <c r="Z4" s="4"/>
    </row>
    <row r="5">
      <c r="A5" s="77" t="s">
        <v>1555</v>
      </c>
      <c r="B5" s="17" t="s">
        <v>1556</v>
      </c>
      <c r="C5" s="17" t="s">
        <v>1557</v>
      </c>
      <c r="D5" s="17" t="s">
        <v>1558</v>
      </c>
      <c r="E5" s="79" t="s">
        <v>19</v>
      </c>
      <c r="F5" s="17" t="s">
        <v>331</v>
      </c>
      <c r="G5" s="83">
        <v>45966.371646747684</v>
      </c>
      <c r="H5" s="83">
        <v>45966.42937185185</v>
      </c>
      <c r="I5" s="79"/>
      <c r="J5" s="79" t="s">
        <v>1559</v>
      </c>
      <c r="K5" s="79" t="s">
        <v>1560</v>
      </c>
      <c r="L5" s="4"/>
      <c r="M5" s="4"/>
      <c r="N5" s="10"/>
      <c r="O5" s="4"/>
      <c r="P5" s="4"/>
      <c r="Q5" s="4"/>
      <c r="R5" s="4"/>
      <c r="S5" s="4"/>
      <c r="T5" s="4"/>
      <c r="U5" s="4"/>
      <c r="V5" s="4"/>
      <c r="W5" s="4"/>
      <c r="X5" s="4"/>
      <c r="Y5" s="4"/>
      <c r="Z5" s="4"/>
    </row>
    <row r="6">
      <c r="A6" s="77" t="s">
        <v>1466</v>
      </c>
      <c r="B6" s="17" t="s">
        <v>1561</v>
      </c>
      <c r="C6" s="17" t="s">
        <v>1562</v>
      </c>
      <c r="D6" s="17" t="s">
        <v>1563</v>
      </c>
      <c r="E6" s="79" t="s">
        <v>39</v>
      </c>
      <c r="F6" s="17" t="s">
        <v>346</v>
      </c>
      <c r="G6" s="83">
        <v>45966.37352547454</v>
      </c>
      <c r="H6" s="83">
        <v>45966.442898078705</v>
      </c>
      <c r="I6" s="79"/>
      <c r="J6" s="79" t="s">
        <v>1564</v>
      </c>
      <c r="K6" s="79" t="s">
        <v>1565</v>
      </c>
      <c r="L6" s="4"/>
      <c r="M6" s="4"/>
      <c r="N6" s="10"/>
      <c r="O6" s="4"/>
      <c r="P6" s="4"/>
      <c r="Q6" s="4"/>
      <c r="R6" s="4"/>
      <c r="S6" s="4"/>
      <c r="T6" s="4"/>
      <c r="U6" s="4"/>
      <c r="V6" s="4"/>
      <c r="W6" s="4"/>
      <c r="X6" s="4"/>
      <c r="Y6" s="4"/>
      <c r="Z6" s="4"/>
    </row>
    <row r="7">
      <c r="A7" s="77" t="s">
        <v>1566</v>
      </c>
      <c r="B7" s="17" t="s">
        <v>1567</v>
      </c>
      <c r="C7" s="17" t="s">
        <v>1568</v>
      </c>
      <c r="D7" s="17" t="s">
        <v>1569</v>
      </c>
      <c r="E7" s="79" t="s">
        <v>23</v>
      </c>
      <c r="F7" s="17" t="s">
        <v>346</v>
      </c>
      <c r="G7" s="83">
        <v>45966.40579856481</v>
      </c>
      <c r="H7" s="83">
        <v>45966.45171765046</v>
      </c>
      <c r="I7" s="79"/>
      <c r="J7" s="79" t="s">
        <v>1570</v>
      </c>
      <c r="K7" s="79" t="s">
        <v>1571</v>
      </c>
      <c r="L7" s="4"/>
      <c r="M7" s="4"/>
      <c r="N7" s="10"/>
      <c r="O7" s="4"/>
      <c r="P7" s="4"/>
      <c r="Q7" s="4"/>
      <c r="R7" s="4"/>
      <c r="S7" s="4"/>
      <c r="T7" s="4"/>
      <c r="U7" s="4"/>
      <c r="V7" s="4"/>
      <c r="W7" s="4"/>
      <c r="X7" s="4"/>
      <c r="Y7" s="4"/>
      <c r="Z7" s="4"/>
    </row>
    <row r="8">
      <c r="A8" s="77" t="s">
        <v>1572</v>
      </c>
      <c r="B8" s="17" t="s">
        <v>1573</v>
      </c>
      <c r="C8" s="17" t="s">
        <v>1574</v>
      </c>
      <c r="D8" s="17" t="s">
        <v>1575</v>
      </c>
      <c r="E8" s="79" t="s">
        <v>17</v>
      </c>
      <c r="F8" s="17" t="s">
        <v>331</v>
      </c>
      <c r="G8" s="83">
        <v>45966.36991203704</v>
      </c>
      <c r="H8" s="83">
        <v>45966.45363199074</v>
      </c>
      <c r="I8" s="79"/>
      <c r="J8" s="79" t="s">
        <v>1576</v>
      </c>
      <c r="K8" s="79" t="s">
        <v>1577</v>
      </c>
      <c r="L8" s="4"/>
      <c r="M8" s="4"/>
      <c r="N8" s="81"/>
      <c r="O8" s="4"/>
      <c r="P8" s="82"/>
      <c r="Q8" s="4"/>
      <c r="R8" s="4"/>
      <c r="S8" s="4"/>
      <c r="T8" s="4"/>
      <c r="U8" s="4"/>
      <c r="V8" s="4"/>
      <c r="W8" s="4"/>
      <c r="X8" s="4"/>
      <c r="Y8" s="4"/>
      <c r="Z8" s="4"/>
    </row>
    <row r="9">
      <c r="A9" s="77" t="s">
        <v>1578</v>
      </c>
      <c r="B9" s="17" t="s">
        <v>1579</v>
      </c>
      <c r="C9" s="17" t="s">
        <v>1580</v>
      </c>
      <c r="D9" s="17" t="s">
        <v>1581</v>
      </c>
      <c r="E9" s="79" t="s">
        <v>25</v>
      </c>
      <c r="F9" s="17" t="s">
        <v>331</v>
      </c>
      <c r="G9" s="83">
        <v>45966.389825011574</v>
      </c>
      <c r="H9" s="83">
        <v>45966.456790682874</v>
      </c>
      <c r="I9" s="79"/>
      <c r="J9" s="79" t="s">
        <v>1582</v>
      </c>
      <c r="K9" s="79" t="s">
        <v>1583</v>
      </c>
      <c r="L9" s="4"/>
      <c r="M9" s="4"/>
      <c r="N9" s="81"/>
      <c r="O9" s="4"/>
      <c r="P9" s="82"/>
      <c r="Q9" s="4"/>
      <c r="R9" s="4"/>
      <c r="S9" s="4"/>
      <c r="T9" s="4"/>
      <c r="U9" s="4"/>
      <c r="V9" s="4"/>
      <c r="W9" s="4"/>
      <c r="X9" s="4"/>
      <c r="Y9" s="4"/>
      <c r="Z9" s="4"/>
    </row>
    <row r="10">
      <c r="A10" s="77" t="s">
        <v>1584</v>
      </c>
      <c r="B10" s="17" t="s">
        <v>1585</v>
      </c>
      <c r="C10" s="17" t="s">
        <v>1586</v>
      </c>
      <c r="D10" s="17" t="s">
        <v>1587</v>
      </c>
      <c r="E10" s="79" t="s">
        <v>38</v>
      </c>
      <c r="F10" s="17" t="s">
        <v>331</v>
      </c>
      <c r="G10" s="83">
        <v>45966.368024027775</v>
      </c>
      <c r="H10" s="83">
        <v>45966.46009314815</v>
      </c>
      <c r="I10" s="79"/>
      <c r="J10" s="79" t="s">
        <v>1588</v>
      </c>
      <c r="K10" s="79" t="s">
        <v>1589</v>
      </c>
      <c r="L10" s="4"/>
      <c r="M10" s="4"/>
      <c r="N10" s="81"/>
      <c r="O10" s="4"/>
      <c r="P10" s="82"/>
      <c r="Q10" s="4"/>
      <c r="R10" s="4"/>
      <c r="S10" s="4"/>
      <c r="T10" s="4"/>
      <c r="U10" s="4"/>
      <c r="V10" s="4"/>
      <c r="W10" s="4"/>
      <c r="X10" s="4"/>
      <c r="Y10" s="4"/>
      <c r="Z10" s="4"/>
    </row>
    <row r="11">
      <c r="A11" s="77" t="s">
        <v>1590</v>
      </c>
      <c r="B11" s="17" t="s">
        <v>1591</v>
      </c>
      <c r="C11" s="17" t="s">
        <v>1592</v>
      </c>
      <c r="D11" s="17" t="s">
        <v>1593</v>
      </c>
      <c r="E11" s="79" t="s">
        <v>31</v>
      </c>
      <c r="F11" s="17" t="s">
        <v>331</v>
      </c>
      <c r="G11" s="83">
        <v>45966.37325287037</v>
      </c>
      <c r="H11" s="83">
        <v>45966.467958761576</v>
      </c>
      <c r="I11" s="79"/>
      <c r="J11" s="79" t="s">
        <v>1594</v>
      </c>
      <c r="K11" s="79" t="s">
        <v>1595</v>
      </c>
      <c r="L11" s="4"/>
      <c r="M11" s="4"/>
      <c r="N11" s="10"/>
      <c r="O11" s="4"/>
      <c r="P11" s="4"/>
      <c r="Q11" s="4"/>
      <c r="R11" s="4"/>
      <c r="S11" s="4"/>
      <c r="T11" s="4"/>
      <c r="U11" s="4"/>
      <c r="V11" s="4"/>
      <c r="W11" s="4"/>
      <c r="X11" s="4"/>
      <c r="Y11" s="4"/>
      <c r="Z11" s="4"/>
    </row>
    <row r="12">
      <c r="A12" s="77" t="s">
        <v>1596</v>
      </c>
      <c r="B12" s="17" t="s">
        <v>1597</v>
      </c>
      <c r="C12" s="17" t="s">
        <v>1598</v>
      </c>
      <c r="D12" s="17" t="s">
        <v>1599</v>
      </c>
      <c r="E12" s="79" t="s">
        <v>21</v>
      </c>
      <c r="F12" s="17" t="s">
        <v>331</v>
      </c>
      <c r="G12" s="83">
        <v>45966.45588318287</v>
      </c>
      <c r="H12" s="83">
        <v>45966.489832210646</v>
      </c>
      <c r="I12" s="79"/>
      <c r="J12" s="79" t="s">
        <v>1600</v>
      </c>
      <c r="K12" s="79" t="s">
        <v>1601</v>
      </c>
      <c r="L12" s="4"/>
      <c r="M12" s="4"/>
      <c r="N12" s="81"/>
      <c r="O12" s="4"/>
      <c r="P12" s="82"/>
      <c r="Q12" s="4"/>
      <c r="R12" s="4"/>
      <c r="S12" s="4"/>
      <c r="T12" s="4"/>
      <c r="U12" s="4"/>
      <c r="V12" s="4"/>
      <c r="W12" s="4"/>
      <c r="X12" s="4"/>
      <c r="Y12" s="4"/>
      <c r="Z12" s="4"/>
    </row>
    <row r="13">
      <c r="A13" s="77" t="s">
        <v>350</v>
      </c>
      <c r="B13" s="17" t="s">
        <v>1602</v>
      </c>
      <c r="C13" s="17" t="s">
        <v>352</v>
      </c>
      <c r="D13" s="17" t="s">
        <v>353</v>
      </c>
      <c r="E13" s="79" t="s">
        <v>27</v>
      </c>
      <c r="F13" s="17" t="s">
        <v>346</v>
      </c>
      <c r="G13" s="83">
        <v>45966.37301755787</v>
      </c>
      <c r="H13" s="83">
        <v>45966.49308872686</v>
      </c>
      <c r="I13" s="79"/>
      <c r="J13" s="79" t="s">
        <v>355</v>
      </c>
      <c r="K13" s="79" t="s">
        <v>356</v>
      </c>
      <c r="L13" s="4"/>
      <c r="M13" s="4"/>
      <c r="N13" s="10"/>
      <c r="O13" s="4"/>
      <c r="P13" s="4"/>
      <c r="Q13" s="4"/>
      <c r="R13" s="4"/>
      <c r="S13" s="4"/>
      <c r="T13" s="4"/>
      <c r="U13" s="4"/>
      <c r="V13" s="4"/>
      <c r="W13" s="4"/>
      <c r="X13" s="4"/>
      <c r="Y13" s="4"/>
      <c r="Z13" s="4"/>
    </row>
    <row r="14">
      <c r="A14" s="77" t="s">
        <v>1603</v>
      </c>
      <c r="B14" s="17" t="s">
        <v>1604</v>
      </c>
      <c r="C14" s="17" t="s">
        <v>1605</v>
      </c>
      <c r="D14" s="17" t="s">
        <v>1606</v>
      </c>
      <c r="E14" s="79" t="s">
        <v>38</v>
      </c>
      <c r="F14" s="17" t="s">
        <v>1607</v>
      </c>
      <c r="G14" s="83">
        <v>45966.4680075463</v>
      </c>
      <c r="H14" s="83">
        <v>45966.50994172454</v>
      </c>
      <c r="I14" s="79"/>
      <c r="J14" s="79" t="s">
        <v>1608</v>
      </c>
      <c r="K14" s="79" t="s">
        <v>1609</v>
      </c>
      <c r="L14" s="4"/>
      <c r="M14" s="4"/>
      <c r="N14" s="10"/>
      <c r="O14" s="4"/>
      <c r="P14" s="4"/>
      <c r="Q14" s="4"/>
      <c r="R14" s="4"/>
      <c r="S14" s="4"/>
      <c r="T14" s="4"/>
      <c r="U14" s="4"/>
      <c r="V14" s="4"/>
      <c r="W14" s="4"/>
      <c r="X14" s="4"/>
      <c r="Y14" s="4"/>
      <c r="Z14" s="4"/>
    </row>
    <row r="15">
      <c r="A15" s="77" t="s">
        <v>1610</v>
      </c>
      <c r="B15" s="17" t="s">
        <v>1611</v>
      </c>
      <c r="C15" s="17" t="s">
        <v>1612</v>
      </c>
      <c r="D15" s="17" t="s">
        <v>1613</v>
      </c>
      <c r="E15" s="79" t="s">
        <v>41</v>
      </c>
      <c r="F15" s="17" t="s">
        <v>331</v>
      </c>
      <c r="G15" s="83">
        <v>45966.42864493055</v>
      </c>
      <c r="H15" s="83">
        <v>45966.51880622686</v>
      </c>
      <c r="I15" s="79"/>
      <c r="J15" s="79" t="s">
        <v>1614</v>
      </c>
      <c r="K15" s="79" t="s">
        <v>1615</v>
      </c>
      <c r="L15" s="4"/>
      <c r="M15" s="4"/>
      <c r="N15" s="81"/>
      <c r="O15" s="4"/>
      <c r="P15" s="82"/>
      <c r="Q15" s="4"/>
      <c r="R15" s="4"/>
      <c r="S15" s="4"/>
      <c r="T15" s="4"/>
      <c r="U15" s="4"/>
      <c r="V15" s="4"/>
      <c r="W15" s="4"/>
      <c r="X15" s="4"/>
      <c r="Y15" s="4"/>
      <c r="Z15" s="4"/>
    </row>
    <row r="16">
      <c r="A16" s="77" t="s">
        <v>297</v>
      </c>
      <c r="B16" s="17" t="s">
        <v>1616</v>
      </c>
      <c r="C16" s="17" t="s">
        <v>299</v>
      </c>
      <c r="D16" s="17" t="s">
        <v>300</v>
      </c>
      <c r="E16" s="79" t="s">
        <v>35</v>
      </c>
      <c r="F16" s="17" t="s">
        <v>331</v>
      </c>
      <c r="G16" s="83">
        <v>45966.4186628125</v>
      </c>
      <c r="H16" s="83">
        <v>45966.520919884264</v>
      </c>
      <c r="I16" s="79"/>
      <c r="J16" s="79" t="s">
        <v>301</v>
      </c>
      <c r="K16" s="79" t="s">
        <v>1617</v>
      </c>
      <c r="L16" s="4"/>
      <c r="M16" s="4"/>
      <c r="N16" s="4"/>
      <c r="O16" s="4"/>
      <c r="P16" s="4"/>
      <c r="Q16" s="4"/>
      <c r="R16" s="4"/>
      <c r="S16" s="4"/>
      <c r="T16" s="4"/>
      <c r="U16" s="4"/>
      <c r="V16" s="4"/>
      <c r="W16" s="4"/>
      <c r="X16" s="4"/>
      <c r="Y16" s="4"/>
      <c r="Z16" s="4"/>
    </row>
    <row r="17">
      <c r="A17" s="77" t="s">
        <v>1618</v>
      </c>
      <c r="B17" s="17" t="s">
        <v>1619</v>
      </c>
      <c r="C17" s="17" t="s">
        <v>1620</v>
      </c>
      <c r="D17" s="17" t="s">
        <v>1621</v>
      </c>
      <c r="E17" s="79" t="s">
        <v>19</v>
      </c>
      <c r="F17" s="17" t="s">
        <v>346</v>
      </c>
      <c r="G17" s="83">
        <v>45966.44356373843</v>
      </c>
      <c r="H17" s="83">
        <v>45966.52459503472</v>
      </c>
      <c r="I17" s="79"/>
      <c r="J17" s="79" t="s">
        <v>1622</v>
      </c>
      <c r="K17" s="79" t="s">
        <v>1623</v>
      </c>
      <c r="L17" s="4"/>
      <c r="M17" s="4"/>
      <c r="N17" s="10"/>
      <c r="O17" s="4"/>
      <c r="P17" s="4"/>
      <c r="Q17" s="4"/>
      <c r="R17" s="4"/>
      <c r="S17" s="4"/>
      <c r="T17" s="4"/>
      <c r="U17" s="4"/>
      <c r="V17" s="4"/>
      <c r="W17" s="4"/>
      <c r="X17" s="4"/>
      <c r="Y17" s="4"/>
      <c r="Z17" s="4"/>
    </row>
    <row r="18">
      <c r="A18" s="77" t="s">
        <v>1467</v>
      </c>
      <c r="B18" s="17" t="s">
        <v>1624</v>
      </c>
      <c r="C18" s="17" t="s">
        <v>1625</v>
      </c>
      <c r="D18" s="17" t="s">
        <v>1626</v>
      </c>
      <c r="E18" s="79" t="s">
        <v>39</v>
      </c>
      <c r="F18" s="17" t="s">
        <v>346</v>
      </c>
      <c r="G18" s="83">
        <v>45966.5299172338</v>
      </c>
      <c r="H18" s="83">
        <v>45966.53023693287</v>
      </c>
      <c r="I18" s="79"/>
      <c r="J18" s="79" t="s">
        <v>1627</v>
      </c>
      <c r="K18" s="79" t="s">
        <v>1628</v>
      </c>
      <c r="L18" s="4"/>
      <c r="M18" s="4"/>
      <c r="N18" s="10"/>
      <c r="O18" s="4"/>
      <c r="P18" s="4"/>
      <c r="Q18" s="4"/>
      <c r="R18" s="4"/>
      <c r="S18" s="4"/>
      <c r="T18" s="4"/>
      <c r="U18" s="4"/>
      <c r="V18" s="4"/>
      <c r="W18" s="4"/>
      <c r="X18" s="4"/>
      <c r="Y18" s="4"/>
      <c r="Z18" s="4"/>
    </row>
    <row r="19">
      <c r="A19" s="77" t="s">
        <v>1629</v>
      </c>
      <c r="B19" s="17" t="s">
        <v>1630</v>
      </c>
      <c r="C19" s="17" t="s">
        <v>1631</v>
      </c>
      <c r="D19" s="17" t="s">
        <v>1632</v>
      </c>
      <c r="E19" s="79" t="s">
        <v>17</v>
      </c>
      <c r="F19" s="17" t="s">
        <v>346</v>
      </c>
      <c r="G19" s="83">
        <v>45966.453851631944</v>
      </c>
      <c r="H19" s="83">
        <v>45966.54207768518</v>
      </c>
      <c r="I19" s="79"/>
      <c r="J19" s="79" t="s">
        <v>1633</v>
      </c>
      <c r="K19" s="79" t="s">
        <v>1634</v>
      </c>
      <c r="L19" s="4"/>
      <c r="M19" s="4"/>
      <c r="N19" s="10"/>
      <c r="O19" s="4"/>
      <c r="P19" s="4"/>
      <c r="Q19" s="4"/>
      <c r="R19" s="4"/>
      <c r="S19" s="4"/>
      <c r="T19" s="4"/>
      <c r="U19" s="4"/>
      <c r="V19" s="4"/>
      <c r="W19" s="4"/>
      <c r="X19" s="4"/>
      <c r="Y19" s="4"/>
      <c r="Z19" s="4"/>
    </row>
    <row r="20">
      <c r="A20" s="77" t="s">
        <v>1461</v>
      </c>
      <c r="B20" s="17" t="s">
        <v>1635</v>
      </c>
      <c r="C20" s="17" t="s">
        <v>1636</v>
      </c>
      <c r="D20" s="17" t="s">
        <v>1637</v>
      </c>
      <c r="E20" s="79" t="s">
        <v>31</v>
      </c>
      <c r="F20" s="17" t="s">
        <v>346</v>
      </c>
      <c r="G20" s="83">
        <v>45966.482769236114</v>
      </c>
      <c r="H20" s="83">
        <v>45966.54374638889</v>
      </c>
      <c r="I20" s="79"/>
      <c r="J20" s="79" t="s">
        <v>1638</v>
      </c>
      <c r="K20" s="79" t="s">
        <v>1639</v>
      </c>
      <c r="L20" s="4"/>
      <c r="M20" s="4"/>
      <c r="N20" s="10"/>
      <c r="O20" s="4"/>
      <c r="P20" s="4"/>
      <c r="Q20" s="4"/>
      <c r="R20" s="4"/>
      <c r="S20" s="4"/>
      <c r="T20" s="4"/>
      <c r="U20" s="4"/>
      <c r="V20" s="4"/>
      <c r="W20" s="4"/>
      <c r="X20" s="4"/>
      <c r="Y20" s="4"/>
      <c r="Z20" s="4"/>
    </row>
    <row r="21">
      <c r="A21" s="77" t="s">
        <v>1640</v>
      </c>
      <c r="B21" s="17" t="s">
        <v>1641</v>
      </c>
      <c r="C21" s="17" t="s">
        <v>1642</v>
      </c>
      <c r="D21" s="17" t="s">
        <v>1643</v>
      </c>
      <c r="E21" s="79" t="s">
        <v>25</v>
      </c>
      <c r="F21" s="17" t="s">
        <v>331</v>
      </c>
      <c r="G21" s="83">
        <v>45966.468188391205</v>
      </c>
      <c r="H21" s="83">
        <v>45966.55042357639</v>
      </c>
      <c r="I21" s="79"/>
      <c r="J21" s="79" t="s">
        <v>1644</v>
      </c>
      <c r="K21" s="79" t="s">
        <v>1645</v>
      </c>
      <c r="L21" s="4"/>
      <c r="M21" s="4"/>
      <c r="N21" s="81"/>
      <c r="O21" s="4"/>
      <c r="P21" s="82"/>
      <c r="Q21" s="4"/>
      <c r="R21" s="4"/>
      <c r="S21" s="4"/>
      <c r="T21" s="4"/>
      <c r="U21" s="4"/>
      <c r="V21" s="4"/>
      <c r="W21" s="4"/>
      <c r="X21" s="4"/>
      <c r="Y21" s="4"/>
      <c r="Z21" s="4"/>
    </row>
    <row r="22">
      <c r="A22" s="77" t="s">
        <v>1646</v>
      </c>
      <c r="B22" s="17" t="s">
        <v>1647</v>
      </c>
      <c r="C22" s="17" t="s">
        <v>1648</v>
      </c>
      <c r="D22" s="17" t="s">
        <v>1649</v>
      </c>
      <c r="E22" s="79" t="s">
        <v>38</v>
      </c>
      <c r="F22" s="17" t="s">
        <v>1607</v>
      </c>
      <c r="G22" s="83">
        <v>45966.513215706014</v>
      </c>
      <c r="H22" s="83">
        <v>45966.55607733796</v>
      </c>
      <c r="I22" s="79"/>
      <c r="J22" s="79" t="s">
        <v>1650</v>
      </c>
      <c r="K22" s="79" t="s">
        <v>1651</v>
      </c>
      <c r="L22" s="4"/>
      <c r="M22" s="4"/>
      <c r="N22" s="10"/>
      <c r="O22" s="4"/>
      <c r="P22" s="4"/>
      <c r="Q22" s="4"/>
      <c r="R22" s="4"/>
      <c r="S22" s="4"/>
      <c r="T22" s="4"/>
      <c r="U22" s="4"/>
      <c r="V22" s="4"/>
      <c r="W22" s="4"/>
      <c r="X22" s="4"/>
      <c r="Y22" s="4"/>
      <c r="Z22" s="4"/>
    </row>
    <row r="23">
      <c r="A23" s="77" t="s">
        <v>364</v>
      </c>
      <c r="B23" s="17" t="s">
        <v>1652</v>
      </c>
      <c r="C23" s="17" t="s">
        <v>366</v>
      </c>
      <c r="D23" s="17" t="s">
        <v>367</v>
      </c>
      <c r="E23" s="79" t="s">
        <v>41</v>
      </c>
      <c r="F23" s="17" t="s">
        <v>346</v>
      </c>
      <c r="G23" s="83">
        <v>45966.55994528935</v>
      </c>
      <c r="H23" s="83">
        <v>45966.565995578705</v>
      </c>
      <c r="I23" s="79"/>
      <c r="J23" s="79" t="s">
        <v>369</v>
      </c>
      <c r="K23" s="79" t="s">
        <v>370</v>
      </c>
      <c r="L23" s="4"/>
      <c r="M23" s="4"/>
      <c r="N23" s="10"/>
      <c r="O23" s="4"/>
      <c r="P23" s="4"/>
      <c r="Q23" s="4"/>
      <c r="R23" s="4"/>
      <c r="S23" s="4"/>
      <c r="T23" s="4"/>
      <c r="U23" s="4"/>
      <c r="V23" s="4"/>
      <c r="W23" s="4"/>
      <c r="X23" s="4"/>
      <c r="Y23" s="4"/>
      <c r="Z23" s="4"/>
    </row>
    <row r="24">
      <c r="A24" s="77" t="s">
        <v>1653</v>
      </c>
      <c r="B24" s="17" t="s">
        <v>1654</v>
      </c>
      <c r="C24" s="17" t="s">
        <v>1655</v>
      </c>
      <c r="D24" s="17" t="s">
        <v>1656</v>
      </c>
      <c r="E24" s="79" t="s">
        <v>19</v>
      </c>
      <c r="F24" s="17" t="s">
        <v>1607</v>
      </c>
      <c r="G24" s="83">
        <v>45966.56605115741</v>
      </c>
      <c r="H24" s="83">
        <v>45966.58007261574</v>
      </c>
      <c r="I24" s="79"/>
      <c r="J24" s="79" t="s">
        <v>1657</v>
      </c>
      <c r="K24" s="79" t="s">
        <v>1658</v>
      </c>
      <c r="L24" s="4"/>
      <c r="M24" s="4"/>
      <c r="N24" s="10"/>
      <c r="O24" s="4"/>
      <c r="P24" s="4"/>
      <c r="Q24" s="4"/>
      <c r="R24" s="4"/>
      <c r="S24" s="4"/>
      <c r="T24" s="4"/>
      <c r="U24" s="4"/>
      <c r="V24" s="4"/>
      <c r="W24" s="4"/>
      <c r="X24" s="4"/>
      <c r="Y24" s="4"/>
      <c r="Z24" s="4"/>
    </row>
    <row r="25">
      <c r="A25" s="77" t="s">
        <v>1659</v>
      </c>
      <c r="B25" s="17" t="s">
        <v>1660</v>
      </c>
      <c r="C25" s="17" t="s">
        <v>1661</v>
      </c>
      <c r="D25" s="17" t="s">
        <v>1662</v>
      </c>
      <c r="E25" s="17" t="s">
        <v>23</v>
      </c>
      <c r="F25" s="17" t="s">
        <v>1663</v>
      </c>
      <c r="G25" s="83">
        <v>45966.50596553241</v>
      </c>
      <c r="H25" s="83">
        <v>45966.587950057874</v>
      </c>
      <c r="I25" s="79"/>
      <c r="J25" s="79" t="e">
        <v>#N/A</v>
      </c>
      <c r="K25" s="79" t="e">
        <v>#N/A</v>
      </c>
      <c r="L25" s="4"/>
      <c r="M25" s="4"/>
      <c r="N25" s="10"/>
      <c r="O25" s="4"/>
      <c r="P25" s="4"/>
      <c r="Q25" s="4"/>
      <c r="R25" s="4"/>
      <c r="S25" s="4"/>
      <c r="T25" s="4"/>
      <c r="U25" s="4"/>
      <c r="V25" s="4"/>
      <c r="W25" s="4"/>
      <c r="X25" s="4"/>
      <c r="Y25" s="4"/>
      <c r="Z25" s="4"/>
    </row>
    <row r="26">
      <c r="A26" s="77" t="s">
        <v>1664</v>
      </c>
      <c r="B26" s="17" t="s">
        <v>1665</v>
      </c>
      <c r="C26" s="17" t="s">
        <v>1666</v>
      </c>
      <c r="D26" s="17" t="s">
        <v>1667</v>
      </c>
      <c r="E26" s="17" t="s">
        <v>21</v>
      </c>
      <c r="F26" s="17" t="s">
        <v>1607</v>
      </c>
      <c r="G26" s="83">
        <v>45966.55445589121</v>
      </c>
      <c r="H26" s="83">
        <v>45966.60917386574</v>
      </c>
      <c r="I26" s="79"/>
      <c r="J26" s="79" t="s">
        <v>1668</v>
      </c>
      <c r="K26" s="79" t="s">
        <v>1669</v>
      </c>
      <c r="L26" s="4"/>
      <c r="M26" s="4"/>
      <c r="N26" s="10"/>
      <c r="O26" s="4"/>
      <c r="P26" s="4"/>
      <c r="Q26" s="4"/>
      <c r="R26" s="4"/>
      <c r="S26" s="4"/>
      <c r="T26" s="4"/>
      <c r="U26" s="4"/>
      <c r="V26" s="4"/>
      <c r="W26" s="4"/>
      <c r="X26" s="4"/>
      <c r="Y26" s="4"/>
      <c r="Z26" s="4"/>
    </row>
    <row r="27">
      <c r="A27" s="77" t="s">
        <v>1670</v>
      </c>
      <c r="B27" s="17" t="s">
        <v>1671</v>
      </c>
      <c r="C27" s="17" t="s">
        <v>1672</v>
      </c>
      <c r="D27" s="17" t="s">
        <v>1673</v>
      </c>
      <c r="E27" s="79" t="s">
        <v>35</v>
      </c>
      <c r="F27" s="17" t="s">
        <v>331</v>
      </c>
      <c r="G27" s="83">
        <v>45966.55955142361</v>
      </c>
      <c r="H27" s="83">
        <v>45966.621440613424</v>
      </c>
      <c r="I27" s="79"/>
      <c r="J27" s="79" t="s">
        <v>1674</v>
      </c>
      <c r="K27" s="79" t="s">
        <v>1675</v>
      </c>
      <c r="L27" s="4"/>
      <c r="M27" s="4"/>
      <c r="N27" s="81"/>
      <c r="O27" s="4"/>
      <c r="P27" s="4"/>
      <c r="Q27" s="4"/>
      <c r="R27" s="4"/>
      <c r="S27" s="4"/>
      <c r="T27" s="4"/>
      <c r="U27" s="4"/>
      <c r="V27" s="4"/>
      <c r="W27" s="4"/>
      <c r="X27" s="4"/>
      <c r="Y27" s="4"/>
      <c r="Z27" s="4"/>
    </row>
    <row r="28">
      <c r="A28" s="77" t="s">
        <v>1676</v>
      </c>
      <c r="B28" s="17" t="s">
        <v>1677</v>
      </c>
      <c r="C28" s="17" t="s">
        <v>1678</v>
      </c>
      <c r="D28" s="17" t="s">
        <v>1679</v>
      </c>
      <c r="E28" s="79" t="s">
        <v>17</v>
      </c>
      <c r="F28" s="17" t="s">
        <v>331</v>
      </c>
      <c r="G28" s="83">
        <v>45966.6033684838</v>
      </c>
      <c r="H28" s="83">
        <v>45966.64089997685</v>
      </c>
      <c r="I28" s="79"/>
      <c r="J28" s="79" t="s">
        <v>1680</v>
      </c>
      <c r="K28" s="79" t="s">
        <v>1681</v>
      </c>
      <c r="L28" s="4"/>
      <c r="M28" s="4"/>
      <c r="N28" s="81"/>
      <c r="O28" s="4"/>
      <c r="P28" s="82"/>
      <c r="Q28" s="4"/>
      <c r="R28" s="4"/>
      <c r="S28" s="4"/>
      <c r="T28" s="4"/>
      <c r="U28" s="4"/>
      <c r="V28" s="4"/>
      <c r="W28" s="4"/>
      <c r="X28" s="4"/>
      <c r="Y28" s="4"/>
      <c r="Z28" s="4"/>
    </row>
    <row r="29">
      <c r="A29" s="77" t="s">
        <v>1682</v>
      </c>
      <c r="B29" s="17" t="s">
        <v>1683</v>
      </c>
      <c r="C29" s="17" t="s">
        <v>1684</v>
      </c>
      <c r="D29" s="17" t="s">
        <v>1685</v>
      </c>
      <c r="E29" s="79" t="s">
        <v>31</v>
      </c>
      <c r="F29" s="17" t="s">
        <v>1663</v>
      </c>
      <c r="G29" s="83">
        <v>45966.56301488426</v>
      </c>
      <c r="H29" s="83">
        <v>45966.646998067125</v>
      </c>
      <c r="I29" s="79"/>
      <c r="J29" s="79" t="s">
        <v>1686</v>
      </c>
      <c r="K29" s="79" t="s">
        <v>1687</v>
      </c>
      <c r="L29" s="4"/>
      <c r="M29" s="4"/>
      <c r="N29" s="10"/>
      <c r="O29" s="4"/>
      <c r="P29" s="4"/>
      <c r="Q29" s="4"/>
      <c r="R29" s="4"/>
      <c r="S29" s="4"/>
      <c r="T29" s="4"/>
      <c r="U29" s="4"/>
      <c r="V29" s="4"/>
      <c r="W29" s="4"/>
      <c r="X29" s="4"/>
      <c r="Y29" s="4"/>
      <c r="Z29" s="4"/>
    </row>
    <row r="30">
      <c r="A30" s="77" t="s">
        <v>259</v>
      </c>
      <c r="B30" s="17" t="s">
        <v>1688</v>
      </c>
      <c r="C30" s="17" t="s">
        <v>261</v>
      </c>
      <c r="D30" s="17" t="s">
        <v>262</v>
      </c>
      <c r="E30" s="17" t="s">
        <v>19</v>
      </c>
      <c r="F30" s="17" t="s">
        <v>1689</v>
      </c>
      <c r="G30" s="83">
        <v>45966.59220087963</v>
      </c>
      <c r="H30" s="83">
        <v>45966.64705328704</v>
      </c>
      <c r="I30" s="17"/>
      <c r="J30" s="17"/>
      <c r="K30" s="17"/>
      <c r="L30" s="4"/>
      <c r="M30" s="4"/>
      <c r="N30" s="10"/>
      <c r="O30" s="4"/>
      <c r="P30" s="4"/>
      <c r="Q30" s="4"/>
      <c r="R30" s="4"/>
      <c r="S30" s="4"/>
      <c r="T30" s="4"/>
      <c r="U30" s="4"/>
      <c r="V30" s="4"/>
      <c r="W30" s="4"/>
      <c r="X30" s="4"/>
      <c r="Y30" s="4"/>
      <c r="Z30" s="4"/>
    </row>
    <row r="31">
      <c r="A31" s="77" t="s">
        <v>1690</v>
      </c>
      <c r="B31" s="17" t="s">
        <v>1691</v>
      </c>
      <c r="C31" s="17" t="s">
        <v>1692</v>
      </c>
      <c r="D31" s="17" t="s">
        <v>1693</v>
      </c>
      <c r="E31" s="79" t="s">
        <v>31</v>
      </c>
      <c r="F31" s="17" t="s">
        <v>1663</v>
      </c>
      <c r="G31" s="83">
        <v>45966.64323328703</v>
      </c>
      <c r="H31" s="83">
        <v>45966.65845503472</v>
      </c>
      <c r="I31" s="79"/>
      <c r="J31" s="79" t="s">
        <v>1694</v>
      </c>
      <c r="K31" s="79" t="s">
        <v>1695</v>
      </c>
      <c r="L31" s="4"/>
      <c r="M31" s="4"/>
      <c r="N31" s="10"/>
      <c r="O31" s="4"/>
      <c r="P31" s="4"/>
      <c r="Q31" s="4"/>
      <c r="R31" s="4"/>
      <c r="S31" s="4"/>
      <c r="T31" s="4"/>
      <c r="U31" s="4"/>
      <c r="V31" s="4"/>
      <c r="W31" s="4"/>
      <c r="X31" s="4"/>
      <c r="Y31" s="4"/>
      <c r="Z31" s="4"/>
    </row>
    <row r="32">
      <c r="A32" s="77" t="s">
        <v>1696</v>
      </c>
      <c r="B32" s="79" t="s">
        <v>1697</v>
      </c>
      <c r="C32" s="17" t="s">
        <v>1698</v>
      </c>
      <c r="D32" s="17" t="s">
        <v>1699</v>
      </c>
      <c r="E32" s="17" t="s">
        <v>35</v>
      </c>
      <c r="F32" s="17" t="s">
        <v>331</v>
      </c>
      <c r="G32" s="83">
        <v>45966.62355826389</v>
      </c>
      <c r="H32" s="83">
        <v>45966.65903369213</v>
      </c>
      <c r="I32" s="79"/>
      <c r="J32" s="79" t="s">
        <v>1700</v>
      </c>
      <c r="K32" s="79" t="s">
        <v>1701</v>
      </c>
      <c r="L32" s="4"/>
      <c r="M32" s="4"/>
      <c r="N32" s="10"/>
      <c r="O32" s="4"/>
      <c r="P32" s="4"/>
      <c r="Q32" s="4"/>
      <c r="R32" s="4"/>
      <c r="S32" s="4"/>
      <c r="T32" s="4"/>
      <c r="U32" s="4"/>
      <c r="V32" s="4"/>
      <c r="W32" s="4"/>
      <c r="X32" s="4"/>
      <c r="Y32" s="4"/>
      <c r="Z32" s="4"/>
    </row>
    <row r="33">
      <c r="A33" s="77" t="s">
        <v>1702</v>
      </c>
      <c r="B33" s="17" t="s">
        <v>1703</v>
      </c>
      <c r="C33" s="17" t="s">
        <v>1704</v>
      </c>
      <c r="D33" s="17" t="s">
        <v>1705</v>
      </c>
      <c r="E33" s="79" t="s">
        <v>38</v>
      </c>
      <c r="F33" s="17" t="s">
        <v>1607</v>
      </c>
      <c r="G33" s="83">
        <v>45966.55629166667</v>
      </c>
      <c r="H33" s="83">
        <v>45966.665266701384</v>
      </c>
      <c r="I33" s="79"/>
      <c r="J33" s="79" t="s">
        <v>1706</v>
      </c>
      <c r="K33" s="79" t="s">
        <v>1707</v>
      </c>
      <c r="L33" s="4"/>
      <c r="M33" s="4"/>
      <c r="N33" s="10"/>
      <c r="O33" s="4"/>
      <c r="P33" s="4"/>
      <c r="Q33" s="4"/>
      <c r="R33" s="4"/>
      <c r="S33" s="4"/>
      <c r="T33" s="4"/>
      <c r="U33" s="4"/>
      <c r="V33" s="4"/>
      <c r="W33" s="4"/>
      <c r="X33" s="4"/>
      <c r="Y33" s="4"/>
      <c r="Z33" s="4"/>
    </row>
    <row r="34">
      <c r="A34" s="77" t="s">
        <v>1708</v>
      </c>
      <c r="B34" s="17" t="s">
        <v>1709</v>
      </c>
      <c r="C34" s="17" t="s">
        <v>1710</v>
      </c>
      <c r="D34" s="17" t="s">
        <v>1711</v>
      </c>
      <c r="E34" s="79" t="s">
        <v>25</v>
      </c>
      <c r="F34" s="17" t="s">
        <v>1607</v>
      </c>
      <c r="G34" s="83">
        <v>45966.59831046296</v>
      </c>
      <c r="H34" s="83">
        <v>45966.66827145833</v>
      </c>
      <c r="I34" s="79"/>
      <c r="J34" s="79" t="s">
        <v>1712</v>
      </c>
      <c r="K34" s="79" t="s">
        <v>1713</v>
      </c>
      <c r="L34" s="4"/>
      <c r="M34" s="4"/>
      <c r="N34" s="10"/>
      <c r="O34" s="4"/>
      <c r="P34" s="4"/>
      <c r="Q34" s="4"/>
      <c r="R34" s="4"/>
      <c r="S34" s="4"/>
      <c r="T34" s="4"/>
      <c r="U34" s="4"/>
      <c r="V34" s="4"/>
      <c r="W34" s="4"/>
      <c r="X34" s="4"/>
      <c r="Y34" s="4"/>
      <c r="Z34" s="4"/>
    </row>
    <row r="35">
      <c r="A35" s="77" t="s">
        <v>1714</v>
      </c>
      <c r="B35" s="17" t="s">
        <v>1715</v>
      </c>
      <c r="C35" s="17" t="s">
        <v>1716</v>
      </c>
      <c r="D35" s="17" t="s">
        <v>1717</v>
      </c>
      <c r="E35" s="79" t="s">
        <v>27</v>
      </c>
      <c r="F35" s="17" t="s">
        <v>331</v>
      </c>
      <c r="G35" s="83">
        <v>45966.629270370366</v>
      </c>
      <c r="H35" s="83">
        <v>45966.67002523148</v>
      </c>
      <c r="I35" s="79"/>
      <c r="J35" s="79" t="s">
        <v>1718</v>
      </c>
      <c r="K35" s="79" t="s">
        <v>1719</v>
      </c>
      <c r="L35" s="4"/>
      <c r="M35" s="4"/>
      <c r="N35" s="4"/>
      <c r="O35" s="4"/>
      <c r="P35" s="4"/>
      <c r="Q35" s="4"/>
      <c r="R35" s="4"/>
      <c r="S35" s="4"/>
      <c r="T35" s="4"/>
      <c r="U35" s="4"/>
      <c r="V35" s="4"/>
      <c r="W35" s="4"/>
      <c r="X35" s="4"/>
      <c r="Y35" s="4"/>
      <c r="Z35" s="4"/>
    </row>
    <row r="36">
      <c r="A36" s="77" t="s">
        <v>1720</v>
      </c>
      <c r="B36" s="17" t="s">
        <v>1721</v>
      </c>
      <c r="C36" s="17" t="s">
        <v>1722</v>
      </c>
      <c r="D36" s="17" t="s">
        <v>1723</v>
      </c>
      <c r="E36" s="79" t="s">
        <v>41</v>
      </c>
      <c r="F36" s="17" t="s">
        <v>346</v>
      </c>
      <c r="G36" s="83">
        <v>45966.589972291666</v>
      </c>
      <c r="H36" s="83">
        <v>45966.674061875005</v>
      </c>
      <c r="I36" s="79"/>
      <c r="J36" s="79" t="s">
        <v>1724</v>
      </c>
      <c r="K36" s="79" t="s">
        <v>1725</v>
      </c>
      <c r="L36" s="4"/>
      <c r="M36" s="4"/>
      <c r="N36" s="10"/>
      <c r="O36" s="4"/>
      <c r="P36" s="4"/>
      <c r="Q36" s="4"/>
      <c r="R36" s="4"/>
      <c r="S36" s="4"/>
      <c r="T36" s="4"/>
      <c r="U36" s="4"/>
      <c r="V36" s="4"/>
      <c r="W36" s="4"/>
      <c r="X36" s="4"/>
      <c r="Y36" s="4"/>
      <c r="Z36" s="4"/>
    </row>
    <row r="37">
      <c r="A37" s="77" t="s">
        <v>342</v>
      </c>
      <c r="B37" s="17" t="s">
        <v>1726</v>
      </c>
      <c r="C37" s="17" t="s">
        <v>1727</v>
      </c>
      <c r="D37" s="17" t="s">
        <v>1728</v>
      </c>
      <c r="E37" s="79" t="s">
        <v>23</v>
      </c>
      <c r="F37" s="17" t="s">
        <v>346</v>
      </c>
      <c r="G37" s="83">
        <v>45966.63101804398</v>
      </c>
      <c r="H37" s="83">
        <v>45966.68233306713</v>
      </c>
      <c r="I37" s="79"/>
      <c r="J37" s="79" t="s">
        <v>348</v>
      </c>
      <c r="K37" s="79" t="s">
        <v>349</v>
      </c>
      <c r="L37" s="4"/>
      <c r="M37" s="4"/>
      <c r="N37" s="10"/>
      <c r="O37" s="4"/>
      <c r="P37" s="4"/>
      <c r="Q37" s="4"/>
      <c r="R37" s="4"/>
      <c r="S37" s="4"/>
      <c r="T37" s="4"/>
      <c r="U37" s="4"/>
      <c r="V37" s="4"/>
      <c r="W37" s="4"/>
      <c r="X37" s="4"/>
      <c r="Y37" s="4"/>
      <c r="Z37" s="4"/>
    </row>
    <row r="38">
      <c r="A38" s="77" t="s">
        <v>462</v>
      </c>
      <c r="B38" s="17" t="s">
        <v>1729</v>
      </c>
      <c r="C38" s="17" t="s">
        <v>1730</v>
      </c>
      <c r="D38" s="17" t="s">
        <v>1731</v>
      </c>
      <c r="E38" s="79" t="s">
        <v>39</v>
      </c>
      <c r="F38" s="17" t="s">
        <v>346</v>
      </c>
      <c r="G38" s="83">
        <v>45966.65765440972</v>
      </c>
      <c r="H38" s="83">
        <v>45966.737428125</v>
      </c>
      <c r="I38" s="79"/>
      <c r="J38" s="79" t="s">
        <v>1732</v>
      </c>
      <c r="K38" s="79" t="s">
        <v>1733</v>
      </c>
      <c r="L38" s="4"/>
      <c r="M38" s="4"/>
      <c r="N38" s="10"/>
      <c r="O38" s="4"/>
      <c r="P38" s="4"/>
      <c r="Q38" s="4"/>
      <c r="R38" s="4"/>
      <c r="S38" s="4"/>
      <c r="T38" s="4"/>
      <c r="U38" s="4"/>
      <c r="V38" s="4"/>
      <c r="W38" s="4"/>
      <c r="X38" s="4"/>
      <c r="Y38" s="4"/>
      <c r="Z38" s="4"/>
    </row>
    <row r="39">
      <c r="A39" s="77" t="s">
        <v>1734</v>
      </c>
      <c r="B39" s="17" t="s">
        <v>1735</v>
      </c>
      <c r="C39" s="17" t="s">
        <v>1736</v>
      </c>
      <c r="D39" s="17" t="s">
        <v>1737</v>
      </c>
      <c r="E39" s="79" t="s">
        <v>41</v>
      </c>
      <c r="F39" s="17" t="s">
        <v>346</v>
      </c>
      <c r="G39" s="83">
        <v>45966.67829467593</v>
      </c>
      <c r="H39" s="83">
        <v>45966.73897070602</v>
      </c>
      <c r="I39" s="79"/>
      <c r="J39" s="79" t="s">
        <v>1738</v>
      </c>
      <c r="K39" s="79" t="s">
        <v>1739</v>
      </c>
      <c r="L39" s="4"/>
      <c r="M39" s="4"/>
      <c r="N39" s="10"/>
      <c r="O39" s="4"/>
      <c r="P39" s="4"/>
      <c r="Q39" s="4"/>
      <c r="R39" s="4"/>
      <c r="S39" s="4"/>
      <c r="T39" s="4"/>
      <c r="U39" s="4"/>
      <c r="V39" s="4"/>
      <c r="W39" s="4"/>
      <c r="X39" s="4"/>
      <c r="Y39" s="4"/>
      <c r="Z39" s="4"/>
    </row>
    <row r="40">
      <c r="A40" s="77" t="s">
        <v>1740</v>
      </c>
      <c r="B40" s="17" t="s">
        <v>1741</v>
      </c>
      <c r="C40" s="17" t="s">
        <v>1742</v>
      </c>
      <c r="D40" s="17" t="s">
        <v>1743</v>
      </c>
      <c r="E40" s="79" t="s">
        <v>21</v>
      </c>
      <c r="F40" s="17" t="s">
        <v>1607</v>
      </c>
      <c r="G40" s="83">
        <v>45966.67756633102</v>
      </c>
      <c r="H40" s="83">
        <v>45966.74632796296</v>
      </c>
      <c r="I40" s="79"/>
      <c r="J40" s="79" t="s">
        <v>1744</v>
      </c>
      <c r="K40" s="79"/>
      <c r="L40" s="4"/>
      <c r="M40" s="4"/>
      <c r="N40" s="10"/>
      <c r="O40" s="4"/>
      <c r="P40" s="4"/>
      <c r="Q40" s="4"/>
      <c r="R40" s="4"/>
      <c r="S40" s="4"/>
      <c r="T40" s="4"/>
      <c r="U40" s="4"/>
      <c r="V40" s="4"/>
      <c r="W40" s="4"/>
      <c r="X40" s="4"/>
      <c r="Y40" s="4"/>
      <c r="Z40" s="4"/>
    </row>
    <row r="41">
      <c r="A41" s="77" t="s">
        <v>1745</v>
      </c>
      <c r="B41" s="17" t="s">
        <v>1746</v>
      </c>
      <c r="C41" s="17" t="s">
        <v>1747</v>
      </c>
      <c r="D41" s="17" t="s">
        <v>1748</v>
      </c>
      <c r="E41" s="79" t="s">
        <v>25</v>
      </c>
      <c r="F41" s="17" t="s">
        <v>1607</v>
      </c>
      <c r="G41" s="83">
        <v>45966.693932546295</v>
      </c>
      <c r="H41" s="83">
        <v>45966.74868186342</v>
      </c>
      <c r="I41" s="79"/>
      <c r="J41" s="79" t="s">
        <v>1749</v>
      </c>
      <c r="K41" s="79" t="s">
        <v>1750</v>
      </c>
      <c r="L41" s="4"/>
      <c r="M41" s="4"/>
      <c r="N41" s="10"/>
      <c r="O41" s="4"/>
      <c r="P41" s="4"/>
      <c r="Q41" s="4"/>
      <c r="R41" s="4"/>
      <c r="S41" s="4"/>
      <c r="T41" s="4"/>
      <c r="U41" s="4"/>
      <c r="V41" s="4"/>
      <c r="W41" s="4"/>
      <c r="X41" s="4"/>
      <c r="Y41" s="4"/>
      <c r="Z41" s="4"/>
    </row>
    <row r="42">
      <c r="A42" s="77" t="s">
        <v>1751</v>
      </c>
      <c r="B42" s="17" t="s">
        <v>1752</v>
      </c>
      <c r="C42" s="17" t="s">
        <v>1753</v>
      </c>
      <c r="D42" s="17" t="s">
        <v>1754</v>
      </c>
      <c r="E42" s="79" t="s">
        <v>35</v>
      </c>
      <c r="F42" s="17" t="s">
        <v>331</v>
      </c>
      <c r="G42" s="83">
        <v>45966.657364618055</v>
      </c>
      <c r="H42" s="83">
        <v>45966.750418344905</v>
      </c>
      <c r="I42" s="79"/>
      <c r="J42" s="79" t="s">
        <v>1755</v>
      </c>
      <c r="K42" s="79" t="s">
        <v>1756</v>
      </c>
      <c r="L42" s="4"/>
      <c r="M42" s="4"/>
      <c r="N42" s="4"/>
      <c r="O42" s="4"/>
      <c r="P42" s="4"/>
      <c r="Q42" s="4"/>
      <c r="R42" s="4"/>
      <c r="S42" s="4"/>
      <c r="T42" s="4"/>
      <c r="U42" s="4"/>
      <c r="V42" s="4"/>
      <c r="W42" s="4"/>
      <c r="X42" s="4"/>
      <c r="Y42" s="4"/>
      <c r="Z42" s="4"/>
    </row>
    <row r="43">
      <c r="A43" s="77" t="s">
        <v>1468</v>
      </c>
      <c r="B43" s="17" t="s">
        <v>1757</v>
      </c>
      <c r="C43" s="17" t="s">
        <v>1758</v>
      </c>
      <c r="D43" s="17" t="s">
        <v>1759</v>
      </c>
      <c r="E43" s="79" t="s">
        <v>23</v>
      </c>
      <c r="F43" s="17" t="s">
        <v>346</v>
      </c>
      <c r="G43" s="83">
        <v>45966.68862861111</v>
      </c>
      <c r="H43" s="83">
        <v>45966.75117883102</v>
      </c>
      <c r="I43" s="79"/>
      <c r="J43" s="79" t="s">
        <v>1760</v>
      </c>
      <c r="K43" s="79" t="s">
        <v>1761</v>
      </c>
      <c r="L43" s="4"/>
      <c r="M43" s="4"/>
      <c r="N43" s="10"/>
      <c r="O43" s="4"/>
      <c r="P43" s="4"/>
      <c r="Q43" s="4"/>
      <c r="R43" s="4"/>
      <c r="S43" s="4"/>
      <c r="T43" s="4"/>
      <c r="U43" s="4"/>
      <c r="V43" s="4"/>
      <c r="W43" s="4"/>
      <c r="X43" s="4"/>
      <c r="Y43" s="4"/>
      <c r="Z43" s="4"/>
    </row>
    <row r="44">
      <c r="A44" s="77" t="s">
        <v>1762</v>
      </c>
      <c r="B44" s="17" t="s">
        <v>1763</v>
      </c>
      <c r="C44" s="17" t="s">
        <v>1764</v>
      </c>
      <c r="D44" s="17" t="s">
        <v>1765</v>
      </c>
      <c r="E44" s="79" t="s">
        <v>19</v>
      </c>
      <c r="F44" s="17" t="s">
        <v>1607</v>
      </c>
      <c r="G44" s="83">
        <v>45966.67003512732</v>
      </c>
      <c r="H44" s="83">
        <v>45966.75130178241</v>
      </c>
      <c r="I44" s="79"/>
      <c r="J44" s="79" t="s">
        <v>1766</v>
      </c>
      <c r="K44" s="79"/>
      <c r="L44" s="4"/>
      <c r="M44" s="4"/>
      <c r="N44" s="10"/>
      <c r="O44" s="4"/>
      <c r="P44" s="4"/>
      <c r="Q44" s="4"/>
      <c r="R44" s="4"/>
      <c r="S44" s="4"/>
      <c r="T44" s="4"/>
      <c r="U44" s="4"/>
      <c r="V44" s="4"/>
      <c r="W44" s="4"/>
      <c r="X44" s="4"/>
      <c r="Y44" s="4"/>
      <c r="Z44" s="4"/>
    </row>
    <row r="45">
      <c r="A45" s="77" t="s">
        <v>1767</v>
      </c>
      <c r="B45" s="17" t="s">
        <v>1768</v>
      </c>
      <c r="C45" s="17" t="s">
        <v>1769</v>
      </c>
      <c r="D45" s="17" t="s">
        <v>1770</v>
      </c>
      <c r="E45" s="79" t="s">
        <v>38</v>
      </c>
      <c r="F45" s="17" t="s">
        <v>346</v>
      </c>
      <c r="G45" s="83">
        <v>45966.68632572917</v>
      </c>
      <c r="H45" s="83">
        <v>45966.75284019676</v>
      </c>
      <c r="I45" s="79"/>
      <c r="J45" s="79" t="s">
        <v>1771</v>
      </c>
      <c r="K45" s="79" t="s">
        <v>1772</v>
      </c>
      <c r="L45" s="4"/>
      <c r="M45" s="4"/>
      <c r="N45" s="10"/>
      <c r="O45" s="4"/>
      <c r="P45" s="4"/>
      <c r="Q45" s="4"/>
      <c r="R45" s="4"/>
      <c r="S45" s="4"/>
      <c r="T45" s="4"/>
      <c r="U45" s="4"/>
      <c r="V45" s="4"/>
      <c r="W45" s="4"/>
      <c r="X45" s="4"/>
      <c r="Y45" s="4"/>
      <c r="Z45" s="4"/>
    </row>
    <row r="46">
      <c r="A46" s="77" t="s">
        <v>1773</v>
      </c>
      <c r="B46" s="17" t="s">
        <v>1774</v>
      </c>
      <c r="C46" s="17" t="s">
        <v>1775</v>
      </c>
      <c r="D46" s="17" t="s">
        <v>1776</v>
      </c>
      <c r="E46" s="79" t="s">
        <v>17</v>
      </c>
      <c r="F46" s="17" t="s">
        <v>346</v>
      </c>
      <c r="G46" s="83">
        <v>45966.69354721065</v>
      </c>
      <c r="H46" s="83">
        <v>45966.756772442124</v>
      </c>
      <c r="I46" s="79"/>
      <c r="J46" s="79" t="s">
        <v>1777</v>
      </c>
      <c r="K46" s="79" t="s">
        <v>1778</v>
      </c>
      <c r="L46" s="4"/>
      <c r="M46" s="4"/>
      <c r="N46" s="10"/>
      <c r="O46" s="4"/>
      <c r="P46" s="4"/>
      <c r="Q46" s="4"/>
      <c r="R46" s="4"/>
      <c r="S46" s="4"/>
      <c r="T46" s="4"/>
      <c r="U46" s="4"/>
      <c r="V46" s="4"/>
      <c r="W46" s="4"/>
      <c r="X46" s="4"/>
      <c r="Y46" s="4"/>
      <c r="Z46" s="4"/>
    </row>
    <row r="47">
      <c r="A47" s="77" t="s">
        <v>1779</v>
      </c>
      <c r="B47" s="17" t="s">
        <v>1780</v>
      </c>
      <c r="C47" s="17" t="s">
        <v>1781</v>
      </c>
      <c r="D47" s="17" t="s">
        <v>1782</v>
      </c>
      <c r="E47" s="17" t="s">
        <v>25</v>
      </c>
      <c r="F47" s="17" t="s">
        <v>408</v>
      </c>
      <c r="G47" s="83">
        <v>45967.387610000005</v>
      </c>
      <c r="H47" s="83">
        <v>45967.41519487269</v>
      </c>
      <c r="I47" s="17" t="s">
        <v>55</v>
      </c>
      <c r="J47" s="79" t="s">
        <v>1783</v>
      </c>
      <c r="K47" s="79" t="s">
        <v>1784</v>
      </c>
      <c r="L47" s="4"/>
      <c r="M47" s="4"/>
      <c r="N47" s="10"/>
      <c r="O47" s="4"/>
      <c r="P47" s="4"/>
      <c r="Q47" s="4"/>
      <c r="R47" s="4"/>
      <c r="S47" s="4"/>
      <c r="T47" s="4"/>
      <c r="U47" s="4"/>
      <c r="V47" s="4"/>
      <c r="W47" s="4"/>
      <c r="X47" s="4"/>
      <c r="Y47" s="4"/>
      <c r="Z47" s="4"/>
    </row>
    <row r="48">
      <c r="A48" s="77" t="s">
        <v>1785</v>
      </c>
      <c r="B48" s="17" t="s">
        <v>1786</v>
      </c>
      <c r="C48" s="17" t="s">
        <v>1787</v>
      </c>
      <c r="D48" s="17" t="s">
        <v>1788</v>
      </c>
      <c r="E48" s="17" t="s">
        <v>31</v>
      </c>
      <c r="F48" s="17" t="s">
        <v>426</v>
      </c>
      <c r="G48" s="83">
        <v>45967.364389849536</v>
      </c>
      <c r="H48" s="83">
        <v>45967.4262827662</v>
      </c>
      <c r="I48" s="17" t="s">
        <v>573</v>
      </c>
      <c r="J48" s="79" t="s">
        <v>1789</v>
      </c>
      <c r="K48" s="79" t="s">
        <v>1790</v>
      </c>
      <c r="L48" s="4"/>
      <c r="M48" s="4"/>
      <c r="N48" s="10"/>
      <c r="O48" s="4"/>
      <c r="P48" s="4"/>
      <c r="Q48" s="4"/>
      <c r="R48" s="4"/>
      <c r="S48" s="4"/>
      <c r="T48" s="4"/>
      <c r="U48" s="4"/>
      <c r="V48" s="4"/>
      <c r="W48" s="4"/>
      <c r="X48" s="4"/>
      <c r="Y48" s="4"/>
      <c r="Z48" s="4"/>
    </row>
    <row r="49">
      <c r="A49" s="77" t="s">
        <v>371</v>
      </c>
      <c r="B49" s="17" t="s">
        <v>1791</v>
      </c>
      <c r="C49" s="17" t="s">
        <v>373</v>
      </c>
      <c r="D49" s="17" t="s">
        <v>374</v>
      </c>
      <c r="E49" s="79" t="s">
        <v>19</v>
      </c>
      <c r="F49" s="17" t="s">
        <v>346</v>
      </c>
      <c r="G49" s="83">
        <v>45967.371109583335</v>
      </c>
      <c r="H49" s="83">
        <v>45967.43623608796</v>
      </c>
      <c r="I49" s="79" t="s">
        <v>473</v>
      </c>
      <c r="J49" s="79" t="s">
        <v>376</v>
      </c>
      <c r="K49" s="79" t="s">
        <v>377</v>
      </c>
      <c r="L49" s="4"/>
      <c r="M49" s="4"/>
      <c r="N49" s="10"/>
      <c r="O49" s="4"/>
      <c r="P49" s="4"/>
      <c r="Q49" s="4"/>
      <c r="R49" s="4"/>
      <c r="S49" s="4"/>
      <c r="T49" s="4"/>
      <c r="U49" s="4"/>
      <c r="V49" s="4"/>
      <c r="W49" s="4"/>
      <c r="X49" s="4"/>
      <c r="Y49" s="4"/>
      <c r="Z49" s="4"/>
    </row>
    <row r="50">
      <c r="A50" s="77" t="s">
        <v>1462</v>
      </c>
      <c r="B50" s="17" t="s">
        <v>1792</v>
      </c>
      <c r="C50" s="17" t="s">
        <v>1793</v>
      </c>
      <c r="D50" s="17" t="s">
        <v>1794</v>
      </c>
      <c r="E50" s="79" t="s">
        <v>21</v>
      </c>
      <c r="F50" s="17" t="s">
        <v>346</v>
      </c>
      <c r="G50" s="83">
        <v>45967.38161063657</v>
      </c>
      <c r="H50" s="83">
        <v>45967.44094922453</v>
      </c>
      <c r="I50" s="79" t="s">
        <v>1795</v>
      </c>
      <c r="J50" s="79" t="s">
        <v>1796</v>
      </c>
      <c r="K50" s="79" t="s">
        <v>1797</v>
      </c>
      <c r="L50" s="4"/>
      <c r="M50" s="4"/>
      <c r="N50" s="10"/>
      <c r="O50" s="4"/>
      <c r="P50" s="4"/>
      <c r="Q50" s="4"/>
      <c r="R50" s="4"/>
      <c r="S50" s="4"/>
      <c r="T50" s="4"/>
      <c r="U50" s="4"/>
      <c r="V50" s="4"/>
      <c r="W50" s="4"/>
      <c r="X50" s="4"/>
      <c r="Y50" s="4"/>
      <c r="Z50" s="4"/>
    </row>
    <row r="51">
      <c r="A51" s="77" t="s">
        <v>1798</v>
      </c>
      <c r="B51" s="17" t="s">
        <v>1799</v>
      </c>
      <c r="C51" s="17" t="s">
        <v>1800</v>
      </c>
      <c r="D51" s="17" t="s">
        <v>1801</v>
      </c>
      <c r="E51" s="79" t="s">
        <v>23</v>
      </c>
      <c r="F51" s="17" t="s">
        <v>346</v>
      </c>
      <c r="G51" s="83">
        <v>45967.36726611111</v>
      </c>
      <c r="H51" s="83">
        <v>45967.44810653935</v>
      </c>
      <c r="I51" s="79" t="s">
        <v>449</v>
      </c>
      <c r="J51" s="79" t="s">
        <v>1802</v>
      </c>
      <c r="K51" s="79" t="s">
        <v>1803</v>
      </c>
      <c r="L51" s="4"/>
      <c r="M51" s="4"/>
      <c r="N51" s="10"/>
      <c r="O51" s="4"/>
      <c r="P51" s="4"/>
      <c r="Q51" s="4"/>
      <c r="R51" s="4"/>
      <c r="S51" s="4"/>
      <c r="T51" s="4"/>
      <c r="U51" s="4"/>
      <c r="V51" s="4"/>
      <c r="W51" s="4"/>
      <c r="X51" s="4"/>
      <c r="Y51" s="4"/>
      <c r="Z51" s="4"/>
    </row>
    <row r="52">
      <c r="A52" s="77" t="s">
        <v>1804</v>
      </c>
      <c r="B52" s="17" t="s">
        <v>1805</v>
      </c>
      <c r="C52" s="17" t="s">
        <v>1806</v>
      </c>
      <c r="D52" s="17" t="s">
        <v>1807</v>
      </c>
      <c r="E52" s="17" t="s">
        <v>17</v>
      </c>
      <c r="F52" s="17" t="s">
        <v>426</v>
      </c>
      <c r="G52" s="83">
        <v>45967.372183761574</v>
      </c>
      <c r="H52" s="83">
        <v>45967.45008175926</v>
      </c>
      <c r="I52" s="17" t="s">
        <v>438</v>
      </c>
      <c r="J52" s="79" t="s">
        <v>1808</v>
      </c>
      <c r="K52" s="79" t="s">
        <v>1809</v>
      </c>
      <c r="L52" s="4"/>
      <c r="M52" s="4"/>
      <c r="N52" s="10"/>
      <c r="O52" s="4"/>
      <c r="P52" s="4"/>
      <c r="Q52" s="4"/>
      <c r="R52" s="4"/>
      <c r="S52" s="4"/>
      <c r="T52" s="4"/>
      <c r="U52" s="4"/>
      <c r="V52" s="4"/>
      <c r="W52" s="4"/>
      <c r="X52" s="4"/>
      <c r="Y52" s="4"/>
      <c r="Z52" s="4"/>
    </row>
    <row r="53">
      <c r="A53" s="77" t="s">
        <v>1463</v>
      </c>
      <c r="B53" s="17" t="s">
        <v>1810</v>
      </c>
      <c r="C53" s="17" t="s">
        <v>1811</v>
      </c>
      <c r="D53" s="17" t="s">
        <v>1812</v>
      </c>
      <c r="E53" s="79" t="s">
        <v>41</v>
      </c>
      <c r="F53" s="17" t="s">
        <v>346</v>
      </c>
      <c r="G53" s="83">
        <v>45967.363004756946</v>
      </c>
      <c r="H53" s="83">
        <v>45967.451324375</v>
      </c>
      <c r="I53" s="79" t="s">
        <v>505</v>
      </c>
      <c r="J53" s="79" t="s">
        <v>1813</v>
      </c>
      <c r="K53" s="79" t="s">
        <v>1814</v>
      </c>
      <c r="L53" s="4"/>
      <c r="M53" s="4"/>
      <c r="N53" s="10"/>
      <c r="O53" s="4"/>
      <c r="P53" s="4"/>
      <c r="Q53" s="4"/>
      <c r="R53" s="4"/>
      <c r="S53" s="4"/>
      <c r="T53" s="4"/>
      <c r="U53" s="4"/>
      <c r="V53" s="4"/>
      <c r="W53" s="4"/>
      <c r="X53" s="4"/>
      <c r="Y53" s="4"/>
      <c r="Z53" s="4"/>
    </row>
    <row r="54">
      <c r="A54" s="77" t="s">
        <v>104</v>
      </c>
      <c r="B54" s="17" t="s">
        <v>1815</v>
      </c>
      <c r="C54" s="17" t="s">
        <v>1816</v>
      </c>
      <c r="D54" s="17" t="s">
        <v>1817</v>
      </c>
      <c r="E54" s="17" t="s">
        <v>39</v>
      </c>
      <c r="F54" s="17" t="s">
        <v>426</v>
      </c>
      <c r="G54" s="83">
        <v>45967.45334928241</v>
      </c>
      <c r="H54" s="83">
        <v>45967.45362986111</v>
      </c>
      <c r="I54" s="17" t="s">
        <v>611</v>
      </c>
      <c r="J54" s="79" t="s">
        <v>1818</v>
      </c>
      <c r="K54" s="79" t="s">
        <v>1819</v>
      </c>
      <c r="L54" s="4"/>
      <c r="M54" s="4"/>
      <c r="N54" s="10"/>
      <c r="O54" s="4"/>
      <c r="P54" s="4"/>
      <c r="Q54" s="4"/>
      <c r="R54" s="4"/>
      <c r="S54" s="4"/>
      <c r="T54" s="4"/>
      <c r="U54" s="4"/>
      <c r="V54" s="4"/>
      <c r="W54" s="4"/>
      <c r="X54" s="4"/>
      <c r="Y54" s="4"/>
      <c r="Z54" s="4"/>
    </row>
    <row r="55">
      <c r="A55" s="77" t="s">
        <v>1820</v>
      </c>
      <c r="B55" s="17" t="s">
        <v>1821</v>
      </c>
      <c r="C55" s="17" t="s">
        <v>1822</v>
      </c>
      <c r="D55" s="17" t="s">
        <v>1823</v>
      </c>
      <c r="E55" s="79" t="s">
        <v>41</v>
      </c>
      <c r="F55" s="17" t="s">
        <v>346</v>
      </c>
      <c r="G55" s="83">
        <v>45967.45190234954</v>
      </c>
      <c r="H55" s="83">
        <v>45967.45535130787</v>
      </c>
      <c r="I55" s="79" t="s">
        <v>1824</v>
      </c>
      <c r="J55" s="79" t="s">
        <v>1825</v>
      </c>
      <c r="K55" s="79" t="s">
        <v>1826</v>
      </c>
      <c r="L55" s="4"/>
      <c r="M55" s="4"/>
      <c r="N55" s="10"/>
      <c r="O55" s="4"/>
      <c r="P55" s="4"/>
      <c r="Q55" s="4"/>
      <c r="R55" s="4"/>
      <c r="S55" s="4"/>
      <c r="T55" s="4"/>
      <c r="U55" s="4"/>
      <c r="V55" s="4"/>
      <c r="W55" s="4"/>
      <c r="X55" s="4"/>
      <c r="Y55" s="4"/>
      <c r="Z55" s="4"/>
    </row>
    <row r="56">
      <c r="A56" s="77" t="s">
        <v>1827</v>
      </c>
      <c r="B56" s="17" t="s">
        <v>1828</v>
      </c>
      <c r="C56" s="17" t="s">
        <v>1829</v>
      </c>
      <c r="D56" s="17" t="s">
        <v>1830</v>
      </c>
      <c r="E56" s="79" t="s">
        <v>38</v>
      </c>
      <c r="F56" s="17" t="s">
        <v>1607</v>
      </c>
      <c r="G56" s="83">
        <v>45967.365739270834</v>
      </c>
      <c r="H56" s="83">
        <v>45967.46323228009</v>
      </c>
      <c r="I56" s="79" t="s">
        <v>1831</v>
      </c>
      <c r="J56" s="79" t="s">
        <v>1832</v>
      </c>
      <c r="K56" s="79" t="s">
        <v>1833</v>
      </c>
      <c r="L56" s="4"/>
      <c r="M56" s="4"/>
      <c r="N56" s="10"/>
      <c r="O56" s="4"/>
      <c r="P56" s="4"/>
      <c r="Q56" s="4"/>
      <c r="R56" s="4"/>
      <c r="S56" s="4"/>
      <c r="T56" s="4"/>
      <c r="U56" s="4"/>
      <c r="V56" s="4"/>
      <c r="W56" s="4"/>
      <c r="X56" s="4"/>
      <c r="Y56" s="4"/>
      <c r="Z56" s="4"/>
    </row>
    <row r="57">
      <c r="A57" s="77" t="s">
        <v>1834</v>
      </c>
      <c r="B57" s="17" t="s">
        <v>1835</v>
      </c>
      <c r="C57" s="17" t="s">
        <v>1836</v>
      </c>
      <c r="D57" s="17" t="s">
        <v>1837</v>
      </c>
      <c r="E57" s="17" t="s">
        <v>35</v>
      </c>
      <c r="F57" s="17" t="s">
        <v>426</v>
      </c>
      <c r="G57" s="83">
        <v>45967.38142039352</v>
      </c>
      <c r="H57" s="83">
        <v>45967.468423321756</v>
      </c>
      <c r="I57" s="17" t="s">
        <v>584</v>
      </c>
      <c r="J57" s="79" t="s">
        <v>1838</v>
      </c>
      <c r="K57" s="79" t="s">
        <v>1839</v>
      </c>
      <c r="L57" s="4"/>
      <c r="M57" s="4"/>
      <c r="N57" s="10"/>
      <c r="O57" s="4"/>
      <c r="P57" s="4"/>
      <c r="Q57" s="4"/>
      <c r="R57" s="4"/>
      <c r="S57" s="4"/>
      <c r="T57" s="4"/>
      <c r="U57" s="4"/>
      <c r="V57" s="4"/>
      <c r="W57" s="4"/>
      <c r="X57" s="4"/>
      <c r="Y57" s="4"/>
      <c r="Z57" s="4"/>
    </row>
    <row r="58">
      <c r="A58" s="77" t="s">
        <v>1840</v>
      </c>
      <c r="B58" s="17" t="s">
        <v>1841</v>
      </c>
      <c r="C58" s="17" t="s">
        <v>1842</v>
      </c>
      <c r="D58" s="17" t="s">
        <v>1843</v>
      </c>
      <c r="E58" s="17" t="s">
        <v>19</v>
      </c>
      <c r="F58" s="17" t="s">
        <v>426</v>
      </c>
      <c r="G58" s="83">
        <v>45967.448572152774</v>
      </c>
      <c r="H58" s="83">
        <v>45967.468846828706</v>
      </c>
      <c r="I58" s="17" t="s">
        <v>1844</v>
      </c>
      <c r="J58" s="79" t="s">
        <v>1845</v>
      </c>
      <c r="K58" s="79" t="s">
        <v>1846</v>
      </c>
      <c r="L58" s="4"/>
      <c r="M58" s="4"/>
      <c r="N58" s="10"/>
      <c r="O58" s="4"/>
      <c r="P58" s="4"/>
      <c r="Q58" s="4"/>
      <c r="R58" s="4"/>
      <c r="S58" s="4"/>
      <c r="T58" s="4"/>
      <c r="U58" s="4"/>
      <c r="V58" s="4"/>
      <c r="W58" s="4"/>
      <c r="X58" s="4"/>
      <c r="Y58" s="4"/>
      <c r="Z58" s="4"/>
    </row>
    <row r="59">
      <c r="A59" s="77" t="s">
        <v>1847</v>
      </c>
      <c r="B59" s="17" t="s">
        <v>1848</v>
      </c>
      <c r="C59" s="17" t="s">
        <v>1849</v>
      </c>
      <c r="D59" s="17" t="s">
        <v>1850</v>
      </c>
      <c r="E59" s="17" t="s">
        <v>23</v>
      </c>
      <c r="F59" s="17" t="s">
        <v>426</v>
      </c>
      <c r="G59" s="83">
        <v>45967.46317815973</v>
      </c>
      <c r="H59" s="83">
        <v>45967.490305810185</v>
      </c>
      <c r="I59" s="17" t="s">
        <v>59</v>
      </c>
      <c r="J59" s="79" t="s">
        <v>1851</v>
      </c>
      <c r="K59" s="79" t="s">
        <v>1852</v>
      </c>
      <c r="L59" s="4"/>
      <c r="M59" s="4"/>
      <c r="N59" s="10"/>
      <c r="O59" s="4"/>
      <c r="P59" s="4"/>
      <c r="Q59" s="4"/>
      <c r="R59" s="4"/>
      <c r="S59" s="4"/>
      <c r="T59" s="4"/>
      <c r="U59" s="4"/>
      <c r="V59" s="4"/>
      <c r="W59" s="4"/>
      <c r="X59" s="4"/>
      <c r="Y59" s="4"/>
      <c r="Z59" s="4"/>
    </row>
    <row r="60">
      <c r="A60" s="77" t="s">
        <v>1853</v>
      </c>
      <c r="B60" s="17" t="s">
        <v>1854</v>
      </c>
      <c r="C60" s="17" t="s">
        <v>1855</v>
      </c>
      <c r="D60" s="17" t="s">
        <v>1856</v>
      </c>
      <c r="E60" s="17" t="s">
        <v>27</v>
      </c>
      <c r="F60" s="17" t="s">
        <v>1663</v>
      </c>
      <c r="G60" s="83">
        <v>45967.37187267361</v>
      </c>
      <c r="H60" s="83">
        <v>45967.49579663195</v>
      </c>
      <c r="I60" s="17" t="s">
        <v>1857</v>
      </c>
      <c r="J60" s="17"/>
      <c r="K60" s="17"/>
      <c r="L60" s="4"/>
      <c r="M60" s="4"/>
      <c r="N60" s="10"/>
      <c r="O60" s="4"/>
      <c r="P60" s="4"/>
      <c r="Q60" s="4"/>
      <c r="R60" s="4"/>
      <c r="S60" s="4"/>
      <c r="T60" s="4"/>
      <c r="U60" s="4"/>
      <c r="V60" s="4"/>
      <c r="W60" s="4"/>
      <c r="X60" s="4"/>
      <c r="Y60" s="4"/>
      <c r="Z60" s="4"/>
    </row>
    <row r="61">
      <c r="A61" s="84" t="s">
        <v>1858</v>
      </c>
      <c r="B61" s="17" t="s">
        <v>1859</v>
      </c>
      <c r="C61" s="17" t="s">
        <v>1860</v>
      </c>
      <c r="D61" s="17" t="s">
        <v>1861</v>
      </c>
      <c r="E61" s="79" t="s">
        <v>31</v>
      </c>
      <c r="F61" s="17" t="s">
        <v>331</v>
      </c>
      <c r="G61" s="83">
        <v>45967.4759884838</v>
      </c>
      <c r="H61" s="83">
        <v>45967.50994685185</v>
      </c>
      <c r="I61" s="79"/>
      <c r="J61" s="79" t="s">
        <v>1862</v>
      </c>
      <c r="K61" s="79" t="s">
        <v>1863</v>
      </c>
      <c r="L61" s="4"/>
      <c r="M61" s="4"/>
      <c r="N61" s="81"/>
      <c r="O61" s="4"/>
      <c r="P61" s="82"/>
      <c r="Q61" s="4"/>
      <c r="R61" s="4"/>
      <c r="S61" s="4"/>
      <c r="T61" s="4"/>
      <c r="U61" s="4"/>
      <c r="V61" s="4"/>
      <c r="W61" s="4"/>
      <c r="X61" s="4"/>
      <c r="Y61" s="4"/>
      <c r="Z61" s="4"/>
    </row>
    <row r="62">
      <c r="A62" s="77" t="s">
        <v>1864</v>
      </c>
      <c r="B62" s="17" t="s">
        <v>1865</v>
      </c>
      <c r="C62" s="17" t="s">
        <v>1866</v>
      </c>
      <c r="D62" s="17" t="s">
        <v>1867</v>
      </c>
      <c r="E62" s="17" t="s">
        <v>21</v>
      </c>
      <c r="F62" s="17" t="s">
        <v>408</v>
      </c>
      <c r="G62" s="83">
        <v>45967.4759884838</v>
      </c>
      <c r="H62" s="83">
        <v>45967.50994685185</v>
      </c>
      <c r="I62" s="17" t="s">
        <v>508</v>
      </c>
      <c r="J62" s="79" t="s">
        <v>1868</v>
      </c>
      <c r="K62" s="79" t="s">
        <v>1869</v>
      </c>
      <c r="L62" s="4"/>
      <c r="M62" s="4"/>
      <c r="N62" s="10"/>
      <c r="O62" s="4"/>
      <c r="P62" s="4"/>
      <c r="Q62" s="4"/>
      <c r="R62" s="4"/>
      <c r="S62" s="4"/>
      <c r="T62" s="4"/>
      <c r="U62" s="4"/>
      <c r="V62" s="4"/>
      <c r="W62" s="4"/>
      <c r="X62" s="4"/>
      <c r="Y62" s="4"/>
      <c r="Z62" s="4"/>
    </row>
    <row r="63">
      <c r="A63" s="77" t="s">
        <v>1870</v>
      </c>
      <c r="B63" s="17" t="s">
        <v>1871</v>
      </c>
      <c r="C63" s="17" t="s">
        <v>1872</v>
      </c>
      <c r="D63" s="17" t="s">
        <v>1873</v>
      </c>
      <c r="E63" s="17" t="s">
        <v>39</v>
      </c>
      <c r="F63" s="17" t="s">
        <v>426</v>
      </c>
      <c r="G63" s="83">
        <v>45967.517343113424</v>
      </c>
      <c r="H63" s="83">
        <v>45967.531098645835</v>
      </c>
      <c r="I63" s="17" t="s">
        <v>192</v>
      </c>
      <c r="J63" s="79" t="s">
        <v>1874</v>
      </c>
      <c r="K63" s="79" t="s">
        <v>1875</v>
      </c>
      <c r="L63" s="4"/>
      <c r="M63" s="4"/>
      <c r="N63" s="10"/>
      <c r="O63" s="4"/>
      <c r="P63" s="4"/>
      <c r="Q63" s="4"/>
      <c r="R63" s="4"/>
      <c r="S63" s="4"/>
      <c r="T63" s="4"/>
      <c r="U63" s="4"/>
      <c r="V63" s="4"/>
      <c r="W63" s="4"/>
      <c r="X63" s="4"/>
      <c r="Y63" s="4"/>
      <c r="Z63" s="4"/>
    </row>
    <row r="64">
      <c r="A64" s="77" t="s">
        <v>1876</v>
      </c>
      <c r="B64" s="17" t="s">
        <v>1877</v>
      </c>
      <c r="C64" s="17" t="s">
        <v>1878</v>
      </c>
      <c r="D64" s="17" t="s">
        <v>1879</v>
      </c>
      <c r="E64" s="79" t="s">
        <v>25</v>
      </c>
      <c r="F64" s="17" t="s">
        <v>346</v>
      </c>
      <c r="G64" s="83">
        <v>45967.4588646412</v>
      </c>
      <c r="H64" s="83">
        <v>45967.53265976852</v>
      </c>
      <c r="I64" s="79" t="s">
        <v>1880</v>
      </c>
      <c r="J64" s="79" t="s">
        <v>1881</v>
      </c>
      <c r="K64" s="79" t="s">
        <v>1882</v>
      </c>
      <c r="L64" s="4"/>
      <c r="M64" s="4"/>
      <c r="N64" s="10"/>
      <c r="O64" s="4"/>
      <c r="P64" s="4"/>
      <c r="Q64" s="4"/>
      <c r="R64" s="4"/>
      <c r="S64" s="4"/>
      <c r="T64" s="4"/>
      <c r="U64" s="4"/>
      <c r="V64" s="4"/>
      <c r="W64" s="4"/>
      <c r="X64" s="4"/>
      <c r="Y64" s="4"/>
      <c r="Z64" s="4"/>
    </row>
    <row r="65">
      <c r="A65" s="77" t="s">
        <v>1883</v>
      </c>
      <c r="B65" s="17" t="s">
        <v>1884</v>
      </c>
      <c r="C65" s="17" t="s">
        <v>1885</v>
      </c>
      <c r="D65" s="17" t="s">
        <v>1886</v>
      </c>
      <c r="E65" s="17" t="s">
        <v>31</v>
      </c>
      <c r="F65" s="17" t="s">
        <v>426</v>
      </c>
      <c r="G65" s="83">
        <v>45967.43768019676</v>
      </c>
      <c r="H65" s="83">
        <v>45967.53773660879</v>
      </c>
      <c r="I65" s="17" t="s">
        <v>1887</v>
      </c>
      <c r="J65" s="79" t="s">
        <v>1888</v>
      </c>
      <c r="K65" s="79" t="s">
        <v>1889</v>
      </c>
      <c r="L65" s="4"/>
      <c r="M65" s="4"/>
      <c r="N65" s="10"/>
      <c r="O65" s="4"/>
      <c r="P65" s="4"/>
      <c r="Q65" s="4"/>
      <c r="R65" s="4"/>
      <c r="S65" s="4"/>
      <c r="T65" s="4"/>
      <c r="U65" s="4"/>
      <c r="V65" s="4"/>
      <c r="W65" s="4"/>
      <c r="X65" s="4"/>
      <c r="Y65" s="4"/>
      <c r="Z65" s="4"/>
    </row>
    <row r="66">
      <c r="A66" s="77" t="s">
        <v>1460</v>
      </c>
      <c r="B66" s="17" t="s">
        <v>1890</v>
      </c>
      <c r="C66" s="17" t="s">
        <v>1891</v>
      </c>
      <c r="D66" s="17" t="s">
        <v>1892</v>
      </c>
      <c r="E66" s="79" t="s">
        <v>38</v>
      </c>
      <c r="F66" s="17" t="s">
        <v>346</v>
      </c>
      <c r="G66" s="83">
        <v>45967.48947755787</v>
      </c>
      <c r="H66" s="83">
        <v>45967.54446626158</v>
      </c>
      <c r="I66" s="79" t="s">
        <v>475</v>
      </c>
      <c r="J66" s="79" t="s">
        <v>1893</v>
      </c>
      <c r="K66" s="79" t="s">
        <v>1894</v>
      </c>
      <c r="L66" s="4"/>
      <c r="M66" s="4"/>
      <c r="N66" s="10"/>
      <c r="O66" s="4"/>
      <c r="P66" s="4"/>
      <c r="Q66" s="4"/>
      <c r="R66" s="4"/>
      <c r="S66" s="4"/>
      <c r="T66" s="4"/>
      <c r="U66" s="4"/>
      <c r="V66" s="4"/>
      <c r="W66" s="4"/>
      <c r="X66" s="4"/>
      <c r="Y66" s="4"/>
      <c r="Z66" s="4"/>
    </row>
    <row r="67">
      <c r="A67" s="77" t="s">
        <v>1895</v>
      </c>
      <c r="B67" s="17" t="s">
        <v>1896</v>
      </c>
      <c r="C67" s="17" t="s">
        <v>1897</v>
      </c>
      <c r="D67" s="17" t="s">
        <v>1898</v>
      </c>
      <c r="E67" s="17" t="s">
        <v>41</v>
      </c>
      <c r="F67" s="17" t="s">
        <v>331</v>
      </c>
      <c r="G67" s="83">
        <v>45967.54855649306</v>
      </c>
      <c r="H67" s="83">
        <v>45967.54887244213</v>
      </c>
      <c r="I67" s="17" t="s">
        <v>611</v>
      </c>
      <c r="J67" s="79" t="s">
        <v>1899</v>
      </c>
      <c r="K67" s="79" t="s">
        <v>1900</v>
      </c>
      <c r="L67" s="4"/>
      <c r="M67" s="4"/>
      <c r="N67" s="10"/>
      <c r="O67" s="4"/>
      <c r="P67" s="4"/>
      <c r="Q67" s="4"/>
      <c r="R67" s="4"/>
      <c r="S67" s="4"/>
      <c r="T67" s="4"/>
      <c r="U67" s="4"/>
      <c r="V67" s="4"/>
      <c r="W67" s="4"/>
      <c r="X67" s="4"/>
      <c r="Y67" s="4"/>
      <c r="Z67" s="4"/>
    </row>
    <row r="68">
      <c r="A68" s="77" t="s">
        <v>357</v>
      </c>
      <c r="B68" s="17" t="s">
        <v>1901</v>
      </c>
      <c r="C68" s="17" t="s">
        <v>359</v>
      </c>
      <c r="D68" s="17" t="s">
        <v>360</v>
      </c>
      <c r="E68" s="79" t="s">
        <v>19</v>
      </c>
      <c r="F68" s="17" t="s">
        <v>346</v>
      </c>
      <c r="G68" s="83">
        <v>45967.48268206019</v>
      </c>
      <c r="H68" s="83">
        <v>45967.553668657405</v>
      </c>
      <c r="I68" s="79" t="s">
        <v>204</v>
      </c>
      <c r="J68" s="79" t="s">
        <v>362</v>
      </c>
      <c r="K68" s="79" t="s">
        <v>363</v>
      </c>
      <c r="L68" s="4"/>
      <c r="M68" s="4"/>
      <c r="N68" s="10"/>
      <c r="O68" s="4"/>
      <c r="P68" s="4"/>
      <c r="Q68" s="4"/>
      <c r="R68" s="4"/>
      <c r="S68" s="4"/>
      <c r="T68" s="4"/>
      <c r="U68" s="4"/>
      <c r="V68" s="4"/>
      <c r="W68" s="4"/>
      <c r="X68" s="4"/>
      <c r="Y68" s="4"/>
      <c r="Z68" s="4"/>
    </row>
    <row r="69">
      <c r="A69" s="77" t="s">
        <v>1902</v>
      </c>
      <c r="B69" s="17" t="s">
        <v>1903</v>
      </c>
      <c r="C69" s="17" t="s">
        <v>1904</v>
      </c>
      <c r="D69" s="17" t="s">
        <v>1905</v>
      </c>
      <c r="E69" s="17" t="s">
        <v>17</v>
      </c>
      <c r="F69" s="17" t="s">
        <v>426</v>
      </c>
      <c r="G69" s="83">
        <v>45967.484927233796</v>
      </c>
      <c r="H69" s="83">
        <v>45967.55880908565</v>
      </c>
      <c r="I69" s="17" t="s">
        <v>1880</v>
      </c>
      <c r="J69" s="79" t="s">
        <v>1906</v>
      </c>
      <c r="K69" s="79" t="s">
        <v>1907</v>
      </c>
      <c r="L69" s="4"/>
      <c r="M69" s="4"/>
      <c r="N69" s="10"/>
      <c r="O69" s="4"/>
      <c r="P69" s="4"/>
      <c r="Q69" s="4"/>
      <c r="R69" s="4"/>
      <c r="S69" s="4"/>
      <c r="T69" s="4"/>
      <c r="U69" s="4"/>
      <c r="V69" s="4"/>
      <c r="W69" s="4"/>
      <c r="X69" s="4"/>
      <c r="Y69" s="4"/>
      <c r="Z69" s="4"/>
    </row>
    <row r="70">
      <c r="A70" s="77" t="s">
        <v>1908</v>
      </c>
      <c r="B70" s="17" t="s">
        <v>1909</v>
      </c>
      <c r="C70" s="17" t="s">
        <v>1910</v>
      </c>
      <c r="D70" s="17" t="s">
        <v>1911</v>
      </c>
      <c r="E70" s="17" t="s">
        <v>23</v>
      </c>
      <c r="F70" s="17" t="s">
        <v>426</v>
      </c>
      <c r="G70" s="83">
        <v>45967.50192232639</v>
      </c>
      <c r="H70" s="83">
        <v>45967.55904597222</v>
      </c>
      <c r="I70" s="17" t="s">
        <v>499</v>
      </c>
      <c r="J70" s="79" t="s">
        <v>1912</v>
      </c>
      <c r="K70" s="79" t="s">
        <v>1913</v>
      </c>
      <c r="L70" s="4"/>
      <c r="M70" s="4"/>
      <c r="N70" s="10"/>
      <c r="O70" s="4"/>
      <c r="P70" s="4"/>
      <c r="Q70" s="4"/>
      <c r="R70" s="4"/>
      <c r="S70" s="4"/>
      <c r="T70" s="4"/>
      <c r="U70" s="4"/>
      <c r="V70" s="4"/>
      <c r="W70" s="4"/>
      <c r="X70" s="4"/>
      <c r="Y70" s="4"/>
      <c r="Z70" s="4"/>
    </row>
    <row r="71">
      <c r="A71" s="77" t="s">
        <v>1914</v>
      </c>
      <c r="B71" s="17" t="s">
        <v>1915</v>
      </c>
      <c r="C71" s="17" t="s">
        <v>1916</v>
      </c>
      <c r="D71" s="17" t="s">
        <v>1917</v>
      </c>
      <c r="E71" s="79" t="s">
        <v>41</v>
      </c>
      <c r="F71" s="17" t="s">
        <v>346</v>
      </c>
      <c r="G71" s="83">
        <v>45967.57111520834</v>
      </c>
      <c r="H71" s="83">
        <v>45967.60503875</v>
      </c>
      <c r="I71" s="79" t="s">
        <v>508</v>
      </c>
      <c r="J71" s="79" t="s">
        <v>1918</v>
      </c>
      <c r="K71" s="79" t="s">
        <v>1919</v>
      </c>
      <c r="L71" s="4"/>
      <c r="M71" s="4"/>
      <c r="N71" s="81"/>
      <c r="O71" s="4"/>
      <c r="P71" s="85"/>
      <c r="Q71" s="4"/>
      <c r="R71" s="4"/>
      <c r="S71" s="4"/>
      <c r="T71" s="4"/>
      <c r="U71" s="4"/>
      <c r="V71" s="4"/>
      <c r="W71" s="4"/>
      <c r="X71" s="4"/>
      <c r="Y71" s="4"/>
      <c r="Z71" s="4"/>
    </row>
    <row r="72">
      <c r="A72" s="77" t="s">
        <v>1920</v>
      </c>
      <c r="B72" s="17" t="s">
        <v>1921</v>
      </c>
      <c r="C72" s="17" t="s">
        <v>1922</v>
      </c>
      <c r="D72" s="17" t="s">
        <v>1923</v>
      </c>
      <c r="E72" s="79" t="s">
        <v>39</v>
      </c>
      <c r="F72" s="17" t="s">
        <v>408</v>
      </c>
      <c r="G72" s="83">
        <v>45967.5743225926</v>
      </c>
      <c r="H72" s="83">
        <v>45967.615694189815</v>
      </c>
      <c r="I72" s="79" t="s">
        <v>1924</v>
      </c>
      <c r="J72" s="79" t="s">
        <v>1925</v>
      </c>
      <c r="K72" s="79" t="s">
        <v>1926</v>
      </c>
      <c r="L72" s="4"/>
      <c r="M72" s="4"/>
      <c r="N72" s="4"/>
      <c r="O72" s="4"/>
      <c r="P72" s="4"/>
      <c r="Q72" s="4"/>
      <c r="R72" s="4"/>
      <c r="S72" s="4"/>
      <c r="T72" s="4"/>
      <c r="U72" s="4"/>
      <c r="V72" s="4"/>
      <c r="W72" s="4"/>
      <c r="X72" s="4"/>
      <c r="Y72" s="4"/>
      <c r="Z72" s="4"/>
    </row>
    <row r="73">
      <c r="A73" s="77" t="s">
        <v>1927</v>
      </c>
      <c r="B73" s="17" t="s">
        <v>1928</v>
      </c>
      <c r="C73" s="17" t="s">
        <v>1929</v>
      </c>
      <c r="D73" s="17" t="s">
        <v>1930</v>
      </c>
      <c r="E73" s="79" t="s">
        <v>23</v>
      </c>
      <c r="F73" s="17" t="s">
        <v>408</v>
      </c>
      <c r="G73" s="83">
        <v>45967.59067748842</v>
      </c>
      <c r="H73" s="83">
        <v>45967.62747115741</v>
      </c>
      <c r="I73" s="79" t="s">
        <v>485</v>
      </c>
      <c r="J73" s="79" t="s">
        <v>1931</v>
      </c>
      <c r="K73" s="79" t="s">
        <v>1932</v>
      </c>
      <c r="L73" s="4"/>
      <c r="M73" s="4"/>
      <c r="N73" s="4"/>
      <c r="O73" s="4"/>
      <c r="P73" s="4"/>
      <c r="Q73" s="4"/>
      <c r="R73" s="4"/>
      <c r="S73" s="4"/>
      <c r="T73" s="4"/>
      <c r="U73" s="4"/>
      <c r="V73" s="4"/>
      <c r="W73" s="4"/>
      <c r="X73" s="4"/>
      <c r="Y73" s="4"/>
      <c r="Z73" s="4"/>
    </row>
    <row r="74">
      <c r="A74" s="77" t="s">
        <v>277</v>
      </c>
      <c r="B74" s="17" t="s">
        <v>1933</v>
      </c>
      <c r="C74" s="17" t="s">
        <v>279</v>
      </c>
      <c r="D74" s="17" t="s">
        <v>280</v>
      </c>
      <c r="E74" s="79" t="s">
        <v>38</v>
      </c>
      <c r="F74" s="17" t="s">
        <v>346</v>
      </c>
      <c r="G74" s="83">
        <v>45967.569090069446</v>
      </c>
      <c r="H74" s="83">
        <v>45967.62821604167</v>
      </c>
      <c r="I74" s="79" t="s">
        <v>1795</v>
      </c>
      <c r="J74" s="79" t="s">
        <v>281</v>
      </c>
      <c r="K74" s="79" t="s">
        <v>282</v>
      </c>
      <c r="L74" s="4"/>
      <c r="M74" s="4"/>
      <c r="N74" s="4"/>
      <c r="O74" s="4"/>
      <c r="P74" s="4"/>
      <c r="Q74" s="4"/>
      <c r="R74" s="4"/>
      <c r="S74" s="4"/>
      <c r="T74" s="4"/>
      <c r="U74" s="4"/>
      <c r="V74" s="4"/>
      <c r="W74" s="4"/>
      <c r="X74" s="4"/>
      <c r="Y74" s="4"/>
      <c r="Z74" s="4"/>
    </row>
    <row r="75">
      <c r="A75" s="33" t="s">
        <v>1934</v>
      </c>
      <c r="B75" s="17" t="s">
        <v>1935</v>
      </c>
      <c r="C75" s="17" t="s">
        <v>1936</v>
      </c>
      <c r="D75" s="17" t="s">
        <v>1937</v>
      </c>
      <c r="E75" s="79" t="s">
        <v>21</v>
      </c>
      <c r="F75" s="17" t="s">
        <v>346</v>
      </c>
      <c r="G75" s="83">
        <v>45967.578406342596</v>
      </c>
      <c r="H75" s="83">
        <v>45967.633383252316</v>
      </c>
      <c r="I75" s="79" t="s">
        <v>475</v>
      </c>
      <c r="J75" s="79" t="s">
        <v>1938</v>
      </c>
      <c r="K75" s="79" t="s">
        <v>1939</v>
      </c>
      <c r="L75" s="4"/>
      <c r="M75" s="4"/>
      <c r="N75" s="81"/>
      <c r="O75" s="4"/>
      <c r="P75" s="85"/>
      <c r="Q75" s="4"/>
      <c r="R75" s="4"/>
      <c r="S75" s="4"/>
      <c r="T75" s="4"/>
      <c r="U75" s="4"/>
      <c r="V75" s="4"/>
      <c r="W75" s="4"/>
      <c r="X75" s="4"/>
      <c r="Y75" s="4"/>
      <c r="Z75" s="4"/>
    </row>
    <row r="76">
      <c r="A76" s="77" t="s">
        <v>1940</v>
      </c>
      <c r="B76" s="17" t="s">
        <v>1941</v>
      </c>
      <c r="C76" s="17" t="s">
        <v>1942</v>
      </c>
      <c r="D76" s="17" t="s">
        <v>1943</v>
      </c>
      <c r="E76" s="79" t="s">
        <v>27</v>
      </c>
      <c r="F76" s="17" t="s">
        <v>426</v>
      </c>
      <c r="G76" s="83">
        <v>45967.645296041665</v>
      </c>
      <c r="H76" s="83">
        <v>45967.645871712964</v>
      </c>
      <c r="I76" s="79" t="s">
        <v>243</v>
      </c>
      <c r="J76" s="79" t="s">
        <v>1944</v>
      </c>
      <c r="K76" s="79" t="s">
        <v>1945</v>
      </c>
      <c r="L76" s="4"/>
      <c r="M76" s="4"/>
      <c r="N76" s="4"/>
      <c r="O76" s="4"/>
      <c r="P76" s="4"/>
      <c r="Q76" s="4"/>
      <c r="R76" s="4"/>
      <c r="S76" s="4"/>
      <c r="T76" s="4"/>
      <c r="U76" s="4"/>
      <c r="V76" s="4"/>
      <c r="W76" s="4"/>
      <c r="X76" s="4"/>
      <c r="Y76" s="4"/>
      <c r="Z76" s="4"/>
    </row>
    <row r="77">
      <c r="A77" s="77" t="s">
        <v>1946</v>
      </c>
      <c r="B77" s="17" t="s">
        <v>1947</v>
      </c>
      <c r="C77" s="17" t="s">
        <v>1948</v>
      </c>
      <c r="D77" s="17" t="s">
        <v>1949</v>
      </c>
      <c r="E77" s="79" t="s">
        <v>19</v>
      </c>
      <c r="F77" s="17" t="s">
        <v>408</v>
      </c>
      <c r="G77" s="83">
        <v>45967.601908888886</v>
      </c>
      <c r="H77" s="83">
        <v>45967.64744644676</v>
      </c>
      <c r="I77" s="79" t="s">
        <v>1950</v>
      </c>
      <c r="J77" s="79" t="s">
        <v>1951</v>
      </c>
      <c r="K77" s="79" t="s">
        <v>1952</v>
      </c>
      <c r="L77" s="4"/>
      <c r="M77" s="4"/>
      <c r="N77" s="4"/>
      <c r="O77" s="4"/>
      <c r="P77" s="4"/>
      <c r="Q77" s="4"/>
      <c r="R77" s="4"/>
      <c r="S77" s="4"/>
      <c r="T77" s="4"/>
      <c r="U77" s="4"/>
      <c r="V77" s="4"/>
      <c r="W77" s="4"/>
      <c r="X77" s="4"/>
      <c r="Y77" s="4"/>
      <c r="Z77" s="4"/>
    </row>
    <row r="78">
      <c r="A78" s="86" t="s">
        <v>1953</v>
      </c>
      <c r="B78" s="17" t="s">
        <v>1954</v>
      </c>
      <c r="C78" s="17" t="s">
        <v>1955</v>
      </c>
      <c r="D78" s="17" t="s">
        <v>1956</v>
      </c>
      <c r="E78" s="87" t="s">
        <v>25</v>
      </c>
      <c r="F78" s="17" t="s">
        <v>426</v>
      </c>
      <c r="G78" s="83">
        <v>45967.57475555556</v>
      </c>
      <c r="H78" s="83">
        <v>45967.648830011574</v>
      </c>
      <c r="I78" s="88" t="s">
        <v>354</v>
      </c>
      <c r="J78" s="89" t="s">
        <v>1957</v>
      </c>
      <c r="K78" s="89" t="s">
        <v>1958</v>
      </c>
      <c r="L78" s="4"/>
      <c r="M78" s="4"/>
      <c r="N78" s="4"/>
      <c r="O78" s="4"/>
      <c r="P78" s="4"/>
      <c r="Q78" s="4"/>
      <c r="R78" s="4"/>
      <c r="S78" s="4"/>
      <c r="T78" s="4"/>
      <c r="U78" s="4"/>
      <c r="V78" s="4"/>
      <c r="W78" s="4"/>
      <c r="X78" s="4"/>
      <c r="Y78" s="4"/>
      <c r="Z78" s="4"/>
    </row>
    <row r="79">
      <c r="A79" s="77" t="s">
        <v>1959</v>
      </c>
      <c r="B79" s="17" t="s">
        <v>1960</v>
      </c>
      <c r="C79" s="17" t="s">
        <v>1961</v>
      </c>
      <c r="D79" s="17" t="s">
        <v>1962</v>
      </c>
      <c r="E79" s="79" t="s">
        <v>35</v>
      </c>
      <c r="F79" s="17" t="s">
        <v>408</v>
      </c>
      <c r="G79" s="83">
        <v>45967.61027684028</v>
      </c>
      <c r="H79" s="83">
        <v>45967.649265266205</v>
      </c>
      <c r="I79" s="79" t="s">
        <v>1963</v>
      </c>
      <c r="J79" s="79" t="s">
        <v>1964</v>
      </c>
      <c r="K79" s="79" t="s">
        <v>1965</v>
      </c>
      <c r="L79" s="4"/>
      <c r="M79" s="4"/>
      <c r="N79" s="4"/>
      <c r="O79" s="4"/>
      <c r="P79" s="4"/>
      <c r="Q79" s="4"/>
      <c r="R79" s="4"/>
      <c r="S79" s="4"/>
      <c r="T79" s="4"/>
      <c r="U79" s="4"/>
      <c r="V79" s="4"/>
      <c r="W79" s="4"/>
      <c r="X79" s="4"/>
      <c r="Y79" s="4"/>
      <c r="Z79" s="4"/>
    </row>
    <row r="80">
      <c r="A80" s="77" t="s">
        <v>1966</v>
      </c>
      <c r="B80" s="17" t="s">
        <v>1967</v>
      </c>
      <c r="C80" s="17" t="s">
        <v>1968</v>
      </c>
      <c r="D80" s="17" t="s">
        <v>1969</v>
      </c>
      <c r="E80" s="79" t="s">
        <v>17</v>
      </c>
      <c r="F80" s="17" t="s">
        <v>346</v>
      </c>
      <c r="G80" s="83">
        <v>45967.592247939814</v>
      </c>
      <c r="H80" s="83">
        <v>45967.65243199074</v>
      </c>
      <c r="I80" s="79" t="s">
        <v>1970</v>
      </c>
      <c r="J80" s="79" t="s">
        <v>1971</v>
      </c>
      <c r="K80" s="79" t="s">
        <v>1972</v>
      </c>
      <c r="L80" s="4"/>
      <c r="M80" s="4"/>
      <c r="N80" s="81"/>
      <c r="O80" s="4"/>
      <c r="P80" s="85"/>
      <c r="Q80" s="4"/>
      <c r="R80" s="4"/>
      <c r="S80" s="4"/>
      <c r="T80" s="4"/>
      <c r="U80" s="4"/>
      <c r="V80" s="4"/>
      <c r="W80" s="4"/>
      <c r="X80" s="4"/>
      <c r="Y80" s="4"/>
      <c r="Z80" s="4"/>
    </row>
    <row r="81">
      <c r="A81" s="90" t="s">
        <v>1973</v>
      </c>
      <c r="B81" s="17" t="s">
        <v>1974</v>
      </c>
      <c r="C81" s="17" t="s">
        <v>1975</v>
      </c>
      <c r="D81" s="17" t="s">
        <v>1976</v>
      </c>
      <c r="E81" s="79" t="s">
        <v>23</v>
      </c>
      <c r="F81" s="17" t="s">
        <v>408</v>
      </c>
      <c r="G81" s="83">
        <v>45967.630466145834</v>
      </c>
      <c r="H81" s="83">
        <v>45967.67214041667</v>
      </c>
      <c r="I81" s="79" t="s">
        <v>1924</v>
      </c>
      <c r="J81" s="91" t="s">
        <v>1977</v>
      </c>
      <c r="K81" s="91" t="s">
        <v>1978</v>
      </c>
      <c r="L81" s="4"/>
      <c r="M81" s="4"/>
      <c r="N81" s="4"/>
      <c r="O81" s="4"/>
      <c r="P81" s="4"/>
      <c r="Q81" s="4"/>
      <c r="R81" s="4"/>
      <c r="S81" s="4"/>
      <c r="T81" s="4"/>
      <c r="U81" s="4"/>
      <c r="V81" s="4"/>
      <c r="W81" s="4"/>
      <c r="X81" s="4"/>
      <c r="Y81" s="4"/>
      <c r="Z81" s="4"/>
    </row>
    <row r="82">
      <c r="A82" s="77" t="s">
        <v>109</v>
      </c>
      <c r="B82" s="17" t="s">
        <v>1979</v>
      </c>
      <c r="C82" s="17" t="s">
        <v>1980</v>
      </c>
      <c r="D82" s="17" t="s">
        <v>1981</v>
      </c>
      <c r="E82" s="79" t="s">
        <v>39</v>
      </c>
      <c r="F82" s="17" t="s">
        <v>426</v>
      </c>
      <c r="G82" s="83">
        <v>45967.67740423611</v>
      </c>
      <c r="H82" s="83">
        <v>45967.677709131945</v>
      </c>
      <c r="I82" s="79" t="s">
        <v>611</v>
      </c>
      <c r="J82" s="79" t="s">
        <v>1982</v>
      </c>
      <c r="K82" s="79" t="s">
        <v>1983</v>
      </c>
      <c r="L82" s="4"/>
      <c r="M82" s="4"/>
      <c r="N82" s="4"/>
      <c r="O82" s="4"/>
      <c r="P82" s="4"/>
      <c r="Q82" s="4"/>
      <c r="R82" s="4"/>
      <c r="S82" s="4"/>
      <c r="T82" s="4"/>
      <c r="U82" s="4"/>
      <c r="V82" s="4"/>
      <c r="W82" s="4"/>
      <c r="X82" s="4"/>
      <c r="Y82" s="4"/>
      <c r="Z82" s="4"/>
    </row>
    <row r="83">
      <c r="A83" s="77" t="s">
        <v>1984</v>
      </c>
      <c r="B83" s="17" t="s">
        <v>1985</v>
      </c>
      <c r="C83" s="17" t="s">
        <v>1986</v>
      </c>
      <c r="D83" s="17" t="s">
        <v>1987</v>
      </c>
      <c r="E83" s="79" t="s">
        <v>41</v>
      </c>
      <c r="F83" s="17" t="s">
        <v>346</v>
      </c>
      <c r="G83" s="83">
        <v>45967.63329891204</v>
      </c>
      <c r="H83" s="83">
        <v>45967.686328599535</v>
      </c>
      <c r="I83" s="79" t="s">
        <v>123</v>
      </c>
      <c r="J83" s="79" t="s">
        <v>1988</v>
      </c>
      <c r="K83" s="79" t="s">
        <v>1989</v>
      </c>
      <c r="L83" s="4"/>
      <c r="M83" s="4"/>
      <c r="N83" s="81"/>
      <c r="O83" s="4"/>
      <c r="P83" s="82"/>
      <c r="Q83" s="4"/>
      <c r="R83" s="4"/>
      <c r="S83" s="4"/>
      <c r="T83" s="4"/>
      <c r="U83" s="4"/>
      <c r="V83" s="4"/>
      <c r="W83" s="4"/>
      <c r="X83" s="4"/>
      <c r="Y83" s="4"/>
      <c r="Z83" s="4"/>
    </row>
    <row r="84">
      <c r="A84" s="77" t="s">
        <v>1990</v>
      </c>
      <c r="B84" s="17" t="s">
        <v>1991</v>
      </c>
      <c r="C84" s="17" t="s">
        <v>1992</v>
      </c>
      <c r="D84" s="17" t="s">
        <v>1993</v>
      </c>
      <c r="E84" s="79" t="s">
        <v>31</v>
      </c>
      <c r="F84" s="17" t="s">
        <v>408</v>
      </c>
      <c r="G84" s="83">
        <v>45967.60615381945</v>
      </c>
      <c r="H84" s="83">
        <v>45967.72920778935</v>
      </c>
      <c r="I84" s="79" t="s">
        <v>496</v>
      </c>
      <c r="J84" s="79" t="s">
        <v>1994</v>
      </c>
      <c r="K84" s="79" t="s">
        <v>1995</v>
      </c>
      <c r="L84" s="4"/>
      <c r="M84" s="4"/>
      <c r="N84" s="4"/>
      <c r="O84" s="4"/>
      <c r="P84" s="4"/>
      <c r="Q84" s="4"/>
      <c r="R84" s="4"/>
      <c r="S84" s="4"/>
      <c r="T84" s="4"/>
      <c r="U84" s="4"/>
      <c r="V84" s="4"/>
      <c r="W84" s="4"/>
      <c r="X84" s="4"/>
      <c r="Y84" s="4"/>
      <c r="Z84" s="4"/>
    </row>
    <row r="85">
      <c r="A85" s="77" t="s">
        <v>1996</v>
      </c>
      <c r="B85" s="17" t="s">
        <v>1997</v>
      </c>
      <c r="C85" s="17" t="s">
        <v>1998</v>
      </c>
      <c r="D85" s="17" t="s">
        <v>1999</v>
      </c>
      <c r="E85" s="79" t="s">
        <v>25</v>
      </c>
      <c r="F85" s="17" t="s">
        <v>1607</v>
      </c>
      <c r="G85" s="83">
        <v>45967.66895385417</v>
      </c>
      <c r="H85" s="83">
        <v>45967.74181626158</v>
      </c>
      <c r="I85" s="79" t="s">
        <v>436</v>
      </c>
      <c r="J85" s="79"/>
      <c r="K85" s="79"/>
      <c r="L85" s="4"/>
      <c r="M85" s="4"/>
      <c r="N85" s="81"/>
      <c r="O85" s="4"/>
      <c r="P85" s="85"/>
      <c r="Q85" s="4"/>
      <c r="R85" s="4"/>
      <c r="S85" s="4"/>
      <c r="T85" s="4"/>
      <c r="U85" s="4"/>
      <c r="V85" s="4"/>
      <c r="W85" s="4"/>
      <c r="X85" s="4"/>
      <c r="Y85" s="4"/>
      <c r="Z85" s="4"/>
    </row>
    <row r="86">
      <c r="A86" s="77" t="s">
        <v>2000</v>
      </c>
      <c r="B86" s="17" t="s">
        <v>2001</v>
      </c>
      <c r="C86" s="17" t="s">
        <v>2002</v>
      </c>
      <c r="D86" s="17" t="s">
        <v>2003</v>
      </c>
      <c r="E86" s="79" t="s">
        <v>41</v>
      </c>
      <c r="F86" s="17" t="s">
        <v>408</v>
      </c>
      <c r="G86" s="83">
        <v>45967.704092106476</v>
      </c>
      <c r="H86" s="83">
        <v>45967.745136620375</v>
      </c>
      <c r="I86" s="79" t="s">
        <v>569</v>
      </c>
      <c r="J86" s="79" t="s">
        <v>2004</v>
      </c>
      <c r="K86" s="79" t="s">
        <v>2005</v>
      </c>
      <c r="L86" s="4"/>
      <c r="M86" s="4"/>
      <c r="N86" s="4"/>
      <c r="O86" s="4"/>
      <c r="P86" s="4"/>
      <c r="Q86" s="4"/>
      <c r="R86" s="4"/>
      <c r="S86" s="4"/>
      <c r="T86" s="4"/>
      <c r="U86" s="4"/>
      <c r="V86" s="4"/>
      <c r="W86" s="4"/>
      <c r="X86" s="4"/>
      <c r="Y86" s="4"/>
      <c r="Z86" s="4"/>
    </row>
    <row r="87">
      <c r="A87" s="77" t="s">
        <v>2006</v>
      </c>
      <c r="B87" s="17" t="s">
        <v>2007</v>
      </c>
      <c r="C87" s="17" t="s">
        <v>2008</v>
      </c>
      <c r="D87" s="17" t="s">
        <v>2009</v>
      </c>
      <c r="E87" s="79" t="s">
        <v>31</v>
      </c>
      <c r="F87" s="17" t="s">
        <v>2010</v>
      </c>
      <c r="G87" s="83">
        <v>45967.67458989583</v>
      </c>
      <c r="H87" s="83">
        <v>45967.74856954861</v>
      </c>
      <c r="I87" s="79" t="s">
        <v>354</v>
      </c>
      <c r="J87" s="79" t="s">
        <v>2011</v>
      </c>
      <c r="K87" s="79" t="s">
        <v>2012</v>
      </c>
      <c r="L87" s="4"/>
      <c r="M87" s="4"/>
      <c r="N87" s="4"/>
      <c r="O87" s="4"/>
      <c r="P87" s="4"/>
      <c r="Q87" s="4"/>
      <c r="R87" s="4"/>
      <c r="S87" s="4"/>
      <c r="T87" s="4"/>
      <c r="U87" s="4"/>
      <c r="V87" s="4"/>
      <c r="W87" s="4"/>
      <c r="X87" s="4"/>
      <c r="Y87" s="4"/>
      <c r="Z87" s="4"/>
    </row>
    <row r="88">
      <c r="A88" s="77" t="s">
        <v>2013</v>
      </c>
      <c r="B88" s="17" t="s">
        <v>2014</v>
      </c>
      <c r="C88" s="17" t="s">
        <v>2015</v>
      </c>
      <c r="D88" s="17" t="s">
        <v>2016</v>
      </c>
      <c r="E88" s="79" t="s">
        <v>39</v>
      </c>
      <c r="F88" s="17" t="s">
        <v>408</v>
      </c>
      <c r="G88" s="83">
        <v>45967.744659247684</v>
      </c>
      <c r="H88" s="83">
        <v>45967.74882496528</v>
      </c>
      <c r="I88" s="79" t="s">
        <v>463</v>
      </c>
      <c r="J88" s="79" t="s">
        <v>2017</v>
      </c>
      <c r="K88" s="79" t="s">
        <v>2018</v>
      </c>
      <c r="L88" s="4"/>
      <c r="M88" s="4"/>
      <c r="N88" s="4"/>
      <c r="O88" s="4"/>
      <c r="P88" s="4"/>
      <c r="Q88" s="4"/>
      <c r="R88" s="4"/>
      <c r="S88" s="4"/>
      <c r="T88" s="4"/>
      <c r="U88" s="4"/>
      <c r="V88" s="4"/>
      <c r="W88" s="4"/>
      <c r="X88" s="4"/>
      <c r="Y88" s="4"/>
      <c r="Z88" s="4"/>
    </row>
    <row r="89">
      <c r="A89" s="77" t="s">
        <v>2019</v>
      </c>
      <c r="B89" s="17" t="s">
        <v>2020</v>
      </c>
      <c r="C89" s="17" t="s">
        <v>2021</v>
      </c>
      <c r="D89" s="17" t="s">
        <v>2022</v>
      </c>
      <c r="E89" s="79" t="s">
        <v>35</v>
      </c>
      <c r="F89" s="17" t="s">
        <v>426</v>
      </c>
      <c r="G89" s="83">
        <v>45967.70664563657</v>
      </c>
      <c r="H89" s="83">
        <v>45967.75012931713</v>
      </c>
      <c r="I89" s="79" t="s">
        <v>2023</v>
      </c>
      <c r="J89" s="79" t="s">
        <v>2024</v>
      </c>
      <c r="K89" s="79" t="s">
        <v>2025</v>
      </c>
      <c r="L89" s="4"/>
      <c r="M89" s="4"/>
      <c r="N89" s="4"/>
      <c r="O89" s="4"/>
      <c r="P89" s="4"/>
      <c r="Q89" s="4"/>
      <c r="R89" s="4"/>
      <c r="S89" s="4"/>
      <c r="T89" s="4"/>
      <c r="U89" s="4"/>
      <c r="V89" s="4"/>
      <c r="W89" s="4"/>
      <c r="X89" s="4"/>
      <c r="Y89" s="4"/>
      <c r="Z89" s="4"/>
    </row>
    <row r="90">
      <c r="A90" s="77" t="s">
        <v>2026</v>
      </c>
      <c r="B90" s="17" t="s">
        <v>2027</v>
      </c>
      <c r="C90" s="17" t="s">
        <v>2028</v>
      </c>
      <c r="D90" s="17" t="s">
        <v>2029</v>
      </c>
      <c r="E90" s="79" t="s">
        <v>23</v>
      </c>
      <c r="F90" s="17" t="s">
        <v>408</v>
      </c>
      <c r="G90" s="83">
        <v>45967.7212947338</v>
      </c>
      <c r="H90" s="83">
        <v>45967.75112606482</v>
      </c>
      <c r="I90" s="79" t="s">
        <v>2030</v>
      </c>
      <c r="J90" s="79" t="s">
        <v>2031</v>
      </c>
      <c r="K90" s="79" t="s">
        <v>2032</v>
      </c>
      <c r="L90" s="4"/>
      <c r="M90" s="4"/>
      <c r="N90" s="4"/>
      <c r="O90" s="4"/>
      <c r="P90" s="4"/>
      <c r="Q90" s="4"/>
      <c r="R90" s="4"/>
      <c r="S90" s="4"/>
      <c r="T90" s="4"/>
      <c r="U90" s="4"/>
      <c r="V90" s="4"/>
      <c r="W90" s="4"/>
      <c r="X90" s="4"/>
      <c r="Y90" s="4"/>
      <c r="Z90" s="4"/>
    </row>
    <row r="91">
      <c r="A91" s="77" t="s">
        <v>2033</v>
      </c>
      <c r="B91" s="17" t="s">
        <v>2034</v>
      </c>
      <c r="C91" s="17" t="s">
        <v>2035</v>
      </c>
      <c r="D91" s="17" t="s">
        <v>2036</v>
      </c>
      <c r="E91" s="79" t="s">
        <v>38</v>
      </c>
      <c r="F91" s="17" t="s">
        <v>1663</v>
      </c>
      <c r="G91" s="83">
        <v>45967.66332709491</v>
      </c>
      <c r="H91" s="83">
        <v>45967.75193907408</v>
      </c>
      <c r="I91" s="79" t="s">
        <v>467</v>
      </c>
      <c r="J91" s="79"/>
      <c r="K91" s="79"/>
      <c r="L91" s="4"/>
      <c r="M91" s="4"/>
      <c r="N91" s="4"/>
      <c r="O91" s="4"/>
      <c r="P91" s="4"/>
      <c r="Q91" s="4"/>
      <c r="R91" s="4"/>
      <c r="S91" s="4"/>
      <c r="T91" s="4"/>
      <c r="U91" s="4"/>
      <c r="V91" s="4"/>
      <c r="W91" s="4"/>
      <c r="X91" s="4"/>
      <c r="Y91" s="4"/>
      <c r="Z91" s="4"/>
    </row>
    <row r="92">
      <c r="A92" s="77" t="s">
        <v>2037</v>
      </c>
      <c r="B92" s="17" t="s">
        <v>2038</v>
      </c>
      <c r="C92" s="17" t="s">
        <v>2039</v>
      </c>
      <c r="D92" s="17" t="s">
        <v>2040</v>
      </c>
      <c r="E92" s="79" t="s">
        <v>21</v>
      </c>
      <c r="F92" s="17" t="s">
        <v>426</v>
      </c>
      <c r="G92" s="83">
        <v>45967.66715300926</v>
      </c>
      <c r="H92" s="83">
        <v>45967.752379074074</v>
      </c>
      <c r="I92" s="79" t="s">
        <v>2041</v>
      </c>
      <c r="J92" s="79" t="s">
        <v>2042</v>
      </c>
      <c r="K92" s="79" t="s">
        <v>2043</v>
      </c>
      <c r="L92" s="4"/>
      <c r="M92" s="4"/>
      <c r="N92" s="81"/>
      <c r="O92" s="4"/>
      <c r="P92" s="85"/>
      <c r="Q92" s="4"/>
      <c r="R92" s="4"/>
      <c r="S92" s="4"/>
      <c r="T92" s="4"/>
      <c r="U92" s="4"/>
      <c r="V92" s="4"/>
      <c r="W92" s="4"/>
      <c r="X92" s="4"/>
      <c r="Y92" s="4"/>
      <c r="Z92" s="4"/>
    </row>
    <row r="93">
      <c r="A93" s="77" t="s">
        <v>2044</v>
      </c>
      <c r="B93" s="17" t="s">
        <v>2045</v>
      </c>
      <c r="C93" s="17" t="s">
        <v>2046</v>
      </c>
      <c r="D93" s="17" t="s">
        <v>2047</v>
      </c>
      <c r="E93" s="79" t="s">
        <v>17</v>
      </c>
      <c r="F93" s="17" t="s">
        <v>426</v>
      </c>
      <c r="G93" s="83">
        <v>45967.67396637732</v>
      </c>
      <c r="H93" s="83">
        <v>45967.75354371528</v>
      </c>
      <c r="I93" s="79" t="s">
        <v>456</v>
      </c>
      <c r="J93" s="79" t="s">
        <v>2048</v>
      </c>
      <c r="K93" s="79" t="s">
        <v>2049</v>
      </c>
      <c r="L93" s="4"/>
      <c r="M93" s="4"/>
      <c r="N93" s="4"/>
      <c r="O93" s="4"/>
      <c r="P93" s="4"/>
      <c r="Q93" s="4"/>
      <c r="R93" s="4"/>
      <c r="S93" s="4"/>
      <c r="T93" s="4"/>
      <c r="U93" s="4"/>
      <c r="V93" s="4"/>
      <c r="W93" s="4"/>
      <c r="X93" s="4"/>
      <c r="Y93" s="4"/>
      <c r="Z93" s="4"/>
    </row>
    <row r="94">
      <c r="A94" s="77" t="s">
        <v>2050</v>
      </c>
      <c r="B94" s="17" t="s">
        <v>2051</v>
      </c>
      <c r="C94" s="17" t="s">
        <v>2052</v>
      </c>
      <c r="D94" s="17" t="s">
        <v>2053</v>
      </c>
      <c r="E94" s="79" t="s">
        <v>27</v>
      </c>
      <c r="F94" s="17" t="s">
        <v>426</v>
      </c>
      <c r="G94" s="83">
        <v>45967.64619745371</v>
      </c>
      <c r="H94" s="83">
        <v>45967.75492219908</v>
      </c>
      <c r="I94" s="79" t="s">
        <v>2054</v>
      </c>
      <c r="J94" s="79" t="s">
        <v>2055</v>
      </c>
      <c r="K94" s="79" t="s">
        <v>2056</v>
      </c>
      <c r="L94" s="4"/>
      <c r="M94" s="4"/>
      <c r="N94" s="81"/>
      <c r="O94" s="4"/>
      <c r="P94" s="85"/>
      <c r="Q94" s="4"/>
      <c r="R94" s="4"/>
      <c r="S94" s="4"/>
      <c r="T94" s="4"/>
      <c r="U94" s="4"/>
      <c r="V94" s="4"/>
      <c r="W94" s="4"/>
      <c r="X94" s="4"/>
      <c r="Y94" s="4"/>
      <c r="Z94" s="4"/>
    </row>
    <row r="95">
      <c r="A95" s="77" t="s">
        <v>2057</v>
      </c>
      <c r="B95" s="17" t="s">
        <v>2058</v>
      </c>
      <c r="C95" s="17" t="s">
        <v>2059</v>
      </c>
      <c r="D95" s="17" t="s">
        <v>2060</v>
      </c>
      <c r="E95" s="79" t="s">
        <v>19</v>
      </c>
      <c r="F95" s="17" t="s">
        <v>408</v>
      </c>
      <c r="G95" s="83">
        <v>45967.666454872684</v>
      </c>
      <c r="H95" s="83">
        <v>45967.756585462965</v>
      </c>
      <c r="I95" s="79" t="s">
        <v>2061</v>
      </c>
      <c r="J95" s="79" t="s">
        <v>2062</v>
      </c>
      <c r="K95" s="79" t="s">
        <v>2063</v>
      </c>
      <c r="L95" s="4"/>
      <c r="M95" s="4"/>
      <c r="N95" s="4"/>
      <c r="O95" s="4"/>
      <c r="P95" s="4"/>
      <c r="Q95" s="4"/>
      <c r="R95" s="4"/>
      <c r="S95" s="4"/>
      <c r="T95" s="4"/>
      <c r="U95" s="4"/>
      <c r="V95" s="4"/>
      <c r="W95" s="4"/>
      <c r="X95" s="4"/>
      <c r="Y95" s="4"/>
      <c r="Z95" s="4"/>
    </row>
    <row r="96">
      <c r="A96" s="33" t="s">
        <v>2064</v>
      </c>
      <c r="B96" s="2" t="s">
        <v>2065</v>
      </c>
      <c r="C96" s="2" t="s">
        <v>2066</v>
      </c>
      <c r="D96" s="2" t="s">
        <v>2067</v>
      </c>
      <c r="E96" s="2" t="s">
        <v>23</v>
      </c>
      <c r="F96" s="2" t="s">
        <v>2068</v>
      </c>
      <c r="G96" s="3">
        <v>45968.36937561343</v>
      </c>
      <c r="H96" s="3">
        <v>45968.398171249995</v>
      </c>
      <c r="I96" s="2" t="s">
        <v>2069</v>
      </c>
      <c r="J96" s="93" t="s">
        <v>2070</v>
      </c>
      <c r="K96" s="2" t="s">
        <v>2071</v>
      </c>
      <c r="L96" s="4"/>
      <c r="M96" s="4"/>
      <c r="N96" s="4"/>
      <c r="O96" s="4"/>
      <c r="P96" s="4"/>
      <c r="Q96" s="4"/>
      <c r="R96" s="4"/>
      <c r="S96" s="4"/>
      <c r="T96" s="4"/>
      <c r="U96" s="4"/>
      <c r="V96" s="4"/>
      <c r="W96" s="4"/>
      <c r="X96" s="4"/>
      <c r="Y96" s="4"/>
      <c r="Z96" s="4"/>
    </row>
    <row r="97">
      <c r="A97" s="33" t="s">
        <v>581</v>
      </c>
      <c r="B97" s="2" t="s">
        <v>2072</v>
      </c>
      <c r="C97" s="2" t="s">
        <v>2073</v>
      </c>
      <c r="D97" s="2" t="s">
        <v>2074</v>
      </c>
      <c r="E97" s="2" t="s">
        <v>41</v>
      </c>
      <c r="F97" s="2" t="s">
        <v>2068</v>
      </c>
      <c r="G97" s="3">
        <v>45968.35596568287</v>
      </c>
      <c r="H97" s="3">
        <v>45968.40188851852</v>
      </c>
      <c r="I97" s="2" t="s">
        <v>1950</v>
      </c>
      <c r="J97" s="93" t="s">
        <v>2075</v>
      </c>
      <c r="K97" s="2" t="s">
        <v>2076</v>
      </c>
      <c r="L97" s="4"/>
      <c r="M97" s="4"/>
      <c r="N97" s="4"/>
      <c r="O97" s="4"/>
      <c r="P97" s="4"/>
      <c r="Q97" s="4"/>
      <c r="R97" s="4"/>
      <c r="S97" s="4"/>
      <c r="T97" s="4"/>
      <c r="U97" s="4"/>
      <c r="V97" s="4"/>
      <c r="W97" s="4"/>
      <c r="X97" s="4"/>
      <c r="Y97" s="4"/>
      <c r="Z97" s="4"/>
    </row>
    <row r="98">
      <c r="A98" s="33" t="s">
        <v>2077</v>
      </c>
      <c r="B98" s="2" t="s">
        <v>2078</v>
      </c>
      <c r="C98" s="2" t="s">
        <v>2079</v>
      </c>
      <c r="D98" s="2" t="s">
        <v>2080</v>
      </c>
      <c r="E98" s="2" t="s">
        <v>35</v>
      </c>
      <c r="F98" s="2" t="s">
        <v>2068</v>
      </c>
      <c r="G98" s="3">
        <v>45968.36911322917</v>
      </c>
      <c r="H98" s="3">
        <v>45968.408849687505</v>
      </c>
      <c r="I98" s="2" t="s">
        <v>2081</v>
      </c>
      <c r="J98" s="93" t="s">
        <v>2082</v>
      </c>
      <c r="K98" s="93" t="s">
        <v>2083</v>
      </c>
      <c r="L98" s="4"/>
      <c r="M98" s="4"/>
      <c r="N98" s="4"/>
      <c r="O98" s="4"/>
      <c r="P98" s="4"/>
      <c r="Q98" s="4"/>
      <c r="R98" s="4"/>
      <c r="S98" s="4"/>
      <c r="T98" s="4"/>
      <c r="U98" s="4"/>
      <c r="V98" s="4"/>
      <c r="W98" s="4"/>
      <c r="X98" s="4"/>
      <c r="Y98" s="4"/>
      <c r="Z98" s="4"/>
    </row>
    <row r="99">
      <c r="A99" s="33" t="s">
        <v>2084</v>
      </c>
      <c r="B99" s="2" t="s">
        <v>2085</v>
      </c>
      <c r="C99" s="2" t="s">
        <v>2086</v>
      </c>
      <c r="D99" s="2" t="s">
        <v>2087</v>
      </c>
      <c r="E99" s="2" t="s">
        <v>17</v>
      </c>
      <c r="F99" s="2" t="s">
        <v>2068</v>
      </c>
      <c r="G99" s="3">
        <v>45968.370530925924</v>
      </c>
      <c r="H99" s="3">
        <v>45968.42869366898</v>
      </c>
      <c r="I99" s="2" t="s">
        <v>2088</v>
      </c>
      <c r="J99" s="93" t="s">
        <v>2089</v>
      </c>
      <c r="K99" s="2" t="s">
        <v>2090</v>
      </c>
      <c r="L99" s="4"/>
      <c r="M99" s="4"/>
      <c r="N99" s="4"/>
      <c r="O99" s="4"/>
      <c r="P99" s="4"/>
      <c r="Q99" s="4"/>
      <c r="R99" s="4"/>
      <c r="S99" s="4"/>
      <c r="T99" s="4"/>
      <c r="U99" s="4"/>
      <c r="V99" s="4"/>
      <c r="W99" s="4"/>
      <c r="X99" s="4"/>
      <c r="Y99" s="4"/>
      <c r="Z99" s="4"/>
    </row>
    <row r="100">
      <c r="A100" s="33" t="s">
        <v>2091</v>
      </c>
      <c r="B100" s="2" t="s">
        <v>2092</v>
      </c>
      <c r="C100" s="2" t="s">
        <v>2093</v>
      </c>
      <c r="D100" s="2" t="s">
        <v>2094</v>
      </c>
      <c r="E100" s="2" t="s">
        <v>27</v>
      </c>
      <c r="F100" s="2" t="s">
        <v>408</v>
      </c>
      <c r="G100" s="3">
        <v>45968.36138638889</v>
      </c>
      <c r="H100" s="3">
        <v>45968.42937696759</v>
      </c>
      <c r="I100" s="2" t="s">
        <v>461</v>
      </c>
      <c r="J100" s="93" t="s">
        <v>2095</v>
      </c>
      <c r="K100" s="93" t="s">
        <v>2096</v>
      </c>
      <c r="L100" s="4"/>
      <c r="M100" s="4"/>
      <c r="N100" s="4"/>
      <c r="O100" s="4"/>
      <c r="P100" s="4"/>
      <c r="Q100" s="4"/>
      <c r="R100" s="4"/>
      <c r="S100" s="4"/>
      <c r="T100" s="4"/>
      <c r="U100" s="4"/>
      <c r="V100" s="4"/>
      <c r="W100" s="4"/>
      <c r="X100" s="4"/>
      <c r="Y100" s="4"/>
      <c r="Z100" s="4"/>
    </row>
    <row r="101">
      <c r="A101" s="33" t="s">
        <v>2097</v>
      </c>
      <c r="B101" s="2" t="s">
        <v>2098</v>
      </c>
      <c r="C101" s="2" t="s">
        <v>2099</v>
      </c>
      <c r="D101" s="2" t="s">
        <v>2100</v>
      </c>
      <c r="E101" s="2" t="s">
        <v>23</v>
      </c>
      <c r="F101" s="2" t="s">
        <v>2068</v>
      </c>
      <c r="G101" s="3">
        <v>45968.40178114583</v>
      </c>
      <c r="H101" s="3">
        <v>45968.43334827546</v>
      </c>
      <c r="I101" s="2" t="s">
        <v>167</v>
      </c>
      <c r="J101" s="93" t="s">
        <v>2101</v>
      </c>
      <c r="K101" s="2" t="s">
        <v>2102</v>
      </c>
      <c r="L101" s="4"/>
      <c r="M101" s="4"/>
      <c r="N101" s="4"/>
      <c r="O101" s="4"/>
      <c r="P101" s="4"/>
      <c r="Q101" s="4"/>
      <c r="R101" s="4"/>
      <c r="S101" s="4"/>
      <c r="T101" s="4"/>
      <c r="U101" s="4"/>
      <c r="V101" s="4"/>
      <c r="W101" s="4"/>
      <c r="X101" s="4"/>
      <c r="Y101" s="4"/>
      <c r="Z101" s="4"/>
    </row>
    <row r="102">
      <c r="A102" s="33" t="s">
        <v>2103</v>
      </c>
      <c r="B102" s="2" t="s">
        <v>2104</v>
      </c>
      <c r="C102" s="2" t="s">
        <v>2105</v>
      </c>
      <c r="D102" s="2" t="s">
        <v>2106</v>
      </c>
      <c r="E102" s="2" t="s">
        <v>19</v>
      </c>
      <c r="F102" s="2" t="s">
        <v>426</v>
      </c>
      <c r="G102" s="3">
        <v>45968.372726851856</v>
      </c>
      <c r="H102" s="3">
        <v>45968.435214756944</v>
      </c>
      <c r="I102" s="2" t="s">
        <v>138</v>
      </c>
      <c r="J102" s="93" t="s">
        <v>2107</v>
      </c>
      <c r="K102" s="2" t="s">
        <v>2108</v>
      </c>
      <c r="L102" s="4"/>
      <c r="M102" s="4"/>
      <c r="N102" s="4"/>
      <c r="O102" s="4"/>
      <c r="P102" s="4"/>
      <c r="Q102" s="4"/>
      <c r="R102" s="4"/>
      <c r="S102" s="4"/>
      <c r="T102" s="4"/>
      <c r="U102" s="4"/>
      <c r="V102" s="4"/>
      <c r="W102" s="4"/>
      <c r="X102" s="4"/>
      <c r="Y102" s="4"/>
      <c r="Z102" s="4"/>
    </row>
    <row r="103">
      <c r="A103" s="33" t="s">
        <v>2109</v>
      </c>
      <c r="B103" s="2" t="s">
        <v>2110</v>
      </c>
      <c r="C103" s="2" t="s">
        <v>2111</v>
      </c>
      <c r="D103" s="2" t="s">
        <v>2112</v>
      </c>
      <c r="E103" s="2" t="s">
        <v>38</v>
      </c>
      <c r="F103" s="2" t="s">
        <v>2068</v>
      </c>
      <c r="G103" s="3">
        <v>45968.36051925926</v>
      </c>
      <c r="H103" s="3">
        <v>45968.44491747685</v>
      </c>
      <c r="I103" s="2" t="s">
        <v>2113</v>
      </c>
      <c r="J103" s="93" t="s">
        <v>2114</v>
      </c>
      <c r="K103" s="2" t="s">
        <v>2115</v>
      </c>
      <c r="L103" s="4"/>
      <c r="M103" s="4"/>
      <c r="N103" s="4"/>
      <c r="O103" s="4"/>
      <c r="P103" s="4"/>
      <c r="Q103" s="4"/>
      <c r="R103" s="4"/>
      <c r="S103" s="4"/>
      <c r="T103" s="4"/>
      <c r="U103" s="4"/>
      <c r="V103" s="4"/>
      <c r="W103" s="4"/>
      <c r="X103" s="4"/>
      <c r="Y103" s="4"/>
      <c r="Z103" s="4"/>
    </row>
    <row r="104">
      <c r="A104" s="33" t="s">
        <v>468</v>
      </c>
      <c r="B104" s="2" t="s">
        <v>2116</v>
      </c>
      <c r="C104" s="2" t="s">
        <v>2117</v>
      </c>
      <c r="D104" s="2" t="s">
        <v>2118</v>
      </c>
      <c r="E104" s="2" t="s">
        <v>21</v>
      </c>
      <c r="F104" s="2" t="s">
        <v>2068</v>
      </c>
      <c r="G104" s="3">
        <v>45968.37385425926</v>
      </c>
      <c r="H104" s="3">
        <v>45968.445931863425</v>
      </c>
      <c r="I104" s="2" t="s">
        <v>2119</v>
      </c>
      <c r="J104" s="93" t="s">
        <v>2120</v>
      </c>
      <c r="K104" s="2" t="s">
        <v>2121</v>
      </c>
      <c r="L104" s="4"/>
      <c r="M104" s="4"/>
      <c r="N104" s="4"/>
      <c r="O104" s="4"/>
      <c r="P104" s="4"/>
      <c r="Q104" s="4"/>
      <c r="R104" s="4"/>
      <c r="S104" s="4"/>
      <c r="T104" s="4"/>
      <c r="U104" s="4"/>
      <c r="V104" s="4"/>
      <c r="W104" s="4"/>
      <c r="X104" s="4"/>
      <c r="Y104" s="4"/>
      <c r="Z104" s="4"/>
    </row>
    <row r="105">
      <c r="A105" s="33" t="s">
        <v>2122</v>
      </c>
      <c r="B105" s="2" t="s">
        <v>2123</v>
      </c>
      <c r="C105" s="2" t="s">
        <v>2124</v>
      </c>
      <c r="D105" s="2" t="s">
        <v>2125</v>
      </c>
      <c r="E105" s="2" t="s">
        <v>31</v>
      </c>
      <c r="F105" s="2" t="s">
        <v>426</v>
      </c>
      <c r="G105" s="3">
        <v>45968.36601777778</v>
      </c>
      <c r="H105" s="3">
        <v>45968.44689535879</v>
      </c>
      <c r="I105" s="2" t="s">
        <v>449</v>
      </c>
      <c r="J105" s="93" t="s">
        <v>2126</v>
      </c>
      <c r="K105" s="2" t="s">
        <v>2127</v>
      </c>
      <c r="L105" s="4"/>
      <c r="M105" s="4"/>
      <c r="N105" s="4"/>
      <c r="O105" s="4"/>
      <c r="P105" s="4"/>
      <c r="Q105" s="4"/>
      <c r="R105" s="4"/>
      <c r="S105" s="4"/>
      <c r="T105" s="4"/>
      <c r="U105" s="4"/>
      <c r="V105" s="4"/>
      <c r="W105" s="4"/>
      <c r="X105" s="4"/>
      <c r="Y105" s="4"/>
      <c r="Z105" s="4"/>
    </row>
    <row r="106">
      <c r="A106" s="33" t="s">
        <v>2128</v>
      </c>
      <c r="B106" s="2" t="s">
        <v>2129</v>
      </c>
      <c r="C106" s="2" t="s">
        <v>2130</v>
      </c>
      <c r="D106" s="2" t="s">
        <v>2131</v>
      </c>
      <c r="E106" s="2" t="s">
        <v>25</v>
      </c>
      <c r="F106" s="2" t="s">
        <v>2068</v>
      </c>
      <c r="G106" s="3">
        <v>45968.36976768519</v>
      </c>
      <c r="H106" s="3">
        <v>45968.449504675926</v>
      </c>
      <c r="I106" s="2" t="s">
        <v>456</v>
      </c>
      <c r="J106" s="93" t="s">
        <v>2132</v>
      </c>
      <c r="K106" s="93" t="s">
        <v>2133</v>
      </c>
      <c r="L106" s="4"/>
      <c r="M106" s="4"/>
      <c r="N106" s="4"/>
      <c r="O106" s="4"/>
      <c r="P106" s="4"/>
      <c r="Q106" s="4"/>
      <c r="R106" s="4"/>
      <c r="S106" s="4"/>
      <c r="T106" s="4"/>
      <c r="U106" s="4"/>
      <c r="V106" s="4"/>
      <c r="W106" s="4"/>
      <c r="X106" s="4"/>
      <c r="Y106" s="4"/>
      <c r="Z106" s="4"/>
    </row>
    <row r="107">
      <c r="A107" s="33" t="s">
        <v>2134</v>
      </c>
      <c r="B107" s="2" t="s">
        <v>2135</v>
      </c>
      <c r="C107" s="2" t="s">
        <v>2136</v>
      </c>
      <c r="D107" s="2" t="s">
        <v>2137</v>
      </c>
      <c r="E107" s="2" t="s">
        <v>41</v>
      </c>
      <c r="F107" s="2" t="s">
        <v>2068</v>
      </c>
      <c r="G107" s="3">
        <v>45968.4100180324</v>
      </c>
      <c r="H107" s="3">
        <v>45968.46210978009</v>
      </c>
      <c r="I107" s="2" t="s">
        <v>347</v>
      </c>
      <c r="J107" s="93" t="s">
        <v>2138</v>
      </c>
      <c r="K107" s="2" t="s">
        <v>2139</v>
      </c>
      <c r="L107" s="4"/>
      <c r="M107" s="4"/>
      <c r="N107" s="4"/>
      <c r="O107" s="4"/>
      <c r="P107" s="4"/>
      <c r="Q107" s="4"/>
      <c r="R107" s="4"/>
      <c r="S107" s="4"/>
      <c r="T107" s="4"/>
      <c r="U107" s="4"/>
      <c r="V107" s="4"/>
      <c r="W107" s="4"/>
      <c r="X107" s="4"/>
      <c r="Y107" s="4"/>
      <c r="Z107" s="4"/>
    </row>
    <row r="108">
      <c r="A108" s="33" t="s">
        <v>2140</v>
      </c>
      <c r="B108" s="2" t="s">
        <v>2141</v>
      </c>
      <c r="C108" s="2" t="s">
        <v>2142</v>
      </c>
      <c r="D108" s="2" t="s">
        <v>2143</v>
      </c>
      <c r="E108" s="2" t="s">
        <v>27</v>
      </c>
      <c r="F108" s="2" t="s">
        <v>408</v>
      </c>
      <c r="G108" s="3">
        <v>45968.43103248843</v>
      </c>
      <c r="H108" s="3">
        <v>45968.47761297454</v>
      </c>
      <c r="I108" s="2" t="s">
        <v>2144</v>
      </c>
      <c r="J108" s="93" t="s">
        <v>2145</v>
      </c>
      <c r="K108" s="93" t="s">
        <v>2146</v>
      </c>
      <c r="L108" s="4"/>
      <c r="M108" s="4"/>
      <c r="N108" s="4"/>
      <c r="O108" s="4"/>
      <c r="P108" s="4"/>
      <c r="Q108" s="4"/>
      <c r="R108" s="4"/>
      <c r="S108" s="4"/>
      <c r="T108" s="4"/>
      <c r="U108" s="4"/>
      <c r="V108" s="4"/>
      <c r="W108" s="4"/>
      <c r="X108" s="4"/>
      <c r="Y108" s="4"/>
      <c r="Z108" s="4"/>
    </row>
    <row r="109">
      <c r="A109" s="33" t="s">
        <v>470</v>
      </c>
      <c r="B109" s="2" t="s">
        <v>2147</v>
      </c>
      <c r="C109" s="2" t="s">
        <v>2148</v>
      </c>
      <c r="D109" s="2" t="s">
        <v>2149</v>
      </c>
      <c r="E109" s="2" t="s">
        <v>39</v>
      </c>
      <c r="F109" s="2" t="s">
        <v>2068</v>
      </c>
      <c r="G109" s="3">
        <v>45968.37220804398</v>
      </c>
      <c r="H109" s="3">
        <v>45968.48051304398</v>
      </c>
      <c r="I109" s="2" t="s">
        <v>2150</v>
      </c>
      <c r="J109" s="93" t="s">
        <v>2151</v>
      </c>
      <c r="K109" s="2" t="s">
        <v>2152</v>
      </c>
      <c r="L109" s="4"/>
      <c r="M109" s="4"/>
      <c r="N109" s="4"/>
      <c r="O109" s="4"/>
      <c r="P109" s="4"/>
      <c r="Q109" s="4"/>
      <c r="R109" s="4"/>
      <c r="S109" s="4"/>
      <c r="T109" s="4"/>
      <c r="U109" s="4"/>
      <c r="V109" s="4"/>
      <c r="W109" s="4"/>
      <c r="X109" s="4"/>
      <c r="Y109" s="4"/>
      <c r="Z109" s="4"/>
    </row>
    <row r="110">
      <c r="A110" s="33" t="s">
        <v>2153</v>
      </c>
      <c r="B110" s="2" t="s">
        <v>2154</v>
      </c>
      <c r="C110" s="2" t="s">
        <v>2155</v>
      </c>
      <c r="D110" s="2" t="s">
        <v>2156</v>
      </c>
      <c r="E110" s="2" t="s">
        <v>19</v>
      </c>
      <c r="F110" s="2" t="s">
        <v>2068</v>
      </c>
      <c r="G110" s="3">
        <v>45968.44718689815</v>
      </c>
      <c r="H110" s="3">
        <v>45968.48925918981</v>
      </c>
      <c r="I110" s="2" t="s">
        <v>2157</v>
      </c>
      <c r="J110" s="93" t="s">
        <v>2158</v>
      </c>
      <c r="K110" s="2" t="s">
        <v>2159</v>
      </c>
      <c r="L110" s="4"/>
      <c r="M110" s="4"/>
      <c r="N110" s="4"/>
      <c r="O110" s="4"/>
      <c r="P110" s="4"/>
      <c r="Q110" s="4"/>
      <c r="R110" s="4"/>
      <c r="S110" s="4"/>
      <c r="T110" s="4"/>
      <c r="U110" s="4"/>
      <c r="V110" s="4"/>
      <c r="W110" s="4"/>
      <c r="X110" s="4"/>
      <c r="Y110" s="4"/>
      <c r="Z110" s="4"/>
    </row>
    <row r="111">
      <c r="A111" s="33" t="s">
        <v>77</v>
      </c>
      <c r="B111" s="2" t="s">
        <v>2160</v>
      </c>
      <c r="C111" s="2" t="s">
        <v>2161</v>
      </c>
      <c r="D111" s="2" t="s">
        <v>2162</v>
      </c>
      <c r="E111" s="2" t="s">
        <v>23</v>
      </c>
      <c r="F111" s="2" t="s">
        <v>2068</v>
      </c>
      <c r="G111" s="3">
        <v>45968.44645855324</v>
      </c>
      <c r="H111" s="3">
        <v>45968.490729259254</v>
      </c>
      <c r="I111" s="2" t="s">
        <v>2163</v>
      </c>
      <c r="J111" s="93" t="s">
        <v>2164</v>
      </c>
      <c r="K111" s="2" t="s">
        <v>2165</v>
      </c>
      <c r="L111" s="4"/>
      <c r="M111" s="4"/>
      <c r="N111" s="4"/>
      <c r="O111" s="4"/>
      <c r="P111" s="4"/>
      <c r="Q111" s="4"/>
      <c r="R111" s="4"/>
      <c r="S111" s="4"/>
      <c r="T111" s="4"/>
      <c r="U111" s="4"/>
      <c r="V111" s="4"/>
      <c r="W111" s="4"/>
      <c r="X111" s="4"/>
      <c r="Y111" s="4"/>
      <c r="Z111" s="4"/>
    </row>
    <row r="112">
      <c r="A112" s="33" t="s">
        <v>2166</v>
      </c>
      <c r="B112" s="2" t="s">
        <v>2167</v>
      </c>
      <c r="C112" s="2" t="s">
        <v>2168</v>
      </c>
      <c r="D112" s="2" t="s">
        <v>2169</v>
      </c>
      <c r="E112" s="2" t="s">
        <v>27</v>
      </c>
      <c r="F112" s="2" t="s">
        <v>2068</v>
      </c>
      <c r="G112" s="3">
        <v>45968.48472064815</v>
      </c>
      <c r="H112" s="3">
        <v>45968.491570729166</v>
      </c>
      <c r="I112" s="2" t="s">
        <v>2170</v>
      </c>
      <c r="J112" s="93" t="s">
        <v>2171</v>
      </c>
      <c r="K112" s="93" t="s">
        <v>2172</v>
      </c>
      <c r="L112" s="4"/>
      <c r="M112" s="4"/>
      <c r="N112" s="4"/>
      <c r="O112" s="4"/>
      <c r="P112" s="4"/>
      <c r="Q112" s="4"/>
      <c r="R112" s="4"/>
      <c r="S112" s="4"/>
      <c r="T112" s="4"/>
      <c r="U112" s="4"/>
      <c r="V112" s="4"/>
      <c r="W112" s="4"/>
      <c r="X112" s="4"/>
      <c r="Y112" s="4"/>
      <c r="Z112" s="4"/>
    </row>
    <row r="113">
      <c r="A113" s="33" t="s">
        <v>2173</v>
      </c>
      <c r="B113" s="2" t="s">
        <v>2174</v>
      </c>
      <c r="C113" s="2" t="s">
        <v>2175</v>
      </c>
      <c r="D113" s="2" t="s">
        <v>2176</v>
      </c>
      <c r="E113" s="2" t="s">
        <v>35</v>
      </c>
      <c r="F113" s="2" t="s">
        <v>408</v>
      </c>
      <c r="G113" s="3">
        <v>45968.416294421295</v>
      </c>
      <c r="H113" s="3">
        <v>45968.492628946755</v>
      </c>
      <c r="I113" s="2" t="s">
        <v>522</v>
      </c>
      <c r="J113" s="93" t="s">
        <v>2177</v>
      </c>
      <c r="K113" s="93" t="s">
        <v>2178</v>
      </c>
      <c r="L113" s="4"/>
      <c r="M113" s="4"/>
      <c r="N113" s="4"/>
      <c r="O113" s="4"/>
      <c r="P113" s="4"/>
      <c r="Q113" s="4"/>
      <c r="R113" s="4"/>
      <c r="S113" s="4"/>
      <c r="T113" s="4"/>
      <c r="U113" s="4"/>
      <c r="V113" s="4"/>
      <c r="W113" s="4"/>
      <c r="X113" s="4"/>
      <c r="Y113" s="4"/>
      <c r="Z113" s="4"/>
    </row>
    <row r="114">
      <c r="A114" s="33" t="s">
        <v>2179</v>
      </c>
      <c r="B114" s="2" t="s">
        <v>2180</v>
      </c>
      <c r="C114" s="2" t="s">
        <v>2181</v>
      </c>
      <c r="D114" s="2" t="s">
        <v>2182</v>
      </c>
      <c r="E114" s="2" t="s">
        <v>38</v>
      </c>
      <c r="F114" s="2" t="s">
        <v>2068</v>
      </c>
      <c r="G114" s="3">
        <v>45968.45158324074</v>
      </c>
      <c r="H114" s="3">
        <v>45968.49358826389</v>
      </c>
      <c r="I114" s="2" t="s">
        <v>1924</v>
      </c>
      <c r="J114" s="93" t="s">
        <v>2183</v>
      </c>
      <c r="K114" s="2" t="s">
        <v>2184</v>
      </c>
      <c r="L114" s="4"/>
      <c r="M114" s="4"/>
      <c r="N114" s="4"/>
      <c r="O114" s="4"/>
      <c r="P114" s="4"/>
      <c r="Q114" s="4"/>
      <c r="R114" s="4"/>
      <c r="S114" s="4"/>
      <c r="T114" s="4"/>
      <c r="U114" s="4"/>
      <c r="V114" s="4"/>
      <c r="W114" s="4"/>
      <c r="X114" s="4"/>
      <c r="Y114" s="4"/>
      <c r="Z114" s="4"/>
    </row>
    <row r="115">
      <c r="A115" s="33" t="s">
        <v>2185</v>
      </c>
      <c r="B115" s="2" t="s">
        <v>2186</v>
      </c>
      <c r="C115" s="2" t="s">
        <v>2187</v>
      </c>
      <c r="D115" s="2" t="s">
        <v>2188</v>
      </c>
      <c r="E115" s="2" t="s">
        <v>21</v>
      </c>
      <c r="F115" s="2" t="s">
        <v>2068</v>
      </c>
      <c r="G115" s="3">
        <v>45968.48123377315</v>
      </c>
      <c r="H115" s="3">
        <v>45968.49598482639</v>
      </c>
      <c r="I115" s="2" t="s">
        <v>215</v>
      </c>
      <c r="J115" s="93" t="s">
        <v>2189</v>
      </c>
      <c r="K115" s="93" t="s">
        <v>2190</v>
      </c>
      <c r="L115" s="4"/>
      <c r="M115" s="4"/>
      <c r="N115" s="4"/>
      <c r="O115" s="4"/>
      <c r="P115" s="4"/>
      <c r="Q115" s="4"/>
      <c r="R115" s="4"/>
      <c r="S115" s="4"/>
      <c r="T115" s="4"/>
      <c r="U115" s="4"/>
      <c r="V115" s="4"/>
      <c r="W115" s="4"/>
      <c r="X115" s="4"/>
      <c r="Y115" s="4"/>
      <c r="Z115" s="4"/>
    </row>
    <row r="116">
      <c r="A116" s="33" t="s">
        <v>2191</v>
      </c>
      <c r="B116" s="2" t="s">
        <v>2192</v>
      </c>
      <c r="C116" s="2" t="s">
        <v>2193</v>
      </c>
      <c r="D116" s="2" t="s">
        <v>2194</v>
      </c>
      <c r="E116" s="2" t="s">
        <v>39</v>
      </c>
      <c r="F116" s="2" t="s">
        <v>2068</v>
      </c>
      <c r="G116" s="3">
        <v>45968.480644675925</v>
      </c>
      <c r="H116" s="3">
        <v>45968.50396310185</v>
      </c>
      <c r="I116" s="2" t="s">
        <v>200</v>
      </c>
      <c r="J116" s="93" t="s">
        <v>2195</v>
      </c>
      <c r="K116" s="2" t="s">
        <v>2196</v>
      </c>
      <c r="L116" s="4"/>
      <c r="M116" s="4"/>
      <c r="N116" s="4"/>
      <c r="O116" s="4"/>
      <c r="P116" s="4"/>
      <c r="Q116" s="4"/>
      <c r="R116" s="4"/>
      <c r="S116" s="4"/>
      <c r="T116" s="4"/>
      <c r="U116" s="4"/>
      <c r="V116" s="4"/>
      <c r="W116" s="4"/>
      <c r="X116" s="4"/>
      <c r="Y116" s="4"/>
      <c r="Z116" s="4"/>
    </row>
    <row r="117">
      <c r="A117" s="33" t="s">
        <v>62</v>
      </c>
      <c r="B117" s="2" t="s">
        <v>2197</v>
      </c>
      <c r="C117" s="2" t="s">
        <v>2198</v>
      </c>
      <c r="D117" s="2" t="s">
        <v>2199</v>
      </c>
      <c r="E117" s="2" t="s">
        <v>31</v>
      </c>
      <c r="F117" s="2" t="s">
        <v>2068</v>
      </c>
      <c r="G117" s="3">
        <v>45968.453387800924</v>
      </c>
      <c r="H117" s="3">
        <v>45968.51330443287</v>
      </c>
      <c r="I117" s="2" t="s">
        <v>2200</v>
      </c>
      <c r="J117" s="93" t="s">
        <v>2201</v>
      </c>
      <c r="K117" s="2" t="s">
        <v>2202</v>
      </c>
      <c r="L117" s="4"/>
      <c r="M117" s="4"/>
      <c r="N117" s="4"/>
      <c r="O117" s="4"/>
      <c r="P117" s="4"/>
      <c r="Q117" s="4"/>
      <c r="R117" s="4"/>
      <c r="S117" s="4"/>
      <c r="T117" s="4"/>
      <c r="U117" s="4"/>
      <c r="V117" s="4"/>
      <c r="W117" s="4"/>
      <c r="X117" s="4"/>
      <c r="Y117" s="4"/>
      <c r="Z117" s="4"/>
    </row>
    <row r="118">
      <c r="A118" s="33" t="s">
        <v>480</v>
      </c>
      <c r="B118" s="2" t="s">
        <v>2203</v>
      </c>
      <c r="C118" s="2" t="s">
        <v>2204</v>
      </c>
      <c r="D118" s="2" t="s">
        <v>2205</v>
      </c>
      <c r="E118" s="2" t="s">
        <v>23</v>
      </c>
      <c r="F118" s="2" t="s">
        <v>2068</v>
      </c>
      <c r="G118" s="3">
        <v>45968.496631539354</v>
      </c>
      <c r="H118" s="3">
        <v>45968.5186169213</v>
      </c>
      <c r="I118" s="2" t="s">
        <v>235</v>
      </c>
      <c r="J118" s="93" t="s">
        <v>2206</v>
      </c>
      <c r="K118" s="2" t="s">
        <v>2207</v>
      </c>
      <c r="L118" s="4"/>
      <c r="M118" s="4"/>
      <c r="N118" s="4"/>
      <c r="O118" s="4"/>
      <c r="P118" s="4"/>
      <c r="Q118" s="4"/>
      <c r="R118" s="4"/>
      <c r="S118" s="4"/>
      <c r="T118" s="4"/>
      <c r="U118" s="4"/>
      <c r="V118" s="4"/>
      <c r="W118" s="4"/>
      <c r="X118" s="4"/>
      <c r="Y118" s="4"/>
      <c r="Z118" s="4"/>
    </row>
    <row r="119">
      <c r="A119" s="33" t="s">
        <v>2208</v>
      </c>
      <c r="B119" s="2" t="s">
        <v>2209</v>
      </c>
      <c r="C119" s="2" t="s">
        <v>2210</v>
      </c>
      <c r="D119" s="2" t="s">
        <v>2211</v>
      </c>
      <c r="E119" s="2" t="s">
        <v>21</v>
      </c>
      <c r="F119" s="2" t="s">
        <v>2068</v>
      </c>
      <c r="G119" s="3">
        <v>45968.5106891551</v>
      </c>
      <c r="H119" s="3">
        <v>45968.521291956014</v>
      </c>
      <c r="I119" s="2" t="s">
        <v>2212</v>
      </c>
      <c r="J119" s="93" t="s">
        <v>2213</v>
      </c>
      <c r="K119" s="93" t="s">
        <v>2214</v>
      </c>
      <c r="L119" s="4"/>
      <c r="M119" s="4"/>
      <c r="N119" s="4"/>
      <c r="O119" s="4"/>
      <c r="P119" s="4"/>
      <c r="Q119" s="4"/>
      <c r="R119" s="4"/>
      <c r="S119" s="4"/>
      <c r="T119" s="4"/>
      <c r="U119" s="4"/>
      <c r="V119" s="4"/>
      <c r="W119" s="4"/>
      <c r="X119" s="4"/>
      <c r="Y119" s="4"/>
      <c r="Z119" s="4"/>
    </row>
    <row r="120">
      <c r="A120" s="33" t="s">
        <v>481</v>
      </c>
      <c r="B120" s="2" t="s">
        <v>2215</v>
      </c>
      <c r="C120" s="2" t="s">
        <v>2216</v>
      </c>
      <c r="D120" s="2" t="s">
        <v>2217</v>
      </c>
      <c r="E120" s="2" t="s">
        <v>23</v>
      </c>
      <c r="F120" s="2" t="s">
        <v>2068</v>
      </c>
      <c r="G120" s="3">
        <v>45968.51951238426</v>
      </c>
      <c r="H120" s="3">
        <v>45968.52861659722</v>
      </c>
      <c r="I120" s="2" t="s">
        <v>513</v>
      </c>
      <c r="J120" s="93" t="s">
        <v>2218</v>
      </c>
      <c r="K120" s="2" t="s">
        <v>2219</v>
      </c>
      <c r="L120" s="4"/>
      <c r="M120" s="4"/>
      <c r="N120" s="4"/>
      <c r="O120" s="4"/>
      <c r="P120" s="4"/>
      <c r="Q120" s="4"/>
      <c r="R120" s="4"/>
      <c r="S120" s="4"/>
      <c r="T120" s="4"/>
      <c r="U120" s="4"/>
      <c r="V120" s="4"/>
      <c r="W120" s="4"/>
      <c r="X120" s="4"/>
      <c r="Y120" s="4"/>
      <c r="Z120" s="4"/>
    </row>
    <row r="121">
      <c r="A121" s="33" t="s">
        <v>2220</v>
      </c>
      <c r="B121" s="2" t="s">
        <v>2221</v>
      </c>
      <c r="C121" s="2" t="s">
        <v>2222</v>
      </c>
      <c r="D121" s="2" t="s">
        <v>2223</v>
      </c>
      <c r="E121" s="2" t="s">
        <v>35</v>
      </c>
      <c r="F121" s="2" t="s">
        <v>2068</v>
      </c>
      <c r="G121" s="3">
        <v>45968.50008814815</v>
      </c>
      <c r="H121" s="3">
        <v>45968.53200190973</v>
      </c>
      <c r="I121" s="2" t="s">
        <v>2224</v>
      </c>
      <c r="J121" s="93" t="s">
        <v>2225</v>
      </c>
      <c r="K121" s="2" t="s">
        <v>2226</v>
      </c>
      <c r="L121" s="4"/>
      <c r="M121" s="4"/>
      <c r="N121" s="4"/>
      <c r="O121" s="4"/>
      <c r="P121" s="4"/>
      <c r="Q121" s="4"/>
      <c r="R121" s="4"/>
      <c r="S121" s="4"/>
      <c r="T121" s="4"/>
      <c r="U121" s="4"/>
      <c r="V121" s="4"/>
      <c r="W121" s="4"/>
      <c r="X121" s="4"/>
      <c r="Y121" s="4"/>
      <c r="Z121" s="4"/>
    </row>
    <row r="122">
      <c r="A122" s="33" t="s">
        <v>445</v>
      </c>
      <c r="B122" s="2" t="s">
        <v>2227</v>
      </c>
      <c r="C122" s="2" t="s">
        <v>2228</v>
      </c>
      <c r="D122" s="2" t="s">
        <v>2229</v>
      </c>
      <c r="E122" s="2" t="s">
        <v>17</v>
      </c>
      <c r="F122" s="2" t="s">
        <v>2068</v>
      </c>
      <c r="G122" s="3">
        <v>45968.45659618056</v>
      </c>
      <c r="H122" s="3">
        <v>45968.53637292824</v>
      </c>
      <c r="I122" s="2" t="s">
        <v>456</v>
      </c>
      <c r="J122" s="93" t="s">
        <v>2230</v>
      </c>
      <c r="K122" s="2" t="s">
        <v>2231</v>
      </c>
      <c r="L122" s="4"/>
      <c r="M122" s="4"/>
      <c r="N122" s="4"/>
      <c r="O122" s="4"/>
      <c r="P122" s="4"/>
      <c r="Q122" s="4"/>
      <c r="R122" s="4"/>
      <c r="S122" s="4"/>
      <c r="T122" s="4"/>
      <c r="U122" s="4"/>
      <c r="V122" s="4"/>
      <c r="W122" s="4"/>
      <c r="X122" s="4"/>
      <c r="Y122" s="4"/>
      <c r="Z122" s="4"/>
    </row>
    <row r="123">
      <c r="A123" s="33" t="s">
        <v>56</v>
      </c>
      <c r="B123" s="2" t="s">
        <v>2232</v>
      </c>
      <c r="C123" s="2" t="s">
        <v>2233</v>
      </c>
      <c r="D123" s="2" t="s">
        <v>2234</v>
      </c>
      <c r="E123" s="2" t="s">
        <v>25</v>
      </c>
      <c r="F123" s="2" t="s">
        <v>2068</v>
      </c>
      <c r="G123" s="3">
        <v>45968.45999715278</v>
      </c>
      <c r="H123" s="3">
        <v>45968.54010873842</v>
      </c>
      <c r="I123" s="2" t="s">
        <v>456</v>
      </c>
      <c r="J123" s="93" t="s">
        <v>2235</v>
      </c>
      <c r="K123" s="2" t="s">
        <v>2236</v>
      </c>
      <c r="L123" s="4"/>
      <c r="M123" s="4"/>
      <c r="N123" s="4"/>
      <c r="O123" s="4"/>
      <c r="P123" s="4"/>
      <c r="Q123" s="4"/>
      <c r="R123" s="4"/>
      <c r="S123" s="4"/>
      <c r="T123" s="4"/>
      <c r="U123" s="4"/>
      <c r="V123" s="4"/>
      <c r="W123" s="4"/>
      <c r="X123" s="4"/>
      <c r="Y123" s="4"/>
      <c r="Z123" s="4"/>
    </row>
    <row r="124">
      <c r="A124" s="33" t="s">
        <v>2237</v>
      </c>
      <c r="B124" s="2" t="s">
        <v>2238</v>
      </c>
      <c r="C124" s="2" t="s">
        <v>2239</v>
      </c>
      <c r="D124" s="2" t="s">
        <v>2240</v>
      </c>
      <c r="E124" s="2" t="s">
        <v>19</v>
      </c>
      <c r="F124" s="2" t="s">
        <v>2068</v>
      </c>
      <c r="G124" s="3">
        <v>45968.49461164352</v>
      </c>
      <c r="H124" s="3">
        <v>45968.54092534722</v>
      </c>
      <c r="I124" s="2" t="s">
        <v>2144</v>
      </c>
      <c r="J124" s="93" t="s">
        <v>2241</v>
      </c>
      <c r="K124" s="93" t="s">
        <v>2242</v>
      </c>
      <c r="L124" s="4"/>
      <c r="M124" s="4"/>
      <c r="N124" s="4"/>
      <c r="O124" s="4"/>
      <c r="P124" s="4"/>
      <c r="Q124" s="4"/>
      <c r="R124" s="4"/>
      <c r="S124" s="4"/>
      <c r="T124" s="4"/>
      <c r="U124" s="4"/>
      <c r="V124" s="4"/>
      <c r="W124" s="4"/>
      <c r="X124" s="4"/>
      <c r="Y124" s="4"/>
      <c r="Z124" s="4"/>
    </row>
    <row r="125">
      <c r="A125" s="33" t="s">
        <v>2243</v>
      </c>
      <c r="B125" s="2" t="s">
        <v>2244</v>
      </c>
      <c r="C125" s="2" t="s">
        <v>2245</v>
      </c>
      <c r="D125" s="2" t="s">
        <v>2246</v>
      </c>
      <c r="E125" s="2" t="s">
        <v>31</v>
      </c>
      <c r="F125" s="2" t="s">
        <v>2068</v>
      </c>
      <c r="G125" s="3">
        <v>45968.52779277778</v>
      </c>
      <c r="H125" s="3">
        <v>45968.553178159724</v>
      </c>
      <c r="I125" s="2" t="s">
        <v>483</v>
      </c>
      <c r="J125" s="93" t="s">
        <v>2247</v>
      </c>
      <c r="K125" s="2" t="s">
        <v>2248</v>
      </c>
      <c r="L125" s="4"/>
      <c r="M125" s="4"/>
      <c r="N125" s="4"/>
      <c r="O125" s="4"/>
      <c r="P125" s="4"/>
      <c r="Q125" s="4"/>
      <c r="R125" s="4"/>
      <c r="S125" s="4"/>
      <c r="T125" s="4"/>
      <c r="U125" s="4"/>
      <c r="V125" s="4"/>
      <c r="W125" s="4"/>
      <c r="X125" s="4"/>
      <c r="Y125" s="4"/>
      <c r="Z125" s="4"/>
    </row>
    <row r="126">
      <c r="A126" s="33" t="s">
        <v>79</v>
      </c>
      <c r="B126" s="2" t="s">
        <v>2249</v>
      </c>
      <c r="C126" s="2" t="s">
        <v>2250</v>
      </c>
      <c r="D126" s="2" t="s">
        <v>2251</v>
      </c>
      <c r="E126" s="2" t="s">
        <v>39</v>
      </c>
      <c r="F126" s="2" t="s">
        <v>2068</v>
      </c>
      <c r="G126" s="3">
        <v>45968.528237754625</v>
      </c>
      <c r="H126" s="3">
        <v>45968.56435256945</v>
      </c>
      <c r="I126" s="2" t="s">
        <v>2252</v>
      </c>
      <c r="J126" s="93" t="s">
        <v>2253</v>
      </c>
      <c r="K126" s="2" t="s">
        <v>2254</v>
      </c>
      <c r="L126" s="4"/>
      <c r="M126" s="4"/>
      <c r="N126" s="4"/>
      <c r="O126" s="4"/>
      <c r="P126" s="4"/>
      <c r="Q126" s="4"/>
      <c r="R126" s="4"/>
      <c r="S126" s="4"/>
      <c r="T126" s="4"/>
      <c r="U126" s="4"/>
      <c r="V126" s="4"/>
      <c r="W126" s="4"/>
      <c r="X126" s="4"/>
      <c r="Y126" s="4"/>
      <c r="Z126" s="4"/>
    </row>
    <row r="127">
      <c r="A127" s="33" t="s">
        <v>507</v>
      </c>
      <c r="B127" s="2" t="s">
        <v>2255</v>
      </c>
      <c r="C127" s="2" t="s">
        <v>2256</v>
      </c>
      <c r="D127" s="2" t="s">
        <v>2257</v>
      </c>
      <c r="E127" s="2" t="s">
        <v>38</v>
      </c>
      <c r="F127" s="2" t="s">
        <v>2068</v>
      </c>
      <c r="G127" s="3">
        <v>45968.562689687504</v>
      </c>
      <c r="H127" s="3">
        <v>45968.56855744213</v>
      </c>
      <c r="I127" s="2" t="s">
        <v>2258</v>
      </c>
      <c r="J127" s="93" t="s">
        <v>2259</v>
      </c>
      <c r="K127" s="2" t="s">
        <v>2260</v>
      </c>
      <c r="L127" s="4"/>
      <c r="M127" s="4"/>
      <c r="N127" s="4"/>
      <c r="O127" s="4"/>
      <c r="P127" s="4"/>
      <c r="Q127" s="4"/>
      <c r="R127" s="4"/>
      <c r="S127" s="4"/>
      <c r="T127" s="4"/>
      <c r="U127" s="4"/>
      <c r="V127" s="4"/>
      <c r="W127" s="4"/>
      <c r="X127" s="4"/>
      <c r="Y127" s="4"/>
      <c r="Z127" s="4"/>
    </row>
    <row r="128">
      <c r="A128" s="33" t="s">
        <v>457</v>
      </c>
      <c r="B128" s="2" t="s">
        <v>2261</v>
      </c>
      <c r="C128" s="2" t="s">
        <v>2262</v>
      </c>
      <c r="D128" s="2" t="s">
        <v>2263</v>
      </c>
      <c r="E128" s="2" t="s">
        <v>41</v>
      </c>
      <c r="F128" s="2" t="s">
        <v>2068</v>
      </c>
      <c r="G128" s="3">
        <v>45968.543119699076</v>
      </c>
      <c r="H128" s="3">
        <v>45968.569233877315</v>
      </c>
      <c r="I128" s="2" t="s">
        <v>2264</v>
      </c>
      <c r="J128" s="93" t="s">
        <v>2265</v>
      </c>
      <c r="K128" s="2" t="s">
        <v>2266</v>
      </c>
      <c r="L128" s="4"/>
      <c r="M128" s="4"/>
      <c r="N128" s="4"/>
      <c r="O128" s="4"/>
      <c r="P128" s="4"/>
      <c r="Q128" s="4"/>
      <c r="R128" s="4"/>
      <c r="S128" s="4"/>
      <c r="T128" s="4"/>
      <c r="U128" s="4"/>
      <c r="V128" s="4"/>
      <c r="W128" s="4"/>
      <c r="X128" s="4"/>
      <c r="Y128" s="4"/>
      <c r="Z128" s="4"/>
    </row>
    <row r="129">
      <c r="A129" s="33" t="s">
        <v>2267</v>
      </c>
      <c r="B129" s="2" t="s">
        <v>2268</v>
      </c>
      <c r="C129" s="2" t="s">
        <v>2269</v>
      </c>
      <c r="D129" s="2" t="s">
        <v>2270</v>
      </c>
      <c r="E129" s="2" t="s">
        <v>27</v>
      </c>
      <c r="F129" s="2" t="s">
        <v>2068</v>
      </c>
      <c r="G129" s="3">
        <v>45968.5021819213</v>
      </c>
      <c r="H129" s="3">
        <v>45968.57932122685</v>
      </c>
      <c r="I129" s="2" t="s">
        <v>427</v>
      </c>
      <c r="J129" s="93" t="s">
        <v>2271</v>
      </c>
      <c r="K129" s="2" t="s">
        <v>2272</v>
      </c>
      <c r="L129" s="4"/>
      <c r="M129" s="4"/>
      <c r="N129" s="4"/>
      <c r="O129" s="4"/>
      <c r="P129" s="4"/>
      <c r="Q129" s="4"/>
      <c r="R129" s="4"/>
      <c r="S129" s="4"/>
      <c r="T129" s="4"/>
      <c r="U129" s="4"/>
      <c r="V129" s="4"/>
      <c r="W129" s="4"/>
      <c r="X129" s="4"/>
      <c r="Y129" s="4"/>
      <c r="Z129" s="4"/>
    </row>
    <row r="130">
      <c r="A130" s="33" t="s">
        <v>2273</v>
      </c>
      <c r="B130" s="2" t="s">
        <v>2274</v>
      </c>
      <c r="C130" s="2" t="s">
        <v>2275</v>
      </c>
      <c r="D130" s="2" t="s">
        <v>2276</v>
      </c>
      <c r="E130" s="2" t="s">
        <v>23</v>
      </c>
      <c r="F130" s="2" t="s">
        <v>2068</v>
      </c>
      <c r="G130" s="3">
        <v>45968.57274603009</v>
      </c>
      <c r="H130" s="3">
        <v>45968.58544921296</v>
      </c>
      <c r="I130" s="2" t="s">
        <v>2277</v>
      </c>
      <c r="J130" s="93" t="s">
        <v>2278</v>
      </c>
      <c r="K130" s="2" t="s">
        <v>2279</v>
      </c>
      <c r="L130" s="4"/>
      <c r="M130" s="4"/>
      <c r="N130" s="4"/>
      <c r="O130" s="4"/>
      <c r="P130" s="4"/>
      <c r="Q130" s="4"/>
      <c r="R130" s="4"/>
      <c r="S130" s="4"/>
      <c r="T130" s="4"/>
      <c r="U130" s="4"/>
      <c r="V130" s="4"/>
      <c r="W130" s="4"/>
      <c r="X130" s="4"/>
      <c r="Y130" s="4"/>
      <c r="Z130" s="4"/>
    </row>
    <row r="131">
      <c r="A131" s="33" t="s">
        <v>73</v>
      </c>
      <c r="B131" s="2" t="s">
        <v>2280</v>
      </c>
      <c r="C131" s="2" t="s">
        <v>2281</v>
      </c>
      <c r="D131" s="2" t="s">
        <v>2282</v>
      </c>
      <c r="E131" s="2" t="s">
        <v>39</v>
      </c>
      <c r="F131" s="2" t="s">
        <v>2068</v>
      </c>
      <c r="G131" s="3">
        <v>45968.56448760416</v>
      </c>
      <c r="H131" s="3">
        <v>45968.61109201389</v>
      </c>
      <c r="I131" s="2" t="s">
        <v>2144</v>
      </c>
      <c r="J131" s="93" t="s">
        <v>2283</v>
      </c>
      <c r="K131" s="2" t="s">
        <v>2284</v>
      </c>
      <c r="L131" s="4"/>
      <c r="M131" s="4"/>
      <c r="N131" s="4"/>
      <c r="O131" s="4"/>
      <c r="P131" s="4"/>
      <c r="Q131" s="4"/>
      <c r="R131" s="4"/>
      <c r="S131" s="4"/>
      <c r="T131" s="4"/>
      <c r="U131" s="4"/>
      <c r="V131" s="4"/>
      <c r="W131" s="4"/>
      <c r="X131" s="4"/>
      <c r="Y131" s="4"/>
      <c r="Z131" s="4"/>
    </row>
    <row r="132">
      <c r="A132" s="33" t="s">
        <v>512</v>
      </c>
      <c r="B132" s="2" t="s">
        <v>2285</v>
      </c>
      <c r="C132" s="2" t="s">
        <v>2286</v>
      </c>
      <c r="D132" s="2" t="s">
        <v>2287</v>
      </c>
      <c r="E132" s="2" t="s">
        <v>23</v>
      </c>
      <c r="F132" s="2" t="s">
        <v>2068</v>
      </c>
      <c r="G132" s="3">
        <v>45968.59002193287</v>
      </c>
      <c r="H132" s="3">
        <v>45968.614241296294</v>
      </c>
      <c r="I132" s="2" t="s">
        <v>2288</v>
      </c>
      <c r="J132" s="93" t="s">
        <v>2289</v>
      </c>
      <c r="K132" s="2" t="s">
        <v>2290</v>
      </c>
      <c r="L132" s="4"/>
      <c r="M132" s="4"/>
      <c r="N132" s="4"/>
      <c r="O132" s="4"/>
      <c r="P132" s="4"/>
      <c r="Q132" s="4"/>
      <c r="R132" s="4"/>
      <c r="S132" s="4"/>
      <c r="T132" s="4"/>
      <c r="U132" s="4"/>
      <c r="V132" s="4"/>
      <c r="W132" s="4"/>
      <c r="X132" s="4"/>
      <c r="Y132" s="4"/>
      <c r="Z132" s="4"/>
    </row>
    <row r="133">
      <c r="A133" s="33" t="s">
        <v>2291</v>
      </c>
      <c r="B133" s="2" t="s">
        <v>2292</v>
      </c>
      <c r="C133" s="2" t="s">
        <v>2293</v>
      </c>
      <c r="D133" s="2" t="s">
        <v>2294</v>
      </c>
      <c r="E133" s="2" t="s">
        <v>27</v>
      </c>
      <c r="F133" s="2" t="s">
        <v>2068</v>
      </c>
      <c r="G133" s="3">
        <v>45968.59663650463</v>
      </c>
      <c r="H133" s="3">
        <v>45968.616189189815</v>
      </c>
      <c r="I133" s="2" t="s">
        <v>171</v>
      </c>
      <c r="J133" s="93" t="s">
        <v>2295</v>
      </c>
      <c r="K133" s="2" t="s">
        <v>2296</v>
      </c>
      <c r="L133" s="4"/>
      <c r="M133" s="4"/>
      <c r="N133" s="4"/>
      <c r="O133" s="4"/>
      <c r="P133" s="4"/>
      <c r="Q133" s="4"/>
      <c r="R133" s="4"/>
      <c r="S133" s="4"/>
      <c r="T133" s="4"/>
      <c r="U133" s="4"/>
      <c r="V133" s="4"/>
      <c r="W133" s="4"/>
      <c r="X133" s="4"/>
      <c r="Y133" s="4"/>
      <c r="Z133" s="4"/>
    </row>
    <row r="134">
      <c r="A134" s="33" t="s">
        <v>2297</v>
      </c>
      <c r="B134" s="2" t="s">
        <v>2298</v>
      </c>
      <c r="C134" s="2" t="s">
        <v>2299</v>
      </c>
      <c r="D134" s="2" t="s">
        <v>2300</v>
      </c>
      <c r="E134" s="2" t="s">
        <v>21</v>
      </c>
      <c r="F134" s="2" t="s">
        <v>2068</v>
      </c>
      <c r="G134" s="3">
        <v>45968.575446180555</v>
      </c>
      <c r="H134" s="3">
        <v>45968.6172559838</v>
      </c>
      <c r="I134" s="2" t="s">
        <v>1924</v>
      </c>
      <c r="J134" s="93" t="s">
        <v>2301</v>
      </c>
      <c r="K134" s="2" t="s">
        <v>2302</v>
      </c>
      <c r="L134" s="4"/>
      <c r="M134" s="4"/>
      <c r="N134" s="4"/>
      <c r="O134" s="4"/>
      <c r="P134" s="4"/>
      <c r="Q134" s="4"/>
      <c r="R134" s="4"/>
      <c r="S134" s="4"/>
      <c r="T134" s="4"/>
      <c r="U134" s="4"/>
      <c r="V134" s="4"/>
      <c r="W134" s="4"/>
      <c r="X134" s="4"/>
      <c r="Y134" s="4"/>
      <c r="Z134" s="4"/>
    </row>
    <row r="135">
      <c r="A135" s="33" t="s">
        <v>2303</v>
      </c>
      <c r="B135" s="2" t="s">
        <v>2304</v>
      </c>
      <c r="C135" s="2" t="s">
        <v>2305</v>
      </c>
      <c r="D135" s="2" t="s">
        <v>2306</v>
      </c>
      <c r="E135" s="2" t="s">
        <v>27</v>
      </c>
      <c r="F135" s="2" t="s">
        <v>2068</v>
      </c>
      <c r="G135" s="3">
        <v>45968.616633819445</v>
      </c>
      <c r="H135" s="3">
        <v>45968.6226771875</v>
      </c>
      <c r="I135" s="2" t="s">
        <v>2307</v>
      </c>
      <c r="J135" s="93" t="s">
        <v>2308</v>
      </c>
      <c r="K135" s="2" t="s">
        <v>2309</v>
      </c>
      <c r="L135" s="4"/>
      <c r="M135" s="4"/>
      <c r="N135" s="4"/>
      <c r="O135" s="4"/>
      <c r="P135" s="4"/>
      <c r="Q135" s="4"/>
      <c r="R135" s="4"/>
      <c r="S135" s="4"/>
      <c r="T135" s="4"/>
      <c r="U135" s="4"/>
      <c r="V135" s="4"/>
      <c r="W135" s="4"/>
      <c r="X135" s="4"/>
      <c r="Y135" s="4"/>
      <c r="Z135" s="4"/>
    </row>
    <row r="136">
      <c r="A136" s="33" t="s">
        <v>2310</v>
      </c>
      <c r="B136" s="2" t="s">
        <v>2311</v>
      </c>
      <c r="C136" s="2" t="s">
        <v>2312</v>
      </c>
      <c r="D136" s="2" t="s">
        <v>2313</v>
      </c>
      <c r="E136" s="2" t="s">
        <v>35</v>
      </c>
      <c r="F136" s="2" t="s">
        <v>408</v>
      </c>
      <c r="G136" s="3">
        <v>45968.56629347222</v>
      </c>
      <c r="H136" s="3">
        <v>45968.62336938657</v>
      </c>
      <c r="I136" s="2" t="s">
        <v>499</v>
      </c>
      <c r="J136" s="93" t="s">
        <v>2314</v>
      </c>
      <c r="K136" s="93" t="s">
        <v>2315</v>
      </c>
      <c r="L136" s="4"/>
      <c r="M136" s="4"/>
      <c r="N136" s="4"/>
      <c r="O136" s="4"/>
      <c r="P136" s="4"/>
      <c r="Q136" s="4"/>
      <c r="R136" s="4"/>
      <c r="S136" s="4"/>
      <c r="T136" s="4"/>
      <c r="U136" s="4"/>
      <c r="V136" s="4"/>
      <c r="W136" s="4"/>
      <c r="X136" s="4"/>
      <c r="Y136" s="4"/>
      <c r="Z136" s="4"/>
    </row>
    <row r="137">
      <c r="A137" s="33" t="s">
        <v>2316</v>
      </c>
      <c r="B137" s="2" t="s">
        <v>2317</v>
      </c>
      <c r="C137" s="2" t="s">
        <v>2318</v>
      </c>
      <c r="D137" s="2" t="s">
        <v>2319</v>
      </c>
      <c r="E137" s="2" t="s">
        <v>31</v>
      </c>
      <c r="F137" s="2" t="s">
        <v>2068</v>
      </c>
      <c r="G137" s="3">
        <v>45968.55918378472</v>
      </c>
      <c r="H137" s="3">
        <v>45968.63075231481</v>
      </c>
      <c r="I137" s="2" t="s">
        <v>82</v>
      </c>
      <c r="J137" s="93" t="s">
        <v>2320</v>
      </c>
      <c r="K137" s="93" t="s">
        <v>2321</v>
      </c>
      <c r="L137" s="4"/>
      <c r="M137" s="4"/>
      <c r="N137" s="4"/>
      <c r="O137" s="4"/>
      <c r="P137" s="4"/>
      <c r="Q137" s="4"/>
      <c r="R137" s="4"/>
      <c r="S137" s="4"/>
      <c r="T137" s="4"/>
      <c r="U137" s="4"/>
      <c r="V137" s="4"/>
      <c r="W137" s="4"/>
      <c r="X137" s="4"/>
      <c r="Y137" s="4"/>
      <c r="Z137" s="4"/>
    </row>
    <row r="138">
      <c r="A138" s="33" t="s">
        <v>2322</v>
      </c>
      <c r="B138" s="2" t="s">
        <v>2323</v>
      </c>
      <c r="C138" s="2" t="s">
        <v>2324</v>
      </c>
      <c r="D138" s="2" t="s">
        <v>2325</v>
      </c>
      <c r="E138" s="2" t="s">
        <v>39</v>
      </c>
      <c r="F138" s="2" t="s">
        <v>2068</v>
      </c>
      <c r="G138" s="3">
        <v>45968.611287175925</v>
      </c>
      <c r="H138" s="3">
        <v>45968.633567013894</v>
      </c>
      <c r="I138" s="2" t="s">
        <v>235</v>
      </c>
      <c r="J138" s="93" t="s">
        <v>2326</v>
      </c>
      <c r="K138" s="2" t="s">
        <v>2327</v>
      </c>
      <c r="L138" s="4"/>
      <c r="M138" s="4"/>
      <c r="N138" s="4"/>
      <c r="O138" s="4"/>
      <c r="P138" s="4"/>
      <c r="Q138" s="4"/>
      <c r="R138" s="4"/>
      <c r="S138" s="4"/>
      <c r="T138" s="4"/>
      <c r="U138" s="4"/>
      <c r="V138" s="4"/>
      <c r="W138" s="4"/>
      <c r="X138" s="4"/>
      <c r="Y138" s="4"/>
      <c r="Z138" s="4"/>
    </row>
    <row r="139">
      <c r="A139" s="33" t="s">
        <v>93</v>
      </c>
      <c r="B139" s="2" t="s">
        <v>2328</v>
      </c>
      <c r="C139" s="2" t="s">
        <v>2329</v>
      </c>
      <c r="D139" s="2" t="s">
        <v>2047</v>
      </c>
      <c r="E139" s="2" t="s">
        <v>17</v>
      </c>
      <c r="F139" s="2" t="s">
        <v>2068</v>
      </c>
      <c r="G139" s="3">
        <v>45968.585767233795</v>
      </c>
      <c r="H139" s="3">
        <v>45968.63802777778</v>
      </c>
      <c r="I139" s="2" t="s">
        <v>347</v>
      </c>
      <c r="J139" s="93" t="s">
        <v>2330</v>
      </c>
      <c r="K139" s="2" t="s">
        <v>2331</v>
      </c>
      <c r="L139" s="4"/>
      <c r="M139" s="4"/>
      <c r="N139" s="4"/>
      <c r="O139" s="4"/>
      <c r="P139" s="4"/>
      <c r="Q139" s="4"/>
      <c r="R139" s="4"/>
      <c r="S139" s="4"/>
      <c r="T139" s="4"/>
      <c r="U139" s="4"/>
      <c r="V139" s="4"/>
      <c r="W139" s="4"/>
      <c r="X139" s="4"/>
      <c r="Y139" s="4"/>
      <c r="Z139" s="4"/>
    </row>
    <row r="140">
      <c r="A140" s="33" t="s">
        <v>514</v>
      </c>
      <c r="B140" s="2" t="s">
        <v>2332</v>
      </c>
      <c r="C140" s="2" t="s">
        <v>2333</v>
      </c>
      <c r="D140" s="2" t="s">
        <v>2334</v>
      </c>
      <c r="E140" s="2" t="s">
        <v>23</v>
      </c>
      <c r="F140" s="2" t="s">
        <v>2068</v>
      </c>
      <c r="G140" s="3">
        <v>45968.62238111111</v>
      </c>
      <c r="H140" s="3">
        <v>45968.63977630787</v>
      </c>
      <c r="I140" s="2" t="s">
        <v>524</v>
      </c>
      <c r="J140" s="93" t="s">
        <v>2335</v>
      </c>
      <c r="K140" s="2" t="s">
        <v>2336</v>
      </c>
      <c r="L140" s="4"/>
      <c r="M140" s="4"/>
      <c r="N140" s="4"/>
      <c r="O140" s="4"/>
      <c r="P140" s="4"/>
      <c r="Q140" s="4"/>
      <c r="R140" s="4"/>
      <c r="S140" s="4"/>
      <c r="T140" s="4"/>
      <c r="U140" s="4"/>
      <c r="V140" s="4"/>
      <c r="W140" s="4"/>
      <c r="X140" s="4"/>
      <c r="Y140" s="4"/>
      <c r="Z140" s="4"/>
    </row>
    <row r="141">
      <c r="A141" s="33" t="s">
        <v>472</v>
      </c>
      <c r="B141" s="2" t="s">
        <v>2337</v>
      </c>
      <c r="C141" s="2" t="s">
        <v>2338</v>
      </c>
      <c r="D141" s="2" t="s">
        <v>2339</v>
      </c>
      <c r="E141" s="2" t="s">
        <v>41</v>
      </c>
      <c r="F141" s="2" t="s">
        <v>2068</v>
      </c>
      <c r="G141" s="3">
        <v>45968.58081893518</v>
      </c>
      <c r="H141" s="3">
        <v>45968.64169394676</v>
      </c>
      <c r="I141" s="2" t="s">
        <v>2340</v>
      </c>
      <c r="J141" s="93" t="s">
        <v>2341</v>
      </c>
      <c r="K141" s="2" t="s">
        <v>2342</v>
      </c>
      <c r="L141" s="4"/>
      <c r="M141" s="4"/>
      <c r="N141" s="4"/>
      <c r="O141" s="4"/>
      <c r="P141" s="4"/>
      <c r="Q141" s="4"/>
      <c r="R141" s="4"/>
      <c r="S141" s="4"/>
      <c r="T141" s="4"/>
      <c r="U141" s="4"/>
      <c r="V141" s="4"/>
      <c r="W141" s="4"/>
      <c r="X141" s="4"/>
      <c r="Y141" s="4"/>
      <c r="Z141" s="4"/>
    </row>
    <row r="142">
      <c r="A142" s="33" t="s">
        <v>2343</v>
      </c>
      <c r="B142" s="2" t="s">
        <v>2344</v>
      </c>
      <c r="C142" s="2" t="s">
        <v>2345</v>
      </c>
      <c r="D142" s="2" t="s">
        <v>2346</v>
      </c>
      <c r="E142" s="2" t="s">
        <v>19</v>
      </c>
      <c r="F142" s="2" t="s">
        <v>2068</v>
      </c>
      <c r="G142" s="3">
        <v>45968.5773305787</v>
      </c>
      <c r="H142" s="3">
        <v>45968.64645353009</v>
      </c>
      <c r="I142" s="2" t="s">
        <v>403</v>
      </c>
      <c r="J142" s="93" t="s">
        <v>2347</v>
      </c>
      <c r="K142" s="2" t="s">
        <v>2348</v>
      </c>
      <c r="L142" s="4"/>
      <c r="M142" s="4"/>
      <c r="N142" s="4"/>
      <c r="O142" s="4"/>
      <c r="P142" s="4"/>
      <c r="Q142" s="4"/>
      <c r="R142" s="4"/>
      <c r="S142" s="4"/>
      <c r="T142" s="4"/>
      <c r="U142" s="4"/>
      <c r="V142" s="4"/>
      <c r="W142" s="4"/>
      <c r="X142" s="4"/>
      <c r="Y142" s="4"/>
      <c r="Z142" s="4"/>
    </row>
    <row r="143">
      <c r="A143" s="33" t="s">
        <v>2349</v>
      </c>
      <c r="B143" s="2" t="s">
        <v>2350</v>
      </c>
      <c r="C143" s="2" t="s">
        <v>2351</v>
      </c>
      <c r="D143" s="2" t="s">
        <v>2352</v>
      </c>
      <c r="E143" s="2" t="s">
        <v>25</v>
      </c>
      <c r="F143" s="2" t="s">
        <v>2068</v>
      </c>
      <c r="G143" s="3">
        <v>45968.57882180555</v>
      </c>
      <c r="H143" s="3">
        <v>45968.65430501157</v>
      </c>
      <c r="I143" s="2" t="s">
        <v>2353</v>
      </c>
      <c r="J143" s="93" t="s">
        <v>2354</v>
      </c>
      <c r="K143" s="93" t="s">
        <v>2355</v>
      </c>
      <c r="L143" s="4"/>
      <c r="M143" s="4"/>
      <c r="N143" s="4"/>
      <c r="O143" s="4"/>
      <c r="P143" s="4"/>
      <c r="Q143" s="4"/>
      <c r="R143" s="4"/>
      <c r="S143" s="4"/>
      <c r="T143" s="4"/>
      <c r="U143" s="4"/>
      <c r="V143" s="4"/>
      <c r="W143" s="4"/>
      <c r="X143" s="4"/>
      <c r="Y143" s="4"/>
      <c r="Z143" s="4"/>
    </row>
    <row r="144">
      <c r="A144" s="33" t="s">
        <v>2356</v>
      </c>
      <c r="B144" s="2" t="s">
        <v>2357</v>
      </c>
      <c r="C144" s="2" t="s">
        <v>2358</v>
      </c>
      <c r="D144" s="2" t="s">
        <v>2359</v>
      </c>
      <c r="E144" s="2" t="s">
        <v>27</v>
      </c>
      <c r="F144" s="2" t="s">
        <v>2068</v>
      </c>
      <c r="G144" s="3">
        <v>45968.62944087963</v>
      </c>
      <c r="H144" s="3">
        <v>45968.65524922454</v>
      </c>
      <c r="I144" s="2" t="s">
        <v>483</v>
      </c>
      <c r="J144" s="93" t="s">
        <v>2360</v>
      </c>
      <c r="K144" s="2" t="s">
        <v>2361</v>
      </c>
      <c r="L144" s="4"/>
      <c r="M144" s="4"/>
      <c r="N144" s="4"/>
      <c r="O144" s="4"/>
      <c r="P144" s="4"/>
      <c r="Q144" s="4"/>
      <c r="R144" s="4"/>
      <c r="S144" s="4"/>
      <c r="T144" s="4"/>
      <c r="U144" s="4"/>
      <c r="V144" s="4"/>
      <c r="W144" s="4"/>
      <c r="X144" s="4"/>
      <c r="Y144" s="4"/>
      <c r="Z144" s="4"/>
    </row>
    <row r="145">
      <c r="A145" s="33" t="s">
        <v>2362</v>
      </c>
      <c r="B145" s="2" t="s">
        <v>2363</v>
      </c>
      <c r="C145" s="2" t="s">
        <v>2364</v>
      </c>
      <c r="D145" s="2" t="s">
        <v>2365</v>
      </c>
      <c r="E145" s="2" t="s">
        <v>23</v>
      </c>
      <c r="F145" s="2" t="s">
        <v>2068</v>
      </c>
      <c r="G145" s="3">
        <v>45968.64418596065</v>
      </c>
      <c r="H145" s="3">
        <v>45968.65664509259</v>
      </c>
      <c r="I145" s="2" t="s">
        <v>2277</v>
      </c>
      <c r="J145" s="93" t="s">
        <v>2366</v>
      </c>
      <c r="K145" s="2" t="s">
        <v>2367</v>
      </c>
      <c r="L145" s="4"/>
      <c r="M145" s="4"/>
      <c r="N145" s="4"/>
      <c r="O145" s="4"/>
      <c r="P145" s="4"/>
      <c r="Q145" s="4"/>
      <c r="R145" s="4"/>
      <c r="S145" s="4"/>
      <c r="T145" s="4"/>
      <c r="U145" s="4"/>
      <c r="V145" s="4"/>
      <c r="W145" s="4"/>
      <c r="X145" s="4"/>
      <c r="Y145" s="4"/>
      <c r="Z145" s="4"/>
    </row>
    <row r="146">
      <c r="A146" s="33" t="s">
        <v>2368</v>
      </c>
      <c r="B146" s="2" t="s">
        <v>2369</v>
      </c>
      <c r="C146" s="2" t="s">
        <v>2370</v>
      </c>
      <c r="D146" s="2" t="s">
        <v>2371</v>
      </c>
      <c r="E146" s="2" t="s">
        <v>31</v>
      </c>
      <c r="F146" s="2" t="s">
        <v>2068</v>
      </c>
      <c r="G146" s="3">
        <v>45968.633517002316</v>
      </c>
      <c r="H146" s="3">
        <v>45968.65813390046</v>
      </c>
      <c r="I146" s="2" t="s">
        <v>2288</v>
      </c>
      <c r="J146" s="93" t="s">
        <v>2372</v>
      </c>
      <c r="K146" s="2" t="s">
        <v>2373</v>
      </c>
      <c r="L146" s="4"/>
      <c r="M146" s="4"/>
      <c r="N146" s="4"/>
      <c r="O146" s="4"/>
      <c r="P146" s="4"/>
      <c r="Q146" s="4"/>
      <c r="R146" s="4"/>
      <c r="S146" s="4"/>
      <c r="T146" s="4"/>
      <c r="U146" s="4"/>
      <c r="V146" s="4"/>
      <c r="W146" s="4"/>
      <c r="X146" s="4"/>
      <c r="Y146" s="4"/>
      <c r="Z146" s="4"/>
    </row>
    <row r="147">
      <c r="A147" s="33" t="s">
        <v>466</v>
      </c>
      <c r="B147" s="2" t="s">
        <v>2374</v>
      </c>
      <c r="C147" s="2" t="s">
        <v>2375</v>
      </c>
      <c r="D147" s="2" t="s">
        <v>2376</v>
      </c>
      <c r="E147" s="2" t="s">
        <v>38</v>
      </c>
      <c r="F147" s="2" t="s">
        <v>2068</v>
      </c>
      <c r="G147" s="3">
        <v>45968.57357883102</v>
      </c>
      <c r="H147" s="3">
        <v>45968.65813765046</v>
      </c>
      <c r="I147" s="2" t="s">
        <v>2113</v>
      </c>
      <c r="J147" s="93" t="s">
        <v>2377</v>
      </c>
      <c r="K147" s="2" t="s">
        <v>2378</v>
      </c>
      <c r="L147" s="4"/>
      <c r="M147" s="4"/>
      <c r="N147" s="4"/>
      <c r="O147" s="4"/>
      <c r="P147" s="4"/>
      <c r="Q147" s="4"/>
      <c r="R147" s="4"/>
      <c r="S147" s="4"/>
      <c r="T147" s="4"/>
      <c r="U147" s="4"/>
      <c r="V147" s="4"/>
      <c r="W147" s="4"/>
      <c r="X147" s="4"/>
      <c r="Y147" s="4"/>
      <c r="Z147" s="4"/>
    </row>
    <row r="148">
      <c r="A148" s="33" t="s">
        <v>65</v>
      </c>
      <c r="B148" s="2" t="s">
        <v>2379</v>
      </c>
      <c r="C148" s="2" t="s">
        <v>2380</v>
      </c>
      <c r="D148" s="2" t="s">
        <v>2381</v>
      </c>
      <c r="E148" s="2" t="s">
        <v>35</v>
      </c>
      <c r="F148" s="2" t="s">
        <v>2068</v>
      </c>
      <c r="G148" s="3">
        <v>45968.63357172454</v>
      </c>
      <c r="H148" s="3">
        <v>45968.66835611111</v>
      </c>
      <c r="I148" s="2" t="s">
        <v>478</v>
      </c>
      <c r="J148" s="93" t="s">
        <v>2382</v>
      </c>
      <c r="K148" s="2" t="s">
        <v>2383</v>
      </c>
      <c r="L148" s="4"/>
      <c r="M148" s="4"/>
      <c r="N148" s="4"/>
      <c r="O148" s="4"/>
      <c r="P148" s="4"/>
      <c r="Q148" s="4"/>
      <c r="R148" s="4"/>
      <c r="S148" s="4"/>
      <c r="T148" s="4"/>
      <c r="U148" s="4"/>
      <c r="V148" s="4"/>
      <c r="W148" s="4"/>
      <c r="X148" s="4"/>
      <c r="Y148" s="4"/>
      <c r="Z148" s="4"/>
    </row>
    <row r="149">
      <c r="A149" s="33" t="s">
        <v>521</v>
      </c>
      <c r="B149" s="2" t="s">
        <v>2384</v>
      </c>
      <c r="C149" s="2" t="s">
        <v>2385</v>
      </c>
      <c r="D149" s="2" t="s">
        <v>2386</v>
      </c>
      <c r="E149" s="2" t="s">
        <v>17</v>
      </c>
      <c r="F149" s="2" t="s">
        <v>2068</v>
      </c>
      <c r="G149" s="3">
        <v>45968.665350497686</v>
      </c>
      <c r="H149" s="3">
        <v>45968.67318886574</v>
      </c>
      <c r="I149" s="2" t="s">
        <v>2387</v>
      </c>
      <c r="J149" s="93" t="s">
        <v>2388</v>
      </c>
      <c r="K149" s="2" t="s">
        <v>2389</v>
      </c>
      <c r="L149" s="4"/>
      <c r="M149" s="4"/>
      <c r="N149" s="4"/>
      <c r="O149" s="4"/>
      <c r="P149" s="4"/>
      <c r="Q149" s="4"/>
      <c r="R149" s="4"/>
      <c r="S149" s="4"/>
      <c r="T149" s="4"/>
      <c r="U149" s="4"/>
      <c r="V149" s="4"/>
      <c r="W149" s="4"/>
      <c r="X149" s="4"/>
      <c r="Y149" s="4"/>
      <c r="Z149" s="4"/>
    </row>
    <row r="150">
      <c r="A150" s="33" t="s">
        <v>574</v>
      </c>
      <c r="B150" s="2" t="s">
        <v>2390</v>
      </c>
      <c r="C150" s="2" t="s">
        <v>2391</v>
      </c>
      <c r="D150" s="2" t="s">
        <v>2392</v>
      </c>
      <c r="E150" s="2" t="s">
        <v>23</v>
      </c>
      <c r="F150" s="2" t="s">
        <v>2068</v>
      </c>
      <c r="G150" s="3">
        <v>45968.66899348379</v>
      </c>
      <c r="H150" s="3">
        <v>45968.71398872686</v>
      </c>
      <c r="I150" s="2" t="s">
        <v>429</v>
      </c>
      <c r="J150" s="93" t="s">
        <v>2393</v>
      </c>
      <c r="K150" s="2" t="s">
        <v>2394</v>
      </c>
      <c r="L150" s="4"/>
      <c r="M150" s="4"/>
      <c r="N150" s="4"/>
      <c r="O150" s="4"/>
      <c r="P150" s="4"/>
      <c r="Q150" s="4"/>
      <c r="R150" s="4"/>
      <c r="S150" s="4"/>
      <c r="T150" s="4"/>
      <c r="U150" s="4"/>
      <c r="V150" s="4"/>
      <c r="W150" s="4"/>
      <c r="X150" s="4"/>
      <c r="Y150" s="4"/>
      <c r="Z150" s="4"/>
    </row>
    <row r="151">
      <c r="A151" s="33" t="s">
        <v>1596</v>
      </c>
      <c r="B151" s="2" t="s">
        <v>1597</v>
      </c>
      <c r="C151" s="2" t="s">
        <v>1598</v>
      </c>
      <c r="D151" s="2" t="s">
        <v>1599</v>
      </c>
      <c r="E151" s="2" t="s">
        <v>21</v>
      </c>
      <c r="F151" s="2" t="s">
        <v>1663</v>
      </c>
      <c r="G151" s="3">
        <v>45968.64075864584</v>
      </c>
      <c r="H151" s="3">
        <v>45968.73613546297</v>
      </c>
      <c r="I151" s="2" t="s">
        <v>2395</v>
      </c>
      <c r="J151" s="93" t="s">
        <v>1600</v>
      </c>
      <c r="K151" s="93" t="s">
        <v>1601</v>
      </c>
      <c r="L151" s="4"/>
      <c r="M151" s="4"/>
      <c r="N151" s="4"/>
      <c r="O151" s="4"/>
      <c r="P151" s="4"/>
      <c r="Q151" s="4"/>
      <c r="R151" s="4"/>
      <c r="S151" s="4"/>
      <c r="T151" s="4"/>
      <c r="U151" s="4"/>
      <c r="V151" s="4"/>
      <c r="W151" s="4"/>
      <c r="X151" s="4"/>
      <c r="Y151" s="4"/>
      <c r="Z151" s="4"/>
    </row>
    <row r="152">
      <c r="A152" s="33" t="s">
        <v>435</v>
      </c>
      <c r="B152" s="2" t="s">
        <v>2396</v>
      </c>
      <c r="C152" s="2" t="s">
        <v>2397</v>
      </c>
      <c r="D152" s="2" t="s">
        <v>2398</v>
      </c>
      <c r="E152" s="2" t="s">
        <v>39</v>
      </c>
      <c r="F152" s="2" t="s">
        <v>2068</v>
      </c>
      <c r="G152" s="3">
        <v>45968.66602989583</v>
      </c>
      <c r="H152" s="3">
        <v>45968.74029988426</v>
      </c>
      <c r="I152" s="2" t="s">
        <v>354</v>
      </c>
      <c r="J152" s="93" t="s">
        <v>2399</v>
      </c>
      <c r="K152" s="2" t="s">
        <v>2400</v>
      </c>
      <c r="L152" s="4"/>
      <c r="M152" s="4"/>
      <c r="N152" s="4"/>
      <c r="O152" s="4"/>
      <c r="P152" s="4"/>
      <c r="Q152" s="4"/>
      <c r="R152" s="4"/>
      <c r="S152" s="4"/>
      <c r="T152" s="4"/>
      <c r="U152" s="4"/>
      <c r="V152" s="4"/>
      <c r="W152" s="4"/>
      <c r="X152" s="4"/>
      <c r="Y152" s="4"/>
      <c r="Z152" s="4"/>
    </row>
    <row r="153">
      <c r="A153" s="33" t="s">
        <v>64</v>
      </c>
      <c r="B153" s="2" t="s">
        <v>2401</v>
      </c>
      <c r="C153" s="2" t="s">
        <v>2402</v>
      </c>
      <c r="D153" s="2" t="s">
        <v>2403</v>
      </c>
      <c r="E153" s="2" t="s">
        <v>25</v>
      </c>
      <c r="F153" s="2" t="s">
        <v>2068</v>
      </c>
      <c r="G153" s="3">
        <v>45968.66552002315</v>
      </c>
      <c r="H153" s="3">
        <v>45968.7440072801</v>
      </c>
      <c r="I153" s="2" t="s">
        <v>2404</v>
      </c>
      <c r="J153" s="93" t="s">
        <v>2405</v>
      </c>
      <c r="K153" s="2" t="s">
        <v>2406</v>
      </c>
      <c r="L153" s="4"/>
      <c r="M153" s="4"/>
      <c r="N153" s="4"/>
      <c r="O153" s="4"/>
      <c r="P153" s="4"/>
      <c r="Q153" s="4"/>
      <c r="R153" s="4"/>
      <c r="S153" s="4"/>
      <c r="T153" s="4"/>
      <c r="U153" s="4"/>
      <c r="V153" s="4"/>
      <c r="W153" s="4"/>
      <c r="X153" s="4"/>
      <c r="Y153" s="4"/>
      <c r="Z153" s="4"/>
    </row>
    <row r="154">
      <c r="A154" s="33" t="s">
        <v>504</v>
      </c>
      <c r="B154" s="2" t="s">
        <v>2407</v>
      </c>
      <c r="C154" s="2" t="s">
        <v>2408</v>
      </c>
      <c r="D154" s="2" t="s">
        <v>2409</v>
      </c>
      <c r="E154" s="2" t="s">
        <v>41</v>
      </c>
      <c r="F154" s="2" t="s">
        <v>2068</v>
      </c>
      <c r="G154" s="3">
        <v>45968.665917210645</v>
      </c>
      <c r="H154" s="3">
        <v>45968.74625431713</v>
      </c>
      <c r="I154" s="2" t="s">
        <v>449</v>
      </c>
      <c r="J154" s="93" t="s">
        <v>2410</v>
      </c>
      <c r="K154" s="2" t="s">
        <v>2411</v>
      </c>
      <c r="L154" s="4"/>
      <c r="M154" s="4"/>
      <c r="N154" s="4"/>
      <c r="O154" s="4"/>
      <c r="P154" s="4"/>
      <c r="Q154" s="4"/>
      <c r="R154" s="4"/>
      <c r="S154" s="4"/>
      <c r="T154" s="4"/>
      <c r="U154" s="4"/>
      <c r="V154" s="4"/>
      <c r="W154" s="4"/>
      <c r="X154" s="4"/>
      <c r="Y154" s="4"/>
      <c r="Z154" s="4"/>
    </row>
    <row r="155">
      <c r="A155" s="33" t="s">
        <v>2412</v>
      </c>
      <c r="B155" s="2" t="s">
        <v>2413</v>
      </c>
      <c r="C155" s="2" t="s">
        <v>2414</v>
      </c>
      <c r="D155" s="2" t="s">
        <v>2415</v>
      </c>
      <c r="E155" s="2" t="s">
        <v>35</v>
      </c>
      <c r="F155" s="2" t="s">
        <v>2068</v>
      </c>
      <c r="G155" s="3">
        <v>45968.697076145836</v>
      </c>
      <c r="H155" s="3">
        <v>45968.75008125</v>
      </c>
      <c r="I155" s="2" t="s">
        <v>123</v>
      </c>
      <c r="J155" s="93" t="s">
        <v>2416</v>
      </c>
      <c r="K155" s="93" t="s">
        <v>2417</v>
      </c>
      <c r="L155" s="4"/>
      <c r="M155" s="4"/>
      <c r="N155" s="4"/>
      <c r="O155" s="4"/>
      <c r="P155" s="4"/>
      <c r="Q155" s="4"/>
      <c r="R155" s="4"/>
      <c r="S155" s="4"/>
      <c r="T155" s="4"/>
      <c r="U155" s="4"/>
      <c r="V155" s="4"/>
      <c r="W155" s="4"/>
      <c r="X155" s="4"/>
      <c r="Y155" s="4"/>
      <c r="Z155" s="4"/>
    </row>
    <row r="156">
      <c r="A156" s="33" t="s">
        <v>2418</v>
      </c>
      <c r="B156" s="2" t="s">
        <v>2419</v>
      </c>
      <c r="C156" s="2" t="s">
        <v>2420</v>
      </c>
      <c r="D156" s="2" t="s">
        <v>2421</v>
      </c>
      <c r="E156" s="2" t="s">
        <v>31</v>
      </c>
      <c r="F156" s="2" t="s">
        <v>408</v>
      </c>
      <c r="G156" s="3">
        <v>45968.729582604166</v>
      </c>
      <c r="H156" s="3">
        <v>45968.750112395835</v>
      </c>
      <c r="I156" s="2" t="s">
        <v>487</v>
      </c>
      <c r="J156" s="93" t="s">
        <v>2422</v>
      </c>
      <c r="K156" s="93" t="s">
        <v>2423</v>
      </c>
      <c r="L156" s="4"/>
      <c r="M156" s="4"/>
      <c r="N156" s="4"/>
      <c r="O156" s="4"/>
      <c r="P156" s="4"/>
      <c r="Q156" s="4"/>
      <c r="R156" s="4"/>
      <c r="S156" s="4"/>
      <c r="T156" s="4"/>
      <c r="U156" s="4"/>
      <c r="V156" s="4"/>
      <c r="W156" s="4"/>
      <c r="X156" s="4"/>
      <c r="Y156" s="4"/>
      <c r="Z156" s="4"/>
    </row>
    <row r="157">
      <c r="A157" s="33" t="s">
        <v>2424</v>
      </c>
      <c r="B157" s="2" t="s">
        <v>2425</v>
      </c>
      <c r="C157" s="2" t="s">
        <v>2426</v>
      </c>
      <c r="D157" s="2" t="s">
        <v>2427</v>
      </c>
      <c r="E157" s="2" t="s">
        <v>17</v>
      </c>
      <c r="F157" s="2" t="s">
        <v>2068</v>
      </c>
      <c r="G157" s="3">
        <v>45968.69569650463</v>
      </c>
      <c r="H157" s="3">
        <v>45968.750198078706</v>
      </c>
      <c r="I157" s="2" t="s">
        <v>527</v>
      </c>
      <c r="J157" s="93" t="s">
        <v>2428</v>
      </c>
      <c r="K157" s="2" t="s">
        <v>2429</v>
      </c>
      <c r="L157" s="4"/>
      <c r="M157" s="4"/>
      <c r="N157" s="4"/>
      <c r="O157" s="4"/>
      <c r="P157" s="4"/>
      <c r="Q157" s="4"/>
      <c r="R157" s="4"/>
      <c r="S157" s="4"/>
      <c r="T157" s="4"/>
      <c r="U157" s="4"/>
      <c r="V157" s="4"/>
      <c r="W157" s="4"/>
      <c r="X157" s="4"/>
      <c r="Y157" s="4"/>
      <c r="Z157" s="4"/>
    </row>
    <row r="158">
      <c r="A158" s="33" t="s">
        <v>2430</v>
      </c>
      <c r="B158" s="2" t="s">
        <v>2431</v>
      </c>
      <c r="C158" s="2" t="s">
        <v>2432</v>
      </c>
      <c r="D158" s="2" t="s">
        <v>2433</v>
      </c>
      <c r="E158" s="2" t="s">
        <v>23</v>
      </c>
      <c r="F158" s="2" t="s">
        <v>2068</v>
      </c>
      <c r="G158" s="3">
        <v>45968.71539366899</v>
      </c>
      <c r="H158" s="3">
        <v>45968.75097609954</v>
      </c>
      <c r="I158" s="2" t="s">
        <v>185</v>
      </c>
      <c r="J158" s="93" t="s">
        <v>2434</v>
      </c>
      <c r="K158" s="93" t="s">
        <v>2435</v>
      </c>
      <c r="L158" s="4"/>
      <c r="M158" s="4"/>
      <c r="N158" s="4"/>
      <c r="O158" s="4"/>
      <c r="P158" s="4"/>
      <c r="Q158" s="4"/>
      <c r="R158" s="4"/>
      <c r="S158" s="4"/>
      <c r="T158" s="4"/>
      <c r="U158" s="4"/>
      <c r="V158" s="4"/>
      <c r="W158" s="4"/>
      <c r="X158" s="4"/>
      <c r="Y158" s="4"/>
      <c r="Z158" s="4"/>
    </row>
    <row r="159">
      <c r="A159" s="33" t="s">
        <v>2436</v>
      </c>
      <c r="B159" s="2" t="s">
        <v>2437</v>
      </c>
      <c r="C159" s="2" t="s">
        <v>2438</v>
      </c>
      <c r="D159" s="2" t="s">
        <v>2439</v>
      </c>
      <c r="E159" s="2" t="s">
        <v>19</v>
      </c>
      <c r="F159" s="2" t="s">
        <v>2068</v>
      </c>
      <c r="G159" s="3">
        <v>45968.646681342594</v>
      </c>
      <c r="H159" s="3">
        <v>45968.75182986111</v>
      </c>
      <c r="I159" s="2" t="s">
        <v>2440</v>
      </c>
      <c r="J159" s="93" t="s">
        <v>2441</v>
      </c>
      <c r="K159" s="2" t="s">
        <v>2442</v>
      </c>
      <c r="L159" s="4"/>
      <c r="M159" s="4"/>
      <c r="N159" s="4"/>
      <c r="O159" s="4"/>
      <c r="P159" s="4"/>
      <c r="Q159" s="4"/>
      <c r="R159" s="4"/>
      <c r="S159" s="4"/>
      <c r="T159" s="4"/>
      <c r="U159" s="4"/>
      <c r="V159" s="4"/>
      <c r="W159" s="4"/>
      <c r="X159" s="4"/>
      <c r="Y159" s="4"/>
      <c r="Z159" s="4"/>
    </row>
    <row r="160">
      <c r="A160" s="33" t="s">
        <v>2443</v>
      </c>
      <c r="B160" s="2" t="s">
        <v>2444</v>
      </c>
      <c r="C160" s="2" t="s">
        <v>2445</v>
      </c>
      <c r="D160" s="2" t="s">
        <v>2446</v>
      </c>
      <c r="E160" s="2" t="s">
        <v>27</v>
      </c>
      <c r="F160" s="2" t="s">
        <v>2068</v>
      </c>
      <c r="G160" s="3">
        <v>45968.667903634254</v>
      </c>
      <c r="H160" s="3">
        <v>45968.752177013885</v>
      </c>
      <c r="I160" s="2" t="s">
        <v>567</v>
      </c>
      <c r="J160" s="93" t="s">
        <v>2447</v>
      </c>
      <c r="K160" s="2" t="s">
        <v>2448</v>
      </c>
      <c r="L160" s="4"/>
      <c r="M160" s="4"/>
      <c r="N160" s="4"/>
      <c r="O160" s="4"/>
      <c r="P160" s="4"/>
      <c r="Q160" s="4"/>
      <c r="R160" s="4"/>
      <c r="S160" s="4"/>
      <c r="T160" s="4"/>
      <c r="U160" s="4"/>
      <c r="V160" s="4"/>
      <c r="W160" s="4"/>
      <c r="X160" s="4"/>
      <c r="Y160" s="4"/>
      <c r="Z160" s="4"/>
    </row>
    <row r="161">
      <c r="A161" s="94" t="s">
        <v>2449</v>
      </c>
      <c r="B161" s="72" t="s">
        <v>2450</v>
      </c>
      <c r="C161" s="72" t="s">
        <v>2451</v>
      </c>
      <c r="D161" s="72" t="s">
        <v>2452</v>
      </c>
      <c r="E161" s="34" t="s">
        <v>38</v>
      </c>
      <c r="F161" s="2" t="s">
        <v>2068</v>
      </c>
      <c r="G161" s="3">
        <v>45968.67423145833</v>
      </c>
      <c r="H161" s="3">
        <v>45968.78043817129</v>
      </c>
      <c r="I161" s="44" t="s">
        <v>2453</v>
      </c>
      <c r="J161" s="89" t="s">
        <v>2454</v>
      </c>
      <c r="K161" s="89" t="s">
        <v>2455</v>
      </c>
      <c r="L161" s="6"/>
      <c r="M161" s="6"/>
      <c r="N161" s="16"/>
      <c r="O161" s="6"/>
      <c r="P161" s="6"/>
      <c r="Q161" s="6"/>
      <c r="R161" s="6"/>
      <c r="S161" s="6"/>
    </row>
    <row r="162">
      <c r="A162" s="95" t="s">
        <v>1990</v>
      </c>
      <c r="B162" s="17" t="s">
        <v>1991</v>
      </c>
      <c r="C162" s="17" t="s">
        <v>1992</v>
      </c>
      <c r="D162" s="17" t="s">
        <v>1993</v>
      </c>
      <c r="E162" s="79" t="s">
        <v>31</v>
      </c>
      <c r="F162" s="17" t="s">
        <v>2010</v>
      </c>
      <c r="G162" s="3">
        <v>45968.67423145833</v>
      </c>
      <c r="H162" s="3">
        <v>45968.78043817129</v>
      </c>
      <c r="I162" s="79"/>
      <c r="J162" s="91" t="s">
        <v>1994</v>
      </c>
      <c r="K162" s="91" t="s">
        <v>1995</v>
      </c>
      <c r="L162" s="4"/>
      <c r="M162" s="4"/>
      <c r="N162" s="4"/>
      <c r="O162" s="4"/>
      <c r="P162" s="4"/>
      <c r="Q162" s="4"/>
      <c r="R162" s="4"/>
      <c r="S162" s="4"/>
      <c r="T162" s="4"/>
      <c r="U162" s="4"/>
      <c r="V162" s="4"/>
      <c r="W162" s="4"/>
      <c r="X162" s="4"/>
      <c r="Y162" s="4"/>
      <c r="Z162" s="4"/>
    </row>
    <row r="163">
      <c r="A163" s="33" t="s">
        <v>1572</v>
      </c>
      <c r="B163" s="2" t="s">
        <v>2468</v>
      </c>
      <c r="C163" s="2" t="s">
        <v>1574</v>
      </c>
      <c r="D163" s="2" t="s">
        <v>1575</v>
      </c>
      <c r="E163" s="2" t="s">
        <v>17</v>
      </c>
      <c r="F163" s="2" t="s">
        <v>331</v>
      </c>
      <c r="G163" s="3">
        <v>45971.36834804398</v>
      </c>
      <c r="H163" s="3">
        <v>45971.42961207176</v>
      </c>
      <c r="I163" s="2" t="s">
        <v>2340</v>
      </c>
      <c r="J163" s="93" t="s">
        <v>1576</v>
      </c>
      <c r="K163" s="2" t="s">
        <v>2469</v>
      </c>
      <c r="L163" s="4"/>
      <c r="M163" s="4"/>
      <c r="N163" s="4"/>
      <c r="O163" s="4"/>
      <c r="P163" s="4"/>
      <c r="Q163" s="4"/>
      <c r="R163" s="4"/>
      <c r="S163" s="4"/>
      <c r="T163" s="4"/>
      <c r="U163" s="4"/>
      <c r="V163" s="4"/>
      <c r="W163" s="4"/>
      <c r="X163" s="4"/>
      <c r="Y163" s="4"/>
      <c r="Z163" s="4"/>
    </row>
    <row r="164">
      <c r="A164" s="33" t="s">
        <v>1629</v>
      </c>
      <c r="B164" s="2" t="s">
        <v>2639</v>
      </c>
      <c r="C164" s="2" t="s">
        <v>1631</v>
      </c>
      <c r="D164" s="2" t="s">
        <v>1632</v>
      </c>
      <c r="E164" s="2" t="s">
        <v>17</v>
      </c>
      <c r="F164" s="2" t="s">
        <v>346</v>
      </c>
      <c r="G164" s="3">
        <v>45971.67625311343</v>
      </c>
      <c r="H164" s="3">
        <v>45971.75394427084</v>
      </c>
      <c r="I164" s="2" t="s">
        <v>438</v>
      </c>
      <c r="J164" s="93" t="s">
        <v>1633</v>
      </c>
      <c r="K164" s="2" t="s">
        <v>2640</v>
      </c>
      <c r="L164" s="4"/>
      <c r="M164" s="4"/>
      <c r="N164" s="4"/>
      <c r="O164" s="4"/>
      <c r="P164" s="4"/>
      <c r="Q164" s="4"/>
      <c r="R164" s="4"/>
      <c r="S164" s="4"/>
      <c r="T164" s="4"/>
      <c r="U164" s="4"/>
      <c r="V164" s="4"/>
      <c r="W164" s="4"/>
      <c r="X164" s="4"/>
      <c r="Y164" s="4"/>
      <c r="Z164" s="4"/>
    </row>
    <row r="165">
      <c r="A165" s="33" t="s">
        <v>1966</v>
      </c>
      <c r="B165" s="2" t="s">
        <v>2566</v>
      </c>
      <c r="C165" s="2" t="s">
        <v>2567</v>
      </c>
      <c r="D165" s="2" t="s">
        <v>2568</v>
      </c>
      <c r="E165" s="2" t="s">
        <v>17</v>
      </c>
      <c r="F165" s="2" t="s">
        <v>346</v>
      </c>
      <c r="G165" s="3">
        <v>45971.58217628472</v>
      </c>
      <c r="H165" s="3">
        <v>45971.648918946754</v>
      </c>
      <c r="I165" s="2" t="s">
        <v>465</v>
      </c>
      <c r="J165" s="93" t="s">
        <v>1971</v>
      </c>
      <c r="K165" s="2" t="s">
        <v>1972</v>
      </c>
      <c r="L165" s="4"/>
      <c r="M165" s="4"/>
      <c r="N165" s="4"/>
      <c r="O165" s="4"/>
      <c r="P165" s="4"/>
      <c r="Q165" s="4"/>
      <c r="R165" s="4"/>
      <c r="S165" s="4"/>
      <c r="T165" s="4"/>
      <c r="U165" s="4"/>
      <c r="V165" s="4"/>
      <c r="W165" s="4"/>
      <c r="X165" s="4"/>
      <c r="Y165" s="4"/>
      <c r="Z165" s="4"/>
    </row>
    <row r="166">
      <c r="A166" s="33" t="s">
        <v>2514</v>
      </c>
      <c r="B166" s="2" t="s">
        <v>2515</v>
      </c>
      <c r="C166" s="2" t="s">
        <v>2516</v>
      </c>
      <c r="D166" s="2" t="s">
        <v>2517</v>
      </c>
      <c r="E166" s="2" t="s">
        <v>17</v>
      </c>
      <c r="F166" s="2" t="s">
        <v>2496</v>
      </c>
      <c r="G166" s="3">
        <v>45971.45521594907</v>
      </c>
      <c r="H166" s="3">
        <v>45971.54035660879</v>
      </c>
      <c r="I166" s="2" t="s">
        <v>2041</v>
      </c>
      <c r="J166" s="93" t="s">
        <v>2518</v>
      </c>
      <c r="K166" s="93" t="s">
        <v>2519</v>
      </c>
      <c r="L166" s="4"/>
      <c r="M166" s="4"/>
      <c r="N166" s="4"/>
      <c r="O166" s="4"/>
      <c r="P166" s="4"/>
      <c r="Q166" s="4"/>
      <c r="R166" s="4"/>
      <c r="S166" s="4"/>
      <c r="T166" s="4"/>
      <c r="U166" s="4"/>
      <c r="V166" s="4"/>
      <c r="W166" s="4"/>
      <c r="X166" s="4"/>
      <c r="Y166" s="4"/>
      <c r="Z166" s="4"/>
    </row>
    <row r="167">
      <c r="A167" s="33" t="s">
        <v>1596</v>
      </c>
      <c r="B167" s="2" t="s">
        <v>2591</v>
      </c>
      <c r="C167" s="2" t="s">
        <v>1598</v>
      </c>
      <c r="D167" s="2" t="s">
        <v>1599</v>
      </c>
      <c r="E167" s="2" t="s">
        <v>19</v>
      </c>
      <c r="F167" s="2" t="s">
        <v>331</v>
      </c>
      <c r="G167" s="3">
        <v>45971.6403350926</v>
      </c>
      <c r="H167" s="3">
        <v>45971.678811157406</v>
      </c>
      <c r="I167" s="2" t="s">
        <v>491</v>
      </c>
      <c r="J167" s="93" t="s">
        <v>1600</v>
      </c>
      <c r="K167" s="2" t="s">
        <v>2592</v>
      </c>
      <c r="L167" s="9" t="s">
        <v>21</v>
      </c>
      <c r="M167" s="4"/>
      <c r="N167" s="4"/>
      <c r="O167" s="4"/>
      <c r="P167" s="4"/>
      <c r="Q167" s="4"/>
      <c r="R167" s="4"/>
      <c r="S167" s="4"/>
      <c r="T167" s="4"/>
      <c r="U167" s="4"/>
      <c r="V167" s="4"/>
      <c r="W167" s="4"/>
      <c r="X167" s="4"/>
      <c r="Y167" s="4"/>
      <c r="Z167" s="4"/>
    </row>
    <row r="168">
      <c r="A168" s="33" t="s">
        <v>2543</v>
      </c>
      <c r="B168" s="2" t="s">
        <v>2544</v>
      </c>
      <c r="C168" s="2" t="s">
        <v>2545</v>
      </c>
      <c r="D168" s="2" t="s">
        <v>2546</v>
      </c>
      <c r="E168" s="2" t="s">
        <v>19</v>
      </c>
      <c r="F168" s="2" t="s">
        <v>331</v>
      </c>
      <c r="G168" s="3">
        <v>45971.36978400463</v>
      </c>
      <c r="H168" s="3">
        <v>45971.6085096875</v>
      </c>
      <c r="I168" s="2" t="s">
        <v>2547</v>
      </c>
      <c r="J168" s="2"/>
      <c r="K168" s="2" t="s">
        <v>2548</v>
      </c>
      <c r="L168" s="4"/>
      <c r="M168" s="4"/>
      <c r="N168" s="4"/>
      <c r="O168" s="4"/>
      <c r="P168" s="4"/>
      <c r="Q168" s="4"/>
      <c r="R168" s="4"/>
      <c r="S168" s="4"/>
      <c r="T168" s="4"/>
      <c r="U168" s="4"/>
      <c r="V168" s="4"/>
      <c r="W168" s="4"/>
      <c r="X168" s="4"/>
      <c r="Y168" s="4"/>
      <c r="Z168" s="4"/>
    </row>
    <row r="169">
      <c r="A169" s="33" t="s">
        <v>1762</v>
      </c>
      <c r="B169" s="2" t="s">
        <v>2641</v>
      </c>
      <c r="C169" s="2" t="s">
        <v>1764</v>
      </c>
      <c r="D169" s="2" t="s">
        <v>1765</v>
      </c>
      <c r="E169" s="2" t="s">
        <v>19</v>
      </c>
      <c r="F169" s="2" t="s">
        <v>331</v>
      </c>
      <c r="G169" s="3">
        <v>45971.692073136575</v>
      </c>
      <c r="H169" s="3">
        <v>45971.75612789352</v>
      </c>
      <c r="I169" s="2" t="s">
        <v>2642</v>
      </c>
      <c r="J169" s="93" t="s">
        <v>1766</v>
      </c>
      <c r="K169" s="2" t="s">
        <v>2643</v>
      </c>
      <c r="L169" s="4"/>
      <c r="M169" s="4"/>
      <c r="N169" s="4"/>
      <c r="O169" s="4"/>
      <c r="P169" s="4"/>
      <c r="Q169" s="4"/>
      <c r="R169" s="4"/>
      <c r="S169" s="4"/>
      <c r="T169" s="4"/>
      <c r="U169" s="4"/>
      <c r="V169" s="4"/>
      <c r="W169" s="4"/>
      <c r="X169" s="4"/>
      <c r="Y169" s="4"/>
      <c r="Z169" s="4"/>
    </row>
    <row r="170">
      <c r="A170" s="33" t="s">
        <v>1549</v>
      </c>
      <c r="B170" s="2" t="s">
        <v>2622</v>
      </c>
      <c r="C170" s="2" t="s">
        <v>1551</v>
      </c>
      <c r="D170" s="2" t="s">
        <v>1552</v>
      </c>
      <c r="E170" s="2" t="s">
        <v>21</v>
      </c>
      <c r="F170" s="2" t="s">
        <v>331</v>
      </c>
      <c r="G170" s="3">
        <v>45971.69600199074</v>
      </c>
      <c r="H170" s="3">
        <v>45971.75073375</v>
      </c>
      <c r="I170" s="2" t="s">
        <v>475</v>
      </c>
      <c r="J170" s="93" t="s">
        <v>1553</v>
      </c>
      <c r="K170" s="2" t="s">
        <v>2623</v>
      </c>
      <c r="L170" s="4"/>
      <c r="M170" s="4"/>
      <c r="N170" s="4"/>
      <c r="O170" s="4"/>
      <c r="P170" s="4"/>
      <c r="Q170" s="4"/>
      <c r="R170" s="4"/>
      <c r="S170" s="4"/>
      <c r="T170" s="4"/>
      <c r="U170" s="4"/>
      <c r="V170" s="4"/>
      <c r="W170" s="4"/>
      <c r="X170" s="4"/>
      <c r="Y170" s="4"/>
      <c r="Z170" s="4"/>
    </row>
    <row r="171">
      <c r="A171" s="33" t="s">
        <v>2585</v>
      </c>
      <c r="B171" s="2" t="s">
        <v>2586</v>
      </c>
      <c r="C171" s="2" t="s">
        <v>2587</v>
      </c>
      <c r="D171" s="2" t="s">
        <v>2588</v>
      </c>
      <c r="E171" s="2" t="s">
        <v>21</v>
      </c>
      <c r="F171" s="2" t="s">
        <v>331</v>
      </c>
      <c r="G171" s="3">
        <v>45971.62274827546</v>
      </c>
      <c r="H171" s="3">
        <v>45971.67505445602</v>
      </c>
      <c r="I171" s="2" t="s">
        <v>347</v>
      </c>
      <c r="J171" s="93" t="s">
        <v>2589</v>
      </c>
      <c r="K171" s="93" t="s">
        <v>2590</v>
      </c>
      <c r="L171" s="4"/>
      <c r="M171" s="4"/>
      <c r="N171" s="4"/>
      <c r="O171" s="4"/>
      <c r="P171" s="4"/>
      <c r="Q171" s="4"/>
      <c r="R171" s="4"/>
      <c r="S171" s="4"/>
      <c r="T171" s="4"/>
      <c r="U171" s="4"/>
      <c r="V171" s="4"/>
      <c r="W171" s="4"/>
      <c r="X171" s="4"/>
      <c r="Y171" s="4"/>
      <c r="Z171" s="4"/>
    </row>
    <row r="172">
      <c r="A172" s="33" t="s">
        <v>2475</v>
      </c>
      <c r="B172" s="2" t="s">
        <v>2476</v>
      </c>
      <c r="C172" s="2" t="s">
        <v>2477</v>
      </c>
      <c r="D172" s="2" t="s">
        <v>2478</v>
      </c>
      <c r="E172" s="2" t="s">
        <v>21</v>
      </c>
      <c r="F172" s="2" t="s">
        <v>331</v>
      </c>
      <c r="G172" s="3">
        <v>45971.3770355787</v>
      </c>
      <c r="H172" s="3">
        <v>45971.44955252315</v>
      </c>
      <c r="I172" s="2" t="s">
        <v>2119</v>
      </c>
      <c r="J172" s="93" t="s">
        <v>2479</v>
      </c>
      <c r="K172" s="2" t="s">
        <v>2480</v>
      </c>
      <c r="L172" s="4"/>
      <c r="M172" s="4"/>
      <c r="N172" s="4"/>
      <c r="O172" s="4"/>
      <c r="P172" s="4"/>
      <c r="Q172" s="4"/>
      <c r="R172" s="4"/>
      <c r="S172" s="4"/>
      <c r="T172" s="4"/>
      <c r="U172" s="4"/>
      <c r="V172" s="4"/>
      <c r="W172" s="4"/>
      <c r="X172" s="4"/>
      <c r="Y172" s="4"/>
      <c r="Z172" s="4"/>
    </row>
    <row r="173">
      <c r="A173" s="33" t="s">
        <v>2534</v>
      </c>
      <c r="B173" s="2" t="s">
        <v>2535</v>
      </c>
      <c r="C173" s="2" t="s">
        <v>2536</v>
      </c>
      <c r="D173" s="2" t="s">
        <v>2537</v>
      </c>
      <c r="E173" s="2" t="s">
        <v>21</v>
      </c>
      <c r="F173" s="2" t="s">
        <v>2538</v>
      </c>
      <c r="G173" s="3">
        <v>45971.4881656713</v>
      </c>
      <c r="H173" s="3">
        <v>45971.56749512731</v>
      </c>
      <c r="I173" s="2" t="s">
        <v>444</v>
      </c>
      <c r="J173" s="93" t="s">
        <v>2539</v>
      </c>
      <c r="K173" s="2" t="s">
        <v>2540</v>
      </c>
      <c r="L173" s="4"/>
      <c r="M173" s="4"/>
      <c r="N173" s="4"/>
      <c r="O173" s="4"/>
      <c r="P173" s="4"/>
      <c r="Q173" s="4"/>
      <c r="R173" s="4"/>
      <c r="S173" s="4"/>
      <c r="T173" s="4"/>
      <c r="U173" s="4"/>
      <c r="V173" s="4"/>
      <c r="W173" s="4"/>
      <c r="X173" s="4"/>
      <c r="Y173" s="4"/>
      <c r="Z173" s="4"/>
    </row>
    <row r="174">
      <c r="A174" s="33" t="s">
        <v>2486</v>
      </c>
      <c r="B174" s="2" t="s">
        <v>2487</v>
      </c>
      <c r="C174" s="2" t="s">
        <v>2488</v>
      </c>
      <c r="D174" s="2" t="s">
        <v>2489</v>
      </c>
      <c r="E174" s="2" t="s">
        <v>23</v>
      </c>
      <c r="F174" s="2" t="s">
        <v>331</v>
      </c>
      <c r="G174" s="3">
        <v>45971.40869172454</v>
      </c>
      <c r="H174" s="3">
        <v>45971.47503027778</v>
      </c>
      <c r="I174" s="2" t="s">
        <v>465</v>
      </c>
      <c r="J174" s="93" t="s">
        <v>2490</v>
      </c>
      <c r="K174" s="2" t="s">
        <v>2491</v>
      </c>
      <c r="L174" s="9" t="s">
        <v>39</v>
      </c>
      <c r="M174" s="4"/>
      <c r="N174" s="4"/>
      <c r="O174" s="4"/>
      <c r="P174" s="4"/>
      <c r="Q174" s="4"/>
      <c r="R174" s="4"/>
      <c r="S174" s="4"/>
      <c r="T174" s="4"/>
      <c r="U174" s="4"/>
      <c r="V174" s="4"/>
      <c r="W174" s="4"/>
      <c r="X174" s="4"/>
      <c r="Y174" s="4"/>
      <c r="Z174" s="4"/>
    </row>
    <row r="175">
      <c r="A175" s="33" t="s">
        <v>2456</v>
      </c>
      <c r="B175" s="2" t="s">
        <v>2457</v>
      </c>
      <c r="C175" s="2" t="s">
        <v>2458</v>
      </c>
      <c r="D175" s="2" t="s">
        <v>2459</v>
      </c>
      <c r="E175" s="2" t="s">
        <v>23</v>
      </c>
      <c r="F175" s="2" t="s">
        <v>331</v>
      </c>
      <c r="G175" s="3">
        <v>45971.36691377315</v>
      </c>
      <c r="H175" s="3">
        <v>45971.397424282404</v>
      </c>
      <c r="I175" s="2" t="s">
        <v>503</v>
      </c>
      <c r="J175" s="93" t="s">
        <v>2460</v>
      </c>
      <c r="K175" s="93" t="s">
        <v>2461</v>
      </c>
      <c r="L175" s="9" t="s">
        <v>39</v>
      </c>
      <c r="M175" s="4"/>
      <c r="N175" s="4"/>
      <c r="O175" s="4"/>
      <c r="P175" s="4"/>
      <c r="Q175" s="4"/>
      <c r="R175" s="4"/>
      <c r="S175" s="4"/>
      <c r="T175" s="4"/>
      <c r="U175" s="4"/>
      <c r="V175" s="4"/>
      <c r="W175" s="4"/>
      <c r="X175" s="4"/>
      <c r="Y175" s="4"/>
      <c r="Z175" s="4"/>
    </row>
    <row r="176">
      <c r="A176" s="33" t="s">
        <v>1798</v>
      </c>
      <c r="B176" s="2" t="s">
        <v>2541</v>
      </c>
      <c r="C176" s="2" t="s">
        <v>1800</v>
      </c>
      <c r="D176" s="2" t="s">
        <v>1801</v>
      </c>
      <c r="E176" s="2" t="s">
        <v>23</v>
      </c>
      <c r="F176" s="2" t="s">
        <v>346</v>
      </c>
      <c r="G176" s="3">
        <v>45971.47789756945</v>
      </c>
      <c r="H176" s="3">
        <v>45971.5689300463</v>
      </c>
      <c r="I176" s="2" t="s">
        <v>447</v>
      </c>
      <c r="J176" s="93" t="s">
        <v>1802</v>
      </c>
      <c r="K176" s="2" t="s">
        <v>2542</v>
      </c>
      <c r="L176" s="4"/>
      <c r="M176" s="4"/>
      <c r="N176" s="4"/>
      <c r="O176" s="4"/>
      <c r="P176" s="4"/>
      <c r="Q176" s="4"/>
      <c r="R176" s="4"/>
      <c r="S176" s="4"/>
      <c r="T176" s="4"/>
      <c r="U176" s="4"/>
      <c r="V176" s="4"/>
      <c r="W176" s="4"/>
      <c r="X176" s="4"/>
      <c r="Y176" s="4"/>
      <c r="Z176" s="4"/>
    </row>
    <row r="177">
      <c r="A177" s="33" t="s">
        <v>2598</v>
      </c>
      <c r="B177" s="2" t="s">
        <v>2599</v>
      </c>
      <c r="C177" s="2" t="s">
        <v>2600</v>
      </c>
      <c r="D177" s="2" t="s">
        <v>2601</v>
      </c>
      <c r="E177" s="2" t="s">
        <v>23</v>
      </c>
      <c r="F177" s="2" t="s">
        <v>382</v>
      </c>
      <c r="G177" s="3">
        <v>45971.62039740741</v>
      </c>
      <c r="H177" s="3">
        <v>45971.71290392361</v>
      </c>
      <c r="I177" s="2" t="s">
        <v>2602</v>
      </c>
      <c r="J177" s="2"/>
      <c r="K177" s="2"/>
      <c r="L177" s="4"/>
      <c r="M177" s="4"/>
      <c r="N177" s="4"/>
      <c r="O177" s="4"/>
      <c r="P177" s="4"/>
      <c r="Q177" s="4"/>
      <c r="R177" s="4"/>
      <c r="S177" s="4"/>
      <c r="T177" s="4"/>
      <c r="U177" s="4"/>
      <c r="V177" s="4"/>
      <c r="W177" s="4"/>
      <c r="X177" s="4"/>
      <c r="Y177" s="4"/>
      <c r="Z177" s="4"/>
    </row>
    <row r="178">
      <c r="A178" s="33" t="s">
        <v>2635</v>
      </c>
      <c r="B178" s="2" t="s">
        <v>2636</v>
      </c>
      <c r="C178" s="2" t="s">
        <v>2637</v>
      </c>
      <c r="D178" s="2" t="s">
        <v>2638</v>
      </c>
      <c r="E178" s="2" t="s">
        <v>23</v>
      </c>
      <c r="F178" s="2" t="s">
        <v>382</v>
      </c>
      <c r="G178" s="3">
        <v>45971.72080484954</v>
      </c>
      <c r="H178" s="3">
        <v>45971.75334041667</v>
      </c>
      <c r="I178" s="2" t="s">
        <v>2497</v>
      </c>
      <c r="J178" s="2"/>
      <c r="K178" s="2"/>
      <c r="L178" s="4"/>
      <c r="M178" s="4"/>
      <c r="N178" s="4"/>
      <c r="O178" s="4"/>
      <c r="P178" s="4"/>
      <c r="Q178" s="4"/>
      <c r="R178" s="4"/>
      <c r="S178" s="4"/>
      <c r="T178" s="4"/>
      <c r="U178" s="4"/>
      <c r="V178" s="4"/>
      <c r="W178" s="4"/>
      <c r="X178" s="4"/>
      <c r="Y178" s="4"/>
      <c r="Z178" s="4"/>
    </row>
    <row r="179">
      <c r="A179" s="33" t="s">
        <v>1578</v>
      </c>
      <c r="B179" s="2" t="s">
        <v>2473</v>
      </c>
      <c r="C179" s="2" t="s">
        <v>1580</v>
      </c>
      <c r="D179" s="2" t="s">
        <v>1581</v>
      </c>
      <c r="E179" s="2" t="s">
        <v>25</v>
      </c>
      <c r="F179" s="2" t="s">
        <v>331</v>
      </c>
      <c r="G179" s="3">
        <v>45971.371027546294</v>
      </c>
      <c r="H179" s="3">
        <v>45971.43919416667</v>
      </c>
      <c r="I179" s="2" t="s">
        <v>461</v>
      </c>
      <c r="J179" s="93" t="s">
        <v>1582</v>
      </c>
      <c r="K179" s="2"/>
      <c r="L179" s="4"/>
      <c r="M179" s="4"/>
      <c r="N179" s="4"/>
      <c r="O179" s="4"/>
      <c r="P179" s="4"/>
      <c r="Q179" s="4"/>
      <c r="R179" s="4"/>
      <c r="S179" s="4"/>
      <c r="T179" s="4"/>
      <c r="U179" s="4"/>
      <c r="V179" s="4"/>
      <c r="W179" s="4"/>
      <c r="X179" s="4"/>
      <c r="Y179" s="4"/>
      <c r="Z179" s="4"/>
    </row>
    <row r="180">
      <c r="A180" s="33" t="s">
        <v>2604</v>
      </c>
      <c r="B180" s="2" t="s">
        <v>2605</v>
      </c>
      <c r="C180" s="2" t="s">
        <v>2606</v>
      </c>
      <c r="D180" s="2" t="s">
        <v>2607</v>
      </c>
      <c r="E180" s="2" t="s">
        <v>25</v>
      </c>
      <c r="F180" s="2" t="s">
        <v>331</v>
      </c>
      <c r="G180" s="3">
        <v>45971.70386741898</v>
      </c>
      <c r="H180" s="3">
        <v>45971.74533091435</v>
      </c>
      <c r="I180" s="2" t="s">
        <v>1924</v>
      </c>
      <c r="J180" s="93" t="s">
        <v>2608</v>
      </c>
      <c r="K180" s="93" t="s">
        <v>2609</v>
      </c>
      <c r="L180" s="4"/>
      <c r="M180" s="4"/>
      <c r="N180" s="4"/>
      <c r="O180" s="4"/>
      <c r="P180" s="4"/>
      <c r="Q180" s="4"/>
      <c r="R180" s="4"/>
      <c r="S180" s="4"/>
      <c r="T180" s="4"/>
      <c r="U180" s="4"/>
      <c r="V180" s="4"/>
      <c r="W180" s="4"/>
      <c r="X180" s="4"/>
      <c r="Y180" s="4"/>
      <c r="Z180" s="4"/>
    </row>
    <row r="181">
      <c r="A181" s="33" t="s">
        <v>2560</v>
      </c>
      <c r="B181" s="2" t="s">
        <v>2561</v>
      </c>
      <c r="C181" s="2" t="s">
        <v>2562</v>
      </c>
      <c r="D181" s="2" t="s">
        <v>2563</v>
      </c>
      <c r="E181" s="2" t="s">
        <v>25</v>
      </c>
      <c r="F181" s="2" t="s">
        <v>331</v>
      </c>
      <c r="G181" s="3">
        <v>45971.58116501158</v>
      </c>
      <c r="H181" s="3">
        <v>45971.62109881944</v>
      </c>
      <c r="I181" s="2" t="s">
        <v>388</v>
      </c>
      <c r="J181" s="93" t="s">
        <v>2564</v>
      </c>
      <c r="K181" s="2" t="s">
        <v>2565</v>
      </c>
      <c r="L181" s="4"/>
      <c r="M181" s="4"/>
      <c r="N181" s="4"/>
      <c r="O181" s="4"/>
      <c r="P181" s="4"/>
      <c r="Q181" s="4"/>
      <c r="R181" s="4"/>
      <c r="S181" s="4"/>
      <c r="T181" s="4"/>
      <c r="U181" s="4"/>
      <c r="V181" s="4"/>
      <c r="W181" s="4"/>
      <c r="X181" s="4"/>
      <c r="Y181" s="4"/>
      <c r="Z181" s="4"/>
    </row>
    <row r="182">
      <c r="A182" s="33" t="s">
        <v>1745</v>
      </c>
      <c r="B182" s="2" t="s">
        <v>2593</v>
      </c>
      <c r="C182" s="2" t="s">
        <v>1747</v>
      </c>
      <c r="D182" s="2" t="s">
        <v>1748</v>
      </c>
      <c r="E182" s="2" t="s">
        <v>25</v>
      </c>
      <c r="F182" s="2" t="s">
        <v>331</v>
      </c>
      <c r="G182" s="3">
        <v>45971.62691076389</v>
      </c>
      <c r="H182" s="3">
        <v>45971.688226909726</v>
      </c>
      <c r="I182" s="2" t="s">
        <v>2340</v>
      </c>
      <c r="J182" s="93" t="s">
        <v>1749</v>
      </c>
      <c r="K182" s="2" t="s">
        <v>2594</v>
      </c>
      <c r="L182" s="4"/>
      <c r="M182" s="4"/>
      <c r="N182" s="4"/>
      <c r="O182" s="4"/>
      <c r="P182" s="4"/>
      <c r="Q182" s="4"/>
      <c r="R182" s="4"/>
      <c r="S182" s="4"/>
      <c r="T182" s="4"/>
      <c r="U182" s="4"/>
      <c r="V182" s="4"/>
      <c r="W182" s="4"/>
      <c r="X182" s="4"/>
      <c r="Y182" s="4"/>
      <c r="Z182" s="4"/>
    </row>
    <row r="183">
      <c r="A183" s="33" t="s">
        <v>2508</v>
      </c>
      <c r="B183" s="2" t="s">
        <v>2509</v>
      </c>
      <c r="C183" s="2" t="s">
        <v>2510</v>
      </c>
      <c r="D183" s="2" t="s">
        <v>2511</v>
      </c>
      <c r="E183" s="2" t="s">
        <v>25</v>
      </c>
      <c r="F183" s="2" t="s">
        <v>2496</v>
      </c>
      <c r="G183" s="3">
        <v>45971.453412627314</v>
      </c>
      <c r="H183" s="3">
        <v>45971.528681875</v>
      </c>
      <c r="I183" s="2" t="s">
        <v>96</v>
      </c>
      <c r="J183" s="93" t="s">
        <v>2512</v>
      </c>
      <c r="K183" s="2" t="s">
        <v>2513</v>
      </c>
      <c r="L183" s="4"/>
      <c r="M183" s="4"/>
      <c r="N183" s="4"/>
      <c r="O183" s="4"/>
      <c r="P183" s="4"/>
      <c r="Q183" s="4"/>
      <c r="R183" s="4"/>
      <c r="S183" s="4"/>
      <c r="T183" s="4"/>
      <c r="U183" s="4"/>
      <c r="V183" s="4"/>
      <c r="W183" s="4"/>
      <c r="X183" s="4"/>
      <c r="Y183" s="4"/>
      <c r="Z183" s="4"/>
    </row>
    <row r="184">
      <c r="A184" s="33" t="s">
        <v>2575</v>
      </c>
      <c r="B184" s="2" t="s">
        <v>2576</v>
      </c>
      <c r="C184" s="2" t="s">
        <v>2577</v>
      </c>
      <c r="D184" s="2" t="s">
        <v>2578</v>
      </c>
      <c r="E184" s="2" t="s">
        <v>27</v>
      </c>
      <c r="F184" s="2" t="s">
        <v>331</v>
      </c>
      <c r="G184" s="3">
        <v>45971.60299684027</v>
      </c>
      <c r="H184" s="3">
        <v>45971.659062499995</v>
      </c>
      <c r="I184" s="2" t="s">
        <v>398</v>
      </c>
      <c r="J184" s="93" t="s">
        <v>2579</v>
      </c>
      <c r="K184" s="2" t="s">
        <v>2580</v>
      </c>
      <c r="L184" s="4"/>
      <c r="M184" s="4"/>
      <c r="N184" s="4"/>
      <c r="O184" s="4"/>
      <c r="P184" s="4"/>
      <c r="Q184" s="4"/>
      <c r="R184" s="4"/>
      <c r="S184" s="4"/>
      <c r="T184" s="4"/>
      <c r="U184" s="4"/>
      <c r="V184" s="4"/>
      <c r="W184" s="4"/>
      <c r="X184" s="4"/>
      <c r="Y184" s="4"/>
      <c r="Z184" s="4"/>
    </row>
    <row r="185">
      <c r="A185" s="33" t="s">
        <v>1464</v>
      </c>
      <c r="B185" s="2" t="s">
        <v>2481</v>
      </c>
      <c r="C185" s="2" t="s">
        <v>2482</v>
      </c>
      <c r="D185" s="2" t="s">
        <v>2483</v>
      </c>
      <c r="E185" s="2" t="s">
        <v>27</v>
      </c>
      <c r="F185" s="2" t="s">
        <v>331</v>
      </c>
      <c r="G185" s="3">
        <v>45971.36758377315</v>
      </c>
      <c r="H185" s="3">
        <v>45971.45860533565</v>
      </c>
      <c r="I185" s="2" t="s">
        <v>447</v>
      </c>
      <c r="J185" s="93" t="s">
        <v>2484</v>
      </c>
      <c r="K185" s="2" t="s">
        <v>2485</v>
      </c>
      <c r="L185" s="4"/>
      <c r="M185" s="4"/>
      <c r="N185" s="4"/>
      <c r="O185" s="4"/>
      <c r="P185" s="4"/>
      <c r="Q185" s="4"/>
      <c r="R185" s="4"/>
      <c r="S185" s="4"/>
      <c r="T185" s="4"/>
      <c r="U185" s="4"/>
      <c r="V185" s="4"/>
      <c r="W185" s="4"/>
      <c r="X185" s="4"/>
      <c r="Y185" s="4"/>
      <c r="Z185" s="4"/>
    </row>
    <row r="186">
      <c r="A186" s="33" t="s">
        <v>2520</v>
      </c>
      <c r="B186" s="2" t="s">
        <v>2521</v>
      </c>
      <c r="C186" s="2" t="s">
        <v>2522</v>
      </c>
      <c r="D186" s="2" t="s">
        <v>2523</v>
      </c>
      <c r="E186" s="2" t="s">
        <v>27</v>
      </c>
      <c r="F186" s="2" t="s">
        <v>2496</v>
      </c>
      <c r="G186" s="3">
        <v>45971.48511018518</v>
      </c>
      <c r="H186" s="3">
        <v>45971.55949972222</v>
      </c>
      <c r="I186" s="2" t="s">
        <v>354</v>
      </c>
      <c r="J186" s="93" t="s">
        <v>2524</v>
      </c>
      <c r="K186" s="2" t="s">
        <v>2525</v>
      </c>
      <c r="L186" s="9" t="s">
        <v>35</v>
      </c>
      <c r="M186" s="4"/>
      <c r="N186" s="4"/>
      <c r="O186" s="4"/>
      <c r="P186" s="4"/>
      <c r="Q186" s="4"/>
      <c r="R186" s="4"/>
      <c r="S186" s="4"/>
      <c r="T186" s="4"/>
      <c r="U186" s="4"/>
      <c r="V186" s="4"/>
      <c r="W186" s="4"/>
      <c r="X186" s="4"/>
      <c r="Y186" s="4"/>
      <c r="Z186" s="4"/>
    </row>
    <row r="187">
      <c r="A187" s="33" t="s">
        <v>2624</v>
      </c>
      <c r="B187" s="2" t="s">
        <v>2625</v>
      </c>
      <c r="C187" s="2" t="s">
        <v>2626</v>
      </c>
      <c r="D187" s="2" t="s">
        <v>2627</v>
      </c>
      <c r="E187" s="2" t="s">
        <v>27</v>
      </c>
      <c r="F187" s="2" t="s">
        <v>2628</v>
      </c>
      <c r="G187" s="3">
        <v>45971.681087916666</v>
      </c>
      <c r="H187" s="3">
        <v>45971.751389537036</v>
      </c>
      <c r="I187" s="2" t="s">
        <v>454</v>
      </c>
      <c r="J187" s="2"/>
      <c r="K187" s="2"/>
      <c r="L187" s="4"/>
      <c r="M187" s="4"/>
      <c r="N187" s="4"/>
      <c r="O187" s="4"/>
      <c r="P187" s="4"/>
      <c r="Q187" s="4"/>
      <c r="R187" s="4"/>
      <c r="S187" s="4"/>
      <c r="T187" s="4"/>
      <c r="U187" s="4"/>
      <c r="V187" s="4"/>
      <c r="W187" s="4"/>
      <c r="X187" s="4"/>
      <c r="Y187" s="4"/>
      <c r="Z187" s="4"/>
    </row>
    <row r="188">
      <c r="A188" s="33" t="s">
        <v>1590</v>
      </c>
      <c r="B188" s="2" t="s">
        <v>2470</v>
      </c>
      <c r="C188" s="2" t="s">
        <v>1592</v>
      </c>
      <c r="D188" s="2" t="s">
        <v>1593</v>
      </c>
      <c r="E188" s="2" t="s">
        <v>31</v>
      </c>
      <c r="F188" s="2" t="s">
        <v>331</v>
      </c>
      <c r="G188" s="3">
        <v>45971.36689395833</v>
      </c>
      <c r="H188" s="3">
        <v>45971.43708650463</v>
      </c>
      <c r="I188" s="2" t="s">
        <v>454</v>
      </c>
      <c r="J188" s="93" t="s">
        <v>1594</v>
      </c>
      <c r="K188" s="2" t="s">
        <v>1595</v>
      </c>
      <c r="L188" s="4"/>
      <c r="M188" s="4"/>
      <c r="N188" s="4"/>
      <c r="O188" s="4"/>
      <c r="P188" s="4"/>
      <c r="Q188" s="4"/>
      <c r="R188" s="4"/>
      <c r="S188" s="4"/>
      <c r="T188" s="4"/>
      <c r="U188" s="4"/>
      <c r="V188" s="4"/>
      <c r="W188" s="4"/>
      <c r="X188" s="4"/>
      <c r="Y188" s="4"/>
      <c r="Z188" s="4"/>
    </row>
    <row r="189">
      <c r="A189" s="33" t="s">
        <v>2610</v>
      </c>
      <c r="B189" s="2" t="s">
        <v>2611</v>
      </c>
      <c r="C189" s="2" t="s">
        <v>2612</v>
      </c>
      <c r="D189" s="2" t="s">
        <v>2613</v>
      </c>
      <c r="E189" s="2" t="s">
        <v>31</v>
      </c>
      <c r="F189" s="2" t="s">
        <v>331</v>
      </c>
      <c r="G189" s="3">
        <v>45971.68181369213</v>
      </c>
      <c r="H189" s="3">
        <v>45971.7469309375</v>
      </c>
      <c r="I189" s="2" t="s">
        <v>473</v>
      </c>
      <c r="J189" s="93" t="s">
        <v>2614</v>
      </c>
      <c r="K189" s="2" t="s">
        <v>2615</v>
      </c>
      <c r="L189" s="9" t="s">
        <v>27</v>
      </c>
      <c r="M189" s="4"/>
      <c r="N189" s="4"/>
      <c r="O189" s="4"/>
      <c r="P189" s="4"/>
      <c r="Q189" s="4"/>
      <c r="R189" s="4"/>
      <c r="S189" s="4"/>
      <c r="T189" s="4"/>
      <c r="U189" s="4"/>
      <c r="V189" s="4"/>
      <c r="W189" s="4"/>
      <c r="X189" s="4"/>
      <c r="Y189" s="4"/>
      <c r="Z189" s="4"/>
    </row>
    <row r="190">
      <c r="A190" s="33" t="s">
        <v>2569</v>
      </c>
      <c r="B190" s="2" t="s">
        <v>2570</v>
      </c>
      <c r="C190" s="2" t="s">
        <v>2571</v>
      </c>
      <c r="D190" s="2" t="s">
        <v>2572</v>
      </c>
      <c r="E190" s="2" t="s">
        <v>31</v>
      </c>
      <c r="F190" s="2" t="s">
        <v>331</v>
      </c>
      <c r="G190" s="3">
        <v>45971.58787883102</v>
      </c>
      <c r="H190" s="3">
        <v>45971.649856018514</v>
      </c>
      <c r="I190" s="2" t="s">
        <v>573</v>
      </c>
      <c r="J190" s="93" t="s">
        <v>2573</v>
      </c>
      <c r="K190" s="2" t="s">
        <v>2574</v>
      </c>
      <c r="L190" s="9" t="s">
        <v>19</v>
      </c>
      <c r="M190" s="4"/>
      <c r="N190" s="4"/>
      <c r="O190" s="4"/>
      <c r="P190" s="4"/>
      <c r="Q190" s="4"/>
      <c r="R190" s="4"/>
      <c r="S190" s="4"/>
      <c r="T190" s="4"/>
      <c r="U190" s="4"/>
      <c r="V190" s="4"/>
      <c r="W190" s="4"/>
      <c r="X190" s="4"/>
      <c r="Y190" s="4"/>
      <c r="Z190" s="4"/>
    </row>
    <row r="191">
      <c r="A191" s="33" t="s">
        <v>2528</v>
      </c>
      <c r="B191" s="2" t="s">
        <v>2529</v>
      </c>
      <c r="C191" s="2" t="s">
        <v>2530</v>
      </c>
      <c r="D191" s="2" t="s">
        <v>2531</v>
      </c>
      <c r="E191" s="2" t="s">
        <v>31</v>
      </c>
      <c r="F191" s="2" t="s">
        <v>2496</v>
      </c>
      <c r="G191" s="3">
        <v>45971.48260335648</v>
      </c>
      <c r="H191" s="3">
        <v>45971.56246136574</v>
      </c>
      <c r="I191" s="2" t="s">
        <v>456</v>
      </c>
      <c r="J191" s="93" t="s">
        <v>2532</v>
      </c>
      <c r="K191" s="2" t="s">
        <v>2533</v>
      </c>
      <c r="L191" s="4"/>
      <c r="M191" s="4"/>
      <c r="N191" s="4"/>
      <c r="O191" s="4"/>
      <c r="P191" s="4"/>
      <c r="Q191" s="4"/>
      <c r="R191" s="4"/>
      <c r="S191" s="4"/>
      <c r="T191" s="4"/>
      <c r="U191" s="4"/>
      <c r="V191" s="4"/>
      <c r="W191" s="4"/>
      <c r="X191" s="4"/>
      <c r="Y191" s="4"/>
      <c r="Z191" s="4"/>
    </row>
    <row r="192">
      <c r="A192" s="33" t="s">
        <v>1670</v>
      </c>
      <c r="B192" s="2" t="s">
        <v>2506</v>
      </c>
      <c r="C192" s="2" t="s">
        <v>1672</v>
      </c>
      <c r="D192" s="2" t="s">
        <v>1673</v>
      </c>
      <c r="E192" s="2" t="s">
        <v>35</v>
      </c>
      <c r="F192" s="2" t="s">
        <v>331</v>
      </c>
      <c r="G192" s="3">
        <v>45971.5020687037</v>
      </c>
      <c r="H192" s="3">
        <v>45971.51839484954</v>
      </c>
      <c r="I192" s="2" t="s">
        <v>531</v>
      </c>
      <c r="J192" s="93" t="s">
        <v>1674</v>
      </c>
      <c r="K192" s="2" t="s">
        <v>2507</v>
      </c>
      <c r="L192" s="4"/>
      <c r="M192" s="4"/>
      <c r="N192" s="4"/>
      <c r="O192" s="4"/>
      <c r="P192" s="4"/>
      <c r="Q192" s="4"/>
      <c r="R192" s="4"/>
      <c r="S192" s="4"/>
      <c r="T192" s="4"/>
      <c r="U192" s="4"/>
      <c r="V192" s="4"/>
      <c r="W192" s="4"/>
      <c r="X192" s="4"/>
      <c r="Y192" s="4"/>
      <c r="Z192" s="4"/>
    </row>
    <row r="193">
      <c r="A193" s="33" t="s">
        <v>289</v>
      </c>
      <c r="B193" s="2" t="s">
        <v>290</v>
      </c>
      <c r="C193" s="2" t="s">
        <v>291</v>
      </c>
      <c r="D193" s="2" t="s">
        <v>292</v>
      </c>
      <c r="E193" s="2" t="s">
        <v>35</v>
      </c>
      <c r="F193" s="2" t="s">
        <v>331</v>
      </c>
      <c r="G193" s="3">
        <v>45971.37009215278</v>
      </c>
      <c r="H193" s="3">
        <v>45971.43933850694</v>
      </c>
      <c r="I193" s="2" t="s">
        <v>403</v>
      </c>
      <c r="J193" s="93" t="s">
        <v>295</v>
      </c>
      <c r="K193" s="2" t="s">
        <v>296</v>
      </c>
      <c r="L193" s="4"/>
      <c r="M193" s="4"/>
      <c r="N193" s="4"/>
      <c r="O193" s="4"/>
      <c r="P193" s="4"/>
      <c r="Q193" s="4"/>
      <c r="R193" s="4"/>
      <c r="S193" s="4"/>
      <c r="T193" s="4"/>
      <c r="U193" s="4"/>
      <c r="V193" s="4"/>
      <c r="W193" s="4"/>
      <c r="X193" s="4"/>
      <c r="Y193" s="4"/>
      <c r="Z193" s="4"/>
    </row>
    <row r="194">
      <c r="A194" s="33" t="s">
        <v>297</v>
      </c>
      <c r="B194" s="2" t="s">
        <v>298</v>
      </c>
      <c r="C194" s="2" t="s">
        <v>299</v>
      </c>
      <c r="D194" s="2" t="s">
        <v>300</v>
      </c>
      <c r="E194" s="2" t="s">
        <v>35</v>
      </c>
      <c r="F194" s="2" t="s">
        <v>331</v>
      </c>
      <c r="G194" s="3">
        <v>45971.43956395834</v>
      </c>
      <c r="H194" s="3">
        <v>45971.50189746528</v>
      </c>
      <c r="I194" s="2" t="s">
        <v>138</v>
      </c>
      <c r="J194" s="93" t="s">
        <v>301</v>
      </c>
      <c r="K194" s="2" t="s">
        <v>302</v>
      </c>
      <c r="L194" s="4"/>
      <c r="M194" s="4"/>
      <c r="N194" s="4"/>
      <c r="O194" s="4"/>
      <c r="P194" s="4"/>
      <c r="Q194" s="4"/>
      <c r="R194" s="4"/>
      <c r="S194" s="4"/>
      <c r="T194" s="4"/>
      <c r="U194" s="4"/>
      <c r="V194" s="4"/>
      <c r="W194" s="4"/>
      <c r="X194" s="4"/>
      <c r="Y194" s="4"/>
      <c r="Z194" s="4"/>
    </row>
    <row r="195">
      <c r="A195" s="33" t="s">
        <v>2629</v>
      </c>
      <c r="B195" s="2" t="s">
        <v>2630</v>
      </c>
      <c r="C195" s="2" t="s">
        <v>2631</v>
      </c>
      <c r="D195" s="2" t="s">
        <v>2632</v>
      </c>
      <c r="E195" s="2" t="s">
        <v>35</v>
      </c>
      <c r="F195" s="2" t="s">
        <v>331</v>
      </c>
      <c r="G195" s="3">
        <v>45971.66647438657</v>
      </c>
      <c r="H195" s="3">
        <v>45971.75144451389</v>
      </c>
      <c r="I195" s="2" t="s">
        <v>2113</v>
      </c>
      <c r="J195" s="93" t="s">
        <v>2633</v>
      </c>
      <c r="K195" s="2" t="s">
        <v>2634</v>
      </c>
      <c r="L195" s="4"/>
      <c r="M195" s="4"/>
      <c r="N195" s="4"/>
      <c r="O195" s="4"/>
      <c r="P195" s="4"/>
      <c r="Q195" s="4"/>
      <c r="R195" s="4"/>
      <c r="S195" s="4"/>
      <c r="T195" s="4"/>
      <c r="U195" s="4"/>
      <c r="V195" s="4"/>
      <c r="W195" s="4"/>
      <c r="X195" s="4"/>
      <c r="Y195" s="4"/>
      <c r="Z195" s="4"/>
    </row>
    <row r="196">
      <c r="A196" s="33" t="s">
        <v>2554</v>
      </c>
      <c r="B196" s="2" t="s">
        <v>2555</v>
      </c>
      <c r="C196" s="2" t="s">
        <v>2556</v>
      </c>
      <c r="D196" s="2" t="s">
        <v>2557</v>
      </c>
      <c r="E196" s="2" t="s">
        <v>35</v>
      </c>
      <c r="F196" s="2" t="s">
        <v>2538</v>
      </c>
      <c r="G196" s="3">
        <v>45971.54360694444</v>
      </c>
      <c r="H196" s="3">
        <v>45971.61085891204</v>
      </c>
      <c r="I196" s="2" t="s">
        <v>332</v>
      </c>
      <c r="J196" s="93" t="s">
        <v>2558</v>
      </c>
      <c r="K196" s="2" t="s">
        <v>2559</v>
      </c>
      <c r="L196" s="4"/>
      <c r="M196" s="4"/>
      <c r="N196" s="4"/>
      <c r="O196" s="4"/>
      <c r="P196" s="4"/>
      <c r="Q196" s="4"/>
      <c r="R196" s="4"/>
      <c r="S196" s="4"/>
      <c r="T196" s="4"/>
      <c r="U196" s="4"/>
      <c r="V196" s="4"/>
      <c r="W196" s="4"/>
      <c r="X196" s="4"/>
      <c r="Y196" s="4"/>
      <c r="Z196" s="4"/>
    </row>
    <row r="197">
      <c r="A197" s="33" t="s">
        <v>1584</v>
      </c>
      <c r="B197" s="2" t="s">
        <v>2471</v>
      </c>
      <c r="C197" s="2" t="s">
        <v>1586</v>
      </c>
      <c r="D197" s="2" t="s">
        <v>1587</v>
      </c>
      <c r="E197" s="2" t="s">
        <v>38</v>
      </c>
      <c r="F197" s="2" t="s">
        <v>331</v>
      </c>
      <c r="G197" s="3">
        <v>45971.37235936343</v>
      </c>
      <c r="H197" s="3">
        <v>45971.43723618056</v>
      </c>
      <c r="I197" s="2" t="s">
        <v>539</v>
      </c>
      <c r="J197" s="93" t="s">
        <v>1588</v>
      </c>
      <c r="K197" s="2" t="s">
        <v>2472</v>
      </c>
      <c r="L197" s="4"/>
      <c r="M197" s="4"/>
      <c r="N197" s="4"/>
      <c r="O197" s="4"/>
      <c r="P197" s="4"/>
      <c r="Q197" s="4"/>
      <c r="R197" s="4"/>
      <c r="S197" s="4"/>
      <c r="T197" s="4"/>
      <c r="U197" s="4"/>
      <c r="V197" s="4"/>
      <c r="W197" s="4"/>
      <c r="X197" s="4"/>
      <c r="Y197" s="4"/>
      <c r="Z197" s="4"/>
    </row>
    <row r="198">
      <c r="A198" s="33" t="s">
        <v>1714</v>
      </c>
      <c r="B198" s="2" t="s">
        <v>2581</v>
      </c>
      <c r="C198" s="2" t="s">
        <v>2582</v>
      </c>
      <c r="D198" s="2" t="s">
        <v>2583</v>
      </c>
      <c r="E198" s="2" t="s">
        <v>38</v>
      </c>
      <c r="F198" s="2" t="s">
        <v>331</v>
      </c>
      <c r="G198" s="3">
        <v>45971.54504496528</v>
      </c>
      <c r="H198" s="3">
        <v>45971.66771649306</v>
      </c>
      <c r="I198" s="2" t="s">
        <v>496</v>
      </c>
      <c r="J198" s="93" t="s">
        <v>1718</v>
      </c>
      <c r="K198" s="2" t="s">
        <v>2584</v>
      </c>
      <c r="L198" s="9" t="s">
        <v>27</v>
      </c>
      <c r="M198" s="4"/>
      <c r="N198" s="4"/>
      <c r="O198" s="4"/>
      <c r="P198" s="4"/>
      <c r="Q198" s="4"/>
      <c r="R198" s="4"/>
      <c r="S198" s="4"/>
      <c r="T198" s="4"/>
      <c r="U198" s="4"/>
      <c r="V198" s="4"/>
      <c r="W198" s="4"/>
      <c r="X198" s="4"/>
      <c r="Y198" s="4"/>
      <c r="Z198" s="4"/>
    </row>
    <row r="199">
      <c r="A199" s="33" t="s">
        <v>1603</v>
      </c>
      <c r="B199" s="2" t="s">
        <v>2620</v>
      </c>
      <c r="C199" s="2" t="s">
        <v>1605</v>
      </c>
      <c r="D199" s="2" t="s">
        <v>1606</v>
      </c>
      <c r="E199" s="2" t="s">
        <v>38</v>
      </c>
      <c r="F199" s="2" t="s">
        <v>331</v>
      </c>
      <c r="G199" s="3">
        <v>45971.715910625004</v>
      </c>
      <c r="H199" s="3">
        <v>45971.75058412037</v>
      </c>
      <c r="I199" s="2" t="s">
        <v>478</v>
      </c>
      <c r="J199" s="93" t="s">
        <v>1608</v>
      </c>
      <c r="K199" s="2" t="s">
        <v>2621</v>
      </c>
      <c r="L199" s="4"/>
      <c r="M199" s="4"/>
      <c r="N199" s="4"/>
      <c r="O199" s="4"/>
      <c r="P199" s="4"/>
      <c r="Q199" s="4"/>
      <c r="R199" s="4"/>
      <c r="S199" s="4"/>
      <c r="T199" s="4"/>
      <c r="U199" s="4"/>
      <c r="V199" s="4"/>
      <c r="W199" s="4"/>
      <c r="X199" s="4"/>
      <c r="Y199" s="4"/>
      <c r="Z199" s="4"/>
    </row>
    <row r="200">
      <c r="A200" s="33" t="s">
        <v>2500</v>
      </c>
      <c r="B200" s="2" t="s">
        <v>2501</v>
      </c>
      <c r="C200" s="2" t="s">
        <v>2502</v>
      </c>
      <c r="D200" s="2" t="s">
        <v>2503</v>
      </c>
      <c r="E200" s="2" t="s">
        <v>38</v>
      </c>
      <c r="F200" s="2" t="s">
        <v>2496</v>
      </c>
      <c r="G200" s="3">
        <v>45971.45054064815</v>
      </c>
      <c r="H200" s="3">
        <v>45971.49629034722</v>
      </c>
      <c r="I200" s="2" t="s">
        <v>1950</v>
      </c>
      <c r="J200" s="93" t="s">
        <v>2504</v>
      </c>
      <c r="K200" s="2" t="s">
        <v>2505</v>
      </c>
      <c r="L200" s="4"/>
      <c r="M200" s="4"/>
      <c r="N200" s="4"/>
      <c r="O200" s="4"/>
      <c r="P200" s="4"/>
      <c r="Q200" s="4"/>
      <c r="R200" s="4"/>
      <c r="S200" s="4"/>
      <c r="T200" s="4"/>
      <c r="U200" s="4"/>
      <c r="V200" s="4"/>
      <c r="W200" s="4"/>
      <c r="X200" s="4"/>
      <c r="Y200" s="4"/>
      <c r="Z200" s="4"/>
    </row>
    <row r="201">
      <c r="A201" s="33" t="s">
        <v>264</v>
      </c>
      <c r="B201" s="2" t="s">
        <v>2595</v>
      </c>
      <c r="C201" s="2" t="s">
        <v>266</v>
      </c>
      <c r="D201" s="2" t="s">
        <v>267</v>
      </c>
      <c r="E201" s="2" t="s">
        <v>38</v>
      </c>
      <c r="F201" s="2" t="s">
        <v>1689</v>
      </c>
      <c r="G201" s="3">
        <v>45971.69524612269</v>
      </c>
      <c r="H201" s="3">
        <v>45971.70915101852</v>
      </c>
      <c r="I201" s="2" t="s">
        <v>192</v>
      </c>
      <c r="J201" s="93" t="s">
        <v>2596</v>
      </c>
      <c r="K201" s="2" t="s">
        <v>2597</v>
      </c>
      <c r="L201" s="4"/>
      <c r="M201" s="4"/>
      <c r="N201" s="4"/>
      <c r="O201" s="4"/>
      <c r="P201" s="4"/>
      <c r="Q201" s="4"/>
      <c r="R201" s="4"/>
      <c r="S201" s="4"/>
      <c r="T201" s="4"/>
      <c r="U201" s="4"/>
      <c r="V201" s="4"/>
      <c r="W201" s="4"/>
      <c r="X201" s="4"/>
      <c r="Y201" s="4"/>
      <c r="Z201" s="4"/>
    </row>
    <row r="202">
      <c r="A202" s="33" t="s">
        <v>462</v>
      </c>
      <c r="B202" s="2" t="s">
        <v>2474</v>
      </c>
      <c r="C202" s="2" t="s">
        <v>1730</v>
      </c>
      <c r="D202" s="2" t="s">
        <v>1731</v>
      </c>
      <c r="E202" s="2" t="s">
        <v>39</v>
      </c>
      <c r="F202" s="2" t="s">
        <v>346</v>
      </c>
      <c r="G202" s="3">
        <v>45971.37265175926</v>
      </c>
      <c r="H202" s="3">
        <v>45971.443731458334</v>
      </c>
      <c r="I202" s="2" t="s">
        <v>204</v>
      </c>
      <c r="J202" s="93" t="s">
        <v>1732</v>
      </c>
      <c r="K202" s="2" t="s">
        <v>1733</v>
      </c>
      <c r="L202" s="4"/>
      <c r="M202" s="4"/>
      <c r="N202" s="4"/>
      <c r="O202" s="4"/>
      <c r="P202" s="4"/>
      <c r="Q202" s="4"/>
      <c r="R202" s="4"/>
      <c r="S202" s="4"/>
      <c r="T202" s="4"/>
      <c r="U202" s="4"/>
      <c r="V202" s="4"/>
      <c r="W202" s="4"/>
      <c r="X202" s="4"/>
      <c r="Y202" s="4"/>
      <c r="Z202" s="4"/>
    </row>
    <row r="203">
      <c r="A203" s="33" t="s">
        <v>585</v>
      </c>
      <c r="B203" s="2" t="s">
        <v>2616</v>
      </c>
      <c r="C203" s="2" t="s">
        <v>2617</v>
      </c>
      <c r="D203" s="2" t="s">
        <v>2618</v>
      </c>
      <c r="E203" s="2" t="s">
        <v>39</v>
      </c>
      <c r="F203" s="2" t="s">
        <v>2538</v>
      </c>
      <c r="G203" s="3">
        <v>45971.4623431713</v>
      </c>
      <c r="H203" s="3">
        <v>45971.748239872686</v>
      </c>
      <c r="I203" s="2" t="s">
        <v>2619</v>
      </c>
      <c r="J203" s="2"/>
      <c r="K203" s="2"/>
      <c r="L203" s="4"/>
      <c r="M203" s="4"/>
      <c r="N203" s="4"/>
      <c r="O203" s="4"/>
      <c r="P203" s="4"/>
      <c r="Q203" s="4"/>
      <c r="R203" s="4"/>
      <c r="S203" s="4"/>
      <c r="T203" s="4"/>
      <c r="U203" s="4"/>
      <c r="V203" s="4"/>
      <c r="W203" s="4"/>
      <c r="X203" s="4"/>
      <c r="Y203" s="4"/>
      <c r="Z203" s="4"/>
    </row>
    <row r="204">
      <c r="A204" s="33" t="s">
        <v>303</v>
      </c>
      <c r="B204" s="2" t="s">
        <v>2462</v>
      </c>
      <c r="C204" s="2" t="s">
        <v>2463</v>
      </c>
      <c r="D204" s="2" t="s">
        <v>2464</v>
      </c>
      <c r="E204" s="2" t="s">
        <v>41</v>
      </c>
      <c r="F204" s="2" t="s">
        <v>331</v>
      </c>
      <c r="G204" s="3">
        <v>45971.35812398148</v>
      </c>
      <c r="H204" s="3">
        <v>45971.41392601852</v>
      </c>
      <c r="I204" s="2" t="s">
        <v>2465</v>
      </c>
      <c r="J204" s="93" t="s">
        <v>2466</v>
      </c>
      <c r="K204" s="2" t="s">
        <v>2467</v>
      </c>
      <c r="L204" s="4"/>
      <c r="M204" s="4"/>
      <c r="N204" s="4"/>
      <c r="O204" s="4"/>
      <c r="P204" s="4"/>
      <c r="Q204" s="4"/>
      <c r="R204" s="4"/>
      <c r="S204" s="4"/>
      <c r="T204" s="4"/>
      <c r="U204" s="4"/>
      <c r="V204" s="4"/>
      <c r="W204" s="4"/>
      <c r="X204" s="4"/>
      <c r="Y204" s="4"/>
      <c r="Z204" s="4"/>
    </row>
    <row r="205">
      <c r="A205" s="33" t="s">
        <v>2549</v>
      </c>
      <c r="B205" s="2" t="s">
        <v>2550</v>
      </c>
      <c r="C205" s="2" t="s">
        <v>2551</v>
      </c>
      <c r="D205" s="2" t="s">
        <v>1613</v>
      </c>
      <c r="E205" s="2" t="s">
        <v>41</v>
      </c>
      <c r="F205" s="2" t="s">
        <v>331</v>
      </c>
      <c r="G205" s="3">
        <v>45971.56639903935</v>
      </c>
      <c r="H205" s="3">
        <v>45971.61077951389</v>
      </c>
      <c r="I205" s="2" t="s">
        <v>2163</v>
      </c>
      <c r="J205" s="93" t="s">
        <v>2552</v>
      </c>
      <c r="K205" s="2" t="s">
        <v>2553</v>
      </c>
      <c r="L205" s="4"/>
      <c r="M205" s="4"/>
      <c r="N205" s="4"/>
      <c r="O205" s="4"/>
      <c r="P205" s="4"/>
      <c r="Q205" s="4"/>
      <c r="R205" s="4"/>
      <c r="S205" s="4"/>
      <c r="T205" s="4"/>
      <c r="U205" s="4"/>
      <c r="V205" s="4"/>
      <c r="W205" s="4"/>
      <c r="X205" s="4"/>
      <c r="Y205" s="4"/>
      <c r="Z205" s="4"/>
    </row>
    <row r="206">
      <c r="A206" s="33" t="s">
        <v>1610</v>
      </c>
      <c r="B206" s="2" t="s">
        <v>2526</v>
      </c>
      <c r="C206" s="2" t="s">
        <v>1612</v>
      </c>
      <c r="D206" s="2" t="s">
        <v>1613</v>
      </c>
      <c r="E206" s="2" t="s">
        <v>41</v>
      </c>
      <c r="F206" s="2" t="s">
        <v>331</v>
      </c>
      <c r="G206" s="3">
        <v>45971.50605069444</v>
      </c>
      <c r="H206" s="3">
        <v>45971.56207126158</v>
      </c>
      <c r="I206" s="2" t="s">
        <v>398</v>
      </c>
      <c r="J206" s="93" t="s">
        <v>1614</v>
      </c>
      <c r="K206" s="2" t="s">
        <v>2527</v>
      </c>
      <c r="L206" s="4"/>
      <c r="M206" s="4"/>
      <c r="N206" s="4"/>
      <c r="O206" s="4"/>
      <c r="P206" s="4"/>
      <c r="Q206" s="4"/>
      <c r="R206" s="4"/>
      <c r="S206" s="4"/>
      <c r="T206" s="4"/>
      <c r="U206" s="4"/>
      <c r="V206" s="4"/>
      <c r="W206" s="4"/>
      <c r="X206" s="4"/>
      <c r="Y206" s="4"/>
      <c r="Z206" s="4"/>
    </row>
    <row r="207">
      <c r="A207" s="33" t="s">
        <v>1914</v>
      </c>
      <c r="B207" s="2" t="s">
        <v>2603</v>
      </c>
      <c r="C207" s="2" t="s">
        <v>1916</v>
      </c>
      <c r="D207" s="2" t="s">
        <v>1917</v>
      </c>
      <c r="E207" s="2" t="s">
        <v>41</v>
      </c>
      <c r="F207" s="2" t="s">
        <v>346</v>
      </c>
      <c r="G207" s="3">
        <v>45971.6809779051</v>
      </c>
      <c r="H207" s="3">
        <v>45971.73330775463</v>
      </c>
      <c r="I207" s="2" t="s">
        <v>347</v>
      </c>
      <c r="J207" s="93" t="s">
        <v>1918</v>
      </c>
      <c r="K207" s="93" t="s">
        <v>1919</v>
      </c>
      <c r="L207" s="4"/>
      <c r="M207" s="4"/>
      <c r="N207" s="4"/>
      <c r="O207" s="4"/>
      <c r="P207" s="4"/>
      <c r="Q207" s="4"/>
      <c r="R207" s="4"/>
      <c r="S207" s="4"/>
      <c r="T207" s="4"/>
      <c r="U207" s="4"/>
      <c r="V207" s="4"/>
      <c r="W207" s="4"/>
      <c r="X207" s="4"/>
      <c r="Y207" s="4"/>
      <c r="Z207" s="4"/>
    </row>
    <row r="208">
      <c r="A208" s="33" t="s">
        <v>2492</v>
      </c>
      <c r="B208" s="2" t="s">
        <v>2493</v>
      </c>
      <c r="C208" s="2" t="s">
        <v>2494</v>
      </c>
      <c r="D208" s="2" t="s">
        <v>2495</v>
      </c>
      <c r="E208" s="2" t="s">
        <v>41</v>
      </c>
      <c r="F208" s="2" t="s">
        <v>2496</v>
      </c>
      <c r="G208" s="3">
        <v>45971.45589783565</v>
      </c>
      <c r="H208" s="3">
        <v>45971.48867295139</v>
      </c>
      <c r="I208" s="2" t="s">
        <v>2497</v>
      </c>
      <c r="J208" s="93" t="s">
        <v>2498</v>
      </c>
      <c r="K208" s="93" t="s">
        <v>2499</v>
      </c>
      <c r="L208" s="4"/>
      <c r="M208" s="4"/>
      <c r="N208" s="4"/>
      <c r="O208" s="4"/>
      <c r="P208" s="4"/>
      <c r="Q208" s="4"/>
      <c r="R208" s="4"/>
      <c r="S208" s="4"/>
      <c r="T208" s="4"/>
      <c r="U208" s="4"/>
      <c r="V208" s="4"/>
      <c r="W208" s="4"/>
      <c r="X208" s="4"/>
      <c r="Y208" s="4"/>
      <c r="Z208" s="4"/>
    </row>
    <row r="209">
      <c r="A209" s="33" t="s">
        <v>2766</v>
      </c>
      <c r="B209" s="2" t="s">
        <v>2767</v>
      </c>
      <c r="C209" s="2" t="s">
        <v>2768</v>
      </c>
      <c r="D209" s="2" t="s">
        <v>2769</v>
      </c>
      <c r="E209" s="2" t="s">
        <v>17</v>
      </c>
      <c r="F209" s="2" t="s">
        <v>331</v>
      </c>
      <c r="G209" s="3">
        <v>45972.63944690972</v>
      </c>
      <c r="H209" s="3">
        <v>45972.6828455787</v>
      </c>
      <c r="I209" s="2" t="s">
        <v>254</v>
      </c>
      <c r="J209" s="93" t="s">
        <v>2770</v>
      </c>
      <c r="K209" s="2" t="s">
        <v>2771</v>
      </c>
      <c r="L209" s="4"/>
      <c r="M209" s="4"/>
      <c r="N209" s="4"/>
      <c r="O209" s="4"/>
      <c r="P209" s="4"/>
      <c r="Q209" s="4"/>
      <c r="R209" s="4"/>
      <c r="S209" s="4"/>
      <c r="T209" s="4"/>
      <c r="U209" s="4"/>
      <c r="V209" s="4"/>
      <c r="W209" s="4"/>
      <c r="X209" s="4"/>
      <c r="Y209" s="4"/>
      <c r="Z209" s="4"/>
    </row>
    <row r="210">
      <c r="A210" s="33" t="s">
        <v>2813</v>
      </c>
      <c r="B210" s="2" t="s">
        <v>2814</v>
      </c>
      <c r="C210" s="2" t="s">
        <v>2815</v>
      </c>
      <c r="D210" s="2" t="s">
        <v>2816</v>
      </c>
      <c r="E210" s="2" t="s">
        <v>17</v>
      </c>
      <c r="F210" s="2" t="s">
        <v>331</v>
      </c>
      <c r="G210" s="3">
        <v>45972.70195732639</v>
      </c>
      <c r="H210" s="3">
        <v>45972.75169348379</v>
      </c>
      <c r="I210" s="2" t="s">
        <v>493</v>
      </c>
      <c r="J210" s="93" t="s">
        <v>2817</v>
      </c>
      <c r="K210" s="2" t="s">
        <v>2818</v>
      </c>
      <c r="L210" s="9" t="s">
        <v>17</v>
      </c>
      <c r="M210" s="4"/>
      <c r="N210" s="4"/>
      <c r="O210" s="4"/>
      <c r="P210" s="4"/>
      <c r="Q210" s="4"/>
      <c r="R210" s="4"/>
      <c r="S210" s="4"/>
      <c r="T210" s="4"/>
      <c r="U210" s="4"/>
      <c r="V210" s="4"/>
      <c r="W210" s="4"/>
      <c r="X210" s="4"/>
      <c r="Y210" s="4"/>
      <c r="Z210" s="4"/>
    </row>
    <row r="211">
      <c r="A211" s="33" t="s">
        <v>2698</v>
      </c>
      <c r="B211" s="2" t="s">
        <v>2699</v>
      </c>
      <c r="C211" s="2" t="s">
        <v>2700</v>
      </c>
      <c r="D211" s="2" t="s">
        <v>2701</v>
      </c>
      <c r="E211" s="2" t="s">
        <v>17</v>
      </c>
      <c r="F211" s="2" t="s">
        <v>331</v>
      </c>
      <c r="G211" s="3">
        <v>45972.47384276621</v>
      </c>
      <c r="H211" s="3">
        <v>45972.54631121528</v>
      </c>
      <c r="I211" s="2" t="s">
        <v>2119</v>
      </c>
      <c r="J211" s="93" t="s">
        <v>2702</v>
      </c>
      <c r="K211" s="93" t="s">
        <v>2703</v>
      </c>
      <c r="L211" s="9" t="s">
        <v>19</v>
      </c>
      <c r="M211" s="4"/>
      <c r="N211" s="4"/>
      <c r="O211" s="4"/>
      <c r="P211" s="4"/>
      <c r="Q211" s="4"/>
      <c r="R211" s="4"/>
      <c r="S211" s="4"/>
      <c r="T211" s="4"/>
      <c r="U211" s="4"/>
      <c r="V211" s="4"/>
      <c r="W211" s="4"/>
      <c r="X211" s="4"/>
      <c r="Y211" s="4"/>
      <c r="Z211" s="4"/>
    </row>
    <row r="212">
      <c r="A212" s="33" t="s">
        <v>1773</v>
      </c>
      <c r="B212" s="2" t="s">
        <v>2664</v>
      </c>
      <c r="C212" s="2" t="s">
        <v>1775</v>
      </c>
      <c r="D212" s="2" t="s">
        <v>1776</v>
      </c>
      <c r="E212" s="2" t="s">
        <v>17</v>
      </c>
      <c r="F212" s="2" t="s">
        <v>346</v>
      </c>
      <c r="G212" s="3">
        <v>45972.37115715278</v>
      </c>
      <c r="H212" s="3">
        <v>45972.44533832176</v>
      </c>
      <c r="I212" s="2" t="s">
        <v>354</v>
      </c>
      <c r="J212" s="93" t="s">
        <v>1777</v>
      </c>
      <c r="K212" s="2" t="s">
        <v>1778</v>
      </c>
      <c r="L212" s="4"/>
      <c r="M212" s="4"/>
      <c r="N212" s="4"/>
      <c r="O212" s="4"/>
      <c r="P212" s="4"/>
      <c r="Q212" s="4"/>
      <c r="R212" s="4"/>
      <c r="S212" s="4"/>
      <c r="T212" s="4"/>
      <c r="U212" s="4"/>
      <c r="V212" s="4"/>
      <c r="W212" s="4"/>
      <c r="X212" s="4"/>
      <c r="Y212" s="4"/>
      <c r="Z212" s="4"/>
    </row>
    <row r="213">
      <c r="A213" s="33" t="s">
        <v>1708</v>
      </c>
      <c r="B213" s="2" t="s">
        <v>2695</v>
      </c>
      <c r="C213" s="2" t="s">
        <v>1710</v>
      </c>
      <c r="D213" s="2" t="s">
        <v>1711</v>
      </c>
      <c r="E213" s="2" t="s">
        <v>19</v>
      </c>
      <c r="F213" s="2" t="s">
        <v>331</v>
      </c>
      <c r="G213" s="3">
        <v>45972.455035879626</v>
      </c>
      <c r="H213" s="3">
        <v>45972.545251620366</v>
      </c>
      <c r="I213" s="2" t="s">
        <v>2061</v>
      </c>
      <c r="J213" s="93" t="s">
        <v>1712</v>
      </c>
      <c r="K213" s="93" t="s">
        <v>1713</v>
      </c>
      <c r="L213" s="9" t="s">
        <v>19</v>
      </c>
      <c r="M213" s="4"/>
      <c r="N213" s="4"/>
      <c r="O213" s="4"/>
      <c r="P213" s="4"/>
      <c r="Q213" s="4"/>
      <c r="R213" s="4"/>
      <c r="S213" s="4"/>
      <c r="T213" s="4"/>
      <c r="U213" s="4"/>
      <c r="V213" s="4"/>
      <c r="W213" s="4"/>
      <c r="X213" s="4"/>
      <c r="Y213" s="4"/>
      <c r="Z213" s="4"/>
    </row>
    <row r="214">
      <c r="A214" s="33" t="s">
        <v>1618</v>
      </c>
      <c r="B214" s="2" t="s">
        <v>2809</v>
      </c>
      <c r="C214" s="2" t="s">
        <v>1620</v>
      </c>
      <c r="D214" s="2" t="s">
        <v>1621</v>
      </c>
      <c r="E214" s="2" t="s">
        <v>19</v>
      </c>
      <c r="F214" s="2" t="s">
        <v>346</v>
      </c>
      <c r="G214" s="3">
        <v>45972.651671307874</v>
      </c>
      <c r="H214" s="3">
        <v>45972.75098660879</v>
      </c>
      <c r="I214" s="2" t="s">
        <v>2810</v>
      </c>
      <c r="J214" s="93" t="s">
        <v>1622</v>
      </c>
      <c r="K214" s="2" t="s">
        <v>2811</v>
      </c>
      <c r="L214" s="9"/>
      <c r="M214" s="4"/>
      <c r="N214" s="4"/>
      <c r="O214" s="4"/>
      <c r="P214" s="4"/>
      <c r="Q214" s="4"/>
      <c r="R214" s="4"/>
      <c r="S214" s="4"/>
      <c r="T214" s="4"/>
      <c r="U214" s="4"/>
      <c r="V214" s="4"/>
      <c r="W214" s="4"/>
      <c r="X214" s="4"/>
      <c r="Y214" s="4"/>
      <c r="Z214" s="4"/>
    </row>
    <row r="215">
      <c r="A215" s="33" t="s">
        <v>1460</v>
      </c>
      <c r="B215" s="2" t="s">
        <v>2685</v>
      </c>
      <c r="C215" s="2" t="s">
        <v>2686</v>
      </c>
      <c r="D215" s="2" t="s">
        <v>2687</v>
      </c>
      <c r="E215" s="2" t="s">
        <v>19</v>
      </c>
      <c r="F215" s="2" t="s">
        <v>346</v>
      </c>
      <c r="G215" s="3">
        <v>45972.45217456018</v>
      </c>
      <c r="H215" s="3">
        <v>45972.52984940972</v>
      </c>
      <c r="I215" s="2" t="s">
        <v>438</v>
      </c>
      <c r="J215" s="93" t="s">
        <v>1893</v>
      </c>
      <c r="K215" s="2" t="s">
        <v>1894</v>
      </c>
      <c r="L215" s="9" t="s">
        <v>38</v>
      </c>
      <c r="M215" s="4"/>
      <c r="N215" s="4"/>
      <c r="O215" s="4"/>
      <c r="P215" s="4"/>
      <c r="Q215" s="4"/>
      <c r="R215" s="4"/>
      <c r="S215" s="4"/>
      <c r="T215" s="4"/>
      <c r="U215" s="4"/>
      <c r="V215" s="4"/>
      <c r="W215" s="4"/>
      <c r="X215" s="4"/>
      <c r="Y215" s="4"/>
      <c r="Z215" s="4"/>
    </row>
    <row r="216">
      <c r="A216" s="33" t="s">
        <v>2729</v>
      </c>
      <c r="B216" s="2" t="s">
        <v>2730</v>
      </c>
      <c r="C216" s="2" t="s">
        <v>2731</v>
      </c>
      <c r="D216" s="2" t="s">
        <v>2732</v>
      </c>
      <c r="E216" s="2" t="s">
        <v>19</v>
      </c>
      <c r="F216" s="2" t="s">
        <v>408</v>
      </c>
      <c r="G216" s="3">
        <v>45972.568120219905</v>
      </c>
      <c r="H216" s="3">
        <v>45972.60568070602</v>
      </c>
      <c r="I216" s="2" t="s">
        <v>565</v>
      </c>
      <c r="J216" s="93" t="s">
        <v>2733</v>
      </c>
      <c r="K216" s="93" t="s">
        <v>2734</v>
      </c>
      <c r="L216" s="9"/>
      <c r="M216" s="4"/>
      <c r="N216" s="4"/>
      <c r="O216" s="4"/>
      <c r="P216" s="4"/>
      <c r="Q216" s="4"/>
      <c r="R216" s="4"/>
      <c r="S216" s="4"/>
      <c r="T216" s="4"/>
      <c r="U216" s="4"/>
      <c r="V216" s="4"/>
      <c r="W216" s="4"/>
      <c r="X216" s="4"/>
      <c r="Y216" s="4"/>
      <c r="Z216" s="4"/>
    </row>
    <row r="217">
      <c r="A217" s="33" t="s">
        <v>1555</v>
      </c>
      <c r="B217" s="2" t="s">
        <v>2656</v>
      </c>
      <c r="C217" s="2" t="s">
        <v>1557</v>
      </c>
      <c r="D217" s="2" t="s">
        <v>1558</v>
      </c>
      <c r="E217" s="2" t="s">
        <v>19</v>
      </c>
      <c r="F217" s="2" t="s">
        <v>331</v>
      </c>
      <c r="G217" s="3">
        <v>45972.368303842595</v>
      </c>
      <c r="H217" s="3">
        <v>45972.43582064815</v>
      </c>
      <c r="I217" s="2" t="s">
        <v>332</v>
      </c>
      <c r="J217" s="93" t="s">
        <v>1559</v>
      </c>
      <c r="K217" s="2" t="s">
        <v>1560</v>
      </c>
      <c r="L217" s="9"/>
      <c r="M217" s="4"/>
      <c r="N217" s="4"/>
      <c r="O217" s="4"/>
      <c r="P217" s="4"/>
      <c r="Q217" s="4"/>
      <c r="R217" s="4"/>
      <c r="S217" s="4"/>
      <c r="T217" s="4"/>
      <c r="U217" s="4"/>
      <c r="V217" s="4"/>
      <c r="W217" s="4"/>
      <c r="X217" s="4"/>
      <c r="Y217" s="4"/>
      <c r="Z217" s="4"/>
    </row>
    <row r="218">
      <c r="A218" s="33" t="s">
        <v>2657</v>
      </c>
      <c r="B218" s="2" t="s">
        <v>2658</v>
      </c>
      <c r="C218" s="2" t="s">
        <v>2659</v>
      </c>
      <c r="D218" s="2" t="s">
        <v>2660</v>
      </c>
      <c r="E218" s="2" t="s">
        <v>21</v>
      </c>
      <c r="F218" s="2" t="s">
        <v>331</v>
      </c>
      <c r="G218" s="3">
        <v>45972.36945760417</v>
      </c>
      <c r="H218" s="3">
        <v>45972.43870496527</v>
      </c>
      <c r="I218" s="2" t="s">
        <v>403</v>
      </c>
      <c r="J218" s="93" t="s">
        <v>2661</v>
      </c>
      <c r="K218" s="93" t="s">
        <v>2662</v>
      </c>
      <c r="L218" s="9"/>
      <c r="M218" s="4"/>
      <c r="N218" s="4"/>
      <c r="O218" s="4"/>
      <c r="P218" s="4"/>
      <c r="Q218" s="4"/>
      <c r="R218" s="4"/>
      <c r="S218" s="4"/>
      <c r="T218" s="4"/>
      <c r="U218" s="4"/>
      <c r="V218" s="4"/>
      <c r="W218" s="4"/>
      <c r="X218" s="4"/>
      <c r="Y218" s="4"/>
      <c r="Z218" s="4"/>
    </row>
    <row r="219">
      <c r="A219" s="33" t="s">
        <v>1462</v>
      </c>
      <c r="B219" s="2" t="s">
        <v>2755</v>
      </c>
      <c r="C219" s="2" t="s">
        <v>1793</v>
      </c>
      <c r="D219" s="2" t="s">
        <v>1794</v>
      </c>
      <c r="E219" s="2" t="s">
        <v>21</v>
      </c>
      <c r="F219" s="2" t="s">
        <v>346</v>
      </c>
      <c r="G219" s="3">
        <v>45972.58268369213</v>
      </c>
      <c r="H219" s="3">
        <v>45972.632319537035</v>
      </c>
      <c r="I219" s="2" t="s">
        <v>2756</v>
      </c>
      <c r="J219" s="93" t="s">
        <v>1796</v>
      </c>
      <c r="K219" s="2" t="s">
        <v>1797</v>
      </c>
      <c r="L219" s="9" t="s">
        <v>21</v>
      </c>
      <c r="M219" s="4"/>
      <c r="N219" s="4"/>
      <c r="O219" s="4"/>
      <c r="P219" s="4"/>
      <c r="Q219" s="4"/>
      <c r="R219" s="4"/>
      <c r="S219" s="4"/>
      <c r="T219" s="4"/>
      <c r="U219" s="4"/>
      <c r="V219" s="4"/>
      <c r="W219" s="4"/>
      <c r="X219" s="4"/>
      <c r="Y219" s="4"/>
      <c r="Z219" s="4"/>
    </row>
    <row r="220">
      <c r="A220" s="33" t="s">
        <v>1468</v>
      </c>
      <c r="B220" s="2" t="s">
        <v>2800</v>
      </c>
      <c r="C220" s="2" t="s">
        <v>2801</v>
      </c>
      <c r="D220" s="2" t="s">
        <v>2802</v>
      </c>
      <c r="E220" s="2" t="s">
        <v>21</v>
      </c>
      <c r="F220" s="2" t="s">
        <v>346</v>
      </c>
      <c r="G220" s="3">
        <v>45972.66289086806</v>
      </c>
      <c r="H220" s="3">
        <v>45972.750779305556</v>
      </c>
      <c r="I220" s="2" t="s">
        <v>505</v>
      </c>
      <c r="J220" s="93" t="s">
        <v>1760</v>
      </c>
      <c r="K220" s="2" t="s">
        <v>1761</v>
      </c>
      <c r="L220" s="9" t="s">
        <v>23</v>
      </c>
      <c r="M220" s="4"/>
      <c r="N220" s="4"/>
      <c r="O220" s="4"/>
      <c r="P220" s="4"/>
      <c r="Q220" s="4"/>
      <c r="R220" s="4"/>
      <c r="S220" s="4"/>
      <c r="T220" s="4"/>
      <c r="U220" s="4"/>
      <c r="V220" s="4"/>
      <c r="W220" s="4"/>
      <c r="X220" s="4"/>
      <c r="Y220" s="4"/>
      <c r="Z220" s="4"/>
    </row>
    <row r="221">
      <c r="A221" s="33" t="s">
        <v>1934</v>
      </c>
      <c r="B221" s="2" t="s">
        <v>2680</v>
      </c>
      <c r="C221" s="2" t="s">
        <v>1936</v>
      </c>
      <c r="D221" s="2" t="s">
        <v>1937</v>
      </c>
      <c r="E221" s="2" t="s">
        <v>21</v>
      </c>
      <c r="F221" s="2" t="s">
        <v>346</v>
      </c>
      <c r="G221" s="3">
        <v>45972.46673373843</v>
      </c>
      <c r="H221" s="3">
        <v>45972.517544560185</v>
      </c>
      <c r="I221" s="2" t="s">
        <v>541</v>
      </c>
      <c r="J221" s="93" t="s">
        <v>1938</v>
      </c>
      <c r="K221" s="2" t="s">
        <v>2681</v>
      </c>
      <c r="L221" s="9"/>
      <c r="M221" s="4"/>
      <c r="N221" s="4"/>
      <c r="O221" s="4"/>
      <c r="P221" s="4"/>
      <c r="Q221" s="4"/>
      <c r="R221" s="4"/>
      <c r="S221" s="4"/>
      <c r="T221" s="4"/>
      <c r="U221" s="4"/>
      <c r="V221" s="4"/>
      <c r="W221" s="4"/>
      <c r="X221" s="4"/>
      <c r="Y221" s="4"/>
      <c r="Z221" s="4"/>
    </row>
    <row r="222">
      <c r="A222" s="33" t="s">
        <v>2719</v>
      </c>
      <c r="B222" s="2" t="s">
        <v>2720</v>
      </c>
      <c r="C222" s="2" t="s">
        <v>2721</v>
      </c>
      <c r="D222" s="2" t="s">
        <v>2722</v>
      </c>
      <c r="E222" s="2" t="s">
        <v>23</v>
      </c>
      <c r="F222" s="2" t="s">
        <v>382</v>
      </c>
      <c r="G222" s="3">
        <v>45972.48317063657</v>
      </c>
      <c r="H222" s="3">
        <v>45972.57339277778</v>
      </c>
      <c r="I222" s="2" t="s">
        <v>2061</v>
      </c>
      <c r="J222" s="2"/>
      <c r="K222" s="2"/>
      <c r="L222" s="9"/>
      <c r="M222" s="4"/>
      <c r="N222" s="4"/>
      <c r="O222" s="4"/>
      <c r="P222" s="4"/>
      <c r="Q222" s="4"/>
      <c r="R222" s="4"/>
      <c r="S222" s="4"/>
      <c r="T222" s="4"/>
      <c r="U222" s="4"/>
      <c r="V222" s="4"/>
      <c r="W222" s="4"/>
      <c r="X222" s="4"/>
      <c r="Y222" s="4"/>
      <c r="Z222" s="4"/>
    </row>
    <row r="223">
      <c r="A223" s="33" t="s">
        <v>2796</v>
      </c>
      <c r="B223" s="2" t="s">
        <v>2797</v>
      </c>
      <c r="C223" s="2" t="s">
        <v>2798</v>
      </c>
      <c r="D223" s="2" t="s">
        <v>2799</v>
      </c>
      <c r="E223" s="2" t="s">
        <v>23</v>
      </c>
      <c r="F223" s="2" t="s">
        <v>382</v>
      </c>
      <c r="G223" s="3">
        <v>45972.7227883912</v>
      </c>
      <c r="H223" s="3">
        <v>45972.75016996528</v>
      </c>
      <c r="I223" s="2" t="s">
        <v>59</v>
      </c>
      <c r="J223" s="2"/>
      <c r="K223" s="2"/>
      <c r="L223" s="9"/>
      <c r="M223" s="4"/>
      <c r="N223" s="4"/>
      <c r="O223" s="4"/>
      <c r="P223" s="4"/>
      <c r="Q223" s="4"/>
      <c r="R223" s="4"/>
      <c r="S223" s="4"/>
      <c r="T223" s="4"/>
      <c r="U223" s="4"/>
      <c r="V223" s="4"/>
      <c r="W223" s="4"/>
      <c r="X223" s="4"/>
      <c r="Y223" s="4"/>
      <c r="Z223" s="4"/>
    </row>
    <row r="224">
      <c r="A224" s="33" t="s">
        <v>2668</v>
      </c>
      <c r="B224" s="2" t="s">
        <v>2669</v>
      </c>
      <c r="C224" s="2" t="s">
        <v>2670</v>
      </c>
      <c r="D224" s="2" t="s">
        <v>2671</v>
      </c>
      <c r="E224" s="2" t="s">
        <v>23</v>
      </c>
      <c r="F224" s="2" t="s">
        <v>408</v>
      </c>
      <c r="G224" s="3">
        <v>45972.36466517361</v>
      </c>
      <c r="H224" s="3">
        <v>45972.47537409722</v>
      </c>
      <c r="I224" s="2" t="s">
        <v>2672</v>
      </c>
      <c r="J224" s="93" t="s">
        <v>2673</v>
      </c>
      <c r="K224" s="2" t="s">
        <v>2674</v>
      </c>
      <c r="L224" s="4"/>
      <c r="M224" s="4"/>
      <c r="N224" s="4"/>
      <c r="O224" s="4"/>
      <c r="P224" s="4"/>
      <c r="Q224" s="4"/>
      <c r="R224" s="4"/>
      <c r="S224" s="4"/>
      <c r="T224" s="4"/>
      <c r="U224" s="4"/>
      <c r="V224" s="4"/>
      <c r="W224" s="4"/>
      <c r="X224" s="4"/>
      <c r="Y224" s="4"/>
      <c r="Z224" s="4"/>
    </row>
    <row r="225">
      <c r="A225" s="33" t="s">
        <v>1465</v>
      </c>
      <c r="B225" s="2" t="s">
        <v>2776</v>
      </c>
      <c r="C225" s="2" t="s">
        <v>2777</v>
      </c>
      <c r="D225" s="2" t="s">
        <v>2778</v>
      </c>
      <c r="E225" s="2" t="s">
        <v>23</v>
      </c>
      <c r="F225" s="2" t="s">
        <v>426</v>
      </c>
      <c r="G225" s="3">
        <v>45972.64583591435</v>
      </c>
      <c r="H225" s="3">
        <v>45972.700641435185</v>
      </c>
      <c r="I225" s="2" t="s">
        <v>475</v>
      </c>
      <c r="J225" s="93" t="s">
        <v>2779</v>
      </c>
      <c r="K225" s="2" t="s">
        <v>2780</v>
      </c>
      <c r="L225" s="4"/>
      <c r="M225" s="4"/>
      <c r="N225" s="4"/>
      <c r="O225" s="4"/>
      <c r="P225" s="4"/>
      <c r="Q225" s="4"/>
      <c r="R225" s="4"/>
      <c r="S225" s="4"/>
      <c r="T225" s="4"/>
      <c r="U225" s="4"/>
      <c r="V225" s="4"/>
      <c r="W225" s="4"/>
      <c r="X225" s="4"/>
      <c r="Y225" s="4"/>
      <c r="Z225" s="4"/>
    </row>
    <row r="226">
      <c r="A226" s="33" t="s">
        <v>1640</v>
      </c>
      <c r="B226" s="2" t="s">
        <v>2696</v>
      </c>
      <c r="C226" s="2" t="s">
        <v>1642</v>
      </c>
      <c r="D226" s="2" t="s">
        <v>1643</v>
      </c>
      <c r="E226" s="2" t="s">
        <v>25</v>
      </c>
      <c r="F226" s="2" t="s">
        <v>331</v>
      </c>
      <c r="G226" s="3">
        <v>45972.44962587963</v>
      </c>
      <c r="H226" s="3">
        <v>45972.545508888885</v>
      </c>
      <c r="I226" s="2" t="s">
        <v>458</v>
      </c>
      <c r="J226" s="93" t="s">
        <v>1644</v>
      </c>
      <c r="K226" s="2" t="s">
        <v>2697</v>
      </c>
      <c r="L226" s="9"/>
      <c r="M226" s="4"/>
      <c r="N226" s="4"/>
      <c r="O226" s="4"/>
      <c r="P226" s="4"/>
      <c r="Q226" s="4"/>
      <c r="R226" s="4"/>
      <c r="S226" s="4"/>
      <c r="T226" s="4"/>
      <c r="U226" s="4"/>
      <c r="V226" s="4"/>
      <c r="W226" s="4"/>
      <c r="X226" s="4"/>
      <c r="Y226" s="4"/>
      <c r="Z226" s="4"/>
    </row>
    <row r="227">
      <c r="A227" s="33" t="s">
        <v>1734</v>
      </c>
      <c r="B227" s="2" t="s">
        <v>2781</v>
      </c>
      <c r="C227" s="2" t="s">
        <v>2782</v>
      </c>
      <c r="D227" s="2" t="s">
        <v>2783</v>
      </c>
      <c r="E227" s="2" t="s">
        <v>25</v>
      </c>
      <c r="F227" s="2" t="s">
        <v>346</v>
      </c>
      <c r="G227" s="3">
        <v>45972.69296755787</v>
      </c>
      <c r="H227" s="3">
        <v>45972.74333030093</v>
      </c>
      <c r="I227" s="2" t="s">
        <v>541</v>
      </c>
      <c r="J227" s="93" t="s">
        <v>1738</v>
      </c>
      <c r="K227" s="2" t="s">
        <v>1739</v>
      </c>
      <c r="L227" s="9" t="s">
        <v>27</v>
      </c>
      <c r="M227" s="4"/>
      <c r="N227" s="4"/>
      <c r="O227" s="4"/>
      <c r="P227" s="4"/>
      <c r="Q227" s="4"/>
      <c r="R227" s="4"/>
      <c r="S227" s="4"/>
      <c r="T227" s="4"/>
      <c r="U227" s="4"/>
      <c r="V227" s="4"/>
      <c r="W227" s="4"/>
      <c r="X227" s="4"/>
      <c r="Y227" s="4"/>
      <c r="Z227" s="4"/>
    </row>
    <row r="228">
      <c r="A228" s="33" t="s">
        <v>1876</v>
      </c>
      <c r="B228" s="2" t="s">
        <v>2654</v>
      </c>
      <c r="C228" s="2" t="s">
        <v>1878</v>
      </c>
      <c r="D228" s="2" t="s">
        <v>1879</v>
      </c>
      <c r="E228" s="2" t="s">
        <v>25</v>
      </c>
      <c r="F228" s="2" t="s">
        <v>346</v>
      </c>
      <c r="G228" s="3">
        <v>45972.3669425</v>
      </c>
      <c r="H228" s="3">
        <v>45972.43296568287</v>
      </c>
      <c r="I228" s="2" t="s">
        <v>361</v>
      </c>
      <c r="J228" s="93" t="s">
        <v>1881</v>
      </c>
      <c r="K228" s="2" t="s">
        <v>1882</v>
      </c>
      <c r="L228" s="9" t="s">
        <v>27</v>
      </c>
      <c r="M228" s="4"/>
      <c r="N228" s="4"/>
      <c r="O228" s="4"/>
      <c r="P228" s="4"/>
      <c r="Q228" s="4"/>
      <c r="R228" s="4"/>
      <c r="S228" s="4"/>
      <c r="T228" s="4"/>
      <c r="U228" s="4"/>
      <c r="V228" s="4"/>
      <c r="W228" s="4"/>
      <c r="X228" s="4"/>
      <c r="Y228" s="4"/>
      <c r="Z228" s="4"/>
    </row>
    <row r="229">
      <c r="A229" s="33" t="s">
        <v>1720</v>
      </c>
      <c r="B229" s="2" t="s">
        <v>2765</v>
      </c>
      <c r="C229" s="2" t="s">
        <v>1722</v>
      </c>
      <c r="D229" s="2" t="s">
        <v>1723</v>
      </c>
      <c r="E229" s="2" t="s">
        <v>25</v>
      </c>
      <c r="F229" s="2" t="s">
        <v>346</v>
      </c>
      <c r="G229" s="3">
        <v>45972.58644034722</v>
      </c>
      <c r="H229" s="3">
        <v>45972.67720229167</v>
      </c>
      <c r="I229" s="2" t="s">
        <v>447</v>
      </c>
      <c r="J229" s="93" t="s">
        <v>1724</v>
      </c>
      <c r="K229" s="2" t="s">
        <v>1725</v>
      </c>
      <c r="L229" s="9" t="s">
        <v>27</v>
      </c>
      <c r="M229" s="4"/>
      <c r="N229" s="4"/>
      <c r="O229" s="4"/>
      <c r="P229" s="4"/>
      <c r="Q229" s="4"/>
      <c r="R229" s="4"/>
      <c r="S229" s="4"/>
      <c r="T229" s="4"/>
      <c r="U229" s="4"/>
      <c r="V229" s="4"/>
      <c r="W229" s="4"/>
      <c r="X229" s="4"/>
      <c r="Y229" s="4"/>
      <c r="Z229" s="4"/>
    </row>
    <row r="230">
      <c r="A230" s="33" t="s">
        <v>1895</v>
      </c>
      <c r="B230" s="2" t="s">
        <v>2644</v>
      </c>
      <c r="C230" s="2" t="s">
        <v>1897</v>
      </c>
      <c r="D230" s="2" t="s">
        <v>1898</v>
      </c>
      <c r="E230" s="2" t="s">
        <v>27</v>
      </c>
      <c r="F230" s="2" t="s">
        <v>331</v>
      </c>
      <c r="G230" s="3">
        <v>45972.36078512731</v>
      </c>
      <c r="H230" s="3">
        <v>45972.414352824075</v>
      </c>
      <c r="I230" s="2" t="s">
        <v>517</v>
      </c>
      <c r="J230" s="93" t="s">
        <v>1899</v>
      </c>
      <c r="K230" s="93" t="s">
        <v>1900</v>
      </c>
      <c r="L230" s="9" t="s">
        <v>25</v>
      </c>
      <c r="M230" s="4"/>
      <c r="N230" s="4"/>
      <c r="O230" s="4"/>
      <c r="P230" s="4"/>
      <c r="Q230" s="4"/>
      <c r="R230" s="4"/>
      <c r="S230" s="4"/>
      <c r="T230" s="4"/>
      <c r="U230" s="4"/>
      <c r="V230" s="4"/>
      <c r="W230" s="4"/>
      <c r="X230" s="4"/>
      <c r="Y230" s="4"/>
      <c r="Z230" s="4"/>
    </row>
    <row r="231">
      <c r="A231" s="33" t="s">
        <v>1467</v>
      </c>
      <c r="B231" s="2" t="s">
        <v>2663</v>
      </c>
      <c r="C231" s="2" t="s">
        <v>1625</v>
      </c>
      <c r="D231" s="2" t="s">
        <v>1626</v>
      </c>
      <c r="E231" s="2" t="s">
        <v>27</v>
      </c>
      <c r="F231" s="2" t="s">
        <v>346</v>
      </c>
      <c r="G231" s="3">
        <v>45972.77228469907</v>
      </c>
      <c r="H231" s="3">
        <v>45972.43945159722</v>
      </c>
      <c r="I231" s="2" t="s">
        <v>82</v>
      </c>
      <c r="J231" s="93" t="s">
        <v>1627</v>
      </c>
      <c r="K231" s="2" t="s">
        <v>1628</v>
      </c>
      <c r="L231" s="9" t="s">
        <v>27</v>
      </c>
      <c r="M231" s="4"/>
      <c r="N231" s="4"/>
      <c r="O231" s="4"/>
      <c r="P231" s="4"/>
      <c r="Q231" s="4"/>
      <c r="R231" s="4"/>
      <c r="S231" s="4"/>
      <c r="T231" s="4"/>
      <c r="U231" s="4"/>
      <c r="V231" s="4"/>
      <c r="W231" s="4"/>
      <c r="X231" s="4"/>
      <c r="Y231" s="4"/>
      <c r="Z231" s="4"/>
    </row>
    <row r="232">
      <c r="A232" s="33" t="s">
        <v>2751</v>
      </c>
      <c r="B232" s="2" t="s">
        <v>2752</v>
      </c>
      <c r="C232" s="2" t="s">
        <v>2753</v>
      </c>
      <c r="D232" s="2" t="s">
        <v>2754</v>
      </c>
      <c r="E232" s="2" t="s">
        <v>27</v>
      </c>
      <c r="F232" s="2" t="s">
        <v>382</v>
      </c>
      <c r="G232" s="3">
        <v>45972.58703579861</v>
      </c>
      <c r="H232" s="3">
        <v>45972.631360914354</v>
      </c>
      <c r="I232" s="2" t="s">
        <v>2163</v>
      </c>
      <c r="J232" s="2"/>
      <c r="K232" s="2"/>
      <c r="L232" s="9" t="s">
        <v>25</v>
      </c>
      <c r="M232" s="4"/>
      <c r="N232" s="4"/>
      <c r="O232" s="4"/>
      <c r="P232" s="4"/>
      <c r="Q232" s="4"/>
      <c r="R232" s="4"/>
      <c r="S232" s="4"/>
      <c r="T232" s="4"/>
      <c r="U232" s="4"/>
      <c r="V232" s="4"/>
      <c r="W232" s="4"/>
      <c r="X232" s="4"/>
      <c r="Y232" s="4"/>
      <c r="Z232" s="4"/>
    </row>
    <row r="233">
      <c r="A233" s="33" t="s">
        <v>2706</v>
      </c>
      <c r="B233" s="2" t="s">
        <v>2707</v>
      </c>
      <c r="C233" s="2" t="s">
        <v>2708</v>
      </c>
      <c r="D233" s="2" t="s">
        <v>2709</v>
      </c>
      <c r="E233" s="2" t="s">
        <v>27</v>
      </c>
      <c r="F233" s="2" t="s">
        <v>408</v>
      </c>
      <c r="G233" s="3">
        <v>45972.433315138886</v>
      </c>
      <c r="H233" s="3">
        <v>45972.56843061342</v>
      </c>
      <c r="I233" s="2" t="s">
        <v>2710</v>
      </c>
      <c r="J233" s="93" t="s">
        <v>2711</v>
      </c>
      <c r="K233" s="93" t="s">
        <v>2712</v>
      </c>
      <c r="L233" s="9" t="s">
        <v>25</v>
      </c>
      <c r="M233" s="4"/>
      <c r="N233" s="4"/>
      <c r="O233" s="4"/>
      <c r="P233" s="4"/>
      <c r="Q233" s="4"/>
      <c r="R233" s="4"/>
      <c r="S233" s="4"/>
      <c r="T233" s="4"/>
      <c r="U233" s="4"/>
      <c r="V233" s="4"/>
      <c r="W233" s="4"/>
      <c r="X233" s="4"/>
      <c r="Y233" s="4"/>
      <c r="Z233" s="4"/>
    </row>
    <row r="234">
      <c r="A234" s="33" t="s">
        <v>2741</v>
      </c>
      <c r="B234" s="2" t="s">
        <v>2742</v>
      </c>
      <c r="C234" s="2" t="s">
        <v>2743</v>
      </c>
      <c r="D234" s="2" t="s">
        <v>2744</v>
      </c>
      <c r="E234" s="2" t="s">
        <v>29</v>
      </c>
      <c r="F234" s="2" t="s">
        <v>408</v>
      </c>
      <c r="G234" s="3">
        <v>45972.55425140046</v>
      </c>
      <c r="H234" s="3">
        <v>45972.62569577547</v>
      </c>
      <c r="I234" s="2" t="s">
        <v>82</v>
      </c>
      <c r="J234" s="93" t="s">
        <v>2745</v>
      </c>
      <c r="K234" s="2" t="s">
        <v>2746</v>
      </c>
      <c r="L234" s="4"/>
      <c r="M234" s="4"/>
      <c r="N234" s="4"/>
      <c r="O234" s="4"/>
      <c r="P234" s="4"/>
      <c r="Q234" s="4"/>
      <c r="R234" s="4"/>
      <c r="S234" s="4"/>
      <c r="T234" s="4"/>
      <c r="U234" s="4"/>
      <c r="V234" s="4"/>
      <c r="W234" s="4"/>
      <c r="X234" s="4"/>
      <c r="Y234" s="4"/>
      <c r="Z234" s="4"/>
    </row>
    <row r="235">
      <c r="A235" s="33" t="s">
        <v>268</v>
      </c>
      <c r="B235" s="2" t="s">
        <v>2819</v>
      </c>
      <c r="C235" s="2" t="s">
        <v>2820</v>
      </c>
      <c r="D235" s="2" t="s">
        <v>2821</v>
      </c>
      <c r="E235" s="2" t="s">
        <v>29</v>
      </c>
      <c r="F235" s="2" t="s">
        <v>408</v>
      </c>
      <c r="G235" s="3">
        <v>45972.66442144676</v>
      </c>
      <c r="H235" s="3">
        <v>45972.751796006945</v>
      </c>
      <c r="I235" s="2" t="s">
        <v>339</v>
      </c>
      <c r="J235" s="93" t="s">
        <v>2822</v>
      </c>
      <c r="K235" s="2" t="s">
        <v>2823</v>
      </c>
      <c r="L235" s="4"/>
      <c r="M235" s="4"/>
      <c r="N235" s="4"/>
      <c r="O235" s="4"/>
      <c r="P235" s="4"/>
      <c r="Q235" s="4"/>
      <c r="R235" s="4"/>
      <c r="S235" s="4"/>
      <c r="T235" s="4"/>
      <c r="U235" s="4"/>
      <c r="V235" s="4"/>
      <c r="W235" s="4"/>
      <c r="X235" s="4"/>
      <c r="Y235" s="4"/>
      <c r="Z235" s="4"/>
    </row>
    <row r="236">
      <c r="A236" s="33" t="s">
        <v>2688</v>
      </c>
      <c r="B236" s="2" t="s">
        <v>2689</v>
      </c>
      <c r="C236" s="2" t="s">
        <v>2690</v>
      </c>
      <c r="D236" s="2" t="s">
        <v>2691</v>
      </c>
      <c r="E236" s="2" t="s">
        <v>29</v>
      </c>
      <c r="F236" s="2" t="s">
        <v>408</v>
      </c>
      <c r="G236" s="3">
        <v>45972.455657604165</v>
      </c>
      <c r="H236" s="3">
        <v>45972.530344583334</v>
      </c>
      <c r="I236" s="2" t="s">
        <v>96</v>
      </c>
      <c r="J236" s="93" t="s">
        <v>2692</v>
      </c>
      <c r="K236" s="2" t="s">
        <v>2693</v>
      </c>
      <c r="L236" s="4"/>
      <c r="M236" s="4"/>
      <c r="N236" s="4"/>
      <c r="O236" s="4"/>
      <c r="P236" s="4"/>
      <c r="Q236" s="4"/>
      <c r="R236" s="4"/>
      <c r="S236" s="4"/>
      <c r="T236" s="4"/>
      <c r="U236" s="4"/>
      <c r="V236" s="4"/>
      <c r="W236" s="4"/>
      <c r="X236" s="4"/>
      <c r="Y236" s="4"/>
      <c r="Z236" s="4"/>
    </row>
    <row r="237">
      <c r="A237" s="33" t="s">
        <v>2677</v>
      </c>
      <c r="B237" s="2" t="s">
        <v>2678</v>
      </c>
      <c r="C237" s="2" t="s">
        <v>1860</v>
      </c>
      <c r="D237" s="2" t="s">
        <v>1861</v>
      </c>
      <c r="E237" s="2" t="s">
        <v>31</v>
      </c>
      <c r="F237" s="2" t="s">
        <v>331</v>
      </c>
      <c r="G237" s="3">
        <v>45972.43643310185</v>
      </c>
      <c r="H237" s="3">
        <v>45972.504680972226</v>
      </c>
      <c r="I237" s="2" t="s">
        <v>461</v>
      </c>
      <c r="J237" s="93" t="s">
        <v>1862</v>
      </c>
      <c r="K237" s="2" t="s">
        <v>2679</v>
      </c>
      <c r="L237" s="4"/>
      <c r="M237" s="4"/>
      <c r="N237" s="4"/>
      <c r="O237" s="4"/>
      <c r="P237" s="4"/>
      <c r="Q237" s="4"/>
      <c r="R237" s="4"/>
      <c r="S237" s="4"/>
      <c r="T237" s="4"/>
      <c r="U237" s="4"/>
      <c r="V237" s="4"/>
      <c r="W237" s="4"/>
      <c r="X237" s="4"/>
      <c r="Y237" s="4"/>
      <c r="Z237" s="4"/>
    </row>
    <row r="238">
      <c r="A238" s="33" t="s">
        <v>2645</v>
      </c>
      <c r="B238" s="2" t="s">
        <v>2646</v>
      </c>
      <c r="C238" s="2" t="s">
        <v>2647</v>
      </c>
      <c r="D238" s="2" t="s">
        <v>2648</v>
      </c>
      <c r="E238" s="2" t="s">
        <v>31</v>
      </c>
      <c r="F238" s="2" t="s">
        <v>331</v>
      </c>
      <c r="G238" s="3">
        <v>45972.35785996528</v>
      </c>
      <c r="H238" s="3">
        <v>45972.41633325232</v>
      </c>
      <c r="I238" s="2" t="s">
        <v>2088</v>
      </c>
      <c r="J238" s="93" t="s">
        <v>2649</v>
      </c>
      <c r="K238" s="2" t="s">
        <v>2650</v>
      </c>
      <c r="L238" s="9" t="s">
        <v>31</v>
      </c>
      <c r="M238" s="4"/>
      <c r="N238" s="4"/>
      <c r="O238" s="4"/>
      <c r="P238" s="4"/>
      <c r="Q238" s="4"/>
      <c r="R238" s="4"/>
      <c r="S238" s="4"/>
      <c r="T238" s="4"/>
      <c r="U238" s="4"/>
      <c r="V238" s="4"/>
      <c r="W238" s="4"/>
      <c r="X238" s="4"/>
      <c r="Y238" s="4"/>
      <c r="Z238" s="4"/>
    </row>
    <row r="239">
      <c r="A239" s="33" t="s">
        <v>2784</v>
      </c>
      <c r="B239" s="2" t="s">
        <v>2785</v>
      </c>
      <c r="C239" s="2" t="s">
        <v>2786</v>
      </c>
      <c r="D239" s="2" t="s">
        <v>2787</v>
      </c>
      <c r="E239" s="2" t="s">
        <v>31</v>
      </c>
      <c r="F239" s="2" t="s">
        <v>331</v>
      </c>
      <c r="G239" s="3">
        <v>45972.73446743056</v>
      </c>
      <c r="H239" s="3">
        <v>45972.749216909724</v>
      </c>
      <c r="I239" s="2" t="s">
        <v>215</v>
      </c>
      <c r="J239" s="93" t="s">
        <v>2788</v>
      </c>
      <c r="K239" s="93" t="s">
        <v>2789</v>
      </c>
      <c r="L239" s="4"/>
      <c r="M239" s="4"/>
      <c r="N239" s="4"/>
      <c r="O239" s="4"/>
      <c r="P239" s="4"/>
      <c r="Q239" s="4"/>
      <c r="R239" s="4"/>
      <c r="S239" s="4"/>
      <c r="T239" s="4"/>
      <c r="U239" s="4"/>
      <c r="V239" s="4"/>
      <c r="W239" s="4"/>
      <c r="X239" s="4"/>
      <c r="Y239" s="4"/>
      <c r="Z239" s="4"/>
    </row>
    <row r="240">
      <c r="A240" s="33" t="s">
        <v>1461</v>
      </c>
      <c r="B240" s="2" t="s">
        <v>2824</v>
      </c>
      <c r="C240" s="2" t="s">
        <v>1636</v>
      </c>
      <c r="D240" s="2" t="s">
        <v>1637</v>
      </c>
      <c r="E240" s="2" t="s">
        <v>31</v>
      </c>
      <c r="F240" s="2" t="s">
        <v>346</v>
      </c>
      <c r="G240" s="3">
        <v>45972.64671863426</v>
      </c>
      <c r="H240" s="3">
        <v>45972.75321181713</v>
      </c>
      <c r="I240" s="2" t="s">
        <v>2453</v>
      </c>
      <c r="J240" s="93" t="s">
        <v>1638</v>
      </c>
      <c r="K240" s="2" t="s">
        <v>1639</v>
      </c>
      <c r="L240" s="9" t="s">
        <v>29</v>
      </c>
      <c r="M240" s="4"/>
      <c r="N240" s="4"/>
      <c r="O240" s="4"/>
      <c r="P240" s="4"/>
      <c r="Q240" s="4"/>
      <c r="R240" s="4"/>
      <c r="S240" s="4"/>
      <c r="T240" s="4"/>
      <c r="U240" s="4"/>
      <c r="V240" s="4"/>
      <c r="W240" s="4"/>
      <c r="X240" s="4"/>
      <c r="Y240" s="4"/>
      <c r="Z240" s="4"/>
    </row>
    <row r="241">
      <c r="A241" s="33" t="s">
        <v>2723</v>
      </c>
      <c r="B241" s="2" t="s">
        <v>2724</v>
      </c>
      <c r="C241" s="2" t="s">
        <v>2725</v>
      </c>
      <c r="D241" s="2" t="s">
        <v>2726</v>
      </c>
      <c r="E241" s="2" t="s">
        <v>31</v>
      </c>
      <c r="F241" s="2" t="s">
        <v>408</v>
      </c>
      <c r="G241" s="3">
        <v>45972.57366810185</v>
      </c>
      <c r="H241" s="3">
        <v>45972.586723333334</v>
      </c>
      <c r="I241" s="2" t="s">
        <v>134</v>
      </c>
      <c r="J241" s="93" t="s">
        <v>2727</v>
      </c>
      <c r="K241" s="2" t="s">
        <v>2728</v>
      </c>
      <c r="L241" s="4"/>
      <c r="M241" s="4"/>
      <c r="N241" s="4"/>
      <c r="O241" s="4"/>
      <c r="P241" s="4"/>
      <c r="Q241" s="4"/>
      <c r="R241" s="4"/>
      <c r="S241" s="4"/>
      <c r="T241" s="4"/>
      <c r="U241" s="4"/>
      <c r="V241" s="4"/>
      <c r="W241" s="4"/>
      <c r="X241" s="4"/>
      <c r="Y241" s="4"/>
      <c r="Z241" s="4"/>
    </row>
    <row r="242">
      <c r="A242" s="33" t="s">
        <v>2757</v>
      </c>
      <c r="B242" s="2" t="s">
        <v>2758</v>
      </c>
      <c r="C242" s="2" t="s">
        <v>2759</v>
      </c>
      <c r="D242" s="2" t="s">
        <v>2760</v>
      </c>
      <c r="E242" s="2" t="s">
        <v>31</v>
      </c>
      <c r="F242" s="2" t="s">
        <v>408</v>
      </c>
      <c r="G242" s="3">
        <v>45972.599315810185</v>
      </c>
      <c r="H242" s="3">
        <v>45972.63402450232</v>
      </c>
      <c r="I242" s="2" t="s">
        <v>478</v>
      </c>
      <c r="J242" s="93" t="s">
        <v>2761</v>
      </c>
      <c r="K242" s="2" t="s">
        <v>2762</v>
      </c>
      <c r="L242" s="4"/>
      <c r="M242" s="4"/>
      <c r="N242" s="4"/>
      <c r="O242" s="4"/>
      <c r="P242" s="4"/>
      <c r="Q242" s="4"/>
      <c r="R242" s="4"/>
      <c r="S242" s="4"/>
      <c r="T242" s="4"/>
      <c r="U242" s="4"/>
      <c r="V242" s="4"/>
      <c r="W242" s="4"/>
      <c r="X242" s="4"/>
      <c r="Y242" s="4"/>
      <c r="Z242" s="4"/>
    </row>
    <row r="243">
      <c r="A243" s="33" t="s">
        <v>1751</v>
      </c>
      <c r="B243" s="2" t="s">
        <v>2675</v>
      </c>
      <c r="C243" s="2" t="s">
        <v>1753</v>
      </c>
      <c r="D243" s="2" t="s">
        <v>1754</v>
      </c>
      <c r="E243" s="2" t="s">
        <v>33</v>
      </c>
      <c r="F243" s="2" t="s">
        <v>331</v>
      </c>
      <c r="G243" s="3">
        <v>45972.441587905094</v>
      </c>
      <c r="H243" s="3">
        <v>45972.48779108796</v>
      </c>
      <c r="I243" s="2" t="s">
        <v>2144</v>
      </c>
      <c r="J243" s="93" t="s">
        <v>1755</v>
      </c>
      <c r="K243" s="2" t="s">
        <v>2676</v>
      </c>
      <c r="L243" s="9" t="s">
        <v>35</v>
      </c>
      <c r="M243" s="4"/>
      <c r="N243" s="4"/>
      <c r="O243" s="4"/>
      <c r="P243" s="4"/>
      <c r="Q243" s="4"/>
      <c r="R243" s="4"/>
      <c r="S243" s="4"/>
      <c r="T243" s="4"/>
      <c r="U243" s="4"/>
      <c r="V243" s="4"/>
      <c r="W243" s="4"/>
      <c r="X243" s="4"/>
      <c r="Y243" s="4"/>
      <c r="Z243" s="4"/>
    </row>
    <row r="244">
      <c r="A244" s="33" t="s">
        <v>1696</v>
      </c>
      <c r="B244" s="2" t="s">
        <v>2653</v>
      </c>
      <c r="C244" s="2" t="s">
        <v>1698</v>
      </c>
      <c r="D244" s="2" t="s">
        <v>1699</v>
      </c>
      <c r="E244" s="2" t="s">
        <v>33</v>
      </c>
      <c r="F244" s="2" t="s">
        <v>331</v>
      </c>
      <c r="G244" s="3">
        <v>45972.384717824076</v>
      </c>
      <c r="H244" s="3">
        <v>45972.426221180554</v>
      </c>
      <c r="I244" s="2" t="s">
        <v>1924</v>
      </c>
      <c r="J244" s="93" t="s">
        <v>1700</v>
      </c>
      <c r="K244" s="17"/>
      <c r="L244" s="9" t="s">
        <v>35</v>
      </c>
      <c r="M244" s="4"/>
      <c r="N244" s="4"/>
      <c r="O244" s="4"/>
      <c r="P244" s="4"/>
      <c r="Q244" s="4"/>
      <c r="R244" s="4"/>
      <c r="S244" s="4"/>
      <c r="T244" s="4"/>
      <c r="U244" s="4"/>
      <c r="V244" s="4"/>
      <c r="W244" s="4"/>
      <c r="X244" s="4"/>
      <c r="Y244" s="4"/>
      <c r="Z244" s="4"/>
    </row>
    <row r="245">
      <c r="A245" s="33" t="s">
        <v>2803</v>
      </c>
      <c r="B245" s="2" t="s">
        <v>2804</v>
      </c>
      <c r="C245" s="2" t="s">
        <v>2805</v>
      </c>
      <c r="D245" s="2" t="s">
        <v>2806</v>
      </c>
      <c r="E245" s="2" t="s">
        <v>33</v>
      </c>
      <c r="F245" s="2" t="s">
        <v>331</v>
      </c>
      <c r="G245" s="3">
        <v>45972.66847872685</v>
      </c>
      <c r="H245" s="3">
        <v>45972.75096243055</v>
      </c>
      <c r="I245" s="2" t="s">
        <v>440</v>
      </c>
      <c r="J245" s="93" t="s">
        <v>2807</v>
      </c>
      <c r="K245" s="2" t="s">
        <v>2808</v>
      </c>
      <c r="L245" s="4"/>
      <c r="M245" s="4"/>
      <c r="N245" s="4"/>
      <c r="O245" s="4"/>
      <c r="P245" s="4"/>
      <c r="Q245" s="4"/>
      <c r="R245" s="4"/>
      <c r="S245" s="4"/>
      <c r="T245" s="4"/>
      <c r="U245" s="4"/>
      <c r="V245" s="4"/>
      <c r="W245" s="4"/>
      <c r="X245" s="4"/>
      <c r="Y245" s="4"/>
      <c r="Z245" s="4"/>
    </row>
    <row r="246">
      <c r="A246" s="33" t="s">
        <v>2735</v>
      </c>
      <c r="B246" s="2" t="s">
        <v>2736</v>
      </c>
      <c r="C246" s="2" t="s">
        <v>2737</v>
      </c>
      <c r="D246" s="2" t="s">
        <v>2738</v>
      </c>
      <c r="E246" s="2" t="s">
        <v>33</v>
      </c>
      <c r="F246" s="2" t="s">
        <v>408</v>
      </c>
      <c r="G246" s="3">
        <v>45972.57967060185</v>
      </c>
      <c r="H246" s="3">
        <v>45972.62091200231</v>
      </c>
      <c r="I246" s="2" t="s">
        <v>569</v>
      </c>
      <c r="J246" s="93" t="s">
        <v>2739</v>
      </c>
      <c r="K246" s="2" t="s">
        <v>2740</v>
      </c>
      <c r="L246" s="4"/>
      <c r="M246" s="4"/>
      <c r="N246" s="4"/>
      <c r="O246" s="4"/>
      <c r="P246" s="4"/>
      <c r="Q246" s="4"/>
      <c r="R246" s="4"/>
      <c r="S246" s="4"/>
      <c r="T246" s="4"/>
      <c r="U246" s="4"/>
      <c r="V246" s="4"/>
      <c r="W246" s="4"/>
      <c r="X246" s="4"/>
      <c r="Y246" s="4"/>
      <c r="Z246" s="4"/>
    </row>
    <row r="247">
      <c r="A247" s="33" t="s">
        <v>2713</v>
      </c>
      <c r="B247" s="2" t="s">
        <v>2714</v>
      </c>
      <c r="C247" s="2" t="s">
        <v>2715</v>
      </c>
      <c r="D247" s="2" t="s">
        <v>2716</v>
      </c>
      <c r="E247" s="2" t="s">
        <v>35</v>
      </c>
      <c r="F247" s="2" t="s">
        <v>331</v>
      </c>
      <c r="G247" s="3">
        <v>45972.53405037037</v>
      </c>
      <c r="H247" s="3">
        <v>45972.569317245376</v>
      </c>
      <c r="I247" s="2" t="s">
        <v>185</v>
      </c>
      <c r="J247" s="93" t="s">
        <v>2717</v>
      </c>
      <c r="K247" s="2" t="s">
        <v>2718</v>
      </c>
      <c r="L247" s="4"/>
      <c r="M247" s="4"/>
      <c r="N247" s="4"/>
      <c r="O247" s="4"/>
      <c r="P247" s="4"/>
      <c r="Q247" s="4"/>
      <c r="R247" s="4"/>
      <c r="S247" s="4"/>
      <c r="T247" s="4"/>
      <c r="U247" s="4"/>
      <c r="V247" s="4"/>
      <c r="W247" s="4"/>
      <c r="X247" s="4"/>
      <c r="Y247" s="4"/>
      <c r="Z247" s="4"/>
    </row>
    <row r="248">
      <c r="A248" s="33" t="s">
        <v>2790</v>
      </c>
      <c r="B248" s="2" t="s">
        <v>2791</v>
      </c>
      <c r="C248" s="2" t="s">
        <v>2792</v>
      </c>
      <c r="D248" s="2" t="s">
        <v>2793</v>
      </c>
      <c r="E248" s="2" t="s">
        <v>35</v>
      </c>
      <c r="F248" s="2" t="s">
        <v>331</v>
      </c>
      <c r="G248" s="3">
        <v>45972.62589185185</v>
      </c>
      <c r="H248" s="3">
        <v>45972.749736087964</v>
      </c>
      <c r="I248" s="2" t="s">
        <v>1857</v>
      </c>
      <c r="J248" s="93" t="s">
        <v>2794</v>
      </c>
      <c r="K248" s="2" t="s">
        <v>2795</v>
      </c>
      <c r="L248" s="4"/>
      <c r="M248" s="4"/>
      <c r="N248" s="4"/>
      <c r="O248" s="4"/>
      <c r="P248" s="4"/>
      <c r="Q248" s="4"/>
      <c r="R248" s="4"/>
      <c r="S248" s="4"/>
      <c r="T248" s="4"/>
      <c r="U248" s="4"/>
      <c r="V248" s="4"/>
      <c r="W248" s="4"/>
      <c r="X248" s="4"/>
      <c r="Y248" s="4"/>
      <c r="Z248" s="4"/>
    </row>
    <row r="249">
      <c r="A249" s="33" t="s">
        <v>1690</v>
      </c>
      <c r="B249" s="2" t="s">
        <v>2651</v>
      </c>
      <c r="C249" s="2" t="s">
        <v>1692</v>
      </c>
      <c r="D249" s="2" t="s">
        <v>1693</v>
      </c>
      <c r="E249" s="2" t="s">
        <v>35</v>
      </c>
      <c r="F249" s="2" t="s">
        <v>2628</v>
      </c>
      <c r="G249" s="3">
        <v>45972.3752021875</v>
      </c>
      <c r="H249" s="3">
        <v>45972.42133715277</v>
      </c>
      <c r="I249" s="2" t="s">
        <v>1950</v>
      </c>
      <c r="J249" s="93" t="s">
        <v>1694</v>
      </c>
      <c r="K249" s="2" t="s">
        <v>2652</v>
      </c>
      <c r="L249" s="4"/>
      <c r="M249" s="4"/>
      <c r="N249" s="4"/>
      <c r="O249" s="4"/>
      <c r="P249" s="4"/>
      <c r="Q249" s="4"/>
      <c r="R249" s="4"/>
      <c r="S249" s="4"/>
      <c r="T249" s="4"/>
      <c r="U249" s="4"/>
      <c r="V249" s="4"/>
      <c r="W249" s="4"/>
      <c r="X249" s="4"/>
      <c r="Y249" s="4"/>
      <c r="Z249" s="4"/>
    </row>
    <row r="250">
      <c r="A250" s="33" t="s">
        <v>1682</v>
      </c>
      <c r="B250" s="2" t="s">
        <v>2682</v>
      </c>
      <c r="C250" s="2" t="s">
        <v>1684</v>
      </c>
      <c r="D250" s="2" t="s">
        <v>1685</v>
      </c>
      <c r="E250" s="2" t="s">
        <v>35</v>
      </c>
      <c r="F250" s="2" t="s">
        <v>2628</v>
      </c>
      <c r="G250" s="3">
        <v>45972.42153315972</v>
      </c>
      <c r="H250" s="3">
        <v>45972.51842997685</v>
      </c>
      <c r="I250" s="2" t="s">
        <v>1831</v>
      </c>
      <c r="J250" s="93" t="s">
        <v>1686</v>
      </c>
      <c r="K250" s="2" t="s">
        <v>2683</v>
      </c>
      <c r="L250" s="4"/>
      <c r="M250" s="4"/>
      <c r="N250" s="4"/>
      <c r="O250" s="4"/>
      <c r="P250" s="4"/>
      <c r="Q250" s="4"/>
      <c r="R250" s="4"/>
      <c r="S250" s="4"/>
      <c r="T250" s="4"/>
      <c r="U250" s="4"/>
      <c r="V250" s="4"/>
      <c r="W250" s="4"/>
      <c r="X250" s="4"/>
      <c r="Y250" s="4"/>
      <c r="Z250" s="4"/>
    </row>
    <row r="251">
      <c r="A251" s="33" t="s">
        <v>1566</v>
      </c>
      <c r="B251" s="2" t="s">
        <v>2694</v>
      </c>
      <c r="C251" s="2" t="s">
        <v>1568</v>
      </c>
      <c r="D251" s="2" t="s">
        <v>1569</v>
      </c>
      <c r="E251" s="2" t="s">
        <v>39</v>
      </c>
      <c r="F251" s="2" t="s">
        <v>346</v>
      </c>
      <c r="G251" s="3">
        <v>45972.47340234954</v>
      </c>
      <c r="H251" s="3">
        <v>45972.54013634259</v>
      </c>
      <c r="I251" s="2" t="s">
        <v>465</v>
      </c>
      <c r="J251" s="93" t="s">
        <v>1570</v>
      </c>
      <c r="K251" s="2" t="s">
        <v>1571</v>
      </c>
      <c r="L251" s="9" t="s">
        <v>25</v>
      </c>
      <c r="M251" s="4"/>
      <c r="N251" s="4"/>
      <c r="O251" s="4"/>
      <c r="P251" s="4"/>
      <c r="Q251" s="4"/>
      <c r="R251" s="4"/>
      <c r="S251" s="4"/>
      <c r="T251" s="4"/>
      <c r="U251" s="4"/>
      <c r="V251" s="4"/>
      <c r="W251" s="4"/>
      <c r="X251" s="4"/>
      <c r="Y251" s="4"/>
      <c r="Z251" s="4"/>
    </row>
    <row r="252">
      <c r="A252" s="33" t="s">
        <v>1466</v>
      </c>
      <c r="B252" s="2" t="s">
        <v>2812</v>
      </c>
      <c r="C252" s="2" t="s">
        <v>1562</v>
      </c>
      <c r="D252" s="2" t="s">
        <v>1563</v>
      </c>
      <c r="E252" s="2" t="s">
        <v>39</v>
      </c>
      <c r="F252" s="2" t="s">
        <v>346</v>
      </c>
      <c r="G252" s="3">
        <v>45972.705335694445</v>
      </c>
      <c r="H252" s="3">
        <v>45972.75136172454</v>
      </c>
      <c r="I252" s="2" t="s">
        <v>1950</v>
      </c>
      <c r="J252" s="93" t="s">
        <v>1564</v>
      </c>
      <c r="K252" s="2" t="s">
        <v>1565</v>
      </c>
      <c r="L252" s="4"/>
      <c r="M252" s="4"/>
      <c r="N252" s="4"/>
      <c r="O252" s="4"/>
      <c r="P252" s="4"/>
      <c r="Q252" s="4"/>
      <c r="R252" s="4"/>
      <c r="S252" s="4"/>
      <c r="T252" s="4"/>
      <c r="U252" s="4"/>
      <c r="V252" s="4"/>
      <c r="W252" s="4"/>
      <c r="X252" s="4"/>
      <c r="Y252" s="4"/>
      <c r="Z252" s="4"/>
    </row>
    <row r="253">
      <c r="A253" s="33" t="s">
        <v>2747</v>
      </c>
      <c r="B253" s="2" t="s">
        <v>2748</v>
      </c>
      <c r="C253" s="2" t="s">
        <v>2749</v>
      </c>
      <c r="D253" s="2" t="s">
        <v>2750</v>
      </c>
      <c r="E253" s="2" t="s">
        <v>39</v>
      </c>
      <c r="F253" s="2" t="s">
        <v>382</v>
      </c>
      <c r="G253" s="3">
        <v>45972.590248796296</v>
      </c>
      <c r="H253" s="3">
        <v>45972.63037712963</v>
      </c>
      <c r="I253" s="2" t="s">
        <v>388</v>
      </c>
      <c r="J253" s="17"/>
      <c r="K253" s="17"/>
      <c r="L253" s="9" t="s">
        <v>21</v>
      </c>
      <c r="M253" s="4"/>
      <c r="N253" s="4"/>
      <c r="O253" s="4"/>
      <c r="P253" s="4"/>
      <c r="Q253" s="4"/>
      <c r="R253" s="4"/>
      <c r="S253" s="4"/>
      <c r="T253" s="4"/>
      <c r="U253" s="4"/>
      <c r="V253" s="4"/>
      <c r="W253" s="4"/>
      <c r="X253" s="4"/>
      <c r="Y253" s="4"/>
      <c r="Z253" s="4"/>
    </row>
    <row r="254">
      <c r="A254" s="33" t="s">
        <v>2772</v>
      </c>
      <c r="B254" s="2" t="s">
        <v>2773</v>
      </c>
      <c r="C254" s="2" t="s">
        <v>2774</v>
      </c>
      <c r="D254" s="2" t="s">
        <v>2775</v>
      </c>
      <c r="E254" s="2" t="s">
        <v>39</v>
      </c>
      <c r="F254" s="2" t="s">
        <v>382</v>
      </c>
      <c r="G254" s="3">
        <v>45972.64662125</v>
      </c>
      <c r="H254" s="3">
        <v>45972.68976652778</v>
      </c>
      <c r="I254" s="2" t="s">
        <v>254</v>
      </c>
      <c r="J254" s="17"/>
      <c r="K254" s="17"/>
      <c r="L254" s="9" t="s">
        <v>25</v>
      </c>
      <c r="M254" s="4"/>
      <c r="N254" s="4"/>
      <c r="O254" s="4"/>
      <c r="P254" s="4"/>
      <c r="Q254" s="4"/>
      <c r="R254" s="4"/>
      <c r="S254" s="4"/>
      <c r="T254" s="4"/>
      <c r="U254" s="4"/>
      <c r="V254" s="4"/>
      <c r="W254" s="4"/>
      <c r="X254" s="4"/>
      <c r="Y254" s="4"/>
      <c r="Z254" s="4"/>
    </row>
    <row r="255">
      <c r="A255" s="33" t="s">
        <v>1463</v>
      </c>
      <c r="B255" s="2" t="s">
        <v>2684</v>
      </c>
      <c r="C255" s="2" t="s">
        <v>1811</v>
      </c>
      <c r="D255" s="2" t="s">
        <v>1812</v>
      </c>
      <c r="E255" s="2" t="s">
        <v>41</v>
      </c>
      <c r="F255" s="2" t="s">
        <v>346</v>
      </c>
      <c r="G255" s="3">
        <v>45972.472847743054</v>
      </c>
      <c r="H255" s="3">
        <v>45972.527385312496</v>
      </c>
      <c r="I255" s="2" t="s">
        <v>475</v>
      </c>
      <c r="J255" s="93" t="s">
        <v>1813</v>
      </c>
      <c r="K255" s="2" t="s">
        <v>1814</v>
      </c>
      <c r="L255" s="9" t="s">
        <v>27</v>
      </c>
      <c r="M255" s="4"/>
      <c r="N255" s="4"/>
      <c r="O255" s="4"/>
      <c r="P255" s="4"/>
      <c r="Q255" s="4"/>
      <c r="R255" s="4"/>
      <c r="S255" s="4"/>
      <c r="T255" s="4"/>
      <c r="U255" s="4"/>
      <c r="V255" s="4"/>
      <c r="W255" s="4"/>
      <c r="X255" s="4"/>
      <c r="Y255" s="4"/>
      <c r="Z255" s="4"/>
    </row>
    <row r="256">
      <c r="A256" s="33" t="s">
        <v>1820</v>
      </c>
      <c r="B256" s="2" t="s">
        <v>2704</v>
      </c>
      <c r="C256" s="2" t="s">
        <v>1822</v>
      </c>
      <c r="D256" s="2" t="s">
        <v>1823</v>
      </c>
      <c r="E256" s="2" t="s">
        <v>41</v>
      </c>
      <c r="F256" s="2" t="s">
        <v>346</v>
      </c>
      <c r="G256" s="3">
        <v>45972.527600127316</v>
      </c>
      <c r="H256" s="3">
        <v>45972.56121047454</v>
      </c>
      <c r="I256" s="2" t="s">
        <v>2705</v>
      </c>
      <c r="J256" s="93" t="s">
        <v>1825</v>
      </c>
      <c r="K256" s="2" t="s">
        <v>1826</v>
      </c>
      <c r="L256" s="4"/>
      <c r="M256" s="4"/>
      <c r="N256" s="4"/>
      <c r="O256" s="4"/>
      <c r="P256" s="4"/>
      <c r="Q256" s="4"/>
      <c r="R256" s="4"/>
      <c r="S256" s="4"/>
      <c r="T256" s="4"/>
      <c r="U256" s="4"/>
      <c r="V256" s="4"/>
      <c r="W256" s="4"/>
      <c r="X256" s="4"/>
      <c r="Y256" s="4"/>
      <c r="Z256" s="4"/>
    </row>
    <row r="257">
      <c r="A257" s="33" t="s">
        <v>1984</v>
      </c>
      <c r="B257" s="2" t="s">
        <v>2763</v>
      </c>
      <c r="C257" s="2" t="s">
        <v>1986</v>
      </c>
      <c r="D257" s="2" t="s">
        <v>1987</v>
      </c>
      <c r="E257" s="2" t="s">
        <v>41</v>
      </c>
      <c r="F257" s="2" t="s">
        <v>346</v>
      </c>
      <c r="G257" s="3">
        <v>45972.603467175926</v>
      </c>
      <c r="H257" s="3">
        <v>45972.656079548615</v>
      </c>
      <c r="I257" s="2" t="s">
        <v>123</v>
      </c>
      <c r="J257" s="93" t="s">
        <v>1988</v>
      </c>
      <c r="K257" s="2" t="s">
        <v>1989</v>
      </c>
      <c r="L257" s="4"/>
      <c r="M257" s="4"/>
      <c r="N257" s="4"/>
      <c r="O257" s="4"/>
      <c r="P257" s="4"/>
      <c r="Q257" s="4"/>
      <c r="R257" s="4"/>
      <c r="S257" s="4"/>
      <c r="T257" s="4"/>
      <c r="U257" s="4"/>
      <c r="V257" s="4"/>
      <c r="W257" s="4"/>
      <c r="X257" s="4"/>
      <c r="Y257" s="4"/>
      <c r="Z257" s="4"/>
    </row>
    <row r="258">
      <c r="A258" s="33" t="s">
        <v>2829</v>
      </c>
      <c r="B258" s="2" t="s">
        <v>2830</v>
      </c>
      <c r="C258" s="2" t="s">
        <v>2831</v>
      </c>
      <c r="D258" s="2" t="s">
        <v>2832</v>
      </c>
      <c r="E258" s="2" t="s">
        <v>41</v>
      </c>
      <c r="F258" s="2" t="s">
        <v>382</v>
      </c>
      <c r="G258" s="3">
        <v>45972.6732346412</v>
      </c>
      <c r="H258" s="3">
        <v>45972.76137943287</v>
      </c>
      <c r="I258" s="2" t="s">
        <v>505</v>
      </c>
      <c r="J258" s="17"/>
      <c r="K258" s="17"/>
      <c r="L258" s="9" t="s">
        <v>25</v>
      </c>
      <c r="M258" s="4"/>
      <c r="N258" s="4"/>
      <c r="O258" s="4"/>
      <c r="P258" s="4"/>
      <c r="Q258" s="4"/>
      <c r="R258" s="4"/>
      <c r="S258" s="4"/>
      <c r="T258" s="4"/>
      <c r="U258" s="4"/>
      <c r="V258" s="4"/>
      <c r="W258" s="4"/>
      <c r="X258" s="4"/>
      <c r="Y258" s="4"/>
      <c r="Z258" s="4"/>
    </row>
    <row r="259">
      <c r="A259" s="33" t="s">
        <v>1541</v>
      </c>
      <c r="B259" s="2" t="s">
        <v>2665</v>
      </c>
      <c r="C259" s="2" t="s">
        <v>1543</v>
      </c>
      <c r="D259" s="2" t="s">
        <v>1544</v>
      </c>
      <c r="E259" s="2" t="s">
        <v>41</v>
      </c>
      <c r="F259" s="2" t="s">
        <v>331</v>
      </c>
      <c r="G259" s="3">
        <v>45972.35509170139</v>
      </c>
      <c r="H259" s="3">
        <v>45972.448649467595</v>
      </c>
      <c r="I259" s="2" t="s">
        <v>2666</v>
      </c>
      <c r="J259" s="93" t="s">
        <v>1545</v>
      </c>
      <c r="K259" s="2" t="s">
        <v>2667</v>
      </c>
      <c r="L259" s="4"/>
      <c r="M259" s="4"/>
      <c r="N259" s="4"/>
      <c r="O259" s="4"/>
      <c r="P259" s="4"/>
      <c r="Q259" s="4"/>
      <c r="R259" s="4"/>
      <c r="S259" s="4"/>
      <c r="T259" s="4"/>
      <c r="U259" s="4"/>
      <c r="V259" s="4"/>
      <c r="W259" s="4"/>
      <c r="X259" s="4"/>
      <c r="Y259" s="4"/>
      <c r="Z259" s="4"/>
    </row>
    <row r="260">
      <c r="A260" s="43" t="s">
        <v>283</v>
      </c>
      <c r="B260" s="2" t="s">
        <v>284</v>
      </c>
      <c r="C260" s="2" t="s">
        <v>285</v>
      </c>
      <c r="D260" s="2" t="s">
        <v>286</v>
      </c>
      <c r="E260" s="40" t="s">
        <v>38</v>
      </c>
      <c r="F260" s="9" t="s">
        <v>331</v>
      </c>
      <c r="G260" s="8">
        <v>45972.66705984954</v>
      </c>
      <c r="H260" s="8">
        <v>45972.6994199537</v>
      </c>
      <c r="I260" s="35" t="s">
        <v>2497</v>
      </c>
      <c r="J260" s="2" t="s">
        <v>287</v>
      </c>
      <c r="K260" s="36" t="s">
        <v>288</v>
      </c>
      <c r="L260" s="15" t="s">
        <v>38</v>
      </c>
      <c r="M260" s="37"/>
      <c r="N260" s="37"/>
      <c r="O260" s="6"/>
      <c r="P260" s="16"/>
      <c r="Q260" s="6"/>
      <c r="R260" s="6"/>
      <c r="S260" s="6"/>
    </row>
    <row r="261">
      <c r="A261" s="39" t="s">
        <v>1767</v>
      </c>
      <c r="B261" s="2" t="s">
        <v>2655</v>
      </c>
      <c r="C261" s="2" t="s">
        <v>1769</v>
      </c>
      <c r="D261" s="2" t="s">
        <v>1770</v>
      </c>
      <c r="E261" s="40" t="s">
        <v>38</v>
      </c>
      <c r="F261" s="9" t="s">
        <v>346</v>
      </c>
      <c r="G261" s="8">
        <v>45972.37044892361</v>
      </c>
      <c r="H261" s="8">
        <v>45972.43440615741</v>
      </c>
      <c r="I261" s="35" t="s">
        <v>2642</v>
      </c>
      <c r="J261" s="41" t="s">
        <v>1771</v>
      </c>
      <c r="K261" s="42" t="s">
        <v>1772</v>
      </c>
      <c r="L261" s="15" t="s">
        <v>38</v>
      </c>
      <c r="M261" s="37"/>
      <c r="N261" s="37"/>
      <c r="O261" s="6"/>
      <c r="P261" s="16"/>
      <c r="Q261" s="6"/>
      <c r="R261" s="6"/>
      <c r="S261" s="6"/>
    </row>
    <row r="262">
      <c r="A262" s="39" t="s">
        <v>277</v>
      </c>
      <c r="B262" s="2" t="s">
        <v>278</v>
      </c>
      <c r="C262" s="2" t="s">
        <v>279</v>
      </c>
      <c r="D262" s="2" t="s">
        <v>280</v>
      </c>
      <c r="E262" s="40" t="s">
        <v>38</v>
      </c>
      <c r="F262" s="9" t="s">
        <v>346</v>
      </c>
      <c r="G262" s="8">
        <v>45972.54044633102</v>
      </c>
      <c r="H262" s="8">
        <v>45972.666610416665</v>
      </c>
      <c r="I262" s="35" t="s">
        <v>2764</v>
      </c>
      <c r="J262" s="41" t="s">
        <v>281</v>
      </c>
      <c r="K262" s="42" t="s">
        <v>282</v>
      </c>
      <c r="L262" s="15" t="s">
        <v>38</v>
      </c>
      <c r="M262" s="37"/>
      <c r="N262" s="37"/>
      <c r="O262" s="6"/>
      <c r="P262" s="16"/>
      <c r="Q262" s="6"/>
      <c r="R262" s="6"/>
      <c r="S262" s="6"/>
    </row>
    <row r="263">
      <c r="A263" s="32" t="s">
        <v>2825</v>
      </c>
      <c r="B263" s="15" t="s">
        <v>2826</v>
      </c>
      <c r="C263" s="15" t="s">
        <v>2827</v>
      </c>
      <c r="D263" s="15" t="s">
        <v>2828</v>
      </c>
      <c r="E263" s="37" t="s">
        <v>38</v>
      </c>
      <c r="F263" s="15" t="s">
        <v>382</v>
      </c>
      <c r="G263" s="20">
        <v>45972.709017939815</v>
      </c>
      <c r="H263" s="20">
        <v>45972.756254039356</v>
      </c>
      <c r="I263" s="44" t="s">
        <v>375</v>
      </c>
      <c r="J263" s="2"/>
      <c r="K263" s="2"/>
      <c r="L263" s="15" t="s">
        <v>38</v>
      </c>
      <c r="M263" s="37"/>
      <c r="N263" s="37"/>
      <c r="O263" s="6"/>
      <c r="P263" s="16"/>
      <c r="Q263" s="6"/>
      <c r="R263" s="6"/>
      <c r="S263" s="6"/>
    </row>
    <row r="264">
      <c r="A264" s="77"/>
      <c r="B264" s="17"/>
      <c r="C264" s="17"/>
      <c r="D264" s="17"/>
      <c r="E264" s="17"/>
      <c r="F264" s="17"/>
      <c r="G264" s="78"/>
      <c r="H264" s="78"/>
      <c r="I264" s="17"/>
      <c r="J264" s="17"/>
      <c r="K264" s="17"/>
      <c r="L264" s="4"/>
      <c r="M264" s="4"/>
      <c r="N264" s="4"/>
      <c r="O264" s="4"/>
      <c r="P264" s="4"/>
      <c r="Q264" s="4"/>
      <c r="R264" s="4"/>
      <c r="S264" s="4"/>
      <c r="T264" s="4"/>
      <c r="U264" s="4"/>
      <c r="V264" s="4"/>
      <c r="W264" s="4"/>
      <c r="X264" s="4"/>
      <c r="Y264" s="4"/>
      <c r="Z264" s="4"/>
    </row>
    <row r="265">
      <c r="A265" s="77"/>
      <c r="B265" s="17"/>
      <c r="C265" s="17"/>
      <c r="D265" s="17"/>
      <c r="E265" s="17"/>
      <c r="F265" s="17"/>
      <c r="G265" s="78"/>
      <c r="H265" s="78"/>
      <c r="I265" s="17"/>
      <c r="J265" s="17"/>
      <c r="K265" s="17"/>
      <c r="L265" s="4"/>
      <c r="M265" s="4"/>
      <c r="N265" s="4"/>
      <c r="O265" s="4"/>
      <c r="P265" s="4"/>
      <c r="Q265" s="4"/>
      <c r="R265" s="4"/>
      <c r="S265" s="4"/>
      <c r="T265" s="4"/>
      <c r="U265" s="4"/>
      <c r="V265" s="4"/>
      <c r="W265" s="4"/>
      <c r="X265" s="4"/>
      <c r="Y265" s="4"/>
      <c r="Z265" s="4"/>
    </row>
    <row r="266">
      <c r="A266" s="77"/>
      <c r="B266" s="17"/>
      <c r="C266" s="17"/>
      <c r="D266" s="17"/>
      <c r="E266" s="17"/>
      <c r="F266" s="17"/>
      <c r="G266" s="78"/>
      <c r="H266" s="78"/>
      <c r="I266" s="17"/>
      <c r="J266" s="17"/>
      <c r="K266" s="17"/>
      <c r="L266" s="4"/>
      <c r="M266" s="4"/>
      <c r="N266" s="4"/>
      <c r="O266" s="4"/>
      <c r="P266" s="4"/>
      <c r="Q266" s="4"/>
      <c r="R266" s="4"/>
      <c r="S266" s="4"/>
      <c r="T266" s="4"/>
      <c r="U266" s="4"/>
      <c r="V266" s="4"/>
      <c r="W266" s="4"/>
      <c r="X266" s="4"/>
      <c r="Y266" s="4"/>
      <c r="Z266" s="4"/>
    </row>
    <row r="267">
      <c r="A267" s="77"/>
      <c r="B267" s="17"/>
      <c r="C267" s="17"/>
      <c r="D267" s="17"/>
      <c r="E267" s="17"/>
      <c r="F267" s="17"/>
      <c r="G267" s="78"/>
      <c r="H267" s="78"/>
      <c r="I267" s="17"/>
      <c r="J267" s="17"/>
      <c r="K267" s="17"/>
      <c r="L267" s="4"/>
      <c r="M267" s="4"/>
      <c r="N267" s="4"/>
      <c r="O267" s="4"/>
      <c r="P267" s="4"/>
      <c r="Q267" s="4"/>
      <c r="R267" s="4"/>
      <c r="S267" s="4"/>
      <c r="T267" s="4"/>
      <c r="U267" s="4"/>
      <c r="V267" s="4"/>
      <c r="W267" s="4"/>
      <c r="X267" s="4"/>
      <c r="Y267" s="4"/>
      <c r="Z267" s="4"/>
    </row>
    <row r="268">
      <c r="A268" s="77"/>
      <c r="B268" s="17"/>
      <c r="C268" s="17"/>
      <c r="D268" s="17"/>
      <c r="E268" s="17"/>
      <c r="F268" s="17"/>
      <c r="G268" s="78"/>
      <c r="H268" s="78"/>
      <c r="I268" s="17"/>
      <c r="J268" s="17"/>
      <c r="K268" s="17"/>
      <c r="L268" s="4"/>
      <c r="M268" s="4"/>
      <c r="N268" s="4"/>
      <c r="O268" s="4"/>
      <c r="P268" s="4"/>
      <c r="Q268" s="4"/>
      <c r="R268" s="4"/>
      <c r="S268" s="4"/>
      <c r="T268" s="4"/>
      <c r="U268" s="4"/>
      <c r="V268" s="4"/>
      <c r="W268" s="4"/>
      <c r="X268" s="4"/>
      <c r="Y268" s="4"/>
      <c r="Z268" s="4"/>
    </row>
    <row r="269">
      <c r="A269" s="77"/>
      <c r="B269" s="17"/>
      <c r="C269" s="17"/>
      <c r="D269" s="17"/>
      <c r="E269" s="17"/>
      <c r="F269" s="17"/>
      <c r="G269" s="78"/>
      <c r="H269" s="78"/>
      <c r="I269" s="17"/>
      <c r="J269" s="17"/>
      <c r="K269" s="17"/>
      <c r="L269" s="4"/>
      <c r="M269" s="4"/>
      <c r="N269" s="4"/>
      <c r="O269" s="4"/>
      <c r="P269" s="4"/>
      <c r="Q269" s="4"/>
      <c r="R269" s="4"/>
      <c r="S269" s="4"/>
      <c r="T269" s="4"/>
      <c r="U269" s="4"/>
      <c r="V269" s="4"/>
      <c r="W269" s="4"/>
      <c r="X269" s="4"/>
      <c r="Y269" s="4"/>
      <c r="Z269" s="4"/>
    </row>
    <row r="270">
      <c r="A270" s="77"/>
      <c r="B270" s="17"/>
      <c r="C270" s="17"/>
      <c r="D270" s="17"/>
      <c r="E270" s="17"/>
      <c r="F270" s="17"/>
      <c r="G270" s="78"/>
      <c r="H270" s="78"/>
      <c r="I270" s="17"/>
      <c r="J270" s="17"/>
      <c r="K270" s="17"/>
      <c r="L270" s="4"/>
      <c r="M270" s="4"/>
      <c r="N270" s="4"/>
      <c r="O270" s="4"/>
      <c r="P270" s="4"/>
      <c r="Q270" s="4"/>
      <c r="R270" s="4"/>
      <c r="S270" s="4"/>
      <c r="T270" s="4"/>
      <c r="U270" s="4"/>
      <c r="V270" s="4"/>
      <c r="W270" s="4"/>
      <c r="X270" s="4"/>
      <c r="Y270" s="4"/>
      <c r="Z270" s="4"/>
    </row>
    <row r="271">
      <c r="A271" s="77"/>
      <c r="B271" s="17"/>
      <c r="C271" s="17"/>
      <c r="D271" s="17"/>
      <c r="E271" s="17"/>
      <c r="F271" s="17"/>
      <c r="G271" s="78"/>
      <c r="H271" s="78"/>
      <c r="I271" s="17"/>
      <c r="J271" s="17"/>
      <c r="K271" s="17"/>
      <c r="L271" s="4"/>
      <c r="M271" s="4"/>
      <c r="N271" s="4"/>
      <c r="O271" s="4"/>
      <c r="P271" s="4"/>
      <c r="Q271" s="4"/>
      <c r="R271" s="4"/>
      <c r="S271" s="4"/>
      <c r="T271" s="4"/>
      <c r="U271" s="4"/>
      <c r="V271" s="4"/>
      <c r="W271" s="4"/>
      <c r="X271" s="4"/>
      <c r="Y271" s="4"/>
      <c r="Z271" s="4"/>
    </row>
    <row r="272">
      <c r="A272" s="77"/>
      <c r="B272" s="17"/>
      <c r="C272" s="17"/>
      <c r="D272" s="17"/>
      <c r="E272" s="17"/>
      <c r="F272" s="17"/>
      <c r="G272" s="78"/>
      <c r="H272" s="78"/>
      <c r="I272" s="17"/>
      <c r="J272" s="17"/>
      <c r="K272" s="17"/>
      <c r="L272" s="4"/>
      <c r="M272" s="4"/>
      <c r="N272" s="4"/>
      <c r="O272" s="4"/>
      <c r="P272" s="4"/>
      <c r="Q272" s="4"/>
      <c r="R272" s="4"/>
      <c r="S272" s="4"/>
      <c r="T272" s="4"/>
      <c r="U272" s="4"/>
      <c r="V272" s="4"/>
      <c r="W272" s="4"/>
      <c r="X272" s="4"/>
      <c r="Y272" s="4"/>
      <c r="Z272" s="4"/>
    </row>
    <row r="273">
      <c r="A273" s="77"/>
      <c r="B273" s="17"/>
      <c r="C273" s="17"/>
      <c r="D273" s="17"/>
      <c r="E273" s="17"/>
      <c r="F273" s="17"/>
      <c r="G273" s="78"/>
      <c r="H273" s="78"/>
      <c r="I273" s="17"/>
      <c r="J273" s="17"/>
      <c r="K273" s="17"/>
      <c r="L273" s="4"/>
      <c r="M273" s="4"/>
      <c r="N273" s="4"/>
      <c r="O273" s="4"/>
      <c r="P273" s="4"/>
      <c r="Q273" s="4"/>
      <c r="R273" s="4"/>
      <c r="S273" s="4"/>
      <c r="T273" s="4"/>
      <c r="U273" s="4"/>
      <c r="V273" s="4"/>
      <c r="W273" s="4"/>
      <c r="X273" s="4"/>
      <c r="Y273" s="4"/>
      <c r="Z273" s="4"/>
    </row>
    <row r="274">
      <c r="A274" s="77"/>
      <c r="B274" s="17"/>
      <c r="C274" s="17"/>
      <c r="D274" s="17"/>
      <c r="E274" s="17"/>
      <c r="F274" s="17"/>
      <c r="G274" s="78"/>
      <c r="H274" s="78"/>
      <c r="I274" s="17"/>
      <c r="J274" s="17"/>
      <c r="K274" s="17"/>
      <c r="L274" s="4"/>
      <c r="M274" s="4"/>
      <c r="N274" s="4"/>
      <c r="O274" s="4"/>
      <c r="P274" s="4"/>
      <c r="Q274" s="4"/>
      <c r="R274" s="4"/>
      <c r="S274" s="4"/>
      <c r="T274" s="4"/>
      <c r="U274" s="4"/>
      <c r="V274" s="4"/>
      <c r="W274" s="4"/>
      <c r="X274" s="4"/>
      <c r="Y274" s="4"/>
      <c r="Z274" s="4"/>
    </row>
    <row r="275">
      <c r="A275" s="77"/>
      <c r="B275" s="17"/>
      <c r="C275" s="17"/>
      <c r="D275" s="17"/>
      <c r="E275" s="17"/>
      <c r="F275" s="17"/>
      <c r="G275" s="78"/>
      <c r="H275" s="78"/>
      <c r="I275" s="17"/>
      <c r="J275" s="17"/>
      <c r="K275" s="17"/>
      <c r="L275" s="4"/>
      <c r="M275" s="4"/>
      <c r="N275" s="4"/>
      <c r="O275" s="4"/>
      <c r="P275" s="4"/>
      <c r="Q275" s="4"/>
      <c r="R275" s="4"/>
      <c r="S275" s="4"/>
      <c r="T275" s="4"/>
      <c r="U275" s="4"/>
      <c r="V275" s="4"/>
      <c r="W275" s="4"/>
      <c r="X275" s="4"/>
      <c r="Y275" s="4"/>
      <c r="Z275" s="4"/>
    </row>
    <row r="276">
      <c r="A276" s="77"/>
      <c r="B276" s="17"/>
      <c r="C276" s="17"/>
      <c r="D276" s="17"/>
      <c r="E276" s="17"/>
      <c r="F276" s="17"/>
      <c r="G276" s="78"/>
      <c r="H276" s="78"/>
      <c r="I276" s="17"/>
      <c r="J276" s="17"/>
      <c r="K276" s="17"/>
      <c r="L276" s="4"/>
      <c r="M276" s="4"/>
      <c r="N276" s="4"/>
      <c r="O276" s="4"/>
      <c r="P276" s="4"/>
      <c r="Q276" s="4"/>
      <c r="R276" s="4"/>
      <c r="S276" s="4"/>
      <c r="T276" s="4"/>
      <c r="U276" s="4"/>
      <c r="V276" s="4"/>
      <c r="W276" s="4"/>
      <c r="X276" s="4"/>
      <c r="Y276" s="4"/>
      <c r="Z276" s="4"/>
    </row>
    <row r="277">
      <c r="A277" s="77"/>
      <c r="B277" s="17"/>
      <c r="C277" s="17"/>
      <c r="D277" s="17"/>
      <c r="E277" s="17"/>
      <c r="F277" s="17"/>
      <c r="G277" s="78"/>
      <c r="H277" s="78"/>
      <c r="I277" s="17"/>
      <c r="J277" s="17"/>
      <c r="K277" s="17"/>
      <c r="L277" s="4"/>
      <c r="M277" s="4"/>
      <c r="N277" s="4"/>
      <c r="O277" s="4"/>
      <c r="P277" s="4"/>
      <c r="Q277" s="4"/>
      <c r="R277" s="4"/>
      <c r="S277" s="4"/>
      <c r="T277" s="4"/>
      <c r="U277" s="4"/>
      <c r="V277" s="4"/>
      <c r="W277" s="4"/>
      <c r="X277" s="4"/>
      <c r="Y277" s="4"/>
      <c r="Z277" s="4"/>
    </row>
    <row r="278">
      <c r="A278" s="77"/>
      <c r="B278" s="17"/>
      <c r="C278" s="17"/>
      <c r="D278" s="17"/>
      <c r="E278" s="17"/>
      <c r="F278" s="17"/>
      <c r="G278" s="78"/>
      <c r="H278" s="78"/>
      <c r="I278" s="17"/>
      <c r="J278" s="17"/>
      <c r="K278" s="17"/>
      <c r="L278" s="4"/>
      <c r="M278" s="4"/>
      <c r="N278" s="4"/>
      <c r="O278" s="4"/>
      <c r="P278" s="4"/>
      <c r="Q278" s="4"/>
      <c r="R278" s="4"/>
      <c r="S278" s="4"/>
      <c r="T278" s="4"/>
      <c r="U278" s="4"/>
      <c r="V278" s="4"/>
      <c r="W278" s="4"/>
      <c r="X278" s="4"/>
      <c r="Y278" s="4"/>
      <c r="Z278" s="4"/>
    </row>
    <row r="279">
      <c r="A279" s="77"/>
      <c r="B279" s="17"/>
      <c r="C279" s="17"/>
      <c r="D279" s="17"/>
      <c r="E279" s="17"/>
      <c r="F279" s="17"/>
      <c r="G279" s="78"/>
      <c r="H279" s="78"/>
      <c r="I279" s="17"/>
      <c r="J279" s="17"/>
      <c r="K279" s="17"/>
      <c r="L279" s="4"/>
      <c r="M279" s="4"/>
      <c r="N279" s="4"/>
      <c r="O279" s="4"/>
      <c r="P279" s="4"/>
      <c r="Q279" s="4"/>
      <c r="R279" s="4"/>
      <c r="S279" s="4"/>
      <c r="T279" s="4"/>
      <c r="U279" s="4"/>
      <c r="V279" s="4"/>
      <c r="W279" s="4"/>
      <c r="X279" s="4"/>
      <c r="Y279" s="4"/>
      <c r="Z279" s="4"/>
    </row>
    <row r="280">
      <c r="A280" s="77"/>
      <c r="B280" s="17"/>
      <c r="C280" s="17"/>
      <c r="D280" s="17"/>
      <c r="E280" s="17"/>
      <c r="F280" s="17"/>
      <c r="G280" s="78"/>
      <c r="H280" s="78"/>
      <c r="I280" s="17"/>
      <c r="J280" s="17"/>
      <c r="K280" s="17"/>
      <c r="L280" s="4"/>
      <c r="M280" s="4"/>
      <c r="N280" s="4"/>
      <c r="O280" s="4"/>
      <c r="P280" s="4"/>
      <c r="Q280" s="4"/>
      <c r="R280" s="4"/>
      <c r="S280" s="4"/>
      <c r="T280" s="4"/>
      <c r="U280" s="4"/>
      <c r="V280" s="4"/>
      <c r="W280" s="4"/>
      <c r="X280" s="4"/>
      <c r="Y280" s="4"/>
      <c r="Z280" s="4"/>
    </row>
    <row r="281">
      <c r="A281" s="77"/>
      <c r="B281" s="17"/>
      <c r="C281" s="17"/>
      <c r="D281" s="17"/>
      <c r="E281" s="17"/>
      <c r="F281" s="17"/>
      <c r="G281" s="78"/>
      <c r="H281" s="78"/>
      <c r="I281" s="17"/>
      <c r="J281" s="17"/>
      <c r="K281" s="17"/>
      <c r="L281" s="4"/>
      <c r="M281" s="4"/>
      <c r="N281" s="4"/>
      <c r="O281" s="4"/>
      <c r="P281" s="4"/>
      <c r="Q281" s="4"/>
      <c r="R281" s="4"/>
      <c r="S281" s="4"/>
      <c r="T281" s="4"/>
      <c r="U281" s="4"/>
      <c r="V281" s="4"/>
      <c r="W281" s="4"/>
      <c r="X281" s="4"/>
      <c r="Y281" s="4"/>
      <c r="Z281" s="4"/>
    </row>
    <row r="282">
      <c r="A282" s="77"/>
      <c r="B282" s="17"/>
      <c r="C282" s="17"/>
      <c r="D282" s="17"/>
      <c r="E282" s="17"/>
      <c r="F282" s="17"/>
      <c r="G282" s="78"/>
      <c r="H282" s="78"/>
      <c r="I282" s="17"/>
      <c r="J282" s="17"/>
      <c r="K282" s="17"/>
      <c r="L282" s="4"/>
      <c r="M282" s="4"/>
      <c r="N282" s="4"/>
      <c r="O282" s="4"/>
      <c r="P282" s="4"/>
      <c r="Q282" s="4"/>
      <c r="R282" s="4"/>
      <c r="S282" s="4"/>
      <c r="T282" s="4"/>
      <c r="U282" s="4"/>
      <c r="V282" s="4"/>
      <c r="W282" s="4"/>
      <c r="X282" s="4"/>
      <c r="Y282" s="4"/>
      <c r="Z282" s="4"/>
    </row>
    <row r="283">
      <c r="A283" s="77"/>
      <c r="B283" s="17"/>
      <c r="C283" s="17"/>
      <c r="D283" s="17"/>
      <c r="E283" s="17"/>
      <c r="F283" s="17"/>
      <c r="G283" s="78"/>
      <c r="H283" s="78"/>
      <c r="I283" s="17"/>
      <c r="J283" s="17"/>
      <c r="K283" s="17"/>
      <c r="L283" s="4"/>
      <c r="M283" s="4"/>
      <c r="N283" s="4"/>
      <c r="O283" s="4"/>
      <c r="P283" s="4"/>
      <c r="Q283" s="4"/>
      <c r="R283" s="4"/>
      <c r="S283" s="4"/>
      <c r="T283" s="4"/>
      <c r="U283" s="4"/>
      <c r="V283" s="4"/>
      <c r="W283" s="4"/>
      <c r="X283" s="4"/>
      <c r="Y283" s="4"/>
      <c r="Z283" s="4"/>
    </row>
    <row r="284">
      <c r="A284" s="77"/>
      <c r="B284" s="17"/>
      <c r="C284" s="17"/>
      <c r="D284" s="17"/>
      <c r="E284" s="17"/>
      <c r="F284" s="17"/>
      <c r="G284" s="78"/>
      <c r="H284" s="78"/>
      <c r="I284" s="17"/>
      <c r="J284" s="17"/>
      <c r="K284" s="17"/>
      <c r="L284" s="4"/>
      <c r="M284" s="4"/>
      <c r="N284" s="4"/>
      <c r="O284" s="4"/>
      <c r="P284" s="4"/>
      <c r="Q284" s="4"/>
      <c r="R284" s="4"/>
      <c r="S284" s="4"/>
      <c r="T284" s="4"/>
      <c r="U284" s="4"/>
      <c r="V284" s="4"/>
      <c r="W284" s="4"/>
      <c r="X284" s="4"/>
      <c r="Y284" s="4"/>
      <c r="Z284" s="4"/>
    </row>
    <row r="285">
      <c r="A285" s="77"/>
      <c r="B285" s="17"/>
      <c r="C285" s="17"/>
      <c r="D285" s="17"/>
      <c r="E285" s="17"/>
      <c r="F285" s="17"/>
      <c r="G285" s="78"/>
      <c r="H285" s="78"/>
      <c r="I285" s="17"/>
      <c r="J285" s="17"/>
      <c r="K285" s="17"/>
      <c r="L285" s="4"/>
      <c r="M285" s="4"/>
      <c r="N285" s="4"/>
      <c r="O285" s="4"/>
      <c r="P285" s="4"/>
      <c r="Q285" s="4"/>
      <c r="R285" s="4"/>
      <c r="S285" s="4"/>
      <c r="T285" s="4"/>
      <c r="U285" s="4"/>
      <c r="V285" s="4"/>
      <c r="W285" s="4"/>
      <c r="X285" s="4"/>
      <c r="Y285" s="4"/>
      <c r="Z285" s="4"/>
    </row>
    <row r="286">
      <c r="A286" s="77"/>
      <c r="B286" s="17"/>
      <c r="C286" s="17"/>
      <c r="D286" s="17"/>
      <c r="E286" s="17"/>
      <c r="F286" s="17"/>
      <c r="G286" s="78"/>
      <c r="H286" s="78"/>
      <c r="I286" s="17"/>
      <c r="J286" s="17"/>
      <c r="K286" s="17"/>
      <c r="L286" s="4"/>
      <c r="M286" s="4"/>
      <c r="N286" s="4"/>
      <c r="O286" s="4"/>
      <c r="P286" s="4"/>
      <c r="Q286" s="4"/>
      <c r="R286" s="4"/>
      <c r="S286" s="4"/>
      <c r="T286" s="4"/>
      <c r="U286" s="4"/>
      <c r="V286" s="4"/>
      <c r="W286" s="4"/>
      <c r="X286" s="4"/>
      <c r="Y286" s="4"/>
      <c r="Z286" s="4"/>
    </row>
    <row r="287">
      <c r="A287" s="77"/>
      <c r="B287" s="17"/>
      <c r="C287" s="17"/>
      <c r="D287" s="17"/>
      <c r="E287" s="17"/>
      <c r="F287" s="17"/>
      <c r="G287" s="78"/>
      <c r="H287" s="78"/>
      <c r="I287" s="17"/>
      <c r="J287" s="17"/>
      <c r="K287" s="17"/>
      <c r="L287" s="4"/>
      <c r="M287" s="4"/>
      <c r="N287" s="4"/>
      <c r="O287" s="4"/>
      <c r="P287" s="4"/>
      <c r="Q287" s="4"/>
      <c r="R287" s="4"/>
      <c r="S287" s="4"/>
      <c r="T287" s="4"/>
      <c r="U287" s="4"/>
      <c r="V287" s="4"/>
      <c r="W287" s="4"/>
      <c r="X287" s="4"/>
      <c r="Y287" s="4"/>
      <c r="Z287" s="4"/>
    </row>
    <row r="288">
      <c r="A288" s="77"/>
      <c r="B288" s="17"/>
      <c r="C288" s="17"/>
      <c r="D288" s="17"/>
      <c r="E288" s="17"/>
      <c r="F288" s="17"/>
      <c r="G288" s="78"/>
      <c r="H288" s="78"/>
      <c r="I288" s="17"/>
      <c r="J288" s="17"/>
      <c r="K288" s="17"/>
      <c r="L288" s="4"/>
      <c r="M288" s="4"/>
      <c r="N288" s="4"/>
      <c r="O288" s="4"/>
      <c r="P288" s="4"/>
      <c r="Q288" s="4"/>
      <c r="R288" s="4"/>
      <c r="S288" s="4"/>
      <c r="T288" s="4"/>
      <c r="U288" s="4"/>
      <c r="V288" s="4"/>
      <c r="W288" s="4"/>
      <c r="X288" s="4"/>
      <c r="Y288" s="4"/>
      <c r="Z288" s="4"/>
    </row>
    <row r="289">
      <c r="A289" s="77"/>
      <c r="B289" s="17"/>
      <c r="C289" s="17"/>
      <c r="D289" s="17"/>
      <c r="E289" s="17"/>
      <c r="F289" s="17"/>
      <c r="G289" s="78"/>
      <c r="H289" s="78"/>
      <c r="I289" s="17"/>
      <c r="J289" s="17"/>
      <c r="K289" s="17"/>
      <c r="L289" s="4"/>
      <c r="M289" s="4"/>
      <c r="N289" s="4"/>
      <c r="O289" s="4"/>
      <c r="P289" s="4"/>
      <c r="Q289" s="4"/>
      <c r="R289" s="4"/>
      <c r="S289" s="4"/>
      <c r="T289" s="4"/>
      <c r="U289" s="4"/>
      <c r="V289" s="4"/>
      <c r="W289" s="4"/>
      <c r="X289" s="4"/>
      <c r="Y289" s="4"/>
      <c r="Z289" s="4"/>
    </row>
    <row r="290">
      <c r="A290" s="77"/>
      <c r="B290" s="17"/>
      <c r="C290" s="17"/>
      <c r="D290" s="17"/>
      <c r="E290" s="17"/>
      <c r="F290" s="17"/>
      <c r="G290" s="78"/>
      <c r="H290" s="78"/>
      <c r="I290" s="17"/>
      <c r="J290" s="17"/>
      <c r="K290" s="17"/>
      <c r="L290" s="4"/>
      <c r="M290" s="4"/>
      <c r="N290" s="4"/>
      <c r="O290" s="4"/>
      <c r="P290" s="4"/>
      <c r="Q290" s="4"/>
      <c r="R290" s="4"/>
      <c r="S290" s="4"/>
      <c r="T290" s="4"/>
      <c r="U290" s="4"/>
      <c r="V290" s="4"/>
      <c r="W290" s="4"/>
      <c r="X290" s="4"/>
      <c r="Y290" s="4"/>
      <c r="Z290" s="4"/>
    </row>
    <row r="291">
      <c r="A291" s="77"/>
      <c r="B291" s="17"/>
      <c r="C291" s="17"/>
      <c r="D291" s="17"/>
      <c r="E291" s="17"/>
      <c r="F291" s="17"/>
      <c r="G291" s="78"/>
      <c r="H291" s="78"/>
      <c r="I291" s="17"/>
      <c r="J291" s="17"/>
      <c r="K291" s="17"/>
      <c r="L291" s="4"/>
      <c r="M291" s="4"/>
      <c r="N291" s="4"/>
      <c r="O291" s="4"/>
      <c r="P291" s="4"/>
      <c r="Q291" s="4"/>
      <c r="R291" s="4"/>
      <c r="S291" s="4"/>
      <c r="T291" s="4"/>
      <c r="U291" s="4"/>
      <c r="V291" s="4"/>
      <c r="W291" s="4"/>
      <c r="X291" s="4"/>
      <c r="Y291" s="4"/>
      <c r="Z291" s="4"/>
    </row>
    <row r="292">
      <c r="A292" s="77"/>
      <c r="B292" s="17"/>
      <c r="C292" s="17"/>
      <c r="D292" s="17"/>
      <c r="E292" s="17"/>
      <c r="F292" s="17"/>
      <c r="G292" s="78"/>
      <c r="H292" s="78"/>
      <c r="I292" s="17"/>
      <c r="J292" s="17"/>
      <c r="K292" s="17"/>
      <c r="L292" s="4"/>
      <c r="M292" s="4"/>
      <c r="N292" s="4"/>
      <c r="O292" s="4"/>
      <c r="P292" s="4"/>
      <c r="Q292" s="4"/>
      <c r="R292" s="4"/>
      <c r="S292" s="4"/>
      <c r="T292" s="4"/>
      <c r="U292" s="4"/>
      <c r="V292" s="4"/>
      <c r="W292" s="4"/>
      <c r="X292" s="4"/>
      <c r="Y292" s="4"/>
      <c r="Z292" s="4"/>
    </row>
    <row r="293">
      <c r="A293" s="77"/>
      <c r="B293" s="17"/>
      <c r="C293" s="17"/>
      <c r="D293" s="17"/>
      <c r="E293" s="17"/>
      <c r="F293" s="17"/>
      <c r="G293" s="78"/>
      <c r="H293" s="78"/>
      <c r="I293" s="17"/>
      <c r="J293" s="17"/>
      <c r="K293" s="17"/>
      <c r="L293" s="4"/>
      <c r="M293" s="4"/>
      <c r="N293" s="4"/>
      <c r="O293" s="4"/>
      <c r="P293" s="4"/>
      <c r="Q293" s="4"/>
      <c r="R293" s="4"/>
      <c r="S293" s="4"/>
      <c r="T293" s="4"/>
      <c r="U293" s="4"/>
      <c r="V293" s="4"/>
      <c r="W293" s="4"/>
      <c r="X293" s="4"/>
      <c r="Y293" s="4"/>
      <c r="Z293" s="4"/>
    </row>
    <row r="294">
      <c r="A294" s="77"/>
      <c r="B294" s="17"/>
      <c r="C294" s="17"/>
      <c r="D294" s="17"/>
      <c r="E294" s="17"/>
      <c r="F294" s="17"/>
      <c r="G294" s="78"/>
      <c r="H294" s="78"/>
      <c r="I294" s="17"/>
      <c r="J294" s="17"/>
      <c r="K294" s="17"/>
      <c r="L294" s="4"/>
      <c r="M294" s="4"/>
      <c r="N294" s="4"/>
      <c r="O294" s="4"/>
      <c r="P294" s="4"/>
      <c r="Q294" s="4"/>
      <c r="R294" s="4"/>
      <c r="S294" s="4"/>
      <c r="T294" s="4"/>
      <c r="U294" s="4"/>
      <c r="V294" s="4"/>
      <c r="W294" s="4"/>
      <c r="X294" s="4"/>
      <c r="Y294" s="4"/>
      <c r="Z294" s="4"/>
    </row>
    <row r="295">
      <c r="A295" s="77"/>
      <c r="B295" s="17"/>
      <c r="C295" s="17"/>
      <c r="D295" s="17"/>
      <c r="E295" s="17"/>
      <c r="F295" s="17"/>
      <c r="G295" s="78"/>
      <c r="H295" s="78"/>
      <c r="I295" s="17"/>
      <c r="J295" s="17"/>
      <c r="K295" s="17"/>
      <c r="L295" s="4"/>
      <c r="M295" s="4"/>
      <c r="N295" s="4"/>
      <c r="O295" s="4"/>
      <c r="P295" s="4"/>
      <c r="Q295" s="4"/>
      <c r="R295" s="4"/>
      <c r="S295" s="4"/>
      <c r="T295" s="4"/>
      <c r="U295" s="4"/>
      <c r="V295" s="4"/>
      <c r="W295" s="4"/>
      <c r="X295" s="4"/>
      <c r="Y295" s="4"/>
      <c r="Z295" s="4"/>
    </row>
    <row r="296">
      <c r="A296" s="77"/>
      <c r="B296" s="17"/>
      <c r="C296" s="17"/>
      <c r="D296" s="17"/>
      <c r="E296" s="17"/>
      <c r="F296" s="17"/>
      <c r="G296" s="78"/>
      <c r="H296" s="78"/>
      <c r="I296" s="17"/>
      <c r="J296" s="17"/>
      <c r="K296" s="17"/>
      <c r="L296" s="4"/>
      <c r="M296" s="4"/>
      <c r="N296" s="4"/>
      <c r="O296" s="4"/>
      <c r="P296" s="4"/>
      <c r="Q296" s="4"/>
      <c r="R296" s="4"/>
      <c r="S296" s="4"/>
      <c r="T296" s="4"/>
      <c r="U296" s="4"/>
      <c r="V296" s="4"/>
      <c r="W296" s="4"/>
      <c r="X296" s="4"/>
      <c r="Y296" s="4"/>
      <c r="Z296" s="4"/>
    </row>
    <row r="297">
      <c r="A297" s="77"/>
      <c r="B297" s="17"/>
      <c r="C297" s="17"/>
      <c r="D297" s="17"/>
      <c r="E297" s="17"/>
      <c r="F297" s="17"/>
      <c r="G297" s="78"/>
      <c r="H297" s="78"/>
      <c r="I297" s="17"/>
      <c r="J297" s="17"/>
      <c r="K297" s="17"/>
      <c r="L297" s="4"/>
      <c r="M297" s="4"/>
      <c r="N297" s="4"/>
      <c r="O297" s="4"/>
      <c r="P297" s="4"/>
      <c r="Q297" s="4"/>
      <c r="R297" s="4"/>
      <c r="S297" s="4"/>
      <c r="T297" s="4"/>
      <c r="U297" s="4"/>
      <c r="V297" s="4"/>
      <c r="W297" s="4"/>
      <c r="X297" s="4"/>
      <c r="Y297" s="4"/>
      <c r="Z297" s="4"/>
    </row>
    <row r="298">
      <c r="A298" s="77"/>
      <c r="B298" s="17"/>
      <c r="C298" s="17"/>
      <c r="D298" s="17"/>
      <c r="E298" s="17"/>
      <c r="F298" s="17"/>
      <c r="G298" s="78"/>
      <c r="H298" s="78"/>
      <c r="I298" s="17"/>
      <c r="J298" s="17"/>
      <c r="K298" s="17"/>
      <c r="L298" s="4"/>
      <c r="M298" s="4"/>
      <c r="N298" s="4"/>
      <c r="O298" s="4"/>
      <c r="P298" s="4"/>
      <c r="Q298" s="4"/>
      <c r="R298" s="4"/>
      <c r="S298" s="4"/>
      <c r="T298" s="4"/>
      <c r="U298" s="4"/>
      <c r="V298" s="4"/>
      <c r="W298" s="4"/>
      <c r="X298" s="4"/>
      <c r="Y298" s="4"/>
      <c r="Z298" s="4"/>
    </row>
    <row r="299">
      <c r="A299" s="77"/>
      <c r="B299" s="17"/>
      <c r="C299" s="17"/>
      <c r="D299" s="17"/>
      <c r="E299" s="17"/>
      <c r="F299" s="17"/>
      <c r="G299" s="78"/>
      <c r="H299" s="78"/>
      <c r="I299" s="17"/>
      <c r="J299" s="17"/>
      <c r="K299" s="17"/>
      <c r="L299" s="4"/>
      <c r="M299" s="4"/>
      <c r="N299" s="4"/>
      <c r="O299" s="4"/>
      <c r="P299" s="4"/>
      <c r="Q299" s="4"/>
      <c r="R299" s="4"/>
      <c r="S299" s="4"/>
      <c r="T299" s="4"/>
      <c r="U299" s="4"/>
      <c r="V299" s="4"/>
      <c r="W299" s="4"/>
      <c r="X299" s="4"/>
      <c r="Y299" s="4"/>
      <c r="Z299" s="4"/>
    </row>
    <row r="300">
      <c r="A300" s="77"/>
      <c r="B300" s="17"/>
      <c r="C300" s="17"/>
      <c r="D300" s="17"/>
      <c r="E300" s="17"/>
      <c r="F300" s="17"/>
      <c r="G300" s="78"/>
      <c r="H300" s="78"/>
      <c r="I300" s="17"/>
      <c r="J300" s="17"/>
      <c r="K300" s="17"/>
      <c r="L300" s="4"/>
      <c r="M300" s="4"/>
      <c r="N300" s="4"/>
      <c r="O300" s="4"/>
      <c r="P300" s="4"/>
      <c r="Q300" s="4"/>
      <c r="R300" s="4"/>
      <c r="S300" s="4"/>
      <c r="T300" s="4"/>
      <c r="U300" s="4"/>
      <c r="V300" s="4"/>
      <c r="W300" s="4"/>
      <c r="X300" s="4"/>
      <c r="Y300" s="4"/>
      <c r="Z300" s="4"/>
    </row>
    <row r="301">
      <c r="A301" s="77"/>
      <c r="B301" s="17"/>
      <c r="C301" s="17"/>
      <c r="D301" s="17"/>
      <c r="E301" s="17"/>
      <c r="F301" s="17"/>
      <c r="G301" s="78"/>
      <c r="H301" s="78"/>
      <c r="I301" s="17"/>
      <c r="J301" s="17"/>
      <c r="K301" s="17"/>
      <c r="L301" s="4"/>
      <c r="M301" s="4"/>
      <c r="N301" s="4"/>
      <c r="O301" s="4"/>
      <c r="P301" s="4"/>
      <c r="Q301" s="4"/>
      <c r="R301" s="4"/>
      <c r="S301" s="4"/>
      <c r="T301" s="4"/>
      <c r="U301" s="4"/>
      <c r="V301" s="4"/>
      <c r="W301" s="4"/>
      <c r="X301" s="4"/>
      <c r="Y301" s="4"/>
      <c r="Z301" s="4"/>
    </row>
    <row r="302">
      <c r="A302" s="77"/>
      <c r="B302" s="17"/>
      <c r="C302" s="17"/>
      <c r="D302" s="17"/>
      <c r="E302" s="17"/>
      <c r="F302" s="17"/>
      <c r="G302" s="78"/>
      <c r="H302" s="78"/>
      <c r="I302" s="17"/>
      <c r="J302" s="17"/>
      <c r="K302" s="17"/>
      <c r="L302" s="4"/>
      <c r="M302" s="4"/>
      <c r="N302" s="4"/>
      <c r="O302" s="4"/>
      <c r="P302" s="4"/>
      <c r="Q302" s="4"/>
      <c r="R302" s="4"/>
      <c r="S302" s="4"/>
      <c r="T302" s="4"/>
      <c r="U302" s="4"/>
      <c r="V302" s="4"/>
      <c r="W302" s="4"/>
      <c r="X302" s="4"/>
      <c r="Y302" s="4"/>
      <c r="Z302" s="4"/>
    </row>
    <row r="303">
      <c r="A303" s="77"/>
      <c r="B303" s="17"/>
      <c r="C303" s="17"/>
      <c r="D303" s="17"/>
      <c r="E303" s="17"/>
      <c r="F303" s="17"/>
      <c r="G303" s="78"/>
      <c r="H303" s="78"/>
      <c r="I303" s="17"/>
      <c r="J303" s="17"/>
      <c r="K303" s="17"/>
      <c r="L303" s="4"/>
      <c r="M303" s="4"/>
      <c r="N303" s="4"/>
      <c r="O303" s="4"/>
      <c r="P303" s="4"/>
      <c r="Q303" s="4"/>
      <c r="R303" s="4"/>
      <c r="S303" s="4"/>
      <c r="T303" s="4"/>
      <c r="U303" s="4"/>
      <c r="V303" s="4"/>
      <c r="W303" s="4"/>
      <c r="X303" s="4"/>
      <c r="Y303" s="4"/>
      <c r="Z303" s="4"/>
    </row>
    <row r="304">
      <c r="A304" s="77"/>
      <c r="B304" s="17"/>
      <c r="C304" s="17"/>
      <c r="D304" s="17"/>
      <c r="E304" s="17"/>
      <c r="F304" s="17"/>
      <c r="G304" s="78"/>
      <c r="H304" s="78"/>
      <c r="I304" s="17"/>
      <c r="J304" s="17"/>
      <c r="K304" s="17"/>
      <c r="L304" s="4"/>
      <c r="M304" s="4"/>
      <c r="N304" s="4"/>
      <c r="O304" s="4"/>
      <c r="P304" s="4"/>
      <c r="Q304" s="4"/>
      <c r="R304" s="4"/>
      <c r="S304" s="4"/>
      <c r="T304" s="4"/>
      <c r="U304" s="4"/>
      <c r="V304" s="4"/>
      <c r="W304" s="4"/>
      <c r="X304" s="4"/>
      <c r="Y304" s="4"/>
      <c r="Z304" s="4"/>
    </row>
    <row r="305">
      <c r="A305" s="77"/>
      <c r="B305" s="17"/>
      <c r="C305" s="17"/>
      <c r="D305" s="17"/>
      <c r="E305" s="17"/>
      <c r="F305" s="17"/>
      <c r="G305" s="78"/>
      <c r="H305" s="78"/>
      <c r="I305" s="17"/>
      <c r="J305" s="17"/>
      <c r="K305" s="17"/>
      <c r="L305" s="4"/>
      <c r="M305" s="4"/>
      <c r="N305" s="4"/>
      <c r="O305" s="4"/>
      <c r="P305" s="4"/>
      <c r="Q305" s="4"/>
      <c r="R305" s="4"/>
      <c r="S305" s="4"/>
      <c r="T305" s="4"/>
      <c r="U305" s="4"/>
      <c r="V305" s="4"/>
      <c r="W305" s="4"/>
      <c r="X305" s="4"/>
      <c r="Y305" s="4"/>
      <c r="Z305" s="4"/>
    </row>
    <row r="306">
      <c r="A306" s="77"/>
      <c r="B306" s="17"/>
      <c r="C306" s="17"/>
      <c r="D306" s="17"/>
      <c r="E306" s="17"/>
      <c r="F306" s="17"/>
      <c r="G306" s="78"/>
      <c r="H306" s="78"/>
      <c r="I306" s="17"/>
      <c r="J306" s="17"/>
      <c r="K306" s="17"/>
      <c r="L306" s="4"/>
      <c r="M306" s="4"/>
      <c r="N306" s="4"/>
      <c r="O306" s="4"/>
      <c r="P306" s="4"/>
      <c r="Q306" s="4"/>
      <c r="R306" s="4"/>
      <c r="S306" s="4"/>
      <c r="T306" s="4"/>
      <c r="U306" s="4"/>
      <c r="V306" s="4"/>
      <c r="W306" s="4"/>
      <c r="X306" s="4"/>
      <c r="Y306" s="4"/>
      <c r="Z306" s="4"/>
    </row>
    <row r="307">
      <c r="A307" s="77"/>
      <c r="B307" s="17"/>
      <c r="C307" s="17"/>
      <c r="D307" s="17"/>
      <c r="E307" s="17"/>
      <c r="F307" s="17"/>
      <c r="G307" s="78"/>
      <c r="H307" s="78"/>
      <c r="I307" s="17"/>
      <c r="J307" s="17"/>
      <c r="K307" s="17"/>
      <c r="L307" s="4"/>
      <c r="M307" s="4"/>
      <c r="N307" s="4"/>
      <c r="O307" s="4"/>
      <c r="P307" s="4"/>
      <c r="Q307" s="4"/>
      <c r="R307" s="4"/>
      <c r="S307" s="4"/>
      <c r="T307" s="4"/>
      <c r="U307" s="4"/>
      <c r="V307" s="4"/>
      <c r="W307" s="4"/>
      <c r="X307" s="4"/>
      <c r="Y307" s="4"/>
      <c r="Z307" s="4"/>
    </row>
    <row r="308">
      <c r="A308" s="77"/>
      <c r="B308" s="17"/>
      <c r="C308" s="17"/>
      <c r="D308" s="17"/>
      <c r="E308" s="17"/>
      <c r="F308" s="17"/>
      <c r="G308" s="78"/>
      <c r="H308" s="78"/>
      <c r="I308" s="17"/>
      <c r="J308" s="17"/>
      <c r="K308" s="17"/>
      <c r="L308" s="4"/>
      <c r="M308" s="4"/>
      <c r="N308" s="4"/>
      <c r="O308" s="4"/>
      <c r="P308" s="4"/>
      <c r="Q308" s="4"/>
      <c r="R308" s="4"/>
      <c r="S308" s="4"/>
      <c r="T308" s="4"/>
      <c r="U308" s="4"/>
      <c r="V308" s="4"/>
      <c r="W308" s="4"/>
      <c r="X308" s="4"/>
      <c r="Y308" s="4"/>
      <c r="Z308" s="4"/>
    </row>
    <row r="309">
      <c r="A309" s="77"/>
      <c r="B309" s="17"/>
      <c r="C309" s="17"/>
      <c r="D309" s="17"/>
      <c r="E309" s="17"/>
      <c r="F309" s="17"/>
      <c r="G309" s="78"/>
      <c r="H309" s="78"/>
      <c r="I309" s="17"/>
      <c r="J309" s="17"/>
      <c r="K309" s="17"/>
      <c r="L309" s="4"/>
      <c r="M309" s="4"/>
      <c r="N309" s="4"/>
      <c r="O309" s="4"/>
      <c r="P309" s="4"/>
      <c r="Q309" s="4"/>
      <c r="R309" s="4"/>
      <c r="S309" s="4"/>
      <c r="T309" s="4"/>
      <c r="U309" s="4"/>
      <c r="V309" s="4"/>
      <c r="W309" s="4"/>
      <c r="X309" s="4"/>
      <c r="Y309" s="4"/>
      <c r="Z309" s="4"/>
    </row>
    <row r="310">
      <c r="A310" s="77"/>
      <c r="B310" s="17"/>
      <c r="C310" s="17"/>
      <c r="D310" s="17"/>
      <c r="E310" s="17"/>
      <c r="F310" s="17"/>
      <c r="G310" s="78"/>
      <c r="H310" s="78"/>
      <c r="I310" s="17"/>
      <c r="J310" s="17"/>
      <c r="K310" s="17"/>
      <c r="L310" s="4"/>
      <c r="M310" s="4"/>
      <c r="N310" s="4"/>
      <c r="O310" s="4"/>
      <c r="P310" s="4"/>
      <c r="Q310" s="4"/>
      <c r="R310" s="4"/>
      <c r="S310" s="4"/>
      <c r="T310" s="4"/>
      <c r="U310" s="4"/>
      <c r="V310" s="4"/>
      <c r="W310" s="4"/>
      <c r="X310" s="4"/>
      <c r="Y310" s="4"/>
      <c r="Z310" s="4"/>
    </row>
    <row r="311">
      <c r="A311" s="77"/>
      <c r="B311" s="17"/>
      <c r="C311" s="17"/>
      <c r="D311" s="17"/>
      <c r="E311" s="17"/>
      <c r="F311" s="17"/>
      <c r="G311" s="78"/>
      <c r="H311" s="78"/>
      <c r="I311" s="17"/>
      <c r="J311" s="17"/>
      <c r="K311" s="17"/>
      <c r="L311" s="4"/>
      <c r="M311" s="4"/>
      <c r="N311" s="4"/>
      <c r="O311" s="4"/>
      <c r="P311" s="4"/>
      <c r="Q311" s="4"/>
      <c r="R311" s="4"/>
      <c r="S311" s="4"/>
      <c r="T311" s="4"/>
      <c r="U311" s="4"/>
      <c r="V311" s="4"/>
      <c r="W311" s="4"/>
      <c r="X311" s="4"/>
      <c r="Y311" s="4"/>
      <c r="Z311" s="4"/>
    </row>
    <row r="312">
      <c r="A312" s="77"/>
      <c r="B312" s="17"/>
      <c r="C312" s="17"/>
      <c r="D312" s="17"/>
      <c r="E312" s="17"/>
      <c r="F312" s="17"/>
      <c r="G312" s="78"/>
      <c r="H312" s="78"/>
      <c r="I312" s="17"/>
      <c r="J312" s="17"/>
      <c r="K312" s="17"/>
      <c r="L312" s="4"/>
      <c r="M312" s="4"/>
      <c r="N312" s="4"/>
      <c r="O312" s="4"/>
      <c r="P312" s="4"/>
      <c r="Q312" s="4"/>
      <c r="R312" s="4"/>
      <c r="S312" s="4"/>
      <c r="T312" s="4"/>
      <c r="U312" s="4"/>
      <c r="V312" s="4"/>
      <c r="W312" s="4"/>
      <c r="X312" s="4"/>
      <c r="Y312" s="4"/>
      <c r="Z312" s="4"/>
    </row>
    <row r="313">
      <c r="A313" s="77"/>
      <c r="B313" s="17"/>
      <c r="C313" s="17"/>
      <c r="D313" s="17"/>
      <c r="E313" s="17"/>
      <c r="F313" s="17"/>
      <c r="G313" s="78"/>
      <c r="H313" s="78"/>
      <c r="I313" s="17"/>
      <c r="J313" s="17"/>
      <c r="K313" s="17"/>
      <c r="L313" s="4"/>
      <c r="M313" s="4"/>
      <c r="N313" s="4"/>
      <c r="O313" s="4"/>
      <c r="P313" s="4"/>
      <c r="Q313" s="4"/>
      <c r="R313" s="4"/>
      <c r="S313" s="4"/>
      <c r="T313" s="4"/>
      <c r="U313" s="4"/>
      <c r="V313" s="4"/>
      <c r="W313" s="4"/>
      <c r="X313" s="4"/>
      <c r="Y313" s="4"/>
      <c r="Z313" s="4"/>
    </row>
    <row r="314">
      <c r="A314" s="77"/>
      <c r="B314" s="17"/>
      <c r="C314" s="17"/>
      <c r="D314" s="17"/>
      <c r="E314" s="17"/>
      <c r="F314" s="17"/>
      <c r="G314" s="78"/>
      <c r="H314" s="78"/>
      <c r="I314" s="17"/>
      <c r="J314" s="17"/>
      <c r="K314" s="17"/>
      <c r="L314" s="4"/>
      <c r="M314" s="4"/>
      <c r="N314" s="4"/>
      <c r="O314" s="4"/>
      <c r="P314" s="4"/>
      <c r="Q314" s="4"/>
      <c r="R314" s="4"/>
      <c r="S314" s="4"/>
      <c r="T314" s="4"/>
      <c r="U314" s="4"/>
      <c r="V314" s="4"/>
      <c r="W314" s="4"/>
      <c r="X314" s="4"/>
      <c r="Y314" s="4"/>
      <c r="Z314" s="4"/>
    </row>
    <row r="315">
      <c r="A315" s="77"/>
      <c r="B315" s="17"/>
      <c r="C315" s="17"/>
      <c r="D315" s="17"/>
      <c r="E315" s="17"/>
      <c r="F315" s="17"/>
      <c r="G315" s="78"/>
      <c r="H315" s="78"/>
      <c r="I315" s="17"/>
      <c r="J315" s="17"/>
      <c r="K315" s="17"/>
      <c r="L315" s="4"/>
      <c r="M315" s="4"/>
      <c r="N315" s="4"/>
      <c r="O315" s="4"/>
      <c r="P315" s="4"/>
      <c r="Q315" s="4"/>
      <c r="R315" s="4"/>
      <c r="S315" s="4"/>
      <c r="T315" s="4"/>
      <c r="U315" s="4"/>
      <c r="V315" s="4"/>
      <c r="W315" s="4"/>
      <c r="X315" s="4"/>
      <c r="Y315" s="4"/>
      <c r="Z315" s="4"/>
    </row>
    <row r="316">
      <c r="A316" s="77"/>
      <c r="B316" s="17"/>
      <c r="C316" s="17"/>
      <c r="D316" s="17"/>
      <c r="E316" s="17"/>
      <c r="F316" s="17"/>
      <c r="G316" s="78"/>
      <c r="H316" s="78"/>
      <c r="I316" s="17"/>
      <c r="J316" s="17"/>
      <c r="K316" s="17"/>
      <c r="L316" s="4"/>
      <c r="M316" s="4"/>
      <c r="N316" s="4"/>
      <c r="O316" s="4"/>
      <c r="P316" s="4"/>
      <c r="Q316" s="4"/>
      <c r="R316" s="4"/>
      <c r="S316" s="4"/>
      <c r="T316" s="4"/>
      <c r="U316" s="4"/>
      <c r="V316" s="4"/>
      <c r="W316" s="4"/>
      <c r="X316" s="4"/>
      <c r="Y316" s="4"/>
      <c r="Z316" s="4"/>
    </row>
    <row r="317">
      <c r="A317" s="77"/>
      <c r="B317" s="17"/>
      <c r="C317" s="17"/>
      <c r="D317" s="17"/>
      <c r="E317" s="17"/>
      <c r="F317" s="17"/>
      <c r="G317" s="78"/>
      <c r="H317" s="78"/>
      <c r="I317" s="17"/>
      <c r="J317" s="17"/>
      <c r="K317" s="17"/>
      <c r="L317" s="4"/>
      <c r="M317" s="4"/>
      <c r="N317" s="4"/>
      <c r="O317" s="4"/>
      <c r="P317" s="4"/>
      <c r="Q317" s="4"/>
      <c r="R317" s="4"/>
      <c r="S317" s="4"/>
      <c r="T317" s="4"/>
      <c r="U317" s="4"/>
      <c r="V317" s="4"/>
      <c r="W317" s="4"/>
      <c r="X317" s="4"/>
      <c r="Y317" s="4"/>
      <c r="Z317" s="4"/>
    </row>
    <row r="318">
      <c r="A318" s="77"/>
      <c r="B318" s="17"/>
      <c r="C318" s="17"/>
      <c r="D318" s="17"/>
      <c r="E318" s="17"/>
      <c r="F318" s="17"/>
      <c r="G318" s="78"/>
      <c r="H318" s="78"/>
      <c r="I318" s="17"/>
      <c r="J318" s="17"/>
      <c r="K318" s="17"/>
      <c r="L318" s="4"/>
      <c r="M318" s="4"/>
      <c r="N318" s="4"/>
      <c r="O318" s="4"/>
      <c r="P318" s="4"/>
      <c r="Q318" s="4"/>
      <c r="R318" s="4"/>
      <c r="S318" s="4"/>
      <c r="T318" s="4"/>
      <c r="U318" s="4"/>
      <c r="V318" s="4"/>
      <c r="W318" s="4"/>
      <c r="X318" s="4"/>
      <c r="Y318" s="4"/>
      <c r="Z318" s="4"/>
    </row>
    <row r="319">
      <c r="A319" s="77"/>
      <c r="B319" s="17"/>
      <c r="C319" s="17"/>
      <c r="D319" s="17"/>
      <c r="E319" s="17"/>
      <c r="F319" s="17"/>
      <c r="G319" s="78"/>
      <c r="H319" s="78"/>
      <c r="I319" s="17"/>
      <c r="J319" s="17"/>
      <c r="K319" s="17"/>
      <c r="L319" s="4"/>
      <c r="M319" s="4"/>
      <c r="N319" s="4"/>
      <c r="O319" s="4"/>
      <c r="P319" s="4"/>
      <c r="Q319" s="4"/>
      <c r="R319" s="4"/>
      <c r="S319" s="4"/>
      <c r="T319" s="4"/>
      <c r="U319" s="4"/>
      <c r="V319" s="4"/>
      <c r="W319" s="4"/>
      <c r="X319" s="4"/>
      <c r="Y319" s="4"/>
      <c r="Z319" s="4"/>
    </row>
    <row r="320">
      <c r="A320" s="77"/>
      <c r="B320" s="17"/>
      <c r="C320" s="17"/>
      <c r="D320" s="17"/>
      <c r="E320" s="17"/>
      <c r="F320" s="17"/>
      <c r="G320" s="78"/>
      <c r="H320" s="78"/>
      <c r="I320" s="17"/>
      <c r="J320" s="17"/>
      <c r="K320" s="17"/>
      <c r="L320" s="4"/>
      <c r="M320" s="4"/>
      <c r="N320" s="4"/>
      <c r="O320" s="4"/>
      <c r="P320" s="4"/>
      <c r="Q320" s="4"/>
      <c r="R320" s="4"/>
      <c r="S320" s="4"/>
      <c r="T320" s="4"/>
      <c r="U320" s="4"/>
      <c r="V320" s="4"/>
      <c r="W320" s="4"/>
      <c r="X320" s="4"/>
      <c r="Y320" s="4"/>
      <c r="Z320" s="4"/>
    </row>
    <row r="321">
      <c r="A321" s="77"/>
      <c r="B321" s="17"/>
      <c r="C321" s="17"/>
      <c r="D321" s="17"/>
      <c r="E321" s="17"/>
      <c r="F321" s="17"/>
      <c r="G321" s="78"/>
      <c r="H321" s="78"/>
      <c r="I321" s="17"/>
      <c r="J321" s="17"/>
      <c r="K321" s="17"/>
      <c r="L321" s="4"/>
      <c r="M321" s="4"/>
      <c r="N321" s="4"/>
      <c r="O321" s="4"/>
      <c r="P321" s="4"/>
      <c r="Q321" s="4"/>
      <c r="R321" s="4"/>
      <c r="S321" s="4"/>
      <c r="T321" s="4"/>
      <c r="U321" s="4"/>
      <c r="V321" s="4"/>
      <c r="W321" s="4"/>
      <c r="X321" s="4"/>
      <c r="Y321" s="4"/>
      <c r="Z321" s="4"/>
    </row>
    <row r="322">
      <c r="A322" s="77"/>
      <c r="B322" s="17"/>
      <c r="C322" s="17"/>
      <c r="D322" s="17"/>
      <c r="E322" s="17"/>
      <c r="F322" s="17"/>
      <c r="G322" s="78"/>
      <c r="H322" s="78"/>
      <c r="I322" s="17"/>
      <c r="J322" s="17"/>
      <c r="K322" s="17"/>
      <c r="L322" s="4"/>
      <c r="M322" s="4"/>
      <c r="N322" s="4"/>
      <c r="O322" s="4"/>
      <c r="P322" s="4"/>
      <c r="Q322" s="4"/>
      <c r="R322" s="4"/>
      <c r="S322" s="4"/>
      <c r="T322" s="4"/>
      <c r="U322" s="4"/>
      <c r="V322" s="4"/>
      <c r="W322" s="4"/>
      <c r="X322" s="4"/>
      <c r="Y322" s="4"/>
      <c r="Z322" s="4"/>
    </row>
    <row r="323">
      <c r="A323" s="77"/>
      <c r="B323" s="17"/>
      <c r="C323" s="17"/>
      <c r="D323" s="17"/>
      <c r="E323" s="17"/>
      <c r="F323" s="17"/>
      <c r="G323" s="78"/>
      <c r="H323" s="78"/>
      <c r="I323" s="17"/>
      <c r="J323" s="17"/>
      <c r="K323" s="17"/>
      <c r="L323" s="4"/>
      <c r="M323" s="4"/>
      <c r="N323" s="4"/>
      <c r="O323" s="4"/>
      <c r="P323" s="4"/>
      <c r="Q323" s="4"/>
      <c r="R323" s="4"/>
      <c r="S323" s="4"/>
      <c r="T323" s="4"/>
      <c r="U323" s="4"/>
      <c r="V323" s="4"/>
      <c r="W323" s="4"/>
      <c r="X323" s="4"/>
      <c r="Y323" s="4"/>
      <c r="Z323" s="4"/>
    </row>
    <row r="324">
      <c r="A324" s="77"/>
      <c r="B324" s="17"/>
      <c r="C324" s="17"/>
      <c r="D324" s="17"/>
      <c r="E324" s="17"/>
      <c r="F324" s="17"/>
      <c r="G324" s="78"/>
      <c r="H324" s="78"/>
      <c r="I324" s="17"/>
      <c r="J324" s="17"/>
      <c r="K324" s="17"/>
      <c r="L324" s="4"/>
      <c r="M324" s="4"/>
      <c r="N324" s="4"/>
      <c r="O324" s="4"/>
      <c r="P324" s="4"/>
      <c r="Q324" s="4"/>
      <c r="R324" s="4"/>
      <c r="S324" s="4"/>
      <c r="T324" s="4"/>
      <c r="U324" s="4"/>
      <c r="V324" s="4"/>
      <c r="W324" s="4"/>
      <c r="X324" s="4"/>
      <c r="Y324" s="4"/>
      <c r="Z324" s="4"/>
    </row>
    <row r="325">
      <c r="A325" s="77"/>
      <c r="B325" s="17"/>
      <c r="C325" s="17"/>
      <c r="D325" s="17"/>
      <c r="E325" s="17"/>
      <c r="F325" s="17"/>
      <c r="G325" s="78"/>
      <c r="H325" s="78"/>
      <c r="I325" s="17"/>
      <c r="J325" s="17"/>
      <c r="K325" s="17"/>
      <c r="L325" s="4"/>
      <c r="M325" s="4"/>
      <c r="N325" s="4"/>
      <c r="O325" s="4"/>
      <c r="P325" s="4"/>
      <c r="Q325" s="4"/>
      <c r="R325" s="4"/>
      <c r="S325" s="4"/>
      <c r="T325" s="4"/>
      <c r="U325" s="4"/>
      <c r="V325" s="4"/>
      <c r="W325" s="4"/>
      <c r="X325" s="4"/>
      <c r="Y325" s="4"/>
      <c r="Z325" s="4"/>
    </row>
    <row r="326">
      <c r="A326" s="77"/>
      <c r="B326" s="17"/>
      <c r="C326" s="17"/>
      <c r="D326" s="17"/>
      <c r="E326" s="17"/>
      <c r="F326" s="17"/>
      <c r="G326" s="78"/>
      <c r="H326" s="78"/>
      <c r="I326" s="17"/>
      <c r="J326" s="17"/>
      <c r="K326" s="17"/>
      <c r="L326" s="4"/>
      <c r="M326" s="4"/>
      <c r="N326" s="4"/>
      <c r="O326" s="4"/>
      <c r="P326" s="4"/>
      <c r="Q326" s="4"/>
      <c r="R326" s="4"/>
      <c r="S326" s="4"/>
      <c r="T326" s="4"/>
      <c r="U326" s="4"/>
      <c r="V326" s="4"/>
      <c r="W326" s="4"/>
      <c r="X326" s="4"/>
      <c r="Y326" s="4"/>
      <c r="Z326" s="4"/>
    </row>
    <row r="327">
      <c r="A327" s="77"/>
      <c r="B327" s="17"/>
      <c r="C327" s="17"/>
      <c r="D327" s="17"/>
      <c r="E327" s="17"/>
      <c r="F327" s="17"/>
      <c r="G327" s="78"/>
      <c r="H327" s="78"/>
      <c r="I327" s="17"/>
      <c r="J327" s="17"/>
      <c r="K327" s="17"/>
      <c r="L327" s="4"/>
      <c r="M327" s="4"/>
      <c r="N327" s="4"/>
      <c r="O327" s="4"/>
      <c r="P327" s="4"/>
      <c r="Q327" s="4"/>
      <c r="R327" s="4"/>
      <c r="S327" s="4"/>
      <c r="T327" s="4"/>
      <c r="U327" s="4"/>
      <c r="V327" s="4"/>
      <c r="W327" s="4"/>
      <c r="X327" s="4"/>
      <c r="Y327" s="4"/>
      <c r="Z327" s="4"/>
    </row>
    <row r="328">
      <c r="A328" s="77"/>
      <c r="B328" s="17"/>
      <c r="C328" s="17"/>
      <c r="D328" s="17"/>
      <c r="E328" s="17"/>
      <c r="F328" s="17"/>
      <c r="G328" s="78"/>
      <c r="H328" s="78"/>
      <c r="I328" s="17"/>
      <c r="J328" s="17"/>
      <c r="K328" s="17"/>
      <c r="L328" s="4"/>
      <c r="M328" s="4"/>
      <c r="N328" s="4"/>
      <c r="O328" s="4"/>
      <c r="P328" s="4"/>
      <c r="Q328" s="4"/>
      <c r="R328" s="4"/>
      <c r="S328" s="4"/>
      <c r="T328" s="4"/>
      <c r="U328" s="4"/>
      <c r="V328" s="4"/>
      <c r="W328" s="4"/>
      <c r="X328" s="4"/>
      <c r="Y328" s="4"/>
      <c r="Z328" s="4"/>
    </row>
    <row r="329">
      <c r="A329" s="77"/>
      <c r="B329" s="17"/>
      <c r="C329" s="17"/>
      <c r="D329" s="17"/>
      <c r="E329" s="17"/>
      <c r="F329" s="17"/>
      <c r="G329" s="78"/>
      <c r="H329" s="78"/>
      <c r="I329" s="17"/>
      <c r="J329" s="17"/>
      <c r="K329" s="17"/>
      <c r="L329" s="4"/>
      <c r="M329" s="4"/>
      <c r="N329" s="4"/>
      <c r="O329" s="4"/>
      <c r="P329" s="4"/>
      <c r="Q329" s="4"/>
      <c r="R329" s="4"/>
      <c r="S329" s="4"/>
      <c r="T329" s="4"/>
      <c r="U329" s="4"/>
      <c r="V329" s="4"/>
      <c r="W329" s="4"/>
      <c r="X329" s="4"/>
      <c r="Y329" s="4"/>
      <c r="Z329" s="4"/>
    </row>
    <row r="330">
      <c r="A330" s="77"/>
      <c r="B330" s="17"/>
      <c r="C330" s="17"/>
      <c r="D330" s="17"/>
      <c r="E330" s="17"/>
      <c r="F330" s="17"/>
      <c r="G330" s="78"/>
      <c r="H330" s="78"/>
      <c r="I330" s="17"/>
      <c r="J330" s="17"/>
      <c r="K330" s="17"/>
      <c r="L330" s="4"/>
      <c r="M330" s="4"/>
      <c r="N330" s="4"/>
      <c r="O330" s="4"/>
      <c r="P330" s="4"/>
      <c r="Q330" s="4"/>
      <c r="R330" s="4"/>
      <c r="S330" s="4"/>
      <c r="T330" s="4"/>
      <c r="U330" s="4"/>
      <c r="V330" s="4"/>
      <c r="W330" s="4"/>
      <c r="X330" s="4"/>
      <c r="Y330" s="4"/>
      <c r="Z330" s="4"/>
    </row>
    <row r="331">
      <c r="A331" s="77"/>
      <c r="B331" s="17"/>
      <c r="C331" s="17"/>
      <c r="D331" s="17"/>
      <c r="E331" s="17"/>
      <c r="F331" s="17"/>
      <c r="G331" s="78"/>
      <c r="H331" s="78"/>
      <c r="I331" s="17"/>
      <c r="J331" s="17"/>
      <c r="K331" s="17"/>
      <c r="L331" s="4"/>
      <c r="M331" s="4"/>
      <c r="N331" s="4"/>
      <c r="O331" s="4"/>
      <c r="P331" s="4"/>
      <c r="Q331" s="4"/>
      <c r="R331" s="4"/>
      <c r="S331" s="4"/>
      <c r="T331" s="4"/>
      <c r="U331" s="4"/>
      <c r="V331" s="4"/>
      <c r="W331" s="4"/>
      <c r="X331" s="4"/>
      <c r="Y331" s="4"/>
      <c r="Z331" s="4"/>
    </row>
    <row r="332">
      <c r="A332" s="77"/>
      <c r="B332" s="17"/>
      <c r="C332" s="17"/>
      <c r="D332" s="17"/>
      <c r="E332" s="17"/>
      <c r="F332" s="17"/>
      <c r="G332" s="78"/>
      <c r="H332" s="78"/>
      <c r="I332" s="17"/>
      <c r="J332" s="17"/>
      <c r="K332" s="17"/>
      <c r="L332" s="4"/>
      <c r="M332" s="4"/>
      <c r="N332" s="4"/>
      <c r="O332" s="4"/>
      <c r="P332" s="4"/>
      <c r="Q332" s="4"/>
      <c r="R332" s="4"/>
      <c r="S332" s="4"/>
      <c r="T332" s="4"/>
      <c r="U332" s="4"/>
      <c r="V332" s="4"/>
      <c r="W332" s="4"/>
      <c r="X332" s="4"/>
      <c r="Y332" s="4"/>
      <c r="Z332" s="4"/>
    </row>
    <row r="333">
      <c r="A333" s="77"/>
      <c r="B333" s="17"/>
      <c r="C333" s="17"/>
      <c r="D333" s="17"/>
      <c r="E333" s="17"/>
      <c r="F333" s="17"/>
      <c r="G333" s="78"/>
      <c r="H333" s="78"/>
      <c r="I333" s="17"/>
      <c r="J333" s="17"/>
      <c r="K333" s="17"/>
      <c r="L333" s="4"/>
      <c r="M333" s="4"/>
      <c r="N333" s="4"/>
      <c r="O333" s="4"/>
      <c r="P333" s="4"/>
      <c r="Q333" s="4"/>
      <c r="R333" s="4"/>
      <c r="S333" s="4"/>
      <c r="T333" s="4"/>
      <c r="U333" s="4"/>
      <c r="V333" s="4"/>
      <c r="W333" s="4"/>
      <c r="X333" s="4"/>
      <c r="Y333" s="4"/>
      <c r="Z333" s="4"/>
    </row>
    <row r="334">
      <c r="A334" s="77"/>
      <c r="B334" s="17"/>
      <c r="C334" s="17"/>
      <c r="D334" s="17"/>
      <c r="E334" s="17"/>
      <c r="F334" s="17"/>
      <c r="G334" s="78"/>
      <c r="H334" s="78"/>
      <c r="I334" s="17"/>
      <c r="J334" s="17"/>
      <c r="K334" s="17"/>
      <c r="L334" s="4"/>
      <c r="M334" s="4"/>
      <c r="N334" s="4"/>
      <c r="O334" s="4"/>
      <c r="P334" s="4"/>
      <c r="Q334" s="4"/>
      <c r="R334" s="4"/>
      <c r="S334" s="4"/>
      <c r="T334" s="4"/>
      <c r="U334" s="4"/>
      <c r="V334" s="4"/>
      <c r="W334" s="4"/>
      <c r="X334" s="4"/>
      <c r="Y334" s="4"/>
      <c r="Z334" s="4"/>
    </row>
    <row r="335">
      <c r="A335" s="77"/>
      <c r="B335" s="17"/>
      <c r="C335" s="17"/>
      <c r="D335" s="17"/>
      <c r="E335" s="17"/>
      <c r="F335" s="17"/>
      <c r="G335" s="78"/>
      <c r="H335" s="78"/>
      <c r="I335" s="17"/>
      <c r="J335" s="17"/>
      <c r="K335" s="17"/>
      <c r="L335" s="4"/>
      <c r="M335" s="4"/>
      <c r="N335" s="4"/>
      <c r="O335" s="4"/>
      <c r="P335" s="4"/>
      <c r="Q335" s="4"/>
      <c r="R335" s="4"/>
      <c r="S335" s="4"/>
      <c r="T335" s="4"/>
      <c r="U335" s="4"/>
      <c r="V335" s="4"/>
      <c r="W335" s="4"/>
      <c r="X335" s="4"/>
      <c r="Y335" s="4"/>
      <c r="Z335" s="4"/>
    </row>
    <row r="336">
      <c r="A336" s="77"/>
      <c r="B336" s="17"/>
      <c r="C336" s="17"/>
      <c r="D336" s="17"/>
      <c r="E336" s="17"/>
      <c r="F336" s="17"/>
      <c r="G336" s="78"/>
      <c r="H336" s="78"/>
      <c r="I336" s="17"/>
      <c r="J336" s="17"/>
      <c r="K336" s="17"/>
      <c r="L336" s="4"/>
      <c r="M336" s="4"/>
      <c r="N336" s="4"/>
      <c r="O336" s="4"/>
      <c r="P336" s="4"/>
      <c r="Q336" s="4"/>
      <c r="R336" s="4"/>
      <c r="S336" s="4"/>
      <c r="T336" s="4"/>
      <c r="U336" s="4"/>
      <c r="V336" s="4"/>
      <c r="W336" s="4"/>
      <c r="X336" s="4"/>
      <c r="Y336" s="4"/>
      <c r="Z336" s="4"/>
    </row>
    <row r="337">
      <c r="A337" s="77"/>
      <c r="B337" s="17"/>
      <c r="C337" s="17"/>
      <c r="D337" s="17"/>
      <c r="E337" s="17"/>
      <c r="F337" s="17"/>
      <c r="G337" s="78"/>
      <c r="H337" s="78"/>
      <c r="I337" s="17"/>
      <c r="J337" s="17"/>
      <c r="K337" s="17"/>
      <c r="L337" s="4"/>
      <c r="M337" s="4"/>
      <c r="N337" s="4"/>
      <c r="O337" s="4"/>
      <c r="P337" s="4"/>
      <c r="Q337" s="4"/>
      <c r="R337" s="4"/>
      <c r="S337" s="4"/>
      <c r="T337" s="4"/>
      <c r="U337" s="4"/>
      <c r="V337" s="4"/>
      <c r="W337" s="4"/>
      <c r="X337" s="4"/>
      <c r="Y337" s="4"/>
      <c r="Z337" s="4"/>
    </row>
    <row r="338">
      <c r="A338" s="77"/>
      <c r="B338" s="17"/>
      <c r="C338" s="17"/>
      <c r="D338" s="17"/>
      <c r="E338" s="17"/>
      <c r="F338" s="17"/>
      <c r="G338" s="78"/>
      <c r="H338" s="78"/>
      <c r="I338" s="17"/>
      <c r="J338" s="17"/>
      <c r="K338" s="17"/>
      <c r="L338" s="4"/>
      <c r="M338" s="4"/>
      <c r="N338" s="4"/>
      <c r="O338" s="4"/>
      <c r="P338" s="4"/>
      <c r="Q338" s="4"/>
      <c r="R338" s="4"/>
      <c r="S338" s="4"/>
      <c r="T338" s="4"/>
      <c r="U338" s="4"/>
      <c r="V338" s="4"/>
      <c r="W338" s="4"/>
      <c r="X338" s="4"/>
      <c r="Y338" s="4"/>
      <c r="Z338" s="4"/>
    </row>
    <row r="339">
      <c r="A339" s="77"/>
      <c r="B339" s="17"/>
      <c r="C339" s="17"/>
      <c r="D339" s="17"/>
      <c r="E339" s="17"/>
      <c r="F339" s="17"/>
      <c r="G339" s="78"/>
      <c r="H339" s="78"/>
      <c r="I339" s="17"/>
      <c r="J339" s="17"/>
      <c r="K339" s="17"/>
      <c r="L339" s="4"/>
      <c r="M339" s="4"/>
      <c r="N339" s="4"/>
      <c r="O339" s="4"/>
      <c r="P339" s="4"/>
      <c r="Q339" s="4"/>
      <c r="R339" s="4"/>
      <c r="S339" s="4"/>
      <c r="T339" s="4"/>
      <c r="U339" s="4"/>
      <c r="V339" s="4"/>
      <c r="W339" s="4"/>
      <c r="X339" s="4"/>
      <c r="Y339" s="4"/>
      <c r="Z339" s="4"/>
    </row>
    <row r="340">
      <c r="A340" s="77"/>
      <c r="B340" s="17"/>
      <c r="C340" s="17"/>
      <c r="D340" s="17"/>
      <c r="E340" s="17"/>
      <c r="F340" s="17"/>
      <c r="G340" s="78"/>
      <c r="H340" s="78"/>
      <c r="I340" s="17"/>
      <c r="J340" s="17"/>
      <c r="K340" s="17"/>
      <c r="L340" s="4"/>
      <c r="M340" s="4"/>
      <c r="N340" s="4"/>
      <c r="O340" s="4"/>
      <c r="P340" s="4"/>
      <c r="Q340" s="4"/>
      <c r="R340" s="4"/>
      <c r="S340" s="4"/>
      <c r="T340" s="4"/>
      <c r="U340" s="4"/>
      <c r="V340" s="4"/>
      <c r="W340" s="4"/>
      <c r="X340" s="4"/>
      <c r="Y340" s="4"/>
      <c r="Z340" s="4"/>
    </row>
    <row r="341">
      <c r="A341" s="77"/>
      <c r="B341" s="17"/>
      <c r="C341" s="17"/>
      <c r="D341" s="17"/>
      <c r="E341" s="17"/>
      <c r="F341" s="17"/>
      <c r="G341" s="78"/>
      <c r="H341" s="78"/>
      <c r="I341" s="17"/>
      <c r="J341" s="17"/>
      <c r="K341" s="17"/>
      <c r="L341" s="4"/>
      <c r="M341" s="4"/>
      <c r="N341" s="4"/>
      <c r="O341" s="4"/>
      <c r="P341" s="4"/>
      <c r="Q341" s="4"/>
      <c r="R341" s="4"/>
      <c r="S341" s="4"/>
      <c r="T341" s="4"/>
      <c r="U341" s="4"/>
      <c r="V341" s="4"/>
      <c r="W341" s="4"/>
      <c r="X341" s="4"/>
      <c r="Y341" s="4"/>
      <c r="Z341" s="4"/>
    </row>
    <row r="342">
      <c r="A342" s="77"/>
      <c r="B342" s="17"/>
      <c r="C342" s="17"/>
      <c r="D342" s="17"/>
      <c r="E342" s="17"/>
      <c r="F342" s="17"/>
      <c r="G342" s="78"/>
      <c r="H342" s="78"/>
      <c r="I342" s="17"/>
      <c r="J342" s="17"/>
      <c r="K342" s="17"/>
      <c r="L342" s="4"/>
      <c r="M342" s="4"/>
      <c r="N342" s="4"/>
      <c r="O342" s="4"/>
      <c r="P342" s="4"/>
      <c r="Q342" s="4"/>
      <c r="R342" s="4"/>
      <c r="S342" s="4"/>
      <c r="T342" s="4"/>
      <c r="U342" s="4"/>
      <c r="V342" s="4"/>
      <c r="W342" s="4"/>
      <c r="X342" s="4"/>
      <c r="Y342" s="4"/>
      <c r="Z342" s="4"/>
    </row>
    <row r="343">
      <c r="A343" s="77"/>
      <c r="B343" s="17"/>
      <c r="C343" s="17"/>
      <c r="D343" s="17"/>
      <c r="E343" s="17"/>
      <c r="F343" s="17"/>
      <c r="G343" s="78"/>
      <c r="H343" s="78"/>
      <c r="I343" s="17"/>
      <c r="J343" s="17"/>
      <c r="K343" s="17"/>
      <c r="L343" s="4"/>
      <c r="M343" s="4"/>
      <c r="N343" s="4"/>
      <c r="O343" s="4"/>
      <c r="P343" s="4"/>
      <c r="Q343" s="4"/>
      <c r="R343" s="4"/>
      <c r="S343" s="4"/>
      <c r="T343" s="4"/>
      <c r="U343" s="4"/>
      <c r="V343" s="4"/>
      <c r="W343" s="4"/>
      <c r="X343" s="4"/>
      <c r="Y343" s="4"/>
      <c r="Z343" s="4"/>
    </row>
    <row r="344">
      <c r="A344" s="77"/>
      <c r="B344" s="17"/>
      <c r="C344" s="17"/>
      <c r="D344" s="17"/>
      <c r="E344" s="17"/>
      <c r="F344" s="17"/>
      <c r="G344" s="78"/>
      <c r="H344" s="78"/>
      <c r="I344" s="17"/>
      <c r="J344" s="17"/>
      <c r="K344" s="17"/>
      <c r="L344" s="4"/>
      <c r="M344" s="4"/>
      <c r="N344" s="4"/>
      <c r="O344" s="4"/>
      <c r="P344" s="4"/>
      <c r="Q344" s="4"/>
      <c r="R344" s="4"/>
      <c r="S344" s="4"/>
      <c r="T344" s="4"/>
      <c r="U344" s="4"/>
      <c r="V344" s="4"/>
      <c r="W344" s="4"/>
      <c r="X344" s="4"/>
      <c r="Y344" s="4"/>
      <c r="Z344" s="4"/>
    </row>
    <row r="345">
      <c r="A345" s="77"/>
      <c r="B345" s="17"/>
      <c r="C345" s="17"/>
      <c r="D345" s="17"/>
      <c r="E345" s="17"/>
      <c r="F345" s="17"/>
      <c r="G345" s="78"/>
      <c r="H345" s="78"/>
      <c r="I345" s="17"/>
      <c r="J345" s="17"/>
      <c r="K345" s="17"/>
      <c r="L345" s="4"/>
      <c r="M345" s="4"/>
      <c r="N345" s="4"/>
      <c r="O345" s="4"/>
      <c r="P345" s="4"/>
      <c r="Q345" s="4"/>
      <c r="R345" s="4"/>
      <c r="S345" s="4"/>
      <c r="T345" s="4"/>
      <c r="U345" s="4"/>
      <c r="V345" s="4"/>
      <c r="W345" s="4"/>
      <c r="X345" s="4"/>
      <c r="Y345" s="4"/>
      <c r="Z345" s="4"/>
    </row>
    <row r="346">
      <c r="A346" s="77"/>
      <c r="B346" s="17"/>
      <c r="C346" s="17"/>
      <c r="D346" s="17"/>
      <c r="E346" s="17"/>
      <c r="F346" s="17"/>
      <c r="G346" s="78"/>
      <c r="H346" s="78"/>
      <c r="I346" s="17"/>
      <c r="J346" s="17"/>
      <c r="K346" s="17"/>
      <c r="L346" s="4"/>
      <c r="M346" s="4"/>
      <c r="N346" s="4"/>
      <c r="O346" s="4"/>
      <c r="P346" s="4"/>
      <c r="Q346" s="4"/>
      <c r="R346" s="4"/>
      <c r="S346" s="4"/>
      <c r="T346" s="4"/>
      <c r="U346" s="4"/>
      <c r="V346" s="4"/>
      <c r="W346" s="4"/>
      <c r="X346" s="4"/>
      <c r="Y346" s="4"/>
      <c r="Z346" s="4"/>
    </row>
    <row r="347">
      <c r="A347" s="77"/>
      <c r="B347" s="17"/>
      <c r="C347" s="17"/>
      <c r="D347" s="17"/>
      <c r="E347" s="17"/>
      <c r="F347" s="17"/>
      <c r="G347" s="78"/>
      <c r="H347" s="78"/>
      <c r="I347" s="17"/>
      <c r="J347" s="17"/>
      <c r="K347" s="17"/>
      <c r="L347" s="4"/>
      <c r="M347" s="4"/>
      <c r="N347" s="4"/>
      <c r="O347" s="4"/>
      <c r="P347" s="4"/>
      <c r="Q347" s="4"/>
      <c r="R347" s="4"/>
      <c r="S347" s="4"/>
      <c r="T347" s="4"/>
      <c r="U347" s="4"/>
      <c r="V347" s="4"/>
      <c r="W347" s="4"/>
      <c r="X347" s="4"/>
      <c r="Y347" s="4"/>
      <c r="Z347" s="4"/>
    </row>
    <row r="348">
      <c r="A348" s="77"/>
      <c r="B348" s="17"/>
      <c r="C348" s="17"/>
      <c r="D348" s="17"/>
      <c r="E348" s="17"/>
      <c r="F348" s="17"/>
      <c r="G348" s="78"/>
      <c r="H348" s="78"/>
      <c r="I348" s="17"/>
      <c r="J348" s="17"/>
      <c r="K348" s="17"/>
      <c r="L348" s="4"/>
      <c r="M348" s="4"/>
      <c r="N348" s="4"/>
      <c r="O348" s="4"/>
      <c r="P348" s="4"/>
      <c r="Q348" s="4"/>
      <c r="R348" s="4"/>
      <c r="S348" s="4"/>
      <c r="T348" s="4"/>
      <c r="U348" s="4"/>
      <c r="V348" s="4"/>
      <c r="W348" s="4"/>
      <c r="X348" s="4"/>
      <c r="Y348" s="4"/>
      <c r="Z348" s="4"/>
    </row>
    <row r="349">
      <c r="A349" s="77"/>
      <c r="B349" s="17"/>
      <c r="C349" s="17"/>
      <c r="D349" s="17"/>
      <c r="E349" s="17"/>
      <c r="F349" s="17"/>
      <c r="G349" s="78"/>
      <c r="H349" s="78"/>
      <c r="I349" s="17"/>
      <c r="J349" s="17"/>
      <c r="K349" s="17"/>
      <c r="L349" s="4"/>
      <c r="M349" s="4"/>
      <c r="N349" s="4"/>
      <c r="O349" s="4"/>
      <c r="P349" s="4"/>
      <c r="Q349" s="4"/>
      <c r="R349" s="4"/>
      <c r="S349" s="4"/>
      <c r="T349" s="4"/>
      <c r="U349" s="4"/>
      <c r="V349" s="4"/>
      <c r="W349" s="4"/>
      <c r="X349" s="4"/>
      <c r="Y349" s="4"/>
      <c r="Z349" s="4"/>
    </row>
    <row r="350">
      <c r="A350" s="77"/>
      <c r="B350" s="17"/>
      <c r="C350" s="17"/>
      <c r="D350" s="17"/>
      <c r="E350" s="17"/>
      <c r="F350" s="17"/>
      <c r="G350" s="78"/>
      <c r="H350" s="78"/>
      <c r="I350" s="17"/>
      <c r="J350" s="17"/>
      <c r="K350" s="17"/>
      <c r="L350" s="4"/>
      <c r="M350" s="4"/>
      <c r="N350" s="4"/>
      <c r="O350" s="4"/>
      <c r="P350" s="4"/>
      <c r="Q350" s="4"/>
      <c r="R350" s="4"/>
      <c r="S350" s="4"/>
      <c r="T350" s="4"/>
      <c r="U350" s="4"/>
      <c r="V350" s="4"/>
      <c r="W350" s="4"/>
      <c r="X350" s="4"/>
      <c r="Y350" s="4"/>
      <c r="Z350" s="4"/>
    </row>
    <row r="351">
      <c r="A351" s="77"/>
      <c r="B351" s="17"/>
      <c r="C351" s="17"/>
      <c r="D351" s="17"/>
      <c r="E351" s="17"/>
      <c r="F351" s="17"/>
      <c r="G351" s="78"/>
      <c r="H351" s="78"/>
      <c r="I351" s="17"/>
      <c r="J351" s="17"/>
      <c r="K351" s="17"/>
      <c r="L351" s="4"/>
      <c r="M351" s="4"/>
      <c r="N351" s="4"/>
      <c r="O351" s="4"/>
      <c r="P351" s="4"/>
      <c r="Q351" s="4"/>
      <c r="R351" s="4"/>
      <c r="S351" s="4"/>
      <c r="T351" s="4"/>
      <c r="U351" s="4"/>
      <c r="V351" s="4"/>
      <c r="W351" s="4"/>
      <c r="X351" s="4"/>
      <c r="Y351" s="4"/>
      <c r="Z351" s="4"/>
    </row>
    <row r="352">
      <c r="A352" s="77"/>
      <c r="B352" s="17"/>
      <c r="C352" s="17"/>
      <c r="D352" s="17"/>
      <c r="E352" s="17"/>
      <c r="F352" s="17"/>
      <c r="G352" s="78"/>
      <c r="H352" s="78"/>
      <c r="I352" s="17"/>
      <c r="J352" s="17"/>
      <c r="K352" s="17"/>
      <c r="L352" s="4"/>
      <c r="M352" s="4"/>
      <c r="N352" s="4"/>
      <c r="O352" s="4"/>
      <c r="P352" s="4"/>
      <c r="Q352" s="4"/>
      <c r="R352" s="4"/>
      <c r="S352" s="4"/>
      <c r="T352" s="4"/>
      <c r="U352" s="4"/>
      <c r="V352" s="4"/>
      <c r="W352" s="4"/>
      <c r="X352" s="4"/>
      <c r="Y352" s="4"/>
      <c r="Z352" s="4"/>
    </row>
    <row r="353">
      <c r="A353" s="77"/>
      <c r="B353" s="17"/>
      <c r="C353" s="17"/>
      <c r="D353" s="17"/>
      <c r="E353" s="17"/>
      <c r="F353" s="17"/>
      <c r="G353" s="78"/>
      <c r="H353" s="78"/>
      <c r="I353" s="17"/>
      <c r="J353" s="17"/>
      <c r="K353" s="17"/>
      <c r="L353" s="4"/>
      <c r="M353" s="4"/>
      <c r="N353" s="4"/>
      <c r="O353" s="4"/>
      <c r="P353" s="4"/>
      <c r="Q353" s="4"/>
      <c r="R353" s="4"/>
      <c r="S353" s="4"/>
      <c r="T353" s="4"/>
      <c r="U353" s="4"/>
      <c r="V353" s="4"/>
      <c r="W353" s="4"/>
      <c r="X353" s="4"/>
      <c r="Y353" s="4"/>
      <c r="Z353" s="4"/>
    </row>
    <row r="354">
      <c r="A354" s="77"/>
      <c r="B354" s="17"/>
      <c r="C354" s="17"/>
      <c r="D354" s="17"/>
      <c r="E354" s="17"/>
      <c r="F354" s="17"/>
      <c r="G354" s="78"/>
      <c r="H354" s="78"/>
      <c r="I354" s="17"/>
      <c r="J354" s="17"/>
      <c r="K354" s="17"/>
      <c r="L354" s="4"/>
      <c r="M354" s="4"/>
      <c r="N354" s="4"/>
      <c r="O354" s="4"/>
      <c r="P354" s="4"/>
      <c r="Q354" s="4"/>
      <c r="R354" s="4"/>
      <c r="S354" s="4"/>
      <c r="T354" s="4"/>
      <c r="U354" s="4"/>
      <c r="V354" s="4"/>
      <c r="W354" s="4"/>
      <c r="X354" s="4"/>
      <c r="Y354" s="4"/>
      <c r="Z354" s="4"/>
    </row>
    <row r="355">
      <c r="A355" s="77"/>
      <c r="B355" s="17"/>
      <c r="C355" s="17"/>
      <c r="D355" s="17"/>
      <c r="E355" s="17"/>
      <c r="F355" s="17"/>
      <c r="G355" s="78"/>
      <c r="H355" s="78"/>
      <c r="I355" s="17"/>
      <c r="J355" s="17"/>
      <c r="K355" s="17"/>
      <c r="L355" s="4"/>
      <c r="M355" s="4"/>
      <c r="N355" s="4"/>
      <c r="O355" s="4"/>
      <c r="P355" s="4"/>
      <c r="Q355" s="4"/>
      <c r="R355" s="4"/>
      <c r="S355" s="4"/>
      <c r="T355" s="4"/>
      <c r="U355" s="4"/>
      <c r="V355" s="4"/>
      <c r="W355" s="4"/>
      <c r="X355" s="4"/>
      <c r="Y355" s="4"/>
      <c r="Z355" s="4"/>
    </row>
    <row r="356">
      <c r="A356" s="77"/>
      <c r="B356" s="17"/>
      <c r="C356" s="17"/>
      <c r="D356" s="17"/>
      <c r="E356" s="17"/>
      <c r="F356" s="17"/>
      <c r="G356" s="78"/>
      <c r="H356" s="78"/>
      <c r="I356" s="17"/>
      <c r="J356" s="17"/>
      <c r="K356" s="17"/>
      <c r="L356" s="4"/>
      <c r="M356" s="4"/>
      <c r="N356" s="4"/>
      <c r="O356" s="4"/>
      <c r="P356" s="4"/>
      <c r="Q356" s="4"/>
      <c r="R356" s="4"/>
      <c r="S356" s="4"/>
      <c r="T356" s="4"/>
      <c r="U356" s="4"/>
      <c r="V356" s="4"/>
      <c r="W356" s="4"/>
      <c r="X356" s="4"/>
      <c r="Y356" s="4"/>
      <c r="Z356" s="4"/>
    </row>
    <row r="357">
      <c r="A357" s="77"/>
      <c r="B357" s="17"/>
      <c r="C357" s="17"/>
      <c r="D357" s="17"/>
      <c r="E357" s="17"/>
      <c r="F357" s="17"/>
      <c r="G357" s="78"/>
      <c r="H357" s="78"/>
      <c r="I357" s="17"/>
      <c r="J357" s="17"/>
      <c r="K357" s="17"/>
      <c r="L357" s="4"/>
      <c r="M357" s="4"/>
      <c r="N357" s="4"/>
      <c r="O357" s="4"/>
      <c r="P357" s="4"/>
      <c r="Q357" s="4"/>
      <c r="R357" s="4"/>
      <c r="S357" s="4"/>
      <c r="T357" s="4"/>
      <c r="U357" s="4"/>
      <c r="V357" s="4"/>
      <c r="W357" s="4"/>
      <c r="X357" s="4"/>
      <c r="Y357" s="4"/>
      <c r="Z357" s="4"/>
    </row>
    <row r="358">
      <c r="A358" s="77"/>
      <c r="B358" s="17"/>
      <c r="C358" s="17"/>
      <c r="D358" s="17"/>
      <c r="E358" s="17"/>
      <c r="F358" s="17"/>
      <c r="G358" s="78"/>
      <c r="H358" s="78"/>
      <c r="I358" s="17"/>
      <c r="J358" s="17"/>
      <c r="K358" s="17"/>
      <c r="L358" s="4"/>
      <c r="M358" s="4"/>
      <c r="N358" s="4"/>
      <c r="O358" s="4"/>
      <c r="P358" s="4"/>
      <c r="Q358" s="4"/>
      <c r="R358" s="4"/>
      <c r="S358" s="4"/>
      <c r="T358" s="4"/>
      <c r="U358" s="4"/>
      <c r="V358" s="4"/>
      <c r="W358" s="4"/>
      <c r="X358" s="4"/>
      <c r="Y358" s="4"/>
      <c r="Z358" s="4"/>
    </row>
    <row r="359">
      <c r="A359" s="77"/>
      <c r="B359" s="17"/>
      <c r="C359" s="17"/>
      <c r="D359" s="17"/>
      <c r="E359" s="17"/>
      <c r="F359" s="17"/>
      <c r="G359" s="78"/>
      <c r="H359" s="78"/>
      <c r="I359" s="17"/>
      <c r="J359" s="17"/>
      <c r="K359" s="17"/>
      <c r="L359" s="4"/>
      <c r="M359" s="4"/>
      <c r="N359" s="4"/>
      <c r="O359" s="4"/>
      <c r="P359" s="4"/>
      <c r="Q359" s="4"/>
      <c r="R359" s="4"/>
      <c r="S359" s="4"/>
      <c r="T359" s="4"/>
      <c r="U359" s="4"/>
      <c r="V359" s="4"/>
      <c r="W359" s="4"/>
      <c r="X359" s="4"/>
      <c r="Y359" s="4"/>
      <c r="Z359" s="4"/>
    </row>
    <row r="360">
      <c r="A360" s="77"/>
      <c r="B360" s="17"/>
      <c r="C360" s="17"/>
      <c r="D360" s="17"/>
      <c r="E360" s="17"/>
      <c r="F360" s="17"/>
      <c r="G360" s="78"/>
      <c r="H360" s="78"/>
      <c r="I360" s="17"/>
      <c r="J360" s="17"/>
      <c r="K360" s="17"/>
      <c r="L360" s="4"/>
      <c r="M360" s="4"/>
      <c r="N360" s="4"/>
      <c r="O360" s="4"/>
      <c r="P360" s="4"/>
      <c r="Q360" s="4"/>
      <c r="R360" s="4"/>
      <c r="S360" s="4"/>
      <c r="T360" s="4"/>
      <c r="U360" s="4"/>
      <c r="V360" s="4"/>
      <c r="W360" s="4"/>
      <c r="X360" s="4"/>
      <c r="Y360" s="4"/>
      <c r="Z360" s="4"/>
    </row>
    <row r="361">
      <c r="A361" s="77"/>
      <c r="B361" s="17"/>
      <c r="C361" s="17"/>
      <c r="D361" s="17"/>
      <c r="E361" s="17"/>
      <c r="F361" s="17"/>
      <c r="G361" s="78"/>
      <c r="H361" s="78"/>
      <c r="I361" s="17"/>
      <c r="J361" s="17"/>
      <c r="K361" s="17"/>
      <c r="L361" s="4"/>
      <c r="M361" s="4"/>
      <c r="N361" s="4"/>
      <c r="O361" s="4"/>
      <c r="P361" s="4"/>
      <c r="Q361" s="4"/>
      <c r="R361" s="4"/>
      <c r="S361" s="4"/>
      <c r="T361" s="4"/>
      <c r="U361" s="4"/>
      <c r="V361" s="4"/>
      <c r="W361" s="4"/>
      <c r="X361" s="4"/>
      <c r="Y361" s="4"/>
      <c r="Z361" s="4"/>
    </row>
    <row r="362">
      <c r="A362" s="77"/>
      <c r="B362" s="17"/>
      <c r="C362" s="17"/>
      <c r="D362" s="17"/>
      <c r="E362" s="17"/>
      <c r="F362" s="17"/>
      <c r="G362" s="78"/>
      <c r="H362" s="78"/>
      <c r="I362" s="17"/>
      <c r="J362" s="17"/>
      <c r="K362" s="17"/>
      <c r="L362" s="4"/>
      <c r="M362" s="4"/>
      <c r="N362" s="4"/>
      <c r="O362" s="4"/>
      <c r="P362" s="4"/>
      <c r="Q362" s="4"/>
      <c r="R362" s="4"/>
      <c r="S362" s="4"/>
      <c r="T362" s="4"/>
      <c r="U362" s="4"/>
      <c r="V362" s="4"/>
      <c r="W362" s="4"/>
      <c r="X362" s="4"/>
      <c r="Y362" s="4"/>
      <c r="Z362" s="4"/>
    </row>
    <row r="363">
      <c r="A363" s="77"/>
      <c r="B363" s="17"/>
      <c r="C363" s="17"/>
      <c r="D363" s="17"/>
      <c r="E363" s="17"/>
      <c r="F363" s="17"/>
      <c r="G363" s="78"/>
      <c r="H363" s="78"/>
      <c r="I363" s="17"/>
      <c r="J363" s="17"/>
      <c r="K363" s="17"/>
      <c r="L363" s="4"/>
      <c r="M363" s="4"/>
      <c r="N363" s="4"/>
      <c r="O363" s="4"/>
      <c r="P363" s="4"/>
      <c r="Q363" s="4"/>
      <c r="R363" s="4"/>
      <c r="S363" s="4"/>
      <c r="T363" s="4"/>
      <c r="U363" s="4"/>
      <c r="V363" s="4"/>
      <c r="W363" s="4"/>
      <c r="X363" s="4"/>
      <c r="Y363" s="4"/>
      <c r="Z363" s="4"/>
    </row>
    <row r="364">
      <c r="A364" s="77"/>
      <c r="B364" s="17"/>
      <c r="C364" s="17"/>
      <c r="D364" s="17"/>
      <c r="E364" s="17"/>
      <c r="F364" s="17"/>
      <c r="G364" s="78"/>
      <c r="H364" s="78"/>
      <c r="I364" s="17"/>
      <c r="J364" s="17"/>
      <c r="K364" s="17"/>
      <c r="L364" s="4"/>
      <c r="M364" s="4"/>
      <c r="N364" s="4"/>
      <c r="O364" s="4"/>
      <c r="P364" s="4"/>
      <c r="Q364" s="4"/>
      <c r="R364" s="4"/>
      <c r="S364" s="4"/>
      <c r="T364" s="4"/>
      <c r="U364" s="4"/>
      <c r="V364" s="4"/>
      <c r="W364" s="4"/>
      <c r="X364" s="4"/>
      <c r="Y364" s="4"/>
      <c r="Z364" s="4"/>
    </row>
    <row r="365">
      <c r="A365" s="77"/>
      <c r="B365" s="17"/>
      <c r="C365" s="17"/>
      <c r="D365" s="17"/>
      <c r="E365" s="17"/>
      <c r="F365" s="17"/>
      <c r="G365" s="78"/>
      <c r="H365" s="78"/>
      <c r="I365" s="17"/>
      <c r="J365" s="17"/>
      <c r="K365" s="17"/>
      <c r="L365" s="4"/>
      <c r="M365" s="4"/>
      <c r="N365" s="4"/>
      <c r="O365" s="4"/>
      <c r="P365" s="4"/>
      <c r="Q365" s="4"/>
      <c r="R365" s="4"/>
      <c r="S365" s="4"/>
      <c r="T365" s="4"/>
      <c r="U365" s="4"/>
      <c r="V365" s="4"/>
      <c r="W365" s="4"/>
      <c r="X365" s="4"/>
      <c r="Y365" s="4"/>
      <c r="Z365" s="4"/>
    </row>
    <row r="366">
      <c r="A366" s="77"/>
      <c r="B366" s="17"/>
      <c r="C366" s="17"/>
      <c r="D366" s="17"/>
      <c r="E366" s="17"/>
      <c r="F366" s="17"/>
      <c r="G366" s="78"/>
      <c r="H366" s="78"/>
      <c r="I366" s="17"/>
      <c r="J366" s="17"/>
      <c r="K366" s="17"/>
      <c r="L366" s="4"/>
      <c r="M366" s="4"/>
      <c r="N366" s="4"/>
      <c r="O366" s="4"/>
      <c r="P366" s="4"/>
      <c r="Q366" s="4"/>
      <c r="R366" s="4"/>
      <c r="S366" s="4"/>
      <c r="T366" s="4"/>
      <c r="U366" s="4"/>
      <c r="V366" s="4"/>
      <c r="W366" s="4"/>
      <c r="X366" s="4"/>
      <c r="Y366" s="4"/>
      <c r="Z366" s="4"/>
    </row>
    <row r="367">
      <c r="A367" s="77"/>
      <c r="B367" s="17"/>
      <c r="C367" s="17"/>
      <c r="D367" s="17"/>
      <c r="E367" s="17"/>
      <c r="F367" s="17"/>
      <c r="G367" s="78"/>
      <c r="H367" s="78"/>
      <c r="I367" s="17"/>
      <c r="J367" s="17"/>
      <c r="K367" s="17"/>
      <c r="L367" s="4"/>
      <c r="M367" s="4"/>
      <c r="N367" s="4"/>
      <c r="O367" s="4"/>
      <c r="P367" s="4"/>
      <c r="Q367" s="4"/>
      <c r="R367" s="4"/>
      <c r="S367" s="4"/>
      <c r="T367" s="4"/>
      <c r="U367" s="4"/>
      <c r="V367" s="4"/>
      <c r="W367" s="4"/>
      <c r="X367" s="4"/>
      <c r="Y367" s="4"/>
      <c r="Z367" s="4"/>
    </row>
    <row r="368">
      <c r="A368" s="77"/>
      <c r="B368" s="17"/>
      <c r="C368" s="17"/>
      <c r="D368" s="17"/>
      <c r="E368" s="17"/>
      <c r="F368" s="17"/>
      <c r="G368" s="78"/>
      <c r="H368" s="78"/>
      <c r="I368" s="17"/>
      <c r="J368" s="17"/>
      <c r="K368" s="17"/>
      <c r="L368" s="4"/>
      <c r="M368" s="4"/>
      <c r="N368" s="4"/>
      <c r="O368" s="4"/>
      <c r="P368" s="4"/>
      <c r="Q368" s="4"/>
      <c r="R368" s="4"/>
      <c r="S368" s="4"/>
      <c r="T368" s="4"/>
      <c r="U368" s="4"/>
      <c r="V368" s="4"/>
      <c r="W368" s="4"/>
      <c r="X368" s="4"/>
      <c r="Y368" s="4"/>
      <c r="Z368" s="4"/>
    </row>
    <row r="369">
      <c r="A369" s="77"/>
      <c r="B369" s="17"/>
      <c r="C369" s="17"/>
      <c r="D369" s="17"/>
      <c r="E369" s="17"/>
      <c r="F369" s="17"/>
      <c r="G369" s="78"/>
      <c r="H369" s="78"/>
      <c r="I369" s="17"/>
      <c r="J369" s="17"/>
      <c r="K369" s="17"/>
      <c r="L369" s="4"/>
      <c r="M369" s="4"/>
      <c r="N369" s="4"/>
      <c r="O369" s="4"/>
      <c r="P369" s="4"/>
      <c r="Q369" s="4"/>
      <c r="R369" s="4"/>
      <c r="S369" s="4"/>
      <c r="T369" s="4"/>
      <c r="U369" s="4"/>
      <c r="V369" s="4"/>
      <c r="W369" s="4"/>
      <c r="X369" s="4"/>
      <c r="Y369" s="4"/>
      <c r="Z369" s="4"/>
    </row>
    <row r="370">
      <c r="A370" s="77"/>
      <c r="B370" s="17"/>
      <c r="C370" s="17"/>
      <c r="D370" s="17"/>
      <c r="E370" s="17"/>
      <c r="F370" s="17"/>
      <c r="G370" s="78"/>
      <c r="H370" s="78"/>
      <c r="I370" s="17"/>
      <c r="J370" s="17"/>
      <c r="K370" s="17"/>
      <c r="L370" s="4"/>
      <c r="M370" s="4"/>
      <c r="N370" s="4"/>
      <c r="O370" s="4"/>
      <c r="P370" s="4"/>
      <c r="Q370" s="4"/>
      <c r="R370" s="4"/>
      <c r="S370" s="4"/>
      <c r="T370" s="4"/>
      <c r="U370" s="4"/>
      <c r="V370" s="4"/>
      <c r="W370" s="4"/>
      <c r="X370" s="4"/>
      <c r="Y370" s="4"/>
      <c r="Z370" s="4"/>
    </row>
    <row r="371">
      <c r="A371" s="77"/>
      <c r="B371" s="17"/>
      <c r="C371" s="17"/>
      <c r="D371" s="17"/>
      <c r="E371" s="17"/>
      <c r="F371" s="17"/>
      <c r="G371" s="78"/>
      <c r="H371" s="78"/>
      <c r="I371" s="17"/>
      <c r="J371" s="17"/>
      <c r="K371" s="17"/>
      <c r="L371" s="4"/>
      <c r="M371" s="4"/>
      <c r="N371" s="4"/>
      <c r="O371" s="4"/>
      <c r="P371" s="4"/>
      <c r="Q371" s="4"/>
      <c r="R371" s="4"/>
      <c r="S371" s="4"/>
      <c r="T371" s="4"/>
      <c r="U371" s="4"/>
      <c r="V371" s="4"/>
      <c r="W371" s="4"/>
      <c r="X371" s="4"/>
      <c r="Y371" s="4"/>
      <c r="Z371" s="4"/>
    </row>
    <row r="372">
      <c r="A372" s="77"/>
      <c r="B372" s="17"/>
      <c r="C372" s="17"/>
      <c r="D372" s="17"/>
      <c r="E372" s="17"/>
      <c r="F372" s="17"/>
      <c r="G372" s="78"/>
      <c r="H372" s="78"/>
      <c r="I372" s="17"/>
      <c r="J372" s="17"/>
      <c r="K372" s="17"/>
      <c r="L372" s="4"/>
      <c r="M372" s="4"/>
      <c r="N372" s="4"/>
      <c r="O372" s="4"/>
      <c r="P372" s="4"/>
      <c r="Q372" s="4"/>
      <c r="R372" s="4"/>
      <c r="S372" s="4"/>
      <c r="T372" s="4"/>
      <c r="U372" s="4"/>
      <c r="V372" s="4"/>
      <c r="W372" s="4"/>
      <c r="X372" s="4"/>
      <c r="Y372" s="4"/>
      <c r="Z372" s="4"/>
    </row>
    <row r="373">
      <c r="A373" s="77"/>
      <c r="B373" s="17"/>
      <c r="C373" s="17"/>
      <c r="D373" s="17"/>
      <c r="E373" s="17"/>
      <c r="F373" s="17"/>
      <c r="G373" s="78"/>
      <c r="H373" s="78"/>
      <c r="I373" s="17"/>
      <c r="J373" s="17"/>
      <c r="K373" s="17"/>
      <c r="L373" s="4"/>
      <c r="M373" s="4"/>
      <c r="N373" s="4"/>
      <c r="O373" s="4"/>
      <c r="P373" s="4"/>
      <c r="Q373" s="4"/>
      <c r="R373" s="4"/>
      <c r="S373" s="4"/>
      <c r="T373" s="4"/>
      <c r="U373" s="4"/>
      <c r="V373" s="4"/>
      <c r="W373" s="4"/>
      <c r="X373" s="4"/>
      <c r="Y373" s="4"/>
      <c r="Z373" s="4"/>
    </row>
    <row r="374">
      <c r="A374" s="77"/>
      <c r="B374" s="17"/>
      <c r="C374" s="17"/>
      <c r="D374" s="17"/>
      <c r="E374" s="17"/>
      <c r="F374" s="17"/>
      <c r="G374" s="78"/>
      <c r="H374" s="78"/>
      <c r="I374" s="17"/>
      <c r="J374" s="17"/>
      <c r="K374" s="17"/>
      <c r="L374" s="4"/>
      <c r="M374" s="4"/>
      <c r="N374" s="4"/>
      <c r="O374" s="4"/>
      <c r="P374" s="4"/>
      <c r="Q374" s="4"/>
      <c r="R374" s="4"/>
      <c r="S374" s="4"/>
      <c r="T374" s="4"/>
      <c r="U374" s="4"/>
      <c r="V374" s="4"/>
      <c r="W374" s="4"/>
      <c r="X374" s="4"/>
      <c r="Y374" s="4"/>
      <c r="Z374" s="4"/>
    </row>
    <row r="375">
      <c r="A375" s="77"/>
      <c r="B375" s="17"/>
      <c r="C375" s="17"/>
      <c r="D375" s="17"/>
      <c r="E375" s="17"/>
      <c r="F375" s="17"/>
      <c r="G375" s="78"/>
      <c r="H375" s="78"/>
      <c r="I375" s="17"/>
      <c r="J375" s="17"/>
      <c r="K375" s="17"/>
      <c r="L375" s="4"/>
      <c r="M375" s="4"/>
      <c r="N375" s="4"/>
      <c r="O375" s="4"/>
      <c r="P375" s="4"/>
      <c r="Q375" s="4"/>
      <c r="R375" s="4"/>
      <c r="S375" s="4"/>
      <c r="T375" s="4"/>
      <c r="U375" s="4"/>
      <c r="V375" s="4"/>
      <c r="W375" s="4"/>
      <c r="X375" s="4"/>
      <c r="Y375" s="4"/>
      <c r="Z375" s="4"/>
    </row>
    <row r="376">
      <c r="A376" s="77"/>
      <c r="B376" s="17"/>
      <c r="C376" s="17"/>
      <c r="D376" s="17"/>
      <c r="E376" s="17"/>
      <c r="F376" s="17"/>
      <c r="G376" s="78"/>
      <c r="H376" s="78"/>
      <c r="I376" s="17"/>
      <c r="J376" s="17"/>
      <c r="K376" s="17"/>
      <c r="L376" s="4"/>
      <c r="M376" s="4"/>
      <c r="N376" s="4"/>
      <c r="O376" s="4"/>
      <c r="P376" s="4"/>
      <c r="Q376" s="4"/>
      <c r="R376" s="4"/>
      <c r="S376" s="4"/>
      <c r="T376" s="4"/>
      <c r="U376" s="4"/>
      <c r="V376" s="4"/>
      <c r="W376" s="4"/>
      <c r="X376" s="4"/>
      <c r="Y376" s="4"/>
      <c r="Z376" s="4"/>
    </row>
    <row r="377">
      <c r="A377" s="77"/>
      <c r="B377" s="17"/>
      <c r="C377" s="17"/>
      <c r="D377" s="17"/>
      <c r="E377" s="17"/>
      <c r="F377" s="17"/>
      <c r="G377" s="78"/>
      <c r="H377" s="78"/>
      <c r="I377" s="17"/>
      <c r="J377" s="17"/>
      <c r="K377" s="17"/>
      <c r="L377" s="4"/>
      <c r="M377" s="4"/>
      <c r="N377" s="4"/>
      <c r="O377" s="4"/>
      <c r="P377" s="4"/>
      <c r="Q377" s="4"/>
      <c r="R377" s="4"/>
      <c r="S377" s="4"/>
      <c r="T377" s="4"/>
      <c r="U377" s="4"/>
      <c r="V377" s="4"/>
      <c r="W377" s="4"/>
      <c r="X377" s="4"/>
      <c r="Y377" s="4"/>
      <c r="Z377" s="4"/>
    </row>
    <row r="378">
      <c r="A378" s="77"/>
      <c r="B378" s="17"/>
      <c r="C378" s="17"/>
      <c r="D378" s="17"/>
      <c r="E378" s="17"/>
      <c r="F378" s="17"/>
      <c r="G378" s="78"/>
      <c r="H378" s="78"/>
      <c r="I378" s="17"/>
      <c r="J378" s="17"/>
      <c r="K378" s="17"/>
      <c r="L378" s="4"/>
      <c r="M378" s="4"/>
      <c r="N378" s="4"/>
      <c r="O378" s="4"/>
      <c r="P378" s="4"/>
      <c r="Q378" s="4"/>
      <c r="R378" s="4"/>
      <c r="S378" s="4"/>
      <c r="T378" s="4"/>
      <c r="U378" s="4"/>
      <c r="V378" s="4"/>
      <c r="W378" s="4"/>
      <c r="X378" s="4"/>
      <c r="Y378" s="4"/>
      <c r="Z378" s="4"/>
    </row>
    <row r="379">
      <c r="A379" s="77"/>
      <c r="B379" s="17"/>
      <c r="C379" s="17"/>
      <c r="D379" s="17"/>
      <c r="E379" s="17"/>
      <c r="F379" s="17"/>
      <c r="G379" s="78"/>
      <c r="H379" s="78"/>
      <c r="I379" s="17"/>
      <c r="J379" s="17"/>
      <c r="K379" s="17"/>
      <c r="L379" s="4"/>
      <c r="M379" s="4"/>
      <c r="N379" s="4"/>
      <c r="O379" s="4"/>
      <c r="P379" s="4"/>
      <c r="Q379" s="4"/>
      <c r="R379" s="4"/>
      <c r="S379" s="4"/>
      <c r="T379" s="4"/>
      <c r="U379" s="4"/>
      <c r="V379" s="4"/>
      <c r="W379" s="4"/>
      <c r="X379" s="4"/>
      <c r="Y379" s="4"/>
      <c r="Z379" s="4"/>
    </row>
    <row r="380">
      <c r="A380" s="77"/>
      <c r="B380" s="17"/>
      <c r="C380" s="17"/>
      <c r="D380" s="17"/>
      <c r="E380" s="17"/>
      <c r="F380" s="17"/>
      <c r="G380" s="78"/>
      <c r="H380" s="78"/>
      <c r="I380" s="17"/>
      <c r="J380" s="17"/>
      <c r="K380" s="17"/>
      <c r="L380" s="4"/>
      <c r="M380" s="4"/>
      <c r="N380" s="4"/>
      <c r="O380" s="4"/>
      <c r="P380" s="4"/>
      <c r="Q380" s="4"/>
      <c r="R380" s="4"/>
      <c r="S380" s="4"/>
      <c r="T380" s="4"/>
      <c r="U380" s="4"/>
      <c r="V380" s="4"/>
      <c r="W380" s="4"/>
      <c r="X380" s="4"/>
      <c r="Y380" s="4"/>
      <c r="Z380" s="4"/>
    </row>
    <row r="381">
      <c r="A381" s="77"/>
      <c r="B381" s="17"/>
      <c r="C381" s="17"/>
      <c r="D381" s="17"/>
      <c r="E381" s="17"/>
      <c r="F381" s="17"/>
      <c r="G381" s="78"/>
      <c r="H381" s="78"/>
      <c r="I381" s="17"/>
      <c r="J381" s="17"/>
      <c r="K381" s="17"/>
      <c r="L381" s="4"/>
      <c r="M381" s="4"/>
      <c r="N381" s="4"/>
      <c r="O381" s="4"/>
      <c r="P381" s="4"/>
      <c r="Q381" s="4"/>
      <c r="R381" s="4"/>
      <c r="S381" s="4"/>
      <c r="T381" s="4"/>
      <c r="U381" s="4"/>
      <c r="V381" s="4"/>
      <c r="W381" s="4"/>
      <c r="X381" s="4"/>
      <c r="Y381" s="4"/>
      <c r="Z381" s="4"/>
    </row>
    <row r="382">
      <c r="A382" s="77"/>
      <c r="B382" s="17"/>
      <c r="C382" s="17"/>
      <c r="D382" s="17"/>
      <c r="E382" s="17"/>
      <c r="F382" s="17"/>
      <c r="G382" s="78"/>
      <c r="H382" s="78"/>
      <c r="I382" s="17"/>
      <c r="J382" s="17"/>
      <c r="K382" s="17"/>
      <c r="L382" s="4"/>
      <c r="M382" s="4"/>
      <c r="N382" s="4"/>
      <c r="O382" s="4"/>
      <c r="P382" s="4"/>
      <c r="Q382" s="4"/>
      <c r="R382" s="4"/>
      <c r="S382" s="4"/>
      <c r="T382" s="4"/>
      <c r="U382" s="4"/>
      <c r="V382" s="4"/>
      <c r="W382" s="4"/>
      <c r="X382" s="4"/>
      <c r="Y382" s="4"/>
      <c r="Z382" s="4"/>
    </row>
    <row r="383">
      <c r="A383" s="77"/>
      <c r="B383" s="17"/>
      <c r="C383" s="17"/>
      <c r="D383" s="17"/>
      <c r="E383" s="17"/>
      <c r="F383" s="17"/>
      <c r="G383" s="78"/>
      <c r="H383" s="78"/>
      <c r="I383" s="17"/>
      <c r="J383" s="17"/>
      <c r="K383" s="17"/>
      <c r="L383" s="4"/>
      <c r="M383" s="4"/>
      <c r="N383" s="4"/>
      <c r="O383" s="4"/>
      <c r="P383" s="4"/>
      <c r="Q383" s="4"/>
      <c r="R383" s="4"/>
      <c r="S383" s="4"/>
      <c r="T383" s="4"/>
      <c r="U383" s="4"/>
      <c r="V383" s="4"/>
      <c r="W383" s="4"/>
      <c r="X383" s="4"/>
      <c r="Y383" s="4"/>
      <c r="Z383" s="4"/>
    </row>
    <row r="384">
      <c r="A384" s="77"/>
      <c r="B384" s="17"/>
      <c r="C384" s="17"/>
      <c r="D384" s="17"/>
      <c r="E384" s="17"/>
      <c r="F384" s="17"/>
      <c r="G384" s="78"/>
      <c r="H384" s="78"/>
      <c r="I384" s="17"/>
      <c r="J384" s="17"/>
      <c r="K384" s="17"/>
      <c r="L384" s="4"/>
      <c r="M384" s="4"/>
      <c r="N384" s="4"/>
      <c r="O384" s="4"/>
      <c r="P384" s="4"/>
      <c r="Q384" s="4"/>
      <c r="R384" s="4"/>
      <c r="S384" s="4"/>
      <c r="T384" s="4"/>
      <c r="U384" s="4"/>
      <c r="V384" s="4"/>
      <c r="W384" s="4"/>
      <c r="X384" s="4"/>
      <c r="Y384" s="4"/>
      <c r="Z384" s="4"/>
    </row>
    <row r="385">
      <c r="A385" s="77"/>
      <c r="B385" s="17"/>
      <c r="C385" s="17"/>
      <c r="D385" s="17"/>
      <c r="E385" s="17"/>
      <c r="F385" s="17"/>
      <c r="G385" s="78"/>
      <c r="H385" s="78"/>
      <c r="I385" s="17"/>
      <c r="J385" s="17"/>
      <c r="K385" s="17"/>
      <c r="L385" s="4"/>
      <c r="M385" s="4"/>
      <c r="N385" s="4"/>
      <c r="O385" s="4"/>
      <c r="P385" s="4"/>
      <c r="Q385" s="4"/>
      <c r="R385" s="4"/>
      <c r="S385" s="4"/>
      <c r="T385" s="4"/>
      <c r="U385" s="4"/>
      <c r="V385" s="4"/>
      <c r="W385" s="4"/>
      <c r="X385" s="4"/>
      <c r="Y385" s="4"/>
      <c r="Z385" s="4"/>
    </row>
    <row r="386">
      <c r="A386" s="77"/>
      <c r="B386" s="17"/>
      <c r="C386" s="17"/>
      <c r="D386" s="17"/>
      <c r="E386" s="17"/>
      <c r="F386" s="17"/>
      <c r="G386" s="78"/>
      <c r="H386" s="78"/>
      <c r="I386" s="17"/>
      <c r="J386" s="17"/>
      <c r="K386" s="17"/>
      <c r="L386" s="4"/>
      <c r="M386" s="4"/>
      <c r="N386" s="4"/>
      <c r="O386" s="4"/>
      <c r="P386" s="4"/>
      <c r="Q386" s="4"/>
      <c r="R386" s="4"/>
      <c r="S386" s="4"/>
      <c r="T386" s="4"/>
      <c r="U386" s="4"/>
      <c r="V386" s="4"/>
      <c r="W386" s="4"/>
      <c r="X386" s="4"/>
      <c r="Y386" s="4"/>
      <c r="Z386" s="4"/>
    </row>
    <row r="387">
      <c r="A387" s="77"/>
      <c r="B387" s="17"/>
      <c r="C387" s="17"/>
      <c r="D387" s="17"/>
      <c r="E387" s="17"/>
      <c r="F387" s="17"/>
      <c r="G387" s="78"/>
      <c r="H387" s="78"/>
      <c r="I387" s="17"/>
      <c r="J387" s="17"/>
      <c r="K387" s="17"/>
      <c r="L387" s="4"/>
      <c r="M387" s="4"/>
      <c r="N387" s="4"/>
      <c r="O387" s="4"/>
      <c r="P387" s="4"/>
      <c r="Q387" s="4"/>
      <c r="R387" s="4"/>
      <c r="S387" s="4"/>
      <c r="T387" s="4"/>
      <c r="U387" s="4"/>
      <c r="V387" s="4"/>
      <c r="W387" s="4"/>
      <c r="X387" s="4"/>
      <c r="Y387" s="4"/>
      <c r="Z387" s="4"/>
    </row>
    <row r="388">
      <c r="A388" s="77"/>
      <c r="B388" s="17"/>
      <c r="C388" s="17"/>
      <c r="D388" s="17"/>
      <c r="E388" s="17"/>
      <c r="F388" s="17"/>
      <c r="G388" s="78"/>
      <c r="H388" s="78"/>
      <c r="I388" s="17"/>
      <c r="J388" s="17"/>
      <c r="K388" s="17"/>
      <c r="L388" s="4"/>
      <c r="M388" s="4"/>
      <c r="N388" s="4"/>
      <c r="O388" s="4"/>
      <c r="P388" s="4"/>
      <c r="Q388" s="4"/>
      <c r="R388" s="4"/>
      <c r="S388" s="4"/>
      <c r="T388" s="4"/>
      <c r="U388" s="4"/>
      <c r="V388" s="4"/>
      <c r="W388" s="4"/>
      <c r="X388" s="4"/>
      <c r="Y388" s="4"/>
      <c r="Z388" s="4"/>
    </row>
    <row r="389">
      <c r="A389" s="77"/>
      <c r="B389" s="17"/>
      <c r="C389" s="17"/>
      <c r="D389" s="17"/>
      <c r="E389" s="17"/>
      <c r="F389" s="17"/>
      <c r="G389" s="78"/>
      <c r="H389" s="78"/>
      <c r="I389" s="17"/>
      <c r="J389" s="17"/>
      <c r="K389" s="17"/>
      <c r="L389" s="4"/>
      <c r="M389" s="4"/>
      <c r="N389" s="4"/>
      <c r="O389" s="4"/>
      <c r="P389" s="4"/>
      <c r="Q389" s="4"/>
      <c r="R389" s="4"/>
      <c r="S389" s="4"/>
      <c r="T389" s="4"/>
      <c r="U389" s="4"/>
      <c r="V389" s="4"/>
      <c r="W389" s="4"/>
      <c r="X389" s="4"/>
      <c r="Y389" s="4"/>
      <c r="Z389" s="4"/>
    </row>
    <row r="390">
      <c r="A390" s="77"/>
      <c r="B390" s="17"/>
      <c r="C390" s="17"/>
      <c r="D390" s="17"/>
      <c r="E390" s="17"/>
      <c r="F390" s="17"/>
      <c r="G390" s="78"/>
      <c r="H390" s="78"/>
      <c r="I390" s="17"/>
      <c r="J390" s="17"/>
      <c r="K390" s="17"/>
      <c r="L390" s="4"/>
      <c r="M390" s="4"/>
      <c r="N390" s="4"/>
      <c r="O390" s="4"/>
      <c r="P390" s="4"/>
      <c r="Q390" s="4"/>
      <c r="R390" s="4"/>
      <c r="S390" s="4"/>
      <c r="T390" s="4"/>
      <c r="U390" s="4"/>
      <c r="V390" s="4"/>
      <c r="W390" s="4"/>
      <c r="X390" s="4"/>
      <c r="Y390" s="4"/>
      <c r="Z390" s="4"/>
    </row>
    <row r="391">
      <c r="A391" s="77"/>
      <c r="B391" s="17"/>
      <c r="C391" s="17"/>
      <c r="D391" s="17"/>
      <c r="E391" s="17"/>
      <c r="F391" s="17"/>
      <c r="G391" s="78"/>
      <c r="H391" s="78"/>
      <c r="I391" s="17"/>
      <c r="J391" s="17"/>
      <c r="K391" s="17"/>
      <c r="L391" s="4"/>
      <c r="M391" s="4"/>
      <c r="N391" s="4"/>
      <c r="O391" s="4"/>
      <c r="P391" s="4"/>
      <c r="Q391" s="4"/>
      <c r="R391" s="4"/>
      <c r="S391" s="4"/>
      <c r="T391" s="4"/>
      <c r="U391" s="4"/>
      <c r="V391" s="4"/>
      <c r="W391" s="4"/>
      <c r="X391" s="4"/>
      <c r="Y391" s="4"/>
      <c r="Z391" s="4"/>
    </row>
    <row r="392">
      <c r="A392" s="77"/>
      <c r="B392" s="17"/>
      <c r="C392" s="17"/>
      <c r="D392" s="17"/>
      <c r="E392" s="17"/>
      <c r="F392" s="17"/>
      <c r="G392" s="78"/>
      <c r="H392" s="78"/>
      <c r="I392" s="17"/>
      <c r="J392" s="17"/>
      <c r="K392" s="17"/>
      <c r="L392" s="4"/>
      <c r="M392" s="4"/>
      <c r="N392" s="4"/>
      <c r="O392" s="4"/>
      <c r="P392" s="4"/>
      <c r="Q392" s="4"/>
      <c r="R392" s="4"/>
      <c r="S392" s="4"/>
      <c r="T392" s="4"/>
      <c r="U392" s="4"/>
      <c r="V392" s="4"/>
      <c r="W392" s="4"/>
      <c r="X392" s="4"/>
      <c r="Y392" s="4"/>
      <c r="Z392" s="4"/>
    </row>
    <row r="393">
      <c r="A393" s="77"/>
      <c r="B393" s="17"/>
      <c r="C393" s="17"/>
      <c r="D393" s="17"/>
      <c r="E393" s="17"/>
      <c r="F393" s="17"/>
      <c r="G393" s="78"/>
      <c r="H393" s="78"/>
      <c r="I393" s="17"/>
      <c r="J393" s="17"/>
      <c r="K393" s="17"/>
      <c r="L393" s="4"/>
      <c r="M393" s="4"/>
      <c r="N393" s="4"/>
      <c r="O393" s="4"/>
      <c r="P393" s="4"/>
      <c r="Q393" s="4"/>
      <c r="R393" s="4"/>
      <c r="S393" s="4"/>
      <c r="T393" s="4"/>
      <c r="U393" s="4"/>
      <c r="V393" s="4"/>
      <c r="W393" s="4"/>
      <c r="X393" s="4"/>
      <c r="Y393" s="4"/>
      <c r="Z393" s="4"/>
    </row>
    <row r="394">
      <c r="A394" s="77"/>
      <c r="B394" s="17"/>
      <c r="C394" s="17"/>
      <c r="D394" s="17"/>
      <c r="E394" s="17"/>
      <c r="F394" s="17"/>
      <c r="G394" s="78"/>
      <c r="H394" s="78"/>
      <c r="I394" s="17"/>
      <c r="J394" s="17"/>
      <c r="K394" s="17"/>
      <c r="L394" s="4"/>
      <c r="M394" s="4"/>
      <c r="N394" s="4"/>
      <c r="O394" s="4"/>
      <c r="P394" s="4"/>
      <c r="Q394" s="4"/>
      <c r="R394" s="4"/>
      <c r="S394" s="4"/>
      <c r="T394" s="4"/>
      <c r="U394" s="4"/>
      <c r="V394" s="4"/>
      <c r="W394" s="4"/>
      <c r="X394" s="4"/>
      <c r="Y394" s="4"/>
      <c r="Z394" s="4"/>
    </row>
    <row r="395">
      <c r="A395" s="77"/>
      <c r="B395" s="17"/>
      <c r="C395" s="17"/>
      <c r="D395" s="17"/>
      <c r="E395" s="17"/>
      <c r="F395" s="17"/>
      <c r="G395" s="78"/>
      <c r="H395" s="78"/>
      <c r="I395" s="17"/>
      <c r="J395" s="17"/>
      <c r="K395" s="17"/>
      <c r="L395" s="4"/>
      <c r="M395" s="4"/>
      <c r="N395" s="4"/>
      <c r="O395" s="4"/>
      <c r="P395" s="4"/>
      <c r="Q395" s="4"/>
      <c r="R395" s="4"/>
      <c r="S395" s="4"/>
      <c r="T395" s="4"/>
      <c r="U395" s="4"/>
      <c r="V395" s="4"/>
      <c r="W395" s="4"/>
      <c r="X395" s="4"/>
      <c r="Y395" s="4"/>
      <c r="Z395" s="4"/>
    </row>
    <row r="396">
      <c r="A396" s="77"/>
      <c r="B396" s="17"/>
      <c r="C396" s="17"/>
      <c r="D396" s="17"/>
      <c r="E396" s="17"/>
      <c r="F396" s="17"/>
      <c r="G396" s="78"/>
      <c r="H396" s="78"/>
      <c r="I396" s="17"/>
      <c r="J396" s="17"/>
      <c r="K396" s="17"/>
      <c r="L396" s="4"/>
      <c r="M396" s="4"/>
      <c r="N396" s="4"/>
      <c r="O396" s="4"/>
      <c r="P396" s="4"/>
      <c r="Q396" s="4"/>
      <c r="R396" s="4"/>
      <c r="S396" s="4"/>
      <c r="T396" s="4"/>
      <c r="U396" s="4"/>
      <c r="V396" s="4"/>
      <c r="W396" s="4"/>
      <c r="X396" s="4"/>
      <c r="Y396" s="4"/>
      <c r="Z396" s="4"/>
    </row>
    <row r="397">
      <c r="A397" s="77"/>
      <c r="B397" s="17"/>
      <c r="C397" s="17"/>
      <c r="D397" s="17"/>
      <c r="E397" s="17"/>
      <c r="F397" s="17"/>
      <c r="G397" s="78"/>
      <c r="H397" s="78"/>
      <c r="I397" s="17"/>
      <c r="J397" s="17"/>
      <c r="K397" s="17"/>
      <c r="L397" s="4"/>
      <c r="M397" s="4"/>
      <c r="N397" s="4"/>
      <c r="O397" s="4"/>
      <c r="P397" s="4"/>
      <c r="Q397" s="4"/>
      <c r="R397" s="4"/>
      <c r="S397" s="4"/>
      <c r="T397" s="4"/>
      <c r="U397" s="4"/>
      <c r="V397" s="4"/>
      <c r="W397" s="4"/>
      <c r="X397" s="4"/>
      <c r="Y397" s="4"/>
      <c r="Z397" s="4"/>
    </row>
    <row r="398">
      <c r="A398" s="77"/>
      <c r="B398" s="17"/>
      <c r="C398" s="17"/>
      <c r="D398" s="17"/>
      <c r="E398" s="17"/>
      <c r="F398" s="17"/>
      <c r="G398" s="78"/>
      <c r="H398" s="78"/>
      <c r="I398" s="17"/>
      <c r="J398" s="17"/>
      <c r="K398" s="17"/>
      <c r="L398" s="4"/>
      <c r="M398" s="4"/>
      <c r="N398" s="4"/>
      <c r="O398" s="4"/>
      <c r="P398" s="4"/>
      <c r="Q398" s="4"/>
      <c r="R398" s="4"/>
      <c r="S398" s="4"/>
      <c r="T398" s="4"/>
      <c r="U398" s="4"/>
      <c r="V398" s="4"/>
      <c r="W398" s="4"/>
      <c r="X398" s="4"/>
      <c r="Y398" s="4"/>
      <c r="Z398" s="4"/>
    </row>
    <row r="399">
      <c r="A399" s="77"/>
      <c r="B399" s="17"/>
      <c r="C399" s="17"/>
      <c r="D399" s="17"/>
      <c r="E399" s="17"/>
      <c r="F399" s="17"/>
      <c r="G399" s="78"/>
      <c r="H399" s="78"/>
      <c r="I399" s="17"/>
      <c r="J399" s="17"/>
      <c r="K399" s="17"/>
      <c r="L399" s="4"/>
      <c r="M399" s="4"/>
      <c r="N399" s="4"/>
      <c r="O399" s="4"/>
      <c r="P399" s="4"/>
      <c r="Q399" s="4"/>
      <c r="R399" s="4"/>
      <c r="S399" s="4"/>
      <c r="T399" s="4"/>
      <c r="U399" s="4"/>
      <c r="V399" s="4"/>
      <c r="W399" s="4"/>
      <c r="X399" s="4"/>
      <c r="Y399" s="4"/>
      <c r="Z399" s="4"/>
    </row>
    <row r="400">
      <c r="A400" s="77"/>
      <c r="B400" s="17"/>
      <c r="C400" s="17"/>
      <c r="D400" s="17"/>
      <c r="E400" s="17"/>
      <c r="F400" s="17"/>
      <c r="G400" s="78"/>
      <c r="H400" s="78"/>
      <c r="I400" s="17"/>
      <c r="J400" s="17"/>
      <c r="K400" s="17"/>
      <c r="L400" s="4"/>
      <c r="M400" s="4"/>
      <c r="N400" s="4"/>
      <c r="O400" s="4"/>
      <c r="P400" s="4"/>
      <c r="Q400" s="4"/>
      <c r="R400" s="4"/>
      <c r="S400" s="4"/>
      <c r="T400" s="4"/>
      <c r="U400" s="4"/>
      <c r="V400" s="4"/>
      <c r="W400" s="4"/>
      <c r="X400" s="4"/>
      <c r="Y400" s="4"/>
      <c r="Z400" s="4"/>
    </row>
    <row r="401">
      <c r="A401" s="77"/>
      <c r="B401" s="17"/>
      <c r="C401" s="17"/>
      <c r="D401" s="17"/>
      <c r="E401" s="17"/>
      <c r="F401" s="17"/>
      <c r="G401" s="78"/>
      <c r="H401" s="78"/>
      <c r="I401" s="17"/>
      <c r="J401" s="17"/>
      <c r="K401" s="17"/>
      <c r="L401" s="4"/>
      <c r="M401" s="4"/>
      <c r="N401" s="4"/>
      <c r="O401" s="4"/>
      <c r="P401" s="4"/>
      <c r="Q401" s="4"/>
      <c r="R401" s="4"/>
      <c r="S401" s="4"/>
      <c r="T401" s="4"/>
      <c r="U401" s="4"/>
      <c r="V401" s="4"/>
      <c r="W401" s="4"/>
      <c r="X401" s="4"/>
      <c r="Y401" s="4"/>
      <c r="Z401" s="4"/>
    </row>
    <row r="402">
      <c r="A402" s="77"/>
      <c r="B402" s="17"/>
      <c r="C402" s="17"/>
      <c r="D402" s="17"/>
      <c r="E402" s="17"/>
      <c r="F402" s="17"/>
      <c r="G402" s="78"/>
      <c r="H402" s="78"/>
      <c r="I402" s="17"/>
      <c r="J402" s="17"/>
      <c r="K402" s="17"/>
      <c r="L402" s="4"/>
      <c r="M402" s="4"/>
      <c r="N402" s="4"/>
      <c r="O402" s="4"/>
      <c r="P402" s="4"/>
      <c r="Q402" s="4"/>
      <c r="R402" s="4"/>
      <c r="S402" s="4"/>
      <c r="T402" s="4"/>
      <c r="U402" s="4"/>
      <c r="V402" s="4"/>
      <c r="W402" s="4"/>
      <c r="X402" s="4"/>
      <c r="Y402" s="4"/>
      <c r="Z402" s="4"/>
    </row>
    <row r="403">
      <c r="A403" s="77"/>
      <c r="B403" s="17"/>
      <c r="C403" s="17"/>
      <c r="D403" s="17"/>
      <c r="E403" s="17"/>
      <c r="F403" s="17"/>
      <c r="G403" s="78"/>
      <c r="H403" s="78"/>
      <c r="I403" s="17"/>
      <c r="J403" s="17"/>
      <c r="K403" s="17"/>
      <c r="L403" s="4"/>
      <c r="M403" s="4"/>
      <c r="N403" s="4"/>
      <c r="O403" s="4"/>
      <c r="P403" s="4"/>
      <c r="Q403" s="4"/>
      <c r="R403" s="4"/>
      <c r="S403" s="4"/>
      <c r="T403" s="4"/>
      <c r="U403" s="4"/>
      <c r="V403" s="4"/>
      <c r="W403" s="4"/>
      <c r="X403" s="4"/>
      <c r="Y403" s="4"/>
      <c r="Z403" s="4"/>
    </row>
    <row r="404">
      <c r="A404" s="77"/>
      <c r="B404" s="17"/>
      <c r="C404" s="17"/>
      <c r="D404" s="17"/>
      <c r="E404" s="17"/>
      <c r="F404" s="17"/>
      <c r="G404" s="78"/>
      <c r="H404" s="78"/>
      <c r="I404" s="17"/>
      <c r="J404" s="17"/>
      <c r="K404" s="17"/>
      <c r="L404" s="4"/>
      <c r="M404" s="4"/>
      <c r="N404" s="4"/>
      <c r="O404" s="4"/>
      <c r="P404" s="4"/>
      <c r="Q404" s="4"/>
      <c r="R404" s="4"/>
      <c r="S404" s="4"/>
      <c r="T404" s="4"/>
      <c r="U404" s="4"/>
      <c r="V404" s="4"/>
      <c r="W404" s="4"/>
      <c r="X404" s="4"/>
      <c r="Y404" s="4"/>
      <c r="Z404" s="4"/>
    </row>
    <row r="405">
      <c r="A405" s="77"/>
      <c r="B405" s="17"/>
      <c r="C405" s="17"/>
      <c r="D405" s="17"/>
      <c r="E405" s="17"/>
      <c r="F405" s="17"/>
      <c r="G405" s="78"/>
      <c r="H405" s="78"/>
      <c r="I405" s="17"/>
      <c r="J405" s="17"/>
      <c r="K405" s="17"/>
      <c r="L405" s="4"/>
      <c r="M405" s="4"/>
      <c r="N405" s="4"/>
      <c r="O405" s="4"/>
      <c r="P405" s="4"/>
      <c r="Q405" s="4"/>
      <c r="R405" s="4"/>
      <c r="S405" s="4"/>
      <c r="T405" s="4"/>
      <c r="U405" s="4"/>
      <c r="V405" s="4"/>
      <c r="W405" s="4"/>
      <c r="X405" s="4"/>
      <c r="Y405" s="4"/>
      <c r="Z405" s="4"/>
    </row>
    <row r="406">
      <c r="A406" s="77"/>
      <c r="B406" s="17"/>
      <c r="C406" s="17"/>
      <c r="D406" s="17"/>
      <c r="E406" s="17"/>
      <c r="F406" s="17"/>
      <c r="G406" s="78"/>
      <c r="H406" s="78"/>
      <c r="I406" s="17"/>
      <c r="J406" s="17"/>
      <c r="K406" s="17"/>
      <c r="L406" s="4"/>
      <c r="M406" s="4"/>
      <c r="N406" s="4"/>
      <c r="O406" s="4"/>
      <c r="P406" s="4"/>
      <c r="Q406" s="4"/>
      <c r="R406" s="4"/>
      <c r="S406" s="4"/>
      <c r="T406" s="4"/>
      <c r="U406" s="4"/>
      <c r="V406" s="4"/>
      <c r="W406" s="4"/>
      <c r="X406" s="4"/>
      <c r="Y406" s="4"/>
      <c r="Z406" s="4"/>
    </row>
    <row r="407">
      <c r="A407" s="77"/>
      <c r="B407" s="17"/>
      <c r="C407" s="17"/>
      <c r="D407" s="17"/>
      <c r="E407" s="17"/>
      <c r="F407" s="17"/>
      <c r="G407" s="78"/>
      <c r="H407" s="78"/>
      <c r="I407" s="17"/>
      <c r="J407" s="17"/>
      <c r="K407" s="17"/>
      <c r="L407" s="4"/>
      <c r="M407" s="4"/>
      <c r="N407" s="4"/>
      <c r="O407" s="4"/>
      <c r="P407" s="4"/>
      <c r="Q407" s="4"/>
      <c r="R407" s="4"/>
      <c r="S407" s="4"/>
      <c r="T407" s="4"/>
      <c r="U407" s="4"/>
      <c r="V407" s="4"/>
      <c r="W407" s="4"/>
      <c r="X407" s="4"/>
      <c r="Y407" s="4"/>
      <c r="Z407" s="4"/>
    </row>
    <row r="408">
      <c r="A408" s="77"/>
      <c r="B408" s="17"/>
      <c r="C408" s="17"/>
      <c r="D408" s="17"/>
      <c r="E408" s="17"/>
      <c r="F408" s="17"/>
      <c r="G408" s="78"/>
      <c r="H408" s="78"/>
      <c r="I408" s="17"/>
      <c r="J408" s="17"/>
      <c r="K408" s="17"/>
      <c r="L408" s="4"/>
      <c r="M408" s="4"/>
      <c r="N408" s="4"/>
      <c r="O408" s="4"/>
      <c r="P408" s="4"/>
      <c r="Q408" s="4"/>
      <c r="R408" s="4"/>
      <c r="S408" s="4"/>
      <c r="T408" s="4"/>
      <c r="U408" s="4"/>
      <c r="V408" s="4"/>
      <c r="W408" s="4"/>
      <c r="X408" s="4"/>
      <c r="Y408" s="4"/>
      <c r="Z408" s="4"/>
    </row>
    <row r="409">
      <c r="A409" s="77"/>
      <c r="B409" s="17"/>
      <c r="C409" s="17"/>
      <c r="D409" s="17"/>
      <c r="E409" s="17"/>
      <c r="F409" s="17"/>
      <c r="G409" s="78"/>
      <c r="H409" s="78"/>
      <c r="I409" s="17"/>
      <c r="J409" s="17"/>
      <c r="K409" s="17"/>
      <c r="L409" s="4"/>
      <c r="M409" s="4"/>
      <c r="N409" s="4"/>
      <c r="O409" s="4"/>
      <c r="P409" s="4"/>
      <c r="Q409" s="4"/>
      <c r="R409" s="4"/>
      <c r="S409" s="4"/>
      <c r="T409" s="4"/>
      <c r="U409" s="4"/>
      <c r="V409" s="4"/>
      <c r="W409" s="4"/>
      <c r="X409" s="4"/>
      <c r="Y409" s="4"/>
      <c r="Z409" s="4"/>
    </row>
    <row r="410">
      <c r="A410" s="77"/>
      <c r="B410" s="17"/>
      <c r="C410" s="17"/>
      <c r="D410" s="17"/>
      <c r="E410" s="17"/>
      <c r="F410" s="17"/>
      <c r="G410" s="78"/>
      <c r="H410" s="78"/>
      <c r="I410" s="17"/>
      <c r="J410" s="17"/>
      <c r="K410" s="17"/>
      <c r="L410" s="4"/>
      <c r="M410" s="4"/>
      <c r="N410" s="4"/>
      <c r="O410" s="4"/>
      <c r="P410" s="4"/>
      <c r="Q410" s="4"/>
      <c r="R410" s="4"/>
      <c r="S410" s="4"/>
      <c r="T410" s="4"/>
      <c r="U410" s="4"/>
      <c r="V410" s="4"/>
      <c r="W410" s="4"/>
      <c r="X410" s="4"/>
      <c r="Y410" s="4"/>
      <c r="Z410" s="4"/>
    </row>
    <row r="411">
      <c r="A411" s="77"/>
      <c r="B411" s="17"/>
      <c r="C411" s="17"/>
      <c r="D411" s="17"/>
      <c r="E411" s="17"/>
      <c r="F411" s="17"/>
      <c r="G411" s="78"/>
      <c r="H411" s="78"/>
      <c r="I411" s="17"/>
      <c r="J411" s="17"/>
      <c r="K411" s="17"/>
      <c r="L411" s="4"/>
      <c r="M411" s="4"/>
      <c r="N411" s="4"/>
      <c r="O411" s="4"/>
      <c r="P411" s="4"/>
      <c r="Q411" s="4"/>
      <c r="R411" s="4"/>
      <c r="S411" s="4"/>
      <c r="T411" s="4"/>
      <c r="U411" s="4"/>
      <c r="V411" s="4"/>
      <c r="W411" s="4"/>
      <c r="X411" s="4"/>
      <c r="Y411" s="4"/>
      <c r="Z411" s="4"/>
    </row>
    <row r="412">
      <c r="A412" s="77"/>
      <c r="B412" s="17"/>
      <c r="C412" s="17"/>
      <c r="D412" s="17"/>
      <c r="E412" s="17"/>
      <c r="F412" s="17"/>
      <c r="G412" s="78"/>
      <c r="H412" s="78"/>
      <c r="I412" s="17"/>
      <c r="J412" s="17"/>
      <c r="K412" s="17"/>
      <c r="L412" s="4"/>
      <c r="M412" s="4"/>
      <c r="N412" s="4"/>
      <c r="O412" s="4"/>
      <c r="P412" s="4"/>
      <c r="Q412" s="4"/>
      <c r="R412" s="4"/>
      <c r="S412" s="4"/>
      <c r="T412" s="4"/>
      <c r="U412" s="4"/>
      <c r="V412" s="4"/>
      <c r="W412" s="4"/>
      <c r="X412" s="4"/>
      <c r="Y412" s="4"/>
      <c r="Z412" s="4"/>
    </row>
    <row r="413">
      <c r="A413" s="77"/>
      <c r="B413" s="17"/>
      <c r="C413" s="17"/>
      <c r="D413" s="17"/>
      <c r="E413" s="17"/>
      <c r="F413" s="17"/>
      <c r="G413" s="78"/>
      <c r="H413" s="78"/>
      <c r="I413" s="17"/>
      <c r="J413" s="17"/>
      <c r="K413" s="17"/>
      <c r="L413" s="4"/>
      <c r="M413" s="4"/>
      <c r="N413" s="4"/>
      <c r="O413" s="4"/>
      <c r="P413" s="4"/>
      <c r="Q413" s="4"/>
      <c r="R413" s="4"/>
      <c r="S413" s="4"/>
      <c r="T413" s="4"/>
      <c r="U413" s="4"/>
      <c r="V413" s="4"/>
      <c r="W413" s="4"/>
      <c r="X413" s="4"/>
      <c r="Y413" s="4"/>
      <c r="Z413" s="4"/>
    </row>
    <row r="414">
      <c r="A414" s="77"/>
      <c r="B414" s="17"/>
      <c r="C414" s="17"/>
      <c r="D414" s="17"/>
      <c r="E414" s="17"/>
      <c r="F414" s="17"/>
      <c r="G414" s="78"/>
      <c r="H414" s="78"/>
      <c r="I414" s="17"/>
      <c r="J414" s="17"/>
      <c r="K414" s="17"/>
      <c r="L414" s="4"/>
      <c r="M414" s="4"/>
      <c r="N414" s="4"/>
      <c r="O414" s="4"/>
      <c r="P414" s="4"/>
      <c r="Q414" s="4"/>
      <c r="R414" s="4"/>
      <c r="S414" s="4"/>
      <c r="T414" s="4"/>
      <c r="U414" s="4"/>
      <c r="V414" s="4"/>
      <c r="W414" s="4"/>
      <c r="X414" s="4"/>
      <c r="Y414" s="4"/>
      <c r="Z414" s="4"/>
    </row>
    <row r="415">
      <c r="A415" s="77"/>
      <c r="B415" s="17"/>
      <c r="C415" s="17"/>
      <c r="D415" s="17"/>
      <c r="E415" s="17"/>
      <c r="F415" s="17"/>
      <c r="G415" s="78"/>
      <c r="H415" s="78"/>
      <c r="I415" s="17"/>
      <c r="J415" s="17"/>
      <c r="K415" s="17"/>
      <c r="L415" s="4"/>
      <c r="M415" s="4"/>
      <c r="N415" s="4"/>
      <c r="O415" s="4"/>
      <c r="P415" s="4"/>
      <c r="Q415" s="4"/>
      <c r="R415" s="4"/>
      <c r="S415" s="4"/>
      <c r="T415" s="4"/>
      <c r="U415" s="4"/>
      <c r="V415" s="4"/>
      <c r="W415" s="4"/>
      <c r="X415" s="4"/>
      <c r="Y415" s="4"/>
      <c r="Z415" s="4"/>
    </row>
    <row r="416">
      <c r="A416" s="77"/>
      <c r="B416" s="17"/>
      <c r="C416" s="17"/>
      <c r="D416" s="17"/>
      <c r="E416" s="17"/>
      <c r="F416" s="17"/>
      <c r="G416" s="78"/>
      <c r="H416" s="78"/>
      <c r="I416" s="17"/>
      <c r="J416" s="17"/>
      <c r="K416" s="17"/>
      <c r="L416" s="4"/>
      <c r="M416" s="4"/>
      <c r="N416" s="4"/>
      <c r="O416" s="4"/>
      <c r="P416" s="4"/>
      <c r="Q416" s="4"/>
      <c r="R416" s="4"/>
      <c r="S416" s="4"/>
      <c r="T416" s="4"/>
      <c r="U416" s="4"/>
      <c r="V416" s="4"/>
      <c r="W416" s="4"/>
      <c r="X416" s="4"/>
      <c r="Y416" s="4"/>
      <c r="Z416" s="4"/>
    </row>
    <row r="417">
      <c r="A417" s="77"/>
      <c r="B417" s="17"/>
      <c r="C417" s="17"/>
      <c r="D417" s="17"/>
      <c r="E417" s="17"/>
      <c r="F417" s="17"/>
      <c r="G417" s="78"/>
      <c r="H417" s="78"/>
      <c r="I417" s="17"/>
      <c r="J417" s="17"/>
      <c r="K417" s="17"/>
      <c r="L417" s="4"/>
      <c r="M417" s="4"/>
      <c r="N417" s="4"/>
      <c r="O417" s="4"/>
      <c r="P417" s="4"/>
      <c r="Q417" s="4"/>
      <c r="R417" s="4"/>
      <c r="S417" s="4"/>
      <c r="T417" s="4"/>
      <c r="U417" s="4"/>
      <c r="V417" s="4"/>
      <c r="W417" s="4"/>
      <c r="X417" s="4"/>
      <c r="Y417" s="4"/>
      <c r="Z417" s="4"/>
    </row>
    <row r="418">
      <c r="A418" s="77"/>
      <c r="B418" s="17"/>
      <c r="C418" s="17"/>
      <c r="D418" s="17"/>
      <c r="E418" s="17"/>
      <c r="F418" s="17"/>
      <c r="G418" s="78"/>
      <c r="H418" s="78"/>
      <c r="I418" s="17"/>
      <c r="J418" s="17"/>
      <c r="K418" s="17"/>
      <c r="L418" s="4"/>
      <c r="M418" s="4"/>
      <c r="N418" s="4"/>
      <c r="O418" s="4"/>
      <c r="P418" s="4"/>
      <c r="Q418" s="4"/>
      <c r="R418" s="4"/>
      <c r="S418" s="4"/>
      <c r="T418" s="4"/>
      <c r="U418" s="4"/>
      <c r="V418" s="4"/>
      <c r="W418" s="4"/>
      <c r="X418" s="4"/>
      <c r="Y418" s="4"/>
      <c r="Z418" s="4"/>
    </row>
    <row r="419">
      <c r="A419" s="77"/>
      <c r="B419" s="17"/>
      <c r="C419" s="17"/>
      <c r="D419" s="17"/>
      <c r="E419" s="17"/>
      <c r="F419" s="17"/>
      <c r="G419" s="78"/>
      <c r="H419" s="78"/>
      <c r="I419" s="17"/>
      <c r="J419" s="17"/>
      <c r="K419" s="17"/>
      <c r="L419" s="4"/>
      <c r="M419" s="4"/>
      <c r="N419" s="4"/>
      <c r="O419" s="4"/>
      <c r="P419" s="4"/>
      <c r="Q419" s="4"/>
      <c r="R419" s="4"/>
      <c r="S419" s="4"/>
      <c r="T419" s="4"/>
      <c r="U419" s="4"/>
      <c r="V419" s="4"/>
      <c r="W419" s="4"/>
      <c r="X419" s="4"/>
      <c r="Y419" s="4"/>
      <c r="Z419" s="4"/>
    </row>
    <row r="420">
      <c r="A420" s="77"/>
      <c r="B420" s="17"/>
      <c r="C420" s="17"/>
      <c r="D420" s="17"/>
      <c r="E420" s="17"/>
      <c r="F420" s="17"/>
      <c r="G420" s="78"/>
      <c r="H420" s="78"/>
      <c r="I420" s="17"/>
      <c r="J420" s="17"/>
      <c r="K420" s="17"/>
      <c r="L420" s="4"/>
      <c r="M420" s="4"/>
      <c r="N420" s="4"/>
      <c r="O420" s="4"/>
      <c r="P420" s="4"/>
      <c r="Q420" s="4"/>
      <c r="R420" s="4"/>
      <c r="S420" s="4"/>
      <c r="T420" s="4"/>
      <c r="U420" s="4"/>
      <c r="V420" s="4"/>
      <c r="W420" s="4"/>
      <c r="X420" s="4"/>
      <c r="Y420" s="4"/>
      <c r="Z420" s="4"/>
    </row>
    <row r="421">
      <c r="A421" s="77"/>
      <c r="B421" s="17"/>
      <c r="C421" s="17"/>
      <c r="D421" s="17"/>
      <c r="E421" s="17"/>
      <c r="F421" s="17"/>
      <c r="G421" s="78"/>
      <c r="H421" s="78"/>
      <c r="I421" s="17"/>
      <c r="J421" s="17"/>
      <c r="K421" s="17"/>
      <c r="L421" s="4"/>
      <c r="M421" s="4"/>
      <c r="N421" s="4"/>
      <c r="O421" s="4"/>
      <c r="P421" s="4"/>
      <c r="Q421" s="4"/>
      <c r="R421" s="4"/>
      <c r="S421" s="4"/>
      <c r="T421" s="4"/>
      <c r="U421" s="4"/>
      <c r="V421" s="4"/>
      <c r="W421" s="4"/>
      <c r="X421" s="4"/>
      <c r="Y421" s="4"/>
      <c r="Z421" s="4"/>
    </row>
    <row r="422">
      <c r="A422" s="77"/>
      <c r="B422" s="17"/>
      <c r="C422" s="17"/>
      <c r="D422" s="17"/>
      <c r="E422" s="17"/>
      <c r="F422" s="17"/>
      <c r="G422" s="78"/>
      <c r="H422" s="78"/>
      <c r="I422" s="17"/>
      <c r="J422" s="17"/>
      <c r="K422" s="17"/>
      <c r="L422" s="4"/>
      <c r="M422" s="4"/>
      <c r="N422" s="4"/>
      <c r="O422" s="4"/>
      <c r="P422" s="4"/>
      <c r="Q422" s="4"/>
      <c r="R422" s="4"/>
      <c r="S422" s="4"/>
      <c r="T422" s="4"/>
      <c r="U422" s="4"/>
      <c r="V422" s="4"/>
      <c r="W422" s="4"/>
      <c r="X422" s="4"/>
      <c r="Y422" s="4"/>
      <c r="Z422" s="4"/>
    </row>
    <row r="423">
      <c r="A423" s="77"/>
      <c r="B423" s="17"/>
      <c r="C423" s="17"/>
      <c r="D423" s="17"/>
      <c r="E423" s="17"/>
      <c r="F423" s="17"/>
      <c r="G423" s="78"/>
      <c r="H423" s="78"/>
      <c r="I423" s="17"/>
      <c r="J423" s="17"/>
      <c r="K423" s="17"/>
      <c r="L423" s="4"/>
      <c r="M423" s="4"/>
      <c r="N423" s="4"/>
      <c r="O423" s="4"/>
      <c r="P423" s="4"/>
      <c r="Q423" s="4"/>
      <c r="R423" s="4"/>
      <c r="S423" s="4"/>
      <c r="T423" s="4"/>
      <c r="U423" s="4"/>
      <c r="V423" s="4"/>
      <c r="W423" s="4"/>
      <c r="X423" s="4"/>
      <c r="Y423" s="4"/>
      <c r="Z423" s="4"/>
    </row>
    <row r="424">
      <c r="A424" s="77"/>
      <c r="B424" s="17"/>
      <c r="C424" s="17"/>
      <c r="D424" s="17"/>
      <c r="E424" s="17"/>
      <c r="F424" s="17"/>
      <c r="G424" s="78"/>
      <c r="H424" s="78"/>
      <c r="I424" s="17"/>
      <c r="J424" s="17"/>
      <c r="K424" s="17"/>
      <c r="L424" s="4"/>
      <c r="M424" s="4"/>
      <c r="N424" s="4"/>
      <c r="O424" s="4"/>
      <c r="P424" s="4"/>
      <c r="Q424" s="4"/>
      <c r="R424" s="4"/>
      <c r="S424" s="4"/>
      <c r="T424" s="4"/>
      <c r="U424" s="4"/>
      <c r="V424" s="4"/>
      <c r="W424" s="4"/>
      <c r="X424" s="4"/>
      <c r="Y424" s="4"/>
      <c r="Z424" s="4"/>
    </row>
    <row r="425">
      <c r="A425" s="77"/>
      <c r="B425" s="17"/>
      <c r="C425" s="17"/>
      <c r="D425" s="17"/>
      <c r="E425" s="17"/>
      <c r="F425" s="17"/>
      <c r="G425" s="78"/>
      <c r="H425" s="78"/>
      <c r="I425" s="17"/>
      <c r="J425" s="17"/>
      <c r="K425" s="17"/>
      <c r="L425" s="4"/>
      <c r="M425" s="4"/>
      <c r="N425" s="4"/>
      <c r="O425" s="4"/>
      <c r="P425" s="4"/>
      <c r="Q425" s="4"/>
      <c r="R425" s="4"/>
      <c r="S425" s="4"/>
      <c r="T425" s="4"/>
      <c r="U425" s="4"/>
      <c r="V425" s="4"/>
      <c r="W425" s="4"/>
      <c r="X425" s="4"/>
      <c r="Y425" s="4"/>
      <c r="Z425" s="4"/>
    </row>
    <row r="426">
      <c r="A426" s="77"/>
      <c r="B426" s="17"/>
      <c r="C426" s="17"/>
      <c r="D426" s="17"/>
      <c r="E426" s="17"/>
      <c r="F426" s="17"/>
      <c r="G426" s="78"/>
      <c r="H426" s="78"/>
      <c r="I426" s="17"/>
      <c r="J426" s="17"/>
      <c r="K426" s="17"/>
      <c r="L426" s="4"/>
      <c r="M426" s="4"/>
      <c r="N426" s="4"/>
      <c r="O426" s="4"/>
      <c r="P426" s="4"/>
      <c r="Q426" s="4"/>
      <c r="R426" s="4"/>
      <c r="S426" s="4"/>
      <c r="T426" s="4"/>
      <c r="U426" s="4"/>
      <c r="V426" s="4"/>
      <c r="W426" s="4"/>
      <c r="X426" s="4"/>
      <c r="Y426" s="4"/>
      <c r="Z426" s="4"/>
    </row>
    <row r="427">
      <c r="A427" s="77"/>
      <c r="B427" s="17"/>
      <c r="C427" s="17"/>
      <c r="D427" s="17"/>
      <c r="E427" s="17"/>
      <c r="F427" s="17"/>
      <c r="G427" s="78"/>
      <c r="H427" s="78"/>
      <c r="I427" s="17"/>
      <c r="J427" s="17"/>
      <c r="K427" s="17"/>
      <c r="L427" s="4"/>
      <c r="M427" s="4"/>
      <c r="N427" s="4"/>
      <c r="O427" s="4"/>
      <c r="P427" s="4"/>
      <c r="Q427" s="4"/>
      <c r="R427" s="4"/>
      <c r="S427" s="4"/>
      <c r="T427" s="4"/>
      <c r="U427" s="4"/>
      <c r="V427" s="4"/>
      <c r="W427" s="4"/>
      <c r="X427" s="4"/>
      <c r="Y427" s="4"/>
      <c r="Z427" s="4"/>
    </row>
    <row r="428">
      <c r="A428" s="77"/>
      <c r="B428" s="17"/>
      <c r="C428" s="17"/>
      <c r="D428" s="17"/>
      <c r="E428" s="17"/>
      <c r="F428" s="17"/>
      <c r="G428" s="78"/>
      <c r="H428" s="78"/>
      <c r="I428" s="17"/>
      <c r="J428" s="17"/>
      <c r="K428" s="17"/>
      <c r="L428" s="4"/>
      <c r="M428" s="4"/>
      <c r="N428" s="4"/>
      <c r="O428" s="4"/>
      <c r="P428" s="4"/>
      <c r="Q428" s="4"/>
      <c r="R428" s="4"/>
      <c r="S428" s="4"/>
      <c r="T428" s="4"/>
      <c r="U428" s="4"/>
      <c r="V428" s="4"/>
      <c r="W428" s="4"/>
      <c r="X428" s="4"/>
      <c r="Y428" s="4"/>
      <c r="Z428" s="4"/>
    </row>
    <row r="429">
      <c r="A429" s="77"/>
      <c r="B429" s="17"/>
      <c r="C429" s="17"/>
      <c r="D429" s="17"/>
      <c r="E429" s="17"/>
      <c r="F429" s="17"/>
      <c r="G429" s="78"/>
      <c r="H429" s="78"/>
      <c r="I429" s="17"/>
      <c r="J429" s="17"/>
      <c r="K429" s="17"/>
      <c r="L429" s="4"/>
      <c r="M429" s="4"/>
      <c r="N429" s="4"/>
      <c r="O429" s="4"/>
      <c r="P429" s="4"/>
      <c r="Q429" s="4"/>
      <c r="R429" s="4"/>
      <c r="S429" s="4"/>
      <c r="T429" s="4"/>
      <c r="U429" s="4"/>
      <c r="V429" s="4"/>
      <c r="W429" s="4"/>
      <c r="X429" s="4"/>
      <c r="Y429" s="4"/>
      <c r="Z429" s="4"/>
    </row>
    <row r="430">
      <c r="A430" s="77"/>
      <c r="B430" s="17"/>
      <c r="C430" s="17"/>
      <c r="D430" s="17"/>
      <c r="E430" s="17"/>
      <c r="F430" s="17"/>
      <c r="G430" s="78"/>
      <c r="H430" s="78"/>
      <c r="I430" s="17"/>
      <c r="J430" s="17"/>
      <c r="K430" s="17"/>
      <c r="L430" s="4"/>
      <c r="M430" s="4"/>
      <c r="N430" s="4"/>
      <c r="O430" s="4"/>
      <c r="P430" s="4"/>
      <c r="Q430" s="4"/>
      <c r="R430" s="4"/>
      <c r="S430" s="4"/>
      <c r="T430" s="4"/>
      <c r="U430" s="4"/>
      <c r="V430" s="4"/>
      <c r="W430" s="4"/>
      <c r="X430" s="4"/>
      <c r="Y430" s="4"/>
      <c r="Z430" s="4"/>
    </row>
    <row r="431">
      <c r="A431" s="77"/>
      <c r="B431" s="17"/>
      <c r="C431" s="17"/>
      <c r="D431" s="17"/>
      <c r="E431" s="17"/>
      <c r="F431" s="17"/>
      <c r="G431" s="78"/>
      <c r="H431" s="78"/>
      <c r="I431" s="17"/>
      <c r="J431" s="17"/>
      <c r="K431" s="17"/>
      <c r="L431" s="4"/>
      <c r="M431" s="4"/>
      <c r="N431" s="4"/>
      <c r="O431" s="4"/>
      <c r="P431" s="4"/>
      <c r="Q431" s="4"/>
      <c r="R431" s="4"/>
      <c r="S431" s="4"/>
      <c r="T431" s="4"/>
      <c r="U431" s="4"/>
      <c r="V431" s="4"/>
      <c r="W431" s="4"/>
      <c r="X431" s="4"/>
      <c r="Y431" s="4"/>
      <c r="Z431" s="4"/>
    </row>
    <row r="432">
      <c r="A432" s="77"/>
      <c r="B432" s="17"/>
      <c r="C432" s="17"/>
      <c r="D432" s="17"/>
      <c r="E432" s="17"/>
      <c r="F432" s="17"/>
      <c r="G432" s="78"/>
      <c r="H432" s="78"/>
      <c r="I432" s="17"/>
      <c r="J432" s="17"/>
      <c r="K432" s="17"/>
      <c r="L432" s="4"/>
      <c r="M432" s="4"/>
      <c r="N432" s="4"/>
      <c r="O432" s="4"/>
      <c r="P432" s="4"/>
      <c r="Q432" s="4"/>
      <c r="R432" s="4"/>
      <c r="S432" s="4"/>
      <c r="T432" s="4"/>
      <c r="U432" s="4"/>
      <c r="V432" s="4"/>
      <c r="W432" s="4"/>
      <c r="X432" s="4"/>
      <c r="Y432" s="4"/>
      <c r="Z432" s="4"/>
    </row>
    <row r="433">
      <c r="A433" s="77"/>
      <c r="B433" s="17"/>
      <c r="C433" s="17"/>
      <c r="D433" s="17"/>
      <c r="E433" s="17"/>
      <c r="F433" s="17"/>
      <c r="G433" s="78"/>
      <c r="H433" s="78"/>
      <c r="I433" s="17"/>
      <c r="J433" s="17"/>
      <c r="K433" s="17"/>
      <c r="L433" s="4"/>
      <c r="M433" s="4"/>
      <c r="N433" s="4"/>
      <c r="O433" s="4"/>
      <c r="P433" s="4"/>
      <c r="Q433" s="4"/>
      <c r="R433" s="4"/>
      <c r="S433" s="4"/>
      <c r="T433" s="4"/>
      <c r="U433" s="4"/>
      <c r="V433" s="4"/>
      <c r="W433" s="4"/>
      <c r="X433" s="4"/>
      <c r="Y433" s="4"/>
      <c r="Z433" s="4"/>
    </row>
    <row r="434">
      <c r="A434" s="77"/>
      <c r="B434" s="17"/>
      <c r="C434" s="17"/>
      <c r="D434" s="17"/>
      <c r="E434" s="17"/>
      <c r="F434" s="17"/>
      <c r="G434" s="78"/>
      <c r="H434" s="78"/>
      <c r="I434" s="17"/>
      <c r="J434" s="17"/>
      <c r="K434" s="17"/>
      <c r="L434" s="4"/>
      <c r="M434" s="4"/>
      <c r="N434" s="4"/>
      <c r="O434" s="4"/>
      <c r="P434" s="4"/>
      <c r="Q434" s="4"/>
      <c r="R434" s="4"/>
      <c r="S434" s="4"/>
      <c r="T434" s="4"/>
      <c r="U434" s="4"/>
      <c r="V434" s="4"/>
      <c r="W434" s="4"/>
      <c r="X434" s="4"/>
      <c r="Y434" s="4"/>
      <c r="Z434" s="4"/>
    </row>
    <row r="435">
      <c r="A435" s="77"/>
      <c r="B435" s="17"/>
      <c r="C435" s="17"/>
      <c r="D435" s="17"/>
      <c r="E435" s="17"/>
      <c r="F435" s="17"/>
      <c r="G435" s="78"/>
      <c r="H435" s="78"/>
      <c r="I435" s="17"/>
      <c r="J435" s="17"/>
      <c r="K435" s="17"/>
      <c r="L435" s="4"/>
      <c r="M435" s="4"/>
      <c r="N435" s="4"/>
      <c r="O435" s="4"/>
      <c r="P435" s="4"/>
      <c r="Q435" s="4"/>
      <c r="R435" s="4"/>
      <c r="S435" s="4"/>
      <c r="T435" s="4"/>
      <c r="U435" s="4"/>
      <c r="V435" s="4"/>
      <c r="W435" s="4"/>
      <c r="X435" s="4"/>
      <c r="Y435" s="4"/>
      <c r="Z435" s="4"/>
    </row>
    <row r="436">
      <c r="A436" s="77"/>
      <c r="B436" s="17"/>
      <c r="C436" s="17"/>
      <c r="D436" s="17"/>
      <c r="E436" s="17"/>
      <c r="F436" s="17"/>
      <c r="G436" s="78"/>
      <c r="H436" s="78"/>
      <c r="I436" s="17"/>
      <c r="J436" s="17"/>
      <c r="K436" s="17"/>
      <c r="L436" s="4"/>
      <c r="M436" s="4"/>
      <c r="N436" s="4"/>
      <c r="O436" s="4"/>
      <c r="P436" s="4"/>
      <c r="Q436" s="4"/>
      <c r="R436" s="4"/>
      <c r="S436" s="4"/>
      <c r="T436" s="4"/>
      <c r="U436" s="4"/>
      <c r="V436" s="4"/>
      <c r="W436" s="4"/>
      <c r="X436" s="4"/>
      <c r="Y436" s="4"/>
      <c r="Z436" s="4"/>
    </row>
    <row r="437">
      <c r="A437" s="77"/>
      <c r="B437" s="17"/>
      <c r="C437" s="17"/>
      <c r="D437" s="17"/>
      <c r="E437" s="17"/>
      <c r="F437" s="17"/>
      <c r="G437" s="78"/>
      <c r="H437" s="78"/>
      <c r="I437" s="17"/>
      <c r="J437" s="17"/>
      <c r="K437" s="17"/>
      <c r="L437" s="4"/>
      <c r="M437" s="4"/>
      <c r="N437" s="4"/>
      <c r="O437" s="4"/>
      <c r="P437" s="4"/>
      <c r="Q437" s="4"/>
      <c r="R437" s="4"/>
      <c r="S437" s="4"/>
      <c r="T437" s="4"/>
      <c r="U437" s="4"/>
      <c r="V437" s="4"/>
      <c r="W437" s="4"/>
      <c r="X437" s="4"/>
      <c r="Y437" s="4"/>
      <c r="Z437" s="4"/>
    </row>
    <row r="438">
      <c r="A438" s="77"/>
      <c r="B438" s="17"/>
      <c r="C438" s="17"/>
      <c r="D438" s="17"/>
      <c r="E438" s="17"/>
      <c r="F438" s="17"/>
      <c r="G438" s="78"/>
      <c r="H438" s="78"/>
      <c r="I438" s="17"/>
      <c r="J438" s="17"/>
      <c r="K438" s="17"/>
      <c r="L438" s="4"/>
      <c r="M438" s="4"/>
      <c r="N438" s="4"/>
      <c r="O438" s="4"/>
      <c r="P438" s="4"/>
      <c r="Q438" s="4"/>
      <c r="R438" s="4"/>
      <c r="S438" s="4"/>
      <c r="T438" s="4"/>
      <c r="U438" s="4"/>
      <c r="V438" s="4"/>
      <c r="W438" s="4"/>
      <c r="X438" s="4"/>
      <c r="Y438" s="4"/>
      <c r="Z438" s="4"/>
    </row>
    <row r="439">
      <c r="A439" s="77"/>
      <c r="B439" s="17"/>
      <c r="C439" s="17"/>
      <c r="D439" s="17"/>
      <c r="E439" s="17"/>
      <c r="F439" s="17"/>
      <c r="G439" s="78"/>
      <c r="H439" s="78"/>
      <c r="I439" s="17"/>
      <c r="J439" s="17"/>
      <c r="K439" s="17"/>
      <c r="L439" s="4"/>
      <c r="M439" s="4"/>
      <c r="N439" s="4"/>
      <c r="O439" s="4"/>
      <c r="P439" s="4"/>
      <c r="Q439" s="4"/>
      <c r="R439" s="4"/>
      <c r="S439" s="4"/>
      <c r="T439" s="4"/>
      <c r="U439" s="4"/>
      <c r="V439" s="4"/>
      <c r="W439" s="4"/>
      <c r="X439" s="4"/>
      <c r="Y439" s="4"/>
      <c r="Z439" s="4"/>
    </row>
    <row r="440">
      <c r="A440" s="77"/>
      <c r="B440" s="17"/>
      <c r="C440" s="17"/>
      <c r="D440" s="17"/>
      <c r="E440" s="17"/>
      <c r="F440" s="17"/>
      <c r="G440" s="78"/>
      <c r="H440" s="78"/>
      <c r="I440" s="17"/>
      <c r="J440" s="17"/>
      <c r="K440" s="17"/>
      <c r="L440" s="4"/>
      <c r="M440" s="4"/>
      <c r="N440" s="4"/>
      <c r="O440" s="4"/>
      <c r="P440" s="4"/>
      <c r="Q440" s="4"/>
      <c r="R440" s="4"/>
      <c r="S440" s="4"/>
      <c r="T440" s="4"/>
      <c r="U440" s="4"/>
      <c r="V440" s="4"/>
      <c r="W440" s="4"/>
      <c r="X440" s="4"/>
      <c r="Y440" s="4"/>
      <c r="Z440" s="4"/>
    </row>
    <row r="441">
      <c r="A441" s="77"/>
      <c r="B441" s="17"/>
      <c r="C441" s="17"/>
      <c r="D441" s="17"/>
      <c r="E441" s="17"/>
      <c r="F441" s="17"/>
      <c r="G441" s="78"/>
      <c r="H441" s="78"/>
      <c r="I441" s="17"/>
      <c r="J441" s="17"/>
      <c r="K441" s="17"/>
      <c r="L441" s="4"/>
      <c r="M441" s="4"/>
      <c r="N441" s="4"/>
      <c r="O441" s="4"/>
      <c r="P441" s="4"/>
      <c r="Q441" s="4"/>
      <c r="R441" s="4"/>
      <c r="S441" s="4"/>
      <c r="T441" s="4"/>
      <c r="U441" s="4"/>
      <c r="V441" s="4"/>
      <c r="W441" s="4"/>
      <c r="X441" s="4"/>
      <c r="Y441" s="4"/>
      <c r="Z441" s="4"/>
    </row>
    <row r="442">
      <c r="A442" s="77"/>
      <c r="B442" s="17"/>
      <c r="C442" s="17"/>
      <c r="D442" s="17"/>
      <c r="E442" s="17"/>
      <c r="F442" s="17"/>
      <c r="G442" s="78"/>
      <c r="H442" s="78"/>
      <c r="I442" s="17"/>
      <c r="J442" s="17"/>
      <c r="K442" s="17"/>
      <c r="L442" s="4"/>
      <c r="M442" s="4"/>
      <c r="N442" s="4"/>
      <c r="O442" s="4"/>
      <c r="P442" s="4"/>
      <c r="Q442" s="4"/>
      <c r="R442" s="4"/>
      <c r="S442" s="4"/>
      <c r="T442" s="4"/>
      <c r="U442" s="4"/>
      <c r="V442" s="4"/>
      <c r="W442" s="4"/>
      <c r="X442" s="4"/>
      <c r="Y442" s="4"/>
      <c r="Z442" s="4"/>
    </row>
    <row r="443">
      <c r="A443" s="77"/>
      <c r="B443" s="17"/>
      <c r="C443" s="17"/>
      <c r="D443" s="17"/>
      <c r="E443" s="17"/>
      <c r="F443" s="17"/>
      <c r="G443" s="78"/>
      <c r="H443" s="78"/>
      <c r="I443" s="17"/>
      <c r="J443" s="17"/>
      <c r="K443" s="17"/>
      <c r="L443" s="4"/>
      <c r="M443" s="4"/>
      <c r="N443" s="4"/>
      <c r="O443" s="4"/>
      <c r="P443" s="4"/>
      <c r="Q443" s="4"/>
      <c r="R443" s="4"/>
      <c r="S443" s="4"/>
      <c r="T443" s="4"/>
      <c r="U443" s="4"/>
      <c r="V443" s="4"/>
      <c r="W443" s="4"/>
      <c r="X443" s="4"/>
      <c r="Y443" s="4"/>
      <c r="Z443" s="4"/>
    </row>
    <row r="444">
      <c r="A444" s="77"/>
      <c r="B444" s="17"/>
      <c r="C444" s="17"/>
      <c r="D444" s="17"/>
      <c r="E444" s="17"/>
      <c r="F444" s="17"/>
      <c r="G444" s="78"/>
      <c r="H444" s="78"/>
      <c r="I444" s="17"/>
      <c r="J444" s="17"/>
      <c r="K444" s="17"/>
      <c r="L444" s="4"/>
      <c r="M444" s="4"/>
      <c r="N444" s="4"/>
      <c r="O444" s="4"/>
      <c r="P444" s="4"/>
      <c r="Q444" s="4"/>
      <c r="R444" s="4"/>
      <c r="S444" s="4"/>
      <c r="T444" s="4"/>
      <c r="U444" s="4"/>
      <c r="V444" s="4"/>
      <c r="W444" s="4"/>
      <c r="X444" s="4"/>
      <c r="Y444" s="4"/>
      <c r="Z444" s="4"/>
    </row>
    <row r="445">
      <c r="A445" s="77"/>
      <c r="B445" s="17"/>
      <c r="C445" s="17"/>
      <c r="D445" s="17"/>
      <c r="E445" s="17"/>
      <c r="F445" s="17"/>
      <c r="G445" s="78"/>
      <c r="H445" s="78"/>
      <c r="I445" s="17"/>
      <c r="J445" s="17"/>
      <c r="K445" s="17"/>
      <c r="L445" s="4"/>
      <c r="M445" s="4"/>
      <c r="N445" s="4"/>
      <c r="O445" s="4"/>
      <c r="P445" s="4"/>
      <c r="Q445" s="4"/>
      <c r="R445" s="4"/>
      <c r="S445" s="4"/>
      <c r="T445" s="4"/>
      <c r="U445" s="4"/>
      <c r="V445" s="4"/>
      <c r="W445" s="4"/>
      <c r="X445" s="4"/>
      <c r="Y445" s="4"/>
      <c r="Z445" s="4"/>
    </row>
    <row r="446">
      <c r="A446" s="77"/>
      <c r="B446" s="17"/>
      <c r="C446" s="17"/>
      <c r="D446" s="17"/>
      <c r="E446" s="17"/>
      <c r="F446" s="17"/>
      <c r="G446" s="78"/>
      <c r="H446" s="78"/>
      <c r="I446" s="17"/>
      <c r="J446" s="17"/>
      <c r="K446" s="17"/>
      <c r="L446" s="4"/>
      <c r="M446" s="4"/>
      <c r="N446" s="4"/>
      <c r="O446" s="4"/>
      <c r="P446" s="4"/>
      <c r="Q446" s="4"/>
      <c r="R446" s="4"/>
      <c r="S446" s="4"/>
      <c r="T446" s="4"/>
      <c r="U446" s="4"/>
      <c r="V446" s="4"/>
      <c r="W446" s="4"/>
      <c r="X446" s="4"/>
      <c r="Y446" s="4"/>
      <c r="Z446" s="4"/>
    </row>
    <row r="447">
      <c r="A447" s="77"/>
      <c r="B447" s="17"/>
      <c r="C447" s="17"/>
      <c r="D447" s="17"/>
      <c r="E447" s="17"/>
      <c r="F447" s="17"/>
      <c r="G447" s="78"/>
      <c r="H447" s="78"/>
      <c r="I447" s="17"/>
      <c r="J447" s="17"/>
      <c r="K447" s="17"/>
      <c r="L447" s="4"/>
      <c r="M447" s="4"/>
      <c r="N447" s="4"/>
      <c r="O447" s="4"/>
      <c r="P447" s="4"/>
      <c r="Q447" s="4"/>
      <c r="R447" s="4"/>
      <c r="S447" s="4"/>
      <c r="T447" s="4"/>
      <c r="U447" s="4"/>
      <c r="V447" s="4"/>
      <c r="W447" s="4"/>
      <c r="X447" s="4"/>
      <c r="Y447" s="4"/>
      <c r="Z447" s="4"/>
    </row>
    <row r="448">
      <c r="A448" s="77"/>
      <c r="B448" s="17"/>
      <c r="C448" s="17"/>
      <c r="D448" s="17"/>
      <c r="E448" s="17"/>
      <c r="F448" s="17"/>
      <c r="G448" s="78"/>
      <c r="H448" s="78"/>
      <c r="I448" s="17"/>
      <c r="J448" s="17"/>
      <c r="K448" s="17"/>
      <c r="L448" s="4"/>
      <c r="M448" s="4"/>
      <c r="N448" s="4"/>
      <c r="O448" s="4"/>
      <c r="P448" s="4"/>
      <c r="Q448" s="4"/>
      <c r="R448" s="4"/>
      <c r="S448" s="4"/>
      <c r="T448" s="4"/>
      <c r="U448" s="4"/>
      <c r="V448" s="4"/>
      <c r="W448" s="4"/>
      <c r="X448" s="4"/>
      <c r="Y448" s="4"/>
      <c r="Z448" s="4"/>
    </row>
    <row r="449">
      <c r="A449" s="77"/>
      <c r="B449" s="17"/>
      <c r="C449" s="17"/>
      <c r="D449" s="17"/>
      <c r="E449" s="17"/>
      <c r="F449" s="17"/>
      <c r="G449" s="78"/>
      <c r="H449" s="78"/>
      <c r="I449" s="17"/>
      <c r="J449" s="17"/>
      <c r="K449" s="17"/>
      <c r="L449" s="4"/>
      <c r="M449" s="4"/>
      <c r="N449" s="4"/>
      <c r="O449" s="4"/>
      <c r="P449" s="4"/>
      <c r="Q449" s="4"/>
      <c r="R449" s="4"/>
      <c r="S449" s="4"/>
      <c r="T449" s="4"/>
      <c r="U449" s="4"/>
      <c r="V449" s="4"/>
      <c r="W449" s="4"/>
      <c r="X449" s="4"/>
      <c r="Y449" s="4"/>
      <c r="Z449" s="4"/>
    </row>
    <row r="450">
      <c r="A450" s="77"/>
      <c r="B450" s="17"/>
      <c r="C450" s="17"/>
      <c r="D450" s="17"/>
      <c r="E450" s="17"/>
      <c r="F450" s="17"/>
      <c r="G450" s="78"/>
      <c r="H450" s="78"/>
      <c r="I450" s="17"/>
      <c r="J450" s="17"/>
      <c r="K450" s="17"/>
      <c r="L450" s="4"/>
      <c r="M450" s="4"/>
      <c r="N450" s="4"/>
      <c r="O450" s="4"/>
      <c r="P450" s="4"/>
      <c r="Q450" s="4"/>
      <c r="R450" s="4"/>
      <c r="S450" s="4"/>
      <c r="T450" s="4"/>
      <c r="U450" s="4"/>
      <c r="V450" s="4"/>
      <c r="W450" s="4"/>
      <c r="X450" s="4"/>
      <c r="Y450" s="4"/>
      <c r="Z450" s="4"/>
    </row>
    <row r="451">
      <c r="A451" s="77"/>
      <c r="B451" s="17"/>
      <c r="C451" s="17"/>
      <c r="D451" s="17"/>
      <c r="E451" s="17"/>
      <c r="F451" s="17"/>
      <c r="G451" s="78"/>
      <c r="H451" s="78"/>
      <c r="I451" s="17"/>
      <c r="J451" s="17"/>
      <c r="K451" s="17"/>
      <c r="L451" s="4"/>
      <c r="M451" s="4"/>
      <c r="N451" s="4"/>
      <c r="O451" s="4"/>
      <c r="P451" s="4"/>
      <c r="Q451" s="4"/>
      <c r="R451" s="4"/>
      <c r="S451" s="4"/>
      <c r="T451" s="4"/>
      <c r="U451" s="4"/>
      <c r="V451" s="4"/>
      <c r="W451" s="4"/>
      <c r="X451" s="4"/>
      <c r="Y451" s="4"/>
      <c r="Z451" s="4"/>
    </row>
    <row r="452">
      <c r="A452" s="77"/>
      <c r="B452" s="17"/>
      <c r="C452" s="17"/>
      <c r="D452" s="17"/>
      <c r="E452" s="17"/>
      <c r="F452" s="17"/>
      <c r="G452" s="78"/>
      <c r="H452" s="78"/>
      <c r="I452" s="17"/>
      <c r="J452" s="17"/>
      <c r="K452" s="17"/>
      <c r="L452" s="4"/>
      <c r="M452" s="4"/>
      <c r="N452" s="4"/>
      <c r="O452" s="4"/>
      <c r="P452" s="4"/>
      <c r="Q452" s="4"/>
      <c r="R452" s="4"/>
      <c r="S452" s="4"/>
      <c r="T452" s="4"/>
      <c r="U452" s="4"/>
      <c r="V452" s="4"/>
      <c r="W452" s="4"/>
      <c r="X452" s="4"/>
      <c r="Y452" s="4"/>
      <c r="Z452" s="4"/>
    </row>
    <row r="453">
      <c r="A453" s="77"/>
      <c r="B453" s="17"/>
      <c r="C453" s="17"/>
      <c r="D453" s="17"/>
      <c r="E453" s="17"/>
      <c r="F453" s="17"/>
      <c r="G453" s="78"/>
      <c r="H453" s="78"/>
      <c r="I453" s="17"/>
      <c r="J453" s="17"/>
      <c r="K453" s="17"/>
      <c r="L453" s="4"/>
      <c r="M453" s="4"/>
      <c r="N453" s="4"/>
      <c r="O453" s="4"/>
      <c r="P453" s="4"/>
      <c r="Q453" s="4"/>
      <c r="R453" s="4"/>
      <c r="S453" s="4"/>
      <c r="T453" s="4"/>
      <c r="U453" s="4"/>
      <c r="V453" s="4"/>
      <c r="W453" s="4"/>
      <c r="X453" s="4"/>
      <c r="Y453" s="4"/>
      <c r="Z453" s="4"/>
    </row>
    <row r="454">
      <c r="A454" s="77"/>
      <c r="B454" s="17"/>
      <c r="C454" s="17"/>
      <c r="D454" s="17"/>
      <c r="E454" s="17"/>
      <c r="F454" s="17"/>
      <c r="G454" s="78"/>
      <c r="H454" s="78"/>
      <c r="I454" s="17"/>
      <c r="J454" s="17"/>
      <c r="K454" s="17"/>
      <c r="L454" s="4"/>
      <c r="M454" s="4"/>
      <c r="N454" s="4"/>
      <c r="O454" s="4"/>
      <c r="P454" s="4"/>
      <c r="Q454" s="4"/>
      <c r="R454" s="4"/>
      <c r="S454" s="4"/>
      <c r="T454" s="4"/>
      <c r="U454" s="4"/>
      <c r="V454" s="4"/>
      <c r="W454" s="4"/>
      <c r="X454" s="4"/>
      <c r="Y454" s="4"/>
      <c r="Z454" s="4"/>
    </row>
    <row r="455">
      <c r="A455" s="77"/>
      <c r="B455" s="17"/>
      <c r="C455" s="17"/>
      <c r="D455" s="17"/>
      <c r="E455" s="17"/>
      <c r="F455" s="17"/>
      <c r="G455" s="78"/>
      <c r="H455" s="78"/>
      <c r="I455" s="17"/>
      <c r="J455" s="17"/>
      <c r="K455" s="17"/>
      <c r="L455" s="4"/>
      <c r="M455" s="4"/>
      <c r="N455" s="4"/>
      <c r="O455" s="4"/>
      <c r="P455" s="4"/>
      <c r="Q455" s="4"/>
      <c r="R455" s="4"/>
      <c r="S455" s="4"/>
      <c r="T455" s="4"/>
      <c r="U455" s="4"/>
      <c r="V455" s="4"/>
      <c r="W455" s="4"/>
      <c r="X455" s="4"/>
      <c r="Y455" s="4"/>
      <c r="Z455" s="4"/>
    </row>
    <row r="456">
      <c r="A456" s="77"/>
      <c r="B456" s="17"/>
      <c r="C456" s="17"/>
      <c r="D456" s="17"/>
      <c r="E456" s="17"/>
      <c r="F456" s="17"/>
      <c r="G456" s="78"/>
      <c r="H456" s="78"/>
      <c r="I456" s="17"/>
      <c r="J456" s="17"/>
      <c r="K456" s="17"/>
      <c r="L456" s="4"/>
      <c r="M456" s="4"/>
      <c r="N456" s="4"/>
      <c r="O456" s="4"/>
      <c r="P456" s="4"/>
      <c r="Q456" s="4"/>
      <c r="R456" s="4"/>
      <c r="S456" s="4"/>
      <c r="T456" s="4"/>
      <c r="U456" s="4"/>
      <c r="V456" s="4"/>
      <c r="W456" s="4"/>
      <c r="X456" s="4"/>
      <c r="Y456" s="4"/>
      <c r="Z456" s="4"/>
    </row>
    <row r="457">
      <c r="A457" s="77"/>
      <c r="B457" s="17"/>
      <c r="C457" s="17"/>
      <c r="D457" s="17"/>
      <c r="E457" s="17"/>
      <c r="F457" s="17"/>
      <c r="G457" s="78"/>
      <c r="H457" s="78"/>
      <c r="I457" s="17"/>
      <c r="J457" s="17"/>
      <c r="K457" s="17"/>
      <c r="L457" s="4"/>
      <c r="M457" s="4"/>
      <c r="N457" s="4"/>
      <c r="O457" s="4"/>
      <c r="P457" s="4"/>
      <c r="Q457" s="4"/>
      <c r="R457" s="4"/>
      <c r="S457" s="4"/>
      <c r="T457" s="4"/>
      <c r="U457" s="4"/>
      <c r="V457" s="4"/>
      <c r="W457" s="4"/>
      <c r="X457" s="4"/>
      <c r="Y457" s="4"/>
      <c r="Z457" s="4"/>
    </row>
    <row r="458">
      <c r="A458" s="77"/>
      <c r="B458" s="17"/>
      <c r="C458" s="17"/>
      <c r="D458" s="17"/>
      <c r="E458" s="17"/>
      <c r="F458" s="17"/>
      <c r="G458" s="78"/>
      <c r="H458" s="78"/>
      <c r="I458" s="17"/>
      <c r="J458" s="17"/>
      <c r="K458" s="17"/>
      <c r="L458" s="4"/>
      <c r="M458" s="4"/>
      <c r="N458" s="4"/>
      <c r="O458" s="4"/>
      <c r="P458" s="4"/>
      <c r="Q458" s="4"/>
      <c r="R458" s="4"/>
      <c r="S458" s="4"/>
      <c r="T458" s="4"/>
      <c r="U458" s="4"/>
      <c r="V458" s="4"/>
      <c r="W458" s="4"/>
      <c r="X458" s="4"/>
      <c r="Y458" s="4"/>
      <c r="Z458" s="4"/>
    </row>
    <row r="459">
      <c r="A459" s="77"/>
      <c r="B459" s="17"/>
      <c r="C459" s="17"/>
      <c r="D459" s="17"/>
      <c r="E459" s="17"/>
      <c r="F459" s="17"/>
      <c r="G459" s="78"/>
      <c r="H459" s="78"/>
      <c r="I459" s="17"/>
      <c r="J459" s="17"/>
      <c r="K459" s="17"/>
      <c r="L459" s="4"/>
      <c r="M459" s="4"/>
      <c r="N459" s="4"/>
      <c r="O459" s="4"/>
      <c r="P459" s="4"/>
      <c r="Q459" s="4"/>
      <c r="R459" s="4"/>
      <c r="S459" s="4"/>
      <c r="T459" s="4"/>
      <c r="U459" s="4"/>
      <c r="V459" s="4"/>
      <c r="W459" s="4"/>
      <c r="X459" s="4"/>
      <c r="Y459" s="4"/>
      <c r="Z459" s="4"/>
    </row>
    <row r="460">
      <c r="A460" s="77"/>
      <c r="B460" s="17"/>
      <c r="C460" s="17"/>
      <c r="D460" s="17"/>
      <c r="E460" s="17"/>
      <c r="F460" s="17"/>
      <c r="G460" s="78"/>
      <c r="H460" s="78"/>
      <c r="I460" s="17"/>
      <c r="J460" s="17"/>
      <c r="K460" s="17"/>
      <c r="L460" s="4"/>
      <c r="M460" s="4"/>
      <c r="N460" s="4"/>
      <c r="O460" s="4"/>
      <c r="P460" s="4"/>
      <c r="Q460" s="4"/>
      <c r="R460" s="4"/>
      <c r="S460" s="4"/>
      <c r="T460" s="4"/>
      <c r="U460" s="4"/>
      <c r="V460" s="4"/>
      <c r="W460" s="4"/>
      <c r="X460" s="4"/>
      <c r="Y460" s="4"/>
      <c r="Z460" s="4"/>
    </row>
    <row r="461">
      <c r="A461" s="77"/>
      <c r="B461" s="17"/>
      <c r="C461" s="17"/>
      <c r="D461" s="17"/>
      <c r="E461" s="17"/>
      <c r="F461" s="17"/>
      <c r="G461" s="78"/>
      <c r="H461" s="78"/>
      <c r="I461" s="17"/>
      <c r="J461" s="17"/>
      <c r="K461" s="17"/>
      <c r="L461" s="4"/>
      <c r="M461" s="4"/>
      <c r="N461" s="4"/>
      <c r="O461" s="4"/>
      <c r="P461" s="4"/>
      <c r="Q461" s="4"/>
      <c r="R461" s="4"/>
      <c r="S461" s="4"/>
      <c r="T461" s="4"/>
      <c r="U461" s="4"/>
      <c r="V461" s="4"/>
      <c r="W461" s="4"/>
      <c r="X461" s="4"/>
      <c r="Y461" s="4"/>
      <c r="Z461" s="4"/>
    </row>
    <row r="462">
      <c r="A462" s="77"/>
      <c r="B462" s="17"/>
      <c r="C462" s="17"/>
      <c r="D462" s="17"/>
      <c r="E462" s="17"/>
      <c r="F462" s="17"/>
      <c r="G462" s="78"/>
      <c r="H462" s="78"/>
      <c r="I462" s="17"/>
      <c r="J462" s="17"/>
      <c r="K462" s="17"/>
      <c r="L462" s="4"/>
      <c r="M462" s="4"/>
      <c r="N462" s="4"/>
      <c r="O462" s="4"/>
      <c r="P462" s="4"/>
      <c r="Q462" s="4"/>
      <c r="R462" s="4"/>
      <c r="S462" s="4"/>
      <c r="T462" s="4"/>
      <c r="U462" s="4"/>
      <c r="V462" s="4"/>
      <c r="W462" s="4"/>
      <c r="X462" s="4"/>
      <c r="Y462" s="4"/>
      <c r="Z462" s="4"/>
    </row>
    <row r="463">
      <c r="A463" s="77"/>
      <c r="B463" s="17"/>
      <c r="C463" s="17"/>
      <c r="D463" s="17"/>
      <c r="E463" s="17"/>
      <c r="F463" s="17"/>
      <c r="G463" s="78"/>
      <c r="H463" s="78"/>
      <c r="I463" s="17"/>
      <c r="J463" s="17"/>
      <c r="K463" s="17"/>
      <c r="L463" s="4"/>
      <c r="M463" s="4"/>
      <c r="N463" s="4"/>
      <c r="O463" s="4"/>
      <c r="P463" s="4"/>
      <c r="Q463" s="4"/>
      <c r="R463" s="4"/>
      <c r="S463" s="4"/>
      <c r="T463" s="4"/>
      <c r="U463" s="4"/>
      <c r="V463" s="4"/>
      <c r="W463" s="4"/>
      <c r="X463" s="4"/>
      <c r="Y463" s="4"/>
      <c r="Z463" s="4"/>
    </row>
    <row r="464">
      <c r="A464" s="77"/>
      <c r="B464" s="17"/>
      <c r="C464" s="17"/>
      <c r="D464" s="17"/>
      <c r="E464" s="17"/>
      <c r="F464" s="17"/>
      <c r="G464" s="78"/>
      <c r="H464" s="78"/>
      <c r="I464" s="17"/>
      <c r="J464" s="17"/>
      <c r="K464" s="17"/>
      <c r="L464" s="4"/>
      <c r="M464" s="4"/>
      <c r="N464" s="4"/>
      <c r="O464" s="4"/>
      <c r="P464" s="4"/>
      <c r="Q464" s="4"/>
      <c r="R464" s="4"/>
      <c r="S464" s="4"/>
      <c r="T464" s="4"/>
      <c r="U464" s="4"/>
      <c r="V464" s="4"/>
      <c r="W464" s="4"/>
      <c r="X464" s="4"/>
      <c r="Y464" s="4"/>
      <c r="Z464" s="4"/>
    </row>
    <row r="465">
      <c r="A465" s="77"/>
      <c r="B465" s="17"/>
      <c r="C465" s="17"/>
      <c r="D465" s="17"/>
      <c r="E465" s="17"/>
      <c r="F465" s="17"/>
      <c r="G465" s="78"/>
      <c r="H465" s="78"/>
      <c r="I465" s="17"/>
      <c r="J465" s="17"/>
      <c r="K465" s="17"/>
      <c r="L465" s="4"/>
      <c r="M465" s="4"/>
      <c r="N465" s="4"/>
      <c r="O465" s="4"/>
      <c r="P465" s="4"/>
      <c r="Q465" s="4"/>
      <c r="R465" s="4"/>
      <c r="S465" s="4"/>
      <c r="T465" s="4"/>
      <c r="U465" s="4"/>
      <c r="V465" s="4"/>
      <c r="W465" s="4"/>
      <c r="X465" s="4"/>
      <c r="Y465" s="4"/>
      <c r="Z465" s="4"/>
    </row>
    <row r="466">
      <c r="A466" s="77"/>
      <c r="B466" s="17"/>
      <c r="C466" s="17"/>
      <c r="D466" s="17"/>
      <c r="E466" s="17"/>
      <c r="F466" s="17"/>
      <c r="G466" s="78"/>
      <c r="H466" s="78"/>
      <c r="I466" s="17"/>
      <c r="J466" s="17"/>
      <c r="K466" s="17"/>
      <c r="L466" s="4"/>
      <c r="M466" s="4"/>
      <c r="N466" s="4"/>
      <c r="O466" s="4"/>
      <c r="P466" s="4"/>
      <c r="Q466" s="4"/>
      <c r="R466" s="4"/>
      <c r="S466" s="4"/>
      <c r="T466" s="4"/>
      <c r="U466" s="4"/>
      <c r="V466" s="4"/>
      <c r="W466" s="4"/>
      <c r="X466" s="4"/>
      <c r="Y466" s="4"/>
      <c r="Z466" s="4"/>
    </row>
    <row r="467">
      <c r="A467" s="77"/>
      <c r="B467" s="17"/>
      <c r="C467" s="17"/>
      <c r="D467" s="17"/>
      <c r="E467" s="17"/>
      <c r="F467" s="17"/>
      <c r="G467" s="78"/>
      <c r="H467" s="78"/>
      <c r="I467" s="17"/>
      <c r="J467" s="17"/>
      <c r="K467" s="17"/>
      <c r="L467" s="4"/>
      <c r="M467" s="4"/>
      <c r="N467" s="4"/>
      <c r="O467" s="4"/>
      <c r="P467" s="4"/>
      <c r="Q467" s="4"/>
      <c r="R467" s="4"/>
      <c r="S467" s="4"/>
      <c r="T467" s="4"/>
      <c r="U467" s="4"/>
      <c r="V467" s="4"/>
      <c r="W467" s="4"/>
      <c r="X467" s="4"/>
      <c r="Y467" s="4"/>
      <c r="Z467" s="4"/>
    </row>
    <row r="468">
      <c r="A468" s="77"/>
      <c r="B468" s="17"/>
      <c r="C468" s="17"/>
      <c r="D468" s="17"/>
      <c r="E468" s="17"/>
      <c r="F468" s="17"/>
      <c r="G468" s="78"/>
      <c r="H468" s="78"/>
      <c r="I468" s="17"/>
      <c r="J468" s="17"/>
      <c r="K468" s="17"/>
      <c r="L468" s="4"/>
      <c r="M468" s="4"/>
      <c r="N468" s="4"/>
      <c r="O468" s="4"/>
      <c r="P468" s="4"/>
      <c r="Q468" s="4"/>
      <c r="R468" s="4"/>
      <c r="S468" s="4"/>
      <c r="T468" s="4"/>
      <c r="U468" s="4"/>
      <c r="V468" s="4"/>
      <c r="W468" s="4"/>
      <c r="X468" s="4"/>
      <c r="Y468" s="4"/>
      <c r="Z468" s="4"/>
    </row>
    <row r="469">
      <c r="A469" s="77"/>
      <c r="B469" s="17"/>
      <c r="C469" s="17"/>
      <c r="D469" s="17"/>
      <c r="E469" s="17"/>
      <c r="F469" s="17"/>
      <c r="G469" s="78"/>
      <c r="H469" s="78"/>
      <c r="I469" s="17"/>
      <c r="J469" s="17"/>
      <c r="K469" s="17"/>
      <c r="L469" s="4"/>
      <c r="M469" s="4"/>
      <c r="N469" s="4"/>
      <c r="O469" s="4"/>
      <c r="P469" s="4"/>
      <c r="Q469" s="4"/>
      <c r="R469" s="4"/>
      <c r="S469" s="4"/>
      <c r="T469" s="4"/>
      <c r="U469" s="4"/>
      <c r="V469" s="4"/>
      <c r="W469" s="4"/>
      <c r="X469" s="4"/>
      <c r="Y469" s="4"/>
      <c r="Z469" s="4"/>
    </row>
    <row r="470">
      <c r="A470" s="77"/>
      <c r="B470" s="17"/>
      <c r="C470" s="17"/>
      <c r="D470" s="17"/>
      <c r="E470" s="17"/>
      <c r="F470" s="17"/>
      <c r="G470" s="78"/>
      <c r="H470" s="78"/>
      <c r="I470" s="17"/>
      <c r="J470" s="17"/>
      <c r="K470" s="17"/>
      <c r="L470" s="4"/>
      <c r="M470" s="4"/>
      <c r="N470" s="4"/>
      <c r="O470" s="4"/>
      <c r="P470" s="4"/>
      <c r="Q470" s="4"/>
      <c r="R470" s="4"/>
      <c r="S470" s="4"/>
      <c r="T470" s="4"/>
      <c r="U470" s="4"/>
      <c r="V470" s="4"/>
      <c r="W470" s="4"/>
      <c r="X470" s="4"/>
      <c r="Y470" s="4"/>
      <c r="Z470" s="4"/>
    </row>
    <row r="471">
      <c r="A471" s="77"/>
      <c r="B471" s="17"/>
      <c r="C471" s="17"/>
      <c r="D471" s="17"/>
      <c r="E471" s="17"/>
      <c r="F471" s="17"/>
      <c r="G471" s="78"/>
      <c r="H471" s="78"/>
      <c r="I471" s="17"/>
      <c r="J471" s="17"/>
      <c r="K471" s="17"/>
      <c r="L471" s="4"/>
      <c r="M471" s="4"/>
      <c r="N471" s="4"/>
      <c r="O471" s="4"/>
      <c r="P471" s="4"/>
      <c r="Q471" s="4"/>
      <c r="R471" s="4"/>
      <c r="S471" s="4"/>
      <c r="T471" s="4"/>
      <c r="U471" s="4"/>
      <c r="V471" s="4"/>
      <c r="W471" s="4"/>
      <c r="X471" s="4"/>
      <c r="Y471" s="4"/>
      <c r="Z471" s="4"/>
    </row>
    <row r="472">
      <c r="A472" s="77"/>
      <c r="B472" s="17"/>
      <c r="C472" s="17"/>
      <c r="D472" s="17"/>
      <c r="E472" s="17"/>
      <c r="F472" s="17"/>
      <c r="G472" s="78"/>
      <c r="H472" s="78"/>
      <c r="I472" s="17"/>
      <c r="J472" s="17"/>
      <c r="K472" s="17"/>
      <c r="L472" s="4"/>
      <c r="M472" s="4"/>
      <c r="N472" s="4"/>
      <c r="O472" s="4"/>
      <c r="P472" s="4"/>
      <c r="Q472" s="4"/>
      <c r="R472" s="4"/>
      <c r="S472" s="4"/>
      <c r="T472" s="4"/>
      <c r="U472" s="4"/>
      <c r="V472" s="4"/>
      <c r="W472" s="4"/>
      <c r="X472" s="4"/>
      <c r="Y472" s="4"/>
      <c r="Z472" s="4"/>
    </row>
    <row r="473">
      <c r="A473" s="77"/>
      <c r="B473" s="17"/>
      <c r="C473" s="17"/>
      <c r="D473" s="17"/>
      <c r="E473" s="17"/>
      <c r="F473" s="17"/>
      <c r="G473" s="78"/>
      <c r="H473" s="78"/>
      <c r="I473" s="17"/>
      <c r="J473" s="17"/>
      <c r="K473" s="17"/>
      <c r="L473" s="4"/>
      <c r="M473" s="4"/>
      <c r="N473" s="4"/>
      <c r="O473" s="4"/>
      <c r="P473" s="4"/>
      <c r="Q473" s="4"/>
      <c r="R473" s="4"/>
      <c r="S473" s="4"/>
      <c r="T473" s="4"/>
      <c r="U473" s="4"/>
      <c r="V473" s="4"/>
      <c r="W473" s="4"/>
      <c r="X473" s="4"/>
      <c r="Y473" s="4"/>
      <c r="Z473" s="4"/>
    </row>
    <row r="474">
      <c r="A474" s="77"/>
      <c r="B474" s="17"/>
      <c r="C474" s="17"/>
      <c r="D474" s="17"/>
      <c r="E474" s="17"/>
      <c r="F474" s="17"/>
      <c r="G474" s="78"/>
      <c r="H474" s="78"/>
      <c r="I474" s="17"/>
      <c r="J474" s="17"/>
      <c r="K474" s="17"/>
      <c r="L474" s="4"/>
      <c r="M474" s="4"/>
      <c r="N474" s="4"/>
      <c r="O474" s="4"/>
      <c r="P474" s="4"/>
      <c r="Q474" s="4"/>
      <c r="R474" s="4"/>
      <c r="S474" s="4"/>
      <c r="T474" s="4"/>
      <c r="U474" s="4"/>
      <c r="V474" s="4"/>
      <c r="W474" s="4"/>
      <c r="X474" s="4"/>
      <c r="Y474" s="4"/>
      <c r="Z474" s="4"/>
    </row>
    <row r="475">
      <c r="A475" s="77"/>
      <c r="B475" s="17"/>
      <c r="C475" s="17"/>
      <c r="D475" s="17"/>
      <c r="E475" s="17"/>
      <c r="F475" s="17"/>
      <c r="G475" s="78"/>
      <c r="H475" s="78"/>
      <c r="I475" s="17"/>
      <c r="J475" s="17"/>
      <c r="K475" s="17"/>
      <c r="L475" s="4"/>
      <c r="M475" s="4"/>
      <c r="N475" s="4"/>
      <c r="O475" s="4"/>
      <c r="P475" s="4"/>
      <c r="Q475" s="4"/>
      <c r="R475" s="4"/>
      <c r="S475" s="4"/>
      <c r="T475" s="4"/>
      <c r="U475" s="4"/>
      <c r="V475" s="4"/>
      <c r="W475" s="4"/>
      <c r="X475" s="4"/>
      <c r="Y475" s="4"/>
      <c r="Z475" s="4"/>
    </row>
    <row r="476">
      <c r="A476" s="77"/>
      <c r="B476" s="17"/>
      <c r="C476" s="17"/>
      <c r="D476" s="17"/>
      <c r="E476" s="17"/>
      <c r="F476" s="17"/>
      <c r="G476" s="78"/>
      <c r="H476" s="78"/>
      <c r="I476" s="17"/>
      <c r="J476" s="17"/>
      <c r="K476" s="17"/>
      <c r="L476" s="4"/>
      <c r="M476" s="4"/>
      <c r="N476" s="4"/>
      <c r="O476" s="4"/>
      <c r="P476" s="4"/>
      <c r="Q476" s="4"/>
      <c r="R476" s="4"/>
      <c r="S476" s="4"/>
      <c r="T476" s="4"/>
      <c r="U476" s="4"/>
      <c r="V476" s="4"/>
      <c r="W476" s="4"/>
      <c r="X476" s="4"/>
      <c r="Y476" s="4"/>
      <c r="Z476" s="4"/>
    </row>
    <row r="477">
      <c r="A477" s="77"/>
      <c r="B477" s="17"/>
      <c r="C477" s="17"/>
      <c r="D477" s="17"/>
      <c r="E477" s="17"/>
      <c r="F477" s="17"/>
      <c r="G477" s="78"/>
      <c r="H477" s="78"/>
      <c r="I477" s="17"/>
      <c r="J477" s="17"/>
      <c r="K477" s="17"/>
      <c r="L477" s="4"/>
      <c r="M477" s="4"/>
      <c r="N477" s="4"/>
      <c r="O477" s="4"/>
      <c r="P477" s="4"/>
      <c r="Q477" s="4"/>
      <c r="R477" s="4"/>
      <c r="S477" s="4"/>
      <c r="T477" s="4"/>
      <c r="U477" s="4"/>
      <c r="V477" s="4"/>
      <c r="W477" s="4"/>
      <c r="X477" s="4"/>
      <c r="Y477" s="4"/>
      <c r="Z477" s="4"/>
    </row>
    <row r="478">
      <c r="A478" s="77"/>
      <c r="B478" s="17"/>
      <c r="C478" s="17"/>
      <c r="D478" s="17"/>
      <c r="E478" s="17"/>
      <c r="F478" s="17"/>
      <c r="G478" s="78"/>
      <c r="H478" s="78"/>
      <c r="I478" s="17"/>
      <c r="J478" s="17"/>
      <c r="K478" s="17"/>
      <c r="L478" s="4"/>
      <c r="M478" s="4"/>
      <c r="N478" s="4"/>
      <c r="O478" s="4"/>
      <c r="P478" s="4"/>
      <c r="Q478" s="4"/>
      <c r="R478" s="4"/>
      <c r="S478" s="4"/>
      <c r="T478" s="4"/>
      <c r="U478" s="4"/>
      <c r="V478" s="4"/>
      <c r="W478" s="4"/>
      <c r="X478" s="4"/>
      <c r="Y478" s="4"/>
      <c r="Z478" s="4"/>
    </row>
    <row r="479">
      <c r="A479" s="77"/>
      <c r="B479" s="17"/>
      <c r="C479" s="17"/>
      <c r="D479" s="17"/>
      <c r="E479" s="17"/>
      <c r="F479" s="17"/>
      <c r="G479" s="78"/>
      <c r="H479" s="78"/>
      <c r="I479" s="17"/>
      <c r="J479" s="17"/>
      <c r="K479" s="17"/>
      <c r="L479" s="4"/>
      <c r="M479" s="4"/>
      <c r="N479" s="4"/>
      <c r="O479" s="4"/>
      <c r="P479" s="4"/>
      <c r="Q479" s="4"/>
      <c r="R479" s="4"/>
      <c r="S479" s="4"/>
      <c r="T479" s="4"/>
      <c r="U479" s="4"/>
      <c r="V479" s="4"/>
      <c r="W479" s="4"/>
      <c r="X479" s="4"/>
      <c r="Y479" s="4"/>
      <c r="Z479" s="4"/>
    </row>
    <row r="480">
      <c r="A480" s="77"/>
      <c r="B480" s="17"/>
      <c r="C480" s="17"/>
      <c r="D480" s="17"/>
      <c r="E480" s="17"/>
      <c r="F480" s="17"/>
      <c r="G480" s="78"/>
      <c r="H480" s="78"/>
      <c r="I480" s="17"/>
      <c r="J480" s="17"/>
      <c r="K480" s="17"/>
      <c r="L480" s="4"/>
      <c r="M480" s="4"/>
      <c r="N480" s="4"/>
      <c r="O480" s="4"/>
      <c r="P480" s="4"/>
      <c r="Q480" s="4"/>
      <c r="R480" s="4"/>
      <c r="S480" s="4"/>
      <c r="T480" s="4"/>
      <c r="U480" s="4"/>
      <c r="V480" s="4"/>
      <c r="W480" s="4"/>
      <c r="X480" s="4"/>
      <c r="Y480" s="4"/>
      <c r="Z480" s="4"/>
    </row>
    <row r="481">
      <c r="A481" s="77"/>
      <c r="B481" s="17"/>
      <c r="C481" s="17"/>
      <c r="D481" s="17"/>
      <c r="E481" s="17"/>
      <c r="F481" s="17"/>
      <c r="G481" s="78"/>
      <c r="H481" s="78"/>
      <c r="I481" s="17"/>
      <c r="J481" s="17"/>
      <c r="K481" s="17"/>
      <c r="L481" s="4"/>
      <c r="M481" s="4"/>
      <c r="N481" s="4"/>
      <c r="O481" s="4"/>
      <c r="P481" s="4"/>
      <c r="Q481" s="4"/>
      <c r="R481" s="4"/>
      <c r="S481" s="4"/>
      <c r="T481" s="4"/>
      <c r="U481" s="4"/>
      <c r="V481" s="4"/>
      <c r="W481" s="4"/>
      <c r="X481" s="4"/>
      <c r="Y481" s="4"/>
      <c r="Z481" s="4"/>
    </row>
    <row r="482">
      <c r="A482" s="77"/>
      <c r="B482" s="17"/>
      <c r="C482" s="17"/>
      <c r="D482" s="17"/>
      <c r="E482" s="17"/>
      <c r="F482" s="17"/>
      <c r="G482" s="78"/>
      <c r="H482" s="78"/>
      <c r="I482" s="17"/>
      <c r="J482" s="17"/>
      <c r="K482" s="17"/>
      <c r="L482" s="4"/>
      <c r="M482" s="4"/>
      <c r="N482" s="4"/>
      <c r="O482" s="4"/>
      <c r="P482" s="4"/>
      <c r="Q482" s="4"/>
      <c r="R482" s="4"/>
      <c r="S482" s="4"/>
      <c r="T482" s="4"/>
      <c r="U482" s="4"/>
      <c r="V482" s="4"/>
      <c r="W482" s="4"/>
      <c r="X482" s="4"/>
      <c r="Y482" s="4"/>
      <c r="Z482" s="4"/>
    </row>
    <row r="483">
      <c r="A483" s="77"/>
      <c r="B483" s="17"/>
      <c r="C483" s="17"/>
      <c r="D483" s="17"/>
      <c r="E483" s="17"/>
      <c r="F483" s="17"/>
      <c r="G483" s="78"/>
      <c r="H483" s="78"/>
      <c r="I483" s="17"/>
      <c r="J483" s="17"/>
      <c r="K483" s="17"/>
      <c r="L483" s="4"/>
      <c r="M483" s="4"/>
      <c r="N483" s="4"/>
      <c r="O483" s="4"/>
      <c r="P483" s="4"/>
      <c r="Q483" s="4"/>
      <c r="R483" s="4"/>
      <c r="S483" s="4"/>
      <c r="T483" s="4"/>
      <c r="U483" s="4"/>
      <c r="V483" s="4"/>
      <c r="W483" s="4"/>
      <c r="X483" s="4"/>
      <c r="Y483" s="4"/>
      <c r="Z483" s="4"/>
    </row>
    <row r="484">
      <c r="A484" s="77"/>
      <c r="B484" s="17"/>
      <c r="C484" s="17"/>
      <c r="D484" s="17"/>
      <c r="E484" s="17"/>
      <c r="F484" s="17"/>
      <c r="G484" s="78"/>
      <c r="H484" s="78"/>
      <c r="I484" s="17"/>
      <c r="J484" s="17"/>
      <c r="K484" s="17"/>
      <c r="L484" s="4"/>
      <c r="M484" s="4"/>
      <c r="N484" s="4"/>
      <c r="O484" s="4"/>
      <c r="P484" s="4"/>
      <c r="Q484" s="4"/>
      <c r="R484" s="4"/>
      <c r="S484" s="4"/>
      <c r="T484" s="4"/>
      <c r="U484" s="4"/>
      <c r="V484" s="4"/>
      <c r="W484" s="4"/>
      <c r="X484" s="4"/>
      <c r="Y484" s="4"/>
      <c r="Z484" s="4"/>
    </row>
    <row r="485">
      <c r="A485" s="77"/>
      <c r="B485" s="17"/>
      <c r="C485" s="17"/>
      <c r="D485" s="17"/>
      <c r="E485" s="17"/>
      <c r="F485" s="17"/>
      <c r="G485" s="78"/>
      <c r="H485" s="78"/>
      <c r="I485" s="17"/>
      <c r="J485" s="17"/>
      <c r="K485" s="17"/>
      <c r="L485" s="4"/>
      <c r="M485" s="4"/>
      <c r="N485" s="4"/>
      <c r="O485" s="4"/>
      <c r="P485" s="4"/>
      <c r="Q485" s="4"/>
      <c r="R485" s="4"/>
      <c r="S485" s="4"/>
      <c r="T485" s="4"/>
      <c r="U485" s="4"/>
      <c r="V485" s="4"/>
      <c r="W485" s="4"/>
      <c r="X485" s="4"/>
      <c r="Y485" s="4"/>
      <c r="Z485" s="4"/>
    </row>
    <row r="486">
      <c r="A486" s="77"/>
      <c r="B486" s="17"/>
      <c r="C486" s="17"/>
      <c r="D486" s="17"/>
      <c r="E486" s="17"/>
      <c r="F486" s="17"/>
      <c r="G486" s="78"/>
      <c r="H486" s="78"/>
      <c r="I486" s="17"/>
      <c r="J486" s="17"/>
      <c r="K486" s="17"/>
      <c r="L486" s="4"/>
      <c r="M486" s="4"/>
      <c r="N486" s="4"/>
      <c r="O486" s="4"/>
      <c r="P486" s="4"/>
      <c r="Q486" s="4"/>
      <c r="R486" s="4"/>
      <c r="S486" s="4"/>
      <c r="T486" s="4"/>
      <c r="U486" s="4"/>
      <c r="V486" s="4"/>
      <c r="W486" s="4"/>
      <c r="X486" s="4"/>
      <c r="Y486" s="4"/>
      <c r="Z486" s="4"/>
    </row>
    <row r="487">
      <c r="A487" s="77"/>
      <c r="B487" s="17"/>
      <c r="C487" s="17"/>
      <c r="D487" s="17"/>
      <c r="E487" s="17"/>
      <c r="F487" s="17"/>
      <c r="G487" s="78"/>
      <c r="H487" s="78"/>
      <c r="I487" s="17"/>
      <c r="J487" s="17"/>
      <c r="K487" s="17"/>
      <c r="L487" s="4"/>
      <c r="M487" s="4"/>
      <c r="N487" s="4"/>
      <c r="O487" s="4"/>
      <c r="P487" s="4"/>
      <c r="Q487" s="4"/>
      <c r="R487" s="4"/>
      <c r="S487" s="4"/>
      <c r="T487" s="4"/>
      <c r="U487" s="4"/>
      <c r="V487" s="4"/>
      <c r="W487" s="4"/>
      <c r="X487" s="4"/>
      <c r="Y487" s="4"/>
      <c r="Z487" s="4"/>
    </row>
    <row r="488">
      <c r="A488" s="77"/>
      <c r="B488" s="17"/>
      <c r="C488" s="17"/>
      <c r="D488" s="17"/>
      <c r="E488" s="17"/>
      <c r="F488" s="17"/>
      <c r="G488" s="78"/>
      <c r="H488" s="78"/>
      <c r="I488" s="17"/>
      <c r="J488" s="17"/>
      <c r="K488" s="17"/>
      <c r="L488" s="4"/>
      <c r="M488" s="4"/>
      <c r="N488" s="4"/>
      <c r="O488" s="4"/>
      <c r="P488" s="4"/>
      <c r="Q488" s="4"/>
      <c r="R488" s="4"/>
      <c r="S488" s="4"/>
      <c r="T488" s="4"/>
      <c r="U488" s="4"/>
      <c r="V488" s="4"/>
      <c r="W488" s="4"/>
      <c r="X488" s="4"/>
      <c r="Y488" s="4"/>
      <c r="Z488" s="4"/>
    </row>
    <row r="489">
      <c r="A489" s="77"/>
      <c r="B489" s="17"/>
      <c r="C489" s="17"/>
      <c r="D489" s="17"/>
      <c r="E489" s="17"/>
      <c r="F489" s="17"/>
      <c r="G489" s="78"/>
      <c r="H489" s="78"/>
      <c r="I489" s="17"/>
      <c r="J489" s="17"/>
      <c r="K489" s="17"/>
      <c r="L489" s="4"/>
      <c r="M489" s="4"/>
      <c r="N489" s="4"/>
      <c r="O489" s="4"/>
      <c r="P489" s="4"/>
      <c r="Q489" s="4"/>
      <c r="R489" s="4"/>
      <c r="S489" s="4"/>
      <c r="T489" s="4"/>
      <c r="U489" s="4"/>
      <c r="V489" s="4"/>
      <c r="W489" s="4"/>
      <c r="X489" s="4"/>
      <c r="Y489" s="4"/>
      <c r="Z489" s="4"/>
    </row>
    <row r="490">
      <c r="A490" s="77"/>
      <c r="B490" s="17"/>
      <c r="C490" s="17"/>
      <c r="D490" s="17"/>
      <c r="E490" s="17"/>
      <c r="F490" s="17"/>
      <c r="G490" s="78"/>
      <c r="H490" s="78"/>
      <c r="I490" s="17"/>
      <c r="J490" s="17"/>
      <c r="K490" s="17"/>
      <c r="L490" s="4"/>
      <c r="M490" s="4"/>
      <c r="N490" s="4"/>
      <c r="O490" s="4"/>
      <c r="P490" s="4"/>
      <c r="Q490" s="4"/>
      <c r="R490" s="4"/>
      <c r="S490" s="4"/>
      <c r="T490" s="4"/>
      <c r="U490" s="4"/>
      <c r="V490" s="4"/>
      <c r="W490" s="4"/>
      <c r="X490" s="4"/>
      <c r="Y490" s="4"/>
      <c r="Z490" s="4"/>
    </row>
    <row r="491">
      <c r="A491" s="77"/>
      <c r="B491" s="17"/>
      <c r="C491" s="17"/>
      <c r="D491" s="17"/>
      <c r="E491" s="17"/>
      <c r="F491" s="17"/>
      <c r="G491" s="78"/>
      <c r="H491" s="78"/>
      <c r="I491" s="17"/>
      <c r="J491" s="17"/>
      <c r="K491" s="17"/>
      <c r="L491" s="4"/>
      <c r="M491" s="4"/>
      <c r="N491" s="4"/>
      <c r="O491" s="4"/>
      <c r="P491" s="4"/>
      <c r="Q491" s="4"/>
      <c r="R491" s="4"/>
      <c r="S491" s="4"/>
      <c r="T491" s="4"/>
      <c r="U491" s="4"/>
      <c r="V491" s="4"/>
      <c r="W491" s="4"/>
      <c r="X491" s="4"/>
      <c r="Y491" s="4"/>
      <c r="Z491" s="4"/>
    </row>
    <row r="492">
      <c r="A492" s="77"/>
      <c r="B492" s="17"/>
      <c r="C492" s="17"/>
      <c r="D492" s="17"/>
      <c r="E492" s="17"/>
      <c r="F492" s="17"/>
      <c r="G492" s="78"/>
      <c r="H492" s="78"/>
      <c r="I492" s="17"/>
      <c r="J492" s="17"/>
      <c r="K492" s="17"/>
      <c r="L492" s="4"/>
      <c r="M492" s="4"/>
      <c r="N492" s="4"/>
      <c r="O492" s="4"/>
      <c r="P492" s="4"/>
      <c r="Q492" s="4"/>
      <c r="R492" s="4"/>
      <c r="S492" s="4"/>
      <c r="T492" s="4"/>
      <c r="U492" s="4"/>
      <c r="V492" s="4"/>
      <c r="W492" s="4"/>
      <c r="X492" s="4"/>
      <c r="Y492" s="4"/>
      <c r="Z492" s="4"/>
    </row>
    <row r="493">
      <c r="A493" s="77"/>
      <c r="B493" s="17"/>
      <c r="C493" s="17"/>
      <c r="D493" s="17"/>
      <c r="E493" s="17"/>
      <c r="F493" s="17"/>
      <c r="G493" s="78"/>
      <c r="H493" s="78"/>
      <c r="I493" s="17"/>
      <c r="J493" s="17"/>
      <c r="K493" s="17"/>
      <c r="L493" s="4"/>
      <c r="M493" s="4"/>
      <c r="N493" s="4"/>
      <c r="O493" s="4"/>
      <c r="P493" s="4"/>
      <c r="Q493" s="4"/>
      <c r="R493" s="4"/>
      <c r="S493" s="4"/>
      <c r="T493" s="4"/>
      <c r="U493" s="4"/>
      <c r="V493" s="4"/>
      <c r="W493" s="4"/>
      <c r="X493" s="4"/>
      <c r="Y493" s="4"/>
      <c r="Z493" s="4"/>
    </row>
    <row r="494">
      <c r="A494" s="77"/>
      <c r="B494" s="17"/>
      <c r="C494" s="17"/>
      <c r="D494" s="17"/>
      <c r="E494" s="17"/>
      <c r="F494" s="17"/>
      <c r="G494" s="78"/>
      <c r="H494" s="78"/>
      <c r="I494" s="17"/>
      <c r="J494" s="17"/>
      <c r="K494" s="17"/>
      <c r="L494" s="4"/>
      <c r="M494" s="4"/>
      <c r="N494" s="4"/>
      <c r="O494" s="4"/>
      <c r="P494" s="4"/>
      <c r="Q494" s="4"/>
      <c r="R494" s="4"/>
      <c r="S494" s="4"/>
      <c r="T494" s="4"/>
      <c r="U494" s="4"/>
      <c r="V494" s="4"/>
      <c r="W494" s="4"/>
      <c r="X494" s="4"/>
      <c r="Y494" s="4"/>
      <c r="Z494" s="4"/>
    </row>
    <row r="495">
      <c r="A495" s="77"/>
      <c r="B495" s="17"/>
      <c r="C495" s="17"/>
      <c r="D495" s="17"/>
      <c r="E495" s="17"/>
      <c r="F495" s="17"/>
      <c r="G495" s="78"/>
      <c r="H495" s="78"/>
      <c r="I495" s="17"/>
      <c r="J495" s="17"/>
      <c r="K495" s="17"/>
      <c r="L495" s="4"/>
      <c r="M495" s="4"/>
      <c r="N495" s="4"/>
      <c r="O495" s="4"/>
      <c r="P495" s="4"/>
      <c r="Q495" s="4"/>
      <c r="R495" s="4"/>
      <c r="S495" s="4"/>
      <c r="T495" s="4"/>
      <c r="U495" s="4"/>
      <c r="V495" s="4"/>
      <c r="W495" s="4"/>
      <c r="X495" s="4"/>
      <c r="Y495" s="4"/>
      <c r="Z495" s="4"/>
    </row>
    <row r="496">
      <c r="A496" s="77"/>
      <c r="B496" s="17"/>
      <c r="C496" s="17"/>
      <c r="D496" s="17"/>
      <c r="E496" s="17"/>
      <c r="F496" s="17"/>
      <c r="G496" s="78"/>
      <c r="H496" s="78"/>
      <c r="I496" s="17"/>
      <c r="J496" s="17"/>
      <c r="K496" s="17"/>
      <c r="L496" s="4"/>
      <c r="M496" s="4"/>
      <c r="N496" s="4"/>
      <c r="O496" s="4"/>
      <c r="P496" s="4"/>
      <c r="Q496" s="4"/>
      <c r="R496" s="4"/>
      <c r="S496" s="4"/>
      <c r="T496" s="4"/>
      <c r="U496" s="4"/>
      <c r="V496" s="4"/>
      <c r="W496" s="4"/>
      <c r="X496" s="4"/>
      <c r="Y496" s="4"/>
      <c r="Z496" s="4"/>
    </row>
    <row r="497">
      <c r="A497" s="77"/>
      <c r="B497" s="17"/>
      <c r="C497" s="17"/>
      <c r="D497" s="17"/>
      <c r="E497" s="17"/>
      <c r="F497" s="17"/>
      <c r="G497" s="78"/>
      <c r="H497" s="78"/>
      <c r="I497" s="17"/>
      <c r="J497" s="17"/>
      <c r="K497" s="17"/>
      <c r="L497" s="4"/>
      <c r="M497" s="4"/>
      <c r="N497" s="4"/>
      <c r="O497" s="4"/>
      <c r="P497" s="4"/>
      <c r="Q497" s="4"/>
      <c r="R497" s="4"/>
      <c r="S497" s="4"/>
      <c r="T497" s="4"/>
      <c r="U497" s="4"/>
      <c r="V497" s="4"/>
      <c r="W497" s="4"/>
      <c r="X497" s="4"/>
      <c r="Y497" s="4"/>
      <c r="Z497" s="4"/>
    </row>
    <row r="498">
      <c r="A498" s="77"/>
      <c r="B498" s="17"/>
      <c r="C498" s="17"/>
      <c r="D498" s="17"/>
      <c r="E498" s="17"/>
      <c r="F498" s="17"/>
      <c r="G498" s="78"/>
      <c r="H498" s="78"/>
      <c r="I498" s="17"/>
      <c r="J498" s="17"/>
      <c r="K498" s="17"/>
      <c r="L498" s="4"/>
      <c r="M498" s="4"/>
      <c r="N498" s="4"/>
      <c r="O498" s="4"/>
      <c r="P498" s="4"/>
      <c r="Q498" s="4"/>
      <c r="R498" s="4"/>
      <c r="S498" s="4"/>
      <c r="T498" s="4"/>
      <c r="U498" s="4"/>
      <c r="V498" s="4"/>
      <c r="W498" s="4"/>
      <c r="X498" s="4"/>
      <c r="Y498" s="4"/>
      <c r="Z498" s="4"/>
    </row>
    <row r="499">
      <c r="A499" s="77"/>
      <c r="B499" s="17"/>
      <c r="C499" s="17"/>
      <c r="D499" s="17"/>
      <c r="E499" s="17"/>
      <c r="F499" s="17"/>
      <c r="G499" s="78"/>
      <c r="H499" s="78"/>
      <c r="I499" s="17"/>
      <c r="J499" s="17"/>
      <c r="K499" s="17"/>
      <c r="L499" s="4"/>
      <c r="M499" s="4"/>
      <c r="N499" s="4"/>
      <c r="O499" s="4"/>
      <c r="P499" s="4"/>
      <c r="Q499" s="4"/>
      <c r="R499" s="4"/>
      <c r="S499" s="4"/>
      <c r="T499" s="4"/>
      <c r="U499" s="4"/>
      <c r="V499" s="4"/>
      <c r="W499" s="4"/>
      <c r="X499" s="4"/>
      <c r="Y499" s="4"/>
      <c r="Z499" s="4"/>
    </row>
    <row r="500">
      <c r="A500" s="77"/>
      <c r="B500" s="17"/>
      <c r="C500" s="17"/>
      <c r="D500" s="17"/>
      <c r="E500" s="17"/>
      <c r="F500" s="17"/>
      <c r="G500" s="78"/>
      <c r="H500" s="78"/>
      <c r="I500" s="17"/>
      <c r="J500" s="17"/>
      <c r="K500" s="17"/>
      <c r="L500" s="4"/>
      <c r="M500" s="4"/>
      <c r="N500" s="4"/>
      <c r="O500" s="4"/>
      <c r="P500" s="4"/>
      <c r="Q500" s="4"/>
      <c r="R500" s="4"/>
      <c r="S500" s="4"/>
      <c r="T500" s="4"/>
      <c r="U500" s="4"/>
      <c r="V500" s="4"/>
      <c r="W500" s="4"/>
      <c r="X500" s="4"/>
      <c r="Y500" s="4"/>
      <c r="Z500" s="4"/>
    </row>
    <row r="501">
      <c r="A501" s="77"/>
      <c r="B501" s="17"/>
      <c r="C501" s="17"/>
      <c r="D501" s="17"/>
      <c r="E501" s="17"/>
      <c r="F501" s="17"/>
      <c r="G501" s="78"/>
      <c r="H501" s="78"/>
      <c r="I501" s="17"/>
      <c r="J501" s="17"/>
      <c r="K501" s="17"/>
      <c r="L501" s="4"/>
      <c r="M501" s="4"/>
      <c r="N501" s="4"/>
      <c r="O501" s="4"/>
      <c r="P501" s="4"/>
      <c r="Q501" s="4"/>
      <c r="R501" s="4"/>
      <c r="S501" s="4"/>
      <c r="T501" s="4"/>
      <c r="U501" s="4"/>
      <c r="V501" s="4"/>
      <c r="W501" s="4"/>
      <c r="X501" s="4"/>
      <c r="Y501" s="4"/>
      <c r="Z501" s="4"/>
    </row>
    <row r="502">
      <c r="A502" s="77"/>
      <c r="B502" s="17"/>
      <c r="C502" s="17"/>
      <c r="D502" s="17"/>
      <c r="E502" s="17"/>
      <c r="F502" s="17"/>
      <c r="G502" s="78"/>
      <c r="H502" s="78"/>
      <c r="I502" s="17"/>
      <c r="J502" s="17"/>
      <c r="K502" s="17"/>
      <c r="L502" s="4"/>
      <c r="M502" s="4"/>
      <c r="N502" s="4"/>
      <c r="O502" s="4"/>
      <c r="P502" s="4"/>
      <c r="Q502" s="4"/>
      <c r="R502" s="4"/>
      <c r="S502" s="4"/>
      <c r="T502" s="4"/>
      <c r="U502" s="4"/>
      <c r="V502" s="4"/>
      <c r="W502" s="4"/>
      <c r="X502" s="4"/>
      <c r="Y502" s="4"/>
      <c r="Z502" s="4"/>
    </row>
    <row r="503">
      <c r="A503" s="77"/>
      <c r="B503" s="17"/>
      <c r="C503" s="17"/>
      <c r="D503" s="17"/>
      <c r="E503" s="17"/>
      <c r="F503" s="17"/>
      <c r="G503" s="78"/>
      <c r="H503" s="78"/>
      <c r="I503" s="17"/>
      <c r="J503" s="17"/>
      <c r="K503" s="17"/>
      <c r="L503" s="4"/>
      <c r="M503" s="4"/>
      <c r="N503" s="4"/>
      <c r="O503" s="4"/>
      <c r="P503" s="4"/>
      <c r="Q503" s="4"/>
      <c r="R503" s="4"/>
      <c r="S503" s="4"/>
      <c r="T503" s="4"/>
      <c r="U503" s="4"/>
      <c r="V503" s="4"/>
      <c r="W503" s="4"/>
      <c r="X503" s="4"/>
      <c r="Y503" s="4"/>
      <c r="Z503" s="4"/>
    </row>
    <row r="504">
      <c r="A504" s="77"/>
      <c r="B504" s="17"/>
      <c r="C504" s="17"/>
      <c r="D504" s="17"/>
      <c r="E504" s="17"/>
      <c r="F504" s="17"/>
      <c r="G504" s="78"/>
      <c r="H504" s="78"/>
      <c r="I504" s="17"/>
      <c r="J504" s="17"/>
      <c r="K504" s="17"/>
      <c r="L504" s="4"/>
      <c r="M504" s="4"/>
      <c r="N504" s="4"/>
      <c r="O504" s="4"/>
      <c r="P504" s="4"/>
      <c r="Q504" s="4"/>
      <c r="R504" s="4"/>
      <c r="S504" s="4"/>
      <c r="T504" s="4"/>
      <c r="U504" s="4"/>
      <c r="V504" s="4"/>
      <c r="W504" s="4"/>
      <c r="X504" s="4"/>
      <c r="Y504" s="4"/>
      <c r="Z504" s="4"/>
    </row>
    <row r="505">
      <c r="A505" s="77"/>
      <c r="B505" s="17"/>
      <c r="C505" s="17"/>
      <c r="D505" s="17"/>
      <c r="E505" s="17"/>
      <c r="F505" s="17"/>
      <c r="G505" s="78"/>
      <c r="H505" s="78"/>
      <c r="I505" s="17"/>
      <c r="J505" s="17"/>
      <c r="K505" s="17"/>
      <c r="L505" s="4"/>
      <c r="M505" s="4"/>
      <c r="N505" s="4"/>
      <c r="O505" s="4"/>
      <c r="P505" s="4"/>
      <c r="Q505" s="4"/>
      <c r="R505" s="4"/>
      <c r="S505" s="4"/>
      <c r="T505" s="4"/>
      <c r="U505" s="4"/>
      <c r="V505" s="4"/>
      <c r="W505" s="4"/>
      <c r="X505" s="4"/>
      <c r="Y505" s="4"/>
      <c r="Z505" s="4"/>
    </row>
    <row r="506">
      <c r="A506" s="77"/>
      <c r="B506" s="17"/>
      <c r="C506" s="17"/>
      <c r="D506" s="17"/>
      <c r="E506" s="17"/>
      <c r="F506" s="17"/>
      <c r="G506" s="78"/>
      <c r="H506" s="78"/>
      <c r="I506" s="17"/>
      <c r="J506" s="17"/>
      <c r="K506" s="17"/>
      <c r="L506" s="4"/>
      <c r="M506" s="4"/>
      <c r="N506" s="4"/>
      <c r="O506" s="4"/>
      <c r="P506" s="4"/>
      <c r="Q506" s="4"/>
      <c r="R506" s="4"/>
      <c r="S506" s="4"/>
      <c r="T506" s="4"/>
      <c r="U506" s="4"/>
      <c r="V506" s="4"/>
      <c r="W506" s="4"/>
      <c r="X506" s="4"/>
      <c r="Y506" s="4"/>
      <c r="Z506" s="4"/>
    </row>
    <row r="507">
      <c r="A507" s="77"/>
      <c r="B507" s="17"/>
      <c r="C507" s="17"/>
      <c r="D507" s="17"/>
      <c r="E507" s="17"/>
      <c r="F507" s="17"/>
      <c r="G507" s="78"/>
      <c r="H507" s="78"/>
      <c r="I507" s="17"/>
      <c r="J507" s="17"/>
      <c r="K507" s="17"/>
      <c r="L507" s="4"/>
      <c r="M507" s="4"/>
      <c r="N507" s="4"/>
      <c r="O507" s="4"/>
      <c r="P507" s="4"/>
      <c r="Q507" s="4"/>
      <c r="R507" s="4"/>
      <c r="S507" s="4"/>
      <c r="T507" s="4"/>
      <c r="U507" s="4"/>
      <c r="V507" s="4"/>
      <c r="W507" s="4"/>
      <c r="X507" s="4"/>
      <c r="Y507" s="4"/>
      <c r="Z507" s="4"/>
    </row>
    <row r="508">
      <c r="A508" s="77"/>
      <c r="B508" s="17"/>
      <c r="C508" s="17"/>
      <c r="D508" s="17"/>
      <c r="E508" s="17"/>
      <c r="F508" s="17"/>
      <c r="G508" s="78"/>
      <c r="H508" s="78"/>
      <c r="I508" s="17"/>
      <c r="J508" s="17"/>
      <c r="K508" s="17"/>
      <c r="L508" s="4"/>
      <c r="M508" s="4"/>
      <c r="N508" s="4"/>
      <c r="O508" s="4"/>
      <c r="P508" s="4"/>
      <c r="Q508" s="4"/>
      <c r="R508" s="4"/>
      <c r="S508" s="4"/>
      <c r="T508" s="4"/>
      <c r="U508" s="4"/>
      <c r="V508" s="4"/>
      <c r="W508" s="4"/>
      <c r="X508" s="4"/>
      <c r="Y508" s="4"/>
      <c r="Z508" s="4"/>
    </row>
    <row r="509">
      <c r="A509" s="77"/>
      <c r="B509" s="17"/>
      <c r="C509" s="17"/>
      <c r="D509" s="17"/>
      <c r="E509" s="17"/>
      <c r="F509" s="17"/>
      <c r="G509" s="78"/>
      <c r="H509" s="78"/>
      <c r="I509" s="17"/>
      <c r="J509" s="17"/>
      <c r="K509" s="17"/>
      <c r="L509" s="4"/>
      <c r="M509" s="4"/>
      <c r="N509" s="4"/>
      <c r="O509" s="4"/>
      <c r="P509" s="4"/>
      <c r="Q509" s="4"/>
      <c r="R509" s="4"/>
      <c r="S509" s="4"/>
      <c r="T509" s="4"/>
      <c r="U509" s="4"/>
      <c r="V509" s="4"/>
      <c r="W509" s="4"/>
      <c r="X509" s="4"/>
      <c r="Y509" s="4"/>
      <c r="Z509" s="4"/>
    </row>
    <row r="510">
      <c r="A510" s="77"/>
      <c r="B510" s="17"/>
      <c r="C510" s="17"/>
      <c r="D510" s="17"/>
      <c r="E510" s="17"/>
      <c r="F510" s="17"/>
      <c r="G510" s="78"/>
      <c r="H510" s="78"/>
      <c r="I510" s="17"/>
      <c r="J510" s="17"/>
      <c r="K510" s="17"/>
      <c r="L510" s="4"/>
      <c r="M510" s="4"/>
      <c r="N510" s="4"/>
      <c r="O510" s="4"/>
      <c r="P510" s="4"/>
      <c r="Q510" s="4"/>
      <c r="R510" s="4"/>
      <c r="S510" s="4"/>
      <c r="T510" s="4"/>
      <c r="U510" s="4"/>
      <c r="V510" s="4"/>
      <c r="W510" s="4"/>
      <c r="X510" s="4"/>
      <c r="Y510" s="4"/>
      <c r="Z510" s="4"/>
    </row>
    <row r="511">
      <c r="A511" s="77"/>
      <c r="B511" s="17"/>
      <c r="C511" s="17"/>
      <c r="D511" s="17"/>
      <c r="E511" s="17"/>
      <c r="F511" s="17"/>
      <c r="G511" s="78"/>
      <c r="H511" s="78"/>
      <c r="I511" s="17"/>
      <c r="J511" s="17"/>
      <c r="K511" s="17"/>
      <c r="L511" s="4"/>
      <c r="M511" s="4"/>
      <c r="N511" s="4"/>
      <c r="O511" s="4"/>
      <c r="P511" s="4"/>
      <c r="Q511" s="4"/>
      <c r="R511" s="4"/>
      <c r="S511" s="4"/>
      <c r="T511" s="4"/>
      <c r="U511" s="4"/>
      <c r="V511" s="4"/>
      <c r="W511" s="4"/>
      <c r="X511" s="4"/>
      <c r="Y511" s="4"/>
      <c r="Z511" s="4"/>
    </row>
    <row r="512">
      <c r="A512" s="77"/>
      <c r="B512" s="17"/>
      <c r="C512" s="17"/>
      <c r="D512" s="17"/>
      <c r="E512" s="17"/>
      <c r="F512" s="17"/>
      <c r="G512" s="78"/>
      <c r="H512" s="78"/>
      <c r="I512" s="17"/>
      <c r="J512" s="17"/>
      <c r="K512" s="17"/>
      <c r="L512" s="4"/>
      <c r="M512" s="4"/>
      <c r="N512" s="4"/>
      <c r="O512" s="4"/>
      <c r="P512" s="4"/>
      <c r="Q512" s="4"/>
      <c r="R512" s="4"/>
      <c r="S512" s="4"/>
      <c r="T512" s="4"/>
      <c r="U512" s="4"/>
      <c r="V512" s="4"/>
      <c r="W512" s="4"/>
      <c r="X512" s="4"/>
      <c r="Y512" s="4"/>
      <c r="Z512" s="4"/>
    </row>
    <row r="513">
      <c r="A513" s="77"/>
      <c r="B513" s="17"/>
      <c r="C513" s="17"/>
      <c r="D513" s="17"/>
      <c r="E513" s="17"/>
      <c r="F513" s="17"/>
      <c r="G513" s="78"/>
      <c r="H513" s="78"/>
      <c r="I513" s="17"/>
      <c r="J513" s="17"/>
      <c r="K513" s="17"/>
      <c r="L513" s="4"/>
      <c r="M513" s="4"/>
      <c r="N513" s="4"/>
      <c r="O513" s="4"/>
      <c r="P513" s="4"/>
      <c r="Q513" s="4"/>
      <c r="R513" s="4"/>
      <c r="S513" s="4"/>
      <c r="T513" s="4"/>
      <c r="U513" s="4"/>
      <c r="V513" s="4"/>
      <c r="W513" s="4"/>
      <c r="X513" s="4"/>
      <c r="Y513" s="4"/>
      <c r="Z513" s="4"/>
    </row>
    <row r="514">
      <c r="A514" s="77"/>
      <c r="B514" s="17"/>
      <c r="C514" s="17"/>
      <c r="D514" s="17"/>
      <c r="E514" s="17"/>
      <c r="F514" s="17"/>
      <c r="G514" s="78"/>
      <c r="H514" s="78"/>
      <c r="I514" s="17"/>
      <c r="J514" s="17"/>
      <c r="K514" s="17"/>
      <c r="L514" s="4"/>
      <c r="M514" s="4"/>
      <c r="N514" s="4"/>
      <c r="O514" s="4"/>
      <c r="P514" s="4"/>
      <c r="Q514" s="4"/>
      <c r="R514" s="4"/>
      <c r="S514" s="4"/>
      <c r="T514" s="4"/>
      <c r="U514" s="4"/>
      <c r="V514" s="4"/>
      <c r="W514" s="4"/>
      <c r="X514" s="4"/>
      <c r="Y514" s="4"/>
      <c r="Z514" s="4"/>
    </row>
    <row r="515">
      <c r="A515" s="77"/>
      <c r="B515" s="17"/>
      <c r="C515" s="17"/>
      <c r="D515" s="17"/>
      <c r="E515" s="17"/>
      <c r="F515" s="17"/>
      <c r="G515" s="78"/>
      <c r="H515" s="78"/>
      <c r="I515" s="17"/>
      <c r="J515" s="17"/>
      <c r="K515" s="17"/>
      <c r="L515" s="4"/>
      <c r="M515" s="4"/>
      <c r="N515" s="4"/>
      <c r="O515" s="4"/>
      <c r="P515" s="4"/>
      <c r="Q515" s="4"/>
      <c r="R515" s="4"/>
      <c r="S515" s="4"/>
      <c r="T515" s="4"/>
      <c r="U515" s="4"/>
      <c r="V515" s="4"/>
      <c r="W515" s="4"/>
      <c r="X515" s="4"/>
      <c r="Y515" s="4"/>
      <c r="Z515" s="4"/>
    </row>
    <row r="516">
      <c r="A516" s="77"/>
      <c r="B516" s="17"/>
      <c r="C516" s="17"/>
      <c r="D516" s="17"/>
      <c r="E516" s="17"/>
      <c r="F516" s="17"/>
      <c r="G516" s="78"/>
      <c r="H516" s="78"/>
      <c r="I516" s="17"/>
      <c r="J516" s="17"/>
      <c r="K516" s="17"/>
      <c r="L516" s="4"/>
      <c r="M516" s="4"/>
      <c r="N516" s="4"/>
      <c r="O516" s="4"/>
      <c r="P516" s="4"/>
      <c r="Q516" s="4"/>
      <c r="R516" s="4"/>
      <c r="S516" s="4"/>
      <c r="T516" s="4"/>
      <c r="U516" s="4"/>
      <c r="V516" s="4"/>
      <c r="W516" s="4"/>
      <c r="X516" s="4"/>
      <c r="Y516" s="4"/>
      <c r="Z516" s="4"/>
    </row>
    <row r="517">
      <c r="A517" s="77"/>
      <c r="B517" s="17"/>
      <c r="C517" s="17"/>
      <c r="D517" s="17"/>
      <c r="E517" s="17"/>
      <c r="F517" s="17"/>
      <c r="G517" s="78"/>
      <c r="H517" s="78"/>
      <c r="I517" s="17"/>
      <c r="J517" s="17"/>
      <c r="K517" s="17"/>
      <c r="L517" s="4"/>
      <c r="M517" s="4"/>
      <c r="N517" s="4"/>
      <c r="O517" s="4"/>
      <c r="P517" s="4"/>
      <c r="Q517" s="4"/>
      <c r="R517" s="4"/>
      <c r="S517" s="4"/>
      <c r="T517" s="4"/>
      <c r="U517" s="4"/>
      <c r="V517" s="4"/>
      <c r="W517" s="4"/>
      <c r="X517" s="4"/>
      <c r="Y517" s="4"/>
      <c r="Z517" s="4"/>
    </row>
    <row r="518">
      <c r="A518" s="77"/>
      <c r="B518" s="17"/>
      <c r="C518" s="17"/>
      <c r="D518" s="17"/>
      <c r="E518" s="17"/>
      <c r="F518" s="17"/>
      <c r="G518" s="78"/>
      <c r="H518" s="78"/>
      <c r="I518" s="17"/>
      <c r="J518" s="17"/>
      <c r="K518" s="17"/>
      <c r="L518" s="4"/>
      <c r="M518" s="4"/>
      <c r="N518" s="4"/>
      <c r="O518" s="4"/>
      <c r="P518" s="4"/>
      <c r="Q518" s="4"/>
      <c r="R518" s="4"/>
      <c r="S518" s="4"/>
      <c r="T518" s="4"/>
      <c r="U518" s="4"/>
      <c r="V518" s="4"/>
      <c r="W518" s="4"/>
      <c r="X518" s="4"/>
      <c r="Y518" s="4"/>
      <c r="Z518" s="4"/>
    </row>
    <row r="519">
      <c r="A519" s="77"/>
      <c r="B519" s="17"/>
      <c r="C519" s="17"/>
      <c r="D519" s="17"/>
      <c r="E519" s="17"/>
      <c r="F519" s="17"/>
      <c r="G519" s="78"/>
      <c r="H519" s="78"/>
      <c r="I519" s="17"/>
      <c r="J519" s="17"/>
      <c r="K519" s="17"/>
      <c r="L519" s="4"/>
      <c r="M519" s="4"/>
      <c r="N519" s="4"/>
      <c r="O519" s="4"/>
      <c r="P519" s="4"/>
      <c r="Q519" s="4"/>
      <c r="R519" s="4"/>
      <c r="S519" s="4"/>
      <c r="T519" s="4"/>
      <c r="U519" s="4"/>
      <c r="V519" s="4"/>
      <c r="W519" s="4"/>
      <c r="X519" s="4"/>
      <c r="Y519" s="4"/>
      <c r="Z519" s="4"/>
    </row>
    <row r="520">
      <c r="A520" s="77"/>
      <c r="B520" s="17"/>
      <c r="C520" s="17"/>
      <c r="D520" s="17"/>
      <c r="E520" s="17"/>
      <c r="F520" s="17"/>
      <c r="G520" s="78"/>
      <c r="H520" s="78"/>
      <c r="I520" s="17"/>
      <c r="J520" s="17"/>
      <c r="K520" s="17"/>
      <c r="L520" s="4"/>
      <c r="M520" s="4"/>
      <c r="N520" s="4"/>
      <c r="O520" s="4"/>
      <c r="P520" s="4"/>
      <c r="Q520" s="4"/>
      <c r="R520" s="4"/>
      <c r="S520" s="4"/>
      <c r="T520" s="4"/>
      <c r="U520" s="4"/>
      <c r="V520" s="4"/>
      <c r="W520" s="4"/>
      <c r="X520" s="4"/>
      <c r="Y520" s="4"/>
      <c r="Z520" s="4"/>
    </row>
    <row r="521">
      <c r="A521" s="77"/>
      <c r="B521" s="17"/>
      <c r="C521" s="17"/>
      <c r="D521" s="17"/>
      <c r="E521" s="17"/>
      <c r="F521" s="17"/>
      <c r="G521" s="78"/>
      <c r="H521" s="78"/>
      <c r="I521" s="17"/>
      <c r="J521" s="17"/>
      <c r="K521" s="17"/>
      <c r="L521" s="4"/>
      <c r="M521" s="4"/>
      <c r="N521" s="4"/>
      <c r="O521" s="4"/>
      <c r="P521" s="4"/>
      <c r="Q521" s="4"/>
      <c r="R521" s="4"/>
      <c r="S521" s="4"/>
      <c r="T521" s="4"/>
      <c r="U521" s="4"/>
      <c r="V521" s="4"/>
      <c r="W521" s="4"/>
      <c r="X521" s="4"/>
      <c r="Y521" s="4"/>
      <c r="Z521" s="4"/>
    </row>
    <row r="522">
      <c r="A522" s="77"/>
      <c r="B522" s="17"/>
      <c r="C522" s="17"/>
      <c r="D522" s="17"/>
      <c r="E522" s="17"/>
      <c r="F522" s="17"/>
      <c r="G522" s="78"/>
      <c r="H522" s="78"/>
      <c r="I522" s="17"/>
      <c r="J522" s="17"/>
      <c r="K522" s="17"/>
      <c r="L522" s="4"/>
      <c r="M522" s="4"/>
      <c r="N522" s="4"/>
      <c r="O522" s="4"/>
      <c r="P522" s="4"/>
      <c r="Q522" s="4"/>
      <c r="R522" s="4"/>
      <c r="S522" s="4"/>
      <c r="T522" s="4"/>
      <c r="U522" s="4"/>
      <c r="V522" s="4"/>
      <c r="W522" s="4"/>
      <c r="X522" s="4"/>
      <c r="Y522" s="4"/>
      <c r="Z522" s="4"/>
    </row>
    <row r="523">
      <c r="A523" s="77"/>
      <c r="B523" s="17"/>
      <c r="C523" s="17"/>
      <c r="D523" s="17"/>
      <c r="E523" s="17"/>
      <c r="F523" s="17"/>
      <c r="G523" s="78"/>
      <c r="H523" s="78"/>
      <c r="I523" s="17"/>
      <c r="J523" s="17"/>
      <c r="K523" s="17"/>
      <c r="L523" s="4"/>
      <c r="M523" s="4"/>
      <c r="N523" s="4"/>
      <c r="O523" s="4"/>
      <c r="P523" s="4"/>
      <c r="Q523" s="4"/>
      <c r="R523" s="4"/>
      <c r="S523" s="4"/>
      <c r="T523" s="4"/>
      <c r="U523" s="4"/>
      <c r="V523" s="4"/>
      <c r="W523" s="4"/>
      <c r="X523" s="4"/>
      <c r="Y523" s="4"/>
      <c r="Z523" s="4"/>
    </row>
    <row r="524">
      <c r="A524" s="77"/>
      <c r="B524" s="17"/>
      <c r="C524" s="17"/>
      <c r="D524" s="17"/>
      <c r="E524" s="17"/>
      <c r="F524" s="17"/>
      <c r="G524" s="78"/>
      <c r="H524" s="78"/>
      <c r="I524" s="17"/>
      <c r="J524" s="17"/>
      <c r="K524" s="17"/>
      <c r="L524" s="4"/>
      <c r="M524" s="4"/>
      <c r="N524" s="4"/>
      <c r="O524" s="4"/>
      <c r="P524" s="4"/>
      <c r="Q524" s="4"/>
      <c r="R524" s="4"/>
      <c r="S524" s="4"/>
      <c r="T524" s="4"/>
      <c r="U524" s="4"/>
      <c r="V524" s="4"/>
      <c r="W524" s="4"/>
      <c r="X524" s="4"/>
      <c r="Y524" s="4"/>
      <c r="Z524" s="4"/>
    </row>
    <row r="525">
      <c r="A525" s="77"/>
      <c r="B525" s="17"/>
      <c r="C525" s="17"/>
      <c r="D525" s="17"/>
      <c r="E525" s="17"/>
      <c r="F525" s="17"/>
      <c r="G525" s="78"/>
      <c r="H525" s="78"/>
      <c r="I525" s="17"/>
      <c r="J525" s="17"/>
      <c r="K525" s="17"/>
      <c r="L525" s="4"/>
      <c r="M525" s="4"/>
      <c r="N525" s="4"/>
      <c r="O525" s="4"/>
      <c r="P525" s="4"/>
      <c r="Q525" s="4"/>
      <c r="R525" s="4"/>
      <c r="S525" s="4"/>
      <c r="T525" s="4"/>
      <c r="U525" s="4"/>
      <c r="V525" s="4"/>
      <c r="W525" s="4"/>
      <c r="X525" s="4"/>
      <c r="Y525" s="4"/>
      <c r="Z525" s="4"/>
    </row>
    <row r="526">
      <c r="A526" s="77"/>
      <c r="B526" s="17"/>
      <c r="C526" s="17"/>
      <c r="D526" s="17"/>
      <c r="E526" s="17"/>
      <c r="F526" s="17"/>
      <c r="G526" s="78"/>
      <c r="H526" s="78"/>
      <c r="I526" s="17"/>
      <c r="J526" s="17"/>
      <c r="K526" s="17"/>
      <c r="L526" s="4"/>
      <c r="M526" s="4"/>
      <c r="N526" s="4"/>
      <c r="O526" s="4"/>
      <c r="P526" s="4"/>
      <c r="Q526" s="4"/>
      <c r="R526" s="4"/>
      <c r="S526" s="4"/>
      <c r="T526" s="4"/>
      <c r="U526" s="4"/>
      <c r="V526" s="4"/>
      <c r="W526" s="4"/>
      <c r="X526" s="4"/>
      <c r="Y526" s="4"/>
      <c r="Z526" s="4"/>
    </row>
    <row r="527">
      <c r="A527" s="77"/>
      <c r="B527" s="17"/>
      <c r="C527" s="17"/>
      <c r="D527" s="17"/>
      <c r="E527" s="17"/>
      <c r="F527" s="17"/>
      <c r="G527" s="78"/>
      <c r="H527" s="78"/>
      <c r="I527" s="17"/>
      <c r="J527" s="17"/>
      <c r="K527" s="17"/>
      <c r="L527" s="4"/>
      <c r="M527" s="4"/>
      <c r="N527" s="4"/>
      <c r="O527" s="4"/>
      <c r="P527" s="4"/>
      <c r="Q527" s="4"/>
      <c r="R527" s="4"/>
      <c r="S527" s="4"/>
      <c r="T527" s="4"/>
      <c r="U527" s="4"/>
      <c r="V527" s="4"/>
      <c r="W527" s="4"/>
      <c r="X527" s="4"/>
      <c r="Y527" s="4"/>
      <c r="Z527" s="4"/>
    </row>
    <row r="528">
      <c r="A528" s="77"/>
      <c r="B528" s="17"/>
      <c r="C528" s="17"/>
      <c r="D528" s="17"/>
      <c r="E528" s="17"/>
      <c r="F528" s="17"/>
      <c r="G528" s="78"/>
      <c r="H528" s="78"/>
      <c r="I528" s="17"/>
      <c r="J528" s="17"/>
      <c r="K528" s="17"/>
      <c r="L528" s="4"/>
      <c r="M528" s="4"/>
      <c r="N528" s="4"/>
      <c r="O528" s="4"/>
      <c r="P528" s="4"/>
      <c r="Q528" s="4"/>
      <c r="R528" s="4"/>
      <c r="S528" s="4"/>
      <c r="T528" s="4"/>
      <c r="U528" s="4"/>
      <c r="V528" s="4"/>
      <c r="W528" s="4"/>
      <c r="X528" s="4"/>
      <c r="Y528" s="4"/>
      <c r="Z528" s="4"/>
    </row>
    <row r="529">
      <c r="A529" s="77"/>
      <c r="B529" s="17"/>
      <c r="C529" s="17"/>
      <c r="D529" s="17"/>
      <c r="E529" s="17"/>
      <c r="F529" s="17"/>
      <c r="G529" s="78"/>
      <c r="H529" s="78"/>
      <c r="I529" s="17"/>
      <c r="J529" s="17"/>
      <c r="K529" s="17"/>
      <c r="L529" s="4"/>
      <c r="M529" s="4"/>
      <c r="N529" s="4"/>
      <c r="O529" s="4"/>
      <c r="P529" s="4"/>
      <c r="Q529" s="4"/>
      <c r="R529" s="4"/>
      <c r="S529" s="4"/>
      <c r="T529" s="4"/>
      <c r="U529" s="4"/>
      <c r="V529" s="4"/>
      <c r="W529" s="4"/>
      <c r="X529" s="4"/>
      <c r="Y529" s="4"/>
      <c r="Z529" s="4"/>
    </row>
    <row r="530">
      <c r="A530" s="77"/>
      <c r="B530" s="17"/>
      <c r="C530" s="17"/>
      <c r="D530" s="17"/>
      <c r="E530" s="17"/>
      <c r="F530" s="17"/>
      <c r="G530" s="78"/>
      <c r="H530" s="78"/>
      <c r="I530" s="17"/>
      <c r="J530" s="17"/>
      <c r="K530" s="17"/>
      <c r="L530" s="4"/>
      <c r="M530" s="4"/>
      <c r="N530" s="4"/>
      <c r="O530" s="4"/>
      <c r="P530" s="4"/>
      <c r="Q530" s="4"/>
      <c r="R530" s="4"/>
      <c r="S530" s="4"/>
      <c r="T530" s="4"/>
      <c r="U530" s="4"/>
      <c r="V530" s="4"/>
      <c r="W530" s="4"/>
      <c r="X530" s="4"/>
      <c r="Y530" s="4"/>
      <c r="Z530" s="4"/>
    </row>
    <row r="531">
      <c r="A531" s="77"/>
      <c r="B531" s="17"/>
      <c r="C531" s="17"/>
      <c r="D531" s="17"/>
      <c r="E531" s="17"/>
      <c r="F531" s="17"/>
      <c r="G531" s="78"/>
      <c r="H531" s="78"/>
      <c r="I531" s="17"/>
      <c r="J531" s="17"/>
      <c r="K531" s="17"/>
      <c r="L531" s="4"/>
      <c r="M531" s="4"/>
      <c r="N531" s="4"/>
      <c r="O531" s="4"/>
      <c r="P531" s="4"/>
      <c r="Q531" s="4"/>
      <c r="R531" s="4"/>
      <c r="S531" s="4"/>
      <c r="T531" s="4"/>
      <c r="U531" s="4"/>
      <c r="V531" s="4"/>
      <c r="W531" s="4"/>
      <c r="X531" s="4"/>
      <c r="Y531" s="4"/>
      <c r="Z531" s="4"/>
    </row>
    <row r="532">
      <c r="A532" s="77"/>
      <c r="B532" s="17"/>
      <c r="C532" s="17"/>
      <c r="D532" s="17"/>
      <c r="E532" s="17"/>
      <c r="F532" s="17"/>
      <c r="G532" s="78"/>
      <c r="H532" s="78"/>
      <c r="I532" s="17"/>
      <c r="J532" s="17"/>
      <c r="K532" s="17"/>
      <c r="L532" s="4"/>
      <c r="M532" s="4"/>
      <c r="N532" s="4"/>
      <c r="O532" s="4"/>
      <c r="P532" s="4"/>
      <c r="Q532" s="4"/>
      <c r="R532" s="4"/>
      <c r="S532" s="4"/>
      <c r="T532" s="4"/>
      <c r="U532" s="4"/>
      <c r="V532" s="4"/>
      <c r="W532" s="4"/>
      <c r="X532" s="4"/>
      <c r="Y532" s="4"/>
      <c r="Z532" s="4"/>
    </row>
    <row r="533">
      <c r="A533" s="77"/>
      <c r="B533" s="17"/>
      <c r="C533" s="17"/>
      <c r="D533" s="17"/>
      <c r="E533" s="17"/>
      <c r="F533" s="17"/>
      <c r="G533" s="78"/>
      <c r="H533" s="78"/>
      <c r="I533" s="17"/>
      <c r="J533" s="17"/>
      <c r="K533" s="17"/>
      <c r="L533" s="4"/>
      <c r="M533" s="4"/>
      <c r="N533" s="4"/>
      <c r="O533" s="4"/>
      <c r="P533" s="4"/>
      <c r="Q533" s="4"/>
      <c r="R533" s="4"/>
      <c r="S533" s="4"/>
      <c r="T533" s="4"/>
      <c r="U533" s="4"/>
      <c r="V533" s="4"/>
      <c r="W533" s="4"/>
      <c r="X533" s="4"/>
      <c r="Y533" s="4"/>
      <c r="Z533" s="4"/>
    </row>
    <row r="534">
      <c r="A534" s="77"/>
      <c r="B534" s="17"/>
      <c r="C534" s="17"/>
      <c r="D534" s="17"/>
      <c r="E534" s="17"/>
      <c r="F534" s="17"/>
      <c r="G534" s="78"/>
      <c r="H534" s="78"/>
      <c r="I534" s="17"/>
      <c r="J534" s="17"/>
      <c r="K534" s="17"/>
      <c r="L534" s="4"/>
      <c r="M534" s="4"/>
      <c r="N534" s="4"/>
      <c r="O534" s="4"/>
      <c r="P534" s="4"/>
      <c r="Q534" s="4"/>
      <c r="R534" s="4"/>
      <c r="S534" s="4"/>
      <c r="T534" s="4"/>
      <c r="U534" s="4"/>
      <c r="V534" s="4"/>
      <c r="W534" s="4"/>
      <c r="X534" s="4"/>
      <c r="Y534" s="4"/>
      <c r="Z534" s="4"/>
    </row>
    <row r="535">
      <c r="A535" s="77"/>
      <c r="B535" s="17"/>
      <c r="C535" s="17"/>
      <c r="D535" s="17"/>
      <c r="E535" s="17"/>
      <c r="F535" s="17"/>
      <c r="G535" s="78"/>
      <c r="H535" s="78"/>
      <c r="I535" s="17"/>
      <c r="J535" s="17"/>
      <c r="K535" s="17"/>
      <c r="L535" s="4"/>
      <c r="M535" s="4"/>
      <c r="N535" s="4"/>
      <c r="O535" s="4"/>
      <c r="P535" s="4"/>
      <c r="Q535" s="4"/>
      <c r="R535" s="4"/>
      <c r="S535" s="4"/>
      <c r="T535" s="4"/>
      <c r="U535" s="4"/>
      <c r="V535" s="4"/>
      <c r="W535" s="4"/>
      <c r="X535" s="4"/>
      <c r="Y535" s="4"/>
      <c r="Z535" s="4"/>
    </row>
    <row r="536">
      <c r="A536" s="77"/>
      <c r="B536" s="17"/>
      <c r="C536" s="17"/>
      <c r="D536" s="17"/>
      <c r="E536" s="17"/>
      <c r="F536" s="17"/>
      <c r="G536" s="78"/>
      <c r="H536" s="78"/>
      <c r="I536" s="17"/>
      <c r="J536" s="17"/>
      <c r="K536" s="17"/>
      <c r="L536" s="4"/>
      <c r="M536" s="4"/>
      <c r="N536" s="4"/>
      <c r="O536" s="4"/>
      <c r="P536" s="4"/>
      <c r="Q536" s="4"/>
      <c r="R536" s="4"/>
      <c r="S536" s="4"/>
      <c r="T536" s="4"/>
      <c r="U536" s="4"/>
      <c r="V536" s="4"/>
      <c r="W536" s="4"/>
      <c r="X536" s="4"/>
      <c r="Y536" s="4"/>
      <c r="Z536" s="4"/>
    </row>
    <row r="537">
      <c r="A537" s="77"/>
      <c r="B537" s="17"/>
      <c r="C537" s="17"/>
      <c r="D537" s="17"/>
      <c r="E537" s="17"/>
      <c r="F537" s="17"/>
      <c r="G537" s="78"/>
      <c r="H537" s="78"/>
      <c r="I537" s="17"/>
      <c r="J537" s="17"/>
      <c r="K537" s="17"/>
      <c r="L537" s="4"/>
      <c r="M537" s="4"/>
      <c r="N537" s="4"/>
      <c r="O537" s="4"/>
      <c r="P537" s="4"/>
      <c r="Q537" s="4"/>
      <c r="R537" s="4"/>
      <c r="S537" s="4"/>
      <c r="T537" s="4"/>
      <c r="U537" s="4"/>
      <c r="V537" s="4"/>
      <c r="W537" s="4"/>
      <c r="X537" s="4"/>
      <c r="Y537" s="4"/>
      <c r="Z537" s="4"/>
    </row>
    <row r="538">
      <c r="A538" s="77"/>
      <c r="B538" s="17"/>
      <c r="C538" s="17"/>
      <c r="D538" s="17"/>
      <c r="E538" s="17"/>
      <c r="F538" s="17"/>
      <c r="G538" s="78"/>
      <c r="H538" s="78"/>
      <c r="I538" s="17"/>
      <c r="J538" s="17"/>
      <c r="K538" s="17"/>
      <c r="L538" s="4"/>
      <c r="M538" s="4"/>
      <c r="N538" s="4"/>
      <c r="O538" s="4"/>
      <c r="P538" s="4"/>
      <c r="Q538" s="4"/>
      <c r="R538" s="4"/>
      <c r="S538" s="4"/>
      <c r="T538" s="4"/>
      <c r="U538" s="4"/>
      <c r="V538" s="4"/>
      <c r="W538" s="4"/>
      <c r="X538" s="4"/>
      <c r="Y538" s="4"/>
      <c r="Z538" s="4"/>
    </row>
    <row r="539">
      <c r="A539" s="77"/>
      <c r="B539" s="17"/>
      <c r="C539" s="17"/>
      <c r="D539" s="17"/>
      <c r="E539" s="17"/>
      <c r="F539" s="17"/>
      <c r="G539" s="78"/>
      <c r="H539" s="78"/>
      <c r="I539" s="17"/>
      <c r="J539" s="17"/>
      <c r="K539" s="17"/>
      <c r="L539" s="4"/>
      <c r="M539" s="4"/>
      <c r="N539" s="4"/>
      <c r="O539" s="4"/>
      <c r="P539" s="4"/>
      <c r="Q539" s="4"/>
      <c r="R539" s="4"/>
      <c r="S539" s="4"/>
      <c r="T539" s="4"/>
      <c r="U539" s="4"/>
      <c r="V539" s="4"/>
      <c r="W539" s="4"/>
      <c r="X539" s="4"/>
      <c r="Y539" s="4"/>
      <c r="Z539" s="4"/>
    </row>
    <row r="540">
      <c r="A540" s="77"/>
      <c r="B540" s="17"/>
      <c r="C540" s="17"/>
      <c r="D540" s="17"/>
      <c r="E540" s="17"/>
      <c r="F540" s="17"/>
      <c r="G540" s="78"/>
      <c r="H540" s="78"/>
      <c r="I540" s="17"/>
      <c r="J540" s="17"/>
      <c r="K540" s="17"/>
      <c r="L540" s="4"/>
      <c r="M540" s="4"/>
      <c r="N540" s="4"/>
      <c r="O540" s="4"/>
      <c r="P540" s="4"/>
      <c r="Q540" s="4"/>
      <c r="R540" s="4"/>
      <c r="S540" s="4"/>
      <c r="T540" s="4"/>
      <c r="U540" s="4"/>
      <c r="V540" s="4"/>
      <c r="W540" s="4"/>
      <c r="X540" s="4"/>
      <c r="Y540" s="4"/>
      <c r="Z540" s="4"/>
    </row>
    <row r="541">
      <c r="A541" s="77"/>
      <c r="B541" s="17"/>
      <c r="C541" s="17"/>
      <c r="D541" s="17"/>
      <c r="E541" s="17"/>
      <c r="F541" s="17"/>
      <c r="G541" s="78"/>
      <c r="H541" s="78"/>
      <c r="I541" s="17"/>
      <c r="J541" s="17"/>
      <c r="K541" s="17"/>
      <c r="L541" s="4"/>
      <c r="M541" s="4"/>
      <c r="N541" s="4"/>
      <c r="O541" s="4"/>
      <c r="P541" s="4"/>
      <c r="Q541" s="4"/>
      <c r="R541" s="4"/>
      <c r="S541" s="4"/>
      <c r="T541" s="4"/>
      <c r="U541" s="4"/>
      <c r="V541" s="4"/>
      <c r="W541" s="4"/>
      <c r="X541" s="4"/>
      <c r="Y541" s="4"/>
      <c r="Z541" s="4"/>
    </row>
    <row r="542">
      <c r="A542" s="77"/>
      <c r="B542" s="17"/>
      <c r="C542" s="17"/>
      <c r="D542" s="17"/>
      <c r="E542" s="17"/>
      <c r="F542" s="17"/>
      <c r="G542" s="78"/>
      <c r="H542" s="78"/>
      <c r="I542" s="17"/>
      <c r="J542" s="17"/>
      <c r="K542" s="17"/>
      <c r="L542" s="4"/>
      <c r="M542" s="4"/>
      <c r="N542" s="4"/>
      <c r="O542" s="4"/>
      <c r="P542" s="4"/>
      <c r="Q542" s="4"/>
      <c r="R542" s="4"/>
      <c r="S542" s="4"/>
      <c r="T542" s="4"/>
      <c r="U542" s="4"/>
      <c r="V542" s="4"/>
      <c r="W542" s="4"/>
      <c r="X542" s="4"/>
      <c r="Y542" s="4"/>
      <c r="Z542" s="4"/>
    </row>
    <row r="543">
      <c r="A543" s="77"/>
      <c r="B543" s="17"/>
      <c r="C543" s="17"/>
      <c r="D543" s="17"/>
      <c r="E543" s="17"/>
      <c r="F543" s="17"/>
      <c r="G543" s="78"/>
      <c r="H543" s="78"/>
      <c r="I543" s="17"/>
      <c r="J543" s="17"/>
      <c r="K543" s="17"/>
      <c r="L543" s="4"/>
      <c r="M543" s="4"/>
      <c r="N543" s="4"/>
      <c r="O543" s="4"/>
      <c r="P543" s="4"/>
      <c r="Q543" s="4"/>
      <c r="R543" s="4"/>
      <c r="S543" s="4"/>
      <c r="T543" s="4"/>
      <c r="U543" s="4"/>
      <c r="V543" s="4"/>
      <c r="W543" s="4"/>
      <c r="X543" s="4"/>
      <c r="Y543" s="4"/>
      <c r="Z543" s="4"/>
    </row>
    <row r="544">
      <c r="A544" s="77"/>
      <c r="B544" s="17"/>
      <c r="C544" s="17"/>
      <c r="D544" s="17"/>
      <c r="E544" s="17"/>
      <c r="F544" s="17"/>
      <c r="G544" s="78"/>
      <c r="H544" s="78"/>
      <c r="I544" s="17"/>
      <c r="J544" s="17"/>
      <c r="K544" s="17"/>
      <c r="L544" s="4"/>
      <c r="M544" s="4"/>
      <c r="N544" s="4"/>
      <c r="O544" s="4"/>
      <c r="P544" s="4"/>
      <c r="Q544" s="4"/>
      <c r="R544" s="4"/>
      <c r="S544" s="4"/>
      <c r="T544" s="4"/>
      <c r="U544" s="4"/>
      <c r="V544" s="4"/>
      <c r="W544" s="4"/>
      <c r="X544" s="4"/>
      <c r="Y544" s="4"/>
      <c r="Z544" s="4"/>
    </row>
    <row r="545">
      <c r="A545" s="77"/>
      <c r="B545" s="17"/>
      <c r="C545" s="17"/>
      <c r="D545" s="17"/>
      <c r="E545" s="17"/>
      <c r="F545" s="17"/>
      <c r="G545" s="78"/>
      <c r="H545" s="78"/>
      <c r="I545" s="17"/>
      <c r="J545" s="17"/>
      <c r="K545" s="17"/>
      <c r="L545" s="4"/>
      <c r="M545" s="4"/>
      <c r="N545" s="4"/>
      <c r="O545" s="4"/>
      <c r="P545" s="4"/>
      <c r="Q545" s="4"/>
      <c r="R545" s="4"/>
      <c r="S545" s="4"/>
      <c r="T545" s="4"/>
      <c r="U545" s="4"/>
      <c r="V545" s="4"/>
      <c r="W545" s="4"/>
      <c r="X545" s="4"/>
      <c r="Y545" s="4"/>
      <c r="Z545" s="4"/>
    </row>
    <row r="546">
      <c r="A546" s="77"/>
      <c r="B546" s="17"/>
      <c r="C546" s="17"/>
      <c r="D546" s="17"/>
      <c r="E546" s="17"/>
      <c r="F546" s="17"/>
      <c r="G546" s="78"/>
      <c r="H546" s="78"/>
      <c r="I546" s="17"/>
      <c r="J546" s="17"/>
      <c r="K546" s="17"/>
      <c r="L546" s="4"/>
      <c r="M546" s="4"/>
      <c r="N546" s="4"/>
      <c r="O546" s="4"/>
      <c r="P546" s="4"/>
      <c r="Q546" s="4"/>
      <c r="R546" s="4"/>
      <c r="S546" s="4"/>
      <c r="T546" s="4"/>
      <c r="U546" s="4"/>
      <c r="V546" s="4"/>
      <c r="W546" s="4"/>
      <c r="X546" s="4"/>
      <c r="Y546" s="4"/>
      <c r="Z546" s="4"/>
    </row>
    <row r="547">
      <c r="A547" s="77"/>
      <c r="B547" s="17"/>
      <c r="C547" s="17"/>
      <c r="D547" s="17"/>
      <c r="E547" s="17"/>
      <c r="F547" s="17"/>
      <c r="G547" s="78"/>
      <c r="H547" s="78"/>
      <c r="I547" s="17"/>
      <c r="J547" s="17"/>
      <c r="K547" s="17"/>
      <c r="L547" s="4"/>
      <c r="M547" s="4"/>
      <c r="N547" s="4"/>
      <c r="O547" s="4"/>
      <c r="P547" s="4"/>
      <c r="Q547" s="4"/>
      <c r="R547" s="4"/>
      <c r="S547" s="4"/>
      <c r="T547" s="4"/>
      <c r="U547" s="4"/>
      <c r="V547" s="4"/>
      <c r="W547" s="4"/>
      <c r="X547" s="4"/>
      <c r="Y547" s="4"/>
      <c r="Z547" s="4"/>
    </row>
    <row r="548">
      <c r="A548" s="77"/>
      <c r="B548" s="17"/>
      <c r="C548" s="17"/>
      <c r="D548" s="17"/>
      <c r="E548" s="17"/>
      <c r="F548" s="17"/>
      <c r="G548" s="78"/>
      <c r="H548" s="78"/>
      <c r="I548" s="17"/>
      <c r="J548" s="17"/>
      <c r="K548" s="17"/>
      <c r="L548" s="4"/>
      <c r="M548" s="4"/>
      <c r="N548" s="4"/>
      <c r="O548" s="4"/>
      <c r="P548" s="4"/>
      <c r="Q548" s="4"/>
      <c r="R548" s="4"/>
      <c r="S548" s="4"/>
      <c r="T548" s="4"/>
      <c r="U548" s="4"/>
      <c r="V548" s="4"/>
      <c r="W548" s="4"/>
      <c r="X548" s="4"/>
      <c r="Y548" s="4"/>
      <c r="Z548" s="4"/>
    </row>
    <row r="549">
      <c r="A549" s="77"/>
      <c r="B549" s="17"/>
      <c r="C549" s="17"/>
      <c r="D549" s="17"/>
      <c r="E549" s="17"/>
      <c r="F549" s="17"/>
      <c r="G549" s="78"/>
      <c r="H549" s="78"/>
      <c r="I549" s="17"/>
      <c r="J549" s="17"/>
      <c r="K549" s="17"/>
      <c r="L549" s="4"/>
      <c r="M549" s="4"/>
      <c r="N549" s="4"/>
      <c r="O549" s="4"/>
      <c r="P549" s="4"/>
      <c r="Q549" s="4"/>
      <c r="R549" s="4"/>
      <c r="S549" s="4"/>
      <c r="T549" s="4"/>
      <c r="U549" s="4"/>
      <c r="V549" s="4"/>
      <c r="W549" s="4"/>
      <c r="X549" s="4"/>
      <c r="Y549" s="4"/>
      <c r="Z549" s="4"/>
    </row>
    <row r="550">
      <c r="A550" s="77"/>
      <c r="B550" s="17"/>
      <c r="C550" s="17"/>
      <c r="D550" s="17"/>
      <c r="E550" s="17"/>
      <c r="F550" s="17"/>
      <c r="G550" s="78"/>
      <c r="H550" s="78"/>
      <c r="I550" s="17"/>
      <c r="J550" s="17"/>
      <c r="K550" s="17"/>
      <c r="L550" s="4"/>
      <c r="M550" s="4"/>
      <c r="N550" s="4"/>
      <c r="O550" s="4"/>
      <c r="P550" s="4"/>
      <c r="Q550" s="4"/>
      <c r="R550" s="4"/>
      <c r="S550" s="4"/>
      <c r="T550" s="4"/>
      <c r="U550" s="4"/>
      <c r="V550" s="4"/>
      <c r="W550" s="4"/>
      <c r="X550" s="4"/>
      <c r="Y550" s="4"/>
      <c r="Z550" s="4"/>
    </row>
    <row r="551">
      <c r="A551" s="77"/>
      <c r="B551" s="17"/>
      <c r="C551" s="17"/>
      <c r="D551" s="17"/>
      <c r="E551" s="17"/>
      <c r="F551" s="17"/>
      <c r="G551" s="78"/>
      <c r="H551" s="78"/>
      <c r="I551" s="17"/>
      <c r="J551" s="17"/>
      <c r="K551" s="17"/>
      <c r="L551" s="4"/>
      <c r="M551" s="4"/>
      <c r="N551" s="4"/>
      <c r="O551" s="4"/>
      <c r="P551" s="4"/>
      <c r="Q551" s="4"/>
      <c r="R551" s="4"/>
      <c r="S551" s="4"/>
      <c r="T551" s="4"/>
      <c r="U551" s="4"/>
      <c r="V551" s="4"/>
      <c r="W551" s="4"/>
      <c r="X551" s="4"/>
      <c r="Y551" s="4"/>
      <c r="Z551" s="4"/>
    </row>
    <row r="552">
      <c r="A552" s="77"/>
      <c r="B552" s="17"/>
      <c r="C552" s="17"/>
      <c r="D552" s="17"/>
      <c r="E552" s="17"/>
      <c r="F552" s="17"/>
      <c r="G552" s="78"/>
      <c r="H552" s="78"/>
      <c r="I552" s="17"/>
      <c r="J552" s="17"/>
      <c r="K552" s="17"/>
      <c r="L552" s="4"/>
      <c r="M552" s="4"/>
      <c r="N552" s="4"/>
      <c r="O552" s="4"/>
      <c r="P552" s="4"/>
      <c r="Q552" s="4"/>
      <c r="R552" s="4"/>
      <c r="S552" s="4"/>
      <c r="T552" s="4"/>
      <c r="U552" s="4"/>
      <c r="V552" s="4"/>
      <c r="W552" s="4"/>
      <c r="X552" s="4"/>
      <c r="Y552" s="4"/>
      <c r="Z552" s="4"/>
    </row>
    <row r="553">
      <c r="A553" s="77"/>
      <c r="B553" s="17"/>
      <c r="C553" s="17"/>
      <c r="D553" s="17"/>
      <c r="E553" s="17"/>
      <c r="F553" s="17"/>
      <c r="G553" s="78"/>
      <c r="H553" s="78"/>
      <c r="I553" s="17"/>
      <c r="J553" s="17"/>
      <c r="K553" s="17"/>
      <c r="L553" s="4"/>
      <c r="M553" s="4"/>
      <c r="N553" s="4"/>
      <c r="O553" s="4"/>
      <c r="P553" s="4"/>
      <c r="Q553" s="4"/>
      <c r="R553" s="4"/>
      <c r="S553" s="4"/>
      <c r="T553" s="4"/>
      <c r="U553" s="4"/>
      <c r="V553" s="4"/>
      <c r="W553" s="4"/>
      <c r="X553" s="4"/>
      <c r="Y553" s="4"/>
      <c r="Z553" s="4"/>
    </row>
    <row r="554">
      <c r="A554" s="77"/>
      <c r="B554" s="17"/>
      <c r="C554" s="17"/>
      <c r="D554" s="17"/>
      <c r="E554" s="17"/>
      <c r="F554" s="17"/>
      <c r="G554" s="78"/>
      <c r="H554" s="78"/>
      <c r="I554" s="17"/>
      <c r="J554" s="17"/>
      <c r="K554" s="17"/>
      <c r="L554" s="4"/>
      <c r="M554" s="4"/>
      <c r="N554" s="4"/>
      <c r="O554" s="4"/>
      <c r="P554" s="4"/>
      <c r="Q554" s="4"/>
      <c r="R554" s="4"/>
      <c r="S554" s="4"/>
      <c r="T554" s="4"/>
      <c r="U554" s="4"/>
      <c r="V554" s="4"/>
      <c r="W554" s="4"/>
      <c r="X554" s="4"/>
      <c r="Y554" s="4"/>
      <c r="Z554" s="4"/>
    </row>
    <row r="555">
      <c r="A555" s="77"/>
      <c r="B555" s="17"/>
      <c r="C555" s="17"/>
      <c r="D555" s="17"/>
      <c r="E555" s="17"/>
      <c r="F555" s="17"/>
      <c r="G555" s="78"/>
      <c r="H555" s="78"/>
      <c r="I555" s="17"/>
      <c r="J555" s="17"/>
      <c r="K555" s="17"/>
      <c r="L555" s="4"/>
      <c r="M555" s="4"/>
      <c r="N555" s="4"/>
      <c r="O555" s="4"/>
      <c r="P555" s="4"/>
      <c r="Q555" s="4"/>
      <c r="R555" s="4"/>
      <c r="S555" s="4"/>
      <c r="T555" s="4"/>
      <c r="U555" s="4"/>
      <c r="V555" s="4"/>
      <c r="W555" s="4"/>
      <c r="X555" s="4"/>
      <c r="Y555" s="4"/>
      <c r="Z555" s="4"/>
    </row>
    <row r="556">
      <c r="A556" s="77"/>
      <c r="B556" s="17"/>
      <c r="C556" s="17"/>
      <c r="D556" s="17"/>
      <c r="E556" s="17"/>
      <c r="F556" s="17"/>
      <c r="G556" s="78"/>
      <c r="H556" s="78"/>
      <c r="I556" s="17"/>
      <c r="J556" s="17"/>
      <c r="K556" s="17"/>
      <c r="L556" s="4"/>
      <c r="M556" s="4"/>
      <c r="N556" s="4"/>
      <c r="O556" s="4"/>
      <c r="P556" s="4"/>
      <c r="Q556" s="4"/>
      <c r="R556" s="4"/>
      <c r="S556" s="4"/>
      <c r="T556" s="4"/>
      <c r="U556" s="4"/>
      <c r="V556" s="4"/>
      <c r="W556" s="4"/>
      <c r="X556" s="4"/>
      <c r="Y556" s="4"/>
      <c r="Z556" s="4"/>
    </row>
    <row r="557">
      <c r="A557" s="77"/>
      <c r="B557" s="17"/>
      <c r="C557" s="17"/>
      <c r="D557" s="17"/>
      <c r="E557" s="17"/>
      <c r="F557" s="17"/>
      <c r="G557" s="78"/>
      <c r="H557" s="78"/>
      <c r="I557" s="17"/>
      <c r="J557" s="17"/>
      <c r="K557" s="17"/>
      <c r="L557" s="4"/>
      <c r="M557" s="4"/>
      <c r="N557" s="4"/>
      <c r="O557" s="4"/>
      <c r="P557" s="4"/>
      <c r="Q557" s="4"/>
      <c r="R557" s="4"/>
      <c r="S557" s="4"/>
      <c r="T557" s="4"/>
      <c r="U557" s="4"/>
      <c r="V557" s="4"/>
      <c r="W557" s="4"/>
      <c r="X557" s="4"/>
      <c r="Y557" s="4"/>
      <c r="Z557" s="4"/>
    </row>
    <row r="558">
      <c r="A558" s="77"/>
      <c r="B558" s="17"/>
      <c r="C558" s="17"/>
      <c r="D558" s="17"/>
      <c r="E558" s="17"/>
      <c r="F558" s="17"/>
      <c r="G558" s="78"/>
      <c r="H558" s="78"/>
      <c r="I558" s="17"/>
      <c r="J558" s="17"/>
      <c r="K558" s="17"/>
      <c r="L558" s="4"/>
      <c r="M558" s="4"/>
      <c r="N558" s="4"/>
      <c r="O558" s="4"/>
      <c r="P558" s="4"/>
      <c r="Q558" s="4"/>
      <c r="R558" s="4"/>
      <c r="S558" s="4"/>
      <c r="T558" s="4"/>
      <c r="U558" s="4"/>
      <c r="V558" s="4"/>
      <c r="W558" s="4"/>
      <c r="X558" s="4"/>
      <c r="Y558" s="4"/>
      <c r="Z558" s="4"/>
    </row>
    <row r="559">
      <c r="A559" s="77"/>
      <c r="B559" s="17"/>
      <c r="C559" s="17"/>
      <c r="D559" s="17"/>
      <c r="E559" s="17"/>
      <c r="F559" s="17"/>
      <c r="G559" s="78"/>
      <c r="H559" s="78"/>
      <c r="I559" s="17"/>
      <c r="J559" s="17"/>
      <c r="K559" s="17"/>
      <c r="L559" s="4"/>
      <c r="M559" s="4"/>
      <c r="N559" s="4"/>
      <c r="O559" s="4"/>
      <c r="P559" s="4"/>
      <c r="Q559" s="4"/>
      <c r="R559" s="4"/>
      <c r="S559" s="4"/>
      <c r="T559" s="4"/>
      <c r="U559" s="4"/>
      <c r="V559" s="4"/>
      <c r="W559" s="4"/>
      <c r="X559" s="4"/>
      <c r="Y559" s="4"/>
      <c r="Z559" s="4"/>
    </row>
    <row r="560">
      <c r="A560" s="77"/>
      <c r="B560" s="17"/>
      <c r="C560" s="17"/>
      <c r="D560" s="17"/>
      <c r="E560" s="17"/>
      <c r="F560" s="17"/>
      <c r="G560" s="78"/>
      <c r="H560" s="78"/>
      <c r="I560" s="17"/>
      <c r="J560" s="17"/>
      <c r="K560" s="17"/>
      <c r="L560" s="4"/>
      <c r="M560" s="4"/>
      <c r="N560" s="4"/>
      <c r="O560" s="4"/>
      <c r="P560" s="4"/>
      <c r="Q560" s="4"/>
      <c r="R560" s="4"/>
      <c r="S560" s="4"/>
      <c r="T560" s="4"/>
      <c r="U560" s="4"/>
      <c r="V560" s="4"/>
      <c r="W560" s="4"/>
      <c r="X560" s="4"/>
      <c r="Y560" s="4"/>
      <c r="Z560" s="4"/>
    </row>
    <row r="561">
      <c r="A561" s="77"/>
      <c r="B561" s="17"/>
      <c r="C561" s="17"/>
      <c r="D561" s="17"/>
      <c r="E561" s="17"/>
      <c r="F561" s="17"/>
      <c r="G561" s="78"/>
      <c r="H561" s="78"/>
      <c r="I561" s="17"/>
      <c r="J561" s="17"/>
      <c r="K561" s="17"/>
      <c r="L561" s="4"/>
      <c r="M561" s="4"/>
      <c r="N561" s="4"/>
      <c r="O561" s="4"/>
      <c r="P561" s="4"/>
      <c r="Q561" s="4"/>
      <c r="R561" s="4"/>
      <c r="S561" s="4"/>
      <c r="T561" s="4"/>
      <c r="U561" s="4"/>
      <c r="V561" s="4"/>
      <c r="W561" s="4"/>
      <c r="X561" s="4"/>
      <c r="Y561" s="4"/>
      <c r="Z561" s="4"/>
    </row>
    <row r="562">
      <c r="A562" s="77"/>
      <c r="B562" s="17"/>
      <c r="C562" s="17"/>
      <c r="D562" s="17"/>
      <c r="E562" s="17"/>
      <c r="F562" s="17"/>
      <c r="G562" s="78"/>
      <c r="H562" s="78"/>
      <c r="I562" s="17"/>
      <c r="J562" s="17"/>
      <c r="K562" s="17"/>
      <c r="L562" s="4"/>
      <c r="M562" s="4"/>
      <c r="N562" s="4"/>
      <c r="O562" s="4"/>
      <c r="P562" s="4"/>
      <c r="Q562" s="4"/>
      <c r="R562" s="4"/>
      <c r="S562" s="4"/>
      <c r="T562" s="4"/>
      <c r="U562" s="4"/>
      <c r="V562" s="4"/>
      <c r="W562" s="4"/>
      <c r="X562" s="4"/>
      <c r="Y562" s="4"/>
      <c r="Z562" s="4"/>
    </row>
    <row r="563">
      <c r="A563" s="77"/>
      <c r="B563" s="17"/>
      <c r="C563" s="17"/>
      <c r="D563" s="17"/>
      <c r="E563" s="17"/>
      <c r="F563" s="17"/>
      <c r="G563" s="78"/>
      <c r="H563" s="78"/>
      <c r="I563" s="17"/>
      <c r="J563" s="17"/>
      <c r="K563" s="17"/>
      <c r="L563" s="4"/>
      <c r="M563" s="4"/>
      <c r="N563" s="4"/>
      <c r="O563" s="4"/>
      <c r="P563" s="4"/>
      <c r="Q563" s="4"/>
      <c r="R563" s="4"/>
      <c r="S563" s="4"/>
      <c r="T563" s="4"/>
      <c r="U563" s="4"/>
      <c r="V563" s="4"/>
      <c r="W563" s="4"/>
      <c r="X563" s="4"/>
      <c r="Y563" s="4"/>
      <c r="Z563" s="4"/>
    </row>
    <row r="564">
      <c r="A564" s="77"/>
      <c r="B564" s="17"/>
      <c r="C564" s="17"/>
      <c r="D564" s="17"/>
      <c r="E564" s="17"/>
      <c r="F564" s="17"/>
      <c r="G564" s="78"/>
      <c r="H564" s="78"/>
      <c r="I564" s="17"/>
      <c r="J564" s="17"/>
      <c r="K564" s="17"/>
      <c r="L564" s="4"/>
      <c r="M564" s="4"/>
      <c r="N564" s="4"/>
      <c r="O564" s="4"/>
      <c r="P564" s="4"/>
      <c r="Q564" s="4"/>
      <c r="R564" s="4"/>
      <c r="S564" s="4"/>
      <c r="T564" s="4"/>
      <c r="U564" s="4"/>
      <c r="V564" s="4"/>
      <c r="W564" s="4"/>
      <c r="X564" s="4"/>
      <c r="Y564" s="4"/>
      <c r="Z564" s="4"/>
    </row>
    <row r="565">
      <c r="A565" s="77"/>
      <c r="B565" s="17"/>
      <c r="C565" s="17"/>
      <c r="D565" s="17"/>
      <c r="E565" s="17"/>
      <c r="F565" s="17"/>
      <c r="G565" s="78"/>
      <c r="H565" s="78"/>
      <c r="I565" s="17"/>
      <c r="J565" s="17"/>
      <c r="K565" s="17"/>
      <c r="L565" s="4"/>
      <c r="M565" s="4"/>
      <c r="N565" s="4"/>
      <c r="O565" s="4"/>
      <c r="P565" s="4"/>
      <c r="Q565" s="4"/>
      <c r="R565" s="4"/>
      <c r="S565" s="4"/>
      <c r="T565" s="4"/>
      <c r="U565" s="4"/>
      <c r="V565" s="4"/>
      <c r="W565" s="4"/>
      <c r="X565" s="4"/>
      <c r="Y565" s="4"/>
      <c r="Z565" s="4"/>
    </row>
    <row r="566">
      <c r="A566" s="77"/>
      <c r="B566" s="17"/>
      <c r="C566" s="17"/>
      <c r="D566" s="17"/>
      <c r="E566" s="17"/>
      <c r="F566" s="17"/>
      <c r="G566" s="78"/>
      <c r="H566" s="78"/>
      <c r="I566" s="17"/>
      <c r="J566" s="17"/>
      <c r="K566" s="17"/>
      <c r="L566" s="4"/>
      <c r="M566" s="4"/>
      <c r="N566" s="4"/>
      <c r="O566" s="4"/>
      <c r="P566" s="4"/>
      <c r="Q566" s="4"/>
      <c r="R566" s="4"/>
      <c r="S566" s="4"/>
      <c r="T566" s="4"/>
      <c r="U566" s="4"/>
      <c r="V566" s="4"/>
      <c r="W566" s="4"/>
      <c r="X566" s="4"/>
      <c r="Y566" s="4"/>
      <c r="Z566" s="4"/>
    </row>
    <row r="567">
      <c r="A567" s="77"/>
      <c r="B567" s="17"/>
      <c r="C567" s="17"/>
      <c r="D567" s="17"/>
      <c r="E567" s="17"/>
      <c r="F567" s="17"/>
      <c r="G567" s="78"/>
      <c r="H567" s="78"/>
      <c r="I567" s="17"/>
      <c r="J567" s="17"/>
      <c r="K567" s="17"/>
      <c r="L567" s="4"/>
      <c r="M567" s="4"/>
      <c r="N567" s="4"/>
      <c r="O567" s="4"/>
      <c r="P567" s="4"/>
      <c r="Q567" s="4"/>
      <c r="R567" s="4"/>
      <c r="S567" s="4"/>
      <c r="T567" s="4"/>
      <c r="U567" s="4"/>
      <c r="V567" s="4"/>
      <c r="W567" s="4"/>
      <c r="X567" s="4"/>
      <c r="Y567" s="4"/>
      <c r="Z567" s="4"/>
    </row>
    <row r="568">
      <c r="A568" s="77"/>
      <c r="B568" s="17"/>
      <c r="C568" s="17"/>
      <c r="D568" s="17"/>
      <c r="E568" s="17"/>
      <c r="F568" s="17"/>
      <c r="G568" s="78"/>
      <c r="H568" s="78"/>
      <c r="I568" s="17"/>
      <c r="J568" s="17"/>
      <c r="K568" s="17"/>
      <c r="L568" s="4"/>
      <c r="M568" s="4"/>
      <c r="N568" s="4"/>
      <c r="O568" s="4"/>
      <c r="P568" s="4"/>
      <c r="Q568" s="4"/>
      <c r="R568" s="4"/>
      <c r="S568" s="4"/>
      <c r="T568" s="4"/>
      <c r="U568" s="4"/>
      <c r="V568" s="4"/>
      <c r="W568" s="4"/>
      <c r="X568" s="4"/>
      <c r="Y568" s="4"/>
      <c r="Z568" s="4"/>
    </row>
    <row r="569">
      <c r="A569" s="77"/>
      <c r="B569" s="17"/>
      <c r="C569" s="17"/>
      <c r="D569" s="17"/>
      <c r="E569" s="17"/>
      <c r="F569" s="17"/>
      <c r="G569" s="78"/>
      <c r="H569" s="78"/>
      <c r="I569" s="17"/>
      <c r="J569" s="17"/>
      <c r="K569" s="17"/>
      <c r="L569" s="4"/>
      <c r="M569" s="4"/>
      <c r="N569" s="4"/>
      <c r="O569" s="4"/>
      <c r="P569" s="4"/>
      <c r="Q569" s="4"/>
      <c r="R569" s="4"/>
      <c r="S569" s="4"/>
      <c r="T569" s="4"/>
      <c r="U569" s="4"/>
      <c r="V569" s="4"/>
      <c r="W569" s="4"/>
      <c r="X569" s="4"/>
      <c r="Y569" s="4"/>
      <c r="Z569" s="4"/>
    </row>
    <row r="570">
      <c r="A570" s="77"/>
      <c r="B570" s="17"/>
      <c r="C570" s="17"/>
      <c r="D570" s="17"/>
      <c r="E570" s="17"/>
      <c r="F570" s="17"/>
      <c r="G570" s="78"/>
      <c r="H570" s="78"/>
      <c r="I570" s="17"/>
      <c r="J570" s="17"/>
      <c r="K570" s="17"/>
      <c r="L570" s="4"/>
      <c r="M570" s="4"/>
      <c r="N570" s="4"/>
      <c r="O570" s="4"/>
      <c r="P570" s="4"/>
      <c r="Q570" s="4"/>
      <c r="R570" s="4"/>
      <c r="S570" s="4"/>
      <c r="T570" s="4"/>
      <c r="U570" s="4"/>
      <c r="V570" s="4"/>
      <c r="W570" s="4"/>
      <c r="X570" s="4"/>
      <c r="Y570" s="4"/>
      <c r="Z570" s="4"/>
    </row>
    <row r="571">
      <c r="A571" s="77"/>
      <c r="B571" s="17"/>
      <c r="C571" s="17"/>
      <c r="D571" s="17"/>
      <c r="E571" s="17"/>
      <c r="F571" s="17"/>
      <c r="G571" s="78"/>
      <c r="H571" s="78"/>
      <c r="I571" s="17"/>
      <c r="J571" s="17"/>
      <c r="K571" s="17"/>
      <c r="L571" s="4"/>
      <c r="M571" s="4"/>
      <c r="N571" s="4"/>
      <c r="O571" s="4"/>
      <c r="P571" s="4"/>
      <c r="Q571" s="4"/>
      <c r="R571" s="4"/>
      <c r="S571" s="4"/>
      <c r="T571" s="4"/>
      <c r="U571" s="4"/>
      <c r="V571" s="4"/>
      <c r="W571" s="4"/>
      <c r="X571" s="4"/>
      <c r="Y571" s="4"/>
      <c r="Z571" s="4"/>
    </row>
    <row r="572">
      <c r="A572" s="77"/>
      <c r="B572" s="17"/>
      <c r="C572" s="17"/>
      <c r="D572" s="17"/>
      <c r="E572" s="17"/>
      <c r="F572" s="17"/>
      <c r="G572" s="78"/>
      <c r="H572" s="78"/>
      <c r="I572" s="17"/>
      <c r="J572" s="17"/>
      <c r="K572" s="17"/>
      <c r="L572" s="4"/>
      <c r="M572" s="4"/>
      <c r="N572" s="4"/>
      <c r="O572" s="4"/>
      <c r="P572" s="4"/>
      <c r="Q572" s="4"/>
      <c r="R572" s="4"/>
      <c r="S572" s="4"/>
      <c r="T572" s="4"/>
      <c r="U572" s="4"/>
      <c r="V572" s="4"/>
      <c r="W572" s="4"/>
      <c r="X572" s="4"/>
      <c r="Y572" s="4"/>
      <c r="Z572" s="4"/>
    </row>
    <row r="573">
      <c r="A573" s="77"/>
      <c r="B573" s="17"/>
      <c r="C573" s="17"/>
      <c r="D573" s="17"/>
      <c r="E573" s="17"/>
      <c r="F573" s="17"/>
      <c r="G573" s="78"/>
      <c r="H573" s="78"/>
      <c r="I573" s="17"/>
      <c r="J573" s="17"/>
      <c r="K573" s="17"/>
      <c r="L573" s="4"/>
      <c r="M573" s="4"/>
      <c r="N573" s="4"/>
      <c r="O573" s="4"/>
      <c r="P573" s="4"/>
      <c r="Q573" s="4"/>
      <c r="R573" s="4"/>
      <c r="S573" s="4"/>
      <c r="T573" s="4"/>
      <c r="U573" s="4"/>
      <c r="V573" s="4"/>
      <c r="W573" s="4"/>
      <c r="X573" s="4"/>
      <c r="Y573" s="4"/>
      <c r="Z573" s="4"/>
    </row>
    <row r="574">
      <c r="A574" s="77"/>
      <c r="B574" s="17"/>
      <c r="C574" s="17"/>
      <c r="D574" s="17"/>
      <c r="E574" s="17"/>
      <c r="F574" s="17"/>
      <c r="G574" s="78"/>
      <c r="H574" s="78"/>
      <c r="I574" s="17"/>
      <c r="J574" s="17"/>
      <c r="K574" s="17"/>
      <c r="L574" s="4"/>
      <c r="M574" s="4"/>
      <c r="N574" s="4"/>
      <c r="O574" s="4"/>
      <c r="P574" s="4"/>
      <c r="Q574" s="4"/>
      <c r="R574" s="4"/>
      <c r="S574" s="4"/>
      <c r="T574" s="4"/>
      <c r="U574" s="4"/>
      <c r="V574" s="4"/>
      <c r="W574" s="4"/>
      <c r="X574" s="4"/>
      <c r="Y574" s="4"/>
      <c r="Z574" s="4"/>
    </row>
    <row r="575">
      <c r="A575" s="77"/>
      <c r="B575" s="17"/>
      <c r="C575" s="17"/>
      <c r="D575" s="17"/>
      <c r="E575" s="17"/>
      <c r="F575" s="17"/>
      <c r="G575" s="78"/>
      <c r="H575" s="78"/>
      <c r="I575" s="17"/>
      <c r="J575" s="17"/>
      <c r="K575" s="17"/>
      <c r="L575" s="4"/>
      <c r="M575" s="4"/>
      <c r="N575" s="4"/>
      <c r="O575" s="4"/>
      <c r="P575" s="4"/>
      <c r="Q575" s="4"/>
      <c r="R575" s="4"/>
      <c r="S575" s="4"/>
      <c r="T575" s="4"/>
      <c r="U575" s="4"/>
      <c r="V575" s="4"/>
      <c r="W575" s="4"/>
      <c r="X575" s="4"/>
      <c r="Y575" s="4"/>
      <c r="Z575" s="4"/>
    </row>
    <row r="576">
      <c r="A576" s="77"/>
      <c r="B576" s="17"/>
      <c r="C576" s="17"/>
      <c r="D576" s="17"/>
      <c r="E576" s="17"/>
      <c r="F576" s="17"/>
      <c r="G576" s="78"/>
      <c r="H576" s="78"/>
      <c r="I576" s="17"/>
      <c r="J576" s="17"/>
      <c r="K576" s="17"/>
      <c r="L576" s="4"/>
      <c r="M576" s="4"/>
      <c r="N576" s="4"/>
      <c r="O576" s="4"/>
      <c r="P576" s="4"/>
      <c r="Q576" s="4"/>
      <c r="R576" s="4"/>
      <c r="S576" s="4"/>
      <c r="T576" s="4"/>
      <c r="U576" s="4"/>
      <c r="V576" s="4"/>
      <c r="W576" s="4"/>
      <c r="X576" s="4"/>
      <c r="Y576" s="4"/>
      <c r="Z576" s="4"/>
    </row>
    <row r="577">
      <c r="A577" s="77"/>
      <c r="B577" s="17"/>
      <c r="C577" s="17"/>
      <c r="D577" s="17"/>
      <c r="E577" s="17"/>
      <c r="F577" s="17"/>
      <c r="G577" s="78"/>
      <c r="H577" s="78"/>
      <c r="I577" s="17"/>
      <c r="J577" s="17"/>
      <c r="K577" s="17"/>
      <c r="L577" s="4"/>
      <c r="M577" s="4"/>
      <c r="N577" s="4"/>
      <c r="O577" s="4"/>
      <c r="P577" s="4"/>
      <c r="Q577" s="4"/>
      <c r="R577" s="4"/>
      <c r="S577" s="4"/>
      <c r="T577" s="4"/>
      <c r="U577" s="4"/>
      <c r="V577" s="4"/>
      <c r="W577" s="4"/>
      <c r="X577" s="4"/>
      <c r="Y577" s="4"/>
      <c r="Z577" s="4"/>
    </row>
    <row r="578">
      <c r="A578" s="77"/>
      <c r="B578" s="17"/>
      <c r="C578" s="17"/>
      <c r="D578" s="17"/>
      <c r="E578" s="17"/>
      <c r="F578" s="17"/>
      <c r="G578" s="78"/>
      <c r="H578" s="78"/>
      <c r="I578" s="17"/>
      <c r="J578" s="17"/>
      <c r="K578" s="17"/>
      <c r="L578" s="4"/>
      <c r="M578" s="4"/>
      <c r="N578" s="4"/>
      <c r="O578" s="4"/>
      <c r="P578" s="4"/>
      <c r="Q578" s="4"/>
      <c r="R578" s="4"/>
      <c r="S578" s="4"/>
      <c r="T578" s="4"/>
      <c r="U578" s="4"/>
      <c r="V578" s="4"/>
      <c r="W578" s="4"/>
      <c r="X578" s="4"/>
      <c r="Y578" s="4"/>
      <c r="Z578" s="4"/>
    </row>
    <row r="579">
      <c r="A579" s="77"/>
      <c r="B579" s="17"/>
      <c r="C579" s="17"/>
      <c r="D579" s="17"/>
      <c r="E579" s="17"/>
      <c r="F579" s="17"/>
      <c r="G579" s="78"/>
      <c r="H579" s="78"/>
      <c r="I579" s="17"/>
      <c r="J579" s="17"/>
      <c r="K579" s="17"/>
      <c r="L579" s="4"/>
      <c r="M579" s="4"/>
      <c r="N579" s="4"/>
      <c r="O579" s="4"/>
      <c r="P579" s="4"/>
      <c r="Q579" s="4"/>
      <c r="R579" s="4"/>
      <c r="S579" s="4"/>
      <c r="T579" s="4"/>
      <c r="U579" s="4"/>
      <c r="V579" s="4"/>
      <c r="W579" s="4"/>
      <c r="X579" s="4"/>
      <c r="Y579" s="4"/>
      <c r="Z579" s="4"/>
    </row>
    <row r="580">
      <c r="A580" s="77"/>
      <c r="B580" s="17"/>
      <c r="C580" s="17"/>
      <c r="D580" s="17"/>
      <c r="E580" s="17"/>
      <c r="F580" s="17"/>
      <c r="G580" s="78"/>
      <c r="H580" s="78"/>
      <c r="I580" s="17"/>
      <c r="J580" s="17"/>
      <c r="K580" s="17"/>
      <c r="L580" s="4"/>
      <c r="M580" s="4"/>
      <c r="N580" s="4"/>
      <c r="O580" s="4"/>
      <c r="P580" s="4"/>
      <c r="Q580" s="4"/>
      <c r="R580" s="4"/>
      <c r="S580" s="4"/>
      <c r="T580" s="4"/>
      <c r="U580" s="4"/>
      <c r="V580" s="4"/>
      <c r="W580" s="4"/>
      <c r="X580" s="4"/>
      <c r="Y580" s="4"/>
      <c r="Z580" s="4"/>
    </row>
    <row r="581">
      <c r="A581" s="77"/>
      <c r="B581" s="17"/>
      <c r="C581" s="17"/>
      <c r="D581" s="17"/>
      <c r="E581" s="17"/>
      <c r="F581" s="17"/>
      <c r="G581" s="78"/>
      <c r="H581" s="78"/>
      <c r="I581" s="17"/>
      <c r="J581" s="17"/>
      <c r="K581" s="17"/>
      <c r="L581" s="4"/>
      <c r="M581" s="4"/>
      <c r="N581" s="4"/>
      <c r="O581" s="4"/>
      <c r="P581" s="4"/>
      <c r="Q581" s="4"/>
      <c r="R581" s="4"/>
      <c r="S581" s="4"/>
      <c r="T581" s="4"/>
      <c r="U581" s="4"/>
      <c r="V581" s="4"/>
      <c r="W581" s="4"/>
      <c r="X581" s="4"/>
      <c r="Y581" s="4"/>
      <c r="Z581" s="4"/>
    </row>
    <row r="582">
      <c r="A582" s="77"/>
      <c r="B582" s="17"/>
      <c r="C582" s="17"/>
      <c r="D582" s="17"/>
      <c r="E582" s="17"/>
      <c r="F582" s="17"/>
      <c r="G582" s="78"/>
      <c r="H582" s="78"/>
      <c r="I582" s="17"/>
      <c r="J582" s="17"/>
      <c r="K582" s="17"/>
      <c r="L582" s="4"/>
      <c r="M582" s="4"/>
      <c r="N582" s="4"/>
      <c r="O582" s="4"/>
      <c r="P582" s="4"/>
      <c r="Q582" s="4"/>
      <c r="R582" s="4"/>
      <c r="S582" s="4"/>
      <c r="T582" s="4"/>
      <c r="U582" s="4"/>
      <c r="V582" s="4"/>
      <c r="W582" s="4"/>
      <c r="X582" s="4"/>
      <c r="Y582" s="4"/>
      <c r="Z582" s="4"/>
    </row>
    <row r="583">
      <c r="A583" s="77"/>
      <c r="B583" s="17"/>
      <c r="C583" s="17"/>
      <c r="D583" s="17"/>
      <c r="E583" s="17"/>
      <c r="F583" s="17"/>
      <c r="G583" s="78"/>
      <c r="H583" s="78"/>
      <c r="I583" s="17"/>
      <c r="J583" s="17"/>
      <c r="K583" s="17"/>
      <c r="L583" s="4"/>
      <c r="M583" s="4"/>
      <c r="N583" s="4"/>
      <c r="O583" s="4"/>
      <c r="P583" s="4"/>
      <c r="Q583" s="4"/>
      <c r="R583" s="4"/>
      <c r="S583" s="4"/>
      <c r="T583" s="4"/>
      <c r="U583" s="4"/>
      <c r="V583" s="4"/>
      <c r="W583" s="4"/>
      <c r="X583" s="4"/>
      <c r="Y583" s="4"/>
      <c r="Z583" s="4"/>
    </row>
    <row r="584">
      <c r="A584" s="77"/>
      <c r="B584" s="17"/>
      <c r="C584" s="17"/>
      <c r="D584" s="17"/>
      <c r="E584" s="17"/>
      <c r="F584" s="17"/>
      <c r="G584" s="78"/>
      <c r="H584" s="78"/>
      <c r="I584" s="17"/>
      <c r="J584" s="17"/>
      <c r="K584" s="17"/>
      <c r="L584" s="4"/>
      <c r="M584" s="4"/>
      <c r="N584" s="4"/>
      <c r="O584" s="4"/>
      <c r="P584" s="4"/>
      <c r="Q584" s="4"/>
      <c r="R584" s="4"/>
      <c r="S584" s="4"/>
      <c r="T584" s="4"/>
      <c r="U584" s="4"/>
      <c r="V584" s="4"/>
      <c r="W584" s="4"/>
      <c r="X584" s="4"/>
      <c r="Y584" s="4"/>
      <c r="Z584" s="4"/>
    </row>
    <row r="585">
      <c r="A585" s="77"/>
      <c r="B585" s="17"/>
      <c r="C585" s="17"/>
      <c r="D585" s="17"/>
      <c r="E585" s="17"/>
      <c r="F585" s="17"/>
      <c r="G585" s="78"/>
      <c r="H585" s="78"/>
      <c r="I585" s="17"/>
      <c r="J585" s="17"/>
      <c r="K585" s="17"/>
      <c r="L585" s="4"/>
      <c r="M585" s="4"/>
      <c r="N585" s="4"/>
      <c r="O585" s="4"/>
      <c r="P585" s="4"/>
      <c r="Q585" s="4"/>
      <c r="R585" s="4"/>
      <c r="S585" s="4"/>
      <c r="T585" s="4"/>
      <c r="U585" s="4"/>
      <c r="V585" s="4"/>
      <c r="W585" s="4"/>
      <c r="X585" s="4"/>
      <c r="Y585" s="4"/>
      <c r="Z585" s="4"/>
    </row>
    <row r="586">
      <c r="A586" s="77"/>
      <c r="B586" s="17"/>
      <c r="C586" s="17"/>
      <c r="D586" s="17"/>
      <c r="E586" s="17"/>
      <c r="F586" s="17"/>
      <c r="G586" s="78"/>
      <c r="H586" s="78"/>
      <c r="I586" s="17"/>
      <c r="J586" s="17"/>
      <c r="K586" s="17"/>
      <c r="L586" s="4"/>
      <c r="M586" s="4"/>
      <c r="N586" s="4"/>
      <c r="O586" s="4"/>
      <c r="P586" s="4"/>
      <c r="Q586" s="4"/>
      <c r="R586" s="4"/>
      <c r="S586" s="4"/>
      <c r="T586" s="4"/>
      <c r="U586" s="4"/>
      <c r="V586" s="4"/>
      <c r="W586" s="4"/>
      <c r="X586" s="4"/>
      <c r="Y586" s="4"/>
      <c r="Z586" s="4"/>
    </row>
    <row r="587">
      <c r="A587" s="77"/>
      <c r="B587" s="17"/>
      <c r="C587" s="17"/>
      <c r="D587" s="17"/>
      <c r="E587" s="17"/>
      <c r="F587" s="17"/>
      <c r="G587" s="78"/>
      <c r="H587" s="78"/>
      <c r="I587" s="17"/>
      <c r="J587" s="17"/>
      <c r="K587" s="17"/>
      <c r="L587" s="4"/>
      <c r="M587" s="4"/>
      <c r="N587" s="4"/>
      <c r="O587" s="4"/>
      <c r="P587" s="4"/>
      <c r="Q587" s="4"/>
      <c r="R587" s="4"/>
      <c r="S587" s="4"/>
      <c r="T587" s="4"/>
      <c r="U587" s="4"/>
      <c r="V587" s="4"/>
      <c r="W587" s="4"/>
      <c r="X587" s="4"/>
      <c r="Y587" s="4"/>
      <c r="Z587" s="4"/>
    </row>
    <row r="588">
      <c r="A588" s="77"/>
      <c r="B588" s="17"/>
      <c r="C588" s="17"/>
      <c r="D588" s="17"/>
      <c r="E588" s="17"/>
      <c r="F588" s="17"/>
      <c r="G588" s="78"/>
      <c r="H588" s="78"/>
      <c r="I588" s="17"/>
      <c r="J588" s="17"/>
      <c r="K588" s="17"/>
      <c r="L588" s="4"/>
      <c r="M588" s="4"/>
      <c r="N588" s="4"/>
      <c r="O588" s="4"/>
      <c r="P588" s="4"/>
      <c r="Q588" s="4"/>
      <c r="R588" s="4"/>
      <c r="S588" s="4"/>
      <c r="T588" s="4"/>
      <c r="U588" s="4"/>
      <c r="V588" s="4"/>
      <c r="W588" s="4"/>
      <c r="X588" s="4"/>
      <c r="Y588" s="4"/>
      <c r="Z588" s="4"/>
    </row>
    <row r="589">
      <c r="A589" s="77"/>
      <c r="B589" s="17"/>
      <c r="C589" s="17"/>
      <c r="D589" s="17"/>
      <c r="E589" s="17"/>
      <c r="F589" s="17"/>
      <c r="G589" s="78"/>
      <c r="H589" s="78"/>
      <c r="I589" s="17"/>
      <c r="J589" s="17"/>
      <c r="K589" s="17"/>
      <c r="L589" s="4"/>
      <c r="M589" s="4"/>
      <c r="N589" s="4"/>
      <c r="O589" s="4"/>
      <c r="P589" s="4"/>
      <c r="Q589" s="4"/>
      <c r="R589" s="4"/>
      <c r="S589" s="4"/>
      <c r="T589" s="4"/>
      <c r="U589" s="4"/>
      <c r="V589" s="4"/>
      <c r="W589" s="4"/>
      <c r="X589" s="4"/>
      <c r="Y589" s="4"/>
      <c r="Z589" s="4"/>
    </row>
    <row r="590">
      <c r="A590" s="77"/>
      <c r="B590" s="17"/>
      <c r="C590" s="17"/>
      <c r="D590" s="17"/>
      <c r="E590" s="17"/>
      <c r="F590" s="17"/>
      <c r="G590" s="78"/>
      <c r="H590" s="78"/>
      <c r="I590" s="17"/>
      <c r="J590" s="17"/>
      <c r="K590" s="17"/>
      <c r="L590" s="4"/>
      <c r="M590" s="4"/>
      <c r="N590" s="4"/>
      <c r="O590" s="4"/>
      <c r="P590" s="4"/>
      <c r="Q590" s="4"/>
      <c r="R590" s="4"/>
      <c r="S590" s="4"/>
      <c r="T590" s="4"/>
      <c r="U590" s="4"/>
      <c r="V590" s="4"/>
      <c r="W590" s="4"/>
      <c r="X590" s="4"/>
      <c r="Y590" s="4"/>
      <c r="Z590" s="4"/>
    </row>
    <row r="591">
      <c r="A591" s="77"/>
      <c r="B591" s="17"/>
      <c r="C591" s="17"/>
      <c r="D591" s="17"/>
      <c r="E591" s="17"/>
      <c r="F591" s="17"/>
      <c r="G591" s="78"/>
      <c r="H591" s="78"/>
      <c r="I591" s="17"/>
      <c r="J591" s="17"/>
      <c r="K591" s="17"/>
      <c r="L591" s="4"/>
      <c r="M591" s="4"/>
      <c r="N591" s="4"/>
      <c r="O591" s="4"/>
      <c r="P591" s="4"/>
      <c r="Q591" s="4"/>
      <c r="R591" s="4"/>
      <c r="S591" s="4"/>
      <c r="T591" s="4"/>
      <c r="U591" s="4"/>
      <c r="V591" s="4"/>
      <c r="W591" s="4"/>
      <c r="X591" s="4"/>
      <c r="Y591" s="4"/>
      <c r="Z591" s="4"/>
    </row>
    <row r="592">
      <c r="A592" s="77"/>
      <c r="B592" s="17"/>
      <c r="C592" s="17"/>
      <c r="D592" s="17"/>
      <c r="E592" s="17"/>
      <c r="F592" s="17"/>
      <c r="G592" s="78"/>
      <c r="H592" s="78"/>
      <c r="I592" s="17"/>
      <c r="J592" s="17"/>
      <c r="K592" s="17"/>
      <c r="L592" s="4"/>
      <c r="M592" s="4"/>
      <c r="N592" s="4"/>
      <c r="O592" s="4"/>
      <c r="P592" s="4"/>
      <c r="Q592" s="4"/>
      <c r="R592" s="4"/>
      <c r="S592" s="4"/>
      <c r="T592" s="4"/>
      <c r="U592" s="4"/>
      <c r="V592" s="4"/>
      <c r="W592" s="4"/>
      <c r="X592" s="4"/>
      <c r="Y592" s="4"/>
      <c r="Z592" s="4"/>
    </row>
    <row r="593">
      <c r="A593" s="77"/>
      <c r="B593" s="17"/>
      <c r="C593" s="17"/>
      <c r="D593" s="17"/>
      <c r="E593" s="17"/>
      <c r="F593" s="17"/>
      <c r="G593" s="78"/>
      <c r="H593" s="78"/>
      <c r="I593" s="17"/>
      <c r="J593" s="17"/>
      <c r="K593" s="17"/>
      <c r="L593" s="4"/>
      <c r="M593" s="4"/>
      <c r="N593" s="4"/>
      <c r="O593" s="4"/>
      <c r="P593" s="4"/>
      <c r="Q593" s="4"/>
      <c r="R593" s="4"/>
      <c r="S593" s="4"/>
      <c r="T593" s="4"/>
      <c r="U593" s="4"/>
      <c r="V593" s="4"/>
      <c r="W593" s="4"/>
      <c r="X593" s="4"/>
      <c r="Y593" s="4"/>
      <c r="Z593" s="4"/>
    </row>
    <row r="594">
      <c r="A594" s="77"/>
      <c r="B594" s="17"/>
      <c r="C594" s="17"/>
      <c r="D594" s="17"/>
      <c r="E594" s="17"/>
      <c r="F594" s="17"/>
      <c r="G594" s="78"/>
      <c r="H594" s="78"/>
      <c r="I594" s="17"/>
      <c r="J594" s="17"/>
      <c r="K594" s="17"/>
      <c r="L594" s="4"/>
      <c r="M594" s="4"/>
      <c r="N594" s="4"/>
      <c r="O594" s="4"/>
      <c r="P594" s="4"/>
      <c r="Q594" s="4"/>
      <c r="R594" s="4"/>
      <c r="S594" s="4"/>
      <c r="T594" s="4"/>
      <c r="U594" s="4"/>
      <c r="V594" s="4"/>
      <c r="W594" s="4"/>
      <c r="X594" s="4"/>
      <c r="Y594" s="4"/>
      <c r="Z594" s="4"/>
    </row>
    <row r="595">
      <c r="A595" s="77"/>
      <c r="B595" s="17"/>
      <c r="C595" s="17"/>
      <c r="D595" s="17"/>
      <c r="E595" s="17"/>
      <c r="F595" s="17"/>
      <c r="G595" s="78"/>
      <c r="H595" s="78"/>
      <c r="I595" s="17"/>
      <c r="J595" s="17"/>
      <c r="K595" s="17"/>
      <c r="L595" s="4"/>
      <c r="M595" s="4"/>
      <c r="N595" s="4"/>
      <c r="O595" s="4"/>
      <c r="P595" s="4"/>
      <c r="Q595" s="4"/>
      <c r="R595" s="4"/>
      <c r="S595" s="4"/>
      <c r="T595" s="4"/>
      <c r="U595" s="4"/>
      <c r="V595" s="4"/>
      <c r="W595" s="4"/>
      <c r="X595" s="4"/>
      <c r="Y595" s="4"/>
      <c r="Z595" s="4"/>
    </row>
    <row r="596">
      <c r="A596" s="77"/>
      <c r="B596" s="17"/>
      <c r="C596" s="17"/>
      <c r="D596" s="17"/>
      <c r="E596" s="17"/>
      <c r="F596" s="17"/>
      <c r="G596" s="78"/>
      <c r="H596" s="78"/>
      <c r="I596" s="17"/>
      <c r="J596" s="17"/>
      <c r="K596" s="17"/>
      <c r="L596" s="4"/>
      <c r="M596" s="4"/>
      <c r="N596" s="4"/>
      <c r="O596" s="4"/>
      <c r="P596" s="4"/>
      <c r="Q596" s="4"/>
      <c r="R596" s="4"/>
      <c r="S596" s="4"/>
      <c r="T596" s="4"/>
      <c r="U596" s="4"/>
      <c r="V596" s="4"/>
      <c r="W596" s="4"/>
      <c r="X596" s="4"/>
      <c r="Y596" s="4"/>
      <c r="Z596" s="4"/>
    </row>
    <row r="597">
      <c r="A597" s="77"/>
      <c r="B597" s="17"/>
      <c r="C597" s="17"/>
      <c r="D597" s="17"/>
      <c r="E597" s="17"/>
      <c r="F597" s="17"/>
      <c r="G597" s="78"/>
      <c r="H597" s="78"/>
      <c r="I597" s="17"/>
      <c r="J597" s="17"/>
      <c r="K597" s="17"/>
      <c r="L597" s="4"/>
      <c r="M597" s="4"/>
      <c r="N597" s="4"/>
      <c r="O597" s="4"/>
      <c r="P597" s="4"/>
      <c r="Q597" s="4"/>
      <c r="R597" s="4"/>
      <c r="S597" s="4"/>
      <c r="T597" s="4"/>
      <c r="U597" s="4"/>
      <c r="V597" s="4"/>
      <c r="W597" s="4"/>
      <c r="X597" s="4"/>
      <c r="Y597" s="4"/>
      <c r="Z597" s="4"/>
    </row>
    <row r="598">
      <c r="A598" s="77"/>
      <c r="B598" s="17"/>
      <c r="C598" s="17"/>
      <c r="D598" s="17"/>
      <c r="E598" s="17"/>
      <c r="F598" s="17"/>
      <c r="G598" s="78"/>
      <c r="H598" s="78"/>
      <c r="I598" s="17"/>
      <c r="J598" s="17"/>
      <c r="K598" s="17"/>
      <c r="L598" s="4"/>
      <c r="M598" s="4"/>
      <c r="N598" s="4"/>
      <c r="O598" s="4"/>
      <c r="P598" s="4"/>
      <c r="Q598" s="4"/>
      <c r="R598" s="4"/>
      <c r="S598" s="4"/>
      <c r="T598" s="4"/>
      <c r="U598" s="4"/>
      <c r="V598" s="4"/>
      <c r="W598" s="4"/>
      <c r="X598" s="4"/>
      <c r="Y598" s="4"/>
      <c r="Z598" s="4"/>
    </row>
    <row r="599">
      <c r="A599" s="77"/>
      <c r="B599" s="17"/>
      <c r="C599" s="17"/>
      <c r="D599" s="17"/>
      <c r="E599" s="17"/>
      <c r="F599" s="17"/>
      <c r="G599" s="78"/>
      <c r="H599" s="78"/>
      <c r="I599" s="17"/>
      <c r="J599" s="17"/>
      <c r="K599" s="17"/>
      <c r="L599" s="4"/>
      <c r="M599" s="4"/>
      <c r="N599" s="4"/>
      <c r="O599" s="4"/>
      <c r="P599" s="4"/>
      <c r="Q599" s="4"/>
      <c r="R599" s="4"/>
      <c r="S599" s="4"/>
      <c r="T599" s="4"/>
      <c r="U599" s="4"/>
      <c r="V599" s="4"/>
      <c r="W599" s="4"/>
      <c r="X599" s="4"/>
      <c r="Y599" s="4"/>
      <c r="Z599" s="4"/>
    </row>
    <row r="600">
      <c r="A600" s="77"/>
      <c r="B600" s="17"/>
      <c r="C600" s="17"/>
      <c r="D600" s="17"/>
      <c r="E600" s="17"/>
      <c r="F600" s="17"/>
      <c r="G600" s="78"/>
      <c r="H600" s="78"/>
      <c r="I600" s="17"/>
      <c r="J600" s="17"/>
      <c r="K600" s="17"/>
      <c r="L600" s="4"/>
      <c r="M600" s="4"/>
      <c r="N600" s="4"/>
      <c r="O600" s="4"/>
      <c r="P600" s="4"/>
      <c r="Q600" s="4"/>
      <c r="R600" s="4"/>
      <c r="S600" s="4"/>
      <c r="T600" s="4"/>
      <c r="U600" s="4"/>
      <c r="V600" s="4"/>
      <c r="W600" s="4"/>
      <c r="X600" s="4"/>
      <c r="Y600" s="4"/>
      <c r="Z600" s="4"/>
    </row>
    <row r="601">
      <c r="A601" s="77"/>
      <c r="B601" s="17"/>
      <c r="C601" s="17"/>
      <c r="D601" s="17"/>
      <c r="E601" s="17"/>
      <c r="F601" s="17"/>
      <c r="G601" s="78"/>
      <c r="H601" s="78"/>
      <c r="I601" s="17"/>
      <c r="J601" s="17"/>
      <c r="K601" s="17"/>
      <c r="L601" s="4"/>
      <c r="M601" s="4"/>
      <c r="N601" s="4"/>
      <c r="O601" s="4"/>
      <c r="P601" s="4"/>
      <c r="Q601" s="4"/>
      <c r="R601" s="4"/>
      <c r="S601" s="4"/>
      <c r="T601" s="4"/>
      <c r="U601" s="4"/>
      <c r="V601" s="4"/>
      <c r="W601" s="4"/>
      <c r="X601" s="4"/>
      <c r="Y601" s="4"/>
      <c r="Z601" s="4"/>
    </row>
    <row r="602">
      <c r="A602" s="77"/>
      <c r="B602" s="17"/>
      <c r="C602" s="17"/>
      <c r="D602" s="17"/>
      <c r="E602" s="17"/>
      <c r="F602" s="17"/>
      <c r="G602" s="78"/>
      <c r="H602" s="78"/>
      <c r="I602" s="17"/>
      <c r="J602" s="17"/>
      <c r="K602" s="17"/>
      <c r="L602" s="4"/>
      <c r="M602" s="4"/>
      <c r="N602" s="4"/>
      <c r="O602" s="4"/>
      <c r="P602" s="4"/>
      <c r="Q602" s="4"/>
      <c r="R602" s="4"/>
      <c r="S602" s="4"/>
      <c r="T602" s="4"/>
      <c r="U602" s="4"/>
      <c r="V602" s="4"/>
      <c r="W602" s="4"/>
      <c r="X602" s="4"/>
      <c r="Y602" s="4"/>
      <c r="Z602" s="4"/>
    </row>
    <row r="603">
      <c r="A603" s="77"/>
      <c r="B603" s="17"/>
      <c r="C603" s="17"/>
      <c r="D603" s="17"/>
      <c r="E603" s="17"/>
      <c r="F603" s="17"/>
      <c r="G603" s="78"/>
      <c r="H603" s="78"/>
      <c r="I603" s="17"/>
      <c r="J603" s="17"/>
      <c r="K603" s="17"/>
      <c r="L603" s="4"/>
      <c r="M603" s="4"/>
      <c r="N603" s="4"/>
      <c r="O603" s="4"/>
      <c r="P603" s="4"/>
      <c r="Q603" s="4"/>
      <c r="R603" s="4"/>
      <c r="S603" s="4"/>
      <c r="T603" s="4"/>
      <c r="U603" s="4"/>
      <c r="V603" s="4"/>
      <c r="W603" s="4"/>
      <c r="X603" s="4"/>
      <c r="Y603" s="4"/>
      <c r="Z603" s="4"/>
    </row>
    <row r="604">
      <c r="A604" s="77"/>
      <c r="B604" s="17"/>
      <c r="C604" s="17"/>
      <c r="D604" s="17"/>
      <c r="E604" s="17"/>
      <c r="F604" s="17"/>
      <c r="G604" s="78"/>
      <c r="H604" s="78"/>
      <c r="I604" s="17"/>
      <c r="J604" s="17"/>
      <c r="K604" s="17"/>
      <c r="L604" s="4"/>
      <c r="M604" s="4"/>
      <c r="N604" s="4"/>
      <c r="O604" s="4"/>
      <c r="P604" s="4"/>
      <c r="Q604" s="4"/>
      <c r="R604" s="4"/>
      <c r="S604" s="4"/>
      <c r="T604" s="4"/>
      <c r="U604" s="4"/>
      <c r="V604" s="4"/>
      <c r="W604" s="4"/>
      <c r="X604" s="4"/>
      <c r="Y604" s="4"/>
      <c r="Z604" s="4"/>
    </row>
    <row r="605">
      <c r="A605" s="77"/>
      <c r="B605" s="17"/>
      <c r="C605" s="17"/>
      <c r="D605" s="17"/>
      <c r="E605" s="17"/>
      <c r="F605" s="17"/>
      <c r="G605" s="78"/>
      <c r="H605" s="78"/>
      <c r="I605" s="17"/>
      <c r="J605" s="17"/>
      <c r="K605" s="17"/>
      <c r="L605" s="4"/>
      <c r="M605" s="4"/>
      <c r="N605" s="4"/>
      <c r="O605" s="4"/>
      <c r="P605" s="4"/>
      <c r="Q605" s="4"/>
      <c r="R605" s="4"/>
      <c r="S605" s="4"/>
      <c r="T605" s="4"/>
      <c r="U605" s="4"/>
      <c r="V605" s="4"/>
      <c r="W605" s="4"/>
      <c r="X605" s="4"/>
      <c r="Y605" s="4"/>
      <c r="Z605" s="4"/>
    </row>
    <row r="606">
      <c r="A606" s="77"/>
      <c r="B606" s="17"/>
      <c r="C606" s="17"/>
      <c r="D606" s="17"/>
      <c r="E606" s="17"/>
      <c r="F606" s="17"/>
      <c r="G606" s="78"/>
      <c r="H606" s="78"/>
      <c r="I606" s="17"/>
      <c r="J606" s="17"/>
      <c r="K606" s="17"/>
      <c r="L606" s="4"/>
      <c r="M606" s="4"/>
      <c r="N606" s="4"/>
      <c r="O606" s="4"/>
      <c r="P606" s="4"/>
      <c r="Q606" s="4"/>
      <c r="R606" s="4"/>
      <c r="S606" s="4"/>
      <c r="T606" s="4"/>
      <c r="U606" s="4"/>
      <c r="V606" s="4"/>
      <c r="W606" s="4"/>
      <c r="X606" s="4"/>
      <c r="Y606" s="4"/>
      <c r="Z606" s="4"/>
    </row>
    <row r="607">
      <c r="A607" s="77"/>
      <c r="B607" s="17"/>
      <c r="C607" s="17"/>
      <c r="D607" s="17"/>
      <c r="E607" s="17"/>
      <c r="F607" s="17"/>
      <c r="G607" s="78"/>
      <c r="H607" s="78"/>
      <c r="I607" s="17"/>
      <c r="J607" s="17"/>
      <c r="K607" s="17"/>
      <c r="L607" s="4"/>
      <c r="M607" s="4"/>
      <c r="N607" s="4"/>
      <c r="O607" s="4"/>
      <c r="P607" s="4"/>
      <c r="Q607" s="4"/>
      <c r="R607" s="4"/>
      <c r="S607" s="4"/>
      <c r="T607" s="4"/>
      <c r="U607" s="4"/>
      <c r="V607" s="4"/>
      <c r="W607" s="4"/>
      <c r="X607" s="4"/>
      <c r="Y607" s="4"/>
      <c r="Z607" s="4"/>
    </row>
    <row r="608">
      <c r="A608" s="77"/>
      <c r="B608" s="17"/>
      <c r="C608" s="17"/>
      <c r="D608" s="17"/>
      <c r="E608" s="17"/>
      <c r="F608" s="17"/>
      <c r="G608" s="78"/>
      <c r="H608" s="78"/>
      <c r="I608" s="17"/>
      <c r="J608" s="17"/>
      <c r="K608" s="17"/>
      <c r="L608" s="4"/>
      <c r="M608" s="4"/>
      <c r="N608" s="4"/>
      <c r="O608" s="4"/>
      <c r="P608" s="4"/>
      <c r="Q608" s="4"/>
      <c r="R608" s="4"/>
      <c r="S608" s="4"/>
      <c r="T608" s="4"/>
      <c r="U608" s="4"/>
      <c r="V608" s="4"/>
      <c r="W608" s="4"/>
      <c r="X608" s="4"/>
      <c r="Y608" s="4"/>
      <c r="Z608" s="4"/>
    </row>
    <row r="609">
      <c r="A609" s="77"/>
      <c r="B609" s="17"/>
      <c r="C609" s="17"/>
      <c r="D609" s="17"/>
      <c r="E609" s="17"/>
      <c r="F609" s="17"/>
      <c r="G609" s="78"/>
      <c r="H609" s="78"/>
      <c r="I609" s="17"/>
      <c r="J609" s="17"/>
      <c r="K609" s="17"/>
      <c r="L609" s="4"/>
      <c r="M609" s="4"/>
      <c r="N609" s="4"/>
      <c r="O609" s="4"/>
      <c r="P609" s="4"/>
      <c r="Q609" s="4"/>
      <c r="R609" s="4"/>
      <c r="S609" s="4"/>
      <c r="T609" s="4"/>
      <c r="U609" s="4"/>
      <c r="V609" s="4"/>
      <c r="W609" s="4"/>
      <c r="X609" s="4"/>
      <c r="Y609" s="4"/>
      <c r="Z609" s="4"/>
    </row>
    <row r="610">
      <c r="A610" s="77"/>
      <c r="B610" s="17"/>
      <c r="C610" s="17"/>
      <c r="D610" s="17"/>
      <c r="E610" s="17"/>
      <c r="F610" s="17"/>
      <c r="G610" s="78"/>
      <c r="H610" s="78"/>
      <c r="I610" s="17"/>
      <c r="J610" s="17"/>
      <c r="K610" s="17"/>
      <c r="L610" s="4"/>
      <c r="M610" s="4"/>
      <c r="N610" s="4"/>
      <c r="O610" s="4"/>
      <c r="P610" s="4"/>
      <c r="Q610" s="4"/>
      <c r="R610" s="4"/>
      <c r="S610" s="4"/>
      <c r="T610" s="4"/>
      <c r="U610" s="4"/>
      <c r="V610" s="4"/>
      <c r="W610" s="4"/>
      <c r="X610" s="4"/>
      <c r="Y610" s="4"/>
      <c r="Z610" s="4"/>
    </row>
    <row r="611">
      <c r="A611" s="77"/>
      <c r="B611" s="17"/>
      <c r="C611" s="17"/>
      <c r="D611" s="17"/>
      <c r="E611" s="17"/>
      <c r="F611" s="17"/>
      <c r="G611" s="78"/>
      <c r="H611" s="78"/>
      <c r="I611" s="17"/>
      <c r="J611" s="17"/>
      <c r="K611" s="17"/>
      <c r="L611" s="4"/>
      <c r="M611" s="4"/>
      <c r="N611" s="4"/>
      <c r="O611" s="4"/>
      <c r="P611" s="4"/>
      <c r="Q611" s="4"/>
      <c r="R611" s="4"/>
      <c r="S611" s="4"/>
      <c r="T611" s="4"/>
      <c r="U611" s="4"/>
      <c r="V611" s="4"/>
      <c r="W611" s="4"/>
      <c r="X611" s="4"/>
      <c r="Y611" s="4"/>
      <c r="Z611" s="4"/>
    </row>
    <row r="612">
      <c r="A612" s="77"/>
      <c r="B612" s="17"/>
      <c r="C612" s="17"/>
      <c r="D612" s="17"/>
      <c r="E612" s="17"/>
      <c r="F612" s="17"/>
      <c r="G612" s="78"/>
      <c r="H612" s="78"/>
      <c r="I612" s="17"/>
      <c r="J612" s="17"/>
      <c r="K612" s="17"/>
      <c r="L612" s="4"/>
      <c r="M612" s="4"/>
      <c r="N612" s="4"/>
      <c r="O612" s="4"/>
      <c r="P612" s="4"/>
      <c r="Q612" s="4"/>
      <c r="R612" s="4"/>
      <c r="S612" s="4"/>
      <c r="T612" s="4"/>
      <c r="U612" s="4"/>
      <c r="V612" s="4"/>
      <c r="W612" s="4"/>
      <c r="X612" s="4"/>
      <c r="Y612" s="4"/>
      <c r="Z612" s="4"/>
    </row>
    <row r="613">
      <c r="A613" s="77"/>
      <c r="B613" s="17"/>
      <c r="C613" s="17"/>
      <c r="D613" s="17"/>
      <c r="E613" s="17"/>
      <c r="F613" s="17"/>
      <c r="G613" s="78"/>
      <c r="H613" s="78"/>
      <c r="I613" s="17"/>
      <c r="J613" s="17"/>
      <c r="K613" s="17"/>
      <c r="L613" s="4"/>
      <c r="M613" s="4"/>
      <c r="N613" s="4"/>
      <c r="O613" s="4"/>
      <c r="P613" s="4"/>
      <c r="Q613" s="4"/>
      <c r="R613" s="4"/>
      <c r="S613" s="4"/>
      <c r="T613" s="4"/>
      <c r="U613" s="4"/>
      <c r="V613" s="4"/>
      <c r="W613" s="4"/>
      <c r="X613" s="4"/>
      <c r="Y613" s="4"/>
      <c r="Z613" s="4"/>
    </row>
    <row r="614">
      <c r="A614" s="77"/>
      <c r="B614" s="17"/>
      <c r="C614" s="17"/>
      <c r="D614" s="17"/>
      <c r="E614" s="17"/>
      <c r="F614" s="17"/>
      <c r="G614" s="78"/>
      <c r="H614" s="78"/>
      <c r="I614" s="17"/>
      <c r="J614" s="17"/>
      <c r="K614" s="17"/>
      <c r="L614" s="4"/>
      <c r="M614" s="4"/>
      <c r="N614" s="4"/>
      <c r="O614" s="4"/>
      <c r="P614" s="4"/>
      <c r="Q614" s="4"/>
      <c r="R614" s="4"/>
      <c r="S614" s="4"/>
      <c r="T614" s="4"/>
      <c r="U614" s="4"/>
      <c r="V614" s="4"/>
      <c r="W614" s="4"/>
      <c r="X614" s="4"/>
      <c r="Y614" s="4"/>
      <c r="Z614" s="4"/>
    </row>
    <row r="615">
      <c r="A615" s="77"/>
      <c r="B615" s="17"/>
      <c r="C615" s="17"/>
      <c r="D615" s="17"/>
      <c r="E615" s="17"/>
      <c r="F615" s="17"/>
      <c r="G615" s="78"/>
      <c r="H615" s="78"/>
      <c r="I615" s="17"/>
      <c r="J615" s="17"/>
      <c r="K615" s="17"/>
      <c r="L615" s="4"/>
      <c r="M615" s="4"/>
      <c r="N615" s="4"/>
      <c r="O615" s="4"/>
      <c r="P615" s="4"/>
      <c r="Q615" s="4"/>
      <c r="R615" s="4"/>
      <c r="S615" s="4"/>
      <c r="T615" s="4"/>
      <c r="U615" s="4"/>
      <c r="V615" s="4"/>
      <c r="W615" s="4"/>
      <c r="X615" s="4"/>
      <c r="Y615" s="4"/>
      <c r="Z615" s="4"/>
    </row>
    <row r="616">
      <c r="A616" s="77"/>
      <c r="B616" s="17"/>
      <c r="C616" s="17"/>
      <c r="D616" s="17"/>
      <c r="E616" s="17"/>
      <c r="F616" s="17"/>
      <c r="G616" s="78"/>
      <c r="H616" s="78"/>
      <c r="I616" s="17"/>
      <c r="J616" s="17"/>
      <c r="K616" s="17"/>
      <c r="L616" s="4"/>
      <c r="M616" s="4"/>
      <c r="N616" s="4"/>
      <c r="O616" s="4"/>
      <c r="P616" s="4"/>
      <c r="Q616" s="4"/>
      <c r="R616" s="4"/>
      <c r="S616" s="4"/>
      <c r="T616" s="4"/>
      <c r="U616" s="4"/>
      <c r="V616" s="4"/>
      <c r="W616" s="4"/>
      <c r="X616" s="4"/>
      <c r="Y616" s="4"/>
      <c r="Z616" s="4"/>
    </row>
    <row r="617">
      <c r="A617" s="77"/>
      <c r="B617" s="17"/>
      <c r="C617" s="17"/>
      <c r="D617" s="17"/>
      <c r="E617" s="17"/>
      <c r="F617" s="17"/>
      <c r="G617" s="78"/>
      <c r="H617" s="78"/>
      <c r="I617" s="17"/>
      <c r="J617" s="17"/>
      <c r="K617" s="17"/>
      <c r="L617" s="4"/>
      <c r="M617" s="4"/>
      <c r="N617" s="4"/>
      <c r="O617" s="4"/>
      <c r="P617" s="4"/>
      <c r="Q617" s="4"/>
      <c r="R617" s="4"/>
      <c r="S617" s="4"/>
      <c r="T617" s="4"/>
      <c r="U617" s="4"/>
      <c r="V617" s="4"/>
      <c r="W617" s="4"/>
      <c r="X617" s="4"/>
      <c r="Y617" s="4"/>
      <c r="Z617" s="4"/>
    </row>
    <row r="618">
      <c r="A618" s="77"/>
      <c r="B618" s="17"/>
      <c r="C618" s="17"/>
      <c r="D618" s="17"/>
      <c r="E618" s="17"/>
      <c r="F618" s="17"/>
      <c r="G618" s="78"/>
      <c r="H618" s="78"/>
      <c r="I618" s="17"/>
      <c r="J618" s="17"/>
      <c r="K618" s="17"/>
      <c r="L618" s="4"/>
      <c r="M618" s="4"/>
      <c r="N618" s="4"/>
      <c r="O618" s="4"/>
      <c r="P618" s="4"/>
      <c r="Q618" s="4"/>
      <c r="R618" s="4"/>
      <c r="S618" s="4"/>
      <c r="T618" s="4"/>
      <c r="U618" s="4"/>
      <c r="V618" s="4"/>
      <c r="W618" s="4"/>
      <c r="X618" s="4"/>
      <c r="Y618" s="4"/>
      <c r="Z618" s="4"/>
    </row>
    <row r="619">
      <c r="A619" s="77"/>
      <c r="B619" s="17"/>
      <c r="C619" s="17"/>
      <c r="D619" s="17"/>
      <c r="E619" s="17"/>
      <c r="F619" s="17"/>
      <c r="G619" s="78"/>
      <c r="H619" s="78"/>
      <c r="I619" s="17"/>
      <c r="J619" s="17"/>
      <c r="K619" s="17"/>
      <c r="L619" s="4"/>
      <c r="M619" s="4"/>
      <c r="N619" s="4"/>
      <c r="O619" s="4"/>
      <c r="P619" s="4"/>
      <c r="Q619" s="4"/>
      <c r="R619" s="4"/>
      <c r="S619" s="4"/>
      <c r="T619" s="4"/>
      <c r="U619" s="4"/>
      <c r="V619" s="4"/>
      <c r="W619" s="4"/>
      <c r="X619" s="4"/>
      <c r="Y619" s="4"/>
      <c r="Z619" s="4"/>
    </row>
    <row r="620">
      <c r="A620" s="77"/>
      <c r="B620" s="17"/>
      <c r="C620" s="17"/>
      <c r="D620" s="17"/>
      <c r="E620" s="17"/>
      <c r="F620" s="17"/>
      <c r="G620" s="78"/>
      <c r="H620" s="78"/>
      <c r="I620" s="17"/>
      <c r="J620" s="17"/>
      <c r="K620" s="17"/>
      <c r="L620" s="4"/>
      <c r="M620" s="4"/>
      <c r="N620" s="4"/>
      <c r="O620" s="4"/>
      <c r="P620" s="4"/>
      <c r="Q620" s="4"/>
      <c r="R620" s="4"/>
      <c r="S620" s="4"/>
      <c r="T620" s="4"/>
      <c r="U620" s="4"/>
      <c r="V620" s="4"/>
      <c r="W620" s="4"/>
      <c r="X620" s="4"/>
      <c r="Y620" s="4"/>
      <c r="Z620" s="4"/>
    </row>
    <row r="621">
      <c r="A621" s="77"/>
      <c r="B621" s="17"/>
      <c r="C621" s="17"/>
      <c r="D621" s="17"/>
      <c r="E621" s="17"/>
      <c r="F621" s="17"/>
      <c r="G621" s="78"/>
      <c r="H621" s="78"/>
      <c r="I621" s="17"/>
      <c r="J621" s="17"/>
      <c r="K621" s="17"/>
      <c r="L621" s="4"/>
      <c r="M621" s="4"/>
      <c r="N621" s="4"/>
      <c r="O621" s="4"/>
      <c r="P621" s="4"/>
      <c r="Q621" s="4"/>
      <c r="R621" s="4"/>
      <c r="S621" s="4"/>
      <c r="T621" s="4"/>
      <c r="U621" s="4"/>
      <c r="V621" s="4"/>
      <c r="W621" s="4"/>
      <c r="X621" s="4"/>
      <c r="Y621" s="4"/>
      <c r="Z621" s="4"/>
    </row>
    <row r="622">
      <c r="A622" s="77"/>
      <c r="B622" s="17"/>
      <c r="C622" s="17"/>
      <c r="D622" s="17"/>
      <c r="E622" s="17"/>
      <c r="F622" s="17"/>
      <c r="G622" s="78"/>
      <c r="H622" s="78"/>
      <c r="I622" s="17"/>
      <c r="J622" s="17"/>
      <c r="K622" s="17"/>
      <c r="L622" s="4"/>
      <c r="M622" s="4"/>
      <c r="N622" s="4"/>
      <c r="O622" s="4"/>
      <c r="P622" s="4"/>
      <c r="Q622" s="4"/>
      <c r="R622" s="4"/>
      <c r="S622" s="4"/>
      <c r="T622" s="4"/>
      <c r="U622" s="4"/>
      <c r="V622" s="4"/>
      <c r="W622" s="4"/>
      <c r="X622" s="4"/>
      <c r="Y622" s="4"/>
      <c r="Z622" s="4"/>
    </row>
    <row r="623">
      <c r="A623" s="77"/>
      <c r="B623" s="17"/>
      <c r="C623" s="17"/>
      <c r="D623" s="17"/>
      <c r="E623" s="17"/>
      <c r="F623" s="17"/>
      <c r="G623" s="78"/>
      <c r="H623" s="78"/>
      <c r="I623" s="17"/>
      <c r="J623" s="17"/>
      <c r="K623" s="17"/>
      <c r="L623" s="4"/>
      <c r="M623" s="4"/>
      <c r="N623" s="4"/>
      <c r="O623" s="4"/>
      <c r="P623" s="4"/>
      <c r="Q623" s="4"/>
      <c r="R623" s="4"/>
      <c r="S623" s="4"/>
      <c r="T623" s="4"/>
      <c r="U623" s="4"/>
      <c r="V623" s="4"/>
      <c r="W623" s="4"/>
      <c r="X623" s="4"/>
      <c r="Y623" s="4"/>
      <c r="Z623" s="4"/>
    </row>
    <row r="624">
      <c r="A624" s="77"/>
      <c r="B624" s="17"/>
      <c r="C624" s="17"/>
      <c r="D624" s="17"/>
      <c r="E624" s="17"/>
      <c r="F624" s="17"/>
      <c r="G624" s="78"/>
      <c r="H624" s="78"/>
      <c r="I624" s="17"/>
      <c r="J624" s="17"/>
      <c r="K624" s="17"/>
      <c r="L624" s="4"/>
      <c r="M624" s="4"/>
      <c r="N624" s="4"/>
      <c r="O624" s="4"/>
      <c r="P624" s="4"/>
      <c r="Q624" s="4"/>
      <c r="R624" s="4"/>
      <c r="S624" s="4"/>
      <c r="T624" s="4"/>
      <c r="U624" s="4"/>
      <c r="V624" s="4"/>
      <c r="W624" s="4"/>
      <c r="X624" s="4"/>
      <c r="Y624" s="4"/>
      <c r="Z624" s="4"/>
    </row>
    <row r="625">
      <c r="A625" s="77"/>
      <c r="B625" s="17"/>
      <c r="C625" s="17"/>
      <c r="D625" s="17"/>
      <c r="E625" s="17"/>
      <c r="F625" s="17"/>
      <c r="G625" s="78"/>
      <c r="H625" s="78"/>
      <c r="I625" s="17"/>
      <c r="J625" s="17"/>
      <c r="K625" s="17"/>
      <c r="L625" s="4"/>
      <c r="M625" s="4"/>
      <c r="N625" s="4"/>
      <c r="O625" s="4"/>
      <c r="P625" s="4"/>
      <c r="Q625" s="4"/>
      <c r="R625" s="4"/>
      <c r="S625" s="4"/>
      <c r="T625" s="4"/>
      <c r="U625" s="4"/>
      <c r="V625" s="4"/>
      <c r="W625" s="4"/>
      <c r="X625" s="4"/>
      <c r="Y625" s="4"/>
      <c r="Z625" s="4"/>
    </row>
    <row r="626">
      <c r="A626" s="77"/>
      <c r="B626" s="17"/>
      <c r="C626" s="17"/>
      <c r="D626" s="17"/>
      <c r="E626" s="17"/>
      <c r="F626" s="17"/>
      <c r="G626" s="78"/>
      <c r="H626" s="78"/>
      <c r="I626" s="17"/>
      <c r="J626" s="17"/>
      <c r="K626" s="17"/>
      <c r="L626" s="4"/>
      <c r="M626" s="4"/>
      <c r="N626" s="4"/>
      <c r="O626" s="4"/>
      <c r="P626" s="4"/>
      <c r="Q626" s="4"/>
      <c r="R626" s="4"/>
      <c r="S626" s="4"/>
      <c r="T626" s="4"/>
      <c r="U626" s="4"/>
      <c r="V626" s="4"/>
      <c r="W626" s="4"/>
      <c r="X626" s="4"/>
      <c r="Y626" s="4"/>
      <c r="Z626" s="4"/>
    </row>
    <row r="627">
      <c r="A627" s="77"/>
      <c r="B627" s="17"/>
      <c r="C627" s="17"/>
      <c r="D627" s="17"/>
      <c r="E627" s="17"/>
      <c r="F627" s="17"/>
      <c r="G627" s="78"/>
      <c r="H627" s="78"/>
      <c r="I627" s="17"/>
      <c r="J627" s="17"/>
      <c r="K627" s="17"/>
      <c r="L627" s="4"/>
      <c r="M627" s="4"/>
      <c r="N627" s="4"/>
      <c r="O627" s="4"/>
      <c r="P627" s="4"/>
      <c r="Q627" s="4"/>
      <c r="R627" s="4"/>
      <c r="S627" s="4"/>
      <c r="T627" s="4"/>
      <c r="U627" s="4"/>
      <c r="V627" s="4"/>
      <c r="W627" s="4"/>
      <c r="X627" s="4"/>
      <c r="Y627" s="4"/>
      <c r="Z627" s="4"/>
    </row>
    <row r="628">
      <c r="A628" s="77"/>
      <c r="B628" s="17"/>
      <c r="C628" s="17"/>
      <c r="D628" s="17"/>
      <c r="E628" s="17"/>
      <c r="F628" s="17"/>
      <c r="G628" s="78"/>
      <c r="H628" s="78"/>
      <c r="I628" s="17"/>
      <c r="J628" s="17"/>
      <c r="K628" s="17"/>
      <c r="L628" s="4"/>
      <c r="M628" s="4"/>
      <c r="N628" s="4"/>
      <c r="O628" s="4"/>
      <c r="P628" s="4"/>
      <c r="Q628" s="4"/>
      <c r="R628" s="4"/>
      <c r="S628" s="4"/>
      <c r="T628" s="4"/>
      <c r="U628" s="4"/>
      <c r="V628" s="4"/>
      <c r="W628" s="4"/>
      <c r="X628" s="4"/>
      <c r="Y628" s="4"/>
      <c r="Z628" s="4"/>
    </row>
    <row r="629">
      <c r="A629" s="77"/>
      <c r="B629" s="17"/>
      <c r="C629" s="17"/>
      <c r="D629" s="17"/>
      <c r="E629" s="17"/>
      <c r="F629" s="17"/>
      <c r="G629" s="78"/>
      <c r="H629" s="78"/>
      <c r="I629" s="17"/>
      <c r="J629" s="17"/>
      <c r="K629" s="17"/>
      <c r="L629" s="4"/>
      <c r="M629" s="4"/>
      <c r="N629" s="4"/>
      <c r="O629" s="4"/>
      <c r="P629" s="4"/>
      <c r="Q629" s="4"/>
      <c r="R629" s="4"/>
      <c r="S629" s="4"/>
      <c r="T629" s="4"/>
      <c r="U629" s="4"/>
      <c r="V629" s="4"/>
      <c r="W629" s="4"/>
      <c r="X629" s="4"/>
      <c r="Y629" s="4"/>
      <c r="Z629" s="4"/>
    </row>
    <row r="630">
      <c r="A630" s="77"/>
      <c r="B630" s="17"/>
      <c r="C630" s="17"/>
      <c r="D630" s="17"/>
      <c r="E630" s="17"/>
      <c r="F630" s="17"/>
      <c r="G630" s="78"/>
      <c r="H630" s="78"/>
      <c r="I630" s="17"/>
      <c r="J630" s="17"/>
      <c r="K630" s="17"/>
      <c r="L630" s="4"/>
      <c r="M630" s="4"/>
      <c r="N630" s="4"/>
      <c r="O630" s="4"/>
      <c r="P630" s="4"/>
      <c r="Q630" s="4"/>
      <c r="R630" s="4"/>
      <c r="S630" s="4"/>
      <c r="T630" s="4"/>
      <c r="U630" s="4"/>
      <c r="V630" s="4"/>
      <c r="W630" s="4"/>
      <c r="X630" s="4"/>
      <c r="Y630" s="4"/>
      <c r="Z630" s="4"/>
    </row>
    <row r="631">
      <c r="A631" s="77"/>
      <c r="B631" s="17"/>
      <c r="C631" s="17"/>
      <c r="D631" s="17"/>
      <c r="E631" s="17"/>
      <c r="F631" s="17"/>
      <c r="G631" s="78"/>
      <c r="H631" s="78"/>
      <c r="I631" s="17"/>
      <c r="J631" s="17"/>
      <c r="K631" s="17"/>
      <c r="L631" s="4"/>
      <c r="M631" s="4"/>
      <c r="N631" s="4"/>
      <c r="O631" s="4"/>
      <c r="P631" s="4"/>
      <c r="Q631" s="4"/>
      <c r="R631" s="4"/>
      <c r="S631" s="4"/>
      <c r="T631" s="4"/>
      <c r="U631" s="4"/>
      <c r="V631" s="4"/>
      <c r="W631" s="4"/>
      <c r="X631" s="4"/>
      <c r="Y631" s="4"/>
      <c r="Z631" s="4"/>
    </row>
    <row r="632">
      <c r="A632" s="77"/>
      <c r="B632" s="17"/>
      <c r="C632" s="17"/>
      <c r="D632" s="17"/>
      <c r="E632" s="17"/>
      <c r="F632" s="17"/>
      <c r="G632" s="78"/>
      <c r="H632" s="78"/>
      <c r="I632" s="17"/>
      <c r="J632" s="17"/>
      <c r="K632" s="17"/>
      <c r="L632" s="4"/>
      <c r="M632" s="4"/>
      <c r="N632" s="4"/>
      <c r="O632" s="4"/>
      <c r="P632" s="4"/>
      <c r="Q632" s="4"/>
      <c r="R632" s="4"/>
      <c r="S632" s="4"/>
      <c r="T632" s="4"/>
      <c r="U632" s="4"/>
      <c r="V632" s="4"/>
      <c r="W632" s="4"/>
      <c r="X632" s="4"/>
      <c r="Y632" s="4"/>
      <c r="Z632" s="4"/>
    </row>
    <row r="633">
      <c r="A633" s="77"/>
      <c r="B633" s="17"/>
      <c r="C633" s="17"/>
      <c r="D633" s="17"/>
      <c r="E633" s="17"/>
      <c r="F633" s="17"/>
      <c r="G633" s="78"/>
      <c r="H633" s="78"/>
      <c r="I633" s="17"/>
      <c r="J633" s="17"/>
      <c r="K633" s="17"/>
      <c r="L633" s="4"/>
      <c r="M633" s="4"/>
      <c r="N633" s="4"/>
      <c r="O633" s="4"/>
      <c r="P633" s="4"/>
      <c r="Q633" s="4"/>
      <c r="R633" s="4"/>
      <c r="S633" s="4"/>
      <c r="T633" s="4"/>
      <c r="U633" s="4"/>
      <c r="V633" s="4"/>
      <c r="W633" s="4"/>
      <c r="X633" s="4"/>
      <c r="Y633" s="4"/>
      <c r="Z633" s="4"/>
    </row>
    <row r="634">
      <c r="A634" s="77"/>
      <c r="B634" s="17"/>
      <c r="C634" s="17"/>
      <c r="D634" s="17"/>
      <c r="E634" s="17"/>
      <c r="F634" s="17"/>
      <c r="G634" s="78"/>
      <c r="H634" s="78"/>
      <c r="I634" s="17"/>
      <c r="J634" s="17"/>
      <c r="K634" s="17"/>
      <c r="L634" s="4"/>
      <c r="M634" s="4"/>
      <c r="N634" s="4"/>
      <c r="O634" s="4"/>
      <c r="P634" s="4"/>
      <c r="Q634" s="4"/>
      <c r="R634" s="4"/>
      <c r="S634" s="4"/>
      <c r="T634" s="4"/>
      <c r="U634" s="4"/>
      <c r="V634" s="4"/>
      <c r="W634" s="4"/>
      <c r="X634" s="4"/>
      <c r="Y634" s="4"/>
      <c r="Z634" s="4"/>
    </row>
    <row r="635">
      <c r="A635" s="77"/>
      <c r="B635" s="17"/>
      <c r="C635" s="17"/>
      <c r="D635" s="17"/>
      <c r="E635" s="17"/>
      <c r="F635" s="17"/>
      <c r="G635" s="78"/>
      <c r="H635" s="78"/>
      <c r="I635" s="17"/>
      <c r="J635" s="17"/>
      <c r="K635" s="17"/>
      <c r="L635" s="4"/>
      <c r="M635" s="4"/>
      <c r="N635" s="4"/>
      <c r="O635" s="4"/>
      <c r="P635" s="4"/>
      <c r="Q635" s="4"/>
      <c r="R635" s="4"/>
      <c r="S635" s="4"/>
      <c r="T635" s="4"/>
      <c r="U635" s="4"/>
      <c r="V635" s="4"/>
      <c r="W635" s="4"/>
      <c r="X635" s="4"/>
      <c r="Y635" s="4"/>
      <c r="Z635" s="4"/>
    </row>
    <row r="636">
      <c r="A636" s="77"/>
      <c r="B636" s="17"/>
      <c r="C636" s="17"/>
      <c r="D636" s="17"/>
      <c r="E636" s="17"/>
      <c r="F636" s="17"/>
      <c r="G636" s="78"/>
      <c r="H636" s="78"/>
      <c r="I636" s="17"/>
      <c r="J636" s="17"/>
      <c r="K636" s="17"/>
      <c r="L636" s="4"/>
      <c r="M636" s="4"/>
      <c r="N636" s="4"/>
      <c r="O636" s="4"/>
      <c r="P636" s="4"/>
      <c r="Q636" s="4"/>
      <c r="R636" s="4"/>
      <c r="S636" s="4"/>
      <c r="T636" s="4"/>
      <c r="U636" s="4"/>
      <c r="V636" s="4"/>
      <c r="W636" s="4"/>
      <c r="X636" s="4"/>
      <c r="Y636" s="4"/>
      <c r="Z636" s="4"/>
    </row>
    <row r="637">
      <c r="A637" s="77"/>
      <c r="B637" s="17"/>
      <c r="C637" s="17"/>
      <c r="D637" s="17"/>
      <c r="E637" s="17"/>
      <c r="F637" s="17"/>
      <c r="G637" s="78"/>
      <c r="H637" s="78"/>
      <c r="I637" s="17"/>
      <c r="J637" s="17"/>
      <c r="K637" s="17"/>
      <c r="L637" s="4"/>
      <c r="M637" s="4"/>
      <c r="N637" s="4"/>
      <c r="O637" s="4"/>
      <c r="P637" s="4"/>
      <c r="Q637" s="4"/>
      <c r="R637" s="4"/>
      <c r="S637" s="4"/>
      <c r="T637" s="4"/>
      <c r="U637" s="4"/>
      <c r="V637" s="4"/>
      <c r="W637" s="4"/>
      <c r="X637" s="4"/>
      <c r="Y637" s="4"/>
      <c r="Z637" s="4"/>
    </row>
    <row r="638">
      <c r="A638" s="77"/>
      <c r="B638" s="17"/>
      <c r="C638" s="17"/>
      <c r="D638" s="17"/>
      <c r="E638" s="17"/>
      <c r="F638" s="17"/>
      <c r="G638" s="78"/>
      <c r="H638" s="78"/>
      <c r="I638" s="17"/>
      <c r="J638" s="17"/>
      <c r="K638" s="17"/>
      <c r="L638" s="4"/>
      <c r="M638" s="4"/>
      <c r="N638" s="4"/>
      <c r="O638" s="4"/>
      <c r="P638" s="4"/>
      <c r="Q638" s="4"/>
      <c r="R638" s="4"/>
      <c r="S638" s="4"/>
      <c r="T638" s="4"/>
      <c r="U638" s="4"/>
      <c r="V638" s="4"/>
      <c r="W638" s="4"/>
      <c r="X638" s="4"/>
      <c r="Y638" s="4"/>
      <c r="Z638" s="4"/>
    </row>
    <row r="639">
      <c r="A639" s="77"/>
      <c r="B639" s="17"/>
      <c r="C639" s="17"/>
      <c r="D639" s="17"/>
      <c r="E639" s="17"/>
      <c r="F639" s="17"/>
      <c r="G639" s="78"/>
      <c r="H639" s="78"/>
      <c r="I639" s="17"/>
      <c r="J639" s="17"/>
      <c r="K639" s="17"/>
      <c r="L639" s="4"/>
      <c r="M639" s="4"/>
      <c r="N639" s="4"/>
      <c r="O639" s="4"/>
      <c r="P639" s="4"/>
      <c r="Q639" s="4"/>
      <c r="R639" s="4"/>
      <c r="S639" s="4"/>
      <c r="T639" s="4"/>
      <c r="U639" s="4"/>
      <c r="V639" s="4"/>
      <c r="W639" s="4"/>
      <c r="X639" s="4"/>
      <c r="Y639" s="4"/>
      <c r="Z639" s="4"/>
    </row>
    <row r="640">
      <c r="A640" s="77"/>
      <c r="B640" s="17"/>
      <c r="C640" s="17"/>
      <c r="D640" s="17"/>
      <c r="E640" s="17"/>
      <c r="F640" s="17"/>
      <c r="G640" s="78"/>
      <c r="H640" s="78"/>
      <c r="I640" s="17"/>
      <c r="J640" s="17"/>
      <c r="K640" s="17"/>
      <c r="L640" s="4"/>
      <c r="M640" s="4"/>
      <c r="N640" s="4"/>
      <c r="O640" s="4"/>
      <c r="P640" s="4"/>
      <c r="Q640" s="4"/>
      <c r="R640" s="4"/>
      <c r="S640" s="4"/>
      <c r="T640" s="4"/>
      <c r="U640" s="4"/>
      <c r="V640" s="4"/>
      <c r="W640" s="4"/>
      <c r="X640" s="4"/>
      <c r="Y640" s="4"/>
      <c r="Z640" s="4"/>
    </row>
    <row r="641">
      <c r="A641" s="77"/>
      <c r="B641" s="17"/>
      <c r="C641" s="17"/>
      <c r="D641" s="17"/>
      <c r="E641" s="17"/>
      <c r="F641" s="17"/>
      <c r="G641" s="78"/>
      <c r="H641" s="78"/>
      <c r="I641" s="17"/>
      <c r="J641" s="17"/>
      <c r="K641" s="17"/>
      <c r="L641" s="4"/>
      <c r="M641" s="4"/>
      <c r="N641" s="4"/>
      <c r="O641" s="4"/>
      <c r="P641" s="4"/>
      <c r="Q641" s="4"/>
      <c r="R641" s="4"/>
      <c r="S641" s="4"/>
      <c r="T641" s="4"/>
      <c r="U641" s="4"/>
      <c r="V641" s="4"/>
      <c r="W641" s="4"/>
      <c r="X641" s="4"/>
      <c r="Y641" s="4"/>
      <c r="Z641" s="4"/>
    </row>
    <row r="642">
      <c r="A642" s="77"/>
      <c r="B642" s="17"/>
      <c r="C642" s="17"/>
      <c r="D642" s="17"/>
      <c r="E642" s="17"/>
      <c r="F642" s="17"/>
      <c r="G642" s="78"/>
      <c r="H642" s="78"/>
      <c r="I642" s="17"/>
      <c r="J642" s="17"/>
      <c r="K642" s="17"/>
      <c r="L642" s="4"/>
      <c r="M642" s="4"/>
      <c r="N642" s="4"/>
      <c r="O642" s="4"/>
      <c r="P642" s="4"/>
      <c r="Q642" s="4"/>
      <c r="R642" s="4"/>
      <c r="S642" s="4"/>
      <c r="T642" s="4"/>
      <c r="U642" s="4"/>
      <c r="V642" s="4"/>
      <c r="W642" s="4"/>
      <c r="X642" s="4"/>
      <c r="Y642" s="4"/>
      <c r="Z642" s="4"/>
    </row>
    <row r="643">
      <c r="A643" s="77"/>
      <c r="B643" s="17"/>
      <c r="C643" s="17"/>
      <c r="D643" s="17"/>
      <c r="E643" s="17"/>
      <c r="F643" s="17"/>
      <c r="G643" s="78"/>
      <c r="H643" s="78"/>
      <c r="I643" s="17"/>
      <c r="J643" s="17"/>
      <c r="K643" s="17"/>
      <c r="L643" s="4"/>
      <c r="M643" s="4"/>
      <c r="N643" s="4"/>
      <c r="O643" s="4"/>
      <c r="P643" s="4"/>
      <c r="Q643" s="4"/>
      <c r="R643" s="4"/>
      <c r="S643" s="4"/>
      <c r="T643" s="4"/>
      <c r="U643" s="4"/>
      <c r="V643" s="4"/>
      <c r="W643" s="4"/>
      <c r="X643" s="4"/>
      <c r="Y643" s="4"/>
      <c r="Z643" s="4"/>
    </row>
    <row r="644">
      <c r="A644" s="77"/>
      <c r="B644" s="17"/>
      <c r="C644" s="17"/>
      <c r="D644" s="17"/>
      <c r="E644" s="17"/>
      <c r="F644" s="17"/>
      <c r="G644" s="78"/>
      <c r="H644" s="78"/>
      <c r="I644" s="17"/>
      <c r="J644" s="17"/>
      <c r="K644" s="17"/>
      <c r="L644" s="4"/>
      <c r="M644" s="4"/>
      <c r="N644" s="4"/>
      <c r="O644" s="4"/>
      <c r="P644" s="4"/>
      <c r="Q644" s="4"/>
      <c r="R644" s="4"/>
      <c r="S644" s="4"/>
      <c r="T644" s="4"/>
      <c r="U644" s="4"/>
      <c r="V644" s="4"/>
      <c r="W644" s="4"/>
      <c r="X644" s="4"/>
      <c r="Y644" s="4"/>
      <c r="Z644" s="4"/>
    </row>
    <row r="645">
      <c r="A645" s="77"/>
      <c r="B645" s="17"/>
      <c r="C645" s="17"/>
      <c r="D645" s="17"/>
      <c r="E645" s="17"/>
      <c r="F645" s="17"/>
      <c r="G645" s="78"/>
      <c r="H645" s="78"/>
      <c r="I645" s="17"/>
      <c r="J645" s="17"/>
      <c r="K645" s="17"/>
      <c r="L645" s="4"/>
      <c r="M645" s="4"/>
      <c r="N645" s="4"/>
      <c r="O645" s="4"/>
      <c r="P645" s="4"/>
      <c r="Q645" s="4"/>
      <c r="R645" s="4"/>
      <c r="S645" s="4"/>
      <c r="T645" s="4"/>
      <c r="U645" s="4"/>
      <c r="V645" s="4"/>
      <c r="W645" s="4"/>
      <c r="X645" s="4"/>
      <c r="Y645" s="4"/>
      <c r="Z645" s="4"/>
    </row>
    <row r="646">
      <c r="A646" s="77"/>
      <c r="B646" s="17"/>
      <c r="C646" s="17"/>
      <c r="D646" s="17"/>
      <c r="E646" s="17"/>
      <c r="F646" s="17"/>
      <c r="G646" s="78"/>
      <c r="H646" s="78"/>
      <c r="I646" s="17"/>
      <c r="J646" s="17"/>
      <c r="K646" s="17"/>
      <c r="L646" s="4"/>
      <c r="M646" s="4"/>
      <c r="N646" s="4"/>
      <c r="O646" s="4"/>
      <c r="P646" s="4"/>
      <c r="Q646" s="4"/>
      <c r="R646" s="4"/>
      <c r="S646" s="4"/>
      <c r="T646" s="4"/>
      <c r="U646" s="4"/>
      <c r="V646" s="4"/>
      <c r="W646" s="4"/>
      <c r="X646" s="4"/>
      <c r="Y646" s="4"/>
      <c r="Z646" s="4"/>
    </row>
    <row r="647">
      <c r="A647" s="77"/>
      <c r="B647" s="17"/>
      <c r="C647" s="17"/>
      <c r="D647" s="17"/>
      <c r="E647" s="17"/>
      <c r="F647" s="17"/>
      <c r="G647" s="78"/>
      <c r="H647" s="78"/>
      <c r="I647" s="17"/>
      <c r="J647" s="17"/>
      <c r="K647" s="17"/>
      <c r="L647" s="4"/>
      <c r="M647" s="4"/>
      <c r="N647" s="4"/>
      <c r="O647" s="4"/>
      <c r="P647" s="4"/>
      <c r="Q647" s="4"/>
      <c r="R647" s="4"/>
      <c r="S647" s="4"/>
      <c r="T647" s="4"/>
      <c r="U647" s="4"/>
      <c r="V647" s="4"/>
      <c r="W647" s="4"/>
      <c r="X647" s="4"/>
      <c r="Y647" s="4"/>
      <c r="Z647" s="4"/>
    </row>
    <row r="648">
      <c r="A648" s="77"/>
      <c r="B648" s="17"/>
      <c r="C648" s="17"/>
      <c r="D648" s="17"/>
      <c r="E648" s="17"/>
      <c r="F648" s="17"/>
      <c r="G648" s="78"/>
      <c r="H648" s="78"/>
      <c r="I648" s="17"/>
      <c r="J648" s="17"/>
      <c r="K648" s="17"/>
      <c r="L648" s="4"/>
      <c r="M648" s="4"/>
      <c r="N648" s="4"/>
      <c r="O648" s="4"/>
      <c r="P648" s="4"/>
      <c r="Q648" s="4"/>
      <c r="R648" s="4"/>
      <c r="S648" s="4"/>
      <c r="T648" s="4"/>
      <c r="U648" s="4"/>
      <c r="V648" s="4"/>
      <c r="W648" s="4"/>
      <c r="X648" s="4"/>
      <c r="Y648" s="4"/>
      <c r="Z648" s="4"/>
    </row>
    <row r="649">
      <c r="A649" s="77"/>
      <c r="B649" s="17"/>
      <c r="C649" s="17"/>
      <c r="D649" s="17"/>
      <c r="E649" s="17"/>
      <c r="F649" s="17"/>
      <c r="G649" s="78"/>
      <c r="H649" s="78"/>
      <c r="I649" s="17"/>
      <c r="J649" s="17"/>
      <c r="K649" s="17"/>
      <c r="L649" s="4"/>
      <c r="M649" s="4"/>
      <c r="N649" s="4"/>
      <c r="O649" s="4"/>
      <c r="P649" s="4"/>
      <c r="Q649" s="4"/>
      <c r="R649" s="4"/>
      <c r="S649" s="4"/>
      <c r="T649" s="4"/>
      <c r="U649" s="4"/>
      <c r="V649" s="4"/>
      <c r="W649" s="4"/>
      <c r="X649" s="4"/>
      <c r="Y649" s="4"/>
      <c r="Z649" s="4"/>
    </row>
    <row r="650">
      <c r="A650" s="77"/>
      <c r="B650" s="17"/>
      <c r="C650" s="17"/>
      <c r="D650" s="17"/>
      <c r="E650" s="17"/>
      <c r="F650" s="17"/>
      <c r="G650" s="78"/>
      <c r="H650" s="78"/>
      <c r="I650" s="17"/>
      <c r="J650" s="17"/>
      <c r="K650" s="17"/>
      <c r="L650" s="4"/>
      <c r="M650" s="4"/>
      <c r="N650" s="4"/>
      <c r="O650" s="4"/>
      <c r="P650" s="4"/>
      <c r="Q650" s="4"/>
      <c r="R650" s="4"/>
      <c r="S650" s="4"/>
      <c r="T650" s="4"/>
      <c r="U650" s="4"/>
      <c r="V650" s="4"/>
      <c r="W650" s="4"/>
      <c r="X650" s="4"/>
      <c r="Y650" s="4"/>
      <c r="Z650" s="4"/>
    </row>
    <row r="651">
      <c r="A651" s="77"/>
      <c r="B651" s="17"/>
      <c r="C651" s="17"/>
      <c r="D651" s="17"/>
      <c r="E651" s="17"/>
      <c r="F651" s="17"/>
      <c r="G651" s="78"/>
      <c r="H651" s="78"/>
      <c r="I651" s="17"/>
      <c r="J651" s="17"/>
      <c r="K651" s="17"/>
      <c r="L651" s="4"/>
      <c r="M651" s="4"/>
      <c r="N651" s="4"/>
      <c r="O651" s="4"/>
      <c r="P651" s="4"/>
      <c r="Q651" s="4"/>
      <c r="R651" s="4"/>
      <c r="S651" s="4"/>
      <c r="T651" s="4"/>
      <c r="U651" s="4"/>
      <c r="V651" s="4"/>
      <c r="W651" s="4"/>
      <c r="X651" s="4"/>
      <c r="Y651" s="4"/>
      <c r="Z651" s="4"/>
    </row>
    <row r="652">
      <c r="A652" s="77"/>
      <c r="B652" s="17"/>
      <c r="C652" s="17"/>
      <c r="D652" s="17"/>
      <c r="E652" s="17"/>
      <c r="F652" s="17"/>
      <c r="G652" s="78"/>
      <c r="H652" s="78"/>
      <c r="I652" s="17"/>
      <c r="J652" s="17"/>
      <c r="K652" s="17"/>
      <c r="L652" s="4"/>
      <c r="M652" s="4"/>
      <c r="N652" s="4"/>
      <c r="O652" s="4"/>
      <c r="P652" s="4"/>
      <c r="Q652" s="4"/>
      <c r="R652" s="4"/>
      <c r="S652" s="4"/>
      <c r="T652" s="4"/>
      <c r="U652" s="4"/>
      <c r="V652" s="4"/>
      <c r="W652" s="4"/>
      <c r="X652" s="4"/>
      <c r="Y652" s="4"/>
      <c r="Z652" s="4"/>
    </row>
    <row r="653">
      <c r="A653" s="77"/>
      <c r="B653" s="17"/>
      <c r="C653" s="17"/>
      <c r="D653" s="17"/>
      <c r="E653" s="17"/>
      <c r="F653" s="17"/>
      <c r="G653" s="78"/>
      <c r="H653" s="78"/>
      <c r="I653" s="17"/>
      <c r="J653" s="17"/>
      <c r="K653" s="17"/>
      <c r="L653" s="4"/>
      <c r="M653" s="4"/>
      <c r="N653" s="4"/>
      <c r="O653" s="4"/>
      <c r="P653" s="4"/>
      <c r="Q653" s="4"/>
      <c r="R653" s="4"/>
      <c r="S653" s="4"/>
      <c r="T653" s="4"/>
      <c r="U653" s="4"/>
      <c r="V653" s="4"/>
      <c r="W653" s="4"/>
      <c r="X653" s="4"/>
      <c r="Y653" s="4"/>
      <c r="Z653" s="4"/>
    </row>
    <row r="654">
      <c r="A654" s="77"/>
      <c r="B654" s="17"/>
      <c r="C654" s="17"/>
      <c r="D654" s="17"/>
      <c r="E654" s="17"/>
      <c r="F654" s="17"/>
      <c r="G654" s="78"/>
      <c r="H654" s="78"/>
      <c r="I654" s="17"/>
      <c r="J654" s="17"/>
      <c r="K654" s="17"/>
      <c r="L654" s="4"/>
      <c r="M654" s="4"/>
      <c r="N654" s="4"/>
      <c r="O654" s="4"/>
      <c r="P654" s="4"/>
      <c r="Q654" s="4"/>
      <c r="R654" s="4"/>
      <c r="S654" s="4"/>
      <c r="T654" s="4"/>
      <c r="U654" s="4"/>
      <c r="V654" s="4"/>
      <c r="W654" s="4"/>
      <c r="X654" s="4"/>
      <c r="Y654" s="4"/>
      <c r="Z654" s="4"/>
    </row>
    <row r="655">
      <c r="A655" s="77"/>
      <c r="B655" s="17"/>
      <c r="C655" s="17"/>
      <c r="D655" s="17"/>
      <c r="E655" s="17"/>
      <c r="F655" s="17"/>
      <c r="G655" s="78"/>
      <c r="H655" s="78"/>
      <c r="I655" s="17"/>
      <c r="J655" s="17"/>
      <c r="K655" s="17"/>
      <c r="L655" s="4"/>
      <c r="M655" s="4"/>
      <c r="N655" s="4"/>
      <c r="O655" s="4"/>
      <c r="P655" s="4"/>
      <c r="Q655" s="4"/>
      <c r="R655" s="4"/>
      <c r="S655" s="4"/>
      <c r="T655" s="4"/>
      <c r="U655" s="4"/>
      <c r="V655" s="4"/>
      <c r="W655" s="4"/>
      <c r="X655" s="4"/>
      <c r="Y655" s="4"/>
      <c r="Z655" s="4"/>
    </row>
    <row r="656">
      <c r="A656" s="77"/>
      <c r="B656" s="17"/>
      <c r="C656" s="17"/>
      <c r="D656" s="17"/>
      <c r="E656" s="17"/>
      <c r="F656" s="17"/>
      <c r="G656" s="78"/>
      <c r="H656" s="78"/>
      <c r="I656" s="17"/>
      <c r="J656" s="17"/>
      <c r="K656" s="17"/>
      <c r="L656" s="4"/>
      <c r="M656" s="4"/>
      <c r="N656" s="4"/>
      <c r="O656" s="4"/>
      <c r="P656" s="4"/>
      <c r="Q656" s="4"/>
      <c r="R656" s="4"/>
      <c r="S656" s="4"/>
      <c r="T656" s="4"/>
      <c r="U656" s="4"/>
      <c r="V656" s="4"/>
      <c r="W656" s="4"/>
      <c r="X656" s="4"/>
      <c r="Y656" s="4"/>
      <c r="Z656" s="4"/>
    </row>
    <row r="657">
      <c r="A657" s="77"/>
      <c r="B657" s="17"/>
      <c r="C657" s="17"/>
      <c r="D657" s="17"/>
      <c r="E657" s="17"/>
      <c r="F657" s="17"/>
      <c r="G657" s="78"/>
      <c r="H657" s="78"/>
      <c r="I657" s="17"/>
      <c r="J657" s="17"/>
      <c r="K657" s="17"/>
      <c r="L657" s="4"/>
      <c r="M657" s="4"/>
      <c r="N657" s="4"/>
      <c r="O657" s="4"/>
      <c r="P657" s="4"/>
      <c r="Q657" s="4"/>
      <c r="R657" s="4"/>
      <c r="S657" s="4"/>
      <c r="T657" s="4"/>
      <c r="U657" s="4"/>
      <c r="V657" s="4"/>
      <c r="W657" s="4"/>
      <c r="X657" s="4"/>
      <c r="Y657" s="4"/>
      <c r="Z657" s="4"/>
    </row>
    <row r="658">
      <c r="A658" s="77"/>
      <c r="B658" s="17"/>
      <c r="C658" s="17"/>
      <c r="D658" s="17"/>
      <c r="E658" s="17"/>
      <c r="F658" s="17"/>
      <c r="G658" s="78"/>
      <c r="H658" s="78"/>
      <c r="I658" s="17"/>
      <c r="J658" s="17"/>
      <c r="K658" s="17"/>
      <c r="L658" s="4"/>
      <c r="M658" s="4"/>
      <c r="N658" s="4"/>
      <c r="O658" s="4"/>
      <c r="P658" s="4"/>
      <c r="Q658" s="4"/>
      <c r="R658" s="4"/>
      <c r="S658" s="4"/>
      <c r="T658" s="4"/>
      <c r="U658" s="4"/>
      <c r="V658" s="4"/>
      <c r="W658" s="4"/>
      <c r="X658" s="4"/>
      <c r="Y658" s="4"/>
      <c r="Z658" s="4"/>
    </row>
    <row r="659">
      <c r="A659" s="77"/>
      <c r="B659" s="17"/>
      <c r="C659" s="17"/>
      <c r="D659" s="17"/>
      <c r="E659" s="17"/>
      <c r="F659" s="17"/>
      <c r="G659" s="78"/>
      <c r="H659" s="78"/>
      <c r="I659" s="17"/>
      <c r="J659" s="17"/>
      <c r="K659" s="17"/>
      <c r="L659" s="4"/>
      <c r="M659" s="4"/>
      <c r="N659" s="4"/>
      <c r="O659" s="4"/>
      <c r="P659" s="4"/>
      <c r="Q659" s="4"/>
      <c r="R659" s="4"/>
      <c r="S659" s="4"/>
      <c r="T659" s="4"/>
      <c r="U659" s="4"/>
      <c r="V659" s="4"/>
      <c r="W659" s="4"/>
      <c r="X659" s="4"/>
      <c r="Y659" s="4"/>
      <c r="Z659" s="4"/>
    </row>
    <row r="660">
      <c r="A660" s="77"/>
      <c r="B660" s="17"/>
      <c r="C660" s="17"/>
      <c r="D660" s="17"/>
      <c r="E660" s="17"/>
      <c r="F660" s="17"/>
      <c r="G660" s="78"/>
      <c r="H660" s="78"/>
      <c r="I660" s="17"/>
      <c r="J660" s="17"/>
      <c r="K660" s="17"/>
      <c r="L660" s="4"/>
      <c r="M660" s="4"/>
      <c r="N660" s="4"/>
      <c r="O660" s="4"/>
      <c r="P660" s="4"/>
      <c r="Q660" s="4"/>
      <c r="R660" s="4"/>
      <c r="S660" s="4"/>
      <c r="T660" s="4"/>
      <c r="U660" s="4"/>
      <c r="V660" s="4"/>
      <c r="W660" s="4"/>
      <c r="X660" s="4"/>
      <c r="Y660" s="4"/>
      <c r="Z660" s="4"/>
    </row>
    <row r="661">
      <c r="A661" s="77"/>
      <c r="B661" s="17"/>
      <c r="C661" s="17"/>
      <c r="D661" s="17"/>
      <c r="E661" s="17"/>
      <c r="F661" s="17"/>
      <c r="G661" s="78"/>
      <c r="H661" s="78"/>
      <c r="I661" s="17"/>
      <c r="J661" s="17"/>
      <c r="K661" s="17"/>
      <c r="L661" s="4"/>
      <c r="M661" s="4"/>
      <c r="N661" s="4"/>
      <c r="O661" s="4"/>
      <c r="P661" s="4"/>
      <c r="Q661" s="4"/>
      <c r="R661" s="4"/>
      <c r="S661" s="4"/>
      <c r="T661" s="4"/>
      <c r="U661" s="4"/>
      <c r="V661" s="4"/>
      <c r="W661" s="4"/>
      <c r="X661" s="4"/>
      <c r="Y661" s="4"/>
      <c r="Z661" s="4"/>
    </row>
    <row r="662">
      <c r="A662" s="77"/>
      <c r="B662" s="17"/>
      <c r="C662" s="17"/>
      <c r="D662" s="17"/>
      <c r="E662" s="17"/>
      <c r="F662" s="17"/>
      <c r="G662" s="78"/>
      <c r="H662" s="78"/>
      <c r="I662" s="17"/>
      <c r="J662" s="17"/>
      <c r="K662" s="17"/>
      <c r="L662" s="4"/>
      <c r="M662" s="4"/>
      <c r="N662" s="4"/>
      <c r="O662" s="4"/>
      <c r="P662" s="4"/>
      <c r="Q662" s="4"/>
      <c r="R662" s="4"/>
      <c r="S662" s="4"/>
      <c r="T662" s="4"/>
      <c r="U662" s="4"/>
      <c r="V662" s="4"/>
      <c r="W662" s="4"/>
      <c r="X662" s="4"/>
      <c r="Y662" s="4"/>
      <c r="Z662" s="4"/>
    </row>
    <row r="663">
      <c r="A663" s="77"/>
      <c r="B663" s="17"/>
      <c r="C663" s="17"/>
      <c r="D663" s="17"/>
      <c r="E663" s="17"/>
      <c r="F663" s="17"/>
      <c r="G663" s="78"/>
      <c r="H663" s="78"/>
      <c r="I663" s="17"/>
      <c r="J663" s="17"/>
      <c r="K663" s="17"/>
      <c r="L663" s="4"/>
      <c r="M663" s="4"/>
      <c r="N663" s="4"/>
      <c r="O663" s="4"/>
      <c r="P663" s="4"/>
      <c r="Q663" s="4"/>
      <c r="R663" s="4"/>
      <c r="S663" s="4"/>
      <c r="T663" s="4"/>
      <c r="U663" s="4"/>
      <c r="V663" s="4"/>
      <c r="W663" s="4"/>
      <c r="X663" s="4"/>
      <c r="Y663" s="4"/>
      <c r="Z663" s="4"/>
    </row>
    <row r="664">
      <c r="A664" s="77"/>
      <c r="B664" s="17"/>
      <c r="C664" s="17"/>
      <c r="D664" s="17"/>
      <c r="E664" s="17"/>
      <c r="F664" s="17"/>
      <c r="G664" s="78"/>
      <c r="H664" s="78"/>
      <c r="I664" s="17"/>
      <c r="J664" s="17"/>
      <c r="K664" s="17"/>
      <c r="L664" s="4"/>
      <c r="M664" s="4"/>
      <c r="N664" s="4"/>
      <c r="O664" s="4"/>
      <c r="P664" s="4"/>
      <c r="Q664" s="4"/>
      <c r="R664" s="4"/>
      <c r="S664" s="4"/>
      <c r="T664" s="4"/>
      <c r="U664" s="4"/>
      <c r="V664" s="4"/>
      <c r="W664" s="4"/>
      <c r="X664" s="4"/>
      <c r="Y664" s="4"/>
      <c r="Z664" s="4"/>
    </row>
    <row r="665">
      <c r="A665" s="77"/>
      <c r="B665" s="17"/>
      <c r="C665" s="17"/>
      <c r="D665" s="17"/>
      <c r="E665" s="17"/>
      <c r="F665" s="17"/>
      <c r="G665" s="78"/>
      <c r="H665" s="78"/>
      <c r="I665" s="17"/>
      <c r="J665" s="17"/>
      <c r="K665" s="17"/>
      <c r="L665" s="4"/>
      <c r="M665" s="4"/>
      <c r="N665" s="4"/>
      <c r="O665" s="4"/>
      <c r="P665" s="4"/>
      <c r="Q665" s="4"/>
      <c r="R665" s="4"/>
      <c r="S665" s="4"/>
      <c r="T665" s="4"/>
      <c r="U665" s="4"/>
      <c r="V665" s="4"/>
      <c r="W665" s="4"/>
      <c r="X665" s="4"/>
      <c r="Y665" s="4"/>
      <c r="Z665" s="4"/>
    </row>
    <row r="666">
      <c r="A666" s="77"/>
      <c r="B666" s="17"/>
      <c r="C666" s="17"/>
      <c r="D666" s="17"/>
      <c r="E666" s="17"/>
      <c r="F666" s="17"/>
      <c r="G666" s="78"/>
      <c r="H666" s="78"/>
      <c r="I666" s="17"/>
      <c r="J666" s="17"/>
      <c r="K666" s="17"/>
      <c r="L666" s="4"/>
      <c r="M666" s="4"/>
      <c r="N666" s="4"/>
      <c r="O666" s="4"/>
      <c r="P666" s="4"/>
      <c r="Q666" s="4"/>
      <c r="R666" s="4"/>
      <c r="S666" s="4"/>
      <c r="T666" s="4"/>
      <c r="U666" s="4"/>
      <c r="V666" s="4"/>
      <c r="W666" s="4"/>
      <c r="X666" s="4"/>
      <c r="Y666" s="4"/>
      <c r="Z666" s="4"/>
    </row>
    <row r="667">
      <c r="A667" s="77"/>
      <c r="B667" s="17"/>
      <c r="C667" s="17"/>
      <c r="D667" s="17"/>
      <c r="E667" s="17"/>
      <c r="F667" s="17"/>
      <c r="G667" s="78"/>
      <c r="H667" s="78"/>
      <c r="I667" s="17"/>
      <c r="J667" s="17"/>
      <c r="K667" s="17"/>
      <c r="L667" s="4"/>
      <c r="M667" s="4"/>
      <c r="N667" s="4"/>
      <c r="O667" s="4"/>
      <c r="P667" s="4"/>
      <c r="Q667" s="4"/>
      <c r="R667" s="4"/>
      <c r="S667" s="4"/>
      <c r="T667" s="4"/>
      <c r="U667" s="4"/>
      <c r="V667" s="4"/>
      <c r="W667" s="4"/>
      <c r="X667" s="4"/>
      <c r="Y667" s="4"/>
      <c r="Z667" s="4"/>
    </row>
    <row r="668">
      <c r="A668" s="77"/>
      <c r="B668" s="17"/>
      <c r="C668" s="17"/>
      <c r="D668" s="17"/>
      <c r="E668" s="17"/>
      <c r="F668" s="17"/>
      <c r="G668" s="78"/>
      <c r="H668" s="78"/>
      <c r="I668" s="17"/>
      <c r="J668" s="17"/>
      <c r="K668" s="17"/>
      <c r="L668" s="4"/>
      <c r="M668" s="4"/>
      <c r="N668" s="4"/>
      <c r="O668" s="4"/>
      <c r="P668" s="4"/>
      <c r="Q668" s="4"/>
      <c r="R668" s="4"/>
      <c r="S668" s="4"/>
      <c r="T668" s="4"/>
      <c r="U668" s="4"/>
      <c r="V668" s="4"/>
      <c r="W668" s="4"/>
      <c r="X668" s="4"/>
      <c r="Y668" s="4"/>
      <c r="Z668" s="4"/>
    </row>
    <row r="669">
      <c r="A669" s="77"/>
      <c r="B669" s="17"/>
      <c r="C669" s="17"/>
      <c r="D669" s="17"/>
      <c r="E669" s="17"/>
      <c r="F669" s="17"/>
      <c r="G669" s="78"/>
      <c r="H669" s="78"/>
      <c r="I669" s="17"/>
      <c r="J669" s="17"/>
      <c r="K669" s="17"/>
      <c r="L669" s="4"/>
      <c r="M669" s="4"/>
      <c r="N669" s="4"/>
      <c r="O669" s="4"/>
      <c r="P669" s="4"/>
      <c r="Q669" s="4"/>
      <c r="R669" s="4"/>
      <c r="S669" s="4"/>
      <c r="T669" s="4"/>
      <c r="U669" s="4"/>
      <c r="V669" s="4"/>
      <c r="W669" s="4"/>
      <c r="X669" s="4"/>
      <c r="Y669" s="4"/>
      <c r="Z669" s="4"/>
    </row>
    <row r="670">
      <c r="A670" s="77"/>
      <c r="B670" s="17"/>
      <c r="C670" s="17"/>
      <c r="D670" s="17"/>
      <c r="E670" s="17"/>
      <c r="F670" s="17"/>
      <c r="G670" s="78"/>
      <c r="H670" s="78"/>
      <c r="I670" s="17"/>
      <c r="J670" s="17"/>
      <c r="K670" s="17"/>
      <c r="L670" s="4"/>
      <c r="M670" s="4"/>
      <c r="N670" s="4"/>
      <c r="O670" s="4"/>
      <c r="P670" s="4"/>
      <c r="Q670" s="4"/>
      <c r="R670" s="4"/>
      <c r="S670" s="4"/>
      <c r="T670" s="4"/>
      <c r="U670" s="4"/>
      <c r="V670" s="4"/>
      <c r="W670" s="4"/>
      <c r="X670" s="4"/>
      <c r="Y670" s="4"/>
      <c r="Z670" s="4"/>
    </row>
    <row r="671">
      <c r="A671" s="77"/>
      <c r="B671" s="17"/>
      <c r="C671" s="17"/>
      <c r="D671" s="17"/>
      <c r="E671" s="17"/>
      <c r="F671" s="17"/>
      <c r="G671" s="78"/>
      <c r="H671" s="78"/>
      <c r="I671" s="17"/>
      <c r="J671" s="17"/>
      <c r="K671" s="17"/>
      <c r="L671" s="4"/>
      <c r="M671" s="4"/>
      <c r="N671" s="4"/>
      <c r="O671" s="4"/>
      <c r="P671" s="4"/>
      <c r="Q671" s="4"/>
      <c r="R671" s="4"/>
      <c r="S671" s="4"/>
      <c r="T671" s="4"/>
      <c r="U671" s="4"/>
      <c r="V671" s="4"/>
      <c r="W671" s="4"/>
      <c r="X671" s="4"/>
      <c r="Y671" s="4"/>
      <c r="Z671" s="4"/>
    </row>
    <row r="672">
      <c r="A672" s="77"/>
      <c r="B672" s="17"/>
      <c r="C672" s="17"/>
      <c r="D672" s="17"/>
      <c r="E672" s="17"/>
      <c r="F672" s="17"/>
      <c r="G672" s="78"/>
      <c r="H672" s="78"/>
      <c r="I672" s="17"/>
      <c r="J672" s="17"/>
      <c r="K672" s="17"/>
      <c r="L672" s="4"/>
      <c r="M672" s="4"/>
      <c r="N672" s="4"/>
      <c r="O672" s="4"/>
      <c r="P672" s="4"/>
      <c r="Q672" s="4"/>
      <c r="R672" s="4"/>
      <c r="S672" s="4"/>
      <c r="T672" s="4"/>
      <c r="U672" s="4"/>
      <c r="V672" s="4"/>
      <c r="W672" s="4"/>
      <c r="X672" s="4"/>
      <c r="Y672" s="4"/>
      <c r="Z672" s="4"/>
    </row>
    <row r="673">
      <c r="A673" s="77"/>
      <c r="B673" s="17"/>
      <c r="C673" s="17"/>
      <c r="D673" s="17"/>
      <c r="E673" s="17"/>
      <c r="F673" s="17"/>
      <c r="G673" s="78"/>
      <c r="H673" s="78"/>
      <c r="I673" s="17"/>
      <c r="J673" s="17"/>
      <c r="K673" s="17"/>
      <c r="L673" s="4"/>
      <c r="M673" s="4"/>
      <c r="N673" s="4"/>
      <c r="O673" s="4"/>
      <c r="P673" s="4"/>
      <c r="Q673" s="4"/>
      <c r="R673" s="4"/>
      <c r="S673" s="4"/>
      <c r="T673" s="4"/>
      <c r="U673" s="4"/>
      <c r="V673" s="4"/>
      <c r="W673" s="4"/>
      <c r="X673" s="4"/>
      <c r="Y673" s="4"/>
      <c r="Z673" s="4"/>
    </row>
    <row r="674">
      <c r="A674" s="77"/>
      <c r="B674" s="17"/>
      <c r="C674" s="17"/>
      <c r="D674" s="17"/>
      <c r="E674" s="17"/>
      <c r="F674" s="17"/>
      <c r="G674" s="78"/>
      <c r="H674" s="78"/>
      <c r="I674" s="17"/>
      <c r="J674" s="17"/>
      <c r="K674" s="17"/>
      <c r="L674" s="4"/>
      <c r="M674" s="4"/>
      <c r="N674" s="4"/>
      <c r="O674" s="4"/>
      <c r="P674" s="4"/>
      <c r="Q674" s="4"/>
      <c r="R674" s="4"/>
      <c r="S674" s="4"/>
      <c r="T674" s="4"/>
      <c r="U674" s="4"/>
      <c r="V674" s="4"/>
      <c r="W674" s="4"/>
      <c r="X674" s="4"/>
      <c r="Y674" s="4"/>
      <c r="Z674" s="4"/>
    </row>
    <row r="675">
      <c r="A675" s="77"/>
      <c r="B675" s="17"/>
      <c r="C675" s="17"/>
      <c r="D675" s="17"/>
      <c r="E675" s="17"/>
      <c r="F675" s="17"/>
      <c r="G675" s="78"/>
      <c r="H675" s="78"/>
      <c r="I675" s="17"/>
      <c r="J675" s="17"/>
      <c r="K675" s="17"/>
      <c r="L675" s="4"/>
      <c r="M675" s="4"/>
      <c r="N675" s="4"/>
      <c r="O675" s="4"/>
      <c r="P675" s="4"/>
      <c r="Q675" s="4"/>
      <c r="R675" s="4"/>
      <c r="S675" s="4"/>
      <c r="T675" s="4"/>
      <c r="U675" s="4"/>
      <c r="V675" s="4"/>
      <c r="W675" s="4"/>
      <c r="X675" s="4"/>
      <c r="Y675" s="4"/>
      <c r="Z675" s="4"/>
    </row>
    <row r="676">
      <c r="A676" s="77"/>
      <c r="B676" s="17"/>
      <c r="C676" s="17"/>
      <c r="D676" s="17"/>
      <c r="E676" s="17"/>
      <c r="F676" s="17"/>
      <c r="G676" s="78"/>
      <c r="H676" s="78"/>
      <c r="I676" s="17"/>
      <c r="J676" s="17"/>
      <c r="K676" s="17"/>
      <c r="L676" s="4"/>
      <c r="M676" s="4"/>
      <c r="N676" s="4"/>
      <c r="O676" s="4"/>
      <c r="P676" s="4"/>
      <c r="Q676" s="4"/>
      <c r="R676" s="4"/>
      <c r="S676" s="4"/>
      <c r="T676" s="4"/>
      <c r="U676" s="4"/>
      <c r="V676" s="4"/>
      <c r="W676" s="4"/>
      <c r="X676" s="4"/>
      <c r="Y676" s="4"/>
      <c r="Z676" s="4"/>
    </row>
    <row r="677">
      <c r="A677" s="77"/>
      <c r="B677" s="17"/>
      <c r="C677" s="17"/>
      <c r="D677" s="17"/>
      <c r="E677" s="17"/>
      <c r="F677" s="17"/>
      <c r="G677" s="78"/>
      <c r="H677" s="78"/>
      <c r="I677" s="17"/>
      <c r="J677" s="17"/>
      <c r="K677" s="17"/>
      <c r="L677" s="4"/>
      <c r="M677" s="4"/>
      <c r="N677" s="4"/>
      <c r="O677" s="4"/>
      <c r="P677" s="4"/>
      <c r="Q677" s="4"/>
      <c r="R677" s="4"/>
      <c r="S677" s="4"/>
      <c r="T677" s="4"/>
      <c r="U677" s="4"/>
      <c r="V677" s="4"/>
      <c r="W677" s="4"/>
      <c r="X677" s="4"/>
      <c r="Y677" s="4"/>
      <c r="Z677" s="4"/>
    </row>
    <row r="678">
      <c r="A678" s="77"/>
      <c r="B678" s="17"/>
      <c r="C678" s="17"/>
      <c r="D678" s="17"/>
      <c r="E678" s="17"/>
      <c r="F678" s="17"/>
      <c r="G678" s="78"/>
      <c r="H678" s="78"/>
      <c r="I678" s="17"/>
      <c r="J678" s="17"/>
      <c r="K678" s="17"/>
      <c r="L678" s="4"/>
      <c r="M678" s="4"/>
      <c r="N678" s="4"/>
      <c r="O678" s="4"/>
      <c r="P678" s="4"/>
      <c r="Q678" s="4"/>
      <c r="R678" s="4"/>
      <c r="S678" s="4"/>
      <c r="T678" s="4"/>
      <c r="U678" s="4"/>
      <c r="V678" s="4"/>
      <c r="W678" s="4"/>
      <c r="X678" s="4"/>
      <c r="Y678" s="4"/>
      <c r="Z678" s="4"/>
    </row>
    <row r="679">
      <c r="A679" s="77"/>
      <c r="B679" s="17"/>
      <c r="C679" s="17"/>
      <c r="D679" s="17"/>
      <c r="E679" s="17"/>
      <c r="F679" s="17"/>
      <c r="G679" s="78"/>
      <c r="H679" s="78"/>
      <c r="I679" s="17"/>
      <c r="J679" s="17"/>
      <c r="K679" s="17"/>
      <c r="L679" s="4"/>
      <c r="M679" s="4"/>
      <c r="N679" s="4"/>
      <c r="O679" s="4"/>
      <c r="P679" s="4"/>
      <c r="Q679" s="4"/>
      <c r="R679" s="4"/>
      <c r="S679" s="4"/>
      <c r="T679" s="4"/>
      <c r="U679" s="4"/>
      <c r="V679" s="4"/>
      <c r="W679" s="4"/>
      <c r="X679" s="4"/>
      <c r="Y679" s="4"/>
      <c r="Z679" s="4"/>
    </row>
    <row r="680">
      <c r="A680" s="77"/>
      <c r="B680" s="17"/>
      <c r="C680" s="17"/>
      <c r="D680" s="17"/>
      <c r="E680" s="17"/>
      <c r="F680" s="17"/>
      <c r="G680" s="78"/>
      <c r="H680" s="78"/>
      <c r="I680" s="17"/>
      <c r="J680" s="17"/>
      <c r="K680" s="17"/>
      <c r="L680" s="4"/>
      <c r="M680" s="4"/>
      <c r="N680" s="4"/>
      <c r="O680" s="4"/>
      <c r="P680" s="4"/>
      <c r="Q680" s="4"/>
      <c r="R680" s="4"/>
      <c r="S680" s="4"/>
      <c r="T680" s="4"/>
      <c r="U680" s="4"/>
      <c r="V680" s="4"/>
      <c r="W680" s="4"/>
      <c r="X680" s="4"/>
      <c r="Y680" s="4"/>
      <c r="Z680" s="4"/>
    </row>
    <row r="681">
      <c r="A681" s="77"/>
      <c r="B681" s="17"/>
      <c r="C681" s="17"/>
      <c r="D681" s="17"/>
      <c r="E681" s="17"/>
      <c r="F681" s="17"/>
      <c r="G681" s="78"/>
      <c r="H681" s="78"/>
      <c r="I681" s="17"/>
      <c r="J681" s="17"/>
      <c r="K681" s="17"/>
      <c r="L681" s="4"/>
      <c r="M681" s="4"/>
      <c r="N681" s="4"/>
      <c r="O681" s="4"/>
      <c r="P681" s="4"/>
      <c r="Q681" s="4"/>
      <c r="R681" s="4"/>
      <c r="S681" s="4"/>
      <c r="T681" s="4"/>
      <c r="U681" s="4"/>
      <c r="V681" s="4"/>
      <c r="W681" s="4"/>
      <c r="X681" s="4"/>
      <c r="Y681" s="4"/>
      <c r="Z681" s="4"/>
    </row>
    <row r="682">
      <c r="A682" s="77"/>
      <c r="B682" s="17"/>
      <c r="C682" s="17"/>
      <c r="D682" s="17"/>
      <c r="E682" s="17"/>
      <c r="F682" s="17"/>
      <c r="G682" s="78"/>
      <c r="H682" s="78"/>
      <c r="I682" s="17"/>
      <c r="J682" s="17"/>
      <c r="K682" s="17"/>
      <c r="L682" s="4"/>
      <c r="M682" s="4"/>
      <c r="N682" s="4"/>
      <c r="O682" s="4"/>
      <c r="P682" s="4"/>
      <c r="Q682" s="4"/>
      <c r="R682" s="4"/>
      <c r="S682" s="4"/>
      <c r="T682" s="4"/>
      <c r="U682" s="4"/>
      <c r="V682" s="4"/>
      <c r="W682" s="4"/>
      <c r="X682" s="4"/>
      <c r="Y682" s="4"/>
      <c r="Z682" s="4"/>
    </row>
    <row r="683">
      <c r="A683" s="77"/>
      <c r="B683" s="17"/>
      <c r="C683" s="17"/>
      <c r="D683" s="17"/>
      <c r="E683" s="17"/>
      <c r="F683" s="17"/>
      <c r="G683" s="78"/>
      <c r="H683" s="78"/>
      <c r="I683" s="17"/>
      <c r="J683" s="17"/>
      <c r="K683" s="17"/>
      <c r="L683" s="4"/>
      <c r="M683" s="4"/>
      <c r="N683" s="4"/>
      <c r="O683" s="4"/>
      <c r="P683" s="4"/>
      <c r="Q683" s="4"/>
      <c r="R683" s="4"/>
      <c r="S683" s="4"/>
      <c r="T683" s="4"/>
      <c r="U683" s="4"/>
      <c r="V683" s="4"/>
      <c r="W683" s="4"/>
      <c r="X683" s="4"/>
      <c r="Y683" s="4"/>
      <c r="Z683" s="4"/>
    </row>
    <row r="684">
      <c r="A684" s="77"/>
      <c r="B684" s="17"/>
      <c r="C684" s="17"/>
      <c r="D684" s="17"/>
      <c r="E684" s="17"/>
      <c r="F684" s="17"/>
      <c r="G684" s="78"/>
      <c r="H684" s="78"/>
      <c r="I684" s="17"/>
      <c r="J684" s="17"/>
      <c r="K684" s="17"/>
      <c r="L684" s="4"/>
      <c r="M684" s="4"/>
      <c r="N684" s="4"/>
      <c r="O684" s="4"/>
      <c r="P684" s="4"/>
      <c r="Q684" s="4"/>
      <c r="R684" s="4"/>
      <c r="S684" s="4"/>
      <c r="T684" s="4"/>
      <c r="U684" s="4"/>
      <c r="V684" s="4"/>
      <c r="W684" s="4"/>
      <c r="X684" s="4"/>
      <c r="Y684" s="4"/>
      <c r="Z684" s="4"/>
    </row>
    <row r="685">
      <c r="A685" s="77"/>
      <c r="B685" s="17"/>
      <c r="C685" s="17"/>
      <c r="D685" s="17"/>
      <c r="E685" s="17"/>
      <c r="F685" s="17"/>
      <c r="G685" s="78"/>
      <c r="H685" s="78"/>
      <c r="I685" s="17"/>
      <c r="J685" s="17"/>
      <c r="K685" s="17"/>
      <c r="L685" s="4"/>
      <c r="M685" s="4"/>
      <c r="N685" s="4"/>
      <c r="O685" s="4"/>
      <c r="P685" s="4"/>
      <c r="Q685" s="4"/>
      <c r="R685" s="4"/>
      <c r="S685" s="4"/>
      <c r="T685" s="4"/>
      <c r="U685" s="4"/>
      <c r="V685" s="4"/>
      <c r="W685" s="4"/>
      <c r="X685" s="4"/>
      <c r="Y685" s="4"/>
      <c r="Z685" s="4"/>
    </row>
    <row r="686">
      <c r="A686" s="77"/>
      <c r="B686" s="17"/>
      <c r="C686" s="17"/>
      <c r="D686" s="17"/>
      <c r="E686" s="17"/>
      <c r="F686" s="17"/>
      <c r="G686" s="78"/>
      <c r="H686" s="78"/>
      <c r="I686" s="17"/>
      <c r="J686" s="17"/>
      <c r="K686" s="17"/>
      <c r="L686" s="4"/>
      <c r="M686" s="4"/>
      <c r="N686" s="4"/>
      <c r="O686" s="4"/>
      <c r="P686" s="4"/>
      <c r="Q686" s="4"/>
      <c r="R686" s="4"/>
      <c r="S686" s="4"/>
      <c r="T686" s="4"/>
      <c r="U686" s="4"/>
      <c r="V686" s="4"/>
      <c r="W686" s="4"/>
      <c r="X686" s="4"/>
      <c r="Y686" s="4"/>
      <c r="Z686" s="4"/>
    </row>
    <row r="687">
      <c r="A687" s="77"/>
      <c r="B687" s="17"/>
      <c r="C687" s="17"/>
      <c r="D687" s="17"/>
      <c r="E687" s="17"/>
      <c r="F687" s="17"/>
      <c r="G687" s="78"/>
      <c r="H687" s="78"/>
      <c r="I687" s="17"/>
      <c r="J687" s="17"/>
      <c r="K687" s="17"/>
      <c r="L687" s="4"/>
      <c r="M687" s="4"/>
      <c r="N687" s="4"/>
      <c r="O687" s="4"/>
      <c r="P687" s="4"/>
      <c r="Q687" s="4"/>
      <c r="R687" s="4"/>
      <c r="S687" s="4"/>
      <c r="T687" s="4"/>
      <c r="U687" s="4"/>
      <c r="V687" s="4"/>
      <c r="W687" s="4"/>
      <c r="X687" s="4"/>
      <c r="Y687" s="4"/>
      <c r="Z687" s="4"/>
    </row>
    <row r="688">
      <c r="A688" s="77"/>
      <c r="B688" s="17"/>
      <c r="C688" s="17"/>
      <c r="D688" s="17"/>
      <c r="E688" s="17"/>
      <c r="F688" s="17"/>
      <c r="G688" s="78"/>
      <c r="H688" s="78"/>
      <c r="I688" s="17"/>
      <c r="J688" s="17"/>
      <c r="K688" s="17"/>
      <c r="L688" s="4"/>
      <c r="M688" s="4"/>
      <c r="N688" s="4"/>
      <c r="O688" s="4"/>
      <c r="P688" s="4"/>
      <c r="Q688" s="4"/>
      <c r="R688" s="4"/>
      <c r="S688" s="4"/>
      <c r="T688" s="4"/>
      <c r="U688" s="4"/>
      <c r="V688" s="4"/>
      <c r="W688" s="4"/>
      <c r="X688" s="4"/>
      <c r="Y688" s="4"/>
      <c r="Z688" s="4"/>
    </row>
    <row r="689">
      <c r="A689" s="77"/>
      <c r="B689" s="17"/>
      <c r="C689" s="17"/>
      <c r="D689" s="17"/>
      <c r="E689" s="17"/>
      <c r="F689" s="17"/>
      <c r="G689" s="78"/>
      <c r="H689" s="78"/>
      <c r="I689" s="17"/>
      <c r="J689" s="17"/>
      <c r="K689" s="17"/>
      <c r="L689" s="4"/>
      <c r="M689" s="4"/>
      <c r="N689" s="4"/>
      <c r="O689" s="4"/>
      <c r="P689" s="4"/>
      <c r="Q689" s="4"/>
      <c r="R689" s="4"/>
      <c r="S689" s="4"/>
      <c r="T689" s="4"/>
      <c r="U689" s="4"/>
      <c r="V689" s="4"/>
      <c r="W689" s="4"/>
      <c r="X689" s="4"/>
      <c r="Y689" s="4"/>
      <c r="Z689" s="4"/>
    </row>
    <row r="690">
      <c r="A690" s="77"/>
      <c r="B690" s="17"/>
      <c r="C690" s="17"/>
      <c r="D690" s="17"/>
      <c r="E690" s="17"/>
      <c r="F690" s="17"/>
      <c r="G690" s="78"/>
      <c r="H690" s="78"/>
      <c r="I690" s="17"/>
      <c r="J690" s="17"/>
      <c r="K690" s="17"/>
      <c r="L690" s="4"/>
      <c r="M690" s="4"/>
      <c r="N690" s="4"/>
      <c r="O690" s="4"/>
      <c r="P690" s="4"/>
      <c r="Q690" s="4"/>
      <c r="R690" s="4"/>
      <c r="S690" s="4"/>
      <c r="T690" s="4"/>
      <c r="U690" s="4"/>
      <c r="V690" s="4"/>
      <c r="W690" s="4"/>
      <c r="X690" s="4"/>
      <c r="Y690" s="4"/>
      <c r="Z690" s="4"/>
    </row>
    <row r="691">
      <c r="A691" s="77"/>
      <c r="B691" s="17"/>
      <c r="C691" s="17"/>
      <c r="D691" s="17"/>
      <c r="E691" s="17"/>
      <c r="F691" s="17"/>
      <c r="G691" s="78"/>
      <c r="H691" s="78"/>
      <c r="I691" s="17"/>
      <c r="J691" s="17"/>
      <c r="K691" s="17"/>
      <c r="L691" s="4"/>
      <c r="M691" s="4"/>
      <c r="N691" s="4"/>
      <c r="O691" s="4"/>
      <c r="P691" s="4"/>
      <c r="Q691" s="4"/>
      <c r="R691" s="4"/>
      <c r="S691" s="4"/>
      <c r="T691" s="4"/>
      <c r="U691" s="4"/>
      <c r="V691" s="4"/>
      <c r="W691" s="4"/>
      <c r="X691" s="4"/>
      <c r="Y691" s="4"/>
      <c r="Z691" s="4"/>
    </row>
    <row r="692">
      <c r="A692" s="77"/>
      <c r="B692" s="17"/>
      <c r="C692" s="17"/>
      <c r="D692" s="17"/>
      <c r="E692" s="17"/>
      <c r="F692" s="17"/>
      <c r="G692" s="78"/>
      <c r="H692" s="78"/>
      <c r="I692" s="17"/>
      <c r="J692" s="17"/>
      <c r="K692" s="17"/>
      <c r="L692" s="4"/>
      <c r="M692" s="4"/>
      <c r="N692" s="4"/>
      <c r="O692" s="4"/>
      <c r="P692" s="4"/>
      <c r="Q692" s="4"/>
      <c r="R692" s="4"/>
      <c r="S692" s="4"/>
      <c r="T692" s="4"/>
      <c r="U692" s="4"/>
      <c r="V692" s="4"/>
      <c r="W692" s="4"/>
      <c r="X692" s="4"/>
      <c r="Y692" s="4"/>
      <c r="Z692" s="4"/>
    </row>
    <row r="693">
      <c r="A693" s="77"/>
      <c r="B693" s="17"/>
      <c r="C693" s="17"/>
      <c r="D693" s="17"/>
      <c r="E693" s="17"/>
      <c r="F693" s="17"/>
      <c r="G693" s="78"/>
      <c r="H693" s="78"/>
      <c r="I693" s="17"/>
      <c r="J693" s="17"/>
      <c r="K693" s="17"/>
      <c r="L693" s="4"/>
      <c r="M693" s="4"/>
      <c r="N693" s="4"/>
      <c r="O693" s="4"/>
      <c r="P693" s="4"/>
      <c r="Q693" s="4"/>
      <c r="R693" s="4"/>
      <c r="S693" s="4"/>
      <c r="T693" s="4"/>
      <c r="U693" s="4"/>
      <c r="V693" s="4"/>
      <c r="W693" s="4"/>
      <c r="X693" s="4"/>
      <c r="Y693" s="4"/>
      <c r="Z693" s="4"/>
    </row>
    <row r="694">
      <c r="A694" s="77"/>
      <c r="B694" s="17"/>
      <c r="C694" s="17"/>
      <c r="D694" s="17"/>
      <c r="E694" s="17"/>
      <c r="F694" s="17"/>
      <c r="G694" s="78"/>
      <c r="H694" s="78"/>
      <c r="I694" s="17"/>
      <c r="J694" s="17"/>
      <c r="K694" s="17"/>
      <c r="L694" s="4"/>
      <c r="M694" s="4"/>
      <c r="N694" s="4"/>
      <c r="O694" s="4"/>
      <c r="P694" s="4"/>
      <c r="Q694" s="4"/>
      <c r="R694" s="4"/>
      <c r="S694" s="4"/>
      <c r="T694" s="4"/>
      <c r="U694" s="4"/>
      <c r="V694" s="4"/>
      <c r="W694" s="4"/>
      <c r="X694" s="4"/>
      <c r="Y694" s="4"/>
      <c r="Z694" s="4"/>
    </row>
    <row r="695">
      <c r="A695" s="77"/>
      <c r="B695" s="17"/>
      <c r="C695" s="17"/>
      <c r="D695" s="17"/>
      <c r="E695" s="17"/>
      <c r="F695" s="17"/>
      <c r="G695" s="78"/>
      <c r="H695" s="78"/>
      <c r="I695" s="17"/>
      <c r="J695" s="17"/>
      <c r="K695" s="17"/>
      <c r="L695" s="4"/>
      <c r="M695" s="4"/>
      <c r="N695" s="4"/>
      <c r="O695" s="4"/>
      <c r="P695" s="4"/>
      <c r="Q695" s="4"/>
      <c r="R695" s="4"/>
      <c r="S695" s="4"/>
      <c r="T695" s="4"/>
      <c r="U695" s="4"/>
      <c r="V695" s="4"/>
      <c r="W695" s="4"/>
      <c r="X695" s="4"/>
      <c r="Y695" s="4"/>
      <c r="Z695" s="4"/>
    </row>
    <row r="696">
      <c r="A696" s="77"/>
      <c r="B696" s="17"/>
      <c r="C696" s="17"/>
      <c r="D696" s="17"/>
      <c r="E696" s="17"/>
      <c r="F696" s="17"/>
      <c r="G696" s="78"/>
      <c r="H696" s="78"/>
      <c r="I696" s="17"/>
      <c r="J696" s="17"/>
      <c r="K696" s="17"/>
      <c r="L696" s="4"/>
      <c r="M696" s="4"/>
      <c r="N696" s="4"/>
      <c r="O696" s="4"/>
      <c r="P696" s="4"/>
      <c r="Q696" s="4"/>
      <c r="R696" s="4"/>
      <c r="S696" s="4"/>
      <c r="T696" s="4"/>
      <c r="U696" s="4"/>
      <c r="V696" s="4"/>
      <c r="W696" s="4"/>
      <c r="X696" s="4"/>
      <c r="Y696" s="4"/>
      <c r="Z696" s="4"/>
    </row>
    <row r="697">
      <c r="A697" s="77"/>
      <c r="B697" s="17"/>
      <c r="C697" s="17"/>
      <c r="D697" s="17"/>
      <c r="E697" s="17"/>
      <c r="F697" s="17"/>
      <c r="G697" s="78"/>
      <c r="H697" s="78"/>
      <c r="I697" s="17"/>
      <c r="J697" s="17"/>
      <c r="K697" s="17"/>
      <c r="L697" s="4"/>
      <c r="M697" s="4"/>
      <c r="N697" s="4"/>
      <c r="O697" s="4"/>
      <c r="P697" s="4"/>
      <c r="Q697" s="4"/>
      <c r="R697" s="4"/>
      <c r="S697" s="4"/>
      <c r="T697" s="4"/>
      <c r="U697" s="4"/>
      <c r="V697" s="4"/>
      <c r="W697" s="4"/>
      <c r="X697" s="4"/>
      <c r="Y697" s="4"/>
      <c r="Z697" s="4"/>
    </row>
    <row r="698">
      <c r="A698" s="77"/>
      <c r="B698" s="17"/>
      <c r="C698" s="17"/>
      <c r="D698" s="17"/>
      <c r="E698" s="17"/>
      <c r="F698" s="17"/>
      <c r="G698" s="78"/>
      <c r="H698" s="78"/>
      <c r="I698" s="17"/>
      <c r="J698" s="17"/>
      <c r="K698" s="17"/>
      <c r="L698" s="4"/>
      <c r="M698" s="4"/>
      <c r="N698" s="4"/>
      <c r="O698" s="4"/>
      <c r="P698" s="4"/>
      <c r="Q698" s="4"/>
      <c r="R698" s="4"/>
      <c r="S698" s="4"/>
      <c r="T698" s="4"/>
      <c r="U698" s="4"/>
      <c r="V698" s="4"/>
      <c r="W698" s="4"/>
      <c r="X698" s="4"/>
      <c r="Y698" s="4"/>
      <c r="Z698" s="4"/>
    </row>
    <row r="699">
      <c r="A699" s="77"/>
      <c r="B699" s="17"/>
      <c r="C699" s="17"/>
      <c r="D699" s="17"/>
      <c r="E699" s="17"/>
      <c r="F699" s="17"/>
      <c r="G699" s="78"/>
      <c r="H699" s="78"/>
      <c r="I699" s="17"/>
      <c r="J699" s="17"/>
      <c r="K699" s="17"/>
      <c r="L699" s="4"/>
      <c r="M699" s="4"/>
      <c r="N699" s="4"/>
      <c r="O699" s="4"/>
      <c r="P699" s="4"/>
      <c r="Q699" s="4"/>
      <c r="R699" s="4"/>
      <c r="S699" s="4"/>
      <c r="T699" s="4"/>
      <c r="U699" s="4"/>
      <c r="V699" s="4"/>
      <c r="W699" s="4"/>
      <c r="X699" s="4"/>
      <c r="Y699" s="4"/>
      <c r="Z699" s="4"/>
    </row>
    <row r="700">
      <c r="A700" s="77"/>
      <c r="B700" s="17"/>
      <c r="C700" s="17"/>
      <c r="D700" s="17"/>
      <c r="E700" s="17"/>
      <c r="F700" s="17"/>
      <c r="G700" s="78"/>
      <c r="H700" s="78"/>
      <c r="I700" s="17"/>
      <c r="J700" s="17"/>
      <c r="K700" s="17"/>
      <c r="L700" s="4"/>
      <c r="M700" s="4"/>
      <c r="N700" s="4"/>
      <c r="O700" s="4"/>
      <c r="P700" s="4"/>
      <c r="Q700" s="4"/>
      <c r="R700" s="4"/>
      <c r="S700" s="4"/>
      <c r="T700" s="4"/>
      <c r="U700" s="4"/>
      <c r="V700" s="4"/>
      <c r="W700" s="4"/>
      <c r="X700" s="4"/>
      <c r="Y700" s="4"/>
      <c r="Z700" s="4"/>
    </row>
    <row r="701">
      <c r="A701" s="77"/>
      <c r="B701" s="17"/>
      <c r="C701" s="17"/>
      <c r="D701" s="17"/>
      <c r="E701" s="17"/>
      <c r="F701" s="17"/>
      <c r="G701" s="78"/>
      <c r="H701" s="78"/>
      <c r="I701" s="17"/>
      <c r="J701" s="17"/>
      <c r="K701" s="17"/>
      <c r="L701" s="4"/>
      <c r="M701" s="4"/>
      <c r="N701" s="4"/>
      <c r="O701" s="4"/>
      <c r="P701" s="4"/>
      <c r="Q701" s="4"/>
      <c r="R701" s="4"/>
      <c r="S701" s="4"/>
      <c r="T701" s="4"/>
      <c r="U701" s="4"/>
      <c r="V701" s="4"/>
      <c r="W701" s="4"/>
      <c r="X701" s="4"/>
      <c r="Y701" s="4"/>
      <c r="Z701" s="4"/>
    </row>
    <row r="702">
      <c r="A702" s="77"/>
      <c r="B702" s="17"/>
      <c r="C702" s="17"/>
      <c r="D702" s="17"/>
      <c r="E702" s="17"/>
      <c r="F702" s="17"/>
      <c r="G702" s="78"/>
      <c r="H702" s="78"/>
      <c r="I702" s="17"/>
      <c r="J702" s="17"/>
      <c r="K702" s="17"/>
      <c r="L702" s="4"/>
      <c r="M702" s="4"/>
      <c r="N702" s="4"/>
      <c r="O702" s="4"/>
      <c r="P702" s="4"/>
      <c r="Q702" s="4"/>
      <c r="R702" s="4"/>
      <c r="S702" s="4"/>
      <c r="T702" s="4"/>
      <c r="U702" s="4"/>
      <c r="V702" s="4"/>
      <c r="W702" s="4"/>
      <c r="X702" s="4"/>
      <c r="Y702" s="4"/>
      <c r="Z702" s="4"/>
    </row>
    <row r="703">
      <c r="A703" s="77"/>
      <c r="B703" s="17"/>
      <c r="C703" s="17"/>
      <c r="D703" s="17"/>
      <c r="E703" s="17"/>
      <c r="F703" s="17"/>
      <c r="G703" s="78"/>
      <c r="H703" s="78"/>
      <c r="I703" s="17"/>
      <c r="J703" s="17"/>
      <c r="K703" s="17"/>
      <c r="L703" s="4"/>
      <c r="M703" s="4"/>
      <c r="N703" s="4"/>
      <c r="O703" s="4"/>
      <c r="P703" s="4"/>
      <c r="Q703" s="4"/>
      <c r="R703" s="4"/>
      <c r="S703" s="4"/>
      <c r="T703" s="4"/>
      <c r="U703" s="4"/>
      <c r="V703" s="4"/>
      <c r="W703" s="4"/>
      <c r="X703" s="4"/>
      <c r="Y703" s="4"/>
      <c r="Z703" s="4"/>
    </row>
    <row r="704">
      <c r="A704" s="77"/>
      <c r="B704" s="17"/>
      <c r="C704" s="17"/>
      <c r="D704" s="17"/>
      <c r="E704" s="17"/>
      <c r="F704" s="17"/>
      <c r="G704" s="78"/>
      <c r="H704" s="78"/>
      <c r="I704" s="17"/>
      <c r="J704" s="17"/>
      <c r="K704" s="17"/>
      <c r="L704" s="4"/>
      <c r="M704" s="4"/>
      <c r="N704" s="4"/>
      <c r="O704" s="4"/>
      <c r="P704" s="4"/>
      <c r="Q704" s="4"/>
      <c r="R704" s="4"/>
      <c r="S704" s="4"/>
      <c r="T704" s="4"/>
      <c r="U704" s="4"/>
      <c r="V704" s="4"/>
      <c r="W704" s="4"/>
      <c r="X704" s="4"/>
      <c r="Y704" s="4"/>
      <c r="Z704" s="4"/>
    </row>
    <row r="705">
      <c r="A705" s="77"/>
      <c r="B705" s="17"/>
      <c r="C705" s="17"/>
      <c r="D705" s="17"/>
      <c r="E705" s="17"/>
      <c r="F705" s="17"/>
      <c r="G705" s="78"/>
      <c r="H705" s="78"/>
      <c r="I705" s="17"/>
      <c r="J705" s="17"/>
      <c r="K705" s="17"/>
      <c r="L705" s="4"/>
      <c r="M705" s="4"/>
      <c r="N705" s="4"/>
      <c r="O705" s="4"/>
      <c r="P705" s="4"/>
      <c r="Q705" s="4"/>
      <c r="R705" s="4"/>
      <c r="S705" s="4"/>
      <c r="T705" s="4"/>
      <c r="U705" s="4"/>
      <c r="V705" s="4"/>
      <c r="W705" s="4"/>
      <c r="X705" s="4"/>
      <c r="Y705" s="4"/>
      <c r="Z705" s="4"/>
    </row>
    <row r="706">
      <c r="A706" s="77"/>
      <c r="B706" s="17"/>
      <c r="C706" s="17"/>
      <c r="D706" s="17"/>
      <c r="E706" s="17"/>
      <c r="F706" s="17"/>
      <c r="G706" s="78"/>
      <c r="H706" s="78"/>
      <c r="I706" s="17"/>
      <c r="J706" s="17"/>
      <c r="K706" s="17"/>
      <c r="L706" s="4"/>
      <c r="M706" s="4"/>
      <c r="N706" s="4"/>
      <c r="O706" s="4"/>
      <c r="P706" s="4"/>
      <c r="Q706" s="4"/>
      <c r="R706" s="4"/>
      <c r="S706" s="4"/>
      <c r="T706" s="4"/>
      <c r="U706" s="4"/>
      <c r="V706" s="4"/>
      <c r="W706" s="4"/>
      <c r="X706" s="4"/>
      <c r="Y706" s="4"/>
      <c r="Z706" s="4"/>
    </row>
    <row r="707">
      <c r="A707" s="77"/>
      <c r="B707" s="17"/>
      <c r="C707" s="17"/>
      <c r="D707" s="17"/>
      <c r="E707" s="17"/>
      <c r="F707" s="17"/>
      <c r="G707" s="78"/>
      <c r="H707" s="78"/>
      <c r="I707" s="17"/>
      <c r="J707" s="17"/>
      <c r="K707" s="17"/>
      <c r="L707" s="4"/>
      <c r="M707" s="4"/>
      <c r="N707" s="4"/>
      <c r="O707" s="4"/>
      <c r="P707" s="4"/>
      <c r="Q707" s="4"/>
      <c r="R707" s="4"/>
      <c r="S707" s="4"/>
      <c r="T707" s="4"/>
      <c r="U707" s="4"/>
      <c r="V707" s="4"/>
      <c r="W707" s="4"/>
      <c r="X707" s="4"/>
      <c r="Y707" s="4"/>
      <c r="Z707" s="4"/>
    </row>
    <row r="708">
      <c r="A708" s="77"/>
      <c r="B708" s="17"/>
      <c r="C708" s="17"/>
      <c r="D708" s="17"/>
      <c r="E708" s="17"/>
      <c r="F708" s="17"/>
      <c r="G708" s="78"/>
      <c r="H708" s="78"/>
      <c r="I708" s="17"/>
      <c r="J708" s="17"/>
      <c r="K708" s="17"/>
      <c r="L708" s="4"/>
      <c r="M708" s="4"/>
      <c r="N708" s="4"/>
      <c r="O708" s="4"/>
      <c r="P708" s="4"/>
      <c r="Q708" s="4"/>
      <c r="R708" s="4"/>
      <c r="S708" s="4"/>
      <c r="T708" s="4"/>
      <c r="U708" s="4"/>
      <c r="V708" s="4"/>
      <c r="W708" s="4"/>
      <c r="X708" s="4"/>
      <c r="Y708" s="4"/>
      <c r="Z708" s="4"/>
    </row>
    <row r="709">
      <c r="A709" s="77"/>
      <c r="B709" s="17"/>
      <c r="C709" s="17"/>
      <c r="D709" s="17"/>
      <c r="E709" s="17"/>
      <c r="F709" s="17"/>
      <c r="G709" s="78"/>
      <c r="H709" s="78"/>
      <c r="I709" s="17"/>
      <c r="J709" s="17"/>
      <c r="K709" s="17"/>
      <c r="L709" s="4"/>
      <c r="M709" s="4"/>
      <c r="N709" s="4"/>
      <c r="O709" s="4"/>
      <c r="P709" s="4"/>
      <c r="Q709" s="4"/>
      <c r="R709" s="4"/>
      <c r="S709" s="4"/>
      <c r="T709" s="4"/>
      <c r="U709" s="4"/>
      <c r="V709" s="4"/>
      <c r="W709" s="4"/>
      <c r="X709" s="4"/>
      <c r="Y709" s="4"/>
      <c r="Z709" s="4"/>
    </row>
    <row r="710">
      <c r="A710" s="77"/>
      <c r="B710" s="17"/>
      <c r="C710" s="17"/>
      <c r="D710" s="17"/>
      <c r="E710" s="17"/>
      <c r="F710" s="17"/>
      <c r="G710" s="78"/>
      <c r="H710" s="78"/>
      <c r="I710" s="17"/>
      <c r="J710" s="17"/>
      <c r="K710" s="17"/>
      <c r="L710" s="4"/>
      <c r="M710" s="4"/>
      <c r="N710" s="4"/>
      <c r="O710" s="4"/>
      <c r="P710" s="4"/>
      <c r="Q710" s="4"/>
      <c r="R710" s="4"/>
      <c r="S710" s="4"/>
      <c r="T710" s="4"/>
      <c r="U710" s="4"/>
      <c r="V710" s="4"/>
      <c r="W710" s="4"/>
      <c r="X710" s="4"/>
      <c r="Y710" s="4"/>
      <c r="Z710" s="4"/>
    </row>
    <row r="711">
      <c r="A711" s="77"/>
      <c r="B711" s="17"/>
      <c r="C711" s="17"/>
      <c r="D711" s="17"/>
      <c r="E711" s="17"/>
      <c r="F711" s="17"/>
      <c r="G711" s="78"/>
      <c r="H711" s="78"/>
      <c r="I711" s="17"/>
      <c r="J711" s="17"/>
      <c r="K711" s="17"/>
      <c r="L711" s="4"/>
      <c r="M711" s="4"/>
      <c r="N711" s="4"/>
      <c r="O711" s="4"/>
      <c r="P711" s="4"/>
      <c r="Q711" s="4"/>
      <c r="R711" s="4"/>
      <c r="S711" s="4"/>
      <c r="T711" s="4"/>
      <c r="U711" s="4"/>
      <c r="V711" s="4"/>
      <c r="W711" s="4"/>
      <c r="X711" s="4"/>
      <c r="Y711" s="4"/>
      <c r="Z711" s="4"/>
    </row>
    <row r="712">
      <c r="A712" s="77"/>
      <c r="B712" s="17"/>
      <c r="C712" s="17"/>
      <c r="D712" s="17"/>
      <c r="E712" s="17"/>
      <c r="F712" s="17"/>
      <c r="G712" s="78"/>
      <c r="H712" s="78"/>
      <c r="I712" s="17"/>
      <c r="J712" s="17"/>
      <c r="K712" s="17"/>
      <c r="L712" s="4"/>
      <c r="M712" s="4"/>
      <c r="N712" s="4"/>
      <c r="O712" s="4"/>
      <c r="P712" s="4"/>
      <c r="Q712" s="4"/>
      <c r="R712" s="4"/>
      <c r="S712" s="4"/>
      <c r="T712" s="4"/>
      <c r="U712" s="4"/>
      <c r="V712" s="4"/>
      <c r="W712" s="4"/>
      <c r="X712" s="4"/>
      <c r="Y712" s="4"/>
      <c r="Z712" s="4"/>
    </row>
    <row r="713">
      <c r="A713" s="77"/>
      <c r="B713" s="17"/>
      <c r="C713" s="17"/>
      <c r="D713" s="17"/>
      <c r="E713" s="17"/>
      <c r="F713" s="17"/>
      <c r="G713" s="78"/>
      <c r="H713" s="78"/>
      <c r="I713" s="17"/>
      <c r="J713" s="17"/>
      <c r="K713" s="17"/>
      <c r="L713" s="4"/>
      <c r="M713" s="4"/>
      <c r="N713" s="4"/>
      <c r="O713" s="4"/>
      <c r="P713" s="4"/>
      <c r="Q713" s="4"/>
      <c r="R713" s="4"/>
      <c r="S713" s="4"/>
      <c r="T713" s="4"/>
      <c r="U713" s="4"/>
      <c r="V713" s="4"/>
      <c r="W713" s="4"/>
      <c r="X713" s="4"/>
      <c r="Y713" s="4"/>
      <c r="Z713" s="4"/>
    </row>
    <row r="714">
      <c r="A714" s="77"/>
      <c r="B714" s="17"/>
      <c r="C714" s="17"/>
      <c r="D714" s="17"/>
      <c r="E714" s="17"/>
      <c r="F714" s="17"/>
      <c r="G714" s="78"/>
      <c r="H714" s="78"/>
      <c r="I714" s="17"/>
      <c r="J714" s="17"/>
      <c r="K714" s="17"/>
      <c r="L714" s="4"/>
      <c r="M714" s="4"/>
      <c r="N714" s="4"/>
      <c r="O714" s="4"/>
      <c r="P714" s="4"/>
      <c r="Q714" s="4"/>
      <c r="R714" s="4"/>
      <c r="S714" s="4"/>
      <c r="T714" s="4"/>
      <c r="U714" s="4"/>
      <c r="V714" s="4"/>
      <c r="W714" s="4"/>
      <c r="X714" s="4"/>
      <c r="Y714" s="4"/>
      <c r="Z714" s="4"/>
    </row>
    <row r="715">
      <c r="A715" s="77"/>
      <c r="B715" s="17"/>
      <c r="C715" s="17"/>
      <c r="D715" s="17"/>
      <c r="E715" s="17"/>
      <c r="F715" s="17"/>
      <c r="G715" s="78"/>
      <c r="H715" s="78"/>
      <c r="I715" s="17"/>
      <c r="J715" s="17"/>
      <c r="K715" s="17"/>
      <c r="L715" s="4"/>
      <c r="M715" s="4"/>
      <c r="N715" s="4"/>
      <c r="O715" s="4"/>
      <c r="P715" s="4"/>
      <c r="Q715" s="4"/>
      <c r="R715" s="4"/>
      <c r="S715" s="4"/>
      <c r="T715" s="4"/>
      <c r="U715" s="4"/>
      <c r="V715" s="4"/>
      <c r="W715" s="4"/>
      <c r="X715" s="4"/>
      <c r="Y715" s="4"/>
      <c r="Z715" s="4"/>
    </row>
    <row r="716">
      <c r="A716" s="77"/>
      <c r="B716" s="17"/>
      <c r="C716" s="17"/>
      <c r="D716" s="17"/>
      <c r="E716" s="17"/>
      <c r="F716" s="17"/>
      <c r="G716" s="78"/>
      <c r="H716" s="78"/>
      <c r="I716" s="17"/>
      <c r="J716" s="17"/>
      <c r="K716" s="17"/>
      <c r="L716" s="4"/>
      <c r="M716" s="4"/>
      <c r="N716" s="4"/>
      <c r="O716" s="4"/>
      <c r="P716" s="4"/>
      <c r="Q716" s="4"/>
      <c r="R716" s="4"/>
      <c r="S716" s="4"/>
      <c r="T716" s="4"/>
      <c r="U716" s="4"/>
      <c r="V716" s="4"/>
      <c r="W716" s="4"/>
      <c r="X716" s="4"/>
      <c r="Y716" s="4"/>
      <c r="Z716" s="4"/>
    </row>
    <row r="717">
      <c r="A717" s="77"/>
      <c r="B717" s="17"/>
      <c r="C717" s="17"/>
      <c r="D717" s="17"/>
      <c r="E717" s="17"/>
      <c r="F717" s="17"/>
      <c r="G717" s="78"/>
      <c r="H717" s="78"/>
      <c r="I717" s="17"/>
      <c r="J717" s="17"/>
      <c r="K717" s="17"/>
      <c r="L717" s="4"/>
      <c r="M717" s="4"/>
      <c r="N717" s="4"/>
      <c r="O717" s="4"/>
      <c r="P717" s="4"/>
      <c r="Q717" s="4"/>
      <c r="R717" s="4"/>
      <c r="S717" s="4"/>
      <c r="T717" s="4"/>
      <c r="U717" s="4"/>
      <c r="V717" s="4"/>
      <c r="W717" s="4"/>
      <c r="X717" s="4"/>
      <c r="Y717" s="4"/>
      <c r="Z717" s="4"/>
    </row>
    <row r="718">
      <c r="A718" s="77"/>
      <c r="B718" s="17"/>
      <c r="C718" s="17"/>
      <c r="D718" s="17"/>
      <c r="E718" s="17"/>
      <c r="F718" s="17"/>
      <c r="G718" s="78"/>
      <c r="H718" s="78"/>
      <c r="I718" s="17"/>
      <c r="J718" s="17"/>
      <c r="K718" s="17"/>
      <c r="L718" s="4"/>
      <c r="M718" s="4"/>
      <c r="N718" s="4"/>
      <c r="O718" s="4"/>
      <c r="P718" s="4"/>
      <c r="Q718" s="4"/>
      <c r="R718" s="4"/>
      <c r="S718" s="4"/>
      <c r="T718" s="4"/>
      <c r="U718" s="4"/>
      <c r="V718" s="4"/>
      <c r="W718" s="4"/>
      <c r="X718" s="4"/>
      <c r="Y718" s="4"/>
      <c r="Z718" s="4"/>
    </row>
    <row r="719">
      <c r="A719" s="77"/>
      <c r="B719" s="17"/>
      <c r="C719" s="17"/>
      <c r="D719" s="17"/>
      <c r="E719" s="17"/>
      <c r="F719" s="17"/>
      <c r="G719" s="78"/>
      <c r="H719" s="78"/>
      <c r="I719" s="17"/>
      <c r="J719" s="17"/>
      <c r="K719" s="17"/>
      <c r="L719" s="4"/>
      <c r="M719" s="4"/>
      <c r="N719" s="4"/>
      <c r="O719" s="4"/>
      <c r="P719" s="4"/>
      <c r="Q719" s="4"/>
      <c r="R719" s="4"/>
      <c r="S719" s="4"/>
      <c r="T719" s="4"/>
      <c r="U719" s="4"/>
      <c r="V719" s="4"/>
      <c r="W719" s="4"/>
      <c r="X719" s="4"/>
      <c r="Y719" s="4"/>
      <c r="Z719" s="4"/>
    </row>
    <row r="720">
      <c r="A720" s="77"/>
      <c r="B720" s="17"/>
      <c r="C720" s="17"/>
      <c r="D720" s="17"/>
      <c r="E720" s="17"/>
      <c r="F720" s="17"/>
      <c r="G720" s="78"/>
      <c r="H720" s="78"/>
      <c r="I720" s="17"/>
      <c r="J720" s="17"/>
      <c r="K720" s="17"/>
      <c r="L720" s="4"/>
      <c r="M720" s="4"/>
      <c r="N720" s="4"/>
      <c r="O720" s="4"/>
      <c r="P720" s="4"/>
      <c r="Q720" s="4"/>
      <c r="R720" s="4"/>
      <c r="S720" s="4"/>
      <c r="T720" s="4"/>
      <c r="U720" s="4"/>
      <c r="V720" s="4"/>
      <c r="W720" s="4"/>
      <c r="X720" s="4"/>
      <c r="Y720" s="4"/>
      <c r="Z720" s="4"/>
    </row>
    <row r="721">
      <c r="A721" s="77"/>
      <c r="B721" s="17"/>
      <c r="C721" s="17"/>
      <c r="D721" s="17"/>
      <c r="E721" s="17"/>
      <c r="F721" s="17"/>
      <c r="G721" s="78"/>
      <c r="H721" s="78"/>
      <c r="I721" s="17"/>
      <c r="J721" s="17"/>
      <c r="K721" s="17"/>
      <c r="L721" s="4"/>
      <c r="M721" s="4"/>
      <c r="N721" s="4"/>
      <c r="O721" s="4"/>
      <c r="P721" s="4"/>
      <c r="Q721" s="4"/>
      <c r="R721" s="4"/>
      <c r="S721" s="4"/>
      <c r="T721" s="4"/>
      <c r="U721" s="4"/>
      <c r="V721" s="4"/>
      <c r="W721" s="4"/>
      <c r="X721" s="4"/>
      <c r="Y721" s="4"/>
      <c r="Z721" s="4"/>
    </row>
    <row r="722">
      <c r="A722" s="77"/>
      <c r="B722" s="17"/>
      <c r="C722" s="17"/>
      <c r="D722" s="17"/>
      <c r="E722" s="17"/>
      <c r="F722" s="17"/>
      <c r="G722" s="78"/>
      <c r="H722" s="78"/>
      <c r="I722" s="17"/>
      <c r="J722" s="17"/>
      <c r="K722" s="17"/>
      <c r="L722" s="4"/>
      <c r="M722" s="4"/>
      <c r="N722" s="4"/>
      <c r="O722" s="4"/>
      <c r="P722" s="4"/>
      <c r="Q722" s="4"/>
      <c r="R722" s="4"/>
      <c r="S722" s="4"/>
      <c r="T722" s="4"/>
      <c r="U722" s="4"/>
      <c r="V722" s="4"/>
      <c r="W722" s="4"/>
      <c r="X722" s="4"/>
      <c r="Y722" s="4"/>
      <c r="Z722" s="4"/>
    </row>
    <row r="723">
      <c r="A723" s="77"/>
      <c r="B723" s="17"/>
      <c r="C723" s="17"/>
      <c r="D723" s="17"/>
      <c r="E723" s="17"/>
      <c r="F723" s="17"/>
      <c r="G723" s="78"/>
      <c r="H723" s="78"/>
      <c r="I723" s="17"/>
      <c r="J723" s="17"/>
      <c r="K723" s="17"/>
      <c r="L723" s="4"/>
      <c r="M723" s="4"/>
      <c r="N723" s="4"/>
      <c r="O723" s="4"/>
      <c r="P723" s="4"/>
      <c r="Q723" s="4"/>
      <c r="R723" s="4"/>
      <c r="S723" s="4"/>
      <c r="T723" s="4"/>
      <c r="U723" s="4"/>
      <c r="V723" s="4"/>
      <c r="W723" s="4"/>
      <c r="X723" s="4"/>
      <c r="Y723" s="4"/>
      <c r="Z723" s="4"/>
    </row>
    <row r="724">
      <c r="A724" s="77"/>
      <c r="B724" s="17"/>
      <c r="C724" s="17"/>
      <c r="D724" s="17"/>
      <c r="E724" s="17"/>
      <c r="F724" s="17"/>
      <c r="G724" s="78"/>
      <c r="H724" s="78"/>
      <c r="I724" s="17"/>
      <c r="J724" s="17"/>
      <c r="K724" s="17"/>
      <c r="L724" s="4"/>
      <c r="M724" s="4"/>
      <c r="N724" s="4"/>
      <c r="O724" s="4"/>
      <c r="P724" s="4"/>
      <c r="Q724" s="4"/>
      <c r="R724" s="4"/>
      <c r="S724" s="4"/>
      <c r="T724" s="4"/>
      <c r="U724" s="4"/>
      <c r="V724" s="4"/>
      <c r="W724" s="4"/>
      <c r="X724" s="4"/>
      <c r="Y724" s="4"/>
      <c r="Z724" s="4"/>
    </row>
    <row r="725">
      <c r="A725" s="77"/>
      <c r="B725" s="17"/>
      <c r="C725" s="17"/>
      <c r="D725" s="17"/>
      <c r="E725" s="17"/>
      <c r="F725" s="17"/>
      <c r="G725" s="78"/>
      <c r="H725" s="78"/>
      <c r="I725" s="17"/>
      <c r="J725" s="17"/>
      <c r="K725" s="17"/>
      <c r="L725" s="4"/>
      <c r="M725" s="4"/>
      <c r="N725" s="4"/>
      <c r="O725" s="4"/>
      <c r="P725" s="4"/>
      <c r="Q725" s="4"/>
      <c r="R725" s="4"/>
      <c r="S725" s="4"/>
      <c r="T725" s="4"/>
      <c r="U725" s="4"/>
      <c r="V725" s="4"/>
      <c r="W725" s="4"/>
      <c r="X725" s="4"/>
      <c r="Y725" s="4"/>
      <c r="Z725" s="4"/>
    </row>
    <row r="726">
      <c r="A726" s="77"/>
      <c r="B726" s="17"/>
      <c r="C726" s="17"/>
      <c r="D726" s="17"/>
      <c r="E726" s="17"/>
      <c r="F726" s="17"/>
      <c r="G726" s="78"/>
      <c r="H726" s="78"/>
      <c r="I726" s="17"/>
      <c r="J726" s="17"/>
      <c r="K726" s="17"/>
      <c r="L726" s="4"/>
      <c r="M726" s="4"/>
      <c r="N726" s="4"/>
      <c r="O726" s="4"/>
      <c r="P726" s="4"/>
      <c r="Q726" s="4"/>
      <c r="R726" s="4"/>
      <c r="S726" s="4"/>
      <c r="T726" s="4"/>
      <c r="U726" s="4"/>
      <c r="V726" s="4"/>
      <c r="W726" s="4"/>
      <c r="X726" s="4"/>
      <c r="Y726" s="4"/>
      <c r="Z726" s="4"/>
    </row>
    <row r="727">
      <c r="A727" s="77"/>
      <c r="B727" s="17"/>
      <c r="C727" s="17"/>
      <c r="D727" s="17"/>
      <c r="E727" s="17"/>
      <c r="F727" s="17"/>
      <c r="G727" s="78"/>
      <c r="H727" s="78"/>
      <c r="I727" s="17"/>
      <c r="J727" s="17"/>
      <c r="K727" s="17"/>
      <c r="L727" s="4"/>
      <c r="M727" s="4"/>
      <c r="N727" s="4"/>
      <c r="O727" s="4"/>
      <c r="P727" s="4"/>
      <c r="Q727" s="4"/>
      <c r="R727" s="4"/>
      <c r="S727" s="4"/>
      <c r="T727" s="4"/>
      <c r="U727" s="4"/>
      <c r="V727" s="4"/>
      <c r="W727" s="4"/>
      <c r="X727" s="4"/>
      <c r="Y727" s="4"/>
      <c r="Z727" s="4"/>
    </row>
    <row r="728">
      <c r="A728" s="77"/>
      <c r="B728" s="17"/>
      <c r="C728" s="17"/>
      <c r="D728" s="17"/>
      <c r="E728" s="17"/>
      <c r="F728" s="17"/>
      <c r="G728" s="78"/>
      <c r="H728" s="78"/>
      <c r="I728" s="17"/>
      <c r="J728" s="17"/>
      <c r="K728" s="17"/>
      <c r="L728" s="4"/>
      <c r="M728" s="4"/>
      <c r="N728" s="4"/>
      <c r="O728" s="4"/>
      <c r="P728" s="4"/>
      <c r="Q728" s="4"/>
      <c r="R728" s="4"/>
      <c r="S728" s="4"/>
      <c r="T728" s="4"/>
      <c r="U728" s="4"/>
      <c r="V728" s="4"/>
      <c r="W728" s="4"/>
      <c r="X728" s="4"/>
      <c r="Y728" s="4"/>
      <c r="Z728" s="4"/>
    </row>
    <row r="729">
      <c r="A729" s="77"/>
      <c r="B729" s="17"/>
      <c r="C729" s="17"/>
      <c r="D729" s="17"/>
      <c r="E729" s="17"/>
      <c r="F729" s="17"/>
      <c r="G729" s="78"/>
      <c r="H729" s="78"/>
      <c r="I729" s="17"/>
      <c r="J729" s="17"/>
      <c r="K729" s="17"/>
      <c r="L729" s="4"/>
      <c r="M729" s="4"/>
      <c r="N729" s="4"/>
      <c r="O729" s="4"/>
      <c r="P729" s="4"/>
      <c r="Q729" s="4"/>
      <c r="R729" s="4"/>
      <c r="S729" s="4"/>
      <c r="T729" s="4"/>
      <c r="U729" s="4"/>
      <c r="V729" s="4"/>
      <c r="W729" s="4"/>
      <c r="X729" s="4"/>
      <c r="Y729" s="4"/>
      <c r="Z729" s="4"/>
    </row>
    <row r="730">
      <c r="A730" s="77"/>
      <c r="B730" s="17"/>
      <c r="C730" s="17"/>
      <c r="D730" s="17"/>
      <c r="E730" s="17"/>
      <c r="F730" s="17"/>
      <c r="G730" s="78"/>
      <c r="H730" s="78"/>
      <c r="I730" s="17"/>
      <c r="J730" s="17"/>
      <c r="K730" s="17"/>
      <c r="L730" s="4"/>
      <c r="M730" s="4"/>
      <c r="N730" s="4"/>
      <c r="O730" s="4"/>
      <c r="P730" s="4"/>
      <c r="Q730" s="4"/>
      <c r="R730" s="4"/>
      <c r="S730" s="4"/>
      <c r="T730" s="4"/>
      <c r="U730" s="4"/>
      <c r="V730" s="4"/>
      <c r="W730" s="4"/>
      <c r="X730" s="4"/>
      <c r="Y730" s="4"/>
      <c r="Z730" s="4"/>
    </row>
    <row r="731">
      <c r="A731" s="77"/>
      <c r="B731" s="17"/>
      <c r="C731" s="17"/>
      <c r="D731" s="17"/>
      <c r="E731" s="17"/>
      <c r="F731" s="17"/>
      <c r="G731" s="78"/>
      <c r="H731" s="78"/>
      <c r="I731" s="17"/>
      <c r="J731" s="17"/>
      <c r="K731" s="17"/>
      <c r="L731" s="4"/>
      <c r="M731" s="4"/>
      <c r="N731" s="4"/>
      <c r="O731" s="4"/>
      <c r="P731" s="4"/>
      <c r="Q731" s="4"/>
      <c r="R731" s="4"/>
      <c r="S731" s="4"/>
      <c r="T731" s="4"/>
      <c r="U731" s="4"/>
      <c r="V731" s="4"/>
      <c r="W731" s="4"/>
      <c r="X731" s="4"/>
      <c r="Y731" s="4"/>
      <c r="Z731" s="4"/>
    </row>
    <row r="732">
      <c r="A732" s="77"/>
      <c r="B732" s="17"/>
      <c r="C732" s="17"/>
      <c r="D732" s="17"/>
      <c r="E732" s="17"/>
      <c r="F732" s="17"/>
      <c r="G732" s="78"/>
      <c r="H732" s="78"/>
      <c r="I732" s="17"/>
      <c r="J732" s="17"/>
      <c r="K732" s="17"/>
      <c r="L732" s="4"/>
      <c r="M732" s="4"/>
      <c r="N732" s="4"/>
      <c r="O732" s="4"/>
      <c r="P732" s="4"/>
      <c r="Q732" s="4"/>
      <c r="R732" s="4"/>
      <c r="S732" s="4"/>
      <c r="T732" s="4"/>
      <c r="U732" s="4"/>
      <c r="V732" s="4"/>
      <c r="W732" s="4"/>
      <c r="X732" s="4"/>
      <c r="Y732" s="4"/>
      <c r="Z732" s="4"/>
    </row>
    <row r="733">
      <c r="A733" s="77"/>
      <c r="B733" s="17"/>
      <c r="C733" s="17"/>
      <c r="D733" s="17"/>
      <c r="E733" s="17"/>
      <c r="F733" s="17"/>
      <c r="G733" s="78"/>
      <c r="H733" s="78"/>
      <c r="I733" s="17"/>
      <c r="J733" s="17"/>
      <c r="K733" s="17"/>
      <c r="L733" s="4"/>
      <c r="M733" s="4"/>
      <c r="N733" s="4"/>
      <c r="O733" s="4"/>
      <c r="P733" s="4"/>
      <c r="Q733" s="4"/>
      <c r="R733" s="4"/>
      <c r="S733" s="4"/>
      <c r="T733" s="4"/>
      <c r="U733" s="4"/>
      <c r="V733" s="4"/>
      <c r="W733" s="4"/>
      <c r="X733" s="4"/>
      <c r="Y733" s="4"/>
      <c r="Z733" s="4"/>
    </row>
    <row r="734">
      <c r="A734" s="77"/>
      <c r="B734" s="17"/>
      <c r="C734" s="17"/>
      <c r="D734" s="17"/>
      <c r="E734" s="17"/>
      <c r="F734" s="17"/>
      <c r="G734" s="78"/>
      <c r="H734" s="78"/>
      <c r="I734" s="17"/>
      <c r="J734" s="17"/>
      <c r="K734" s="17"/>
      <c r="L734" s="4"/>
      <c r="M734" s="4"/>
      <c r="N734" s="4"/>
      <c r="O734" s="4"/>
      <c r="P734" s="4"/>
      <c r="Q734" s="4"/>
      <c r="R734" s="4"/>
      <c r="S734" s="4"/>
      <c r="T734" s="4"/>
      <c r="U734" s="4"/>
      <c r="V734" s="4"/>
      <c r="W734" s="4"/>
      <c r="X734" s="4"/>
      <c r="Y734" s="4"/>
      <c r="Z734" s="4"/>
    </row>
    <row r="735">
      <c r="A735" s="77"/>
      <c r="B735" s="17"/>
      <c r="C735" s="17"/>
      <c r="D735" s="17"/>
      <c r="E735" s="17"/>
      <c r="F735" s="17"/>
      <c r="G735" s="78"/>
      <c r="H735" s="78"/>
      <c r="I735" s="17"/>
      <c r="J735" s="17"/>
      <c r="K735" s="17"/>
      <c r="L735" s="4"/>
      <c r="M735" s="4"/>
      <c r="N735" s="4"/>
      <c r="O735" s="4"/>
      <c r="P735" s="4"/>
      <c r="Q735" s="4"/>
      <c r="R735" s="4"/>
      <c r="S735" s="4"/>
      <c r="T735" s="4"/>
      <c r="U735" s="4"/>
      <c r="V735" s="4"/>
      <c r="W735" s="4"/>
      <c r="X735" s="4"/>
      <c r="Y735" s="4"/>
      <c r="Z735" s="4"/>
    </row>
    <row r="736">
      <c r="A736" s="77"/>
      <c r="B736" s="17"/>
      <c r="C736" s="17"/>
      <c r="D736" s="17"/>
      <c r="E736" s="17"/>
      <c r="F736" s="17"/>
      <c r="G736" s="78"/>
      <c r="H736" s="78"/>
      <c r="I736" s="17"/>
      <c r="J736" s="17"/>
      <c r="K736" s="17"/>
      <c r="L736" s="4"/>
      <c r="M736" s="4"/>
      <c r="N736" s="4"/>
      <c r="O736" s="4"/>
      <c r="P736" s="4"/>
      <c r="Q736" s="4"/>
      <c r="R736" s="4"/>
      <c r="S736" s="4"/>
      <c r="T736" s="4"/>
      <c r="U736" s="4"/>
      <c r="V736" s="4"/>
      <c r="W736" s="4"/>
      <c r="X736" s="4"/>
      <c r="Y736" s="4"/>
      <c r="Z736" s="4"/>
    </row>
    <row r="737">
      <c r="A737" s="77"/>
      <c r="B737" s="17"/>
      <c r="C737" s="17"/>
      <c r="D737" s="17"/>
      <c r="E737" s="17"/>
      <c r="F737" s="17"/>
      <c r="G737" s="78"/>
      <c r="H737" s="78"/>
      <c r="I737" s="17"/>
      <c r="J737" s="17"/>
      <c r="K737" s="17"/>
      <c r="L737" s="4"/>
      <c r="M737" s="4"/>
      <c r="N737" s="4"/>
      <c r="O737" s="4"/>
      <c r="P737" s="4"/>
      <c r="Q737" s="4"/>
      <c r="R737" s="4"/>
      <c r="S737" s="4"/>
      <c r="T737" s="4"/>
      <c r="U737" s="4"/>
      <c r="V737" s="4"/>
      <c r="W737" s="4"/>
      <c r="X737" s="4"/>
      <c r="Y737" s="4"/>
      <c r="Z737" s="4"/>
    </row>
    <row r="738">
      <c r="A738" s="77"/>
      <c r="B738" s="17"/>
      <c r="C738" s="17"/>
      <c r="D738" s="17"/>
      <c r="E738" s="17"/>
      <c r="F738" s="17"/>
      <c r="G738" s="78"/>
      <c r="H738" s="78"/>
      <c r="I738" s="17"/>
      <c r="J738" s="17"/>
      <c r="K738" s="17"/>
      <c r="L738" s="4"/>
      <c r="M738" s="4"/>
      <c r="N738" s="4"/>
      <c r="O738" s="4"/>
      <c r="P738" s="4"/>
      <c r="Q738" s="4"/>
      <c r="R738" s="4"/>
      <c r="S738" s="4"/>
      <c r="T738" s="4"/>
      <c r="U738" s="4"/>
      <c r="V738" s="4"/>
      <c r="W738" s="4"/>
      <c r="X738" s="4"/>
      <c r="Y738" s="4"/>
      <c r="Z738" s="4"/>
    </row>
    <row r="739">
      <c r="A739" s="77"/>
      <c r="B739" s="17"/>
      <c r="C739" s="17"/>
      <c r="D739" s="17"/>
      <c r="E739" s="17"/>
      <c r="F739" s="17"/>
      <c r="G739" s="78"/>
      <c r="H739" s="78"/>
      <c r="I739" s="17"/>
      <c r="J739" s="17"/>
      <c r="K739" s="17"/>
      <c r="L739" s="4"/>
      <c r="M739" s="4"/>
      <c r="N739" s="4"/>
      <c r="O739" s="4"/>
      <c r="P739" s="4"/>
      <c r="Q739" s="4"/>
      <c r="R739" s="4"/>
      <c r="S739" s="4"/>
      <c r="T739" s="4"/>
      <c r="U739" s="4"/>
      <c r="V739" s="4"/>
      <c r="W739" s="4"/>
      <c r="X739" s="4"/>
      <c r="Y739" s="4"/>
      <c r="Z739" s="4"/>
    </row>
    <row r="740">
      <c r="A740" s="77"/>
      <c r="B740" s="17"/>
      <c r="C740" s="17"/>
      <c r="D740" s="17"/>
      <c r="E740" s="17"/>
      <c r="F740" s="17"/>
      <c r="G740" s="78"/>
      <c r="H740" s="78"/>
      <c r="I740" s="17"/>
      <c r="J740" s="17"/>
      <c r="K740" s="17"/>
      <c r="L740" s="4"/>
      <c r="M740" s="4"/>
      <c r="N740" s="4"/>
      <c r="O740" s="4"/>
      <c r="P740" s="4"/>
      <c r="Q740" s="4"/>
      <c r="R740" s="4"/>
      <c r="S740" s="4"/>
      <c r="T740" s="4"/>
      <c r="U740" s="4"/>
      <c r="V740" s="4"/>
      <c r="W740" s="4"/>
      <c r="X740" s="4"/>
      <c r="Y740" s="4"/>
      <c r="Z740" s="4"/>
    </row>
    <row r="741">
      <c r="A741" s="77"/>
      <c r="B741" s="17"/>
      <c r="C741" s="17"/>
      <c r="D741" s="17"/>
      <c r="E741" s="17"/>
      <c r="F741" s="17"/>
      <c r="G741" s="78"/>
      <c r="H741" s="78"/>
      <c r="I741" s="17"/>
      <c r="J741" s="17"/>
      <c r="K741" s="17"/>
      <c r="L741" s="4"/>
      <c r="M741" s="4"/>
      <c r="N741" s="4"/>
      <c r="O741" s="4"/>
      <c r="P741" s="4"/>
      <c r="Q741" s="4"/>
      <c r="R741" s="4"/>
      <c r="S741" s="4"/>
      <c r="T741" s="4"/>
      <c r="U741" s="4"/>
      <c r="V741" s="4"/>
      <c r="W741" s="4"/>
      <c r="X741" s="4"/>
      <c r="Y741" s="4"/>
      <c r="Z741" s="4"/>
    </row>
    <row r="742">
      <c r="A742" s="77"/>
      <c r="B742" s="17"/>
      <c r="C742" s="17"/>
      <c r="D742" s="17"/>
      <c r="E742" s="17"/>
      <c r="F742" s="17"/>
      <c r="G742" s="78"/>
      <c r="H742" s="78"/>
      <c r="I742" s="17"/>
      <c r="J742" s="17"/>
      <c r="K742" s="17"/>
      <c r="L742" s="4"/>
      <c r="M742" s="4"/>
      <c r="N742" s="4"/>
      <c r="O742" s="4"/>
      <c r="P742" s="4"/>
      <c r="Q742" s="4"/>
      <c r="R742" s="4"/>
      <c r="S742" s="4"/>
      <c r="T742" s="4"/>
      <c r="U742" s="4"/>
      <c r="V742" s="4"/>
      <c r="W742" s="4"/>
      <c r="X742" s="4"/>
      <c r="Y742" s="4"/>
      <c r="Z742" s="4"/>
    </row>
    <row r="743">
      <c r="A743" s="77"/>
      <c r="B743" s="17"/>
      <c r="C743" s="17"/>
      <c r="D743" s="17"/>
      <c r="E743" s="17"/>
      <c r="F743" s="17"/>
      <c r="G743" s="78"/>
      <c r="H743" s="78"/>
      <c r="I743" s="17"/>
      <c r="J743" s="17"/>
      <c r="K743" s="17"/>
      <c r="L743" s="4"/>
      <c r="M743" s="4"/>
      <c r="N743" s="4"/>
      <c r="O743" s="4"/>
      <c r="P743" s="4"/>
      <c r="Q743" s="4"/>
      <c r="R743" s="4"/>
      <c r="S743" s="4"/>
      <c r="T743" s="4"/>
      <c r="U743" s="4"/>
      <c r="V743" s="4"/>
      <c r="W743" s="4"/>
      <c r="X743" s="4"/>
      <c r="Y743" s="4"/>
      <c r="Z743" s="4"/>
    </row>
    <row r="744">
      <c r="A744" s="77"/>
      <c r="B744" s="17"/>
      <c r="C744" s="17"/>
      <c r="D744" s="17"/>
      <c r="E744" s="17"/>
      <c r="F744" s="17"/>
      <c r="G744" s="78"/>
      <c r="H744" s="78"/>
      <c r="I744" s="17"/>
      <c r="J744" s="17"/>
      <c r="K744" s="17"/>
      <c r="L744" s="4"/>
      <c r="M744" s="4"/>
      <c r="N744" s="4"/>
      <c r="O744" s="4"/>
      <c r="P744" s="4"/>
      <c r="Q744" s="4"/>
      <c r="R744" s="4"/>
      <c r="S744" s="4"/>
      <c r="T744" s="4"/>
      <c r="U744" s="4"/>
      <c r="V744" s="4"/>
      <c r="W744" s="4"/>
      <c r="X744" s="4"/>
      <c r="Y744" s="4"/>
      <c r="Z744" s="4"/>
    </row>
    <row r="745">
      <c r="A745" s="77"/>
      <c r="B745" s="17"/>
      <c r="C745" s="17"/>
      <c r="D745" s="17"/>
      <c r="E745" s="17"/>
      <c r="F745" s="17"/>
      <c r="G745" s="78"/>
      <c r="H745" s="78"/>
      <c r="I745" s="17"/>
      <c r="J745" s="17"/>
      <c r="K745" s="17"/>
      <c r="L745" s="4"/>
      <c r="M745" s="4"/>
      <c r="N745" s="4"/>
      <c r="O745" s="4"/>
      <c r="P745" s="4"/>
      <c r="Q745" s="4"/>
      <c r="R745" s="4"/>
      <c r="S745" s="4"/>
      <c r="T745" s="4"/>
      <c r="U745" s="4"/>
      <c r="V745" s="4"/>
      <c r="W745" s="4"/>
      <c r="X745" s="4"/>
      <c r="Y745" s="4"/>
      <c r="Z745" s="4"/>
    </row>
    <row r="746">
      <c r="A746" s="77"/>
      <c r="B746" s="17"/>
      <c r="C746" s="17"/>
      <c r="D746" s="17"/>
      <c r="E746" s="17"/>
      <c r="F746" s="17"/>
      <c r="G746" s="78"/>
      <c r="H746" s="78"/>
      <c r="I746" s="17"/>
      <c r="J746" s="17"/>
      <c r="K746" s="17"/>
      <c r="L746" s="4"/>
      <c r="M746" s="4"/>
      <c r="N746" s="4"/>
      <c r="O746" s="4"/>
      <c r="P746" s="4"/>
      <c r="Q746" s="4"/>
      <c r="R746" s="4"/>
      <c r="S746" s="4"/>
      <c r="T746" s="4"/>
      <c r="U746" s="4"/>
      <c r="V746" s="4"/>
      <c r="W746" s="4"/>
      <c r="X746" s="4"/>
      <c r="Y746" s="4"/>
      <c r="Z746" s="4"/>
    </row>
    <row r="747">
      <c r="A747" s="77"/>
      <c r="B747" s="17"/>
      <c r="C747" s="17"/>
      <c r="D747" s="17"/>
      <c r="E747" s="17"/>
      <c r="F747" s="17"/>
      <c r="G747" s="78"/>
      <c r="H747" s="78"/>
      <c r="I747" s="17"/>
      <c r="J747" s="17"/>
      <c r="K747" s="17"/>
      <c r="L747" s="4"/>
      <c r="M747" s="4"/>
      <c r="N747" s="4"/>
      <c r="O747" s="4"/>
      <c r="P747" s="4"/>
      <c r="Q747" s="4"/>
      <c r="R747" s="4"/>
      <c r="S747" s="4"/>
      <c r="T747" s="4"/>
      <c r="U747" s="4"/>
      <c r="V747" s="4"/>
      <c r="W747" s="4"/>
      <c r="X747" s="4"/>
      <c r="Y747" s="4"/>
      <c r="Z747" s="4"/>
    </row>
    <row r="748">
      <c r="A748" s="77"/>
      <c r="B748" s="17"/>
      <c r="C748" s="17"/>
      <c r="D748" s="17"/>
      <c r="E748" s="17"/>
      <c r="F748" s="17"/>
      <c r="G748" s="78"/>
      <c r="H748" s="78"/>
      <c r="I748" s="17"/>
      <c r="J748" s="17"/>
      <c r="K748" s="17"/>
      <c r="L748" s="4"/>
      <c r="M748" s="4"/>
      <c r="N748" s="4"/>
      <c r="O748" s="4"/>
      <c r="P748" s="4"/>
      <c r="Q748" s="4"/>
      <c r="R748" s="4"/>
      <c r="S748" s="4"/>
      <c r="T748" s="4"/>
      <c r="U748" s="4"/>
      <c r="V748" s="4"/>
      <c r="W748" s="4"/>
      <c r="X748" s="4"/>
      <c r="Y748" s="4"/>
      <c r="Z748" s="4"/>
    </row>
    <row r="749">
      <c r="A749" s="77"/>
      <c r="B749" s="17"/>
      <c r="C749" s="17"/>
      <c r="D749" s="17"/>
      <c r="E749" s="17"/>
      <c r="F749" s="17"/>
      <c r="G749" s="78"/>
      <c r="H749" s="78"/>
      <c r="I749" s="17"/>
      <c r="J749" s="17"/>
      <c r="K749" s="17"/>
      <c r="L749" s="4"/>
      <c r="M749" s="4"/>
      <c r="N749" s="4"/>
      <c r="O749" s="4"/>
      <c r="P749" s="4"/>
      <c r="Q749" s="4"/>
      <c r="R749" s="4"/>
      <c r="S749" s="4"/>
      <c r="T749" s="4"/>
      <c r="U749" s="4"/>
      <c r="V749" s="4"/>
      <c r="W749" s="4"/>
      <c r="X749" s="4"/>
      <c r="Y749" s="4"/>
      <c r="Z749" s="4"/>
    </row>
    <row r="750">
      <c r="A750" s="77"/>
      <c r="B750" s="17"/>
      <c r="C750" s="17"/>
      <c r="D750" s="17"/>
      <c r="E750" s="17"/>
      <c r="F750" s="17"/>
      <c r="G750" s="78"/>
      <c r="H750" s="78"/>
      <c r="I750" s="17"/>
      <c r="J750" s="17"/>
      <c r="K750" s="17"/>
      <c r="L750" s="4"/>
      <c r="M750" s="4"/>
      <c r="N750" s="4"/>
      <c r="O750" s="4"/>
      <c r="P750" s="4"/>
      <c r="Q750" s="4"/>
      <c r="R750" s="4"/>
      <c r="S750" s="4"/>
      <c r="T750" s="4"/>
      <c r="U750" s="4"/>
      <c r="V750" s="4"/>
      <c r="W750" s="4"/>
      <c r="X750" s="4"/>
      <c r="Y750" s="4"/>
      <c r="Z750" s="4"/>
    </row>
    <row r="751">
      <c r="A751" s="77"/>
      <c r="B751" s="17"/>
      <c r="C751" s="17"/>
      <c r="D751" s="17"/>
      <c r="E751" s="17"/>
      <c r="F751" s="17"/>
      <c r="G751" s="78"/>
      <c r="H751" s="78"/>
      <c r="I751" s="17"/>
      <c r="J751" s="17"/>
      <c r="K751" s="17"/>
      <c r="L751" s="4"/>
      <c r="M751" s="4"/>
      <c r="N751" s="4"/>
      <c r="O751" s="4"/>
      <c r="P751" s="4"/>
      <c r="Q751" s="4"/>
      <c r="R751" s="4"/>
      <c r="S751" s="4"/>
      <c r="T751" s="4"/>
      <c r="U751" s="4"/>
      <c r="V751" s="4"/>
      <c r="W751" s="4"/>
      <c r="X751" s="4"/>
      <c r="Y751" s="4"/>
      <c r="Z751" s="4"/>
    </row>
    <row r="752">
      <c r="A752" s="77"/>
      <c r="B752" s="17"/>
      <c r="C752" s="17"/>
      <c r="D752" s="17"/>
      <c r="E752" s="17"/>
      <c r="F752" s="17"/>
      <c r="G752" s="78"/>
      <c r="H752" s="78"/>
      <c r="I752" s="17"/>
      <c r="J752" s="17"/>
      <c r="K752" s="17"/>
      <c r="L752" s="4"/>
      <c r="M752" s="4"/>
      <c r="N752" s="4"/>
      <c r="O752" s="4"/>
      <c r="P752" s="4"/>
      <c r="Q752" s="4"/>
      <c r="R752" s="4"/>
      <c r="S752" s="4"/>
      <c r="T752" s="4"/>
      <c r="U752" s="4"/>
      <c r="V752" s="4"/>
      <c r="W752" s="4"/>
      <c r="X752" s="4"/>
      <c r="Y752" s="4"/>
      <c r="Z752" s="4"/>
    </row>
    <row r="753">
      <c r="A753" s="77"/>
      <c r="B753" s="17"/>
      <c r="C753" s="17"/>
      <c r="D753" s="17"/>
      <c r="E753" s="17"/>
      <c r="F753" s="17"/>
      <c r="G753" s="78"/>
      <c r="H753" s="78"/>
      <c r="I753" s="17"/>
      <c r="J753" s="17"/>
      <c r="K753" s="17"/>
      <c r="L753" s="4"/>
      <c r="M753" s="4"/>
      <c r="N753" s="4"/>
      <c r="O753" s="4"/>
      <c r="P753" s="4"/>
      <c r="Q753" s="4"/>
      <c r="R753" s="4"/>
      <c r="S753" s="4"/>
      <c r="T753" s="4"/>
      <c r="U753" s="4"/>
      <c r="V753" s="4"/>
      <c r="W753" s="4"/>
      <c r="X753" s="4"/>
      <c r="Y753" s="4"/>
      <c r="Z753" s="4"/>
    </row>
    <row r="754">
      <c r="A754" s="77"/>
      <c r="B754" s="17"/>
      <c r="C754" s="17"/>
      <c r="D754" s="17"/>
      <c r="E754" s="17"/>
      <c r="F754" s="17"/>
      <c r="G754" s="78"/>
      <c r="H754" s="78"/>
      <c r="I754" s="17"/>
      <c r="J754" s="17"/>
      <c r="K754" s="17"/>
      <c r="L754" s="4"/>
      <c r="M754" s="4"/>
      <c r="N754" s="4"/>
      <c r="O754" s="4"/>
      <c r="P754" s="4"/>
      <c r="Q754" s="4"/>
      <c r="R754" s="4"/>
      <c r="S754" s="4"/>
      <c r="T754" s="4"/>
      <c r="U754" s="4"/>
      <c r="V754" s="4"/>
      <c r="W754" s="4"/>
      <c r="X754" s="4"/>
      <c r="Y754" s="4"/>
      <c r="Z754" s="4"/>
    </row>
    <row r="755">
      <c r="A755" s="77"/>
      <c r="B755" s="17"/>
      <c r="C755" s="17"/>
      <c r="D755" s="17"/>
      <c r="E755" s="17"/>
      <c r="F755" s="17"/>
      <c r="G755" s="78"/>
      <c r="H755" s="78"/>
      <c r="I755" s="17"/>
      <c r="J755" s="17"/>
      <c r="K755" s="17"/>
      <c r="L755" s="4"/>
      <c r="M755" s="4"/>
      <c r="N755" s="4"/>
      <c r="O755" s="4"/>
      <c r="P755" s="4"/>
      <c r="Q755" s="4"/>
      <c r="R755" s="4"/>
      <c r="S755" s="4"/>
      <c r="T755" s="4"/>
      <c r="U755" s="4"/>
      <c r="V755" s="4"/>
      <c r="W755" s="4"/>
      <c r="X755" s="4"/>
      <c r="Y755" s="4"/>
      <c r="Z755" s="4"/>
    </row>
    <row r="756">
      <c r="A756" s="77"/>
      <c r="B756" s="17"/>
      <c r="C756" s="17"/>
      <c r="D756" s="17"/>
      <c r="E756" s="17"/>
      <c r="F756" s="17"/>
      <c r="G756" s="78"/>
      <c r="H756" s="78"/>
      <c r="I756" s="17"/>
      <c r="J756" s="17"/>
      <c r="K756" s="17"/>
      <c r="L756" s="4"/>
      <c r="M756" s="4"/>
      <c r="N756" s="4"/>
      <c r="O756" s="4"/>
      <c r="P756" s="4"/>
      <c r="Q756" s="4"/>
      <c r="R756" s="4"/>
      <c r="S756" s="4"/>
      <c r="T756" s="4"/>
      <c r="U756" s="4"/>
      <c r="V756" s="4"/>
      <c r="W756" s="4"/>
      <c r="X756" s="4"/>
      <c r="Y756" s="4"/>
      <c r="Z756" s="4"/>
    </row>
    <row r="757">
      <c r="A757" s="77"/>
      <c r="B757" s="17"/>
      <c r="C757" s="17"/>
      <c r="D757" s="17"/>
      <c r="E757" s="17"/>
      <c r="F757" s="17"/>
      <c r="G757" s="78"/>
      <c r="H757" s="78"/>
      <c r="I757" s="17"/>
      <c r="J757" s="17"/>
      <c r="K757" s="17"/>
      <c r="L757" s="4"/>
      <c r="M757" s="4"/>
      <c r="N757" s="4"/>
      <c r="O757" s="4"/>
      <c r="P757" s="4"/>
      <c r="Q757" s="4"/>
      <c r="R757" s="4"/>
      <c r="S757" s="4"/>
      <c r="T757" s="4"/>
      <c r="U757" s="4"/>
      <c r="V757" s="4"/>
      <c r="W757" s="4"/>
      <c r="X757" s="4"/>
      <c r="Y757" s="4"/>
      <c r="Z757" s="4"/>
    </row>
    <row r="758">
      <c r="A758" s="77"/>
      <c r="B758" s="17"/>
      <c r="C758" s="17"/>
      <c r="D758" s="17"/>
      <c r="E758" s="17"/>
      <c r="F758" s="17"/>
      <c r="G758" s="78"/>
      <c r="H758" s="78"/>
      <c r="I758" s="17"/>
      <c r="J758" s="17"/>
      <c r="K758" s="17"/>
      <c r="L758" s="4"/>
      <c r="M758" s="4"/>
      <c r="N758" s="4"/>
      <c r="O758" s="4"/>
      <c r="P758" s="4"/>
      <c r="Q758" s="4"/>
      <c r="R758" s="4"/>
      <c r="S758" s="4"/>
      <c r="T758" s="4"/>
      <c r="U758" s="4"/>
      <c r="V758" s="4"/>
      <c r="W758" s="4"/>
      <c r="X758" s="4"/>
      <c r="Y758" s="4"/>
      <c r="Z758" s="4"/>
    </row>
    <row r="759">
      <c r="A759" s="77"/>
      <c r="B759" s="17"/>
      <c r="C759" s="17"/>
      <c r="D759" s="17"/>
      <c r="E759" s="17"/>
      <c r="F759" s="17"/>
      <c r="G759" s="78"/>
      <c r="H759" s="78"/>
      <c r="I759" s="17"/>
      <c r="J759" s="17"/>
      <c r="K759" s="17"/>
      <c r="L759" s="4"/>
      <c r="M759" s="4"/>
      <c r="N759" s="4"/>
      <c r="O759" s="4"/>
      <c r="P759" s="4"/>
      <c r="Q759" s="4"/>
      <c r="R759" s="4"/>
      <c r="S759" s="4"/>
      <c r="T759" s="4"/>
      <c r="U759" s="4"/>
      <c r="V759" s="4"/>
      <c r="W759" s="4"/>
      <c r="X759" s="4"/>
      <c r="Y759" s="4"/>
      <c r="Z759" s="4"/>
    </row>
    <row r="760">
      <c r="A760" s="77"/>
      <c r="B760" s="17"/>
      <c r="C760" s="17"/>
      <c r="D760" s="17"/>
      <c r="E760" s="17"/>
      <c r="F760" s="17"/>
      <c r="G760" s="78"/>
      <c r="H760" s="78"/>
      <c r="I760" s="17"/>
      <c r="J760" s="17"/>
      <c r="K760" s="17"/>
      <c r="L760" s="4"/>
      <c r="M760" s="4"/>
      <c r="N760" s="4"/>
      <c r="O760" s="4"/>
      <c r="P760" s="4"/>
      <c r="Q760" s="4"/>
      <c r="R760" s="4"/>
      <c r="S760" s="4"/>
      <c r="T760" s="4"/>
      <c r="U760" s="4"/>
      <c r="V760" s="4"/>
      <c r="W760" s="4"/>
      <c r="X760" s="4"/>
      <c r="Y760" s="4"/>
      <c r="Z760" s="4"/>
    </row>
    <row r="761">
      <c r="A761" s="77"/>
      <c r="B761" s="17"/>
      <c r="C761" s="17"/>
      <c r="D761" s="17"/>
      <c r="E761" s="17"/>
      <c r="F761" s="17"/>
      <c r="G761" s="78"/>
      <c r="H761" s="78"/>
      <c r="I761" s="17"/>
      <c r="J761" s="17"/>
      <c r="K761" s="17"/>
      <c r="L761" s="4"/>
      <c r="M761" s="4"/>
      <c r="N761" s="4"/>
      <c r="O761" s="4"/>
      <c r="P761" s="4"/>
      <c r="Q761" s="4"/>
      <c r="R761" s="4"/>
      <c r="S761" s="4"/>
      <c r="T761" s="4"/>
      <c r="U761" s="4"/>
      <c r="V761" s="4"/>
      <c r="W761" s="4"/>
      <c r="X761" s="4"/>
      <c r="Y761" s="4"/>
      <c r="Z761" s="4"/>
    </row>
    <row r="762">
      <c r="A762" s="77"/>
      <c r="B762" s="17"/>
      <c r="C762" s="17"/>
      <c r="D762" s="17"/>
      <c r="E762" s="17"/>
      <c r="F762" s="17"/>
      <c r="G762" s="78"/>
      <c r="H762" s="78"/>
      <c r="I762" s="17"/>
      <c r="J762" s="17"/>
      <c r="K762" s="17"/>
      <c r="L762" s="4"/>
      <c r="M762" s="4"/>
      <c r="N762" s="4"/>
      <c r="O762" s="4"/>
      <c r="P762" s="4"/>
      <c r="Q762" s="4"/>
      <c r="R762" s="4"/>
      <c r="S762" s="4"/>
      <c r="T762" s="4"/>
      <c r="U762" s="4"/>
      <c r="V762" s="4"/>
      <c r="W762" s="4"/>
      <c r="X762" s="4"/>
      <c r="Y762" s="4"/>
      <c r="Z762" s="4"/>
    </row>
    <row r="763">
      <c r="A763" s="77"/>
      <c r="B763" s="17"/>
      <c r="C763" s="17"/>
      <c r="D763" s="17"/>
      <c r="E763" s="17"/>
      <c r="F763" s="17"/>
      <c r="G763" s="78"/>
      <c r="H763" s="78"/>
      <c r="I763" s="17"/>
      <c r="J763" s="17"/>
      <c r="K763" s="17"/>
      <c r="L763" s="4"/>
      <c r="M763" s="4"/>
      <c r="N763" s="4"/>
      <c r="O763" s="4"/>
      <c r="P763" s="4"/>
      <c r="Q763" s="4"/>
      <c r="R763" s="4"/>
      <c r="S763" s="4"/>
      <c r="T763" s="4"/>
      <c r="U763" s="4"/>
      <c r="V763" s="4"/>
      <c r="W763" s="4"/>
      <c r="X763" s="4"/>
      <c r="Y763" s="4"/>
      <c r="Z763" s="4"/>
    </row>
    <row r="764">
      <c r="A764" s="77"/>
      <c r="B764" s="17"/>
      <c r="C764" s="17"/>
      <c r="D764" s="17"/>
      <c r="E764" s="17"/>
      <c r="F764" s="17"/>
      <c r="G764" s="78"/>
      <c r="H764" s="78"/>
      <c r="I764" s="17"/>
      <c r="J764" s="17"/>
      <c r="K764" s="17"/>
      <c r="L764" s="4"/>
      <c r="M764" s="4"/>
      <c r="N764" s="4"/>
      <c r="O764" s="4"/>
      <c r="P764" s="4"/>
      <c r="Q764" s="4"/>
      <c r="R764" s="4"/>
      <c r="S764" s="4"/>
      <c r="T764" s="4"/>
      <c r="U764" s="4"/>
      <c r="V764" s="4"/>
      <c r="W764" s="4"/>
      <c r="X764" s="4"/>
      <c r="Y764" s="4"/>
      <c r="Z764" s="4"/>
    </row>
    <row r="765">
      <c r="A765" s="77"/>
      <c r="B765" s="17"/>
      <c r="C765" s="17"/>
      <c r="D765" s="17"/>
      <c r="E765" s="17"/>
      <c r="F765" s="17"/>
      <c r="G765" s="78"/>
      <c r="H765" s="78"/>
      <c r="I765" s="17"/>
      <c r="J765" s="17"/>
      <c r="K765" s="17"/>
      <c r="L765" s="4"/>
      <c r="M765" s="4"/>
      <c r="N765" s="4"/>
      <c r="O765" s="4"/>
      <c r="P765" s="4"/>
      <c r="Q765" s="4"/>
      <c r="R765" s="4"/>
      <c r="S765" s="4"/>
      <c r="T765" s="4"/>
      <c r="U765" s="4"/>
      <c r="V765" s="4"/>
      <c r="W765" s="4"/>
      <c r="X765" s="4"/>
      <c r="Y765" s="4"/>
      <c r="Z765" s="4"/>
    </row>
    <row r="766">
      <c r="A766" s="77"/>
      <c r="B766" s="17"/>
      <c r="C766" s="17"/>
      <c r="D766" s="17"/>
      <c r="E766" s="17"/>
      <c r="F766" s="17"/>
      <c r="G766" s="78"/>
      <c r="H766" s="78"/>
      <c r="I766" s="17"/>
      <c r="J766" s="17"/>
      <c r="K766" s="17"/>
      <c r="L766" s="4"/>
      <c r="M766" s="4"/>
      <c r="N766" s="4"/>
      <c r="O766" s="4"/>
      <c r="P766" s="4"/>
      <c r="Q766" s="4"/>
      <c r="R766" s="4"/>
      <c r="S766" s="4"/>
      <c r="T766" s="4"/>
      <c r="U766" s="4"/>
      <c r="V766" s="4"/>
      <c r="W766" s="4"/>
      <c r="X766" s="4"/>
      <c r="Y766" s="4"/>
      <c r="Z766" s="4"/>
    </row>
    <row r="767">
      <c r="A767" s="77"/>
      <c r="B767" s="17"/>
      <c r="C767" s="17"/>
      <c r="D767" s="17"/>
      <c r="E767" s="17"/>
      <c r="F767" s="17"/>
      <c r="G767" s="78"/>
      <c r="H767" s="78"/>
      <c r="I767" s="17"/>
      <c r="J767" s="17"/>
      <c r="K767" s="17"/>
      <c r="L767" s="4"/>
      <c r="M767" s="4"/>
      <c r="N767" s="4"/>
      <c r="O767" s="4"/>
      <c r="P767" s="4"/>
      <c r="Q767" s="4"/>
      <c r="R767" s="4"/>
      <c r="S767" s="4"/>
      <c r="T767" s="4"/>
      <c r="U767" s="4"/>
      <c r="V767" s="4"/>
      <c r="W767" s="4"/>
      <c r="X767" s="4"/>
      <c r="Y767" s="4"/>
      <c r="Z767" s="4"/>
    </row>
    <row r="768">
      <c r="A768" s="77"/>
      <c r="B768" s="17"/>
      <c r="C768" s="17"/>
      <c r="D768" s="17"/>
      <c r="E768" s="17"/>
      <c r="F768" s="17"/>
      <c r="G768" s="78"/>
      <c r="H768" s="78"/>
      <c r="I768" s="17"/>
      <c r="J768" s="17"/>
      <c r="K768" s="17"/>
      <c r="L768" s="4"/>
      <c r="M768" s="4"/>
      <c r="N768" s="4"/>
      <c r="O768" s="4"/>
      <c r="P768" s="4"/>
      <c r="Q768" s="4"/>
      <c r="R768" s="4"/>
      <c r="S768" s="4"/>
      <c r="T768" s="4"/>
      <c r="U768" s="4"/>
      <c r="V768" s="4"/>
      <c r="W768" s="4"/>
      <c r="X768" s="4"/>
      <c r="Y768" s="4"/>
      <c r="Z768" s="4"/>
    </row>
    <row r="769">
      <c r="A769" s="77"/>
      <c r="B769" s="17"/>
      <c r="C769" s="17"/>
      <c r="D769" s="17"/>
      <c r="E769" s="17"/>
      <c r="F769" s="17"/>
      <c r="G769" s="78"/>
      <c r="H769" s="78"/>
      <c r="I769" s="17"/>
      <c r="J769" s="17"/>
      <c r="K769" s="17"/>
      <c r="L769" s="4"/>
      <c r="M769" s="4"/>
      <c r="N769" s="4"/>
      <c r="O769" s="4"/>
      <c r="P769" s="4"/>
      <c r="Q769" s="4"/>
      <c r="R769" s="4"/>
      <c r="S769" s="4"/>
      <c r="T769" s="4"/>
      <c r="U769" s="4"/>
      <c r="V769" s="4"/>
      <c r="W769" s="4"/>
      <c r="X769" s="4"/>
      <c r="Y769" s="4"/>
      <c r="Z769" s="4"/>
    </row>
    <row r="770">
      <c r="A770" s="77"/>
      <c r="B770" s="17"/>
      <c r="C770" s="17"/>
      <c r="D770" s="17"/>
      <c r="E770" s="17"/>
      <c r="F770" s="17"/>
      <c r="G770" s="78"/>
      <c r="H770" s="78"/>
      <c r="I770" s="17"/>
      <c r="J770" s="17"/>
      <c r="K770" s="17"/>
      <c r="L770" s="4"/>
      <c r="M770" s="4"/>
      <c r="N770" s="4"/>
      <c r="O770" s="4"/>
      <c r="P770" s="4"/>
      <c r="Q770" s="4"/>
      <c r="R770" s="4"/>
      <c r="S770" s="4"/>
      <c r="T770" s="4"/>
      <c r="U770" s="4"/>
      <c r="V770" s="4"/>
      <c r="W770" s="4"/>
      <c r="X770" s="4"/>
      <c r="Y770" s="4"/>
      <c r="Z770" s="4"/>
    </row>
    <row r="771">
      <c r="A771" s="77"/>
      <c r="B771" s="17"/>
      <c r="C771" s="17"/>
      <c r="D771" s="17"/>
      <c r="E771" s="17"/>
      <c r="F771" s="17"/>
      <c r="G771" s="78"/>
      <c r="H771" s="78"/>
      <c r="I771" s="17"/>
      <c r="J771" s="17"/>
      <c r="K771" s="17"/>
      <c r="L771" s="4"/>
      <c r="M771" s="4"/>
      <c r="N771" s="4"/>
      <c r="O771" s="4"/>
      <c r="P771" s="4"/>
      <c r="Q771" s="4"/>
      <c r="R771" s="4"/>
      <c r="S771" s="4"/>
      <c r="T771" s="4"/>
      <c r="U771" s="4"/>
      <c r="V771" s="4"/>
      <c r="W771" s="4"/>
      <c r="X771" s="4"/>
      <c r="Y771" s="4"/>
      <c r="Z771" s="4"/>
    </row>
    <row r="772">
      <c r="A772" s="77"/>
      <c r="B772" s="17"/>
      <c r="C772" s="17"/>
      <c r="D772" s="17"/>
      <c r="E772" s="17"/>
      <c r="F772" s="17"/>
      <c r="G772" s="78"/>
      <c r="H772" s="78"/>
      <c r="I772" s="17"/>
      <c r="J772" s="17"/>
      <c r="K772" s="17"/>
      <c r="L772" s="4"/>
      <c r="M772" s="4"/>
      <c r="N772" s="4"/>
      <c r="O772" s="4"/>
      <c r="P772" s="4"/>
      <c r="Q772" s="4"/>
      <c r="R772" s="4"/>
      <c r="S772" s="4"/>
      <c r="T772" s="4"/>
      <c r="U772" s="4"/>
      <c r="V772" s="4"/>
      <c r="W772" s="4"/>
      <c r="X772" s="4"/>
      <c r="Y772" s="4"/>
      <c r="Z772" s="4"/>
    </row>
    <row r="773">
      <c r="A773" s="77"/>
      <c r="B773" s="17"/>
      <c r="C773" s="17"/>
      <c r="D773" s="17"/>
      <c r="E773" s="17"/>
      <c r="F773" s="17"/>
      <c r="G773" s="78"/>
      <c r="H773" s="78"/>
      <c r="I773" s="17"/>
      <c r="J773" s="17"/>
      <c r="K773" s="17"/>
      <c r="L773" s="4"/>
      <c r="M773" s="4"/>
      <c r="N773" s="4"/>
      <c r="O773" s="4"/>
      <c r="P773" s="4"/>
      <c r="Q773" s="4"/>
      <c r="R773" s="4"/>
      <c r="S773" s="4"/>
      <c r="T773" s="4"/>
      <c r="U773" s="4"/>
      <c r="V773" s="4"/>
      <c r="W773" s="4"/>
      <c r="X773" s="4"/>
      <c r="Y773" s="4"/>
      <c r="Z773" s="4"/>
    </row>
    <row r="774">
      <c r="A774" s="77"/>
      <c r="B774" s="17"/>
      <c r="C774" s="17"/>
      <c r="D774" s="17"/>
      <c r="E774" s="17"/>
      <c r="F774" s="17"/>
      <c r="G774" s="78"/>
      <c r="H774" s="78"/>
      <c r="I774" s="17"/>
      <c r="J774" s="17"/>
      <c r="K774" s="17"/>
      <c r="L774" s="4"/>
      <c r="M774" s="4"/>
      <c r="N774" s="4"/>
      <c r="O774" s="4"/>
      <c r="P774" s="4"/>
      <c r="Q774" s="4"/>
      <c r="R774" s="4"/>
      <c r="S774" s="4"/>
      <c r="T774" s="4"/>
      <c r="U774" s="4"/>
      <c r="V774" s="4"/>
      <c r="W774" s="4"/>
      <c r="X774" s="4"/>
      <c r="Y774" s="4"/>
      <c r="Z774" s="4"/>
    </row>
    <row r="775">
      <c r="A775" s="77"/>
      <c r="B775" s="17"/>
      <c r="C775" s="17"/>
      <c r="D775" s="17"/>
      <c r="E775" s="17"/>
      <c r="F775" s="17"/>
      <c r="G775" s="78"/>
      <c r="H775" s="78"/>
      <c r="I775" s="17"/>
      <c r="J775" s="17"/>
      <c r="K775" s="17"/>
      <c r="L775" s="4"/>
      <c r="M775" s="4"/>
      <c r="N775" s="4"/>
      <c r="O775" s="4"/>
      <c r="P775" s="4"/>
      <c r="Q775" s="4"/>
      <c r="R775" s="4"/>
      <c r="S775" s="4"/>
      <c r="T775" s="4"/>
      <c r="U775" s="4"/>
      <c r="V775" s="4"/>
      <c r="W775" s="4"/>
      <c r="X775" s="4"/>
      <c r="Y775" s="4"/>
      <c r="Z775" s="4"/>
    </row>
    <row r="776">
      <c r="A776" s="77"/>
      <c r="B776" s="17"/>
      <c r="C776" s="17"/>
      <c r="D776" s="17"/>
      <c r="E776" s="17"/>
      <c r="F776" s="17"/>
      <c r="G776" s="78"/>
      <c r="H776" s="78"/>
      <c r="I776" s="17"/>
      <c r="J776" s="17"/>
      <c r="K776" s="17"/>
      <c r="L776" s="4"/>
      <c r="M776" s="4"/>
      <c r="N776" s="4"/>
      <c r="O776" s="4"/>
      <c r="P776" s="4"/>
      <c r="Q776" s="4"/>
      <c r="R776" s="4"/>
      <c r="S776" s="4"/>
      <c r="T776" s="4"/>
      <c r="U776" s="4"/>
      <c r="V776" s="4"/>
      <c r="W776" s="4"/>
      <c r="X776" s="4"/>
      <c r="Y776" s="4"/>
      <c r="Z776" s="4"/>
    </row>
    <row r="777">
      <c r="A777" s="77"/>
      <c r="B777" s="17"/>
      <c r="C777" s="17"/>
      <c r="D777" s="17"/>
      <c r="E777" s="17"/>
      <c r="F777" s="17"/>
      <c r="G777" s="78"/>
      <c r="H777" s="78"/>
      <c r="I777" s="17"/>
      <c r="J777" s="17"/>
      <c r="K777" s="17"/>
      <c r="L777" s="4"/>
      <c r="M777" s="4"/>
      <c r="N777" s="4"/>
      <c r="O777" s="4"/>
      <c r="P777" s="4"/>
      <c r="Q777" s="4"/>
      <c r="R777" s="4"/>
      <c r="S777" s="4"/>
      <c r="T777" s="4"/>
      <c r="U777" s="4"/>
      <c r="V777" s="4"/>
      <c r="W777" s="4"/>
      <c r="X777" s="4"/>
      <c r="Y777" s="4"/>
      <c r="Z777" s="4"/>
    </row>
    <row r="778">
      <c r="A778" s="77"/>
      <c r="B778" s="17"/>
      <c r="C778" s="17"/>
      <c r="D778" s="17"/>
      <c r="E778" s="17"/>
      <c r="F778" s="17"/>
      <c r="G778" s="78"/>
      <c r="H778" s="78"/>
      <c r="I778" s="17"/>
      <c r="J778" s="17"/>
      <c r="K778" s="17"/>
      <c r="L778" s="4"/>
      <c r="M778" s="4"/>
      <c r="N778" s="4"/>
      <c r="O778" s="4"/>
      <c r="P778" s="4"/>
      <c r="Q778" s="4"/>
      <c r="R778" s="4"/>
      <c r="S778" s="4"/>
      <c r="T778" s="4"/>
      <c r="U778" s="4"/>
      <c r="V778" s="4"/>
      <c r="W778" s="4"/>
      <c r="X778" s="4"/>
      <c r="Y778" s="4"/>
      <c r="Z778" s="4"/>
    </row>
    <row r="779">
      <c r="A779" s="77"/>
      <c r="B779" s="17"/>
      <c r="C779" s="17"/>
      <c r="D779" s="17"/>
      <c r="E779" s="17"/>
      <c r="F779" s="17"/>
      <c r="G779" s="78"/>
      <c r="H779" s="78"/>
      <c r="I779" s="17"/>
      <c r="J779" s="17"/>
      <c r="K779" s="17"/>
      <c r="L779" s="4"/>
      <c r="M779" s="4"/>
      <c r="N779" s="4"/>
      <c r="O779" s="4"/>
      <c r="P779" s="4"/>
      <c r="Q779" s="4"/>
      <c r="R779" s="4"/>
      <c r="S779" s="4"/>
      <c r="T779" s="4"/>
      <c r="U779" s="4"/>
      <c r="V779" s="4"/>
      <c r="W779" s="4"/>
      <c r="X779" s="4"/>
      <c r="Y779" s="4"/>
      <c r="Z779" s="4"/>
    </row>
    <row r="780">
      <c r="A780" s="77"/>
      <c r="B780" s="17"/>
      <c r="C780" s="17"/>
      <c r="D780" s="17"/>
      <c r="E780" s="17"/>
      <c r="F780" s="17"/>
      <c r="G780" s="78"/>
      <c r="H780" s="78"/>
      <c r="I780" s="17"/>
      <c r="J780" s="17"/>
      <c r="K780" s="17"/>
      <c r="L780" s="4"/>
      <c r="M780" s="4"/>
      <c r="N780" s="4"/>
      <c r="O780" s="4"/>
      <c r="P780" s="4"/>
      <c r="Q780" s="4"/>
      <c r="R780" s="4"/>
      <c r="S780" s="4"/>
      <c r="T780" s="4"/>
      <c r="U780" s="4"/>
      <c r="V780" s="4"/>
      <c r="W780" s="4"/>
      <c r="X780" s="4"/>
      <c r="Y780" s="4"/>
      <c r="Z780" s="4"/>
    </row>
    <row r="781">
      <c r="A781" s="77"/>
      <c r="B781" s="17"/>
      <c r="C781" s="17"/>
      <c r="D781" s="17"/>
      <c r="E781" s="17"/>
      <c r="F781" s="17"/>
      <c r="G781" s="78"/>
      <c r="H781" s="78"/>
      <c r="I781" s="17"/>
      <c r="J781" s="17"/>
      <c r="K781" s="17"/>
      <c r="L781" s="4"/>
      <c r="M781" s="4"/>
      <c r="N781" s="4"/>
      <c r="O781" s="4"/>
      <c r="P781" s="4"/>
      <c r="Q781" s="4"/>
      <c r="R781" s="4"/>
      <c r="S781" s="4"/>
      <c r="T781" s="4"/>
      <c r="U781" s="4"/>
      <c r="V781" s="4"/>
      <c r="W781" s="4"/>
      <c r="X781" s="4"/>
      <c r="Y781" s="4"/>
      <c r="Z781" s="4"/>
    </row>
    <row r="782">
      <c r="A782" s="77"/>
      <c r="B782" s="17"/>
      <c r="C782" s="17"/>
      <c r="D782" s="17"/>
      <c r="E782" s="17"/>
      <c r="F782" s="17"/>
      <c r="G782" s="78"/>
      <c r="H782" s="78"/>
      <c r="I782" s="17"/>
      <c r="J782" s="17"/>
      <c r="K782" s="17"/>
      <c r="L782" s="4"/>
      <c r="M782" s="4"/>
      <c r="N782" s="4"/>
      <c r="O782" s="4"/>
      <c r="P782" s="4"/>
      <c r="Q782" s="4"/>
      <c r="R782" s="4"/>
      <c r="S782" s="4"/>
      <c r="T782" s="4"/>
      <c r="U782" s="4"/>
      <c r="V782" s="4"/>
      <c r="W782" s="4"/>
      <c r="X782" s="4"/>
      <c r="Y782" s="4"/>
      <c r="Z782" s="4"/>
    </row>
    <row r="783">
      <c r="A783" s="77"/>
      <c r="B783" s="17"/>
      <c r="C783" s="17"/>
      <c r="D783" s="17"/>
      <c r="E783" s="17"/>
      <c r="F783" s="17"/>
      <c r="G783" s="78"/>
      <c r="H783" s="78"/>
      <c r="I783" s="17"/>
      <c r="J783" s="17"/>
      <c r="K783" s="17"/>
      <c r="L783" s="4"/>
      <c r="M783" s="4"/>
      <c r="N783" s="4"/>
      <c r="O783" s="4"/>
      <c r="P783" s="4"/>
      <c r="Q783" s="4"/>
      <c r="R783" s="4"/>
      <c r="S783" s="4"/>
      <c r="T783" s="4"/>
      <c r="U783" s="4"/>
      <c r="V783" s="4"/>
      <c r="W783" s="4"/>
      <c r="X783" s="4"/>
      <c r="Y783" s="4"/>
      <c r="Z783" s="4"/>
    </row>
    <row r="784">
      <c r="A784" s="77"/>
      <c r="B784" s="17"/>
      <c r="C784" s="17"/>
      <c r="D784" s="17"/>
      <c r="E784" s="17"/>
      <c r="F784" s="17"/>
      <c r="G784" s="78"/>
      <c r="H784" s="78"/>
      <c r="I784" s="17"/>
      <c r="J784" s="17"/>
      <c r="K784" s="17"/>
      <c r="L784" s="4"/>
      <c r="M784" s="4"/>
      <c r="N784" s="4"/>
      <c r="O784" s="4"/>
      <c r="P784" s="4"/>
      <c r="Q784" s="4"/>
      <c r="R784" s="4"/>
      <c r="S784" s="4"/>
      <c r="T784" s="4"/>
      <c r="U784" s="4"/>
      <c r="V784" s="4"/>
      <c r="W784" s="4"/>
      <c r="X784" s="4"/>
      <c r="Y784" s="4"/>
      <c r="Z784" s="4"/>
    </row>
    <row r="785">
      <c r="A785" s="77"/>
      <c r="B785" s="17"/>
      <c r="C785" s="17"/>
      <c r="D785" s="17"/>
      <c r="E785" s="17"/>
      <c r="F785" s="17"/>
      <c r="G785" s="78"/>
      <c r="H785" s="78"/>
      <c r="I785" s="17"/>
      <c r="J785" s="17"/>
      <c r="K785" s="17"/>
      <c r="L785" s="4"/>
      <c r="M785" s="4"/>
      <c r="N785" s="4"/>
      <c r="O785" s="4"/>
      <c r="P785" s="4"/>
      <c r="Q785" s="4"/>
      <c r="R785" s="4"/>
      <c r="S785" s="4"/>
      <c r="T785" s="4"/>
      <c r="U785" s="4"/>
      <c r="V785" s="4"/>
      <c r="W785" s="4"/>
      <c r="X785" s="4"/>
      <c r="Y785" s="4"/>
      <c r="Z785" s="4"/>
    </row>
    <row r="786">
      <c r="A786" s="77"/>
      <c r="B786" s="17"/>
      <c r="C786" s="17"/>
      <c r="D786" s="17"/>
      <c r="E786" s="17"/>
      <c r="F786" s="17"/>
      <c r="G786" s="78"/>
      <c r="H786" s="78"/>
      <c r="I786" s="17"/>
      <c r="J786" s="17"/>
      <c r="K786" s="17"/>
      <c r="L786" s="4"/>
      <c r="M786" s="4"/>
      <c r="N786" s="4"/>
      <c r="O786" s="4"/>
      <c r="P786" s="4"/>
      <c r="Q786" s="4"/>
      <c r="R786" s="4"/>
      <c r="S786" s="4"/>
      <c r="T786" s="4"/>
      <c r="U786" s="4"/>
      <c r="V786" s="4"/>
      <c r="W786" s="4"/>
      <c r="X786" s="4"/>
      <c r="Y786" s="4"/>
      <c r="Z786" s="4"/>
    </row>
    <row r="787">
      <c r="A787" s="77"/>
      <c r="B787" s="17"/>
      <c r="C787" s="17"/>
      <c r="D787" s="17"/>
      <c r="E787" s="17"/>
      <c r="F787" s="17"/>
      <c r="G787" s="78"/>
      <c r="H787" s="78"/>
      <c r="I787" s="17"/>
      <c r="J787" s="17"/>
      <c r="K787" s="17"/>
      <c r="L787" s="4"/>
      <c r="M787" s="4"/>
      <c r="N787" s="4"/>
      <c r="O787" s="4"/>
      <c r="P787" s="4"/>
      <c r="Q787" s="4"/>
      <c r="R787" s="4"/>
      <c r="S787" s="4"/>
      <c r="T787" s="4"/>
      <c r="U787" s="4"/>
      <c r="V787" s="4"/>
      <c r="W787" s="4"/>
      <c r="X787" s="4"/>
      <c r="Y787" s="4"/>
      <c r="Z787" s="4"/>
    </row>
    <row r="788">
      <c r="A788" s="77"/>
      <c r="B788" s="17"/>
      <c r="C788" s="17"/>
      <c r="D788" s="17"/>
      <c r="E788" s="17"/>
      <c r="F788" s="17"/>
      <c r="G788" s="78"/>
      <c r="H788" s="78"/>
      <c r="I788" s="17"/>
      <c r="J788" s="17"/>
      <c r="K788" s="17"/>
      <c r="L788" s="4"/>
      <c r="M788" s="4"/>
      <c r="N788" s="4"/>
      <c r="O788" s="4"/>
      <c r="P788" s="4"/>
      <c r="Q788" s="4"/>
      <c r="R788" s="4"/>
      <c r="S788" s="4"/>
      <c r="T788" s="4"/>
      <c r="U788" s="4"/>
      <c r="V788" s="4"/>
      <c r="W788" s="4"/>
      <c r="X788" s="4"/>
      <c r="Y788" s="4"/>
      <c r="Z788" s="4"/>
    </row>
    <row r="789">
      <c r="A789" s="77"/>
      <c r="B789" s="17"/>
      <c r="C789" s="17"/>
      <c r="D789" s="17"/>
      <c r="E789" s="17"/>
      <c r="F789" s="17"/>
      <c r="G789" s="78"/>
      <c r="H789" s="78"/>
      <c r="I789" s="17"/>
      <c r="J789" s="17"/>
      <c r="K789" s="17"/>
      <c r="L789" s="4"/>
      <c r="M789" s="4"/>
      <c r="N789" s="4"/>
      <c r="O789" s="4"/>
      <c r="P789" s="4"/>
      <c r="Q789" s="4"/>
      <c r="R789" s="4"/>
      <c r="S789" s="4"/>
      <c r="T789" s="4"/>
      <c r="U789" s="4"/>
      <c r="V789" s="4"/>
      <c r="W789" s="4"/>
      <c r="X789" s="4"/>
      <c r="Y789" s="4"/>
      <c r="Z789" s="4"/>
    </row>
    <row r="790">
      <c r="A790" s="77"/>
      <c r="B790" s="17"/>
      <c r="C790" s="17"/>
      <c r="D790" s="17"/>
      <c r="E790" s="17"/>
      <c r="F790" s="17"/>
      <c r="G790" s="78"/>
      <c r="H790" s="78"/>
      <c r="I790" s="17"/>
      <c r="J790" s="17"/>
      <c r="K790" s="17"/>
      <c r="L790" s="4"/>
      <c r="M790" s="4"/>
      <c r="N790" s="4"/>
      <c r="O790" s="4"/>
      <c r="P790" s="4"/>
      <c r="Q790" s="4"/>
      <c r="R790" s="4"/>
      <c r="S790" s="4"/>
      <c r="T790" s="4"/>
      <c r="U790" s="4"/>
      <c r="V790" s="4"/>
      <c r="W790" s="4"/>
      <c r="X790" s="4"/>
      <c r="Y790" s="4"/>
      <c r="Z790" s="4"/>
    </row>
    <row r="791">
      <c r="A791" s="77"/>
      <c r="B791" s="17"/>
      <c r="C791" s="17"/>
      <c r="D791" s="17"/>
      <c r="E791" s="17"/>
      <c r="F791" s="17"/>
      <c r="G791" s="78"/>
      <c r="H791" s="78"/>
      <c r="I791" s="17"/>
      <c r="J791" s="17"/>
      <c r="K791" s="17"/>
      <c r="L791" s="4"/>
      <c r="M791" s="4"/>
      <c r="N791" s="4"/>
      <c r="O791" s="4"/>
      <c r="P791" s="4"/>
      <c r="Q791" s="4"/>
      <c r="R791" s="4"/>
      <c r="S791" s="4"/>
      <c r="T791" s="4"/>
      <c r="U791" s="4"/>
      <c r="V791" s="4"/>
      <c r="W791" s="4"/>
      <c r="X791" s="4"/>
      <c r="Y791" s="4"/>
      <c r="Z791" s="4"/>
    </row>
    <row r="792">
      <c r="A792" s="77"/>
      <c r="B792" s="17"/>
      <c r="C792" s="17"/>
      <c r="D792" s="17"/>
      <c r="E792" s="17"/>
      <c r="F792" s="17"/>
      <c r="G792" s="78"/>
      <c r="H792" s="78"/>
      <c r="I792" s="17"/>
      <c r="J792" s="17"/>
      <c r="K792" s="17"/>
      <c r="L792" s="4"/>
      <c r="M792" s="4"/>
      <c r="N792" s="4"/>
      <c r="O792" s="4"/>
      <c r="P792" s="4"/>
      <c r="Q792" s="4"/>
      <c r="R792" s="4"/>
      <c r="S792" s="4"/>
      <c r="T792" s="4"/>
      <c r="U792" s="4"/>
      <c r="V792" s="4"/>
      <c r="W792" s="4"/>
      <c r="X792" s="4"/>
      <c r="Y792" s="4"/>
      <c r="Z792" s="4"/>
    </row>
    <row r="793">
      <c r="A793" s="77"/>
      <c r="B793" s="17"/>
      <c r="C793" s="17"/>
      <c r="D793" s="17"/>
      <c r="E793" s="17"/>
      <c r="F793" s="17"/>
      <c r="G793" s="78"/>
      <c r="H793" s="78"/>
      <c r="I793" s="17"/>
      <c r="J793" s="17"/>
      <c r="K793" s="17"/>
      <c r="L793" s="4"/>
      <c r="M793" s="4"/>
      <c r="N793" s="4"/>
      <c r="O793" s="4"/>
      <c r="P793" s="4"/>
      <c r="Q793" s="4"/>
      <c r="R793" s="4"/>
      <c r="S793" s="4"/>
      <c r="T793" s="4"/>
      <c r="U793" s="4"/>
      <c r="V793" s="4"/>
      <c r="W793" s="4"/>
      <c r="X793" s="4"/>
      <c r="Y793" s="4"/>
      <c r="Z793" s="4"/>
    </row>
    <row r="794">
      <c r="A794" s="77"/>
      <c r="B794" s="17"/>
      <c r="C794" s="17"/>
      <c r="D794" s="17"/>
      <c r="E794" s="17"/>
      <c r="F794" s="17"/>
      <c r="G794" s="78"/>
      <c r="H794" s="78"/>
      <c r="I794" s="17"/>
      <c r="J794" s="17"/>
      <c r="K794" s="17"/>
      <c r="L794" s="4"/>
      <c r="M794" s="4"/>
      <c r="N794" s="4"/>
      <c r="O794" s="4"/>
      <c r="P794" s="4"/>
      <c r="Q794" s="4"/>
      <c r="R794" s="4"/>
      <c r="S794" s="4"/>
      <c r="T794" s="4"/>
      <c r="U794" s="4"/>
      <c r="V794" s="4"/>
      <c r="W794" s="4"/>
      <c r="X794" s="4"/>
      <c r="Y794" s="4"/>
      <c r="Z794" s="4"/>
    </row>
    <row r="795">
      <c r="A795" s="77"/>
      <c r="B795" s="17"/>
      <c r="C795" s="17"/>
      <c r="D795" s="17"/>
      <c r="E795" s="17"/>
      <c r="F795" s="17"/>
      <c r="G795" s="78"/>
      <c r="H795" s="78"/>
      <c r="I795" s="17"/>
      <c r="J795" s="17"/>
      <c r="K795" s="17"/>
      <c r="L795" s="4"/>
      <c r="M795" s="4"/>
      <c r="N795" s="4"/>
      <c r="O795" s="4"/>
      <c r="P795" s="4"/>
      <c r="Q795" s="4"/>
      <c r="R795" s="4"/>
      <c r="S795" s="4"/>
      <c r="T795" s="4"/>
      <c r="U795" s="4"/>
      <c r="V795" s="4"/>
      <c r="W795" s="4"/>
      <c r="X795" s="4"/>
      <c r="Y795" s="4"/>
      <c r="Z795" s="4"/>
    </row>
    <row r="796">
      <c r="A796" s="77"/>
      <c r="B796" s="17"/>
      <c r="C796" s="17"/>
      <c r="D796" s="17"/>
      <c r="E796" s="17"/>
      <c r="F796" s="17"/>
      <c r="G796" s="78"/>
      <c r="H796" s="78"/>
      <c r="I796" s="17"/>
      <c r="J796" s="17"/>
      <c r="K796" s="17"/>
      <c r="L796" s="4"/>
      <c r="M796" s="4"/>
      <c r="N796" s="4"/>
      <c r="O796" s="4"/>
      <c r="P796" s="4"/>
      <c r="Q796" s="4"/>
      <c r="R796" s="4"/>
      <c r="S796" s="4"/>
      <c r="T796" s="4"/>
      <c r="U796" s="4"/>
      <c r="V796" s="4"/>
      <c r="W796" s="4"/>
      <c r="X796" s="4"/>
      <c r="Y796" s="4"/>
      <c r="Z796" s="4"/>
    </row>
    <row r="797">
      <c r="A797" s="77"/>
      <c r="B797" s="17"/>
      <c r="C797" s="17"/>
      <c r="D797" s="17"/>
      <c r="E797" s="17"/>
      <c r="F797" s="17"/>
      <c r="G797" s="78"/>
      <c r="H797" s="78"/>
      <c r="I797" s="17"/>
      <c r="J797" s="17"/>
      <c r="K797" s="17"/>
      <c r="L797" s="4"/>
      <c r="M797" s="4"/>
      <c r="N797" s="4"/>
      <c r="O797" s="4"/>
      <c r="P797" s="4"/>
      <c r="Q797" s="4"/>
      <c r="R797" s="4"/>
      <c r="S797" s="4"/>
      <c r="T797" s="4"/>
      <c r="U797" s="4"/>
      <c r="V797" s="4"/>
      <c r="W797" s="4"/>
      <c r="X797" s="4"/>
      <c r="Y797" s="4"/>
      <c r="Z797" s="4"/>
    </row>
    <row r="798">
      <c r="A798" s="77"/>
      <c r="B798" s="17"/>
      <c r="C798" s="17"/>
      <c r="D798" s="17"/>
      <c r="E798" s="17"/>
      <c r="F798" s="17"/>
      <c r="G798" s="78"/>
      <c r="H798" s="78"/>
      <c r="I798" s="17"/>
      <c r="J798" s="17"/>
      <c r="K798" s="17"/>
      <c r="L798" s="4"/>
      <c r="M798" s="4"/>
      <c r="N798" s="4"/>
      <c r="O798" s="4"/>
      <c r="P798" s="4"/>
      <c r="Q798" s="4"/>
      <c r="R798" s="4"/>
      <c r="S798" s="4"/>
      <c r="T798" s="4"/>
      <c r="U798" s="4"/>
      <c r="V798" s="4"/>
      <c r="W798" s="4"/>
      <c r="X798" s="4"/>
      <c r="Y798" s="4"/>
      <c r="Z798" s="4"/>
    </row>
    <row r="799">
      <c r="A799" s="77"/>
      <c r="B799" s="17"/>
      <c r="C799" s="17"/>
      <c r="D799" s="17"/>
      <c r="E799" s="17"/>
      <c r="F799" s="17"/>
      <c r="G799" s="78"/>
      <c r="H799" s="78"/>
      <c r="I799" s="17"/>
      <c r="J799" s="17"/>
      <c r="K799" s="17"/>
      <c r="L799" s="4"/>
      <c r="M799" s="4"/>
      <c r="N799" s="4"/>
      <c r="O799" s="4"/>
      <c r="P799" s="4"/>
      <c r="Q799" s="4"/>
      <c r="R799" s="4"/>
      <c r="S799" s="4"/>
      <c r="T799" s="4"/>
      <c r="U799" s="4"/>
      <c r="V799" s="4"/>
      <c r="W799" s="4"/>
      <c r="X799" s="4"/>
      <c r="Y799" s="4"/>
      <c r="Z799" s="4"/>
    </row>
    <row r="800">
      <c r="A800" s="77"/>
      <c r="B800" s="17"/>
      <c r="C800" s="17"/>
      <c r="D800" s="17"/>
      <c r="E800" s="17"/>
      <c r="F800" s="17"/>
      <c r="G800" s="78"/>
      <c r="H800" s="78"/>
      <c r="I800" s="17"/>
      <c r="J800" s="17"/>
      <c r="K800" s="17"/>
      <c r="L800" s="4"/>
      <c r="M800" s="4"/>
      <c r="N800" s="4"/>
      <c r="O800" s="4"/>
      <c r="P800" s="4"/>
      <c r="Q800" s="4"/>
      <c r="R800" s="4"/>
      <c r="S800" s="4"/>
      <c r="T800" s="4"/>
      <c r="U800" s="4"/>
      <c r="V800" s="4"/>
      <c r="W800" s="4"/>
      <c r="X800" s="4"/>
      <c r="Y800" s="4"/>
      <c r="Z800" s="4"/>
    </row>
    <row r="801">
      <c r="A801" s="77"/>
      <c r="B801" s="17"/>
      <c r="C801" s="17"/>
      <c r="D801" s="17"/>
      <c r="E801" s="17"/>
      <c r="F801" s="17"/>
      <c r="G801" s="78"/>
      <c r="H801" s="78"/>
      <c r="I801" s="17"/>
      <c r="J801" s="17"/>
      <c r="K801" s="17"/>
      <c r="L801" s="4"/>
      <c r="M801" s="4"/>
      <c r="N801" s="4"/>
      <c r="O801" s="4"/>
      <c r="P801" s="4"/>
      <c r="Q801" s="4"/>
      <c r="R801" s="4"/>
      <c r="S801" s="4"/>
      <c r="T801" s="4"/>
      <c r="U801" s="4"/>
      <c r="V801" s="4"/>
      <c r="W801" s="4"/>
      <c r="X801" s="4"/>
      <c r="Y801" s="4"/>
      <c r="Z801" s="4"/>
    </row>
    <row r="802">
      <c r="A802" s="77"/>
      <c r="B802" s="17"/>
      <c r="C802" s="17"/>
      <c r="D802" s="17"/>
      <c r="E802" s="17"/>
      <c r="F802" s="17"/>
      <c r="G802" s="78"/>
      <c r="H802" s="78"/>
      <c r="I802" s="17"/>
      <c r="J802" s="17"/>
      <c r="K802" s="17"/>
      <c r="L802" s="4"/>
      <c r="M802" s="4"/>
      <c r="N802" s="4"/>
      <c r="O802" s="4"/>
      <c r="P802" s="4"/>
      <c r="Q802" s="4"/>
      <c r="R802" s="4"/>
      <c r="S802" s="4"/>
      <c r="T802" s="4"/>
      <c r="U802" s="4"/>
      <c r="V802" s="4"/>
      <c r="W802" s="4"/>
      <c r="X802" s="4"/>
      <c r="Y802" s="4"/>
      <c r="Z802" s="4"/>
    </row>
    <row r="803">
      <c r="A803" s="77"/>
      <c r="B803" s="17"/>
      <c r="C803" s="17"/>
      <c r="D803" s="17"/>
      <c r="E803" s="17"/>
      <c r="F803" s="17"/>
      <c r="G803" s="78"/>
      <c r="H803" s="78"/>
      <c r="I803" s="17"/>
      <c r="J803" s="17"/>
      <c r="K803" s="17"/>
      <c r="L803" s="4"/>
      <c r="M803" s="4"/>
      <c r="N803" s="4"/>
      <c r="O803" s="4"/>
      <c r="P803" s="4"/>
      <c r="Q803" s="4"/>
      <c r="R803" s="4"/>
      <c r="S803" s="4"/>
      <c r="T803" s="4"/>
      <c r="U803" s="4"/>
      <c r="V803" s="4"/>
      <c r="W803" s="4"/>
      <c r="X803" s="4"/>
      <c r="Y803" s="4"/>
      <c r="Z803" s="4"/>
    </row>
    <row r="804">
      <c r="A804" s="77"/>
      <c r="B804" s="17"/>
      <c r="C804" s="17"/>
      <c r="D804" s="17"/>
      <c r="E804" s="17"/>
      <c r="F804" s="17"/>
      <c r="G804" s="78"/>
      <c r="H804" s="78"/>
      <c r="I804" s="17"/>
      <c r="J804" s="17"/>
      <c r="K804" s="17"/>
      <c r="L804" s="4"/>
      <c r="M804" s="4"/>
      <c r="N804" s="4"/>
      <c r="O804" s="4"/>
      <c r="P804" s="4"/>
      <c r="Q804" s="4"/>
      <c r="R804" s="4"/>
      <c r="S804" s="4"/>
      <c r="T804" s="4"/>
      <c r="U804" s="4"/>
      <c r="V804" s="4"/>
      <c r="W804" s="4"/>
      <c r="X804" s="4"/>
      <c r="Y804" s="4"/>
      <c r="Z804" s="4"/>
    </row>
    <row r="805">
      <c r="A805" s="77"/>
      <c r="B805" s="17"/>
      <c r="C805" s="17"/>
      <c r="D805" s="17"/>
      <c r="E805" s="17"/>
      <c r="F805" s="17"/>
      <c r="G805" s="78"/>
      <c r="H805" s="78"/>
      <c r="I805" s="17"/>
      <c r="J805" s="17"/>
      <c r="K805" s="17"/>
      <c r="L805" s="4"/>
      <c r="M805" s="4"/>
      <c r="N805" s="4"/>
      <c r="O805" s="4"/>
      <c r="P805" s="4"/>
      <c r="Q805" s="4"/>
      <c r="R805" s="4"/>
      <c r="S805" s="4"/>
      <c r="T805" s="4"/>
      <c r="U805" s="4"/>
      <c r="V805" s="4"/>
      <c r="W805" s="4"/>
      <c r="X805" s="4"/>
      <c r="Y805" s="4"/>
      <c r="Z805" s="4"/>
    </row>
    <row r="806">
      <c r="A806" s="77"/>
      <c r="B806" s="17"/>
      <c r="C806" s="17"/>
      <c r="D806" s="17"/>
      <c r="E806" s="17"/>
      <c r="F806" s="17"/>
      <c r="G806" s="78"/>
      <c r="H806" s="78"/>
      <c r="I806" s="17"/>
      <c r="J806" s="17"/>
      <c r="K806" s="17"/>
      <c r="L806" s="4"/>
      <c r="M806" s="4"/>
      <c r="N806" s="4"/>
      <c r="O806" s="4"/>
      <c r="P806" s="4"/>
      <c r="Q806" s="4"/>
      <c r="R806" s="4"/>
      <c r="S806" s="4"/>
      <c r="T806" s="4"/>
      <c r="U806" s="4"/>
      <c r="V806" s="4"/>
      <c r="W806" s="4"/>
      <c r="X806" s="4"/>
      <c r="Y806" s="4"/>
      <c r="Z806" s="4"/>
    </row>
    <row r="807">
      <c r="A807" s="77"/>
      <c r="B807" s="17"/>
      <c r="C807" s="17"/>
      <c r="D807" s="17"/>
      <c r="E807" s="17"/>
      <c r="F807" s="17"/>
      <c r="G807" s="78"/>
      <c r="H807" s="78"/>
      <c r="I807" s="17"/>
      <c r="J807" s="17"/>
      <c r="K807" s="17"/>
      <c r="L807" s="4"/>
      <c r="M807" s="4"/>
      <c r="N807" s="4"/>
      <c r="O807" s="4"/>
      <c r="P807" s="4"/>
      <c r="Q807" s="4"/>
      <c r="R807" s="4"/>
      <c r="S807" s="4"/>
      <c r="T807" s="4"/>
      <c r="U807" s="4"/>
      <c r="V807" s="4"/>
      <c r="W807" s="4"/>
      <c r="X807" s="4"/>
      <c r="Y807" s="4"/>
      <c r="Z807" s="4"/>
    </row>
    <row r="808">
      <c r="A808" s="77"/>
      <c r="B808" s="17"/>
      <c r="C808" s="17"/>
      <c r="D808" s="17"/>
      <c r="E808" s="17"/>
      <c r="F808" s="17"/>
      <c r="G808" s="78"/>
      <c r="H808" s="78"/>
      <c r="I808" s="17"/>
      <c r="J808" s="17"/>
      <c r="K808" s="17"/>
      <c r="L808" s="4"/>
      <c r="M808" s="4"/>
      <c r="N808" s="4"/>
      <c r="O808" s="4"/>
      <c r="P808" s="4"/>
      <c r="Q808" s="4"/>
      <c r="R808" s="4"/>
      <c r="S808" s="4"/>
      <c r="T808" s="4"/>
      <c r="U808" s="4"/>
      <c r="V808" s="4"/>
      <c r="W808" s="4"/>
      <c r="X808" s="4"/>
      <c r="Y808" s="4"/>
      <c r="Z808" s="4"/>
    </row>
    <row r="809">
      <c r="A809" s="77"/>
      <c r="B809" s="17"/>
      <c r="C809" s="17"/>
      <c r="D809" s="17"/>
      <c r="E809" s="17"/>
      <c r="F809" s="17"/>
      <c r="G809" s="78"/>
      <c r="H809" s="78"/>
      <c r="I809" s="17"/>
      <c r="J809" s="17"/>
      <c r="K809" s="17"/>
      <c r="L809" s="4"/>
      <c r="M809" s="4"/>
      <c r="N809" s="4"/>
      <c r="O809" s="4"/>
      <c r="P809" s="4"/>
      <c r="Q809" s="4"/>
      <c r="R809" s="4"/>
      <c r="S809" s="4"/>
      <c r="T809" s="4"/>
      <c r="U809" s="4"/>
      <c r="V809" s="4"/>
      <c r="W809" s="4"/>
      <c r="X809" s="4"/>
      <c r="Y809" s="4"/>
      <c r="Z809" s="4"/>
    </row>
    <row r="810">
      <c r="A810" s="77"/>
      <c r="B810" s="17"/>
      <c r="C810" s="17"/>
      <c r="D810" s="17"/>
      <c r="E810" s="17"/>
      <c r="F810" s="17"/>
      <c r="G810" s="78"/>
      <c r="H810" s="78"/>
      <c r="I810" s="17"/>
      <c r="J810" s="17"/>
      <c r="K810" s="17"/>
      <c r="L810" s="4"/>
      <c r="M810" s="4"/>
      <c r="N810" s="4"/>
      <c r="O810" s="4"/>
      <c r="P810" s="4"/>
      <c r="Q810" s="4"/>
      <c r="R810" s="4"/>
      <c r="S810" s="4"/>
      <c r="T810" s="4"/>
      <c r="U810" s="4"/>
      <c r="V810" s="4"/>
      <c r="W810" s="4"/>
      <c r="X810" s="4"/>
      <c r="Y810" s="4"/>
      <c r="Z810" s="4"/>
    </row>
    <row r="811">
      <c r="A811" s="77"/>
      <c r="B811" s="17"/>
      <c r="C811" s="17"/>
      <c r="D811" s="17"/>
      <c r="E811" s="17"/>
      <c r="F811" s="17"/>
      <c r="G811" s="78"/>
      <c r="H811" s="78"/>
      <c r="I811" s="17"/>
      <c r="J811" s="17"/>
      <c r="K811" s="17"/>
      <c r="L811" s="4"/>
      <c r="M811" s="4"/>
      <c r="N811" s="4"/>
      <c r="O811" s="4"/>
      <c r="P811" s="4"/>
      <c r="Q811" s="4"/>
      <c r="R811" s="4"/>
      <c r="S811" s="4"/>
      <c r="T811" s="4"/>
      <c r="U811" s="4"/>
      <c r="V811" s="4"/>
      <c r="W811" s="4"/>
      <c r="X811" s="4"/>
      <c r="Y811" s="4"/>
      <c r="Z811" s="4"/>
    </row>
    <row r="812">
      <c r="A812" s="77"/>
      <c r="B812" s="17"/>
      <c r="C812" s="17"/>
      <c r="D812" s="17"/>
      <c r="E812" s="17"/>
      <c r="F812" s="17"/>
      <c r="G812" s="78"/>
      <c r="H812" s="78"/>
      <c r="I812" s="17"/>
      <c r="J812" s="17"/>
      <c r="K812" s="17"/>
      <c r="L812" s="4"/>
      <c r="M812" s="4"/>
      <c r="N812" s="4"/>
      <c r="O812" s="4"/>
      <c r="P812" s="4"/>
      <c r="Q812" s="4"/>
      <c r="R812" s="4"/>
      <c r="S812" s="4"/>
      <c r="T812" s="4"/>
      <c r="U812" s="4"/>
      <c r="V812" s="4"/>
      <c r="W812" s="4"/>
      <c r="X812" s="4"/>
      <c r="Y812" s="4"/>
      <c r="Z812" s="4"/>
    </row>
    <row r="813">
      <c r="A813" s="77"/>
      <c r="B813" s="17"/>
      <c r="C813" s="17"/>
      <c r="D813" s="17"/>
      <c r="E813" s="17"/>
      <c r="F813" s="17"/>
      <c r="G813" s="78"/>
      <c r="H813" s="78"/>
      <c r="I813" s="17"/>
      <c r="J813" s="17"/>
      <c r="K813" s="17"/>
      <c r="L813" s="4"/>
      <c r="M813" s="4"/>
      <c r="N813" s="4"/>
      <c r="O813" s="4"/>
      <c r="P813" s="4"/>
      <c r="Q813" s="4"/>
      <c r="R813" s="4"/>
      <c r="S813" s="4"/>
      <c r="T813" s="4"/>
      <c r="U813" s="4"/>
      <c r="V813" s="4"/>
      <c r="W813" s="4"/>
      <c r="X813" s="4"/>
      <c r="Y813" s="4"/>
      <c r="Z813" s="4"/>
    </row>
    <row r="814">
      <c r="A814" s="77"/>
      <c r="B814" s="17"/>
      <c r="C814" s="17"/>
      <c r="D814" s="17"/>
      <c r="E814" s="17"/>
      <c r="F814" s="17"/>
      <c r="G814" s="78"/>
      <c r="H814" s="78"/>
      <c r="I814" s="17"/>
      <c r="J814" s="17"/>
      <c r="K814" s="17"/>
      <c r="L814" s="4"/>
      <c r="M814" s="4"/>
      <c r="N814" s="4"/>
      <c r="O814" s="4"/>
      <c r="P814" s="4"/>
      <c r="Q814" s="4"/>
      <c r="R814" s="4"/>
      <c r="S814" s="4"/>
      <c r="T814" s="4"/>
      <c r="U814" s="4"/>
      <c r="V814" s="4"/>
      <c r="W814" s="4"/>
      <c r="X814" s="4"/>
      <c r="Y814" s="4"/>
      <c r="Z814" s="4"/>
    </row>
    <row r="815">
      <c r="A815" s="77"/>
      <c r="B815" s="17"/>
      <c r="C815" s="17"/>
      <c r="D815" s="17"/>
      <c r="E815" s="17"/>
      <c r="F815" s="17"/>
      <c r="G815" s="78"/>
      <c r="H815" s="78"/>
      <c r="I815" s="17"/>
      <c r="J815" s="17"/>
      <c r="K815" s="17"/>
      <c r="L815" s="4"/>
      <c r="M815" s="4"/>
      <c r="N815" s="4"/>
      <c r="O815" s="4"/>
      <c r="P815" s="4"/>
      <c r="Q815" s="4"/>
      <c r="R815" s="4"/>
      <c r="S815" s="4"/>
      <c r="T815" s="4"/>
      <c r="U815" s="4"/>
      <c r="V815" s="4"/>
      <c r="W815" s="4"/>
      <c r="X815" s="4"/>
      <c r="Y815" s="4"/>
      <c r="Z815" s="4"/>
    </row>
    <row r="816">
      <c r="A816" s="77"/>
      <c r="B816" s="17"/>
      <c r="C816" s="17"/>
      <c r="D816" s="17"/>
      <c r="E816" s="17"/>
      <c r="F816" s="17"/>
      <c r="G816" s="78"/>
      <c r="H816" s="78"/>
      <c r="I816" s="17"/>
      <c r="J816" s="17"/>
      <c r="K816" s="17"/>
      <c r="L816" s="4"/>
      <c r="M816" s="4"/>
      <c r="N816" s="4"/>
      <c r="O816" s="4"/>
      <c r="P816" s="4"/>
      <c r="Q816" s="4"/>
      <c r="R816" s="4"/>
      <c r="S816" s="4"/>
      <c r="T816" s="4"/>
      <c r="U816" s="4"/>
      <c r="V816" s="4"/>
      <c r="W816" s="4"/>
      <c r="X816" s="4"/>
      <c r="Y816" s="4"/>
      <c r="Z816" s="4"/>
    </row>
    <row r="817">
      <c r="A817" s="77"/>
      <c r="B817" s="17"/>
      <c r="C817" s="17"/>
      <c r="D817" s="17"/>
      <c r="E817" s="17"/>
      <c r="F817" s="17"/>
      <c r="G817" s="78"/>
      <c r="H817" s="78"/>
      <c r="I817" s="17"/>
      <c r="J817" s="17"/>
      <c r="K817" s="17"/>
      <c r="L817" s="4"/>
      <c r="M817" s="4"/>
      <c r="N817" s="4"/>
      <c r="O817" s="4"/>
      <c r="P817" s="4"/>
      <c r="Q817" s="4"/>
      <c r="R817" s="4"/>
      <c r="S817" s="4"/>
      <c r="T817" s="4"/>
      <c r="U817" s="4"/>
      <c r="V817" s="4"/>
      <c r="W817" s="4"/>
      <c r="X817" s="4"/>
      <c r="Y817" s="4"/>
      <c r="Z817" s="4"/>
    </row>
    <row r="818">
      <c r="A818" s="77"/>
      <c r="B818" s="17"/>
      <c r="C818" s="17"/>
      <c r="D818" s="17"/>
      <c r="E818" s="17"/>
      <c r="F818" s="17"/>
      <c r="G818" s="78"/>
      <c r="H818" s="78"/>
      <c r="I818" s="17"/>
      <c r="J818" s="17"/>
      <c r="K818" s="17"/>
      <c r="L818" s="4"/>
      <c r="M818" s="4"/>
      <c r="N818" s="4"/>
      <c r="O818" s="4"/>
      <c r="P818" s="4"/>
      <c r="Q818" s="4"/>
      <c r="R818" s="4"/>
      <c r="S818" s="4"/>
      <c r="T818" s="4"/>
      <c r="U818" s="4"/>
      <c r="V818" s="4"/>
      <c r="W818" s="4"/>
      <c r="X818" s="4"/>
      <c r="Y818" s="4"/>
      <c r="Z818" s="4"/>
    </row>
    <row r="819">
      <c r="A819" s="77"/>
      <c r="B819" s="17"/>
      <c r="C819" s="17"/>
      <c r="D819" s="17"/>
      <c r="E819" s="17"/>
      <c r="F819" s="17"/>
      <c r="G819" s="78"/>
      <c r="H819" s="78"/>
      <c r="I819" s="17"/>
      <c r="J819" s="17"/>
      <c r="K819" s="17"/>
      <c r="L819" s="4"/>
      <c r="M819" s="4"/>
      <c r="N819" s="4"/>
      <c r="O819" s="4"/>
      <c r="P819" s="4"/>
      <c r="Q819" s="4"/>
      <c r="R819" s="4"/>
      <c r="S819" s="4"/>
      <c r="T819" s="4"/>
      <c r="U819" s="4"/>
      <c r="V819" s="4"/>
      <c r="W819" s="4"/>
      <c r="X819" s="4"/>
      <c r="Y819" s="4"/>
      <c r="Z819" s="4"/>
    </row>
    <row r="820">
      <c r="A820" s="77"/>
      <c r="B820" s="17"/>
      <c r="C820" s="17"/>
      <c r="D820" s="17"/>
      <c r="E820" s="17"/>
      <c r="F820" s="17"/>
      <c r="G820" s="78"/>
      <c r="H820" s="78"/>
      <c r="I820" s="17"/>
      <c r="J820" s="17"/>
      <c r="K820" s="17"/>
      <c r="L820" s="4"/>
      <c r="M820" s="4"/>
      <c r="N820" s="4"/>
      <c r="O820" s="4"/>
      <c r="P820" s="4"/>
      <c r="Q820" s="4"/>
      <c r="R820" s="4"/>
      <c r="S820" s="4"/>
      <c r="T820" s="4"/>
      <c r="U820" s="4"/>
      <c r="V820" s="4"/>
      <c r="W820" s="4"/>
      <c r="X820" s="4"/>
      <c r="Y820" s="4"/>
      <c r="Z820" s="4"/>
    </row>
    <row r="821">
      <c r="A821" s="77"/>
      <c r="B821" s="17"/>
      <c r="C821" s="17"/>
      <c r="D821" s="17"/>
      <c r="E821" s="17"/>
      <c r="F821" s="17"/>
      <c r="G821" s="78"/>
      <c r="H821" s="78"/>
      <c r="I821" s="17"/>
      <c r="J821" s="17"/>
      <c r="K821" s="17"/>
      <c r="L821" s="4"/>
      <c r="M821" s="4"/>
      <c r="N821" s="4"/>
      <c r="O821" s="4"/>
      <c r="P821" s="4"/>
      <c r="Q821" s="4"/>
      <c r="R821" s="4"/>
      <c r="S821" s="4"/>
      <c r="T821" s="4"/>
      <c r="U821" s="4"/>
      <c r="V821" s="4"/>
      <c r="W821" s="4"/>
      <c r="X821" s="4"/>
      <c r="Y821" s="4"/>
      <c r="Z821" s="4"/>
    </row>
    <row r="822">
      <c r="A822" s="77"/>
      <c r="B822" s="17"/>
      <c r="C822" s="17"/>
      <c r="D822" s="17"/>
      <c r="E822" s="17"/>
      <c r="F822" s="17"/>
      <c r="G822" s="78"/>
      <c r="H822" s="78"/>
      <c r="I822" s="17"/>
      <c r="J822" s="17"/>
      <c r="K822" s="17"/>
      <c r="L822" s="4"/>
      <c r="M822" s="4"/>
      <c r="N822" s="4"/>
      <c r="O822" s="4"/>
      <c r="P822" s="4"/>
      <c r="Q822" s="4"/>
      <c r="R822" s="4"/>
      <c r="S822" s="4"/>
      <c r="T822" s="4"/>
      <c r="U822" s="4"/>
      <c r="V822" s="4"/>
      <c r="W822" s="4"/>
      <c r="X822" s="4"/>
      <c r="Y822" s="4"/>
      <c r="Z822" s="4"/>
    </row>
    <row r="823">
      <c r="A823" s="77"/>
      <c r="B823" s="17"/>
      <c r="C823" s="17"/>
      <c r="D823" s="17"/>
      <c r="E823" s="17"/>
      <c r="F823" s="17"/>
      <c r="G823" s="78"/>
      <c r="H823" s="78"/>
      <c r="I823" s="17"/>
      <c r="J823" s="17"/>
      <c r="K823" s="17"/>
      <c r="L823" s="4"/>
      <c r="M823" s="4"/>
      <c r="N823" s="4"/>
      <c r="O823" s="4"/>
      <c r="P823" s="4"/>
      <c r="Q823" s="4"/>
      <c r="R823" s="4"/>
      <c r="S823" s="4"/>
      <c r="T823" s="4"/>
      <c r="U823" s="4"/>
      <c r="V823" s="4"/>
      <c r="W823" s="4"/>
      <c r="X823" s="4"/>
      <c r="Y823" s="4"/>
      <c r="Z823" s="4"/>
    </row>
    <row r="824">
      <c r="A824" s="77"/>
      <c r="B824" s="17"/>
      <c r="C824" s="17"/>
      <c r="D824" s="17"/>
      <c r="E824" s="17"/>
      <c r="F824" s="17"/>
      <c r="G824" s="78"/>
      <c r="H824" s="78"/>
      <c r="I824" s="17"/>
      <c r="J824" s="17"/>
      <c r="K824" s="17"/>
      <c r="L824" s="4"/>
      <c r="M824" s="4"/>
      <c r="N824" s="4"/>
      <c r="O824" s="4"/>
      <c r="P824" s="4"/>
      <c r="Q824" s="4"/>
      <c r="R824" s="4"/>
      <c r="S824" s="4"/>
      <c r="T824" s="4"/>
      <c r="U824" s="4"/>
      <c r="V824" s="4"/>
      <c r="W824" s="4"/>
      <c r="X824" s="4"/>
      <c r="Y824" s="4"/>
      <c r="Z824" s="4"/>
    </row>
    <row r="825">
      <c r="A825" s="77"/>
      <c r="B825" s="17"/>
      <c r="C825" s="17"/>
      <c r="D825" s="17"/>
      <c r="E825" s="17"/>
      <c r="F825" s="17"/>
      <c r="G825" s="78"/>
      <c r="H825" s="78"/>
      <c r="I825" s="17"/>
      <c r="J825" s="17"/>
      <c r="K825" s="17"/>
      <c r="L825" s="4"/>
      <c r="M825" s="4"/>
      <c r="N825" s="4"/>
      <c r="O825" s="4"/>
      <c r="P825" s="4"/>
      <c r="Q825" s="4"/>
      <c r="R825" s="4"/>
      <c r="S825" s="4"/>
      <c r="T825" s="4"/>
      <c r="U825" s="4"/>
      <c r="V825" s="4"/>
      <c r="W825" s="4"/>
      <c r="X825" s="4"/>
      <c r="Y825" s="4"/>
      <c r="Z825" s="4"/>
    </row>
    <row r="826">
      <c r="A826" s="77"/>
      <c r="B826" s="17"/>
      <c r="C826" s="17"/>
      <c r="D826" s="17"/>
      <c r="E826" s="17"/>
      <c r="F826" s="17"/>
      <c r="G826" s="78"/>
      <c r="H826" s="78"/>
      <c r="I826" s="17"/>
      <c r="J826" s="17"/>
      <c r="K826" s="17"/>
      <c r="L826" s="4"/>
      <c r="M826" s="4"/>
      <c r="N826" s="4"/>
      <c r="O826" s="4"/>
      <c r="P826" s="4"/>
      <c r="Q826" s="4"/>
      <c r="R826" s="4"/>
      <c r="S826" s="4"/>
      <c r="T826" s="4"/>
      <c r="U826" s="4"/>
      <c r="V826" s="4"/>
      <c r="W826" s="4"/>
      <c r="X826" s="4"/>
      <c r="Y826" s="4"/>
      <c r="Z826" s="4"/>
    </row>
    <row r="827">
      <c r="A827" s="77"/>
      <c r="B827" s="17"/>
      <c r="C827" s="17"/>
      <c r="D827" s="17"/>
      <c r="E827" s="17"/>
      <c r="F827" s="17"/>
      <c r="G827" s="78"/>
      <c r="H827" s="78"/>
      <c r="I827" s="17"/>
      <c r="J827" s="17"/>
      <c r="K827" s="17"/>
      <c r="L827" s="4"/>
      <c r="M827" s="4"/>
      <c r="N827" s="4"/>
      <c r="O827" s="4"/>
      <c r="P827" s="4"/>
      <c r="Q827" s="4"/>
      <c r="R827" s="4"/>
      <c r="S827" s="4"/>
      <c r="T827" s="4"/>
      <c r="U827" s="4"/>
      <c r="V827" s="4"/>
      <c r="W827" s="4"/>
      <c r="X827" s="4"/>
      <c r="Y827" s="4"/>
      <c r="Z827" s="4"/>
    </row>
    <row r="828">
      <c r="A828" s="77"/>
      <c r="B828" s="17"/>
      <c r="C828" s="17"/>
      <c r="D828" s="17"/>
      <c r="E828" s="17"/>
      <c r="F828" s="17"/>
      <c r="G828" s="78"/>
      <c r="H828" s="78"/>
      <c r="I828" s="17"/>
      <c r="J828" s="17"/>
      <c r="K828" s="17"/>
      <c r="L828" s="4"/>
      <c r="M828" s="4"/>
      <c r="N828" s="4"/>
      <c r="O828" s="4"/>
      <c r="P828" s="4"/>
      <c r="Q828" s="4"/>
      <c r="R828" s="4"/>
      <c r="S828" s="4"/>
      <c r="T828" s="4"/>
      <c r="U828" s="4"/>
      <c r="V828" s="4"/>
      <c r="W828" s="4"/>
      <c r="X828" s="4"/>
      <c r="Y828" s="4"/>
      <c r="Z828" s="4"/>
    </row>
    <row r="829">
      <c r="A829" s="77"/>
      <c r="B829" s="17"/>
      <c r="C829" s="17"/>
      <c r="D829" s="17"/>
      <c r="E829" s="17"/>
      <c r="F829" s="17"/>
      <c r="G829" s="78"/>
      <c r="H829" s="78"/>
      <c r="I829" s="17"/>
      <c r="J829" s="17"/>
      <c r="K829" s="17"/>
      <c r="L829" s="4"/>
      <c r="M829" s="4"/>
      <c r="N829" s="4"/>
      <c r="O829" s="4"/>
      <c r="P829" s="4"/>
      <c r="Q829" s="4"/>
      <c r="R829" s="4"/>
      <c r="S829" s="4"/>
      <c r="T829" s="4"/>
      <c r="U829" s="4"/>
      <c r="V829" s="4"/>
      <c r="W829" s="4"/>
      <c r="X829" s="4"/>
      <c r="Y829" s="4"/>
      <c r="Z829" s="4"/>
    </row>
    <row r="830">
      <c r="A830" s="77"/>
      <c r="B830" s="17"/>
      <c r="C830" s="17"/>
      <c r="D830" s="17"/>
      <c r="E830" s="17"/>
      <c r="F830" s="17"/>
      <c r="G830" s="78"/>
      <c r="H830" s="78"/>
      <c r="I830" s="17"/>
      <c r="J830" s="17"/>
      <c r="K830" s="17"/>
      <c r="L830" s="4"/>
      <c r="M830" s="4"/>
      <c r="N830" s="4"/>
      <c r="O830" s="4"/>
      <c r="P830" s="4"/>
      <c r="Q830" s="4"/>
      <c r="R830" s="4"/>
      <c r="S830" s="4"/>
      <c r="T830" s="4"/>
      <c r="U830" s="4"/>
      <c r="V830" s="4"/>
      <c r="W830" s="4"/>
      <c r="X830" s="4"/>
      <c r="Y830" s="4"/>
      <c r="Z830" s="4"/>
    </row>
    <row r="831">
      <c r="A831" s="77"/>
      <c r="B831" s="17"/>
      <c r="C831" s="17"/>
      <c r="D831" s="17"/>
      <c r="E831" s="17"/>
      <c r="F831" s="17"/>
      <c r="G831" s="78"/>
      <c r="H831" s="78"/>
      <c r="I831" s="17"/>
      <c r="J831" s="17"/>
      <c r="K831" s="17"/>
      <c r="L831" s="4"/>
      <c r="M831" s="4"/>
      <c r="N831" s="4"/>
      <c r="O831" s="4"/>
      <c r="P831" s="4"/>
      <c r="Q831" s="4"/>
      <c r="R831" s="4"/>
      <c r="S831" s="4"/>
      <c r="T831" s="4"/>
      <c r="U831" s="4"/>
      <c r="V831" s="4"/>
      <c r="W831" s="4"/>
      <c r="X831" s="4"/>
      <c r="Y831" s="4"/>
      <c r="Z831" s="4"/>
    </row>
    <row r="832">
      <c r="A832" s="77"/>
      <c r="B832" s="17"/>
      <c r="C832" s="17"/>
      <c r="D832" s="17"/>
      <c r="E832" s="17"/>
      <c r="F832" s="17"/>
      <c r="G832" s="78"/>
      <c r="H832" s="78"/>
      <c r="I832" s="17"/>
      <c r="J832" s="17"/>
      <c r="K832" s="17"/>
      <c r="L832" s="4"/>
      <c r="M832" s="4"/>
      <c r="N832" s="4"/>
      <c r="O832" s="4"/>
      <c r="P832" s="4"/>
      <c r="Q832" s="4"/>
      <c r="R832" s="4"/>
      <c r="S832" s="4"/>
      <c r="T832" s="4"/>
      <c r="U832" s="4"/>
      <c r="V832" s="4"/>
      <c r="W832" s="4"/>
      <c r="X832" s="4"/>
      <c r="Y832" s="4"/>
      <c r="Z832" s="4"/>
    </row>
    <row r="833">
      <c r="A833" s="77"/>
      <c r="B833" s="17"/>
      <c r="C833" s="17"/>
      <c r="D833" s="17"/>
      <c r="E833" s="17"/>
      <c r="F833" s="17"/>
      <c r="G833" s="78"/>
      <c r="H833" s="78"/>
      <c r="I833" s="17"/>
      <c r="J833" s="17"/>
      <c r="K833" s="17"/>
      <c r="L833" s="4"/>
      <c r="M833" s="4"/>
      <c r="N833" s="4"/>
      <c r="O833" s="4"/>
      <c r="P833" s="4"/>
      <c r="Q833" s="4"/>
      <c r="R833" s="4"/>
      <c r="S833" s="4"/>
      <c r="T833" s="4"/>
      <c r="U833" s="4"/>
      <c r="V833" s="4"/>
      <c r="W833" s="4"/>
      <c r="X833" s="4"/>
      <c r="Y833" s="4"/>
      <c r="Z833" s="4"/>
    </row>
    <row r="834">
      <c r="A834" s="77"/>
      <c r="B834" s="17"/>
      <c r="C834" s="17"/>
      <c r="D834" s="17"/>
      <c r="E834" s="17"/>
      <c r="F834" s="17"/>
      <c r="G834" s="78"/>
      <c r="H834" s="78"/>
      <c r="I834" s="17"/>
      <c r="J834" s="17"/>
      <c r="K834" s="17"/>
      <c r="L834" s="4"/>
      <c r="M834" s="4"/>
      <c r="N834" s="4"/>
      <c r="O834" s="4"/>
      <c r="P834" s="4"/>
      <c r="Q834" s="4"/>
      <c r="R834" s="4"/>
      <c r="S834" s="4"/>
      <c r="T834" s="4"/>
      <c r="U834" s="4"/>
      <c r="V834" s="4"/>
      <c r="W834" s="4"/>
      <c r="X834" s="4"/>
      <c r="Y834" s="4"/>
      <c r="Z834" s="4"/>
    </row>
    <row r="835">
      <c r="A835" s="77"/>
      <c r="B835" s="17"/>
      <c r="C835" s="17"/>
      <c r="D835" s="17"/>
      <c r="E835" s="17"/>
      <c r="F835" s="17"/>
      <c r="G835" s="78"/>
      <c r="H835" s="78"/>
      <c r="I835" s="17"/>
      <c r="J835" s="17"/>
      <c r="K835" s="17"/>
      <c r="L835" s="4"/>
      <c r="M835" s="4"/>
      <c r="N835" s="4"/>
      <c r="O835" s="4"/>
      <c r="P835" s="4"/>
      <c r="Q835" s="4"/>
      <c r="R835" s="4"/>
      <c r="S835" s="4"/>
      <c r="T835" s="4"/>
      <c r="U835" s="4"/>
      <c r="V835" s="4"/>
      <c r="W835" s="4"/>
      <c r="X835" s="4"/>
      <c r="Y835" s="4"/>
      <c r="Z835" s="4"/>
    </row>
    <row r="836">
      <c r="A836" s="77"/>
      <c r="B836" s="17"/>
      <c r="C836" s="17"/>
      <c r="D836" s="17"/>
      <c r="E836" s="17"/>
      <c r="F836" s="17"/>
      <c r="G836" s="78"/>
      <c r="H836" s="78"/>
      <c r="I836" s="17"/>
      <c r="J836" s="17"/>
      <c r="K836" s="17"/>
      <c r="L836" s="4"/>
      <c r="M836" s="4"/>
      <c r="N836" s="4"/>
      <c r="O836" s="4"/>
      <c r="P836" s="4"/>
      <c r="Q836" s="4"/>
      <c r="R836" s="4"/>
      <c r="S836" s="4"/>
      <c r="T836" s="4"/>
      <c r="U836" s="4"/>
      <c r="V836" s="4"/>
      <c r="W836" s="4"/>
      <c r="X836" s="4"/>
      <c r="Y836" s="4"/>
      <c r="Z836" s="4"/>
    </row>
    <row r="837">
      <c r="A837" s="77"/>
      <c r="B837" s="17"/>
      <c r="C837" s="17"/>
      <c r="D837" s="17"/>
      <c r="E837" s="17"/>
      <c r="F837" s="17"/>
      <c r="G837" s="78"/>
      <c r="H837" s="78"/>
      <c r="I837" s="17"/>
      <c r="J837" s="17"/>
      <c r="K837" s="17"/>
      <c r="L837" s="4"/>
      <c r="M837" s="4"/>
      <c r="N837" s="4"/>
      <c r="O837" s="4"/>
      <c r="P837" s="4"/>
      <c r="Q837" s="4"/>
      <c r="R837" s="4"/>
      <c r="S837" s="4"/>
      <c r="T837" s="4"/>
      <c r="U837" s="4"/>
      <c r="V837" s="4"/>
      <c r="W837" s="4"/>
      <c r="X837" s="4"/>
      <c r="Y837" s="4"/>
      <c r="Z837" s="4"/>
    </row>
    <row r="838">
      <c r="A838" s="77"/>
      <c r="B838" s="17"/>
      <c r="C838" s="17"/>
      <c r="D838" s="17"/>
      <c r="E838" s="17"/>
      <c r="F838" s="17"/>
      <c r="G838" s="78"/>
      <c r="H838" s="78"/>
      <c r="I838" s="17"/>
      <c r="J838" s="17"/>
      <c r="K838" s="17"/>
      <c r="L838" s="4"/>
      <c r="M838" s="4"/>
      <c r="N838" s="4"/>
      <c r="O838" s="4"/>
      <c r="P838" s="4"/>
      <c r="Q838" s="4"/>
      <c r="R838" s="4"/>
      <c r="S838" s="4"/>
      <c r="T838" s="4"/>
      <c r="U838" s="4"/>
      <c r="V838" s="4"/>
      <c r="W838" s="4"/>
      <c r="X838" s="4"/>
      <c r="Y838" s="4"/>
      <c r="Z838" s="4"/>
    </row>
    <row r="839">
      <c r="A839" s="77"/>
      <c r="B839" s="17"/>
      <c r="C839" s="17"/>
      <c r="D839" s="17"/>
      <c r="E839" s="17"/>
      <c r="F839" s="17"/>
      <c r="G839" s="78"/>
      <c r="H839" s="78"/>
      <c r="I839" s="17"/>
      <c r="J839" s="17"/>
      <c r="K839" s="17"/>
      <c r="L839" s="4"/>
      <c r="M839" s="4"/>
      <c r="N839" s="4"/>
      <c r="O839" s="4"/>
      <c r="P839" s="4"/>
      <c r="Q839" s="4"/>
      <c r="R839" s="4"/>
      <c r="S839" s="4"/>
      <c r="T839" s="4"/>
      <c r="U839" s="4"/>
      <c r="V839" s="4"/>
      <c r="W839" s="4"/>
      <c r="X839" s="4"/>
      <c r="Y839" s="4"/>
      <c r="Z839" s="4"/>
    </row>
    <row r="840">
      <c r="A840" s="77"/>
      <c r="B840" s="17"/>
      <c r="C840" s="17"/>
      <c r="D840" s="17"/>
      <c r="E840" s="17"/>
      <c r="F840" s="17"/>
      <c r="G840" s="78"/>
      <c r="H840" s="78"/>
      <c r="I840" s="17"/>
      <c r="J840" s="17"/>
      <c r="K840" s="17"/>
      <c r="L840" s="4"/>
      <c r="M840" s="4"/>
      <c r="N840" s="4"/>
      <c r="O840" s="4"/>
      <c r="P840" s="4"/>
      <c r="Q840" s="4"/>
      <c r="R840" s="4"/>
      <c r="S840" s="4"/>
      <c r="T840" s="4"/>
      <c r="U840" s="4"/>
      <c r="V840" s="4"/>
      <c r="W840" s="4"/>
      <c r="X840" s="4"/>
      <c r="Y840" s="4"/>
      <c r="Z840" s="4"/>
    </row>
    <row r="841">
      <c r="A841" s="77"/>
      <c r="B841" s="17"/>
      <c r="C841" s="17"/>
      <c r="D841" s="17"/>
      <c r="E841" s="17"/>
      <c r="F841" s="17"/>
      <c r="G841" s="78"/>
      <c r="H841" s="78"/>
      <c r="I841" s="17"/>
      <c r="J841" s="17"/>
      <c r="K841" s="17"/>
      <c r="L841" s="4"/>
      <c r="M841" s="4"/>
      <c r="N841" s="4"/>
      <c r="O841" s="4"/>
      <c r="P841" s="4"/>
      <c r="Q841" s="4"/>
      <c r="R841" s="4"/>
      <c r="S841" s="4"/>
      <c r="T841" s="4"/>
      <c r="U841" s="4"/>
      <c r="V841" s="4"/>
      <c r="W841" s="4"/>
      <c r="X841" s="4"/>
      <c r="Y841" s="4"/>
      <c r="Z841" s="4"/>
    </row>
    <row r="842">
      <c r="A842" s="77"/>
      <c r="B842" s="17"/>
      <c r="C842" s="17"/>
      <c r="D842" s="17"/>
      <c r="E842" s="17"/>
      <c r="F842" s="17"/>
      <c r="G842" s="78"/>
      <c r="H842" s="78"/>
      <c r="I842" s="17"/>
      <c r="J842" s="17"/>
      <c r="K842" s="17"/>
      <c r="L842" s="4"/>
      <c r="M842" s="4"/>
      <c r="N842" s="4"/>
      <c r="O842" s="4"/>
      <c r="P842" s="4"/>
      <c r="Q842" s="4"/>
      <c r="R842" s="4"/>
      <c r="S842" s="4"/>
      <c r="T842" s="4"/>
      <c r="U842" s="4"/>
      <c r="V842" s="4"/>
      <c r="W842" s="4"/>
      <c r="X842" s="4"/>
      <c r="Y842" s="4"/>
      <c r="Z842" s="4"/>
    </row>
    <row r="843">
      <c r="A843" s="77"/>
      <c r="B843" s="17"/>
      <c r="C843" s="17"/>
      <c r="D843" s="17"/>
      <c r="E843" s="17"/>
      <c r="F843" s="17"/>
      <c r="G843" s="78"/>
      <c r="H843" s="78"/>
      <c r="I843" s="17"/>
      <c r="J843" s="17"/>
      <c r="K843" s="17"/>
      <c r="L843" s="4"/>
      <c r="M843" s="4"/>
      <c r="N843" s="4"/>
      <c r="O843" s="4"/>
      <c r="P843" s="4"/>
      <c r="Q843" s="4"/>
      <c r="R843" s="4"/>
      <c r="S843" s="4"/>
      <c r="T843" s="4"/>
      <c r="U843" s="4"/>
      <c r="V843" s="4"/>
      <c r="W843" s="4"/>
      <c r="X843" s="4"/>
      <c r="Y843" s="4"/>
      <c r="Z843" s="4"/>
    </row>
    <row r="844">
      <c r="A844" s="77"/>
      <c r="B844" s="17"/>
      <c r="C844" s="17"/>
      <c r="D844" s="17"/>
      <c r="E844" s="17"/>
      <c r="F844" s="17"/>
      <c r="G844" s="78"/>
      <c r="H844" s="78"/>
      <c r="I844" s="17"/>
      <c r="J844" s="17"/>
      <c r="K844" s="17"/>
      <c r="L844" s="4"/>
      <c r="M844" s="4"/>
      <c r="N844" s="4"/>
      <c r="O844" s="4"/>
      <c r="P844" s="4"/>
      <c r="Q844" s="4"/>
      <c r="R844" s="4"/>
      <c r="S844" s="4"/>
      <c r="T844" s="4"/>
      <c r="U844" s="4"/>
      <c r="V844" s="4"/>
      <c r="W844" s="4"/>
      <c r="X844" s="4"/>
      <c r="Y844" s="4"/>
      <c r="Z844" s="4"/>
    </row>
    <row r="845">
      <c r="A845" s="77"/>
      <c r="B845" s="17"/>
      <c r="C845" s="17"/>
      <c r="D845" s="17"/>
      <c r="E845" s="17"/>
      <c r="F845" s="17"/>
      <c r="G845" s="78"/>
      <c r="H845" s="78"/>
      <c r="I845" s="17"/>
      <c r="J845" s="17"/>
      <c r="K845" s="17"/>
      <c r="L845" s="4"/>
      <c r="M845" s="4"/>
      <c r="N845" s="4"/>
      <c r="O845" s="4"/>
      <c r="P845" s="4"/>
      <c r="Q845" s="4"/>
      <c r="R845" s="4"/>
      <c r="S845" s="4"/>
      <c r="T845" s="4"/>
      <c r="U845" s="4"/>
      <c r="V845" s="4"/>
      <c r="W845" s="4"/>
      <c r="X845" s="4"/>
      <c r="Y845" s="4"/>
      <c r="Z845" s="4"/>
    </row>
    <row r="846">
      <c r="A846" s="77"/>
      <c r="B846" s="17"/>
      <c r="C846" s="17"/>
      <c r="D846" s="17"/>
      <c r="E846" s="17"/>
      <c r="F846" s="17"/>
      <c r="G846" s="78"/>
      <c r="H846" s="78"/>
      <c r="I846" s="17"/>
      <c r="J846" s="17"/>
      <c r="K846" s="17"/>
      <c r="L846" s="4"/>
      <c r="M846" s="4"/>
      <c r="N846" s="4"/>
      <c r="O846" s="4"/>
      <c r="P846" s="4"/>
      <c r="Q846" s="4"/>
      <c r="R846" s="4"/>
      <c r="S846" s="4"/>
      <c r="T846" s="4"/>
      <c r="U846" s="4"/>
      <c r="V846" s="4"/>
      <c r="W846" s="4"/>
      <c r="X846" s="4"/>
      <c r="Y846" s="4"/>
      <c r="Z846" s="4"/>
    </row>
    <row r="847">
      <c r="A847" s="77"/>
      <c r="B847" s="17"/>
      <c r="C847" s="17"/>
      <c r="D847" s="17"/>
      <c r="E847" s="17"/>
      <c r="F847" s="17"/>
      <c r="G847" s="78"/>
      <c r="H847" s="78"/>
      <c r="I847" s="17"/>
      <c r="J847" s="17"/>
      <c r="K847" s="17"/>
      <c r="L847" s="4"/>
      <c r="M847" s="4"/>
      <c r="N847" s="4"/>
      <c r="O847" s="4"/>
      <c r="P847" s="4"/>
      <c r="Q847" s="4"/>
      <c r="R847" s="4"/>
      <c r="S847" s="4"/>
      <c r="T847" s="4"/>
      <c r="U847" s="4"/>
      <c r="V847" s="4"/>
      <c r="W847" s="4"/>
      <c r="X847" s="4"/>
      <c r="Y847" s="4"/>
      <c r="Z847" s="4"/>
    </row>
    <row r="848">
      <c r="A848" s="77"/>
      <c r="B848" s="17"/>
      <c r="C848" s="17"/>
      <c r="D848" s="17"/>
      <c r="E848" s="17"/>
      <c r="F848" s="17"/>
      <c r="G848" s="78"/>
      <c r="H848" s="78"/>
      <c r="I848" s="17"/>
      <c r="J848" s="17"/>
      <c r="K848" s="17"/>
      <c r="L848" s="4"/>
      <c r="M848" s="4"/>
      <c r="N848" s="4"/>
      <c r="O848" s="4"/>
      <c r="P848" s="4"/>
      <c r="Q848" s="4"/>
      <c r="R848" s="4"/>
      <c r="S848" s="4"/>
      <c r="T848" s="4"/>
      <c r="U848" s="4"/>
      <c r="V848" s="4"/>
      <c r="W848" s="4"/>
      <c r="X848" s="4"/>
      <c r="Y848" s="4"/>
      <c r="Z848" s="4"/>
    </row>
    <row r="849">
      <c r="A849" s="77"/>
      <c r="B849" s="17"/>
      <c r="C849" s="17"/>
      <c r="D849" s="17"/>
      <c r="E849" s="17"/>
      <c r="F849" s="17"/>
      <c r="G849" s="78"/>
      <c r="H849" s="78"/>
      <c r="I849" s="17"/>
      <c r="J849" s="17"/>
      <c r="K849" s="17"/>
      <c r="L849" s="4"/>
      <c r="M849" s="4"/>
      <c r="N849" s="4"/>
      <c r="O849" s="4"/>
      <c r="P849" s="4"/>
      <c r="Q849" s="4"/>
      <c r="R849" s="4"/>
      <c r="S849" s="4"/>
      <c r="T849" s="4"/>
      <c r="U849" s="4"/>
      <c r="V849" s="4"/>
      <c r="W849" s="4"/>
      <c r="X849" s="4"/>
      <c r="Y849" s="4"/>
      <c r="Z849" s="4"/>
    </row>
    <row r="850">
      <c r="A850" s="77"/>
      <c r="B850" s="17"/>
      <c r="C850" s="17"/>
      <c r="D850" s="17"/>
      <c r="E850" s="17"/>
      <c r="F850" s="17"/>
      <c r="G850" s="78"/>
      <c r="H850" s="78"/>
      <c r="I850" s="17"/>
      <c r="J850" s="17"/>
      <c r="K850" s="17"/>
      <c r="L850" s="4"/>
      <c r="M850" s="4"/>
      <c r="N850" s="4"/>
      <c r="O850" s="4"/>
      <c r="P850" s="4"/>
      <c r="Q850" s="4"/>
      <c r="R850" s="4"/>
      <c r="S850" s="4"/>
      <c r="T850" s="4"/>
      <c r="U850" s="4"/>
      <c r="V850" s="4"/>
      <c r="W850" s="4"/>
      <c r="X850" s="4"/>
      <c r="Y850" s="4"/>
      <c r="Z850" s="4"/>
    </row>
    <row r="851">
      <c r="A851" s="77"/>
      <c r="B851" s="17"/>
      <c r="C851" s="17"/>
      <c r="D851" s="17"/>
      <c r="E851" s="17"/>
      <c r="F851" s="17"/>
      <c r="G851" s="78"/>
      <c r="H851" s="78"/>
      <c r="I851" s="17"/>
      <c r="J851" s="17"/>
      <c r="K851" s="17"/>
      <c r="L851" s="4"/>
      <c r="M851" s="4"/>
      <c r="N851" s="4"/>
      <c r="O851" s="4"/>
      <c r="P851" s="4"/>
      <c r="Q851" s="4"/>
      <c r="R851" s="4"/>
      <c r="S851" s="4"/>
      <c r="T851" s="4"/>
      <c r="U851" s="4"/>
      <c r="V851" s="4"/>
      <c r="W851" s="4"/>
      <c r="X851" s="4"/>
      <c r="Y851" s="4"/>
      <c r="Z851" s="4"/>
    </row>
    <row r="852">
      <c r="A852" s="77"/>
      <c r="B852" s="17"/>
      <c r="C852" s="17"/>
      <c r="D852" s="17"/>
      <c r="E852" s="17"/>
      <c r="F852" s="17"/>
      <c r="G852" s="78"/>
      <c r="H852" s="78"/>
      <c r="I852" s="17"/>
      <c r="J852" s="17"/>
      <c r="K852" s="17"/>
      <c r="L852" s="4"/>
      <c r="M852" s="4"/>
      <c r="N852" s="4"/>
      <c r="O852" s="4"/>
      <c r="P852" s="4"/>
      <c r="Q852" s="4"/>
      <c r="R852" s="4"/>
      <c r="S852" s="4"/>
      <c r="T852" s="4"/>
      <c r="U852" s="4"/>
      <c r="V852" s="4"/>
      <c r="W852" s="4"/>
      <c r="X852" s="4"/>
      <c r="Y852" s="4"/>
      <c r="Z852" s="4"/>
    </row>
    <row r="853">
      <c r="A853" s="77"/>
      <c r="B853" s="17"/>
      <c r="C853" s="17"/>
      <c r="D853" s="17"/>
      <c r="E853" s="17"/>
      <c r="F853" s="17"/>
      <c r="G853" s="78"/>
      <c r="H853" s="78"/>
      <c r="I853" s="17"/>
      <c r="J853" s="17"/>
      <c r="K853" s="17"/>
      <c r="L853" s="4"/>
      <c r="M853" s="4"/>
      <c r="N853" s="4"/>
      <c r="O853" s="4"/>
      <c r="P853" s="4"/>
      <c r="Q853" s="4"/>
      <c r="R853" s="4"/>
      <c r="S853" s="4"/>
      <c r="T853" s="4"/>
      <c r="U853" s="4"/>
      <c r="V853" s="4"/>
      <c r="W853" s="4"/>
      <c r="X853" s="4"/>
      <c r="Y853" s="4"/>
      <c r="Z853" s="4"/>
    </row>
    <row r="854">
      <c r="A854" s="77"/>
      <c r="B854" s="17"/>
      <c r="C854" s="17"/>
      <c r="D854" s="17"/>
      <c r="E854" s="17"/>
      <c r="F854" s="17"/>
      <c r="G854" s="78"/>
      <c r="H854" s="78"/>
      <c r="I854" s="17"/>
      <c r="J854" s="17"/>
      <c r="K854" s="17"/>
      <c r="L854" s="4"/>
      <c r="M854" s="4"/>
      <c r="N854" s="4"/>
      <c r="O854" s="4"/>
      <c r="P854" s="4"/>
      <c r="Q854" s="4"/>
      <c r="R854" s="4"/>
      <c r="S854" s="4"/>
      <c r="T854" s="4"/>
      <c r="U854" s="4"/>
      <c r="V854" s="4"/>
      <c r="W854" s="4"/>
      <c r="X854" s="4"/>
      <c r="Y854" s="4"/>
      <c r="Z854" s="4"/>
    </row>
    <row r="855">
      <c r="A855" s="77"/>
      <c r="B855" s="17"/>
      <c r="C855" s="17"/>
      <c r="D855" s="17"/>
      <c r="E855" s="17"/>
      <c r="F855" s="17"/>
      <c r="G855" s="78"/>
      <c r="H855" s="78"/>
      <c r="I855" s="17"/>
      <c r="J855" s="17"/>
      <c r="K855" s="17"/>
      <c r="L855" s="4"/>
      <c r="M855" s="4"/>
      <c r="N855" s="4"/>
      <c r="O855" s="4"/>
      <c r="P855" s="4"/>
      <c r="Q855" s="4"/>
      <c r="R855" s="4"/>
      <c r="S855" s="4"/>
      <c r="T855" s="4"/>
      <c r="U855" s="4"/>
      <c r="V855" s="4"/>
      <c r="W855" s="4"/>
      <c r="X855" s="4"/>
      <c r="Y855" s="4"/>
      <c r="Z855" s="4"/>
    </row>
    <row r="856">
      <c r="A856" s="77"/>
      <c r="B856" s="17"/>
      <c r="C856" s="17"/>
      <c r="D856" s="17"/>
      <c r="E856" s="17"/>
      <c r="F856" s="17"/>
      <c r="G856" s="78"/>
      <c r="H856" s="78"/>
      <c r="I856" s="17"/>
      <c r="J856" s="17"/>
      <c r="K856" s="17"/>
      <c r="L856" s="4"/>
      <c r="M856" s="4"/>
      <c r="N856" s="4"/>
      <c r="O856" s="4"/>
      <c r="P856" s="4"/>
      <c r="Q856" s="4"/>
      <c r="R856" s="4"/>
      <c r="S856" s="4"/>
      <c r="T856" s="4"/>
      <c r="U856" s="4"/>
      <c r="V856" s="4"/>
      <c r="W856" s="4"/>
      <c r="X856" s="4"/>
      <c r="Y856" s="4"/>
      <c r="Z856" s="4"/>
    </row>
    <row r="857">
      <c r="A857" s="77"/>
      <c r="B857" s="17"/>
      <c r="C857" s="17"/>
      <c r="D857" s="17"/>
      <c r="E857" s="17"/>
      <c r="F857" s="17"/>
      <c r="G857" s="78"/>
      <c r="H857" s="78"/>
      <c r="I857" s="17"/>
      <c r="J857" s="17"/>
      <c r="K857" s="17"/>
      <c r="L857" s="4"/>
      <c r="M857" s="4"/>
      <c r="N857" s="4"/>
      <c r="O857" s="4"/>
      <c r="P857" s="4"/>
      <c r="Q857" s="4"/>
      <c r="R857" s="4"/>
      <c r="S857" s="4"/>
      <c r="T857" s="4"/>
      <c r="U857" s="4"/>
      <c r="V857" s="4"/>
      <c r="W857" s="4"/>
      <c r="X857" s="4"/>
      <c r="Y857" s="4"/>
      <c r="Z857" s="4"/>
    </row>
    <row r="858">
      <c r="A858" s="77"/>
      <c r="B858" s="17"/>
      <c r="C858" s="17"/>
      <c r="D858" s="17"/>
      <c r="E858" s="17"/>
      <c r="F858" s="17"/>
      <c r="G858" s="78"/>
      <c r="H858" s="78"/>
      <c r="I858" s="17"/>
      <c r="J858" s="17"/>
      <c r="K858" s="17"/>
      <c r="L858" s="4"/>
      <c r="M858" s="4"/>
      <c r="N858" s="4"/>
      <c r="O858" s="4"/>
      <c r="P858" s="4"/>
      <c r="Q858" s="4"/>
      <c r="R858" s="4"/>
      <c r="S858" s="4"/>
      <c r="T858" s="4"/>
      <c r="U858" s="4"/>
      <c r="V858" s="4"/>
      <c r="W858" s="4"/>
      <c r="X858" s="4"/>
      <c r="Y858" s="4"/>
      <c r="Z858" s="4"/>
    </row>
    <row r="859">
      <c r="A859" s="77"/>
      <c r="B859" s="17"/>
      <c r="C859" s="17"/>
      <c r="D859" s="17"/>
      <c r="E859" s="17"/>
      <c r="F859" s="17"/>
      <c r="G859" s="78"/>
      <c r="H859" s="78"/>
      <c r="I859" s="17"/>
      <c r="J859" s="17"/>
      <c r="K859" s="17"/>
      <c r="L859" s="4"/>
      <c r="M859" s="4"/>
      <c r="N859" s="4"/>
      <c r="O859" s="4"/>
      <c r="P859" s="4"/>
      <c r="Q859" s="4"/>
      <c r="R859" s="4"/>
      <c r="S859" s="4"/>
      <c r="T859" s="4"/>
      <c r="U859" s="4"/>
      <c r="V859" s="4"/>
      <c r="W859" s="4"/>
      <c r="X859" s="4"/>
      <c r="Y859" s="4"/>
      <c r="Z859" s="4"/>
    </row>
    <row r="860">
      <c r="A860" s="77"/>
      <c r="B860" s="17"/>
      <c r="C860" s="17"/>
      <c r="D860" s="17"/>
      <c r="E860" s="17"/>
      <c r="F860" s="17"/>
      <c r="G860" s="78"/>
      <c r="H860" s="78"/>
      <c r="I860" s="17"/>
      <c r="J860" s="17"/>
      <c r="K860" s="17"/>
      <c r="L860" s="4"/>
      <c r="M860" s="4"/>
      <c r="N860" s="4"/>
      <c r="O860" s="4"/>
      <c r="P860" s="4"/>
      <c r="Q860" s="4"/>
      <c r="R860" s="4"/>
      <c r="S860" s="4"/>
      <c r="T860" s="4"/>
      <c r="U860" s="4"/>
      <c r="V860" s="4"/>
      <c r="W860" s="4"/>
      <c r="X860" s="4"/>
      <c r="Y860" s="4"/>
      <c r="Z860" s="4"/>
    </row>
    <row r="861">
      <c r="A861" s="77"/>
      <c r="B861" s="17"/>
      <c r="C861" s="17"/>
      <c r="D861" s="17"/>
      <c r="E861" s="17"/>
      <c r="F861" s="17"/>
      <c r="G861" s="78"/>
      <c r="H861" s="78"/>
      <c r="I861" s="17"/>
      <c r="J861" s="17"/>
      <c r="K861" s="17"/>
      <c r="L861" s="4"/>
      <c r="M861" s="4"/>
      <c r="N861" s="4"/>
      <c r="O861" s="4"/>
      <c r="P861" s="4"/>
      <c r="Q861" s="4"/>
      <c r="R861" s="4"/>
      <c r="S861" s="4"/>
      <c r="T861" s="4"/>
      <c r="U861" s="4"/>
      <c r="V861" s="4"/>
      <c r="W861" s="4"/>
      <c r="X861" s="4"/>
      <c r="Y861" s="4"/>
      <c r="Z861" s="4"/>
    </row>
    <row r="862">
      <c r="A862" s="77"/>
      <c r="B862" s="17"/>
      <c r="C862" s="17"/>
      <c r="D862" s="17"/>
      <c r="E862" s="17"/>
      <c r="F862" s="17"/>
      <c r="G862" s="78"/>
      <c r="H862" s="78"/>
      <c r="I862" s="17"/>
      <c r="J862" s="17"/>
      <c r="K862" s="17"/>
      <c r="L862" s="4"/>
      <c r="M862" s="4"/>
      <c r="N862" s="4"/>
      <c r="O862" s="4"/>
      <c r="P862" s="4"/>
      <c r="Q862" s="4"/>
      <c r="R862" s="4"/>
      <c r="S862" s="4"/>
      <c r="T862" s="4"/>
      <c r="U862" s="4"/>
      <c r="V862" s="4"/>
      <c r="W862" s="4"/>
      <c r="X862" s="4"/>
      <c r="Y862" s="4"/>
      <c r="Z862" s="4"/>
    </row>
    <row r="863">
      <c r="A863" s="77"/>
      <c r="B863" s="17"/>
      <c r="C863" s="17"/>
      <c r="D863" s="17"/>
      <c r="E863" s="17"/>
      <c r="F863" s="17"/>
      <c r="G863" s="78"/>
      <c r="H863" s="78"/>
      <c r="I863" s="17"/>
      <c r="J863" s="17"/>
      <c r="K863" s="17"/>
      <c r="L863" s="4"/>
      <c r="M863" s="4"/>
      <c r="N863" s="4"/>
      <c r="O863" s="4"/>
      <c r="P863" s="4"/>
      <c r="Q863" s="4"/>
      <c r="R863" s="4"/>
      <c r="S863" s="4"/>
      <c r="T863" s="4"/>
      <c r="U863" s="4"/>
      <c r="V863" s="4"/>
      <c r="W863" s="4"/>
      <c r="X863" s="4"/>
      <c r="Y863" s="4"/>
      <c r="Z863" s="4"/>
    </row>
    <row r="864">
      <c r="A864" s="77"/>
      <c r="B864" s="17"/>
      <c r="C864" s="17"/>
      <c r="D864" s="17"/>
      <c r="E864" s="17"/>
      <c r="F864" s="17"/>
      <c r="G864" s="78"/>
      <c r="H864" s="78"/>
      <c r="I864" s="17"/>
      <c r="J864" s="17"/>
      <c r="K864" s="17"/>
      <c r="L864" s="4"/>
      <c r="M864" s="4"/>
      <c r="N864" s="4"/>
      <c r="O864" s="4"/>
      <c r="P864" s="4"/>
      <c r="Q864" s="4"/>
      <c r="R864" s="4"/>
      <c r="S864" s="4"/>
      <c r="T864" s="4"/>
      <c r="U864" s="4"/>
      <c r="V864" s="4"/>
      <c r="W864" s="4"/>
      <c r="X864" s="4"/>
      <c r="Y864" s="4"/>
      <c r="Z864" s="4"/>
    </row>
    <row r="865">
      <c r="A865" s="77"/>
      <c r="B865" s="17"/>
      <c r="C865" s="17"/>
      <c r="D865" s="17"/>
      <c r="E865" s="17"/>
      <c r="F865" s="17"/>
      <c r="G865" s="78"/>
      <c r="H865" s="78"/>
      <c r="I865" s="17"/>
      <c r="J865" s="17"/>
      <c r="K865" s="17"/>
      <c r="L865" s="4"/>
      <c r="M865" s="4"/>
      <c r="N865" s="4"/>
      <c r="O865" s="4"/>
      <c r="P865" s="4"/>
      <c r="Q865" s="4"/>
      <c r="R865" s="4"/>
      <c r="S865" s="4"/>
      <c r="T865" s="4"/>
      <c r="U865" s="4"/>
      <c r="V865" s="4"/>
      <c r="W865" s="4"/>
      <c r="X865" s="4"/>
      <c r="Y865" s="4"/>
      <c r="Z865" s="4"/>
    </row>
    <row r="866">
      <c r="A866" s="77"/>
      <c r="B866" s="17"/>
      <c r="C866" s="17"/>
      <c r="D866" s="17"/>
      <c r="E866" s="17"/>
      <c r="F866" s="17"/>
      <c r="G866" s="78"/>
      <c r="H866" s="78"/>
      <c r="I866" s="17"/>
      <c r="J866" s="17"/>
      <c r="K866" s="17"/>
      <c r="L866" s="4"/>
      <c r="M866" s="4"/>
      <c r="N866" s="4"/>
      <c r="O866" s="4"/>
      <c r="P866" s="4"/>
      <c r="Q866" s="4"/>
      <c r="R866" s="4"/>
      <c r="S866" s="4"/>
      <c r="T866" s="4"/>
      <c r="U866" s="4"/>
      <c r="V866" s="4"/>
      <c r="W866" s="4"/>
      <c r="X866" s="4"/>
      <c r="Y866" s="4"/>
      <c r="Z866" s="4"/>
    </row>
    <row r="867">
      <c r="A867" s="77"/>
      <c r="B867" s="17"/>
      <c r="C867" s="17"/>
      <c r="D867" s="17"/>
      <c r="E867" s="17"/>
      <c r="F867" s="17"/>
      <c r="G867" s="78"/>
      <c r="H867" s="78"/>
      <c r="I867" s="17"/>
      <c r="J867" s="17"/>
      <c r="K867" s="17"/>
      <c r="L867" s="4"/>
      <c r="M867" s="4"/>
      <c r="N867" s="4"/>
      <c r="O867" s="4"/>
      <c r="P867" s="4"/>
      <c r="Q867" s="4"/>
      <c r="R867" s="4"/>
      <c r="S867" s="4"/>
      <c r="T867" s="4"/>
      <c r="U867" s="4"/>
      <c r="V867" s="4"/>
      <c r="W867" s="4"/>
      <c r="X867" s="4"/>
      <c r="Y867" s="4"/>
      <c r="Z867" s="4"/>
    </row>
    <row r="868">
      <c r="A868" s="77"/>
      <c r="B868" s="17"/>
      <c r="C868" s="17"/>
      <c r="D868" s="17"/>
      <c r="E868" s="17"/>
      <c r="F868" s="17"/>
      <c r="G868" s="78"/>
      <c r="H868" s="78"/>
      <c r="I868" s="17"/>
      <c r="J868" s="17"/>
      <c r="K868" s="17"/>
      <c r="L868" s="4"/>
      <c r="M868" s="4"/>
      <c r="N868" s="4"/>
      <c r="O868" s="4"/>
      <c r="P868" s="4"/>
      <c r="Q868" s="4"/>
      <c r="R868" s="4"/>
      <c r="S868" s="4"/>
      <c r="T868" s="4"/>
      <c r="U868" s="4"/>
      <c r="V868" s="4"/>
      <c r="W868" s="4"/>
      <c r="X868" s="4"/>
      <c r="Y868" s="4"/>
      <c r="Z868" s="4"/>
    </row>
    <row r="869">
      <c r="A869" s="77"/>
      <c r="B869" s="17"/>
      <c r="C869" s="17"/>
      <c r="D869" s="17"/>
      <c r="E869" s="17"/>
      <c r="F869" s="17"/>
      <c r="G869" s="78"/>
      <c r="H869" s="78"/>
      <c r="I869" s="17"/>
      <c r="J869" s="17"/>
      <c r="K869" s="17"/>
      <c r="L869" s="4"/>
      <c r="M869" s="4"/>
      <c r="N869" s="4"/>
      <c r="O869" s="4"/>
      <c r="P869" s="4"/>
      <c r="Q869" s="4"/>
      <c r="R869" s="4"/>
      <c r="S869" s="4"/>
      <c r="T869" s="4"/>
      <c r="U869" s="4"/>
      <c r="V869" s="4"/>
      <c r="W869" s="4"/>
      <c r="X869" s="4"/>
      <c r="Y869" s="4"/>
      <c r="Z869" s="4"/>
    </row>
    <row r="870">
      <c r="A870" s="77"/>
      <c r="B870" s="17"/>
      <c r="C870" s="17"/>
      <c r="D870" s="17"/>
      <c r="E870" s="17"/>
      <c r="F870" s="17"/>
      <c r="G870" s="78"/>
      <c r="H870" s="78"/>
      <c r="I870" s="17"/>
      <c r="J870" s="17"/>
      <c r="K870" s="17"/>
      <c r="L870" s="4"/>
      <c r="M870" s="4"/>
      <c r="N870" s="4"/>
      <c r="O870" s="4"/>
      <c r="P870" s="4"/>
      <c r="Q870" s="4"/>
      <c r="R870" s="4"/>
      <c r="S870" s="4"/>
      <c r="T870" s="4"/>
      <c r="U870" s="4"/>
      <c r="V870" s="4"/>
      <c r="W870" s="4"/>
      <c r="X870" s="4"/>
      <c r="Y870" s="4"/>
      <c r="Z870" s="4"/>
    </row>
    <row r="871">
      <c r="A871" s="77"/>
      <c r="B871" s="17"/>
      <c r="C871" s="17"/>
      <c r="D871" s="17"/>
      <c r="E871" s="17"/>
      <c r="F871" s="17"/>
      <c r="G871" s="78"/>
      <c r="H871" s="78"/>
      <c r="I871" s="17"/>
      <c r="J871" s="17"/>
      <c r="K871" s="17"/>
      <c r="L871" s="4"/>
      <c r="M871" s="4"/>
      <c r="N871" s="4"/>
      <c r="O871" s="4"/>
      <c r="P871" s="4"/>
      <c r="Q871" s="4"/>
      <c r="R871" s="4"/>
      <c r="S871" s="4"/>
      <c r="T871" s="4"/>
      <c r="U871" s="4"/>
      <c r="V871" s="4"/>
      <c r="W871" s="4"/>
      <c r="X871" s="4"/>
      <c r="Y871" s="4"/>
      <c r="Z871" s="4"/>
    </row>
    <row r="872">
      <c r="A872" s="77"/>
      <c r="B872" s="17"/>
      <c r="C872" s="17"/>
      <c r="D872" s="17"/>
      <c r="E872" s="17"/>
      <c r="F872" s="17"/>
      <c r="G872" s="78"/>
      <c r="H872" s="78"/>
      <c r="I872" s="17"/>
      <c r="J872" s="17"/>
      <c r="K872" s="17"/>
      <c r="L872" s="4"/>
      <c r="M872" s="4"/>
      <c r="N872" s="4"/>
      <c r="O872" s="4"/>
      <c r="P872" s="4"/>
      <c r="Q872" s="4"/>
      <c r="R872" s="4"/>
      <c r="S872" s="4"/>
      <c r="T872" s="4"/>
      <c r="U872" s="4"/>
      <c r="V872" s="4"/>
      <c r="W872" s="4"/>
      <c r="X872" s="4"/>
      <c r="Y872" s="4"/>
      <c r="Z872" s="4"/>
    </row>
    <row r="873">
      <c r="A873" s="77"/>
      <c r="B873" s="17"/>
      <c r="C873" s="17"/>
      <c r="D873" s="17"/>
      <c r="E873" s="17"/>
      <c r="F873" s="17"/>
      <c r="G873" s="78"/>
      <c r="H873" s="78"/>
      <c r="I873" s="17"/>
      <c r="J873" s="17"/>
      <c r="K873" s="17"/>
      <c r="L873" s="4"/>
      <c r="M873" s="4"/>
      <c r="N873" s="4"/>
      <c r="O873" s="4"/>
      <c r="P873" s="4"/>
      <c r="Q873" s="4"/>
      <c r="R873" s="4"/>
      <c r="S873" s="4"/>
      <c r="T873" s="4"/>
      <c r="U873" s="4"/>
      <c r="V873" s="4"/>
      <c r="W873" s="4"/>
      <c r="X873" s="4"/>
      <c r="Y873" s="4"/>
      <c r="Z873" s="4"/>
    </row>
    <row r="874">
      <c r="A874" s="77"/>
      <c r="B874" s="17"/>
      <c r="C874" s="17"/>
      <c r="D874" s="17"/>
      <c r="E874" s="17"/>
      <c r="F874" s="17"/>
      <c r="G874" s="78"/>
      <c r="H874" s="78"/>
      <c r="I874" s="17"/>
      <c r="J874" s="17"/>
      <c r="K874" s="17"/>
      <c r="L874" s="4"/>
      <c r="M874" s="4"/>
      <c r="N874" s="4"/>
      <c r="O874" s="4"/>
      <c r="P874" s="4"/>
      <c r="Q874" s="4"/>
      <c r="R874" s="4"/>
      <c r="S874" s="4"/>
      <c r="T874" s="4"/>
      <c r="U874" s="4"/>
      <c r="V874" s="4"/>
      <c r="W874" s="4"/>
      <c r="X874" s="4"/>
      <c r="Y874" s="4"/>
      <c r="Z874" s="4"/>
    </row>
    <row r="875">
      <c r="A875" s="77"/>
      <c r="B875" s="17"/>
      <c r="C875" s="17"/>
      <c r="D875" s="17"/>
      <c r="E875" s="17"/>
      <c r="F875" s="17"/>
      <c r="G875" s="78"/>
      <c r="H875" s="78"/>
      <c r="I875" s="17"/>
      <c r="J875" s="17"/>
      <c r="K875" s="17"/>
      <c r="L875" s="4"/>
      <c r="M875" s="4"/>
      <c r="N875" s="4"/>
      <c r="O875" s="4"/>
      <c r="P875" s="4"/>
      <c r="Q875" s="4"/>
      <c r="R875" s="4"/>
      <c r="S875" s="4"/>
      <c r="T875" s="4"/>
      <c r="U875" s="4"/>
      <c r="V875" s="4"/>
      <c r="W875" s="4"/>
      <c r="X875" s="4"/>
      <c r="Y875" s="4"/>
      <c r="Z875" s="4"/>
    </row>
    <row r="876">
      <c r="A876" s="77"/>
      <c r="B876" s="17"/>
      <c r="C876" s="17"/>
      <c r="D876" s="17"/>
      <c r="E876" s="17"/>
      <c r="F876" s="17"/>
      <c r="G876" s="78"/>
      <c r="H876" s="78"/>
      <c r="I876" s="17"/>
      <c r="J876" s="17"/>
      <c r="K876" s="17"/>
      <c r="L876" s="4"/>
      <c r="M876" s="4"/>
      <c r="N876" s="4"/>
      <c r="O876" s="4"/>
      <c r="P876" s="4"/>
      <c r="Q876" s="4"/>
      <c r="R876" s="4"/>
      <c r="S876" s="4"/>
      <c r="T876" s="4"/>
      <c r="U876" s="4"/>
      <c r="V876" s="4"/>
      <c r="W876" s="4"/>
      <c r="X876" s="4"/>
      <c r="Y876" s="4"/>
      <c r="Z876" s="4"/>
    </row>
    <row r="877">
      <c r="A877" s="77"/>
      <c r="B877" s="17"/>
      <c r="C877" s="17"/>
      <c r="D877" s="17"/>
      <c r="E877" s="17"/>
      <c r="F877" s="17"/>
      <c r="G877" s="78"/>
      <c r="H877" s="78"/>
      <c r="I877" s="17"/>
      <c r="J877" s="17"/>
      <c r="K877" s="17"/>
      <c r="L877" s="4"/>
      <c r="M877" s="4"/>
      <c r="N877" s="4"/>
      <c r="O877" s="4"/>
      <c r="P877" s="4"/>
      <c r="Q877" s="4"/>
      <c r="R877" s="4"/>
      <c r="S877" s="4"/>
      <c r="T877" s="4"/>
      <c r="U877" s="4"/>
      <c r="V877" s="4"/>
      <c r="W877" s="4"/>
      <c r="X877" s="4"/>
      <c r="Y877" s="4"/>
      <c r="Z877" s="4"/>
    </row>
    <row r="878">
      <c r="A878" s="77"/>
      <c r="B878" s="17"/>
      <c r="C878" s="17"/>
      <c r="D878" s="17"/>
      <c r="E878" s="17"/>
      <c r="F878" s="17"/>
      <c r="G878" s="78"/>
      <c r="H878" s="78"/>
      <c r="I878" s="17"/>
      <c r="J878" s="17"/>
      <c r="K878" s="17"/>
      <c r="L878" s="4"/>
      <c r="M878" s="4"/>
      <c r="N878" s="4"/>
      <c r="O878" s="4"/>
      <c r="P878" s="4"/>
      <c r="Q878" s="4"/>
      <c r="R878" s="4"/>
      <c r="S878" s="4"/>
      <c r="T878" s="4"/>
      <c r="U878" s="4"/>
      <c r="V878" s="4"/>
      <c r="W878" s="4"/>
      <c r="X878" s="4"/>
      <c r="Y878" s="4"/>
      <c r="Z878" s="4"/>
    </row>
    <row r="879">
      <c r="A879" s="77"/>
      <c r="B879" s="17"/>
      <c r="C879" s="17"/>
      <c r="D879" s="17"/>
      <c r="E879" s="17"/>
      <c r="F879" s="17"/>
      <c r="G879" s="78"/>
      <c r="H879" s="78"/>
      <c r="I879" s="17"/>
      <c r="J879" s="17"/>
      <c r="K879" s="17"/>
      <c r="L879" s="4"/>
      <c r="M879" s="4"/>
      <c r="N879" s="4"/>
      <c r="O879" s="4"/>
      <c r="P879" s="4"/>
      <c r="Q879" s="4"/>
      <c r="R879" s="4"/>
      <c r="S879" s="4"/>
      <c r="T879" s="4"/>
      <c r="U879" s="4"/>
      <c r="V879" s="4"/>
      <c r="W879" s="4"/>
      <c r="X879" s="4"/>
      <c r="Y879" s="4"/>
      <c r="Z879" s="4"/>
    </row>
    <row r="880">
      <c r="A880" s="77"/>
      <c r="B880" s="17"/>
      <c r="C880" s="17"/>
      <c r="D880" s="17"/>
      <c r="E880" s="17"/>
      <c r="F880" s="17"/>
      <c r="G880" s="78"/>
      <c r="H880" s="78"/>
      <c r="I880" s="17"/>
      <c r="J880" s="17"/>
      <c r="K880" s="17"/>
      <c r="L880" s="4"/>
      <c r="M880" s="4"/>
      <c r="N880" s="4"/>
      <c r="O880" s="4"/>
      <c r="P880" s="4"/>
      <c r="Q880" s="4"/>
      <c r="R880" s="4"/>
      <c r="S880" s="4"/>
      <c r="T880" s="4"/>
      <c r="U880" s="4"/>
      <c r="V880" s="4"/>
      <c r="W880" s="4"/>
      <c r="X880" s="4"/>
      <c r="Y880" s="4"/>
      <c r="Z880" s="4"/>
    </row>
    <row r="881">
      <c r="A881" s="77"/>
      <c r="B881" s="17"/>
      <c r="C881" s="17"/>
      <c r="D881" s="17"/>
      <c r="E881" s="17"/>
      <c r="F881" s="17"/>
      <c r="G881" s="78"/>
      <c r="H881" s="78"/>
      <c r="I881" s="17"/>
      <c r="J881" s="17"/>
      <c r="K881" s="17"/>
      <c r="L881" s="4"/>
      <c r="M881" s="4"/>
      <c r="N881" s="4"/>
      <c r="O881" s="4"/>
      <c r="P881" s="4"/>
      <c r="Q881" s="4"/>
      <c r="R881" s="4"/>
      <c r="S881" s="4"/>
      <c r="T881" s="4"/>
      <c r="U881" s="4"/>
      <c r="V881" s="4"/>
      <c r="W881" s="4"/>
      <c r="X881" s="4"/>
      <c r="Y881" s="4"/>
      <c r="Z881" s="4"/>
    </row>
    <row r="882">
      <c r="A882" s="77"/>
      <c r="B882" s="17"/>
      <c r="C882" s="17"/>
      <c r="D882" s="17"/>
      <c r="E882" s="17"/>
      <c r="F882" s="17"/>
      <c r="G882" s="78"/>
      <c r="H882" s="78"/>
      <c r="I882" s="17"/>
      <c r="J882" s="17"/>
      <c r="K882" s="17"/>
      <c r="L882" s="4"/>
      <c r="M882" s="4"/>
      <c r="N882" s="4"/>
      <c r="O882" s="4"/>
      <c r="P882" s="4"/>
      <c r="Q882" s="4"/>
      <c r="R882" s="4"/>
      <c r="S882" s="4"/>
      <c r="T882" s="4"/>
      <c r="U882" s="4"/>
      <c r="V882" s="4"/>
      <c r="W882" s="4"/>
      <c r="X882" s="4"/>
      <c r="Y882" s="4"/>
      <c r="Z882" s="4"/>
    </row>
    <row r="883">
      <c r="A883" s="77"/>
      <c r="B883" s="17"/>
      <c r="C883" s="17"/>
      <c r="D883" s="17"/>
      <c r="E883" s="17"/>
      <c r="F883" s="17"/>
      <c r="G883" s="78"/>
      <c r="H883" s="78"/>
      <c r="I883" s="17"/>
      <c r="J883" s="17"/>
      <c r="K883" s="17"/>
      <c r="L883" s="4"/>
      <c r="M883" s="4"/>
      <c r="N883" s="4"/>
      <c r="O883" s="4"/>
      <c r="P883" s="4"/>
      <c r="Q883" s="4"/>
      <c r="R883" s="4"/>
      <c r="S883" s="4"/>
      <c r="T883" s="4"/>
      <c r="U883" s="4"/>
      <c r="V883" s="4"/>
      <c r="W883" s="4"/>
      <c r="X883" s="4"/>
      <c r="Y883" s="4"/>
      <c r="Z883" s="4"/>
    </row>
    <row r="884">
      <c r="A884" s="77"/>
      <c r="B884" s="17"/>
      <c r="C884" s="17"/>
      <c r="D884" s="17"/>
      <c r="E884" s="17"/>
      <c r="F884" s="17"/>
      <c r="G884" s="78"/>
      <c r="H884" s="78"/>
      <c r="I884" s="17"/>
      <c r="J884" s="17"/>
      <c r="K884" s="17"/>
      <c r="L884" s="4"/>
      <c r="M884" s="4"/>
      <c r="N884" s="4"/>
      <c r="O884" s="4"/>
      <c r="P884" s="4"/>
      <c r="Q884" s="4"/>
      <c r="R884" s="4"/>
      <c r="S884" s="4"/>
      <c r="T884" s="4"/>
      <c r="U884" s="4"/>
      <c r="V884" s="4"/>
      <c r="W884" s="4"/>
      <c r="X884" s="4"/>
      <c r="Y884" s="4"/>
      <c r="Z884" s="4"/>
    </row>
    <row r="885">
      <c r="A885" s="77"/>
      <c r="B885" s="17"/>
      <c r="C885" s="17"/>
      <c r="D885" s="17"/>
      <c r="E885" s="17"/>
      <c r="F885" s="17"/>
      <c r="G885" s="78"/>
      <c r="H885" s="78"/>
      <c r="I885" s="17"/>
      <c r="J885" s="17"/>
      <c r="K885" s="17"/>
      <c r="L885" s="4"/>
      <c r="M885" s="4"/>
      <c r="N885" s="4"/>
      <c r="O885" s="4"/>
      <c r="P885" s="4"/>
      <c r="Q885" s="4"/>
      <c r="R885" s="4"/>
      <c r="S885" s="4"/>
      <c r="T885" s="4"/>
      <c r="U885" s="4"/>
      <c r="V885" s="4"/>
      <c r="W885" s="4"/>
      <c r="X885" s="4"/>
      <c r="Y885" s="4"/>
      <c r="Z885" s="4"/>
    </row>
    <row r="886">
      <c r="A886" s="77"/>
      <c r="B886" s="17"/>
      <c r="C886" s="17"/>
      <c r="D886" s="17"/>
      <c r="E886" s="17"/>
      <c r="F886" s="17"/>
      <c r="G886" s="78"/>
      <c r="H886" s="78"/>
      <c r="I886" s="17"/>
      <c r="J886" s="17"/>
      <c r="K886" s="17"/>
      <c r="L886" s="4"/>
      <c r="M886" s="4"/>
      <c r="N886" s="4"/>
      <c r="O886" s="4"/>
      <c r="P886" s="4"/>
      <c r="Q886" s="4"/>
      <c r="R886" s="4"/>
      <c r="S886" s="4"/>
      <c r="T886" s="4"/>
      <c r="U886" s="4"/>
      <c r="V886" s="4"/>
      <c r="W886" s="4"/>
      <c r="X886" s="4"/>
      <c r="Y886" s="4"/>
      <c r="Z886" s="4"/>
    </row>
    <row r="887">
      <c r="A887" s="77"/>
      <c r="B887" s="17"/>
      <c r="C887" s="17"/>
      <c r="D887" s="17"/>
      <c r="E887" s="17"/>
      <c r="F887" s="17"/>
      <c r="G887" s="78"/>
      <c r="H887" s="78"/>
      <c r="I887" s="17"/>
      <c r="J887" s="17"/>
      <c r="K887" s="17"/>
      <c r="L887" s="4"/>
      <c r="M887" s="4"/>
      <c r="N887" s="4"/>
      <c r="O887" s="4"/>
      <c r="P887" s="4"/>
      <c r="Q887" s="4"/>
      <c r="R887" s="4"/>
      <c r="S887" s="4"/>
      <c r="T887" s="4"/>
      <c r="U887" s="4"/>
      <c r="V887" s="4"/>
      <c r="W887" s="4"/>
      <c r="X887" s="4"/>
      <c r="Y887" s="4"/>
      <c r="Z887" s="4"/>
    </row>
    <row r="888">
      <c r="A888" s="77"/>
      <c r="B888" s="17"/>
      <c r="C888" s="17"/>
      <c r="D888" s="17"/>
      <c r="E888" s="17"/>
      <c r="F888" s="17"/>
      <c r="G888" s="78"/>
      <c r="H888" s="78"/>
      <c r="I888" s="17"/>
      <c r="J888" s="17"/>
      <c r="K888" s="17"/>
      <c r="L888" s="4"/>
      <c r="M888" s="4"/>
      <c r="N888" s="4"/>
      <c r="O888" s="4"/>
      <c r="P888" s="4"/>
      <c r="Q888" s="4"/>
      <c r="R888" s="4"/>
      <c r="S888" s="4"/>
      <c r="T888" s="4"/>
      <c r="U888" s="4"/>
      <c r="V888" s="4"/>
      <c r="W888" s="4"/>
      <c r="X888" s="4"/>
      <c r="Y888" s="4"/>
      <c r="Z888" s="4"/>
    </row>
    <row r="889">
      <c r="A889" s="77"/>
      <c r="B889" s="17"/>
      <c r="C889" s="17"/>
      <c r="D889" s="17"/>
      <c r="E889" s="17"/>
      <c r="F889" s="17"/>
      <c r="G889" s="78"/>
      <c r="H889" s="78"/>
      <c r="I889" s="17"/>
      <c r="J889" s="17"/>
      <c r="K889" s="17"/>
      <c r="L889" s="4"/>
      <c r="M889" s="4"/>
      <c r="N889" s="4"/>
      <c r="O889" s="4"/>
      <c r="P889" s="4"/>
      <c r="Q889" s="4"/>
      <c r="R889" s="4"/>
      <c r="S889" s="4"/>
      <c r="T889" s="4"/>
      <c r="U889" s="4"/>
      <c r="V889" s="4"/>
      <c r="W889" s="4"/>
      <c r="X889" s="4"/>
      <c r="Y889" s="4"/>
      <c r="Z889" s="4"/>
    </row>
    <row r="890">
      <c r="A890" s="77"/>
      <c r="B890" s="17"/>
      <c r="C890" s="17"/>
      <c r="D890" s="17"/>
      <c r="E890" s="17"/>
      <c r="F890" s="17"/>
      <c r="G890" s="78"/>
      <c r="H890" s="78"/>
      <c r="I890" s="17"/>
      <c r="J890" s="17"/>
      <c r="K890" s="17"/>
      <c r="L890" s="4"/>
      <c r="M890" s="4"/>
      <c r="N890" s="4"/>
      <c r="O890" s="4"/>
      <c r="P890" s="4"/>
      <c r="Q890" s="4"/>
      <c r="R890" s="4"/>
      <c r="S890" s="4"/>
      <c r="T890" s="4"/>
      <c r="U890" s="4"/>
      <c r="V890" s="4"/>
      <c r="W890" s="4"/>
      <c r="X890" s="4"/>
      <c r="Y890" s="4"/>
      <c r="Z890" s="4"/>
    </row>
    <row r="891">
      <c r="A891" s="77"/>
      <c r="B891" s="17"/>
      <c r="C891" s="17"/>
      <c r="D891" s="17"/>
      <c r="E891" s="17"/>
      <c r="F891" s="17"/>
      <c r="G891" s="78"/>
      <c r="H891" s="78"/>
      <c r="I891" s="17"/>
      <c r="J891" s="17"/>
      <c r="K891" s="17"/>
      <c r="L891" s="4"/>
      <c r="M891" s="4"/>
      <c r="N891" s="4"/>
      <c r="O891" s="4"/>
      <c r="P891" s="4"/>
      <c r="Q891" s="4"/>
      <c r="R891" s="4"/>
      <c r="S891" s="4"/>
      <c r="T891" s="4"/>
      <c r="U891" s="4"/>
      <c r="V891" s="4"/>
      <c r="W891" s="4"/>
      <c r="X891" s="4"/>
      <c r="Y891" s="4"/>
      <c r="Z891" s="4"/>
    </row>
    <row r="892">
      <c r="A892" s="77"/>
      <c r="B892" s="17"/>
      <c r="C892" s="17"/>
      <c r="D892" s="17"/>
      <c r="E892" s="17"/>
      <c r="F892" s="17"/>
      <c r="G892" s="78"/>
      <c r="H892" s="78"/>
      <c r="I892" s="17"/>
      <c r="J892" s="17"/>
      <c r="K892" s="17"/>
      <c r="L892" s="4"/>
      <c r="M892" s="4"/>
      <c r="N892" s="4"/>
      <c r="O892" s="4"/>
      <c r="P892" s="4"/>
      <c r="Q892" s="4"/>
      <c r="R892" s="4"/>
      <c r="S892" s="4"/>
      <c r="T892" s="4"/>
      <c r="U892" s="4"/>
      <c r="V892" s="4"/>
      <c r="W892" s="4"/>
      <c r="X892" s="4"/>
      <c r="Y892" s="4"/>
      <c r="Z892" s="4"/>
    </row>
    <row r="893">
      <c r="A893" s="77"/>
      <c r="B893" s="17"/>
      <c r="C893" s="17"/>
      <c r="D893" s="17"/>
      <c r="E893" s="17"/>
      <c r="F893" s="17"/>
      <c r="G893" s="78"/>
      <c r="H893" s="78"/>
      <c r="I893" s="17"/>
      <c r="J893" s="17"/>
      <c r="K893" s="17"/>
      <c r="L893" s="4"/>
      <c r="M893" s="4"/>
      <c r="N893" s="4"/>
      <c r="O893" s="4"/>
      <c r="P893" s="4"/>
      <c r="Q893" s="4"/>
      <c r="R893" s="4"/>
      <c r="S893" s="4"/>
      <c r="T893" s="4"/>
      <c r="U893" s="4"/>
      <c r="V893" s="4"/>
      <c r="W893" s="4"/>
      <c r="X893" s="4"/>
      <c r="Y893" s="4"/>
      <c r="Z893" s="4"/>
    </row>
    <row r="894">
      <c r="A894" s="77"/>
      <c r="B894" s="17"/>
      <c r="C894" s="17"/>
      <c r="D894" s="17"/>
      <c r="E894" s="17"/>
      <c r="F894" s="17"/>
      <c r="G894" s="78"/>
      <c r="H894" s="78"/>
      <c r="I894" s="17"/>
      <c r="J894" s="17"/>
      <c r="K894" s="17"/>
      <c r="L894" s="4"/>
      <c r="M894" s="4"/>
      <c r="N894" s="4"/>
      <c r="O894" s="4"/>
      <c r="P894" s="4"/>
      <c r="Q894" s="4"/>
      <c r="R894" s="4"/>
      <c r="S894" s="4"/>
      <c r="T894" s="4"/>
      <c r="U894" s="4"/>
      <c r="V894" s="4"/>
      <c r="W894" s="4"/>
      <c r="X894" s="4"/>
      <c r="Y894" s="4"/>
      <c r="Z894" s="4"/>
    </row>
    <row r="895">
      <c r="A895" s="77"/>
      <c r="B895" s="17"/>
      <c r="C895" s="17"/>
      <c r="D895" s="17"/>
      <c r="E895" s="17"/>
      <c r="F895" s="17"/>
      <c r="G895" s="78"/>
      <c r="H895" s="78"/>
      <c r="I895" s="17"/>
      <c r="J895" s="17"/>
      <c r="K895" s="17"/>
      <c r="L895" s="4"/>
      <c r="M895" s="4"/>
      <c r="N895" s="4"/>
      <c r="O895" s="4"/>
      <c r="P895" s="4"/>
      <c r="Q895" s="4"/>
      <c r="R895" s="4"/>
      <c r="S895" s="4"/>
      <c r="T895" s="4"/>
      <c r="U895" s="4"/>
      <c r="V895" s="4"/>
      <c r="W895" s="4"/>
      <c r="X895" s="4"/>
      <c r="Y895" s="4"/>
      <c r="Z895" s="4"/>
    </row>
    <row r="896">
      <c r="A896" s="77"/>
      <c r="B896" s="17"/>
      <c r="C896" s="17"/>
      <c r="D896" s="17"/>
      <c r="E896" s="17"/>
      <c r="F896" s="17"/>
      <c r="G896" s="78"/>
      <c r="H896" s="78"/>
      <c r="I896" s="17"/>
      <c r="J896" s="17"/>
      <c r="K896" s="17"/>
      <c r="L896" s="4"/>
      <c r="M896" s="4"/>
      <c r="N896" s="4"/>
      <c r="O896" s="4"/>
      <c r="P896" s="4"/>
      <c r="Q896" s="4"/>
      <c r="R896" s="4"/>
      <c r="S896" s="4"/>
      <c r="T896" s="4"/>
      <c r="U896" s="4"/>
      <c r="V896" s="4"/>
      <c r="W896" s="4"/>
      <c r="X896" s="4"/>
      <c r="Y896" s="4"/>
      <c r="Z896" s="4"/>
    </row>
    <row r="897">
      <c r="A897" s="77"/>
      <c r="B897" s="17"/>
      <c r="C897" s="17"/>
      <c r="D897" s="17"/>
      <c r="E897" s="17"/>
      <c r="F897" s="17"/>
      <c r="G897" s="78"/>
      <c r="H897" s="78"/>
      <c r="I897" s="17"/>
      <c r="J897" s="17"/>
      <c r="K897" s="17"/>
      <c r="L897" s="4"/>
      <c r="M897" s="4"/>
      <c r="N897" s="4"/>
      <c r="O897" s="4"/>
      <c r="P897" s="4"/>
      <c r="Q897" s="4"/>
      <c r="R897" s="4"/>
      <c r="S897" s="4"/>
      <c r="T897" s="4"/>
      <c r="U897" s="4"/>
      <c r="V897" s="4"/>
      <c r="W897" s="4"/>
      <c r="X897" s="4"/>
      <c r="Y897" s="4"/>
      <c r="Z897" s="4"/>
    </row>
    <row r="898">
      <c r="A898" s="77"/>
      <c r="B898" s="17"/>
      <c r="C898" s="17"/>
      <c r="D898" s="17"/>
      <c r="E898" s="17"/>
      <c r="F898" s="17"/>
      <c r="G898" s="78"/>
      <c r="H898" s="78"/>
      <c r="I898" s="17"/>
      <c r="J898" s="17"/>
      <c r="K898" s="17"/>
      <c r="L898" s="4"/>
      <c r="M898" s="4"/>
      <c r="N898" s="4"/>
      <c r="O898" s="4"/>
      <c r="P898" s="4"/>
      <c r="Q898" s="4"/>
      <c r="R898" s="4"/>
      <c r="S898" s="4"/>
      <c r="T898" s="4"/>
      <c r="U898" s="4"/>
      <c r="V898" s="4"/>
      <c r="W898" s="4"/>
      <c r="X898" s="4"/>
      <c r="Y898" s="4"/>
      <c r="Z898" s="4"/>
    </row>
    <row r="899">
      <c r="A899" s="77"/>
      <c r="B899" s="17"/>
      <c r="C899" s="17"/>
      <c r="D899" s="17"/>
      <c r="E899" s="17"/>
      <c r="F899" s="17"/>
      <c r="G899" s="78"/>
      <c r="H899" s="78"/>
      <c r="I899" s="17"/>
      <c r="J899" s="17"/>
      <c r="K899" s="17"/>
      <c r="L899" s="4"/>
      <c r="M899" s="4"/>
      <c r="N899" s="4"/>
      <c r="O899" s="4"/>
      <c r="P899" s="4"/>
      <c r="Q899" s="4"/>
      <c r="R899" s="4"/>
      <c r="S899" s="4"/>
      <c r="T899" s="4"/>
      <c r="U899" s="4"/>
      <c r="V899" s="4"/>
      <c r="W899" s="4"/>
      <c r="X899" s="4"/>
      <c r="Y899" s="4"/>
      <c r="Z899" s="4"/>
    </row>
    <row r="900">
      <c r="A900" s="77"/>
      <c r="B900" s="17"/>
      <c r="C900" s="17"/>
      <c r="D900" s="17"/>
      <c r="E900" s="17"/>
      <c r="F900" s="17"/>
      <c r="G900" s="78"/>
      <c r="H900" s="78"/>
      <c r="I900" s="17"/>
      <c r="J900" s="17"/>
      <c r="K900" s="17"/>
      <c r="L900" s="4"/>
      <c r="M900" s="4"/>
      <c r="N900" s="4"/>
      <c r="O900" s="4"/>
      <c r="P900" s="4"/>
      <c r="Q900" s="4"/>
      <c r="R900" s="4"/>
      <c r="S900" s="4"/>
      <c r="T900" s="4"/>
      <c r="U900" s="4"/>
      <c r="V900" s="4"/>
      <c r="W900" s="4"/>
      <c r="X900" s="4"/>
      <c r="Y900" s="4"/>
      <c r="Z900" s="4"/>
    </row>
    <row r="901">
      <c r="A901" s="77"/>
      <c r="B901" s="17"/>
      <c r="C901" s="17"/>
      <c r="D901" s="17"/>
      <c r="E901" s="17"/>
      <c r="F901" s="17"/>
      <c r="G901" s="78"/>
      <c r="H901" s="78"/>
      <c r="I901" s="17"/>
      <c r="J901" s="17"/>
      <c r="K901" s="17"/>
      <c r="L901" s="4"/>
      <c r="M901" s="4"/>
      <c r="N901" s="4"/>
      <c r="O901" s="4"/>
      <c r="P901" s="4"/>
      <c r="Q901" s="4"/>
      <c r="R901" s="4"/>
      <c r="S901" s="4"/>
      <c r="T901" s="4"/>
      <c r="U901" s="4"/>
      <c r="V901" s="4"/>
      <c r="W901" s="4"/>
      <c r="X901" s="4"/>
      <c r="Y901" s="4"/>
      <c r="Z901" s="4"/>
    </row>
    <row r="902">
      <c r="A902" s="77"/>
      <c r="B902" s="17"/>
      <c r="C902" s="17"/>
      <c r="D902" s="17"/>
      <c r="E902" s="17"/>
      <c r="F902" s="17"/>
      <c r="G902" s="78"/>
      <c r="H902" s="78"/>
      <c r="I902" s="17"/>
      <c r="J902" s="17"/>
      <c r="K902" s="17"/>
      <c r="L902" s="4"/>
      <c r="M902" s="4"/>
      <c r="N902" s="4"/>
      <c r="O902" s="4"/>
      <c r="P902" s="4"/>
      <c r="Q902" s="4"/>
      <c r="R902" s="4"/>
      <c r="S902" s="4"/>
      <c r="T902" s="4"/>
      <c r="U902" s="4"/>
      <c r="V902" s="4"/>
      <c r="W902" s="4"/>
      <c r="X902" s="4"/>
      <c r="Y902" s="4"/>
      <c r="Z902" s="4"/>
    </row>
    <row r="903">
      <c r="A903" s="77"/>
      <c r="B903" s="17"/>
      <c r="C903" s="17"/>
      <c r="D903" s="17"/>
      <c r="E903" s="17"/>
      <c r="F903" s="17"/>
      <c r="G903" s="78"/>
      <c r="H903" s="78"/>
      <c r="I903" s="17"/>
      <c r="J903" s="17"/>
      <c r="K903" s="17"/>
      <c r="L903" s="4"/>
      <c r="M903" s="4"/>
      <c r="N903" s="4"/>
      <c r="O903" s="4"/>
      <c r="P903" s="4"/>
      <c r="Q903" s="4"/>
      <c r="R903" s="4"/>
      <c r="S903" s="4"/>
      <c r="T903" s="4"/>
      <c r="U903" s="4"/>
      <c r="V903" s="4"/>
      <c r="W903" s="4"/>
      <c r="X903" s="4"/>
      <c r="Y903" s="4"/>
      <c r="Z903" s="4"/>
    </row>
    <row r="904">
      <c r="A904" s="77"/>
      <c r="B904" s="17"/>
      <c r="C904" s="17"/>
      <c r="D904" s="17"/>
      <c r="E904" s="17"/>
      <c r="F904" s="17"/>
      <c r="G904" s="78"/>
      <c r="H904" s="78"/>
      <c r="I904" s="17"/>
      <c r="J904" s="17"/>
      <c r="K904" s="17"/>
      <c r="L904" s="4"/>
      <c r="M904" s="4"/>
      <c r="N904" s="4"/>
      <c r="O904" s="4"/>
      <c r="P904" s="4"/>
      <c r="Q904" s="4"/>
      <c r="R904" s="4"/>
      <c r="S904" s="4"/>
      <c r="T904" s="4"/>
      <c r="U904" s="4"/>
      <c r="V904" s="4"/>
      <c r="W904" s="4"/>
      <c r="X904" s="4"/>
      <c r="Y904" s="4"/>
      <c r="Z904" s="4"/>
    </row>
    <row r="905">
      <c r="A905" s="77"/>
      <c r="B905" s="17"/>
      <c r="C905" s="17"/>
      <c r="D905" s="17"/>
      <c r="E905" s="17"/>
      <c r="F905" s="17"/>
      <c r="G905" s="78"/>
      <c r="H905" s="78"/>
      <c r="I905" s="17"/>
      <c r="J905" s="17"/>
      <c r="K905" s="17"/>
      <c r="L905" s="4"/>
      <c r="M905" s="4"/>
      <c r="N905" s="4"/>
      <c r="O905" s="4"/>
      <c r="P905" s="4"/>
      <c r="Q905" s="4"/>
      <c r="R905" s="4"/>
      <c r="S905" s="4"/>
      <c r="T905" s="4"/>
      <c r="U905" s="4"/>
      <c r="V905" s="4"/>
      <c r="W905" s="4"/>
      <c r="X905" s="4"/>
      <c r="Y905" s="4"/>
      <c r="Z905" s="4"/>
    </row>
    <row r="906">
      <c r="A906" s="77"/>
      <c r="B906" s="17"/>
      <c r="C906" s="17"/>
      <c r="D906" s="17"/>
      <c r="E906" s="17"/>
      <c r="F906" s="17"/>
      <c r="G906" s="78"/>
      <c r="H906" s="78"/>
      <c r="I906" s="17"/>
      <c r="J906" s="17"/>
      <c r="K906" s="17"/>
      <c r="L906" s="4"/>
      <c r="M906" s="4"/>
      <c r="N906" s="4"/>
      <c r="O906" s="4"/>
      <c r="P906" s="4"/>
      <c r="Q906" s="4"/>
      <c r="R906" s="4"/>
      <c r="S906" s="4"/>
      <c r="T906" s="4"/>
      <c r="U906" s="4"/>
      <c r="V906" s="4"/>
      <c r="W906" s="4"/>
      <c r="X906" s="4"/>
      <c r="Y906" s="4"/>
      <c r="Z906" s="4"/>
    </row>
    <row r="907">
      <c r="A907" s="77"/>
      <c r="B907" s="17"/>
      <c r="C907" s="17"/>
      <c r="D907" s="17"/>
      <c r="E907" s="17"/>
      <c r="F907" s="17"/>
      <c r="G907" s="78"/>
      <c r="H907" s="78"/>
      <c r="I907" s="17"/>
      <c r="J907" s="17"/>
      <c r="K907" s="17"/>
      <c r="L907" s="4"/>
      <c r="M907" s="4"/>
      <c r="N907" s="4"/>
      <c r="O907" s="4"/>
      <c r="P907" s="4"/>
      <c r="Q907" s="4"/>
      <c r="R907" s="4"/>
      <c r="S907" s="4"/>
      <c r="T907" s="4"/>
      <c r="U907" s="4"/>
      <c r="V907" s="4"/>
      <c r="W907" s="4"/>
      <c r="X907" s="4"/>
      <c r="Y907" s="4"/>
      <c r="Z907" s="4"/>
    </row>
    <row r="908">
      <c r="A908" s="77"/>
      <c r="B908" s="17"/>
      <c r="C908" s="17"/>
      <c r="D908" s="17"/>
      <c r="E908" s="17"/>
      <c r="F908" s="17"/>
      <c r="G908" s="78"/>
      <c r="H908" s="78"/>
      <c r="I908" s="17"/>
      <c r="J908" s="17"/>
      <c r="K908" s="17"/>
      <c r="L908" s="4"/>
      <c r="M908" s="4"/>
      <c r="N908" s="4"/>
      <c r="O908" s="4"/>
      <c r="P908" s="4"/>
      <c r="Q908" s="4"/>
      <c r="R908" s="4"/>
      <c r="S908" s="4"/>
      <c r="T908" s="4"/>
      <c r="U908" s="4"/>
      <c r="V908" s="4"/>
      <c r="W908" s="4"/>
      <c r="X908" s="4"/>
      <c r="Y908" s="4"/>
      <c r="Z908" s="4"/>
    </row>
    <row r="909">
      <c r="A909" s="77"/>
      <c r="B909" s="17"/>
      <c r="C909" s="17"/>
      <c r="D909" s="17"/>
      <c r="E909" s="17"/>
      <c r="F909" s="17"/>
      <c r="G909" s="78"/>
      <c r="H909" s="78"/>
      <c r="I909" s="17"/>
      <c r="J909" s="17"/>
      <c r="K909" s="17"/>
      <c r="L909" s="4"/>
      <c r="M909" s="4"/>
      <c r="N909" s="4"/>
      <c r="O909" s="4"/>
      <c r="P909" s="4"/>
      <c r="Q909" s="4"/>
      <c r="R909" s="4"/>
      <c r="S909" s="4"/>
      <c r="T909" s="4"/>
      <c r="U909" s="4"/>
      <c r="V909" s="4"/>
      <c r="W909" s="4"/>
      <c r="X909" s="4"/>
      <c r="Y909" s="4"/>
      <c r="Z909" s="4"/>
    </row>
    <row r="910">
      <c r="A910" s="77"/>
      <c r="B910" s="17"/>
      <c r="C910" s="17"/>
      <c r="D910" s="17"/>
      <c r="E910" s="17"/>
      <c r="F910" s="17"/>
      <c r="G910" s="78"/>
      <c r="H910" s="78"/>
      <c r="I910" s="17"/>
      <c r="J910" s="17"/>
      <c r="K910" s="17"/>
      <c r="L910" s="4"/>
      <c r="M910" s="4"/>
      <c r="N910" s="4"/>
      <c r="O910" s="4"/>
      <c r="P910" s="4"/>
      <c r="Q910" s="4"/>
      <c r="R910" s="4"/>
      <c r="S910" s="4"/>
      <c r="T910" s="4"/>
      <c r="U910" s="4"/>
      <c r="V910" s="4"/>
      <c r="W910" s="4"/>
      <c r="X910" s="4"/>
      <c r="Y910" s="4"/>
      <c r="Z910" s="4"/>
    </row>
    <row r="911">
      <c r="A911" s="77"/>
      <c r="B911" s="17"/>
      <c r="C911" s="17"/>
      <c r="D911" s="17"/>
      <c r="E911" s="17"/>
      <c r="F911" s="17"/>
      <c r="G911" s="78"/>
      <c r="H911" s="78"/>
      <c r="I911" s="17"/>
      <c r="J911" s="17"/>
      <c r="K911" s="17"/>
      <c r="L911" s="4"/>
      <c r="M911" s="4"/>
      <c r="N911" s="4"/>
      <c r="O911" s="4"/>
      <c r="P911" s="4"/>
      <c r="Q911" s="4"/>
      <c r="R911" s="4"/>
      <c r="S911" s="4"/>
      <c r="T911" s="4"/>
      <c r="U911" s="4"/>
      <c r="V911" s="4"/>
      <c r="W911" s="4"/>
      <c r="X911" s="4"/>
      <c r="Y911" s="4"/>
      <c r="Z911" s="4"/>
    </row>
    <row r="912">
      <c r="A912" s="77"/>
      <c r="B912" s="17"/>
      <c r="C912" s="17"/>
      <c r="D912" s="17"/>
      <c r="E912" s="17"/>
      <c r="F912" s="17"/>
      <c r="G912" s="78"/>
      <c r="H912" s="78"/>
      <c r="I912" s="17"/>
      <c r="J912" s="17"/>
      <c r="K912" s="17"/>
      <c r="L912" s="4"/>
      <c r="M912" s="4"/>
      <c r="N912" s="4"/>
      <c r="O912" s="4"/>
      <c r="P912" s="4"/>
      <c r="Q912" s="4"/>
      <c r="R912" s="4"/>
      <c r="S912" s="4"/>
      <c r="T912" s="4"/>
      <c r="U912" s="4"/>
      <c r="V912" s="4"/>
      <c r="W912" s="4"/>
      <c r="X912" s="4"/>
      <c r="Y912" s="4"/>
      <c r="Z912" s="4"/>
    </row>
    <row r="913">
      <c r="A913" s="77"/>
      <c r="B913" s="17"/>
      <c r="C913" s="17"/>
      <c r="D913" s="17"/>
      <c r="E913" s="17"/>
      <c r="F913" s="17"/>
      <c r="G913" s="78"/>
      <c r="H913" s="78"/>
      <c r="I913" s="17"/>
      <c r="J913" s="17"/>
      <c r="K913" s="17"/>
      <c r="L913" s="4"/>
      <c r="M913" s="4"/>
      <c r="N913" s="4"/>
      <c r="O913" s="4"/>
      <c r="P913" s="4"/>
      <c r="Q913" s="4"/>
      <c r="R913" s="4"/>
      <c r="S913" s="4"/>
      <c r="T913" s="4"/>
      <c r="U913" s="4"/>
      <c r="V913" s="4"/>
      <c r="W913" s="4"/>
      <c r="X913" s="4"/>
      <c r="Y913" s="4"/>
      <c r="Z913" s="4"/>
    </row>
    <row r="914">
      <c r="A914" s="77"/>
      <c r="B914" s="17"/>
      <c r="C914" s="17"/>
      <c r="D914" s="17"/>
      <c r="E914" s="17"/>
      <c r="F914" s="17"/>
      <c r="G914" s="78"/>
      <c r="H914" s="78"/>
      <c r="I914" s="17"/>
      <c r="J914" s="17"/>
      <c r="K914" s="17"/>
      <c r="L914" s="4"/>
      <c r="M914" s="4"/>
      <c r="N914" s="4"/>
      <c r="O914" s="4"/>
      <c r="P914" s="4"/>
      <c r="Q914" s="4"/>
      <c r="R914" s="4"/>
      <c r="S914" s="4"/>
      <c r="T914" s="4"/>
      <c r="U914" s="4"/>
      <c r="V914" s="4"/>
      <c r="W914" s="4"/>
      <c r="X914" s="4"/>
      <c r="Y914" s="4"/>
      <c r="Z914" s="4"/>
    </row>
    <row r="915">
      <c r="A915" s="77"/>
      <c r="B915" s="17"/>
      <c r="C915" s="17"/>
      <c r="D915" s="17"/>
      <c r="E915" s="17"/>
      <c r="F915" s="17"/>
      <c r="G915" s="78"/>
      <c r="H915" s="78"/>
      <c r="I915" s="17"/>
      <c r="J915" s="17"/>
      <c r="K915" s="17"/>
      <c r="L915" s="4"/>
      <c r="M915" s="4"/>
      <c r="N915" s="4"/>
      <c r="O915" s="4"/>
      <c r="P915" s="4"/>
      <c r="Q915" s="4"/>
      <c r="R915" s="4"/>
      <c r="S915" s="4"/>
      <c r="T915" s="4"/>
      <c r="U915" s="4"/>
      <c r="V915" s="4"/>
      <c r="W915" s="4"/>
      <c r="X915" s="4"/>
      <c r="Y915" s="4"/>
      <c r="Z915" s="4"/>
    </row>
    <row r="916">
      <c r="A916" s="77"/>
      <c r="B916" s="17"/>
      <c r="C916" s="17"/>
      <c r="D916" s="17"/>
      <c r="E916" s="17"/>
      <c r="F916" s="17"/>
      <c r="G916" s="78"/>
      <c r="H916" s="78"/>
      <c r="I916" s="17"/>
      <c r="J916" s="17"/>
      <c r="K916" s="17"/>
      <c r="L916" s="4"/>
      <c r="M916" s="4"/>
      <c r="N916" s="4"/>
      <c r="O916" s="4"/>
      <c r="P916" s="4"/>
      <c r="Q916" s="4"/>
      <c r="R916" s="4"/>
      <c r="S916" s="4"/>
      <c r="T916" s="4"/>
      <c r="U916" s="4"/>
      <c r="V916" s="4"/>
      <c r="W916" s="4"/>
      <c r="X916" s="4"/>
      <c r="Y916" s="4"/>
      <c r="Z916" s="4"/>
    </row>
    <row r="917">
      <c r="A917" s="77"/>
      <c r="B917" s="17"/>
      <c r="C917" s="17"/>
      <c r="D917" s="17"/>
      <c r="E917" s="17"/>
      <c r="F917" s="17"/>
      <c r="G917" s="78"/>
      <c r="H917" s="78"/>
      <c r="I917" s="17"/>
      <c r="J917" s="17"/>
      <c r="K917" s="17"/>
      <c r="L917" s="4"/>
      <c r="M917" s="4"/>
      <c r="N917" s="4"/>
      <c r="O917" s="4"/>
      <c r="P917" s="4"/>
      <c r="Q917" s="4"/>
      <c r="R917" s="4"/>
      <c r="S917" s="4"/>
      <c r="T917" s="4"/>
      <c r="U917" s="4"/>
      <c r="V917" s="4"/>
      <c r="W917" s="4"/>
      <c r="X917" s="4"/>
      <c r="Y917" s="4"/>
      <c r="Z917" s="4"/>
    </row>
    <row r="918">
      <c r="A918" s="77"/>
      <c r="B918" s="17"/>
      <c r="C918" s="17"/>
      <c r="D918" s="17"/>
      <c r="E918" s="17"/>
      <c r="F918" s="17"/>
      <c r="G918" s="78"/>
      <c r="H918" s="78"/>
      <c r="I918" s="17"/>
      <c r="J918" s="17"/>
      <c r="K918" s="17"/>
      <c r="L918" s="4"/>
      <c r="M918" s="4"/>
      <c r="N918" s="4"/>
      <c r="O918" s="4"/>
      <c r="P918" s="4"/>
      <c r="Q918" s="4"/>
      <c r="R918" s="4"/>
      <c r="S918" s="4"/>
      <c r="T918" s="4"/>
      <c r="U918" s="4"/>
      <c r="V918" s="4"/>
      <c r="W918" s="4"/>
      <c r="X918" s="4"/>
      <c r="Y918" s="4"/>
      <c r="Z918" s="4"/>
    </row>
    <row r="919">
      <c r="A919" s="77"/>
      <c r="B919" s="17"/>
      <c r="C919" s="17"/>
      <c r="D919" s="17"/>
      <c r="E919" s="17"/>
      <c r="F919" s="17"/>
      <c r="G919" s="78"/>
      <c r="H919" s="78"/>
      <c r="I919" s="17"/>
      <c r="J919" s="17"/>
      <c r="K919" s="17"/>
      <c r="L919" s="4"/>
      <c r="M919" s="4"/>
      <c r="N919" s="4"/>
      <c r="O919" s="4"/>
      <c r="P919" s="4"/>
      <c r="Q919" s="4"/>
      <c r="R919" s="4"/>
      <c r="S919" s="4"/>
      <c r="T919" s="4"/>
      <c r="U919" s="4"/>
      <c r="V919" s="4"/>
      <c r="W919" s="4"/>
      <c r="X919" s="4"/>
      <c r="Y919" s="4"/>
      <c r="Z919" s="4"/>
    </row>
    <row r="920">
      <c r="A920" s="77"/>
      <c r="B920" s="17"/>
      <c r="C920" s="17"/>
      <c r="D920" s="17"/>
      <c r="E920" s="17"/>
      <c r="F920" s="17"/>
      <c r="G920" s="78"/>
      <c r="H920" s="78"/>
      <c r="I920" s="17"/>
      <c r="J920" s="17"/>
      <c r="K920" s="17"/>
      <c r="L920" s="4"/>
      <c r="M920" s="4"/>
      <c r="N920" s="4"/>
      <c r="O920" s="4"/>
      <c r="P920" s="4"/>
      <c r="Q920" s="4"/>
      <c r="R920" s="4"/>
      <c r="S920" s="4"/>
      <c r="T920" s="4"/>
      <c r="U920" s="4"/>
      <c r="V920" s="4"/>
      <c r="W920" s="4"/>
      <c r="X920" s="4"/>
      <c r="Y920" s="4"/>
      <c r="Z920" s="4"/>
    </row>
    <row r="921">
      <c r="A921" s="77"/>
      <c r="B921" s="17"/>
      <c r="C921" s="17"/>
      <c r="D921" s="17"/>
      <c r="E921" s="17"/>
      <c r="F921" s="17"/>
      <c r="G921" s="78"/>
      <c r="H921" s="78"/>
      <c r="I921" s="17"/>
      <c r="J921" s="17"/>
      <c r="K921" s="17"/>
      <c r="L921" s="4"/>
      <c r="M921" s="4"/>
      <c r="N921" s="4"/>
      <c r="O921" s="4"/>
      <c r="P921" s="4"/>
      <c r="Q921" s="4"/>
      <c r="R921" s="4"/>
      <c r="S921" s="4"/>
      <c r="T921" s="4"/>
      <c r="U921" s="4"/>
      <c r="V921" s="4"/>
      <c r="W921" s="4"/>
      <c r="X921" s="4"/>
      <c r="Y921" s="4"/>
      <c r="Z921" s="4"/>
    </row>
    <row r="922">
      <c r="A922" s="77"/>
      <c r="B922" s="17"/>
      <c r="C922" s="17"/>
      <c r="D922" s="17"/>
      <c r="E922" s="17"/>
      <c r="F922" s="17"/>
      <c r="G922" s="78"/>
      <c r="H922" s="78"/>
      <c r="I922" s="17"/>
      <c r="J922" s="17"/>
      <c r="K922" s="17"/>
      <c r="L922" s="4"/>
      <c r="M922" s="4"/>
      <c r="N922" s="4"/>
      <c r="O922" s="4"/>
      <c r="P922" s="4"/>
      <c r="Q922" s="4"/>
      <c r="R922" s="4"/>
      <c r="S922" s="4"/>
      <c r="T922" s="4"/>
      <c r="U922" s="4"/>
      <c r="V922" s="4"/>
      <c r="W922" s="4"/>
      <c r="X922" s="4"/>
      <c r="Y922" s="4"/>
      <c r="Z922" s="4"/>
    </row>
    <row r="923">
      <c r="A923" s="77"/>
      <c r="B923" s="17"/>
      <c r="C923" s="17"/>
      <c r="D923" s="17"/>
      <c r="E923" s="17"/>
      <c r="F923" s="17"/>
      <c r="G923" s="78"/>
      <c r="H923" s="78"/>
      <c r="I923" s="17"/>
      <c r="J923" s="17"/>
      <c r="K923" s="17"/>
      <c r="L923" s="4"/>
      <c r="M923" s="4"/>
      <c r="N923" s="4"/>
      <c r="O923" s="4"/>
      <c r="P923" s="4"/>
      <c r="Q923" s="4"/>
      <c r="R923" s="4"/>
      <c r="S923" s="4"/>
      <c r="T923" s="4"/>
      <c r="U923" s="4"/>
      <c r="V923" s="4"/>
      <c r="W923" s="4"/>
      <c r="X923" s="4"/>
      <c r="Y923" s="4"/>
      <c r="Z923" s="4"/>
    </row>
    <row r="924">
      <c r="A924" s="77"/>
      <c r="B924" s="17"/>
      <c r="C924" s="17"/>
      <c r="D924" s="17"/>
      <c r="E924" s="17"/>
      <c r="F924" s="17"/>
      <c r="G924" s="78"/>
      <c r="H924" s="78"/>
      <c r="I924" s="17"/>
      <c r="J924" s="17"/>
      <c r="K924" s="17"/>
      <c r="L924" s="4"/>
      <c r="M924" s="4"/>
      <c r="N924" s="4"/>
      <c r="O924" s="4"/>
      <c r="P924" s="4"/>
      <c r="Q924" s="4"/>
      <c r="R924" s="4"/>
      <c r="S924" s="4"/>
      <c r="T924" s="4"/>
      <c r="U924" s="4"/>
      <c r="V924" s="4"/>
      <c r="W924" s="4"/>
      <c r="X924" s="4"/>
      <c r="Y924" s="4"/>
      <c r="Z924" s="4"/>
    </row>
    <row r="925">
      <c r="A925" s="77"/>
      <c r="B925" s="17"/>
      <c r="C925" s="17"/>
      <c r="D925" s="17"/>
      <c r="E925" s="17"/>
      <c r="F925" s="17"/>
      <c r="G925" s="78"/>
      <c r="H925" s="78"/>
      <c r="I925" s="17"/>
      <c r="J925" s="17"/>
      <c r="K925" s="17"/>
      <c r="L925" s="4"/>
      <c r="M925" s="4"/>
      <c r="N925" s="4"/>
      <c r="O925" s="4"/>
      <c r="P925" s="4"/>
      <c r="Q925" s="4"/>
      <c r="R925" s="4"/>
      <c r="S925" s="4"/>
      <c r="T925" s="4"/>
      <c r="U925" s="4"/>
      <c r="V925" s="4"/>
      <c r="W925" s="4"/>
      <c r="X925" s="4"/>
      <c r="Y925" s="4"/>
      <c r="Z925" s="4"/>
    </row>
    <row r="926">
      <c r="A926" s="77"/>
      <c r="B926" s="17"/>
      <c r="C926" s="17"/>
      <c r="D926" s="17"/>
      <c r="E926" s="17"/>
      <c r="F926" s="17"/>
      <c r="G926" s="78"/>
      <c r="H926" s="78"/>
      <c r="I926" s="17"/>
      <c r="J926" s="17"/>
      <c r="K926" s="17"/>
      <c r="L926" s="4"/>
      <c r="M926" s="4"/>
      <c r="N926" s="4"/>
      <c r="O926" s="4"/>
      <c r="P926" s="4"/>
      <c r="Q926" s="4"/>
      <c r="R926" s="4"/>
      <c r="S926" s="4"/>
      <c r="T926" s="4"/>
      <c r="U926" s="4"/>
      <c r="V926" s="4"/>
      <c r="W926" s="4"/>
      <c r="X926" s="4"/>
      <c r="Y926" s="4"/>
      <c r="Z926" s="4"/>
    </row>
    <row r="927">
      <c r="A927" s="77"/>
      <c r="B927" s="17"/>
      <c r="C927" s="17"/>
      <c r="D927" s="17"/>
      <c r="E927" s="17"/>
      <c r="F927" s="17"/>
      <c r="G927" s="78"/>
      <c r="H927" s="78"/>
      <c r="I927" s="17"/>
      <c r="J927" s="17"/>
      <c r="K927" s="17"/>
      <c r="L927" s="4"/>
      <c r="M927" s="4"/>
      <c r="N927" s="4"/>
      <c r="O927" s="4"/>
      <c r="P927" s="4"/>
      <c r="Q927" s="4"/>
      <c r="R927" s="4"/>
      <c r="S927" s="4"/>
      <c r="T927" s="4"/>
      <c r="U927" s="4"/>
      <c r="V927" s="4"/>
      <c r="W927" s="4"/>
      <c r="X927" s="4"/>
      <c r="Y927" s="4"/>
      <c r="Z927" s="4"/>
    </row>
    <row r="928">
      <c r="A928" s="77"/>
      <c r="B928" s="17"/>
      <c r="C928" s="17"/>
      <c r="D928" s="17"/>
      <c r="E928" s="17"/>
      <c r="F928" s="17"/>
      <c r="G928" s="78"/>
      <c r="H928" s="78"/>
      <c r="I928" s="17"/>
      <c r="J928" s="17"/>
      <c r="K928" s="17"/>
      <c r="L928" s="4"/>
      <c r="M928" s="4"/>
      <c r="N928" s="4"/>
      <c r="O928" s="4"/>
      <c r="P928" s="4"/>
      <c r="Q928" s="4"/>
      <c r="R928" s="4"/>
      <c r="S928" s="4"/>
      <c r="T928" s="4"/>
      <c r="U928" s="4"/>
      <c r="V928" s="4"/>
      <c r="W928" s="4"/>
      <c r="X928" s="4"/>
      <c r="Y928" s="4"/>
      <c r="Z928" s="4"/>
    </row>
    <row r="929">
      <c r="A929" s="77"/>
      <c r="B929" s="17"/>
      <c r="C929" s="17"/>
      <c r="D929" s="17"/>
      <c r="E929" s="17"/>
      <c r="F929" s="17"/>
      <c r="G929" s="78"/>
      <c r="H929" s="78"/>
      <c r="I929" s="17"/>
      <c r="J929" s="17"/>
      <c r="K929" s="17"/>
      <c r="L929" s="4"/>
      <c r="M929" s="4"/>
      <c r="N929" s="4"/>
      <c r="O929" s="4"/>
      <c r="P929" s="4"/>
      <c r="Q929" s="4"/>
      <c r="R929" s="4"/>
      <c r="S929" s="4"/>
      <c r="T929" s="4"/>
      <c r="U929" s="4"/>
      <c r="V929" s="4"/>
      <c r="W929" s="4"/>
      <c r="X929" s="4"/>
      <c r="Y929" s="4"/>
      <c r="Z929" s="4"/>
    </row>
    <row r="930">
      <c r="A930" s="77"/>
      <c r="B930" s="17"/>
      <c r="C930" s="17"/>
      <c r="D930" s="17"/>
      <c r="E930" s="17"/>
      <c r="F930" s="17"/>
      <c r="G930" s="78"/>
      <c r="H930" s="78"/>
      <c r="I930" s="17"/>
      <c r="J930" s="17"/>
      <c r="K930" s="17"/>
      <c r="L930" s="4"/>
      <c r="M930" s="4"/>
      <c r="N930" s="4"/>
      <c r="O930" s="4"/>
      <c r="P930" s="4"/>
      <c r="Q930" s="4"/>
      <c r="R930" s="4"/>
      <c r="S930" s="4"/>
      <c r="T930" s="4"/>
      <c r="U930" s="4"/>
      <c r="V930" s="4"/>
      <c r="W930" s="4"/>
      <c r="X930" s="4"/>
      <c r="Y930" s="4"/>
      <c r="Z930" s="4"/>
    </row>
    <row r="931">
      <c r="A931" s="77"/>
      <c r="B931" s="17"/>
      <c r="C931" s="17"/>
      <c r="D931" s="17"/>
      <c r="E931" s="17"/>
      <c r="F931" s="17"/>
      <c r="G931" s="78"/>
      <c r="H931" s="78"/>
      <c r="I931" s="17"/>
      <c r="J931" s="17"/>
      <c r="K931" s="17"/>
      <c r="L931" s="4"/>
      <c r="M931" s="4"/>
      <c r="N931" s="4"/>
      <c r="O931" s="4"/>
      <c r="P931" s="4"/>
      <c r="Q931" s="4"/>
      <c r="R931" s="4"/>
      <c r="S931" s="4"/>
      <c r="T931" s="4"/>
      <c r="U931" s="4"/>
      <c r="V931" s="4"/>
      <c r="W931" s="4"/>
      <c r="X931" s="4"/>
      <c r="Y931" s="4"/>
      <c r="Z931" s="4"/>
    </row>
    <row r="932">
      <c r="A932" s="77"/>
      <c r="B932" s="17"/>
      <c r="C932" s="17"/>
      <c r="D932" s="17"/>
      <c r="E932" s="17"/>
      <c r="F932" s="17"/>
      <c r="G932" s="78"/>
      <c r="H932" s="78"/>
      <c r="I932" s="17"/>
      <c r="J932" s="17"/>
      <c r="K932" s="17"/>
      <c r="L932" s="4"/>
      <c r="M932" s="4"/>
      <c r="N932" s="4"/>
      <c r="O932" s="4"/>
      <c r="P932" s="4"/>
      <c r="Q932" s="4"/>
      <c r="R932" s="4"/>
      <c r="S932" s="4"/>
      <c r="T932" s="4"/>
      <c r="U932" s="4"/>
      <c r="V932" s="4"/>
      <c r="W932" s="4"/>
      <c r="X932" s="4"/>
      <c r="Y932" s="4"/>
      <c r="Z932" s="4"/>
    </row>
    <row r="933">
      <c r="A933" s="77"/>
      <c r="B933" s="17"/>
      <c r="C933" s="17"/>
      <c r="D933" s="17"/>
      <c r="E933" s="17"/>
      <c r="F933" s="17"/>
      <c r="G933" s="78"/>
      <c r="H933" s="78"/>
      <c r="I933" s="17"/>
      <c r="J933" s="17"/>
      <c r="K933" s="17"/>
      <c r="L933" s="4"/>
      <c r="M933" s="4"/>
      <c r="N933" s="4"/>
      <c r="O933" s="4"/>
      <c r="P933" s="4"/>
      <c r="Q933" s="4"/>
      <c r="R933" s="4"/>
      <c r="S933" s="4"/>
      <c r="T933" s="4"/>
      <c r="U933" s="4"/>
      <c r="V933" s="4"/>
      <c r="W933" s="4"/>
      <c r="X933" s="4"/>
      <c r="Y933" s="4"/>
      <c r="Z933" s="4"/>
    </row>
    <row r="934">
      <c r="A934" s="77"/>
      <c r="B934" s="17"/>
      <c r="C934" s="17"/>
      <c r="D934" s="17"/>
      <c r="E934" s="17"/>
      <c r="F934" s="17"/>
      <c r="G934" s="78"/>
      <c r="H934" s="78"/>
      <c r="I934" s="17"/>
      <c r="J934" s="17"/>
      <c r="K934" s="17"/>
      <c r="L934" s="4"/>
      <c r="M934" s="4"/>
      <c r="N934" s="4"/>
      <c r="O934" s="4"/>
      <c r="P934" s="4"/>
      <c r="Q934" s="4"/>
      <c r="R934" s="4"/>
      <c r="S934" s="4"/>
      <c r="T934" s="4"/>
      <c r="U934" s="4"/>
      <c r="V934" s="4"/>
      <c r="W934" s="4"/>
      <c r="X934" s="4"/>
      <c r="Y934" s="4"/>
      <c r="Z934" s="4"/>
    </row>
    <row r="935">
      <c r="A935" s="77"/>
      <c r="B935" s="17"/>
      <c r="C935" s="17"/>
      <c r="D935" s="17"/>
      <c r="E935" s="17"/>
      <c r="F935" s="17"/>
      <c r="G935" s="78"/>
      <c r="H935" s="78"/>
      <c r="I935" s="17"/>
      <c r="J935" s="17"/>
      <c r="K935" s="17"/>
      <c r="L935" s="4"/>
      <c r="M935" s="4"/>
      <c r="N935" s="4"/>
      <c r="O935" s="4"/>
      <c r="P935" s="4"/>
      <c r="Q935" s="4"/>
      <c r="R935" s="4"/>
      <c r="S935" s="4"/>
      <c r="T935" s="4"/>
      <c r="U935" s="4"/>
      <c r="V935" s="4"/>
      <c r="W935" s="4"/>
      <c r="X935" s="4"/>
      <c r="Y935" s="4"/>
      <c r="Z935" s="4"/>
    </row>
    <row r="936">
      <c r="A936" s="77"/>
      <c r="B936" s="17"/>
      <c r="C936" s="17"/>
      <c r="D936" s="17"/>
      <c r="E936" s="17"/>
      <c r="F936" s="17"/>
      <c r="G936" s="78"/>
      <c r="H936" s="78"/>
      <c r="I936" s="17"/>
      <c r="J936" s="17"/>
      <c r="K936" s="17"/>
      <c r="L936" s="4"/>
      <c r="M936" s="4"/>
      <c r="N936" s="4"/>
      <c r="O936" s="4"/>
      <c r="P936" s="4"/>
      <c r="Q936" s="4"/>
      <c r="R936" s="4"/>
      <c r="S936" s="4"/>
      <c r="T936" s="4"/>
      <c r="U936" s="4"/>
      <c r="V936" s="4"/>
      <c r="W936" s="4"/>
      <c r="X936" s="4"/>
      <c r="Y936" s="4"/>
      <c r="Z936" s="4"/>
    </row>
    <row r="937">
      <c r="A937" s="77"/>
      <c r="B937" s="17"/>
      <c r="C937" s="17"/>
      <c r="D937" s="17"/>
      <c r="E937" s="17"/>
      <c r="F937" s="17"/>
      <c r="G937" s="78"/>
      <c r="H937" s="78"/>
      <c r="I937" s="17"/>
      <c r="J937" s="17"/>
      <c r="K937" s="17"/>
      <c r="L937" s="4"/>
      <c r="M937" s="4"/>
      <c r="N937" s="4"/>
      <c r="O937" s="4"/>
      <c r="P937" s="4"/>
      <c r="Q937" s="4"/>
      <c r="R937" s="4"/>
      <c r="S937" s="4"/>
      <c r="T937" s="4"/>
      <c r="U937" s="4"/>
      <c r="V937" s="4"/>
      <c r="W937" s="4"/>
      <c r="X937" s="4"/>
      <c r="Y937" s="4"/>
      <c r="Z937" s="4"/>
    </row>
    <row r="938">
      <c r="A938" s="77"/>
      <c r="B938" s="17"/>
      <c r="C938" s="17"/>
      <c r="D938" s="17"/>
      <c r="E938" s="17"/>
      <c r="F938" s="17"/>
      <c r="G938" s="78"/>
      <c r="H938" s="78"/>
      <c r="I938" s="17"/>
      <c r="J938" s="17"/>
      <c r="K938" s="17"/>
      <c r="L938" s="4"/>
      <c r="M938" s="4"/>
      <c r="N938" s="4"/>
      <c r="O938" s="4"/>
      <c r="P938" s="4"/>
      <c r="Q938" s="4"/>
      <c r="R938" s="4"/>
      <c r="S938" s="4"/>
      <c r="T938" s="4"/>
      <c r="U938" s="4"/>
      <c r="V938" s="4"/>
      <c r="W938" s="4"/>
      <c r="X938" s="4"/>
      <c r="Y938" s="4"/>
      <c r="Z938" s="4"/>
    </row>
    <row r="939">
      <c r="A939" s="77"/>
      <c r="B939" s="17"/>
      <c r="C939" s="17"/>
      <c r="D939" s="17"/>
      <c r="E939" s="17"/>
      <c r="F939" s="17"/>
      <c r="G939" s="78"/>
      <c r="H939" s="78"/>
      <c r="I939" s="17"/>
      <c r="J939" s="17"/>
      <c r="K939" s="17"/>
      <c r="L939" s="4"/>
      <c r="M939" s="4"/>
      <c r="N939" s="4"/>
      <c r="O939" s="4"/>
      <c r="P939" s="4"/>
      <c r="Q939" s="4"/>
      <c r="R939" s="4"/>
      <c r="S939" s="4"/>
      <c r="T939" s="4"/>
      <c r="U939" s="4"/>
      <c r="V939" s="4"/>
      <c r="W939" s="4"/>
      <c r="X939" s="4"/>
      <c r="Y939" s="4"/>
      <c r="Z939" s="4"/>
    </row>
    <row r="940">
      <c r="A940" s="77"/>
      <c r="B940" s="17"/>
      <c r="C940" s="17"/>
      <c r="D940" s="17"/>
      <c r="E940" s="17"/>
      <c r="F940" s="17"/>
      <c r="G940" s="78"/>
      <c r="H940" s="78"/>
      <c r="I940" s="17"/>
      <c r="J940" s="17"/>
      <c r="K940" s="17"/>
      <c r="L940" s="4"/>
      <c r="M940" s="4"/>
      <c r="N940" s="4"/>
      <c r="O940" s="4"/>
      <c r="P940" s="4"/>
      <c r="Q940" s="4"/>
      <c r="R940" s="4"/>
      <c r="S940" s="4"/>
      <c r="T940" s="4"/>
      <c r="U940" s="4"/>
      <c r="V940" s="4"/>
      <c r="W940" s="4"/>
      <c r="X940" s="4"/>
      <c r="Y940" s="4"/>
      <c r="Z940" s="4"/>
    </row>
    <row r="941">
      <c r="A941" s="77"/>
      <c r="B941" s="17"/>
      <c r="C941" s="17"/>
      <c r="D941" s="17"/>
      <c r="E941" s="17"/>
      <c r="F941" s="17"/>
      <c r="G941" s="78"/>
      <c r="H941" s="78"/>
      <c r="I941" s="17"/>
      <c r="J941" s="17"/>
      <c r="K941" s="17"/>
      <c r="L941" s="4"/>
      <c r="M941" s="4"/>
      <c r="N941" s="4"/>
      <c r="O941" s="4"/>
      <c r="P941" s="4"/>
      <c r="Q941" s="4"/>
      <c r="R941" s="4"/>
      <c r="S941" s="4"/>
      <c r="T941" s="4"/>
      <c r="U941" s="4"/>
      <c r="V941" s="4"/>
      <c r="W941" s="4"/>
      <c r="X941" s="4"/>
      <c r="Y941" s="4"/>
      <c r="Z941" s="4"/>
    </row>
    <row r="942">
      <c r="A942" s="77"/>
      <c r="B942" s="17"/>
      <c r="C942" s="17"/>
      <c r="D942" s="17"/>
      <c r="E942" s="17"/>
      <c r="F942" s="17"/>
      <c r="G942" s="78"/>
      <c r="H942" s="78"/>
      <c r="I942" s="17"/>
      <c r="J942" s="17"/>
      <c r="K942" s="17"/>
      <c r="L942" s="4"/>
      <c r="M942" s="4"/>
      <c r="N942" s="4"/>
      <c r="O942" s="4"/>
      <c r="P942" s="4"/>
      <c r="Q942" s="4"/>
      <c r="R942" s="4"/>
      <c r="S942" s="4"/>
      <c r="T942" s="4"/>
      <c r="U942" s="4"/>
      <c r="V942" s="4"/>
      <c r="W942" s="4"/>
      <c r="X942" s="4"/>
      <c r="Y942" s="4"/>
      <c r="Z942" s="4"/>
    </row>
    <row r="943">
      <c r="A943" s="77"/>
      <c r="B943" s="17"/>
      <c r="C943" s="17"/>
      <c r="D943" s="17"/>
      <c r="E943" s="17"/>
      <c r="F943" s="17"/>
      <c r="G943" s="78"/>
      <c r="H943" s="78"/>
      <c r="I943" s="17"/>
      <c r="J943" s="17"/>
      <c r="K943" s="17"/>
      <c r="L943" s="4"/>
      <c r="M943" s="4"/>
      <c r="N943" s="4"/>
      <c r="O943" s="4"/>
      <c r="P943" s="4"/>
      <c r="Q943" s="4"/>
      <c r="R943" s="4"/>
      <c r="S943" s="4"/>
      <c r="T943" s="4"/>
      <c r="U943" s="4"/>
      <c r="V943" s="4"/>
      <c r="W943" s="4"/>
      <c r="X943" s="4"/>
      <c r="Y943" s="4"/>
      <c r="Z943" s="4"/>
    </row>
    <row r="944">
      <c r="A944" s="77"/>
      <c r="B944" s="17"/>
      <c r="C944" s="17"/>
      <c r="D944" s="17"/>
      <c r="E944" s="17"/>
      <c r="F944" s="17"/>
      <c r="G944" s="78"/>
      <c r="H944" s="78"/>
      <c r="I944" s="17"/>
      <c r="J944" s="17"/>
      <c r="K944" s="17"/>
      <c r="L944" s="4"/>
      <c r="M944" s="4"/>
      <c r="N944" s="4"/>
      <c r="O944" s="4"/>
      <c r="P944" s="4"/>
      <c r="Q944" s="4"/>
      <c r="R944" s="4"/>
      <c r="S944" s="4"/>
      <c r="T944" s="4"/>
      <c r="U944" s="4"/>
      <c r="V944" s="4"/>
      <c r="W944" s="4"/>
      <c r="X944" s="4"/>
      <c r="Y944" s="4"/>
      <c r="Z944" s="4"/>
    </row>
    <row r="945">
      <c r="A945" s="77"/>
      <c r="B945" s="17"/>
      <c r="C945" s="17"/>
      <c r="D945" s="17"/>
      <c r="E945" s="17"/>
      <c r="F945" s="17"/>
      <c r="G945" s="78"/>
      <c r="H945" s="78"/>
      <c r="I945" s="17"/>
      <c r="J945" s="17"/>
      <c r="K945" s="17"/>
      <c r="L945" s="4"/>
      <c r="M945" s="4"/>
      <c r="N945" s="4"/>
      <c r="O945" s="4"/>
      <c r="P945" s="4"/>
      <c r="Q945" s="4"/>
      <c r="R945" s="4"/>
      <c r="S945" s="4"/>
      <c r="T945" s="4"/>
      <c r="U945" s="4"/>
      <c r="V945" s="4"/>
      <c r="W945" s="4"/>
      <c r="X945" s="4"/>
      <c r="Y945" s="4"/>
      <c r="Z945" s="4"/>
    </row>
    <row r="946">
      <c r="A946" s="77"/>
      <c r="B946" s="17"/>
      <c r="C946" s="17"/>
      <c r="D946" s="17"/>
      <c r="E946" s="17"/>
      <c r="F946" s="17"/>
      <c r="G946" s="78"/>
      <c r="H946" s="78"/>
      <c r="I946" s="17"/>
      <c r="J946" s="17"/>
      <c r="K946" s="17"/>
      <c r="L946" s="4"/>
      <c r="M946" s="4"/>
      <c r="N946" s="4"/>
      <c r="O946" s="4"/>
      <c r="P946" s="4"/>
      <c r="Q946" s="4"/>
      <c r="R946" s="4"/>
      <c r="S946" s="4"/>
      <c r="T946" s="4"/>
      <c r="U946" s="4"/>
      <c r="V946" s="4"/>
      <c r="W946" s="4"/>
      <c r="X946" s="4"/>
      <c r="Y946" s="4"/>
      <c r="Z946" s="4"/>
    </row>
    <row r="947">
      <c r="A947" s="77"/>
      <c r="B947" s="17"/>
      <c r="C947" s="17"/>
      <c r="D947" s="17"/>
      <c r="E947" s="17"/>
      <c r="F947" s="17"/>
      <c r="G947" s="78"/>
      <c r="H947" s="78"/>
      <c r="I947" s="17"/>
      <c r="J947" s="17"/>
      <c r="K947" s="17"/>
      <c r="L947" s="4"/>
      <c r="M947" s="4"/>
      <c r="N947" s="4"/>
      <c r="O947" s="4"/>
      <c r="P947" s="4"/>
      <c r="Q947" s="4"/>
      <c r="R947" s="4"/>
      <c r="S947" s="4"/>
      <c r="T947" s="4"/>
      <c r="U947" s="4"/>
      <c r="V947" s="4"/>
      <c r="W947" s="4"/>
      <c r="X947" s="4"/>
      <c r="Y947" s="4"/>
      <c r="Z947" s="4"/>
    </row>
    <row r="948">
      <c r="A948" s="77"/>
      <c r="B948" s="17"/>
      <c r="C948" s="17"/>
      <c r="D948" s="17"/>
      <c r="E948" s="17"/>
      <c r="F948" s="17"/>
      <c r="G948" s="78"/>
      <c r="H948" s="78"/>
      <c r="I948" s="17"/>
      <c r="J948" s="17"/>
      <c r="K948" s="17"/>
      <c r="L948" s="4"/>
      <c r="M948" s="4"/>
      <c r="N948" s="4"/>
      <c r="O948" s="4"/>
      <c r="P948" s="4"/>
      <c r="Q948" s="4"/>
      <c r="R948" s="4"/>
      <c r="S948" s="4"/>
      <c r="T948" s="4"/>
      <c r="U948" s="4"/>
      <c r="V948" s="4"/>
      <c r="W948" s="4"/>
      <c r="X948" s="4"/>
      <c r="Y948" s="4"/>
      <c r="Z948" s="4"/>
    </row>
    <row r="949">
      <c r="A949" s="77"/>
      <c r="B949" s="17"/>
      <c r="C949" s="17"/>
      <c r="D949" s="17"/>
      <c r="E949" s="17"/>
      <c r="F949" s="17"/>
      <c r="G949" s="78"/>
      <c r="H949" s="78"/>
      <c r="I949" s="17"/>
      <c r="J949" s="17"/>
      <c r="K949" s="17"/>
      <c r="L949" s="4"/>
      <c r="M949" s="4"/>
      <c r="N949" s="4"/>
      <c r="O949" s="4"/>
      <c r="P949" s="4"/>
      <c r="Q949" s="4"/>
      <c r="R949" s="4"/>
      <c r="S949" s="4"/>
      <c r="T949" s="4"/>
      <c r="U949" s="4"/>
      <c r="V949" s="4"/>
      <c r="W949" s="4"/>
      <c r="X949" s="4"/>
      <c r="Y949" s="4"/>
      <c r="Z949" s="4"/>
    </row>
    <row r="950">
      <c r="A950" s="77"/>
      <c r="B950" s="17"/>
      <c r="C950" s="17"/>
      <c r="D950" s="17"/>
      <c r="E950" s="17"/>
      <c r="F950" s="17"/>
      <c r="G950" s="78"/>
      <c r="H950" s="78"/>
      <c r="I950" s="17"/>
      <c r="J950" s="17"/>
      <c r="K950" s="17"/>
      <c r="L950" s="4"/>
      <c r="M950" s="4"/>
      <c r="N950" s="4"/>
      <c r="O950" s="4"/>
      <c r="P950" s="4"/>
      <c r="Q950" s="4"/>
      <c r="R950" s="4"/>
      <c r="S950" s="4"/>
      <c r="T950" s="4"/>
      <c r="U950" s="4"/>
      <c r="V950" s="4"/>
      <c r="W950" s="4"/>
      <c r="X950" s="4"/>
      <c r="Y950" s="4"/>
      <c r="Z950" s="4"/>
    </row>
    <row r="951">
      <c r="A951" s="77"/>
      <c r="B951" s="17"/>
      <c r="C951" s="17"/>
      <c r="D951" s="17"/>
      <c r="E951" s="17"/>
      <c r="F951" s="17"/>
      <c r="G951" s="78"/>
      <c r="H951" s="78"/>
      <c r="I951" s="17"/>
      <c r="J951" s="17"/>
      <c r="K951" s="17"/>
      <c r="L951" s="4"/>
      <c r="M951" s="4"/>
      <c r="N951" s="4"/>
      <c r="O951" s="4"/>
      <c r="P951" s="4"/>
      <c r="Q951" s="4"/>
      <c r="R951" s="4"/>
      <c r="S951" s="4"/>
      <c r="T951" s="4"/>
      <c r="U951" s="4"/>
      <c r="V951" s="4"/>
      <c r="W951" s="4"/>
      <c r="X951" s="4"/>
      <c r="Y951" s="4"/>
      <c r="Z951" s="4"/>
    </row>
    <row r="952">
      <c r="A952" s="77"/>
      <c r="B952" s="17"/>
      <c r="C952" s="17"/>
      <c r="D952" s="17"/>
      <c r="E952" s="17"/>
      <c r="F952" s="17"/>
      <c r="G952" s="78"/>
      <c r="H952" s="78"/>
      <c r="I952" s="17"/>
      <c r="J952" s="17"/>
      <c r="K952" s="17"/>
      <c r="L952" s="4"/>
      <c r="M952" s="4"/>
      <c r="N952" s="4"/>
      <c r="O952" s="4"/>
      <c r="P952" s="4"/>
      <c r="Q952" s="4"/>
      <c r="R952" s="4"/>
      <c r="S952" s="4"/>
      <c r="T952" s="4"/>
      <c r="U952" s="4"/>
      <c r="V952" s="4"/>
      <c r="W952" s="4"/>
      <c r="X952" s="4"/>
      <c r="Y952" s="4"/>
      <c r="Z952" s="4"/>
    </row>
    <row r="953">
      <c r="A953" s="77"/>
      <c r="B953" s="17"/>
      <c r="C953" s="17"/>
      <c r="D953" s="17"/>
      <c r="E953" s="17"/>
      <c r="F953" s="17"/>
      <c r="G953" s="78"/>
      <c r="H953" s="78"/>
      <c r="I953" s="17"/>
      <c r="J953" s="17"/>
      <c r="K953" s="17"/>
      <c r="L953" s="4"/>
      <c r="M953" s="4"/>
      <c r="N953" s="4"/>
      <c r="O953" s="4"/>
      <c r="P953" s="4"/>
      <c r="Q953" s="4"/>
      <c r="R953" s="4"/>
      <c r="S953" s="4"/>
      <c r="T953" s="4"/>
      <c r="U953" s="4"/>
      <c r="V953" s="4"/>
      <c r="W953" s="4"/>
      <c r="X953" s="4"/>
      <c r="Y953" s="4"/>
      <c r="Z953" s="4"/>
    </row>
    <row r="954">
      <c r="A954" s="77"/>
      <c r="B954" s="17"/>
      <c r="C954" s="17"/>
      <c r="D954" s="17"/>
      <c r="E954" s="17"/>
      <c r="F954" s="17"/>
      <c r="G954" s="78"/>
      <c r="H954" s="78"/>
      <c r="I954" s="17"/>
      <c r="J954" s="17"/>
      <c r="K954" s="17"/>
      <c r="L954" s="4"/>
      <c r="M954" s="4"/>
      <c r="N954" s="4"/>
      <c r="O954" s="4"/>
      <c r="P954" s="4"/>
      <c r="Q954" s="4"/>
      <c r="R954" s="4"/>
      <c r="S954" s="4"/>
      <c r="T954" s="4"/>
      <c r="U954" s="4"/>
      <c r="V954" s="4"/>
      <c r="W954" s="4"/>
      <c r="X954" s="4"/>
      <c r="Y954" s="4"/>
      <c r="Z954" s="4"/>
    </row>
    <row r="955">
      <c r="A955" s="77"/>
      <c r="B955" s="17"/>
      <c r="C955" s="17"/>
      <c r="D955" s="17"/>
      <c r="E955" s="17"/>
      <c r="F955" s="17"/>
      <c r="G955" s="78"/>
      <c r="H955" s="78"/>
      <c r="I955" s="17"/>
      <c r="J955" s="17"/>
      <c r="K955" s="17"/>
      <c r="L955" s="4"/>
      <c r="M955" s="4"/>
      <c r="N955" s="4"/>
      <c r="O955" s="4"/>
      <c r="P955" s="4"/>
      <c r="Q955" s="4"/>
      <c r="R955" s="4"/>
      <c r="S955" s="4"/>
      <c r="T955" s="4"/>
      <c r="U955" s="4"/>
      <c r="V955" s="4"/>
      <c r="W955" s="4"/>
      <c r="X955" s="4"/>
      <c r="Y955" s="4"/>
      <c r="Z955" s="4"/>
    </row>
    <row r="956">
      <c r="A956" s="77"/>
      <c r="B956" s="17"/>
      <c r="C956" s="17"/>
      <c r="D956" s="17"/>
      <c r="E956" s="17"/>
      <c r="F956" s="17"/>
      <c r="G956" s="78"/>
      <c r="H956" s="78"/>
      <c r="I956" s="17"/>
      <c r="J956" s="17"/>
      <c r="K956" s="17"/>
      <c r="L956" s="4"/>
      <c r="M956" s="4"/>
      <c r="N956" s="4"/>
      <c r="O956" s="4"/>
      <c r="P956" s="4"/>
      <c r="Q956" s="4"/>
      <c r="R956" s="4"/>
      <c r="S956" s="4"/>
      <c r="T956" s="4"/>
      <c r="U956" s="4"/>
      <c r="V956" s="4"/>
      <c r="W956" s="4"/>
      <c r="X956" s="4"/>
      <c r="Y956" s="4"/>
      <c r="Z956" s="4"/>
    </row>
    <row r="957">
      <c r="A957" s="77"/>
      <c r="B957" s="17"/>
      <c r="C957" s="17"/>
      <c r="D957" s="17"/>
      <c r="E957" s="17"/>
      <c r="F957" s="17"/>
      <c r="G957" s="78"/>
      <c r="H957" s="78"/>
      <c r="I957" s="17"/>
      <c r="J957" s="17"/>
      <c r="K957" s="17"/>
      <c r="L957" s="4"/>
      <c r="M957" s="4"/>
      <c r="N957" s="4"/>
      <c r="O957" s="4"/>
      <c r="P957" s="4"/>
      <c r="Q957" s="4"/>
      <c r="R957" s="4"/>
      <c r="S957" s="4"/>
      <c r="T957" s="4"/>
      <c r="U957" s="4"/>
      <c r="V957" s="4"/>
      <c r="W957" s="4"/>
      <c r="X957" s="4"/>
      <c r="Y957" s="4"/>
      <c r="Z957" s="4"/>
    </row>
    <row r="958">
      <c r="A958" s="77"/>
      <c r="B958" s="17"/>
      <c r="C958" s="17"/>
      <c r="D958" s="17"/>
      <c r="E958" s="17"/>
      <c r="F958" s="17"/>
      <c r="G958" s="78"/>
      <c r="H958" s="78"/>
      <c r="I958" s="17"/>
      <c r="J958" s="17"/>
      <c r="K958" s="17"/>
      <c r="L958" s="4"/>
      <c r="M958" s="4"/>
      <c r="N958" s="4"/>
      <c r="O958" s="4"/>
      <c r="P958" s="4"/>
      <c r="Q958" s="4"/>
      <c r="R958" s="4"/>
      <c r="S958" s="4"/>
      <c r="T958" s="4"/>
      <c r="U958" s="4"/>
      <c r="V958" s="4"/>
      <c r="W958" s="4"/>
      <c r="X958" s="4"/>
      <c r="Y958" s="4"/>
      <c r="Z958" s="4"/>
    </row>
    <row r="959">
      <c r="A959" s="77"/>
      <c r="B959" s="17"/>
      <c r="C959" s="17"/>
      <c r="D959" s="17"/>
      <c r="E959" s="17"/>
      <c r="F959" s="17"/>
      <c r="G959" s="78"/>
      <c r="H959" s="78"/>
      <c r="I959" s="17"/>
      <c r="J959" s="17"/>
      <c r="K959" s="17"/>
      <c r="L959" s="4"/>
      <c r="M959" s="4"/>
      <c r="N959" s="4"/>
      <c r="O959" s="4"/>
      <c r="P959" s="4"/>
      <c r="Q959" s="4"/>
      <c r="R959" s="4"/>
      <c r="S959" s="4"/>
      <c r="T959" s="4"/>
      <c r="U959" s="4"/>
      <c r="V959" s="4"/>
      <c r="W959" s="4"/>
      <c r="X959" s="4"/>
      <c r="Y959" s="4"/>
      <c r="Z959" s="4"/>
    </row>
    <row r="960">
      <c r="A960" s="77"/>
      <c r="B960" s="17"/>
      <c r="C960" s="17"/>
      <c r="D960" s="17"/>
      <c r="E960" s="17"/>
      <c r="F960" s="17"/>
      <c r="G960" s="78"/>
      <c r="H960" s="78"/>
      <c r="I960" s="17"/>
      <c r="J960" s="17"/>
      <c r="K960" s="17"/>
      <c r="L960" s="4"/>
      <c r="M960" s="4"/>
      <c r="N960" s="4"/>
      <c r="O960" s="4"/>
      <c r="P960" s="4"/>
      <c r="Q960" s="4"/>
      <c r="R960" s="4"/>
      <c r="S960" s="4"/>
      <c r="T960" s="4"/>
      <c r="U960" s="4"/>
      <c r="V960" s="4"/>
      <c r="W960" s="4"/>
      <c r="X960" s="4"/>
      <c r="Y960" s="4"/>
      <c r="Z960" s="4"/>
    </row>
    <row r="961">
      <c r="A961" s="77"/>
      <c r="B961" s="17"/>
      <c r="C961" s="17"/>
      <c r="D961" s="17"/>
      <c r="E961" s="17"/>
      <c r="F961" s="17"/>
      <c r="G961" s="78"/>
      <c r="H961" s="78"/>
      <c r="I961" s="17"/>
      <c r="J961" s="17"/>
      <c r="K961" s="17"/>
      <c r="L961" s="4"/>
      <c r="M961" s="4"/>
      <c r="N961" s="4"/>
      <c r="O961" s="4"/>
      <c r="P961" s="4"/>
      <c r="Q961" s="4"/>
      <c r="R961" s="4"/>
      <c r="S961" s="4"/>
      <c r="T961" s="4"/>
      <c r="U961" s="4"/>
      <c r="V961" s="4"/>
      <c r="W961" s="4"/>
      <c r="X961" s="4"/>
      <c r="Y961" s="4"/>
      <c r="Z961" s="4"/>
    </row>
    <row r="962">
      <c r="A962" s="77"/>
      <c r="B962" s="17"/>
      <c r="C962" s="17"/>
      <c r="D962" s="17"/>
      <c r="E962" s="17"/>
      <c r="F962" s="17"/>
      <c r="G962" s="78"/>
      <c r="H962" s="78"/>
      <c r="I962" s="17"/>
      <c r="J962" s="17"/>
      <c r="K962" s="17"/>
      <c r="L962" s="4"/>
      <c r="M962" s="4"/>
      <c r="N962" s="4"/>
      <c r="O962" s="4"/>
      <c r="P962" s="4"/>
      <c r="Q962" s="4"/>
      <c r="R962" s="4"/>
      <c r="S962" s="4"/>
      <c r="T962" s="4"/>
      <c r="U962" s="4"/>
      <c r="V962" s="4"/>
      <c r="W962" s="4"/>
      <c r="X962" s="4"/>
      <c r="Y962" s="4"/>
      <c r="Z962" s="4"/>
    </row>
    <row r="963">
      <c r="A963" s="97"/>
      <c r="B963" s="6"/>
      <c r="C963" s="6"/>
      <c r="D963" s="6"/>
      <c r="E963" s="6"/>
      <c r="F963" s="6"/>
      <c r="G963" s="16"/>
      <c r="H963" s="16"/>
      <c r="I963" s="6"/>
      <c r="J963" s="6"/>
      <c r="K963" s="6"/>
    </row>
    <row r="964">
      <c r="A964" s="97"/>
      <c r="B964" s="6"/>
      <c r="C964" s="6"/>
      <c r="D964" s="6"/>
      <c r="E964" s="6"/>
      <c r="F964" s="6"/>
      <c r="G964" s="16"/>
      <c r="H964" s="16"/>
      <c r="I964" s="6"/>
      <c r="J964" s="6"/>
      <c r="K964" s="6"/>
    </row>
    <row r="965">
      <c r="A965" s="97"/>
      <c r="B965" s="6"/>
      <c r="C965" s="6"/>
      <c r="D965" s="6"/>
      <c r="E965" s="6"/>
      <c r="F965" s="6"/>
      <c r="G965" s="16"/>
      <c r="H965" s="16"/>
      <c r="I965" s="6"/>
      <c r="J965" s="6"/>
      <c r="K965" s="6"/>
    </row>
    <row r="966">
      <c r="A966" s="97"/>
      <c r="B966" s="6"/>
      <c r="C966" s="6"/>
      <c r="D966" s="6"/>
      <c r="E966" s="6"/>
      <c r="F966" s="6"/>
      <c r="G966" s="16"/>
      <c r="H966" s="16"/>
      <c r="I966" s="6"/>
      <c r="J966" s="6"/>
      <c r="K966" s="6"/>
    </row>
    <row r="967">
      <c r="A967" s="97"/>
      <c r="B967" s="6"/>
      <c r="C967" s="6"/>
      <c r="D967" s="6"/>
      <c r="E967" s="6"/>
      <c r="F967" s="6"/>
      <c r="G967" s="16"/>
      <c r="H967" s="16"/>
      <c r="I967" s="6"/>
      <c r="J967" s="6"/>
      <c r="K967" s="6"/>
    </row>
    <row r="968">
      <c r="A968" s="97"/>
      <c r="B968" s="6"/>
      <c r="C968" s="6"/>
      <c r="D968" s="6"/>
      <c r="E968" s="6"/>
      <c r="F968" s="6"/>
      <c r="G968" s="16"/>
      <c r="H968" s="16"/>
      <c r="I968" s="6"/>
      <c r="J968" s="6"/>
      <c r="K968" s="6"/>
    </row>
    <row r="969">
      <c r="A969" s="97"/>
      <c r="B969" s="6"/>
      <c r="C969" s="6"/>
      <c r="D969" s="6"/>
      <c r="E969" s="6"/>
      <c r="F969" s="6"/>
      <c r="G969" s="16"/>
      <c r="H969" s="16"/>
      <c r="I969" s="6"/>
      <c r="J969" s="6"/>
      <c r="K969" s="6"/>
    </row>
    <row r="970">
      <c r="A970" s="97"/>
      <c r="B970" s="6"/>
      <c r="C970" s="6"/>
      <c r="D970" s="6"/>
      <c r="E970" s="6"/>
      <c r="F970" s="6"/>
      <c r="G970" s="16"/>
      <c r="H970" s="16"/>
      <c r="I970" s="6"/>
      <c r="J970" s="6"/>
      <c r="K970" s="6"/>
    </row>
    <row r="971">
      <c r="A971" s="97"/>
      <c r="B971" s="6"/>
      <c r="C971" s="6"/>
      <c r="D971" s="6"/>
      <c r="E971" s="6"/>
      <c r="F971" s="6"/>
      <c r="G971" s="16"/>
      <c r="H971" s="16"/>
      <c r="I971" s="6"/>
      <c r="J971" s="6"/>
      <c r="K971" s="6"/>
    </row>
    <row r="972">
      <c r="A972" s="97"/>
      <c r="B972" s="6"/>
      <c r="C972" s="6"/>
      <c r="D972" s="6"/>
      <c r="E972" s="6"/>
      <c r="F972" s="6"/>
      <c r="G972" s="16"/>
      <c r="H972" s="16"/>
      <c r="I972" s="6"/>
      <c r="J972" s="6"/>
      <c r="K972" s="6"/>
    </row>
    <row r="973">
      <c r="A973" s="97"/>
      <c r="B973" s="6"/>
      <c r="C973" s="6"/>
      <c r="D973" s="6"/>
      <c r="E973" s="6"/>
      <c r="F973" s="6"/>
      <c r="G973" s="16"/>
      <c r="H973" s="16"/>
      <c r="I973" s="6"/>
      <c r="J973" s="6"/>
      <c r="K973" s="6"/>
    </row>
    <row r="974">
      <c r="A974" s="97"/>
      <c r="B974" s="6"/>
      <c r="C974" s="6"/>
      <c r="D974" s="6"/>
      <c r="E974" s="6"/>
      <c r="F974" s="6"/>
      <c r="G974" s="16"/>
      <c r="H974" s="16"/>
      <c r="I974" s="6"/>
      <c r="J974" s="6"/>
      <c r="K974" s="6"/>
    </row>
    <row r="975">
      <c r="A975" s="97"/>
      <c r="B975" s="6"/>
      <c r="C975" s="6"/>
      <c r="D975" s="6"/>
      <c r="E975" s="6"/>
      <c r="F975" s="6"/>
      <c r="G975" s="16"/>
      <c r="H975" s="16"/>
      <c r="I975" s="6"/>
      <c r="J975" s="6"/>
      <c r="K975" s="6"/>
    </row>
    <row r="976">
      <c r="A976" s="97"/>
      <c r="B976" s="6"/>
      <c r="C976" s="6"/>
      <c r="D976" s="6"/>
      <c r="E976" s="6"/>
      <c r="F976" s="6"/>
      <c r="G976" s="16"/>
      <c r="H976" s="16"/>
      <c r="I976" s="6"/>
      <c r="J976" s="6"/>
      <c r="K976" s="6"/>
    </row>
    <row r="977">
      <c r="A977" s="97"/>
      <c r="B977" s="6"/>
      <c r="C977" s="6"/>
      <c r="D977" s="6"/>
      <c r="E977" s="6"/>
      <c r="F977" s="6"/>
      <c r="G977" s="16"/>
      <c r="H977" s="16"/>
      <c r="I977" s="6"/>
      <c r="J977" s="6"/>
      <c r="K977" s="6"/>
    </row>
    <row r="978">
      <c r="A978" s="97"/>
      <c r="B978" s="6"/>
      <c r="C978" s="6"/>
      <c r="D978" s="6"/>
      <c r="E978" s="6"/>
      <c r="F978" s="6"/>
      <c r="G978" s="16"/>
      <c r="H978" s="16"/>
      <c r="I978" s="6"/>
      <c r="J978" s="6"/>
      <c r="K978" s="6"/>
    </row>
    <row r="979">
      <c r="A979" s="97"/>
      <c r="B979" s="6"/>
      <c r="C979" s="6"/>
      <c r="D979" s="6"/>
      <c r="E979" s="6"/>
      <c r="F979" s="6"/>
      <c r="G979" s="16"/>
      <c r="H979" s="16"/>
      <c r="I979" s="6"/>
      <c r="J979" s="6"/>
      <c r="K979" s="6"/>
    </row>
    <row r="980">
      <c r="A980" s="97"/>
      <c r="B980" s="6"/>
      <c r="C980" s="6"/>
      <c r="D980" s="6"/>
      <c r="E980" s="6"/>
      <c r="F980" s="6"/>
      <c r="G980" s="16"/>
      <c r="H980" s="16"/>
      <c r="I980" s="6"/>
      <c r="J980" s="6"/>
      <c r="K980" s="6"/>
    </row>
    <row r="981">
      <c r="A981" s="97"/>
      <c r="B981" s="6"/>
      <c r="C981" s="6"/>
      <c r="D981" s="6"/>
      <c r="E981" s="6"/>
      <c r="F981" s="6"/>
      <c r="G981" s="16"/>
      <c r="H981" s="16"/>
      <c r="I981" s="6"/>
      <c r="J981" s="6"/>
      <c r="K981" s="6"/>
    </row>
    <row r="982">
      <c r="A982" s="97"/>
      <c r="B982" s="6"/>
      <c r="C982" s="6"/>
      <c r="D982" s="6"/>
      <c r="E982" s="6"/>
      <c r="F982" s="6"/>
      <c r="G982" s="16"/>
      <c r="H982" s="16"/>
      <c r="I982" s="6"/>
      <c r="J982" s="6"/>
      <c r="K982" s="6"/>
    </row>
    <row r="983">
      <c r="A983" s="97"/>
      <c r="B983" s="6"/>
      <c r="C983" s="6"/>
      <c r="D983" s="6"/>
      <c r="E983" s="6"/>
      <c r="F983" s="6"/>
      <c r="G983" s="16"/>
      <c r="H983" s="16"/>
      <c r="I983" s="6"/>
      <c r="J983" s="6"/>
      <c r="K983" s="6"/>
    </row>
    <row r="984">
      <c r="A984" s="97"/>
      <c r="B984" s="6"/>
      <c r="C984" s="6"/>
      <c r="D984" s="6"/>
      <c r="E984" s="6"/>
      <c r="F984" s="6"/>
      <c r="G984" s="16"/>
      <c r="H984" s="16"/>
      <c r="I984" s="6"/>
      <c r="J984" s="6"/>
      <c r="K984" s="6"/>
    </row>
    <row r="985">
      <c r="A985" s="97"/>
      <c r="B985" s="6"/>
      <c r="C985" s="6"/>
      <c r="D985" s="6"/>
      <c r="E985" s="6"/>
      <c r="F985" s="6"/>
      <c r="G985" s="16"/>
      <c r="H985" s="16"/>
      <c r="I985" s="6"/>
      <c r="J985" s="6"/>
      <c r="K985" s="6"/>
    </row>
    <row r="986">
      <c r="A986" s="97"/>
      <c r="B986" s="6"/>
      <c r="C986" s="6"/>
      <c r="D986" s="6"/>
      <c r="E986" s="6"/>
      <c r="F986" s="6"/>
      <c r="G986" s="16"/>
      <c r="H986" s="16"/>
      <c r="I986" s="6"/>
      <c r="J986" s="6"/>
      <c r="K986" s="6"/>
    </row>
    <row r="987">
      <c r="A987" s="97"/>
      <c r="B987" s="6"/>
      <c r="C987" s="6"/>
      <c r="D987" s="6"/>
      <c r="E987" s="6"/>
      <c r="F987" s="6"/>
      <c r="G987" s="16"/>
      <c r="H987" s="16"/>
      <c r="I987" s="6"/>
      <c r="J987" s="6"/>
      <c r="K987" s="6"/>
    </row>
    <row r="988">
      <c r="A988" s="97"/>
      <c r="B988" s="6"/>
      <c r="C988" s="6"/>
      <c r="D988" s="6"/>
      <c r="E988" s="6"/>
      <c r="F988" s="6"/>
      <c r="G988" s="16"/>
      <c r="H988" s="16"/>
      <c r="I988" s="6"/>
      <c r="J988" s="6"/>
      <c r="K988" s="6"/>
    </row>
    <row r="989">
      <c r="A989" s="97"/>
      <c r="B989" s="6"/>
      <c r="C989" s="6"/>
      <c r="D989" s="6"/>
      <c r="E989" s="6"/>
      <c r="F989" s="6"/>
      <c r="G989" s="16"/>
      <c r="H989" s="16"/>
      <c r="I989" s="6"/>
      <c r="J989" s="6"/>
      <c r="K989" s="6"/>
    </row>
    <row r="990">
      <c r="A990" s="97"/>
      <c r="B990" s="6"/>
      <c r="C990" s="6"/>
      <c r="D990" s="6"/>
      <c r="E990" s="6"/>
      <c r="F990" s="6"/>
      <c r="G990" s="16"/>
      <c r="H990" s="16"/>
      <c r="I990" s="6"/>
      <c r="J990" s="6"/>
      <c r="K990" s="6"/>
    </row>
    <row r="991">
      <c r="A991" s="97"/>
      <c r="B991" s="6"/>
      <c r="C991" s="6"/>
      <c r="D991" s="6"/>
      <c r="E991" s="6"/>
      <c r="F991" s="6"/>
      <c r="G991" s="16"/>
      <c r="H991" s="16"/>
      <c r="I991" s="6"/>
      <c r="J991" s="6"/>
      <c r="K991" s="6"/>
    </row>
    <row r="992">
      <c r="A992" s="97"/>
      <c r="B992" s="6"/>
      <c r="C992" s="6"/>
      <c r="D992" s="6"/>
      <c r="E992" s="6"/>
      <c r="F992" s="6"/>
      <c r="G992" s="16"/>
      <c r="H992" s="16"/>
      <c r="I992" s="6"/>
      <c r="J992" s="6"/>
      <c r="K992" s="6"/>
    </row>
    <row r="993">
      <c r="A993" s="97"/>
      <c r="B993" s="6"/>
      <c r="C993" s="6"/>
      <c r="D993" s="6"/>
      <c r="E993" s="6"/>
      <c r="F993" s="6"/>
      <c r="G993" s="16"/>
      <c r="H993" s="16"/>
      <c r="I993" s="6"/>
      <c r="J993" s="6"/>
      <c r="K993" s="6"/>
    </row>
    <row r="994">
      <c r="A994" s="97"/>
      <c r="B994" s="6"/>
      <c r="C994" s="6"/>
      <c r="D994" s="6"/>
      <c r="E994" s="6"/>
      <c r="F994" s="6"/>
      <c r="G994" s="16"/>
      <c r="H994" s="16"/>
      <c r="I994" s="6"/>
      <c r="J994" s="6"/>
      <c r="K994" s="6"/>
    </row>
    <row r="995">
      <c r="A995" s="97"/>
      <c r="B995" s="6"/>
      <c r="C995" s="6"/>
      <c r="D995" s="6"/>
      <c r="E995" s="6"/>
      <c r="F995" s="6"/>
      <c r="G995" s="16"/>
      <c r="H995" s="16"/>
      <c r="I995" s="6"/>
      <c r="J995" s="6"/>
      <c r="K995" s="6"/>
    </row>
    <row r="996">
      <c r="A996" s="97"/>
      <c r="B996" s="6"/>
      <c r="C996" s="6"/>
      <c r="D996" s="6"/>
      <c r="E996" s="6"/>
      <c r="F996" s="6"/>
      <c r="G996" s="16"/>
      <c r="H996" s="16"/>
      <c r="I996" s="6"/>
      <c r="J996" s="6"/>
      <c r="K996" s="6"/>
    </row>
    <row r="997">
      <c r="A997" s="97"/>
      <c r="B997" s="6"/>
      <c r="C997" s="6"/>
      <c r="D997" s="6"/>
      <c r="E997" s="6"/>
      <c r="F997" s="6"/>
      <c r="G997" s="16"/>
      <c r="H997" s="16"/>
      <c r="I997" s="6"/>
      <c r="J997" s="6"/>
      <c r="K997" s="6"/>
    </row>
    <row r="998">
      <c r="A998" s="97"/>
      <c r="B998" s="6"/>
      <c r="C998" s="6"/>
      <c r="D998" s="6"/>
      <c r="E998" s="6"/>
      <c r="F998" s="6"/>
      <c r="G998" s="16"/>
      <c r="H998" s="16"/>
      <c r="I998" s="6"/>
      <c r="J998" s="6"/>
      <c r="K998" s="6"/>
    </row>
    <row r="999">
      <c r="A999" s="97"/>
      <c r="B999" s="6"/>
      <c r="C999" s="6"/>
      <c r="D999" s="6"/>
      <c r="E999" s="6"/>
      <c r="F999" s="6"/>
      <c r="G999" s="16"/>
      <c r="H999" s="16"/>
      <c r="I999" s="6"/>
      <c r="J999" s="6"/>
      <c r="K999" s="6"/>
    </row>
    <row r="1000">
      <c r="A1000" s="97"/>
      <c r="B1000" s="6"/>
      <c r="C1000" s="6"/>
      <c r="D1000" s="6"/>
      <c r="E1000" s="6"/>
      <c r="F1000" s="6"/>
      <c r="G1000" s="16"/>
      <c r="H1000" s="16"/>
      <c r="I1000" s="6"/>
      <c r="J1000" s="6"/>
      <c r="K1000" s="6"/>
    </row>
  </sheetData>
  <hyperlinks>
    <hyperlink r:id="rId1" location="gid=1102875556" ref="J96"/>
    <hyperlink r:id="rId2" location="gid=1509093390" ref="J97"/>
    <hyperlink r:id="rId3" location="gid=2006507373" ref="J98"/>
    <hyperlink r:id="rId4" ref="K98"/>
    <hyperlink r:id="rId5" location="gid=1354888420" ref="J99"/>
    <hyperlink r:id="rId6" location="gid=1318424610" ref="J100"/>
    <hyperlink r:id="rId7" ref="K100"/>
    <hyperlink r:id="rId8" location="gid=1071202217" ref="J101"/>
    <hyperlink r:id="rId9" location="gid=444310098" ref="J102"/>
    <hyperlink r:id="rId10" location="gid=55726116" ref="J103"/>
    <hyperlink r:id="rId11" location="gid=833062955" ref="J104"/>
    <hyperlink r:id="rId12" location="gid=249071120" ref="J105"/>
    <hyperlink r:id="rId13" location="gid=920768533" ref="J106"/>
    <hyperlink r:id="rId14" ref="K106"/>
    <hyperlink r:id="rId15" location="gid=328082788" ref="J107"/>
    <hyperlink r:id="rId16" location="gid=894458513" ref="J108"/>
    <hyperlink r:id="rId17" ref="K108"/>
    <hyperlink r:id="rId18" location="gid=1180712542" ref="J109"/>
    <hyperlink r:id="rId19" location="gid=1202640333" ref="J110"/>
    <hyperlink r:id="rId20" location="gid=1455430518" ref="J111"/>
    <hyperlink r:id="rId21" location="gid=363363152" ref="J112"/>
    <hyperlink r:id="rId22" ref="K112"/>
    <hyperlink r:id="rId23" location="gid=1232103407" ref="J113"/>
    <hyperlink r:id="rId24" ref="K113"/>
    <hyperlink r:id="rId25" location="gid=257429727" ref="J114"/>
    <hyperlink r:id="rId26" location="gid=1734112233" ref="J115"/>
    <hyperlink r:id="rId27" ref="K115"/>
    <hyperlink r:id="rId28" location="gid=984031511" ref="J116"/>
    <hyperlink r:id="rId29" location="gid=811633138" ref="J117"/>
    <hyperlink r:id="rId30" location="gid=1340012708" ref="J118"/>
    <hyperlink r:id="rId31" location="gid=187611865" ref="J119"/>
    <hyperlink r:id="rId32" ref="K119"/>
    <hyperlink r:id="rId33" location="gid=771281495" ref="J120"/>
    <hyperlink r:id="rId34" location="gid=1943197822" ref="J121"/>
    <hyperlink r:id="rId35" location="gid=1791563527" ref="J122"/>
    <hyperlink r:id="rId36" location="gid=387655725" ref="J123"/>
    <hyperlink r:id="rId37" location="gid=1404088730" ref="J124"/>
    <hyperlink r:id="rId38" ref="K124"/>
    <hyperlink r:id="rId39" location="gid=1009116353" ref="J125"/>
    <hyperlink r:id="rId40" location="gid=252316906" ref="J126"/>
    <hyperlink r:id="rId41" location="gid=1315766169" ref="J127"/>
    <hyperlink r:id="rId42" location="gid=1835376342" ref="J128"/>
    <hyperlink r:id="rId43" location="gid=314292055" ref="J129"/>
    <hyperlink r:id="rId44" location="gid=1380549667" ref="J130"/>
    <hyperlink r:id="rId45" location="gid=830671407" ref="J131"/>
    <hyperlink r:id="rId46" location="gid=590835051" ref="J132"/>
    <hyperlink r:id="rId47" location="gid=1589688669" ref="J133"/>
    <hyperlink r:id="rId48" location="gid=1127542232" ref="J134"/>
    <hyperlink r:id="rId49" location="gid=1161001794" ref="J135"/>
    <hyperlink r:id="rId50" location="gid=1089584377" ref="J136"/>
    <hyperlink r:id="rId51" ref="K136"/>
    <hyperlink r:id="rId52" location="gid=1295057076" ref="J137"/>
    <hyperlink r:id="rId53" ref="K137"/>
    <hyperlink r:id="rId54" location="gid=168468884" ref="J138"/>
    <hyperlink r:id="rId55" location="gid=953902791" ref="J139"/>
    <hyperlink r:id="rId56" location="gid=238290316" ref="J140"/>
    <hyperlink r:id="rId57" location="gid=932084254" ref="J141"/>
    <hyperlink r:id="rId58" location="gid=998835814" ref="J142"/>
    <hyperlink r:id="rId59" location="gid=1697091636" ref="J143"/>
    <hyperlink r:id="rId60" ref="K143"/>
    <hyperlink r:id="rId61" location="gid=223359966" ref="J144"/>
    <hyperlink r:id="rId62" location="gid=1195287561" ref="J145"/>
    <hyperlink r:id="rId63" location="gid=325961003" ref="J146"/>
    <hyperlink r:id="rId64" location="gid=1587877211" ref="J147"/>
    <hyperlink r:id="rId65" location="gid=1721879742" ref="J148"/>
    <hyperlink r:id="rId66" location="gid=43981398" ref="J149"/>
    <hyperlink r:id="rId67" location="gid=39049871" ref="J150"/>
    <hyperlink r:id="rId68" location="gid=1721100499" ref="J151"/>
    <hyperlink r:id="rId69" ref="K151"/>
    <hyperlink r:id="rId70" location="gid=747557076" ref="J152"/>
    <hyperlink r:id="rId71" location="gid=1525507838" ref="J153"/>
    <hyperlink r:id="rId72" location="gid=900983135" ref="J154"/>
    <hyperlink r:id="rId73" location="gid=1127401829" ref="J155"/>
    <hyperlink r:id="rId74" ref="K155"/>
    <hyperlink r:id="rId75" location="gid=1529981182" ref="J156"/>
    <hyperlink r:id="rId76" ref="K156"/>
    <hyperlink r:id="rId77" location="gid=1390124130" ref="J157"/>
    <hyperlink r:id="rId78" location="gid=1007518382" ref="J158"/>
    <hyperlink r:id="rId79" ref="K158"/>
    <hyperlink r:id="rId80" location="gid=1578036964" ref="J159"/>
    <hyperlink r:id="rId81" location="gid=1242332740" ref="J160"/>
    <hyperlink r:id="rId82" location="gid=1645222765" ref="J163"/>
    <hyperlink r:id="rId83" location="gid=1849856896" ref="J164"/>
    <hyperlink r:id="rId84" location="gid=2096121583" ref="J165"/>
    <hyperlink r:id="rId85" location="gid=310058684" ref="J166"/>
    <hyperlink r:id="rId86" ref="K166"/>
    <hyperlink r:id="rId87" location="gid=1721100499" ref="J167"/>
    <hyperlink r:id="rId88" location="gid=1656513014" ref="J169"/>
    <hyperlink r:id="rId89" location="gid=1995746861" ref="J170"/>
    <hyperlink r:id="rId90" location="gid=808158041" ref="J171"/>
    <hyperlink r:id="rId91" ref="K171"/>
    <hyperlink r:id="rId92" location="gid=80969039" ref="J172"/>
    <hyperlink r:id="rId93" location="gid=815627436" ref="J173"/>
    <hyperlink r:id="rId94" location="gid=1230967250" ref="J174"/>
    <hyperlink r:id="rId95" location="gid=1568412544" ref="J175"/>
    <hyperlink r:id="rId96" ref="K175"/>
    <hyperlink r:id="rId97" location="gid=425127641" ref="J176"/>
    <hyperlink r:id="rId98" location="gid=1429092860" ref="J179"/>
    <hyperlink r:id="rId99" location="gid=2065488739" ref="J180"/>
    <hyperlink r:id="rId100" ref="K180"/>
    <hyperlink r:id="rId101" location="gid=204053805" ref="J181"/>
    <hyperlink r:id="rId102" location="gid=1476336114" ref="J182"/>
    <hyperlink r:id="rId103" location="gid=1145227752" ref="J183"/>
    <hyperlink r:id="rId104" location="gid=989193180" ref="J184"/>
    <hyperlink r:id="rId105" location="gid=509147488" ref="J185"/>
    <hyperlink r:id="rId106" location="gid=799259912" ref="J186"/>
    <hyperlink r:id="rId107" location="gid=1191711449" ref="J188"/>
    <hyperlink r:id="rId108" location="gid=1830744104" ref="J189"/>
    <hyperlink r:id="rId109" location="gid=493360007" ref="J190"/>
    <hyperlink r:id="rId110" location="gid=141428453" ref="J191"/>
    <hyperlink r:id="rId111" location="gid=908182805" ref="J192"/>
    <hyperlink r:id="rId112" location="gid=1311899156" ref="J193"/>
    <hyperlink r:id="rId113" location="gid=242811066" ref="J194"/>
    <hyperlink r:id="rId114" location="gid=779020277" ref="J195"/>
    <hyperlink r:id="rId115" location="gid=2120381921" ref="J196"/>
    <hyperlink r:id="rId116" location="gid=191758898" ref="J197"/>
    <hyperlink r:id="rId117" location="gid=1026471419" ref="J198"/>
    <hyperlink r:id="rId118" location="gid=340433280" ref="J199"/>
    <hyperlink r:id="rId119" location="gid=140939233" ref="J200"/>
    <hyperlink r:id="rId120" location="gid=1676523530" ref="J201"/>
    <hyperlink r:id="rId121" location="gid=864081677" ref="J202"/>
    <hyperlink r:id="rId122" location="gid=1477675576" ref="J204"/>
    <hyperlink r:id="rId123" location="gid=68210689" ref="J205"/>
    <hyperlink r:id="rId124" location="gid=1366886932" ref="J206"/>
    <hyperlink r:id="rId125" location="gid=1407262521" ref="J207"/>
    <hyperlink r:id="rId126" ref="K207"/>
    <hyperlink r:id="rId127" location="gid=613124997" ref="J208"/>
    <hyperlink r:id="rId128" ref="K208"/>
    <hyperlink r:id="rId129" location="gid=2077416738" ref="J209"/>
    <hyperlink r:id="rId130" location="gid=1314726953" ref="J210"/>
    <hyperlink r:id="rId131" location="gid=189831964" ref="J211"/>
    <hyperlink r:id="rId132" ref="K211"/>
    <hyperlink r:id="rId133" location="gid=1715541541" ref="J212"/>
    <hyperlink r:id="rId134" location="gid=1745739766" ref="J213"/>
    <hyperlink r:id="rId135" ref="K213"/>
    <hyperlink r:id="rId136" location="gid=1648385259" ref="J214"/>
    <hyperlink r:id="rId137" location="gid=1426054658" ref="J215"/>
    <hyperlink r:id="rId138" location="gid=1944955293" ref="J216"/>
    <hyperlink r:id="rId139" ref="K216"/>
    <hyperlink r:id="rId140" location="gid=1870096044" ref="J217"/>
    <hyperlink r:id="rId141" location="gid=1430585638" ref="J218"/>
    <hyperlink r:id="rId142" ref="K218"/>
    <hyperlink r:id="rId143" location="gid=17563487" ref="J219"/>
    <hyperlink r:id="rId144" location="gid=1916178969" ref="J220"/>
    <hyperlink r:id="rId145" location="gid=1455966079" ref="J221"/>
    <hyperlink r:id="rId146" location="gid=908346785" ref="J224"/>
    <hyperlink r:id="rId147" location="gid=1609263203" ref="J225"/>
    <hyperlink r:id="rId148" location="gid=1593340955" ref="J226"/>
    <hyperlink r:id="rId149" location="gid=335429819" ref="J227"/>
    <hyperlink r:id="rId150" location="gid=1735599010" ref="J228"/>
    <hyperlink r:id="rId151" location="gid=1504466944" ref="J229"/>
    <hyperlink r:id="rId152" location="gid=2132720371" ref="J230"/>
    <hyperlink r:id="rId153" ref="K230"/>
    <hyperlink r:id="rId154" location="gid=763040175" ref="J231"/>
    <hyperlink r:id="rId155" location="gid=1865118876" ref="J233"/>
    <hyperlink r:id="rId156" ref="K233"/>
    <hyperlink r:id="rId157" location="gid=1728236412" ref="J234"/>
    <hyperlink r:id="rId158" location="gid=2126809757" ref="J235"/>
    <hyperlink r:id="rId159" location="gid=1377920249" ref="J236"/>
    <hyperlink r:id="rId160" location="gid=570396026" ref="J237"/>
    <hyperlink r:id="rId161" location="gid=701601389" ref="J238"/>
    <hyperlink r:id="rId162" location="gid=2011623621" ref="J239"/>
    <hyperlink r:id="rId163" ref="K239"/>
    <hyperlink r:id="rId164" location="gid=964974032" ref="J240"/>
    <hyperlink r:id="rId165" location="gid=1666294966" ref="J241"/>
    <hyperlink r:id="rId166" location="gid=444385228" ref="J242"/>
    <hyperlink r:id="rId167" location="gid=987830810" ref="J243"/>
    <hyperlink r:id="rId168" location="gid=48405114" ref="J244"/>
    <hyperlink r:id="rId169" location="gid=413594252" ref="J245"/>
    <hyperlink r:id="rId170" location="gid=955409547" ref="J246"/>
    <hyperlink r:id="rId171" location="gid=930912850" ref="J247"/>
    <hyperlink r:id="rId172" location="gid=44399105" ref="J248"/>
    <hyperlink r:id="rId173" location="gid=60135188" ref="J249"/>
    <hyperlink r:id="rId174" location="gid=338449454" ref="J250"/>
    <hyperlink r:id="rId175" location="gid=945188652" ref="J251"/>
    <hyperlink r:id="rId176" location="gid=1021209176" ref="J252"/>
    <hyperlink r:id="rId177" location="gid=363267103" ref="J255"/>
    <hyperlink r:id="rId178" location="gid=673551977" ref="J256"/>
    <hyperlink r:id="rId179" location="gid=198115662" ref="J257"/>
    <hyperlink r:id="rId180" location="gid=1120669271" ref="J259"/>
  </hyperlinks>
  <drawing r:id="rId18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9.88"/>
    <col customWidth="1" min="3" max="3" width="11.88"/>
    <col customWidth="1" min="4" max="4" width="10.13"/>
    <col customWidth="1" min="5" max="5" width="23.5"/>
    <col customWidth="1" min="6" max="6" width="10.5"/>
    <col customWidth="1" min="7" max="7" width="18.13"/>
    <col customWidth="1" min="8" max="8" width="21.38"/>
    <col customWidth="1" min="11" max="11" width="15.38"/>
    <col customWidth="1" min="13" max="13" width="19.63"/>
  </cols>
  <sheetData>
    <row r="1" ht="26.25" customHeight="1">
      <c r="A1" s="98" t="s">
        <v>3234</v>
      </c>
      <c r="B1" s="98" t="s">
        <v>12</v>
      </c>
      <c r="C1" s="98" t="s">
        <v>3235</v>
      </c>
      <c r="D1" s="98" t="s">
        <v>3236</v>
      </c>
      <c r="E1" s="98" t="s">
        <v>3237</v>
      </c>
      <c r="F1" s="98" t="s">
        <v>3238</v>
      </c>
      <c r="G1" s="98" t="s">
        <v>3239</v>
      </c>
      <c r="H1" s="98" t="s">
        <v>3240</v>
      </c>
      <c r="I1" s="98" t="s">
        <v>3241</v>
      </c>
      <c r="J1" s="98" t="s">
        <v>3242</v>
      </c>
      <c r="K1" s="98" t="s">
        <v>3243</v>
      </c>
      <c r="L1" s="98" t="s">
        <v>3244</v>
      </c>
      <c r="N1" s="99"/>
      <c r="O1" s="99"/>
      <c r="P1" s="99"/>
      <c r="Q1" s="99"/>
      <c r="R1" s="99"/>
      <c r="S1" s="99"/>
      <c r="T1" s="99"/>
      <c r="U1" s="99"/>
      <c r="V1" s="99"/>
      <c r="W1" s="99"/>
      <c r="X1" s="99"/>
      <c r="Y1" s="99"/>
      <c r="Z1" s="99"/>
      <c r="AA1" s="99"/>
    </row>
    <row r="2">
      <c r="A2" s="100">
        <v>45971.0</v>
      </c>
      <c r="B2" s="2" t="s">
        <v>17</v>
      </c>
      <c r="C2" s="101">
        <v>0.3680555555555556</v>
      </c>
      <c r="D2" s="15" t="s">
        <v>3245</v>
      </c>
      <c r="E2" s="101"/>
      <c r="F2" s="101">
        <v>0.7534722222222222</v>
      </c>
      <c r="G2" s="15" t="s">
        <v>3246</v>
      </c>
      <c r="H2" s="15" t="s">
        <v>3247</v>
      </c>
      <c r="I2" s="102">
        <v>4.0</v>
      </c>
      <c r="J2" s="15" t="s">
        <v>3248</v>
      </c>
      <c r="K2" s="15" t="s">
        <v>3249</v>
      </c>
      <c r="L2" s="15" t="s">
        <v>3250</v>
      </c>
      <c r="N2" s="6"/>
    </row>
    <row r="3">
      <c r="A3" s="100">
        <v>45971.0</v>
      </c>
      <c r="B3" s="2" t="s">
        <v>19</v>
      </c>
      <c r="C3" s="101">
        <v>0.36944444444444446</v>
      </c>
      <c r="D3" s="15" t="s">
        <v>3251</v>
      </c>
      <c r="E3" s="101"/>
      <c r="F3" s="101">
        <v>0.75625</v>
      </c>
      <c r="G3" s="15" t="s">
        <v>3252</v>
      </c>
      <c r="H3" s="15" t="s">
        <v>3253</v>
      </c>
      <c r="I3" s="102">
        <v>3.0</v>
      </c>
      <c r="J3" s="15" t="s">
        <v>3254</v>
      </c>
      <c r="K3" s="15" t="s">
        <v>3255</v>
      </c>
      <c r="L3" s="15" t="s">
        <v>3256</v>
      </c>
      <c r="N3" s="6"/>
    </row>
    <row r="4">
      <c r="A4" s="103">
        <v>45971.0</v>
      </c>
      <c r="B4" s="2" t="s">
        <v>21</v>
      </c>
      <c r="C4" s="101">
        <v>0.3736111111111111</v>
      </c>
      <c r="D4" s="15" t="s">
        <v>3257</v>
      </c>
      <c r="E4" s="101"/>
      <c r="F4" s="101">
        <v>0.7506944444444444</v>
      </c>
      <c r="G4" s="15" t="s">
        <v>3258</v>
      </c>
      <c r="H4" s="15" t="s">
        <v>3259</v>
      </c>
      <c r="I4" s="102">
        <v>4.0</v>
      </c>
      <c r="J4" s="15" t="s">
        <v>3260</v>
      </c>
      <c r="K4" s="15" t="s">
        <v>3261</v>
      </c>
      <c r="L4" s="15" t="s">
        <v>3262</v>
      </c>
      <c r="N4" s="6"/>
    </row>
    <row r="5">
      <c r="A5" s="100">
        <v>45971.0</v>
      </c>
      <c r="B5" s="2" t="s">
        <v>23</v>
      </c>
      <c r="C5" s="101">
        <v>0.3659722222222222</v>
      </c>
      <c r="D5" s="15" t="s">
        <v>3263</v>
      </c>
      <c r="E5" s="101"/>
      <c r="F5" s="101">
        <v>0.7541666666666667</v>
      </c>
      <c r="G5" s="15" t="s">
        <v>3264</v>
      </c>
      <c r="H5" s="15" t="s">
        <v>3265</v>
      </c>
      <c r="I5" s="102">
        <v>5.0</v>
      </c>
      <c r="J5" s="15" t="s">
        <v>3266</v>
      </c>
      <c r="K5" s="15" t="s">
        <v>3267</v>
      </c>
      <c r="L5" s="15" t="s">
        <v>3268</v>
      </c>
      <c r="N5" s="6"/>
    </row>
    <row r="6">
      <c r="A6" s="100">
        <v>45971.0</v>
      </c>
      <c r="B6" s="2" t="s">
        <v>25</v>
      </c>
      <c r="C6" s="101">
        <v>0.3701388888888889</v>
      </c>
      <c r="D6" s="15" t="s">
        <v>3269</v>
      </c>
      <c r="E6" s="101"/>
      <c r="F6" s="101">
        <v>0.7451388888888889</v>
      </c>
      <c r="G6" s="15" t="s">
        <v>3270</v>
      </c>
      <c r="H6" s="15" t="s">
        <v>3271</v>
      </c>
      <c r="I6" s="102">
        <v>5.0</v>
      </c>
      <c r="J6" s="15" t="s">
        <v>3272</v>
      </c>
      <c r="K6" s="15" t="s">
        <v>3273</v>
      </c>
      <c r="L6" s="15" t="s">
        <v>3274</v>
      </c>
      <c r="N6" s="6"/>
    </row>
    <row r="7">
      <c r="A7" s="100">
        <v>45971.0</v>
      </c>
      <c r="B7" s="2" t="s">
        <v>27</v>
      </c>
      <c r="C7" s="101">
        <v>0.36666666666666664</v>
      </c>
      <c r="D7" s="15" t="s">
        <v>3275</v>
      </c>
      <c r="E7" s="101"/>
      <c r="F7" s="101">
        <v>0.7513888888888889</v>
      </c>
      <c r="G7" s="15" t="s">
        <v>3276</v>
      </c>
      <c r="H7" s="15" t="s">
        <v>3277</v>
      </c>
      <c r="I7" s="102">
        <v>4.0</v>
      </c>
      <c r="J7" s="15" t="s">
        <v>3278</v>
      </c>
      <c r="K7" s="15" t="s">
        <v>3279</v>
      </c>
      <c r="L7" s="15" t="s">
        <v>3280</v>
      </c>
      <c r="N7" s="6"/>
    </row>
    <row r="8">
      <c r="A8" s="100">
        <v>45971.0</v>
      </c>
      <c r="B8" s="2" t="s">
        <v>31</v>
      </c>
      <c r="C8" s="101">
        <v>0.3659722222222222</v>
      </c>
      <c r="D8" s="15" t="s">
        <v>3281</v>
      </c>
      <c r="E8" s="101"/>
      <c r="F8" s="101">
        <v>0.7486111111111111</v>
      </c>
      <c r="G8" s="15" t="s">
        <v>3282</v>
      </c>
      <c r="H8" s="15" t="s">
        <v>3283</v>
      </c>
      <c r="I8" s="102">
        <v>4.0</v>
      </c>
      <c r="J8" s="15" t="s">
        <v>3284</v>
      </c>
      <c r="K8" s="15" t="s">
        <v>3285</v>
      </c>
      <c r="L8" s="15" t="s">
        <v>3286</v>
      </c>
      <c r="N8" s="6"/>
    </row>
    <row r="9">
      <c r="A9" s="100">
        <v>45971.0</v>
      </c>
      <c r="B9" s="2" t="s">
        <v>35</v>
      </c>
      <c r="C9" s="101">
        <v>0.36944444444444446</v>
      </c>
      <c r="D9" s="15" t="s">
        <v>3287</v>
      </c>
      <c r="E9" s="101"/>
      <c r="F9" s="101">
        <v>0.7513888888888889</v>
      </c>
      <c r="G9" s="15" t="s">
        <v>3288</v>
      </c>
      <c r="H9" s="15" t="s">
        <v>3289</v>
      </c>
      <c r="I9" s="102">
        <v>5.0</v>
      </c>
      <c r="J9" s="15" t="s">
        <v>3284</v>
      </c>
      <c r="K9" s="15" t="s">
        <v>3290</v>
      </c>
      <c r="L9" s="15" t="s">
        <v>3291</v>
      </c>
      <c r="N9" s="6"/>
    </row>
    <row r="10">
      <c r="A10" s="100">
        <v>45971.0</v>
      </c>
      <c r="B10" s="2" t="s">
        <v>38</v>
      </c>
      <c r="C10" s="101">
        <v>0.37222222222222223</v>
      </c>
      <c r="D10" s="15" t="s">
        <v>3292</v>
      </c>
      <c r="E10" s="101"/>
      <c r="F10" s="101">
        <v>0.7506944444444444</v>
      </c>
      <c r="G10" s="15" t="s">
        <v>3293</v>
      </c>
      <c r="H10" s="15" t="s">
        <v>3294</v>
      </c>
      <c r="I10" s="102">
        <v>5.0</v>
      </c>
      <c r="J10" s="15" t="s">
        <v>3295</v>
      </c>
      <c r="K10" s="15" t="s">
        <v>3296</v>
      </c>
      <c r="L10" s="15" t="s">
        <v>3297</v>
      </c>
      <c r="N10" s="6"/>
    </row>
    <row r="11">
      <c r="A11" s="100">
        <v>45971.0</v>
      </c>
      <c r="B11" s="2" t="s">
        <v>39</v>
      </c>
      <c r="C11" s="101">
        <v>0.37222222222222223</v>
      </c>
      <c r="D11" s="15" t="s">
        <v>3298</v>
      </c>
      <c r="E11" s="101"/>
      <c r="F11" s="101">
        <v>0.7486111111111111</v>
      </c>
      <c r="G11" s="15" t="s">
        <v>3299</v>
      </c>
      <c r="H11" s="15" t="s">
        <v>3300</v>
      </c>
      <c r="I11" s="102">
        <v>2.0</v>
      </c>
      <c r="J11" s="15" t="s">
        <v>3301</v>
      </c>
      <c r="K11" s="15" t="s">
        <v>3302</v>
      </c>
      <c r="L11" s="15" t="s">
        <v>171</v>
      </c>
      <c r="N11" s="6"/>
    </row>
    <row r="12">
      <c r="A12" s="100">
        <v>45971.0</v>
      </c>
      <c r="B12" s="2" t="s">
        <v>41</v>
      </c>
      <c r="C12" s="101">
        <v>0.35347222222222224</v>
      </c>
      <c r="D12" s="15" t="s">
        <v>3303</v>
      </c>
      <c r="E12" s="101"/>
      <c r="F12" s="101">
        <v>0.75</v>
      </c>
      <c r="G12" s="15" t="s">
        <v>3304</v>
      </c>
      <c r="H12" s="15" t="s">
        <v>3305</v>
      </c>
      <c r="I12" s="102">
        <v>5.0</v>
      </c>
      <c r="J12" s="15" t="s">
        <v>3306</v>
      </c>
      <c r="K12" s="15" t="s">
        <v>3307</v>
      </c>
      <c r="L12" s="15" t="s">
        <v>3308</v>
      </c>
      <c r="N12" s="6"/>
    </row>
    <row r="13">
      <c r="A13" s="100">
        <v>45974.0</v>
      </c>
      <c r="B13" s="2" t="s">
        <v>17</v>
      </c>
      <c r="C13" s="101">
        <v>0.36875</v>
      </c>
      <c r="D13" s="15" t="s">
        <v>3309</v>
      </c>
      <c r="E13" s="15" t="s">
        <v>3310</v>
      </c>
      <c r="F13" s="101">
        <v>0.7527777777777778</v>
      </c>
      <c r="G13" s="15" t="s">
        <v>3311</v>
      </c>
      <c r="H13" s="15" t="s">
        <v>3312</v>
      </c>
      <c r="I13" s="15">
        <v>9.0</v>
      </c>
      <c r="J13" s="15" t="s">
        <v>3313</v>
      </c>
      <c r="K13" s="15" t="s">
        <v>3314</v>
      </c>
      <c r="L13" s="15" t="s">
        <v>611</v>
      </c>
      <c r="M13" s="6"/>
      <c r="N13" s="6"/>
    </row>
    <row r="14">
      <c r="A14" s="100">
        <v>45974.0</v>
      </c>
      <c r="B14" s="2" t="s">
        <v>19</v>
      </c>
      <c r="C14" s="101">
        <v>0.36875</v>
      </c>
      <c r="D14" s="15" t="s">
        <v>3315</v>
      </c>
      <c r="E14" s="15" t="s">
        <v>3316</v>
      </c>
      <c r="F14" s="101">
        <v>0.7534722222222222</v>
      </c>
      <c r="G14" s="15" t="s">
        <v>3317</v>
      </c>
      <c r="H14" s="15" t="s">
        <v>3318</v>
      </c>
      <c r="I14" s="15">
        <v>12.0</v>
      </c>
      <c r="J14" s="15" t="s">
        <v>3319</v>
      </c>
      <c r="K14" s="15" t="s">
        <v>3320</v>
      </c>
      <c r="L14" s="15" t="s">
        <v>611</v>
      </c>
      <c r="M14" s="6"/>
      <c r="N14" s="6"/>
    </row>
    <row r="15">
      <c r="A15" s="100">
        <v>45974.0</v>
      </c>
      <c r="B15" s="2" t="s">
        <v>21</v>
      </c>
      <c r="C15" s="101">
        <v>0.3736111111111111</v>
      </c>
      <c r="D15" s="15" t="s">
        <v>3321</v>
      </c>
      <c r="E15" s="15" t="s">
        <v>3322</v>
      </c>
      <c r="F15" s="101">
        <v>0.7527777777777778</v>
      </c>
      <c r="G15" s="15" t="s">
        <v>3323</v>
      </c>
      <c r="H15" s="15" t="s">
        <v>3324</v>
      </c>
      <c r="I15" s="15">
        <v>9.0</v>
      </c>
      <c r="J15" s="15" t="s">
        <v>3325</v>
      </c>
      <c r="K15" s="15" t="s">
        <v>3326</v>
      </c>
      <c r="L15" s="15" t="s">
        <v>611</v>
      </c>
      <c r="M15" s="6"/>
      <c r="N15" s="6"/>
    </row>
    <row r="16">
      <c r="A16" s="100">
        <v>45974.0</v>
      </c>
      <c r="B16" s="2" t="s">
        <v>23</v>
      </c>
      <c r="C16" s="101">
        <v>0.36319444444444443</v>
      </c>
      <c r="D16" s="15" t="s">
        <v>3327</v>
      </c>
      <c r="E16" s="15" t="s">
        <v>3328</v>
      </c>
      <c r="F16" s="101">
        <v>0.7513888888888889</v>
      </c>
      <c r="G16" s="15" t="s">
        <v>3329</v>
      </c>
      <c r="H16" s="15" t="s">
        <v>3330</v>
      </c>
      <c r="I16" s="15">
        <v>13.0</v>
      </c>
      <c r="J16" s="15" t="s">
        <v>3331</v>
      </c>
      <c r="K16" s="15" t="s">
        <v>3332</v>
      </c>
      <c r="L16" s="15" t="s">
        <v>611</v>
      </c>
      <c r="M16" s="6"/>
      <c r="N16" s="6"/>
    </row>
    <row r="17">
      <c r="A17" s="100">
        <v>45974.0</v>
      </c>
      <c r="B17" s="15" t="s">
        <v>25</v>
      </c>
      <c r="C17" s="101">
        <v>0.35833333333333334</v>
      </c>
      <c r="D17" s="15" t="s">
        <v>3333</v>
      </c>
      <c r="E17" s="15" t="s">
        <v>3334</v>
      </c>
      <c r="F17" s="101">
        <v>0.7430555555555556</v>
      </c>
      <c r="G17" s="15" t="s">
        <v>3335</v>
      </c>
      <c r="H17" s="15" t="s">
        <v>3336</v>
      </c>
      <c r="I17" s="15">
        <v>12.0</v>
      </c>
      <c r="J17" s="15" t="s">
        <v>3278</v>
      </c>
      <c r="K17" s="15" t="s">
        <v>3337</v>
      </c>
      <c r="L17" s="15" t="s">
        <v>611</v>
      </c>
      <c r="M17" s="6"/>
      <c r="N17" s="6"/>
    </row>
    <row r="18">
      <c r="A18" s="100">
        <v>45974.0</v>
      </c>
      <c r="B18" s="15" t="s">
        <v>27</v>
      </c>
      <c r="C18" s="101">
        <v>0.36875</v>
      </c>
      <c r="D18" s="15" t="s">
        <v>3338</v>
      </c>
      <c r="E18" s="15" t="s">
        <v>3339</v>
      </c>
      <c r="F18" s="101">
        <v>0.7520833333333333</v>
      </c>
      <c r="G18" s="15" t="s">
        <v>3340</v>
      </c>
      <c r="H18" s="15" t="s">
        <v>3341</v>
      </c>
      <c r="I18" s="15">
        <v>8.0</v>
      </c>
      <c r="J18" s="15" t="s">
        <v>3313</v>
      </c>
      <c r="K18" s="15" t="s">
        <v>3342</v>
      </c>
      <c r="L18" s="15" t="s">
        <v>611</v>
      </c>
      <c r="M18" s="6"/>
      <c r="N18" s="6"/>
    </row>
    <row r="19">
      <c r="A19" s="100">
        <v>45974.0</v>
      </c>
      <c r="B19" s="15" t="s">
        <v>29</v>
      </c>
      <c r="C19" s="101">
        <v>0.36944444444444446</v>
      </c>
      <c r="D19" s="15" t="s">
        <v>3343</v>
      </c>
      <c r="E19" s="15" t="s">
        <v>3344</v>
      </c>
      <c r="F19" s="101">
        <v>0.7513888888888889</v>
      </c>
      <c r="G19" s="15" t="s">
        <v>3345</v>
      </c>
      <c r="H19" s="15" t="s">
        <v>3346</v>
      </c>
      <c r="I19" s="15">
        <v>6.0</v>
      </c>
      <c r="J19" s="15" t="s">
        <v>3284</v>
      </c>
      <c r="K19" s="15" t="s">
        <v>3347</v>
      </c>
      <c r="L19" s="15" t="s">
        <v>611</v>
      </c>
      <c r="M19" s="6"/>
      <c r="N19" s="6"/>
    </row>
    <row r="20">
      <c r="A20" s="100">
        <v>45974.0</v>
      </c>
      <c r="B20" s="15" t="s">
        <v>31</v>
      </c>
      <c r="C20" s="101">
        <v>0.37916666666666665</v>
      </c>
      <c r="D20" s="15" t="s">
        <v>3348</v>
      </c>
      <c r="E20" s="15" t="s">
        <v>3349</v>
      </c>
      <c r="F20" s="101">
        <v>0.7493055555555556</v>
      </c>
      <c r="G20" s="15" t="s">
        <v>3350</v>
      </c>
      <c r="H20" s="15" t="s">
        <v>3351</v>
      </c>
      <c r="I20" s="15">
        <v>10.0</v>
      </c>
      <c r="J20" s="15" t="s">
        <v>3352</v>
      </c>
      <c r="K20" s="15" t="s">
        <v>3353</v>
      </c>
      <c r="L20" s="15" t="s">
        <v>611</v>
      </c>
      <c r="M20" s="6"/>
      <c r="N20" s="6"/>
    </row>
    <row r="21">
      <c r="A21" s="100">
        <v>45974.0</v>
      </c>
      <c r="B21" s="15" t="s">
        <v>33</v>
      </c>
      <c r="C21" s="101">
        <v>0.37916666666666665</v>
      </c>
      <c r="D21" s="15" t="s">
        <v>3354</v>
      </c>
      <c r="E21" s="15" t="s">
        <v>3355</v>
      </c>
      <c r="F21" s="101">
        <v>0.7631944444444444</v>
      </c>
      <c r="G21" s="15" t="s">
        <v>3356</v>
      </c>
      <c r="H21" s="15" t="s">
        <v>3357</v>
      </c>
      <c r="I21" s="15">
        <v>11.0</v>
      </c>
      <c r="J21" s="15" t="s">
        <v>3278</v>
      </c>
      <c r="K21" s="15" t="s">
        <v>3358</v>
      </c>
      <c r="L21" s="15" t="s">
        <v>611</v>
      </c>
      <c r="M21" s="6"/>
      <c r="N21" s="6"/>
    </row>
    <row r="22">
      <c r="A22" s="100">
        <v>45974.0</v>
      </c>
      <c r="B22" s="15" t="s">
        <v>35</v>
      </c>
      <c r="C22" s="101">
        <v>0.4027777777777778</v>
      </c>
      <c r="D22" s="15" t="s">
        <v>3359</v>
      </c>
      <c r="E22" s="15" t="s">
        <v>3360</v>
      </c>
      <c r="F22" s="101">
        <v>0.7583333333333333</v>
      </c>
      <c r="G22" s="15" t="s">
        <v>3361</v>
      </c>
      <c r="H22" s="15" t="s">
        <v>3324</v>
      </c>
      <c r="I22" s="15">
        <v>15.0</v>
      </c>
      <c r="J22" s="15" t="s">
        <v>3362</v>
      </c>
      <c r="K22" s="15" t="s">
        <v>3363</v>
      </c>
      <c r="L22" s="15" t="s">
        <v>611</v>
      </c>
      <c r="M22" s="6"/>
      <c r="N22" s="6"/>
    </row>
    <row r="23">
      <c r="A23" s="100">
        <v>45973.0</v>
      </c>
      <c r="B23" s="15" t="s">
        <v>39</v>
      </c>
      <c r="C23" s="101">
        <v>0.3715277777777778</v>
      </c>
      <c r="D23" s="15" t="s">
        <v>3364</v>
      </c>
      <c r="E23" s="15" t="s">
        <v>3365</v>
      </c>
      <c r="F23" s="101">
        <v>0.75</v>
      </c>
      <c r="G23" s="15" t="s">
        <v>3366</v>
      </c>
      <c r="H23" s="15" t="s">
        <v>3365</v>
      </c>
      <c r="I23" s="15">
        <v>0.0</v>
      </c>
      <c r="J23" s="15" t="s">
        <v>3295</v>
      </c>
      <c r="K23" s="15" t="s">
        <v>611</v>
      </c>
      <c r="L23" s="15" t="s">
        <v>3295</v>
      </c>
      <c r="M23" s="6"/>
      <c r="N23" s="6"/>
    </row>
    <row r="24">
      <c r="A24" s="100">
        <v>45974.0</v>
      </c>
      <c r="B24" s="15" t="s">
        <v>41</v>
      </c>
      <c r="C24" s="101">
        <v>0.3590277777777778</v>
      </c>
      <c r="D24" s="15" t="s">
        <v>3367</v>
      </c>
      <c r="E24" s="15" t="s">
        <v>3368</v>
      </c>
      <c r="F24" s="101">
        <v>0.75</v>
      </c>
      <c r="G24" s="15" t="s">
        <v>3369</v>
      </c>
      <c r="H24" s="15" t="s">
        <v>3370</v>
      </c>
      <c r="I24" s="15">
        <v>14.0</v>
      </c>
      <c r="J24" s="15" t="s">
        <v>3371</v>
      </c>
      <c r="K24" s="15" t="s">
        <v>3372</v>
      </c>
      <c r="L24" s="15" t="s">
        <v>611</v>
      </c>
      <c r="M24" s="6"/>
      <c r="N24" s="6"/>
    </row>
    <row r="25">
      <c r="A25" s="103"/>
      <c r="B25" s="15"/>
      <c r="C25" s="101"/>
      <c r="D25" s="15"/>
      <c r="E25" s="101"/>
      <c r="F25" s="15"/>
      <c r="G25" s="15"/>
      <c r="H25" s="15"/>
      <c r="I25" s="15"/>
      <c r="J25" s="15"/>
      <c r="K25" s="15"/>
      <c r="L25" s="15"/>
      <c r="M25" s="6"/>
      <c r="N25" s="6"/>
    </row>
    <row r="26">
      <c r="A26" s="103"/>
      <c r="B26" s="15"/>
      <c r="C26" s="101"/>
      <c r="D26" s="15"/>
      <c r="E26" s="15"/>
      <c r="F26" s="101"/>
      <c r="G26" s="15"/>
      <c r="H26" s="15"/>
      <c r="I26" s="102"/>
      <c r="J26" s="15"/>
      <c r="K26" s="15"/>
      <c r="L26" s="15"/>
      <c r="M26" s="6"/>
      <c r="N26" s="6"/>
    </row>
    <row r="27">
      <c r="A27" s="103"/>
      <c r="B27" s="15"/>
      <c r="C27" s="101"/>
      <c r="D27" s="15"/>
      <c r="E27" s="15"/>
      <c r="F27" s="101"/>
      <c r="G27" s="15"/>
      <c r="H27" s="15"/>
      <c r="I27" s="102"/>
      <c r="J27" s="15"/>
      <c r="K27" s="15"/>
      <c r="L27" s="15"/>
      <c r="M27" s="6"/>
      <c r="N27" s="6"/>
    </row>
    <row r="28">
      <c r="A28" s="103"/>
      <c r="B28" s="15"/>
      <c r="C28" s="101"/>
      <c r="D28" s="15"/>
      <c r="E28" s="15"/>
      <c r="F28" s="101"/>
      <c r="G28" s="15"/>
      <c r="H28" s="15"/>
      <c r="I28" s="102"/>
      <c r="J28" s="15"/>
      <c r="K28" s="15"/>
      <c r="L28" s="15"/>
      <c r="M28" s="6"/>
      <c r="N28" s="6"/>
    </row>
    <row r="29">
      <c r="A29" s="103"/>
      <c r="B29" s="15"/>
      <c r="C29" s="101"/>
      <c r="D29" s="15"/>
      <c r="E29" s="15"/>
      <c r="F29" s="101"/>
      <c r="G29" s="6"/>
      <c r="H29" s="15"/>
      <c r="I29" s="102"/>
      <c r="J29" s="15"/>
      <c r="K29" s="15"/>
      <c r="L29" s="15"/>
      <c r="M29" s="6"/>
      <c r="N29" s="6"/>
    </row>
    <row r="30">
      <c r="A30" s="103"/>
      <c r="B30" s="15"/>
      <c r="C30" s="101"/>
      <c r="D30" s="15"/>
      <c r="E30" s="15"/>
      <c r="F30" s="101"/>
      <c r="G30" s="15"/>
      <c r="H30" s="15"/>
      <c r="I30" s="102"/>
      <c r="J30" s="15"/>
      <c r="K30" s="15"/>
      <c r="L30" s="15"/>
      <c r="M30" s="6"/>
      <c r="N30" s="6"/>
    </row>
    <row r="31">
      <c r="A31" s="103"/>
      <c r="B31" s="15"/>
      <c r="C31" s="101"/>
      <c r="D31" s="15"/>
      <c r="E31" s="15"/>
      <c r="F31" s="101"/>
      <c r="G31" s="15"/>
      <c r="H31" s="15"/>
      <c r="I31" s="102"/>
      <c r="J31" s="15"/>
      <c r="K31" s="15"/>
      <c r="L31" s="15"/>
      <c r="M31" s="6"/>
      <c r="N31" s="6"/>
    </row>
    <row r="32">
      <c r="A32" s="103"/>
      <c r="B32" s="15"/>
      <c r="C32" s="101"/>
      <c r="D32" s="15"/>
      <c r="E32" s="15"/>
      <c r="F32" s="101"/>
      <c r="G32" s="6"/>
      <c r="H32" s="15"/>
      <c r="I32" s="102"/>
      <c r="J32" s="15"/>
      <c r="K32" s="15"/>
      <c r="L32" s="15"/>
      <c r="M32" s="6"/>
      <c r="N32" s="6"/>
    </row>
    <row r="33">
      <c r="A33" s="103"/>
      <c r="B33" s="15"/>
      <c r="C33" s="101"/>
      <c r="D33" s="15"/>
      <c r="E33" s="15"/>
      <c r="F33" s="101"/>
      <c r="G33" s="15"/>
      <c r="H33" s="15"/>
      <c r="I33" s="102"/>
      <c r="J33" s="15"/>
      <c r="K33" s="15"/>
      <c r="L33" s="15"/>
      <c r="M33" s="6"/>
      <c r="N33" s="6"/>
    </row>
    <row r="34">
      <c r="A34" s="103"/>
      <c r="B34" s="15"/>
      <c r="C34" s="101"/>
      <c r="D34" s="15"/>
      <c r="E34" s="15"/>
      <c r="F34" s="101"/>
      <c r="G34" s="15"/>
      <c r="H34" s="15"/>
      <c r="I34" s="102"/>
      <c r="J34" s="15"/>
      <c r="K34" s="15"/>
      <c r="L34" s="15"/>
      <c r="M34" s="6"/>
      <c r="N34" s="6"/>
    </row>
    <row r="35">
      <c r="A35" s="103"/>
      <c r="B35" s="15"/>
      <c r="C35" s="101"/>
      <c r="D35" s="15"/>
      <c r="E35" s="15"/>
      <c r="F35" s="101"/>
      <c r="G35" s="15"/>
      <c r="H35" s="15"/>
      <c r="I35" s="102"/>
      <c r="J35" s="15"/>
      <c r="K35" s="15"/>
      <c r="L35" s="15"/>
      <c r="M35" s="6"/>
      <c r="N35" s="6"/>
    </row>
    <row r="36">
      <c r="A36" s="103"/>
      <c r="B36" s="15"/>
      <c r="C36" s="101"/>
      <c r="D36" s="15"/>
      <c r="E36" s="15"/>
      <c r="F36" s="101"/>
      <c r="G36" s="6"/>
      <c r="H36" s="15"/>
      <c r="I36" s="102"/>
      <c r="J36" s="15"/>
      <c r="K36" s="15"/>
      <c r="L36" s="15"/>
      <c r="M36" s="6"/>
      <c r="N36" s="6"/>
    </row>
    <row r="37">
      <c r="A37" s="103"/>
      <c r="B37" s="15"/>
      <c r="C37" s="101"/>
      <c r="D37" s="15"/>
      <c r="E37" s="15"/>
      <c r="F37" s="101"/>
      <c r="G37" s="15"/>
      <c r="H37" s="15"/>
      <c r="I37" s="102"/>
      <c r="J37" s="15"/>
      <c r="K37" s="15"/>
      <c r="L37" s="15"/>
      <c r="M37" s="6"/>
      <c r="N37" s="6"/>
    </row>
    <row r="38">
      <c r="A38" s="103"/>
      <c r="B38" s="15"/>
      <c r="C38" s="101"/>
      <c r="D38" s="15"/>
      <c r="E38" s="15"/>
      <c r="F38" s="101"/>
      <c r="G38" s="6"/>
      <c r="H38" s="15"/>
      <c r="I38" s="102"/>
      <c r="J38" s="15"/>
      <c r="K38" s="15"/>
      <c r="L38" s="15"/>
      <c r="M38" s="6"/>
      <c r="N38" s="6"/>
    </row>
    <row r="39">
      <c r="A39" s="103"/>
      <c r="B39" s="15"/>
      <c r="C39" s="101"/>
      <c r="D39" s="15"/>
      <c r="E39" s="15"/>
      <c r="F39" s="101"/>
      <c r="G39" s="6"/>
      <c r="H39" s="15"/>
      <c r="I39" s="102"/>
      <c r="J39" s="15"/>
      <c r="K39" s="15"/>
      <c r="L39" s="15"/>
      <c r="M39" s="6"/>
      <c r="N39" s="6"/>
    </row>
    <row r="40">
      <c r="A40" s="103"/>
      <c r="B40" s="15"/>
      <c r="C40" s="101"/>
      <c r="D40" s="15"/>
      <c r="E40" s="15"/>
      <c r="F40" s="101"/>
      <c r="G40" s="15"/>
      <c r="H40" s="15"/>
      <c r="I40" s="102"/>
      <c r="J40" s="15"/>
      <c r="K40" s="15"/>
      <c r="L40" s="15"/>
      <c r="M40" s="6"/>
      <c r="N40" s="6"/>
    </row>
    <row r="41">
      <c r="A41" s="103"/>
      <c r="B41" s="15"/>
      <c r="C41" s="101"/>
      <c r="D41" s="15"/>
      <c r="E41" s="15"/>
      <c r="F41" s="101"/>
      <c r="G41" s="15"/>
      <c r="H41" s="15"/>
      <c r="I41" s="102"/>
      <c r="J41" s="15"/>
      <c r="K41" s="15"/>
      <c r="L41" s="15"/>
      <c r="M41" s="6"/>
      <c r="N41" s="6"/>
    </row>
    <row r="42">
      <c r="A42" s="103"/>
      <c r="B42" s="15"/>
      <c r="C42" s="101"/>
      <c r="D42" s="15"/>
      <c r="E42" s="15"/>
      <c r="F42" s="101"/>
      <c r="G42" s="15"/>
      <c r="H42" s="15"/>
      <c r="I42" s="102"/>
      <c r="J42" s="15"/>
      <c r="K42" s="15"/>
      <c r="L42" s="15"/>
      <c r="M42" s="6"/>
      <c r="N42" s="6"/>
    </row>
    <row r="43">
      <c r="A43" s="103"/>
      <c r="B43" s="15"/>
      <c r="C43" s="101"/>
      <c r="D43" s="15"/>
      <c r="E43" s="15"/>
      <c r="F43" s="101"/>
      <c r="G43" s="15"/>
      <c r="H43" s="15"/>
      <c r="I43" s="102"/>
      <c r="J43" s="15"/>
      <c r="K43" s="15"/>
      <c r="L43" s="15"/>
      <c r="M43" s="6"/>
      <c r="N43" s="6"/>
    </row>
    <row r="44">
      <c r="A44" s="103"/>
      <c r="B44" s="15"/>
      <c r="C44" s="101"/>
      <c r="D44" s="15"/>
      <c r="E44" s="15"/>
      <c r="F44" s="101"/>
      <c r="G44" s="15"/>
      <c r="H44" s="15"/>
      <c r="I44" s="102"/>
      <c r="J44" s="15"/>
      <c r="K44" s="15"/>
      <c r="L44" s="15"/>
      <c r="M44" s="6"/>
      <c r="N44" s="6"/>
    </row>
    <row r="45">
      <c r="A45" s="103"/>
      <c r="B45" s="15"/>
      <c r="C45" s="101"/>
      <c r="D45" s="15"/>
      <c r="E45" s="15"/>
      <c r="F45" s="101"/>
      <c r="G45" s="6"/>
      <c r="H45" s="15"/>
      <c r="I45" s="102"/>
      <c r="J45" s="15"/>
      <c r="K45" s="15"/>
      <c r="L45" s="15"/>
      <c r="M45" s="6"/>
      <c r="N45" s="6"/>
    </row>
    <row r="46">
      <c r="A46" s="103"/>
      <c r="B46" s="15"/>
      <c r="C46" s="101"/>
      <c r="D46" s="15"/>
      <c r="E46" s="15"/>
      <c r="F46" s="101"/>
      <c r="G46" s="15"/>
      <c r="H46" s="15"/>
      <c r="I46" s="102"/>
      <c r="J46" s="15"/>
      <c r="K46" s="15"/>
      <c r="L46" s="15"/>
      <c r="M46" s="6"/>
      <c r="N46" s="6"/>
    </row>
    <row r="47">
      <c r="A47" s="103"/>
      <c r="B47" s="15"/>
      <c r="C47" s="101"/>
      <c r="D47" s="15"/>
      <c r="E47" s="15"/>
      <c r="F47" s="101"/>
      <c r="G47" s="6"/>
      <c r="H47" s="15"/>
      <c r="I47" s="102"/>
      <c r="J47" s="15"/>
      <c r="K47" s="15"/>
      <c r="L47" s="15"/>
      <c r="M47" s="6"/>
      <c r="N47" s="6"/>
    </row>
    <row r="48">
      <c r="A48" s="103"/>
      <c r="B48" s="15"/>
      <c r="C48" s="101"/>
      <c r="D48" s="15"/>
      <c r="E48" s="15"/>
      <c r="F48" s="101"/>
      <c r="G48" s="15"/>
      <c r="H48" s="15"/>
      <c r="I48" s="102"/>
      <c r="J48" s="15"/>
      <c r="K48" s="15"/>
      <c r="L48" s="15"/>
      <c r="M48" s="6"/>
      <c r="N48" s="6"/>
    </row>
    <row r="49">
      <c r="A49" s="103"/>
      <c r="B49" s="15"/>
      <c r="C49" s="101"/>
      <c r="D49" s="15"/>
      <c r="E49" s="15"/>
      <c r="F49" s="101"/>
      <c r="G49" s="6"/>
      <c r="H49" s="15"/>
      <c r="I49" s="102"/>
      <c r="J49" s="15"/>
      <c r="K49" s="15"/>
      <c r="L49" s="15"/>
      <c r="M49" s="6"/>
      <c r="N49" s="6"/>
    </row>
    <row r="50">
      <c r="A50" s="103"/>
      <c r="B50" s="15"/>
      <c r="C50" s="101"/>
      <c r="D50" s="15"/>
      <c r="E50" s="15"/>
      <c r="F50" s="101"/>
      <c r="G50" s="15"/>
      <c r="H50" s="15"/>
      <c r="I50" s="102"/>
      <c r="J50" s="15"/>
      <c r="K50" s="15"/>
      <c r="L50" s="15"/>
      <c r="M50" s="6"/>
      <c r="N50" s="6"/>
    </row>
    <row r="51">
      <c r="A51" s="103"/>
      <c r="B51" s="15"/>
      <c r="C51" s="101"/>
      <c r="D51" s="15"/>
      <c r="E51" s="15"/>
      <c r="F51" s="101"/>
      <c r="G51" s="15"/>
      <c r="H51" s="15"/>
      <c r="I51" s="102"/>
      <c r="J51" s="15"/>
      <c r="K51" s="15"/>
      <c r="L51" s="15"/>
      <c r="M51" s="6"/>
      <c r="N51" s="6"/>
    </row>
    <row r="52">
      <c r="A52" s="103"/>
      <c r="B52" s="15"/>
      <c r="C52" s="101"/>
      <c r="D52" s="15"/>
      <c r="E52" s="15"/>
      <c r="F52" s="101"/>
      <c r="G52" s="15"/>
      <c r="H52" s="15"/>
      <c r="I52" s="102"/>
      <c r="J52" s="15"/>
      <c r="K52" s="15"/>
      <c r="L52" s="15"/>
      <c r="M52" s="6"/>
      <c r="N52" s="6"/>
    </row>
    <row r="53">
      <c r="A53" s="103"/>
      <c r="B53" s="15"/>
      <c r="C53" s="101"/>
      <c r="D53" s="15"/>
      <c r="E53" s="15"/>
      <c r="F53" s="101"/>
      <c r="G53" s="6"/>
      <c r="H53" s="15"/>
      <c r="I53" s="102"/>
      <c r="J53" s="15"/>
      <c r="K53" s="15"/>
      <c r="L53" s="15"/>
      <c r="M53" s="6"/>
      <c r="N53" s="6"/>
    </row>
    <row r="54">
      <c r="A54" s="103"/>
      <c r="B54" s="15"/>
      <c r="C54" s="101"/>
      <c r="D54" s="15"/>
      <c r="E54" s="15"/>
      <c r="F54" s="101"/>
      <c r="G54" s="6"/>
      <c r="H54" s="15"/>
      <c r="I54" s="102"/>
      <c r="J54" s="15"/>
      <c r="K54" s="15"/>
      <c r="L54" s="15"/>
      <c r="M54" s="6"/>
      <c r="N54" s="6"/>
    </row>
    <row r="55">
      <c r="A55" s="103"/>
      <c r="B55" s="15"/>
      <c r="C55" s="101"/>
      <c r="D55" s="15"/>
      <c r="E55" s="15"/>
      <c r="F55" s="101"/>
      <c r="G55" s="15"/>
      <c r="H55" s="15"/>
      <c r="I55" s="102"/>
      <c r="J55" s="15"/>
      <c r="K55" s="15"/>
      <c r="L55" s="15"/>
      <c r="M55" s="6"/>
      <c r="N55" s="6"/>
    </row>
    <row r="56">
      <c r="A56" s="103"/>
      <c r="B56" s="15"/>
      <c r="C56" s="101"/>
      <c r="D56" s="15"/>
      <c r="E56" s="15"/>
      <c r="F56" s="101"/>
      <c r="G56" s="15"/>
      <c r="H56" s="15"/>
      <c r="I56" s="102"/>
      <c r="J56" s="15"/>
      <c r="K56" s="15"/>
      <c r="L56" s="15"/>
      <c r="M56" s="6"/>
      <c r="N56" s="6"/>
    </row>
    <row r="57">
      <c r="A57" s="103"/>
      <c r="B57" s="15"/>
      <c r="C57" s="101"/>
      <c r="D57" s="15"/>
      <c r="E57" s="15"/>
      <c r="F57" s="101"/>
      <c r="G57" s="15"/>
      <c r="H57" s="15"/>
      <c r="I57" s="102"/>
      <c r="J57" s="15"/>
      <c r="K57" s="15"/>
      <c r="L57" s="15"/>
      <c r="M57" s="6"/>
      <c r="N57" s="6"/>
    </row>
    <row r="58">
      <c r="A58" s="103"/>
      <c r="B58" s="15"/>
      <c r="C58" s="101"/>
      <c r="D58" s="15"/>
      <c r="E58" s="15"/>
      <c r="F58" s="101"/>
      <c r="G58" s="6"/>
      <c r="H58" s="15"/>
      <c r="I58" s="102"/>
      <c r="J58" s="15"/>
      <c r="K58" s="15"/>
      <c r="L58" s="15"/>
      <c r="M58" s="6"/>
      <c r="N58" s="6"/>
    </row>
    <row r="59">
      <c r="A59" s="103"/>
      <c r="B59" s="15"/>
      <c r="C59" s="101"/>
      <c r="D59" s="15"/>
      <c r="E59" s="15"/>
      <c r="F59" s="101"/>
      <c r="G59" s="6"/>
      <c r="H59" s="15"/>
      <c r="I59" s="102"/>
      <c r="J59" s="15"/>
      <c r="K59" s="15"/>
      <c r="L59" s="15"/>
      <c r="M59" s="6"/>
      <c r="N59" s="6"/>
    </row>
    <row r="60">
      <c r="A60" s="103"/>
      <c r="B60" s="15"/>
      <c r="C60" s="101"/>
      <c r="D60" s="15"/>
      <c r="E60" s="15"/>
      <c r="F60" s="101"/>
      <c r="G60" s="6"/>
      <c r="H60" s="15"/>
      <c r="I60" s="102"/>
      <c r="J60" s="15"/>
      <c r="K60" s="15"/>
      <c r="L60" s="15"/>
      <c r="M60" s="6"/>
      <c r="N60" s="6"/>
    </row>
    <row r="61">
      <c r="A61" s="103"/>
      <c r="B61" s="15"/>
      <c r="C61" s="101"/>
      <c r="D61" s="15"/>
      <c r="E61" s="15"/>
      <c r="F61" s="101"/>
      <c r="G61" s="6"/>
      <c r="H61" s="15"/>
      <c r="I61" s="102"/>
      <c r="J61" s="15"/>
      <c r="K61" s="15"/>
      <c r="L61" s="15"/>
      <c r="M61" s="6"/>
      <c r="N61" s="6"/>
    </row>
    <row r="62">
      <c r="A62" s="103"/>
      <c r="B62" s="15"/>
      <c r="C62" s="101"/>
      <c r="D62" s="15"/>
      <c r="E62" s="15"/>
      <c r="F62" s="101"/>
      <c r="G62" s="6"/>
      <c r="H62" s="15"/>
      <c r="I62" s="102"/>
      <c r="J62" s="15"/>
      <c r="K62" s="15"/>
      <c r="L62" s="15"/>
      <c r="M62" s="6"/>
      <c r="N62" s="6"/>
    </row>
    <row r="63">
      <c r="A63" s="103"/>
      <c r="B63" s="15"/>
      <c r="C63" s="101"/>
      <c r="D63" s="15"/>
      <c r="E63" s="15"/>
      <c r="F63" s="101"/>
      <c r="G63" s="6"/>
      <c r="H63" s="15"/>
      <c r="I63" s="102"/>
      <c r="J63" s="15"/>
      <c r="K63" s="15"/>
      <c r="L63" s="15"/>
      <c r="M63" s="6"/>
      <c r="N63" s="6"/>
    </row>
    <row r="64">
      <c r="A64" s="103"/>
      <c r="B64" s="15"/>
      <c r="C64" s="101"/>
      <c r="D64" s="15"/>
      <c r="E64" s="15"/>
      <c r="F64" s="101"/>
      <c r="G64" s="6"/>
      <c r="H64" s="15"/>
      <c r="I64" s="102"/>
      <c r="J64" s="15"/>
      <c r="K64" s="15"/>
      <c r="L64" s="15"/>
      <c r="M64" s="6"/>
      <c r="N64" s="6"/>
    </row>
    <row r="65">
      <c r="A65" s="103"/>
      <c r="B65" s="15"/>
      <c r="C65" s="101"/>
      <c r="D65" s="15"/>
      <c r="E65" s="15"/>
      <c r="F65" s="101"/>
      <c r="G65" s="6"/>
      <c r="H65" s="15"/>
      <c r="I65" s="102"/>
      <c r="J65" s="15"/>
      <c r="K65" s="15"/>
      <c r="L65" s="15"/>
      <c r="M65" s="6"/>
      <c r="N65" s="6"/>
    </row>
    <row r="66">
      <c r="A66" s="103"/>
      <c r="B66" s="15"/>
      <c r="C66" s="101"/>
      <c r="D66" s="15"/>
      <c r="E66" s="15"/>
      <c r="F66" s="101"/>
      <c r="G66" s="6"/>
      <c r="H66" s="15"/>
      <c r="I66" s="102"/>
      <c r="J66" s="15"/>
      <c r="K66" s="15"/>
      <c r="L66" s="15"/>
      <c r="M66" s="6"/>
      <c r="N66" s="6"/>
    </row>
    <row r="67">
      <c r="A67" s="103"/>
      <c r="B67" s="15"/>
      <c r="C67" s="101"/>
      <c r="D67" s="15"/>
      <c r="E67" s="15"/>
      <c r="F67" s="101"/>
      <c r="G67" s="6"/>
      <c r="H67" s="15"/>
      <c r="I67" s="102"/>
      <c r="J67" s="15"/>
      <c r="K67" s="15"/>
      <c r="L67" s="15"/>
      <c r="M67" s="6"/>
      <c r="N67" s="6"/>
    </row>
    <row r="68">
      <c r="A68" s="103"/>
      <c r="B68" s="15"/>
      <c r="C68" s="101"/>
      <c r="D68" s="15"/>
      <c r="E68" s="15"/>
      <c r="F68" s="101"/>
      <c r="G68" s="6"/>
      <c r="H68" s="15"/>
      <c r="I68" s="102"/>
      <c r="J68" s="15"/>
      <c r="K68" s="15"/>
      <c r="L68" s="15"/>
      <c r="M68" s="6"/>
      <c r="N68" s="6"/>
    </row>
    <row r="69">
      <c r="A69" s="103"/>
      <c r="B69" s="15"/>
      <c r="C69" s="101"/>
      <c r="D69" s="15"/>
      <c r="E69" s="15"/>
      <c r="F69" s="101"/>
      <c r="G69" s="6"/>
      <c r="H69" s="15"/>
      <c r="I69" s="102"/>
      <c r="J69" s="15"/>
      <c r="K69" s="15"/>
      <c r="L69" s="15"/>
      <c r="M69" s="6"/>
      <c r="N69" s="6"/>
    </row>
    <row r="70">
      <c r="A70" s="103"/>
      <c r="B70" s="15"/>
      <c r="C70" s="101"/>
      <c r="D70" s="15"/>
      <c r="E70" s="15"/>
      <c r="F70" s="101"/>
      <c r="G70" s="6"/>
      <c r="H70" s="15"/>
      <c r="I70" s="102"/>
      <c r="J70" s="15"/>
      <c r="K70" s="15"/>
      <c r="L70" s="15"/>
      <c r="M70" s="6"/>
      <c r="N70" s="6"/>
    </row>
    <row r="71">
      <c r="A71" s="103"/>
      <c r="B71" s="15"/>
      <c r="C71" s="101"/>
      <c r="D71" s="15"/>
      <c r="E71" s="15"/>
      <c r="F71" s="101"/>
      <c r="G71" s="6"/>
      <c r="H71" s="15"/>
      <c r="I71" s="102"/>
      <c r="J71" s="15"/>
      <c r="K71" s="15"/>
      <c r="L71" s="15"/>
      <c r="M71" s="6"/>
      <c r="N71" s="6"/>
    </row>
    <row r="72">
      <c r="A72" s="103"/>
      <c r="B72" s="15"/>
      <c r="C72" s="101"/>
      <c r="D72" s="15"/>
      <c r="E72" s="15"/>
      <c r="F72" s="101"/>
      <c r="G72" s="15"/>
      <c r="H72" s="15"/>
      <c r="I72" s="102"/>
      <c r="J72" s="15"/>
      <c r="K72" s="15"/>
      <c r="L72" s="15"/>
      <c r="M72" s="6"/>
      <c r="N72" s="6"/>
    </row>
    <row r="73">
      <c r="A73" s="103"/>
      <c r="B73" s="15"/>
      <c r="C73" s="101"/>
      <c r="D73" s="15"/>
      <c r="E73" s="15"/>
      <c r="F73" s="101"/>
      <c r="G73" s="6"/>
      <c r="H73" s="15"/>
      <c r="I73" s="102"/>
      <c r="J73" s="15"/>
      <c r="K73" s="15"/>
      <c r="L73" s="15"/>
      <c r="M73" s="6"/>
      <c r="N73" s="6"/>
    </row>
    <row r="74">
      <c r="A74" s="103"/>
      <c r="B74" s="15"/>
      <c r="C74" s="101"/>
      <c r="D74" s="15"/>
      <c r="E74" s="15"/>
      <c r="F74" s="101"/>
      <c r="G74" s="6"/>
      <c r="H74" s="15"/>
      <c r="I74" s="102"/>
      <c r="J74" s="15"/>
      <c r="K74" s="15"/>
      <c r="L74" s="15"/>
      <c r="M74" s="6"/>
      <c r="N74" s="6"/>
    </row>
    <row r="75">
      <c r="A75" s="103"/>
      <c r="B75" s="15"/>
      <c r="C75" s="101"/>
      <c r="D75" s="15"/>
      <c r="E75" s="15"/>
      <c r="F75" s="101"/>
      <c r="G75" s="6"/>
      <c r="H75" s="15"/>
      <c r="I75" s="102"/>
      <c r="J75" s="15"/>
      <c r="K75" s="15"/>
      <c r="L75" s="15"/>
      <c r="M75" s="6"/>
      <c r="N75" s="6"/>
    </row>
    <row r="76">
      <c r="A76" s="103"/>
      <c r="B76" s="15"/>
      <c r="C76" s="101"/>
      <c r="D76" s="15"/>
      <c r="E76" s="15"/>
      <c r="F76" s="101"/>
      <c r="G76" s="6"/>
      <c r="H76" s="15"/>
      <c r="I76" s="102"/>
      <c r="J76" s="15"/>
      <c r="K76" s="15"/>
      <c r="L76" s="15"/>
      <c r="M76" s="6"/>
      <c r="N76" s="6"/>
    </row>
    <row r="77">
      <c r="A77" s="103"/>
      <c r="B77" s="15"/>
      <c r="C77" s="101"/>
      <c r="D77" s="15"/>
      <c r="E77" s="15"/>
      <c r="F77" s="101"/>
      <c r="G77" s="6"/>
      <c r="H77" s="15"/>
      <c r="I77" s="102"/>
      <c r="J77" s="15"/>
      <c r="K77" s="15"/>
      <c r="L77" s="15"/>
      <c r="M77" s="6"/>
      <c r="N77" s="6"/>
    </row>
    <row r="78">
      <c r="A78" s="103"/>
      <c r="B78" s="15"/>
      <c r="C78" s="101"/>
      <c r="D78" s="15"/>
      <c r="E78" s="15"/>
      <c r="F78" s="101"/>
      <c r="G78" s="6"/>
      <c r="H78" s="15"/>
      <c r="I78" s="102"/>
      <c r="J78" s="15"/>
      <c r="K78" s="15"/>
      <c r="L78" s="15"/>
      <c r="M78" s="6"/>
      <c r="N78" s="6"/>
    </row>
    <row r="79">
      <c r="A79" s="103"/>
      <c r="B79" s="15"/>
      <c r="C79" s="101"/>
      <c r="D79" s="15"/>
      <c r="E79" s="15"/>
      <c r="F79" s="101"/>
      <c r="G79" s="6"/>
      <c r="H79" s="15"/>
      <c r="I79" s="102"/>
      <c r="J79" s="15"/>
      <c r="K79" s="15"/>
      <c r="L79" s="15"/>
      <c r="M79" s="6"/>
      <c r="N79" s="6"/>
    </row>
    <row r="80">
      <c r="A80" s="103"/>
      <c r="B80" s="15"/>
      <c r="C80" s="101"/>
      <c r="D80" s="15"/>
      <c r="E80" s="15"/>
      <c r="F80" s="101"/>
      <c r="G80" s="6"/>
      <c r="H80" s="15"/>
      <c r="I80" s="102"/>
      <c r="J80" s="15"/>
      <c r="K80" s="15"/>
      <c r="L80" s="15"/>
      <c r="M80" s="6"/>
      <c r="N80" s="6"/>
    </row>
    <row r="81">
      <c r="A81" s="103"/>
      <c r="B81" s="15"/>
      <c r="C81" s="101"/>
      <c r="D81" s="15"/>
      <c r="E81" s="15"/>
      <c r="F81" s="101"/>
      <c r="G81" s="6"/>
      <c r="H81" s="15"/>
      <c r="I81" s="102"/>
      <c r="J81" s="15"/>
      <c r="K81" s="15"/>
      <c r="L81" s="15"/>
      <c r="M81" s="6"/>
      <c r="N81" s="6"/>
    </row>
    <row r="82">
      <c r="A82" s="103"/>
      <c r="B82" s="15"/>
      <c r="C82" s="101"/>
      <c r="D82" s="15"/>
      <c r="E82" s="15"/>
      <c r="F82" s="101"/>
      <c r="G82" s="6"/>
      <c r="H82" s="15"/>
      <c r="I82" s="102"/>
      <c r="J82" s="15"/>
      <c r="K82" s="15"/>
      <c r="L82" s="15"/>
      <c r="M82" s="6"/>
      <c r="N82" s="6"/>
    </row>
    <row r="83">
      <c r="A83" s="103"/>
      <c r="B83" s="15"/>
      <c r="C83" s="101"/>
      <c r="D83" s="15"/>
      <c r="E83" s="15"/>
      <c r="F83" s="101"/>
      <c r="G83" s="6"/>
      <c r="H83" s="15"/>
      <c r="I83" s="102"/>
      <c r="J83" s="15"/>
      <c r="K83" s="15"/>
      <c r="L83" s="15"/>
      <c r="M83" s="6"/>
      <c r="N83" s="6"/>
    </row>
    <row r="84">
      <c r="A84" s="103"/>
      <c r="B84" s="15"/>
      <c r="C84" s="101"/>
      <c r="D84" s="15"/>
      <c r="E84" s="15"/>
      <c r="F84" s="101"/>
      <c r="G84" s="6"/>
      <c r="H84" s="15"/>
      <c r="I84" s="102"/>
      <c r="J84" s="15"/>
      <c r="K84" s="15"/>
      <c r="L84" s="15"/>
      <c r="M84" s="6"/>
      <c r="N84" s="6"/>
    </row>
    <row r="85">
      <c r="A85" s="103"/>
      <c r="B85" s="15"/>
      <c r="C85" s="101"/>
      <c r="D85" s="15"/>
      <c r="E85" s="15"/>
      <c r="F85" s="101"/>
      <c r="G85" s="6"/>
      <c r="H85" s="15"/>
      <c r="I85" s="102"/>
      <c r="J85" s="15"/>
      <c r="K85" s="15"/>
      <c r="L85" s="15"/>
      <c r="M85" s="6"/>
      <c r="N85" s="6"/>
    </row>
    <row r="86">
      <c r="A86" s="103"/>
      <c r="B86" s="15"/>
      <c r="C86" s="101"/>
      <c r="D86" s="15"/>
      <c r="E86" s="15"/>
      <c r="F86" s="101"/>
      <c r="G86" s="6"/>
      <c r="H86" s="15"/>
      <c r="I86" s="102"/>
      <c r="J86" s="15"/>
      <c r="K86" s="15"/>
      <c r="L86" s="15"/>
      <c r="M86" s="6"/>
      <c r="N86" s="6"/>
    </row>
    <row r="87">
      <c r="A87" s="103"/>
      <c r="B87" s="15"/>
      <c r="C87" s="101"/>
      <c r="D87" s="15"/>
      <c r="E87" s="15"/>
      <c r="F87" s="101"/>
      <c r="G87" s="6"/>
      <c r="H87" s="15"/>
      <c r="I87" s="102"/>
      <c r="J87" s="15"/>
      <c r="K87" s="15"/>
      <c r="L87" s="15"/>
      <c r="M87" s="6"/>
      <c r="N87" s="6"/>
    </row>
    <row r="88">
      <c r="A88" s="103"/>
      <c r="B88" s="15"/>
      <c r="C88" s="101"/>
      <c r="D88" s="15"/>
      <c r="E88" s="15"/>
      <c r="F88" s="101"/>
      <c r="G88" s="6"/>
      <c r="H88" s="15"/>
      <c r="I88" s="102"/>
      <c r="J88" s="15"/>
      <c r="K88" s="15"/>
      <c r="L88" s="15"/>
      <c r="M88" s="6"/>
      <c r="N88" s="6"/>
    </row>
    <row r="89">
      <c r="A89" s="103"/>
      <c r="B89" s="15"/>
      <c r="C89" s="101"/>
      <c r="D89" s="15"/>
      <c r="E89" s="15"/>
      <c r="F89" s="101"/>
      <c r="G89" s="6"/>
      <c r="H89" s="15"/>
      <c r="I89" s="102"/>
      <c r="J89" s="15"/>
      <c r="K89" s="15"/>
      <c r="L89" s="15"/>
      <c r="M89" s="6"/>
      <c r="N89" s="6"/>
    </row>
    <row r="90">
      <c r="A90" s="103"/>
      <c r="B90" s="15"/>
      <c r="C90" s="101"/>
      <c r="D90" s="15"/>
      <c r="E90" s="15"/>
      <c r="F90" s="101"/>
      <c r="G90" s="6"/>
      <c r="H90" s="15"/>
      <c r="I90" s="102"/>
      <c r="J90" s="15"/>
      <c r="K90" s="15"/>
      <c r="L90" s="15"/>
      <c r="M90" s="6"/>
      <c r="N90" s="6"/>
    </row>
    <row r="91">
      <c r="A91" s="103"/>
      <c r="B91" s="15"/>
      <c r="C91" s="101"/>
      <c r="D91" s="15"/>
      <c r="E91" s="15"/>
      <c r="F91" s="101"/>
      <c r="G91" s="6"/>
      <c r="H91" s="15"/>
      <c r="I91" s="102"/>
      <c r="J91" s="15"/>
      <c r="K91" s="15"/>
      <c r="L91" s="15"/>
      <c r="M91" s="6"/>
      <c r="N91" s="6"/>
    </row>
    <row r="92">
      <c r="A92" s="103"/>
      <c r="B92" s="15"/>
      <c r="C92" s="101"/>
      <c r="D92" s="15"/>
      <c r="E92" s="15"/>
      <c r="F92" s="101"/>
      <c r="G92" s="6"/>
      <c r="H92" s="15"/>
      <c r="I92" s="102"/>
      <c r="J92" s="15"/>
      <c r="K92" s="15"/>
      <c r="L92" s="15"/>
      <c r="M92" s="6"/>
      <c r="N92" s="6"/>
    </row>
    <row r="93">
      <c r="A93" s="103"/>
      <c r="B93" s="15"/>
      <c r="C93" s="101"/>
      <c r="D93" s="15"/>
      <c r="E93" s="15"/>
      <c r="F93" s="101"/>
      <c r="G93" s="6"/>
      <c r="H93" s="15"/>
      <c r="I93" s="102"/>
      <c r="J93" s="15"/>
      <c r="K93" s="15"/>
      <c r="L93" s="15"/>
      <c r="M93" s="6"/>
      <c r="N93" s="6"/>
    </row>
    <row r="94">
      <c r="A94" s="103"/>
      <c r="B94" s="15"/>
      <c r="C94" s="101"/>
      <c r="D94" s="15"/>
      <c r="E94" s="15"/>
      <c r="F94" s="101"/>
      <c r="G94" s="6"/>
      <c r="H94" s="15"/>
      <c r="I94" s="102"/>
      <c r="J94" s="15"/>
      <c r="K94" s="15"/>
      <c r="L94" s="15"/>
      <c r="M94" s="6"/>
      <c r="N94" s="6"/>
    </row>
    <row r="95">
      <c r="A95" s="103"/>
      <c r="B95" s="15"/>
      <c r="C95" s="101"/>
      <c r="D95" s="15"/>
      <c r="E95" s="15"/>
      <c r="F95" s="101"/>
      <c r="G95" s="6"/>
      <c r="H95" s="15"/>
      <c r="I95" s="102"/>
      <c r="J95" s="15"/>
      <c r="K95" s="15"/>
      <c r="L95" s="15"/>
      <c r="M95" s="6"/>
      <c r="N95" s="6"/>
    </row>
    <row r="96">
      <c r="A96" s="103"/>
      <c r="B96" s="15"/>
      <c r="C96" s="101"/>
      <c r="D96" s="15"/>
      <c r="E96" s="15"/>
      <c r="F96" s="101"/>
      <c r="G96" s="6"/>
      <c r="H96" s="15"/>
      <c r="I96" s="102"/>
      <c r="J96" s="15"/>
      <c r="K96" s="15"/>
      <c r="L96" s="15"/>
      <c r="M96" s="6"/>
      <c r="N96" s="6"/>
    </row>
    <row r="97">
      <c r="A97" s="103"/>
      <c r="B97" s="15"/>
      <c r="C97" s="101"/>
      <c r="D97" s="15"/>
      <c r="E97" s="15"/>
      <c r="F97" s="101"/>
      <c r="G97" s="6"/>
      <c r="H97" s="15"/>
      <c r="I97" s="102"/>
      <c r="J97" s="15"/>
      <c r="K97" s="15"/>
      <c r="L97" s="15"/>
      <c r="M97" s="6"/>
      <c r="N97" s="6"/>
    </row>
    <row r="98">
      <c r="A98" s="103"/>
      <c r="B98" s="15"/>
      <c r="C98" s="101"/>
      <c r="D98" s="15"/>
      <c r="E98" s="15"/>
      <c r="F98" s="101"/>
      <c r="G98" s="6"/>
      <c r="H98" s="15"/>
      <c r="I98" s="102"/>
      <c r="J98" s="15"/>
      <c r="K98" s="15"/>
      <c r="L98" s="15"/>
      <c r="M98" s="6"/>
      <c r="N98" s="6"/>
    </row>
    <row r="99">
      <c r="A99" s="103"/>
      <c r="B99" s="15"/>
      <c r="C99" s="101"/>
      <c r="D99" s="15"/>
      <c r="E99" s="15"/>
      <c r="F99" s="101"/>
      <c r="G99" s="6"/>
      <c r="H99" s="15"/>
      <c r="I99" s="102"/>
      <c r="J99" s="15"/>
      <c r="K99" s="15"/>
      <c r="L99" s="15"/>
      <c r="M99" s="6"/>
      <c r="N99" s="6"/>
    </row>
    <row r="100">
      <c r="A100" s="103"/>
      <c r="B100" s="15"/>
      <c r="C100" s="101"/>
      <c r="D100" s="15"/>
      <c r="E100" s="15"/>
      <c r="F100" s="101"/>
      <c r="G100" s="6"/>
      <c r="H100" s="15"/>
      <c r="I100" s="102"/>
      <c r="J100" s="15"/>
      <c r="K100" s="15"/>
      <c r="L100" s="15"/>
      <c r="M100" s="6"/>
      <c r="N100" s="6"/>
    </row>
    <row r="101">
      <c r="A101" s="6"/>
      <c r="B101" s="6"/>
      <c r="C101" s="6"/>
      <c r="D101" s="6"/>
      <c r="E101" s="6"/>
      <c r="F101" s="6"/>
      <c r="G101" s="6"/>
      <c r="H101" s="6"/>
      <c r="I101" s="6"/>
      <c r="J101" s="6"/>
      <c r="K101" s="6"/>
      <c r="L101" s="6"/>
      <c r="M101" s="6"/>
      <c r="N101" s="6"/>
    </row>
    <row r="102">
      <c r="A102" s="6"/>
      <c r="B102" s="6"/>
      <c r="C102" s="6"/>
      <c r="D102" s="6"/>
      <c r="E102" s="6"/>
      <c r="F102" s="6"/>
      <c r="G102" s="6"/>
      <c r="H102" s="6"/>
      <c r="I102" s="6"/>
      <c r="J102" s="6"/>
      <c r="K102" s="6"/>
      <c r="L102" s="6"/>
      <c r="M102" s="6"/>
      <c r="N102" s="6"/>
    </row>
    <row r="103">
      <c r="A103" s="6"/>
      <c r="B103" s="6"/>
      <c r="C103" s="6"/>
      <c r="D103" s="6"/>
      <c r="E103" s="6"/>
      <c r="F103" s="6"/>
      <c r="G103" s="6"/>
      <c r="H103" s="6"/>
      <c r="I103" s="6"/>
      <c r="J103" s="6"/>
      <c r="K103" s="6"/>
      <c r="L103" s="6"/>
      <c r="M103" s="6"/>
      <c r="N103" s="6"/>
    </row>
    <row r="104">
      <c r="A104" s="6"/>
      <c r="B104" s="6"/>
      <c r="C104" s="6"/>
      <c r="D104" s="6"/>
      <c r="E104" s="6"/>
      <c r="F104" s="6"/>
      <c r="G104" s="6"/>
      <c r="H104" s="6"/>
      <c r="I104" s="6"/>
      <c r="J104" s="6"/>
      <c r="K104" s="6"/>
      <c r="L104" s="6"/>
      <c r="M104" s="6"/>
      <c r="N104" s="6"/>
    </row>
    <row r="105">
      <c r="A105" s="6"/>
      <c r="B105" s="6"/>
      <c r="C105" s="6"/>
      <c r="D105" s="6"/>
      <c r="E105" s="6"/>
      <c r="F105" s="6"/>
      <c r="G105" s="6"/>
      <c r="H105" s="6"/>
      <c r="I105" s="6"/>
      <c r="J105" s="6"/>
      <c r="K105" s="6"/>
      <c r="L105" s="6"/>
      <c r="M105" s="6"/>
      <c r="N105" s="6"/>
    </row>
    <row r="106">
      <c r="A106" s="6"/>
      <c r="B106" s="6"/>
      <c r="C106" s="6"/>
      <c r="D106" s="6"/>
      <c r="E106" s="6"/>
      <c r="F106" s="6"/>
      <c r="G106" s="6"/>
      <c r="H106" s="6"/>
      <c r="I106" s="6"/>
      <c r="J106" s="6"/>
      <c r="K106" s="6"/>
      <c r="L106" s="6"/>
      <c r="M106" s="6"/>
      <c r="N106" s="6"/>
    </row>
    <row r="107">
      <c r="A107" s="6"/>
      <c r="B107" s="6"/>
      <c r="C107" s="6"/>
      <c r="D107" s="6"/>
      <c r="E107" s="6"/>
      <c r="F107" s="6"/>
      <c r="G107" s="6"/>
      <c r="H107" s="6"/>
      <c r="I107" s="6"/>
      <c r="J107" s="6"/>
      <c r="K107" s="6"/>
      <c r="L107" s="6"/>
      <c r="M107" s="6"/>
      <c r="N107" s="6"/>
    </row>
    <row r="108">
      <c r="A108" s="6"/>
      <c r="B108" s="6"/>
      <c r="C108" s="6"/>
      <c r="D108" s="6"/>
      <c r="E108" s="6"/>
      <c r="F108" s="6"/>
      <c r="G108" s="6"/>
      <c r="H108" s="6"/>
      <c r="I108" s="6"/>
      <c r="J108" s="6"/>
      <c r="K108" s="6"/>
      <c r="L108" s="6"/>
      <c r="M108" s="6"/>
      <c r="N108" s="6"/>
    </row>
    <row r="109">
      <c r="A109" s="6"/>
      <c r="B109" s="6"/>
      <c r="C109" s="6"/>
      <c r="D109" s="6"/>
      <c r="E109" s="6"/>
      <c r="F109" s="6"/>
      <c r="G109" s="6"/>
      <c r="H109" s="6"/>
      <c r="I109" s="6"/>
      <c r="J109" s="6"/>
      <c r="K109" s="6"/>
      <c r="L109" s="6"/>
      <c r="M109" s="6"/>
      <c r="N109" s="6"/>
    </row>
    <row r="110">
      <c r="A110" s="6"/>
      <c r="B110" s="6"/>
      <c r="C110" s="6"/>
      <c r="D110" s="6"/>
      <c r="E110" s="6"/>
      <c r="F110" s="6"/>
      <c r="G110" s="6"/>
      <c r="H110" s="6"/>
      <c r="I110" s="6"/>
      <c r="J110" s="6"/>
      <c r="K110" s="6"/>
      <c r="L110" s="6"/>
      <c r="M110" s="6"/>
      <c r="N110" s="6"/>
    </row>
    <row r="111">
      <c r="A111" s="6"/>
      <c r="B111" s="6"/>
      <c r="C111" s="6"/>
      <c r="D111" s="6"/>
      <c r="E111" s="6"/>
      <c r="F111" s="6"/>
      <c r="G111" s="6"/>
      <c r="H111" s="6"/>
      <c r="I111" s="6"/>
      <c r="J111" s="6"/>
      <c r="K111" s="6"/>
      <c r="L111" s="6"/>
      <c r="M111" s="6"/>
      <c r="N111" s="6"/>
    </row>
    <row r="112">
      <c r="A112" s="6"/>
      <c r="B112" s="6"/>
      <c r="C112" s="6"/>
      <c r="D112" s="6"/>
      <c r="E112" s="6"/>
      <c r="F112" s="6"/>
      <c r="G112" s="6"/>
      <c r="H112" s="6"/>
      <c r="I112" s="6"/>
      <c r="J112" s="6"/>
      <c r="K112" s="6"/>
      <c r="L112" s="6"/>
      <c r="M112" s="6"/>
      <c r="N112" s="6"/>
    </row>
    <row r="113">
      <c r="A113" s="6"/>
      <c r="B113" s="6"/>
      <c r="C113" s="6"/>
      <c r="D113" s="6"/>
      <c r="E113" s="6"/>
      <c r="F113" s="6"/>
      <c r="G113" s="6"/>
      <c r="H113" s="6"/>
      <c r="I113" s="6"/>
      <c r="J113" s="6"/>
      <c r="K113" s="6"/>
      <c r="L113" s="6"/>
      <c r="M113" s="6"/>
      <c r="N113" s="6"/>
    </row>
    <row r="114">
      <c r="A114" s="6"/>
      <c r="B114" s="6"/>
      <c r="C114" s="6"/>
      <c r="D114" s="6"/>
      <c r="E114" s="6"/>
      <c r="F114" s="6"/>
      <c r="G114" s="6"/>
      <c r="H114" s="6"/>
      <c r="I114" s="6"/>
      <c r="J114" s="6"/>
      <c r="K114" s="6"/>
      <c r="L114" s="6"/>
      <c r="M114" s="6"/>
      <c r="N114" s="6"/>
    </row>
    <row r="115">
      <c r="A115" s="6"/>
      <c r="B115" s="6"/>
      <c r="C115" s="6"/>
      <c r="D115" s="6"/>
      <c r="E115" s="6"/>
      <c r="F115" s="6"/>
      <c r="G115" s="6"/>
      <c r="H115" s="6"/>
      <c r="I115" s="6"/>
      <c r="J115" s="6"/>
      <c r="K115" s="6"/>
      <c r="L115" s="6"/>
      <c r="M115" s="6"/>
      <c r="N115" s="6"/>
    </row>
    <row r="116">
      <c r="A116" s="6"/>
      <c r="B116" s="6"/>
      <c r="C116" s="6"/>
      <c r="D116" s="6"/>
      <c r="E116" s="6"/>
      <c r="F116" s="6"/>
      <c r="G116" s="6"/>
      <c r="H116" s="6"/>
      <c r="I116" s="6"/>
      <c r="J116" s="6"/>
      <c r="K116" s="6"/>
      <c r="L116" s="6"/>
      <c r="M116" s="6"/>
      <c r="N116" s="6"/>
    </row>
    <row r="117">
      <c r="A117" s="6"/>
      <c r="B117" s="6"/>
      <c r="C117" s="6"/>
      <c r="D117" s="6"/>
      <c r="E117" s="6"/>
      <c r="F117" s="6"/>
      <c r="G117" s="6"/>
      <c r="H117" s="6"/>
      <c r="I117" s="6"/>
      <c r="J117" s="6"/>
      <c r="K117" s="6"/>
      <c r="L117" s="6"/>
      <c r="M117" s="6"/>
      <c r="N117" s="6"/>
    </row>
    <row r="118">
      <c r="A118" s="6"/>
      <c r="B118" s="6"/>
      <c r="C118" s="6"/>
      <c r="D118" s="6"/>
      <c r="E118" s="6"/>
      <c r="F118" s="6"/>
      <c r="G118" s="6"/>
      <c r="H118" s="6"/>
      <c r="I118" s="6"/>
      <c r="J118" s="6"/>
      <c r="K118" s="6"/>
      <c r="L118" s="6"/>
      <c r="M118" s="6"/>
      <c r="N118" s="6"/>
    </row>
    <row r="119">
      <c r="A119" s="6"/>
      <c r="B119" s="6"/>
      <c r="C119" s="6"/>
      <c r="D119" s="6"/>
      <c r="E119" s="6"/>
      <c r="F119" s="6"/>
      <c r="G119" s="6"/>
      <c r="H119" s="6"/>
      <c r="I119" s="6"/>
      <c r="J119" s="6"/>
      <c r="K119" s="6"/>
      <c r="L119" s="6"/>
      <c r="M119" s="6"/>
      <c r="N119" s="6"/>
    </row>
    <row r="120">
      <c r="A120" s="6"/>
      <c r="B120" s="6"/>
      <c r="C120" s="6"/>
      <c r="D120" s="6"/>
      <c r="E120" s="6"/>
      <c r="F120" s="6"/>
      <c r="G120" s="6"/>
      <c r="H120" s="6"/>
      <c r="I120" s="6"/>
      <c r="J120" s="6"/>
      <c r="K120" s="6"/>
      <c r="L120" s="6"/>
      <c r="M120" s="6"/>
      <c r="N120" s="6"/>
    </row>
    <row r="121">
      <c r="A121" s="6"/>
      <c r="B121" s="6"/>
      <c r="C121" s="6"/>
      <c r="D121" s="6"/>
      <c r="E121" s="6"/>
      <c r="F121" s="6"/>
      <c r="G121" s="6"/>
      <c r="H121" s="6"/>
      <c r="I121" s="6"/>
      <c r="J121" s="6"/>
      <c r="K121" s="6"/>
      <c r="L121" s="6"/>
      <c r="M121" s="6"/>
      <c r="N121" s="6"/>
    </row>
    <row r="122">
      <c r="A122" s="6"/>
      <c r="B122" s="6"/>
      <c r="C122" s="6"/>
      <c r="D122" s="6"/>
      <c r="E122" s="6"/>
      <c r="F122" s="6"/>
      <c r="G122" s="6"/>
      <c r="H122" s="6"/>
      <c r="I122" s="6"/>
      <c r="J122" s="6"/>
      <c r="K122" s="6"/>
      <c r="L122" s="6"/>
      <c r="M122" s="6"/>
      <c r="N122" s="6"/>
    </row>
    <row r="123">
      <c r="A123" s="6"/>
      <c r="B123" s="6"/>
      <c r="C123" s="6"/>
      <c r="D123" s="6"/>
      <c r="E123" s="6"/>
      <c r="F123" s="6"/>
      <c r="G123" s="6"/>
      <c r="H123" s="6"/>
      <c r="I123" s="6"/>
      <c r="J123" s="6"/>
      <c r="K123" s="6"/>
      <c r="L123" s="6"/>
      <c r="M123" s="6"/>
      <c r="N123" s="6"/>
    </row>
    <row r="124">
      <c r="A124" s="6"/>
      <c r="B124" s="6"/>
      <c r="C124" s="6"/>
      <c r="D124" s="6"/>
      <c r="E124" s="6"/>
      <c r="F124" s="6"/>
      <c r="G124" s="6"/>
      <c r="H124" s="6"/>
      <c r="I124" s="6"/>
      <c r="J124" s="6"/>
      <c r="K124" s="6"/>
      <c r="L124" s="6"/>
      <c r="M124" s="6"/>
      <c r="N124" s="6"/>
    </row>
    <row r="125">
      <c r="A125" s="6"/>
      <c r="B125" s="6"/>
      <c r="C125" s="6"/>
      <c r="D125" s="6"/>
      <c r="E125" s="6"/>
      <c r="F125" s="6"/>
      <c r="G125" s="6"/>
      <c r="H125" s="6"/>
      <c r="I125" s="6"/>
      <c r="J125" s="6"/>
      <c r="K125" s="6"/>
      <c r="L125" s="6"/>
      <c r="M125" s="6"/>
      <c r="N125" s="6"/>
    </row>
    <row r="126">
      <c r="A126" s="6"/>
      <c r="B126" s="6"/>
      <c r="C126" s="6"/>
      <c r="D126" s="6"/>
      <c r="E126" s="6"/>
      <c r="F126" s="6"/>
      <c r="G126" s="6"/>
      <c r="H126" s="6"/>
      <c r="I126" s="6"/>
      <c r="J126" s="6"/>
      <c r="K126" s="6"/>
      <c r="L126" s="6"/>
      <c r="M126" s="6"/>
      <c r="N126" s="6"/>
    </row>
    <row r="127">
      <c r="A127" s="6"/>
      <c r="B127" s="6"/>
      <c r="C127" s="6"/>
      <c r="D127" s="6"/>
      <c r="E127" s="6"/>
      <c r="F127" s="6"/>
      <c r="G127" s="6"/>
      <c r="H127" s="6"/>
      <c r="I127" s="6"/>
      <c r="J127" s="6"/>
      <c r="K127" s="6"/>
      <c r="L127" s="6"/>
      <c r="M127" s="6"/>
      <c r="N127" s="6"/>
    </row>
    <row r="128">
      <c r="A128" s="6"/>
      <c r="B128" s="6"/>
      <c r="C128" s="6"/>
      <c r="D128" s="6"/>
      <c r="E128" s="6"/>
      <c r="F128" s="6"/>
      <c r="G128" s="6"/>
      <c r="H128" s="6"/>
      <c r="I128" s="6"/>
      <c r="J128" s="6"/>
      <c r="K128" s="6"/>
      <c r="L128" s="6"/>
      <c r="M128" s="6"/>
      <c r="N128" s="6"/>
    </row>
    <row r="129">
      <c r="A129" s="6"/>
      <c r="B129" s="6"/>
      <c r="C129" s="6"/>
      <c r="D129" s="6"/>
      <c r="E129" s="6"/>
      <c r="F129" s="6"/>
      <c r="G129" s="6"/>
      <c r="H129" s="6"/>
      <c r="I129" s="6"/>
      <c r="J129" s="6"/>
      <c r="K129" s="6"/>
      <c r="L129" s="6"/>
      <c r="M129" s="6"/>
      <c r="N129" s="6"/>
    </row>
    <row r="130">
      <c r="A130" s="6"/>
      <c r="B130" s="6"/>
      <c r="C130" s="6"/>
      <c r="D130" s="6"/>
      <c r="E130" s="6"/>
      <c r="F130" s="6"/>
      <c r="G130" s="6"/>
      <c r="H130" s="6"/>
      <c r="I130" s="6"/>
      <c r="J130" s="6"/>
      <c r="K130" s="6"/>
      <c r="L130" s="6"/>
      <c r="M130" s="6"/>
      <c r="N130" s="6"/>
    </row>
    <row r="131">
      <c r="A131" s="6"/>
      <c r="B131" s="6"/>
      <c r="C131" s="6"/>
      <c r="D131" s="6"/>
      <c r="E131" s="6"/>
      <c r="F131" s="6"/>
      <c r="G131" s="6"/>
      <c r="H131" s="6"/>
      <c r="I131" s="6"/>
      <c r="J131" s="6"/>
      <c r="K131" s="6"/>
      <c r="L131" s="6"/>
      <c r="M131" s="6"/>
      <c r="N131" s="6"/>
    </row>
    <row r="132">
      <c r="A132" s="6"/>
      <c r="B132" s="6"/>
      <c r="C132" s="6"/>
      <c r="D132" s="6"/>
      <c r="E132" s="6"/>
      <c r="F132" s="6"/>
      <c r="G132" s="6"/>
      <c r="H132" s="6"/>
      <c r="I132" s="6"/>
      <c r="J132" s="6"/>
      <c r="K132" s="6"/>
      <c r="L132" s="6"/>
      <c r="M132" s="6"/>
      <c r="N132" s="6"/>
    </row>
    <row r="133">
      <c r="A133" s="6"/>
      <c r="B133" s="6"/>
      <c r="C133" s="6"/>
      <c r="D133" s="6"/>
      <c r="E133" s="6"/>
      <c r="F133" s="6"/>
      <c r="G133" s="6"/>
      <c r="H133" s="6"/>
      <c r="I133" s="6"/>
      <c r="J133" s="6"/>
      <c r="K133" s="6"/>
      <c r="L133" s="6"/>
      <c r="M133" s="6"/>
      <c r="N133" s="6"/>
    </row>
    <row r="134">
      <c r="A134" s="6"/>
      <c r="B134" s="6"/>
      <c r="C134" s="6"/>
      <c r="D134" s="6"/>
      <c r="E134" s="6"/>
      <c r="F134" s="6"/>
      <c r="G134" s="6"/>
      <c r="H134" s="6"/>
      <c r="I134" s="6"/>
      <c r="J134" s="6"/>
      <c r="K134" s="6"/>
      <c r="L134" s="6"/>
      <c r="M134" s="6"/>
      <c r="N134" s="6"/>
    </row>
    <row r="135">
      <c r="A135" s="6"/>
      <c r="B135" s="6"/>
      <c r="C135" s="6"/>
      <c r="D135" s="6"/>
      <c r="E135" s="6"/>
      <c r="F135" s="6"/>
      <c r="G135" s="6"/>
      <c r="H135" s="6"/>
      <c r="I135" s="6"/>
      <c r="J135" s="6"/>
      <c r="K135" s="6"/>
      <c r="L135" s="6"/>
      <c r="M135" s="6"/>
      <c r="N135" s="6"/>
    </row>
    <row r="136">
      <c r="A136" s="6"/>
      <c r="B136" s="6"/>
      <c r="C136" s="6"/>
      <c r="D136" s="6"/>
      <c r="E136" s="6"/>
      <c r="F136" s="6"/>
      <c r="G136" s="6"/>
      <c r="H136" s="6"/>
      <c r="I136" s="6"/>
      <c r="J136" s="6"/>
      <c r="K136" s="6"/>
      <c r="L136" s="6"/>
      <c r="M136" s="6"/>
      <c r="N136" s="6"/>
    </row>
    <row r="137">
      <c r="A137" s="6"/>
      <c r="B137" s="6"/>
      <c r="C137" s="6"/>
      <c r="D137" s="6"/>
      <c r="E137" s="6"/>
      <c r="F137" s="6"/>
      <c r="G137" s="6"/>
      <c r="H137" s="6"/>
      <c r="I137" s="6"/>
      <c r="J137" s="6"/>
      <c r="K137" s="6"/>
      <c r="L137" s="6"/>
      <c r="M137" s="6"/>
      <c r="N137" s="6"/>
    </row>
    <row r="138">
      <c r="A138" s="6"/>
      <c r="B138" s="6"/>
      <c r="C138" s="6"/>
      <c r="D138" s="6"/>
      <c r="E138" s="6"/>
      <c r="F138" s="6"/>
      <c r="G138" s="6"/>
      <c r="H138" s="6"/>
      <c r="I138" s="6"/>
      <c r="J138" s="6"/>
      <c r="K138" s="6"/>
      <c r="L138" s="6"/>
      <c r="M138" s="6"/>
      <c r="N138" s="6"/>
    </row>
    <row r="139">
      <c r="A139" s="6"/>
      <c r="B139" s="6"/>
      <c r="C139" s="6"/>
      <c r="D139" s="6"/>
      <c r="E139" s="6"/>
      <c r="F139" s="6"/>
      <c r="G139" s="6"/>
      <c r="H139" s="6"/>
      <c r="I139" s="6"/>
      <c r="J139" s="6"/>
      <c r="K139" s="6"/>
      <c r="L139" s="6"/>
      <c r="M139" s="6"/>
      <c r="N139" s="6"/>
    </row>
    <row r="140">
      <c r="A140" s="6"/>
      <c r="B140" s="6"/>
      <c r="C140" s="6"/>
      <c r="D140" s="6"/>
      <c r="E140" s="6"/>
      <c r="F140" s="6"/>
      <c r="G140" s="6"/>
      <c r="H140" s="6"/>
      <c r="I140" s="6"/>
      <c r="J140" s="6"/>
      <c r="K140" s="6"/>
      <c r="L140" s="6"/>
      <c r="M140" s="6"/>
      <c r="N140" s="6"/>
    </row>
    <row r="141">
      <c r="A141" s="6"/>
      <c r="B141" s="6"/>
      <c r="C141" s="6"/>
      <c r="D141" s="6"/>
      <c r="E141" s="6"/>
      <c r="F141" s="6"/>
      <c r="G141" s="6"/>
      <c r="H141" s="6"/>
      <c r="I141" s="6"/>
      <c r="J141" s="6"/>
      <c r="K141" s="6"/>
      <c r="L141" s="6"/>
      <c r="M141" s="6"/>
      <c r="N141" s="6"/>
    </row>
    <row r="142">
      <c r="A142" s="6"/>
      <c r="B142" s="6"/>
      <c r="C142" s="6"/>
      <c r="D142" s="6"/>
      <c r="E142" s="6"/>
      <c r="F142" s="6"/>
      <c r="G142" s="6"/>
      <c r="H142" s="6"/>
      <c r="I142" s="6"/>
      <c r="J142" s="6"/>
      <c r="K142" s="6"/>
      <c r="L142" s="6"/>
      <c r="M142" s="6"/>
      <c r="N142" s="6"/>
    </row>
    <row r="143">
      <c r="A143" s="6"/>
      <c r="B143" s="6"/>
      <c r="C143" s="6"/>
      <c r="D143" s="6"/>
      <c r="E143" s="6"/>
      <c r="F143" s="6"/>
      <c r="G143" s="6"/>
      <c r="H143" s="6"/>
      <c r="I143" s="6"/>
      <c r="J143" s="6"/>
      <c r="K143" s="6"/>
      <c r="L143" s="6"/>
      <c r="M143" s="6"/>
      <c r="N143" s="6"/>
    </row>
    <row r="144">
      <c r="A144" s="6"/>
      <c r="B144" s="6"/>
      <c r="C144" s="6"/>
      <c r="D144" s="6"/>
      <c r="E144" s="6"/>
      <c r="F144" s="6"/>
      <c r="G144" s="6"/>
      <c r="H144" s="6"/>
      <c r="I144" s="6"/>
      <c r="J144" s="6"/>
      <c r="K144" s="6"/>
      <c r="L144" s="6"/>
      <c r="M144" s="6"/>
      <c r="N144" s="6"/>
    </row>
    <row r="145">
      <c r="A145" s="6"/>
      <c r="B145" s="6"/>
      <c r="C145" s="6"/>
      <c r="D145" s="6"/>
      <c r="E145" s="6"/>
      <c r="F145" s="6"/>
      <c r="G145" s="6"/>
      <c r="H145" s="6"/>
      <c r="I145" s="6"/>
      <c r="J145" s="6"/>
      <c r="K145" s="6"/>
      <c r="L145" s="6"/>
      <c r="M145" s="6"/>
      <c r="N145" s="6"/>
    </row>
    <row r="146">
      <c r="A146" s="6"/>
      <c r="B146" s="6"/>
      <c r="C146" s="6"/>
      <c r="D146" s="6"/>
      <c r="E146" s="6"/>
      <c r="F146" s="6"/>
      <c r="G146" s="6"/>
      <c r="H146" s="6"/>
      <c r="I146" s="6"/>
      <c r="J146" s="6"/>
      <c r="K146" s="6"/>
      <c r="L146" s="6"/>
      <c r="M146" s="6"/>
      <c r="N146" s="6"/>
    </row>
    <row r="147">
      <c r="A147" s="6"/>
      <c r="B147" s="6"/>
      <c r="C147" s="6"/>
      <c r="D147" s="6"/>
      <c r="E147" s="6"/>
      <c r="F147" s="6"/>
      <c r="G147" s="6"/>
      <c r="H147" s="6"/>
      <c r="I147" s="6"/>
      <c r="J147" s="6"/>
      <c r="K147" s="6"/>
      <c r="L147" s="6"/>
      <c r="M147" s="6"/>
      <c r="N147" s="6"/>
    </row>
    <row r="148">
      <c r="A148" s="6"/>
      <c r="B148" s="6"/>
      <c r="C148" s="6"/>
      <c r="D148" s="6"/>
      <c r="E148" s="6"/>
      <c r="F148" s="6"/>
      <c r="G148" s="6"/>
      <c r="H148" s="6"/>
      <c r="I148" s="6"/>
      <c r="J148" s="6"/>
      <c r="K148" s="6"/>
      <c r="L148" s="6"/>
      <c r="M148" s="6"/>
      <c r="N148" s="6"/>
    </row>
    <row r="149">
      <c r="A149" s="6"/>
      <c r="B149" s="6"/>
      <c r="C149" s="6"/>
      <c r="D149" s="6"/>
      <c r="E149" s="6"/>
      <c r="F149" s="6"/>
      <c r="G149" s="6"/>
      <c r="H149" s="6"/>
      <c r="I149" s="6"/>
      <c r="J149" s="6"/>
      <c r="K149" s="6"/>
      <c r="L149" s="6"/>
      <c r="M149" s="6"/>
      <c r="N149" s="6"/>
    </row>
    <row r="150">
      <c r="A150" s="6"/>
      <c r="B150" s="6"/>
      <c r="C150" s="6"/>
      <c r="D150" s="6"/>
      <c r="E150" s="6"/>
      <c r="F150" s="6"/>
      <c r="G150" s="6"/>
      <c r="H150" s="6"/>
      <c r="I150" s="6"/>
      <c r="J150" s="6"/>
      <c r="K150" s="6"/>
      <c r="L150" s="6"/>
      <c r="M150" s="6"/>
      <c r="N150" s="6"/>
    </row>
    <row r="151">
      <c r="A151" s="6"/>
      <c r="B151" s="6"/>
      <c r="C151" s="6"/>
      <c r="D151" s="6"/>
      <c r="E151" s="6"/>
      <c r="F151" s="6"/>
      <c r="G151" s="6"/>
      <c r="H151" s="6"/>
      <c r="I151" s="6"/>
      <c r="J151" s="6"/>
      <c r="K151" s="6"/>
      <c r="L151" s="6"/>
      <c r="M151" s="6"/>
      <c r="N151" s="6"/>
    </row>
    <row r="152">
      <c r="A152" s="6"/>
      <c r="B152" s="6"/>
      <c r="C152" s="6"/>
      <c r="D152" s="6"/>
      <c r="E152" s="6"/>
      <c r="F152" s="6"/>
      <c r="G152" s="6"/>
      <c r="H152" s="6"/>
      <c r="I152" s="6"/>
      <c r="J152" s="6"/>
      <c r="K152" s="6"/>
      <c r="L152" s="6"/>
      <c r="M152" s="6"/>
      <c r="N152" s="6"/>
    </row>
    <row r="153">
      <c r="A153" s="6"/>
      <c r="B153" s="6"/>
      <c r="C153" s="6"/>
      <c r="D153" s="6"/>
      <c r="E153" s="6"/>
      <c r="F153" s="6"/>
      <c r="G153" s="6"/>
      <c r="H153" s="6"/>
      <c r="I153" s="6"/>
      <c r="J153" s="6"/>
      <c r="K153" s="6"/>
      <c r="L153" s="6"/>
      <c r="M153" s="6"/>
      <c r="N153" s="6"/>
    </row>
    <row r="154">
      <c r="A154" s="6"/>
      <c r="B154" s="6"/>
      <c r="C154" s="6"/>
      <c r="D154" s="6"/>
      <c r="E154" s="6"/>
      <c r="F154" s="6"/>
      <c r="G154" s="6"/>
      <c r="H154" s="6"/>
      <c r="I154" s="6"/>
      <c r="J154" s="6"/>
      <c r="K154" s="6"/>
      <c r="L154" s="6"/>
      <c r="M154" s="6"/>
      <c r="N154" s="6"/>
    </row>
    <row r="155">
      <c r="A155" s="6"/>
      <c r="B155" s="6"/>
      <c r="C155" s="6"/>
      <c r="D155" s="6"/>
      <c r="E155" s="6"/>
      <c r="F155" s="6"/>
      <c r="G155" s="6"/>
      <c r="H155" s="6"/>
      <c r="I155" s="6"/>
      <c r="J155" s="6"/>
      <c r="K155" s="6"/>
      <c r="L155" s="6"/>
      <c r="M155" s="6"/>
      <c r="N155" s="6"/>
    </row>
    <row r="156">
      <c r="A156" s="6"/>
      <c r="B156" s="6"/>
      <c r="C156" s="6"/>
      <c r="D156" s="6"/>
      <c r="E156" s="6"/>
      <c r="F156" s="6"/>
      <c r="G156" s="6"/>
      <c r="H156" s="6"/>
      <c r="I156" s="6"/>
      <c r="J156" s="6"/>
      <c r="K156" s="6"/>
      <c r="L156" s="6"/>
      <c r="M156" s="6"/>
      <c r="N156" s="6"/>
    </row>
    <row r="157">
      <c r="A157" s="6"/>
      <c r="B157" s="6"/>
      <c r="C157" s="6"/>
      <c r="D157" s="6"/>
      <c r="E157" s="6"/>
      <c r="F157" s="6"/>
      <c r="G157" s="6"/>
      <c r="H157" s="6"/>
      <c r="I157" s="6"/>
      <c r="J157" s="6"/>
      <c r="K157" s="6"/>
      <c r="L157" s="6"/>
      <c r="M157" s="6"/>
      <c r="N157" s="6"/>
    </row>
    <row r="158">
      <c r="A158" s="6"/>
      <c r="B158" s="6"/>
      <c r="C158" s="6"/>
      <c r="D158" s="6"/>
      <c r="E158" s="6"/>
      <c r="F158" s="6"/>
      <c r="G158" s="6"/>
      <c r="H158" s="6"/>
      <c r="I158" s="6"/>
      <c r="J158" s="6"/>
      <c r="K158" s="6"/>
      <c r="L158" s="6"/>
      <c r="M158" s="6"/>
      <c r="N158" s="6"/>
    </row>
    <row r="159">
      <c r="A159" s="6"/>
      <c r="B159" s="6"/>
      <c r="C159" s="6"/>
      <c r="D159" s="6"/>
      <c r="E159" s="6"/>
      <c r="F159" s="6"/>
      <c r="G159" s="6"/>
      <c r="H159" s="6"/>
      <c r="I159" s="6"/>
      <c r="J159" s="6"/>
      <c r="K159" s="6"/>
      <c r="L159" s="6"/>
      <c r="M159" s="6"/>
      <c r="N159" s="6"/>
    </row>
    <row r="160">
      <c r="A160" s="6"/>
      <c r="B160" s="6"/>
      <c r="C160" s="6"/>
      <c r="D160" s="6"/>
      <c r="E160" s="6"/>
      <c r="F160" s="6"/>
      <c r="G160" s="6"/>
      <c r="H160" s="6"/>
      <c r="I160" s="6"/>
      <c r="J160" s="6"/>
      <c r="K160" s="6"/>
      <c r="L160" s="6"/>
      <c r="M160" s="6"/>
      <c r="N160" s="6"/>
    </row>
    <row r="161">
      <c r="A161" s="6"/>
      <c r="B161" s="6"/>
      <c r="C161" s="6"/>
      <c r="D161" s="6"/>
      <c r="E161" s="6"/>
      <c r="F161" s="6"/>
      <c r="G161" s="6"/>
      <c r="H161" s="6"/>
      <c r="I161" s="6"/>
      <c r="J161" s="6"/>
      <c r="K161" s="6"/>
      <c r="L161" s="6"/>
      <c r="M161" s="6"/>
      <c r="N161" s="6"/>
    </row>
    <row r="162">
      <c r="A162" s="6"/>
      <c r="B162" s="6"/>
      <c r="C162" s="6"/>
      <c r="D162" s="6"/>
      <c r="E162" s="6"/>
      <c r="F162" s="6"/>
      <c r="G162" s="6"/>
      <c r="H162" s="6"/>
      <c r="I162" s="6"/>
      <c r="J162" s="6"/>
      <c r="K162" s="6"/>
      <c r="L162" s="6"/>
      <c r="M162" s="6"/>
      <c r="N162" s="6"/>
    </row>
    <row r="163">
      <c r="A163" s="6"/>
      <c r="B163" s="6"/>
      <c r="C163" s="6"/>
      <c r="D163" s="6"/>
      <c r="E163" s="6"/>
      <c r="F163" s="6"/>
      <c r="G163" s="6"/>
      <c r="H163" s="6"/>
      <c r="I163" s="6"/>
      <c r="J163" s="6"/>
      <c r="K163" s="6"/>
      <c r="L163" s="6"/>
      <c r="M163" s="6"/>
      <c r="N163" s="6"/>
    </row>
    <row r="164">
      <c r="A164" s="6"/>
      <c r="B164" s="6"/>
      <c r="C164" s="6"/>
      <c r="D164" s="6"/>
      <c r="E164" s="6"/>
      <c r="F164" s="6"/>
      <c r="G164" s="6"/>
      <c r="H164" s="6"/>
      <c r="I164" s="6"/>
      <c r="J164" s="6"/>
      <c r="K164" s="6"/>
      <c r="L164" s="6"/>
      <c r="M164" s="6"/>
      <c r="N164" s="6"/>
    </row>
    <row r="165">
      <c r="A165" s="6"/>
      <c r="B165" s="6"/>
      <c r="C165" s="6"/>
      <c r="D165" s="6"/>
      <c r="E165" s="6"/>
      <c r="F165" s="6"/>
      <c r="G165" s="6"/>
      <c r="H165" s="6"/>
      <c r="I165" s="6"/>
      <c r="J165" s="6"/>
      <c r="K165" s="6"/>
      <c r="L165" s="6"/>
      <c r="M165" s="6"/>
      <c r="N165" s="6"/>
    </row>
    <row r="166">
      <c r="A166" s="6"/>
      <c r="B166" s="6"/>
      <c r="C166" s="6"/>
      <c r="D166" s="6"/>
      <c r="E166" s="6"/>
      <c r="F166" s="6"/>
      <c r="G166" s="6"/>
      <c r="H166" s="6"/>
      <c r="I166" s="6"/>
      <c r="J166" s="6"/>
      <c r="K166" s="6"/>
      <c r="L166" s="6"/>
      <c r="M166" s="6"/>
      <c r="N166" s="6"/>
    </row>
    <row r="167">
      <c r="A167" s="6"/>
      <c r="B167" s="6"/>
      <c r="C167" s="6"/>
      <c r="D167" s="6"/>
      <c r="E167" s="6"/>
      <c r="F167" s="6"/>
      <c r="G167" s="6"/>
      <c r="H167" s="6"/>
      <c r="I167" s="6"/>
      <c r="J167" s="6"/>
      <c r="K167" s="6"/>
      <c r="L167" s="6"/>
      <c r="M167" s="6"/>
      <c r="N167" s="6"/>
    </row>
    <row r="168">
      <c r="A168" s="6"/>
      <c r="B168" s="6"/>
      <c r="C168" s="6"/>
      <c r="D168" s="6"/>
      <c r="E168" s="6"/>
      <c r="F168" s="6"/>
      <c r="G168" s="6"/>
      <c r="H168" s="6"/>
      <c r="I168" s="6"/>
      <c r="J168" s="6"/>
      <c r="K168" s="6"/>
      <c r="L168" s="6"/>
      <c r="M168" s="6"/>
      <c r="N168" s="6"/>
    </row>
    <row r="169">
      <c r="A169" s="6"/>
      <c r="B169" s="6"/>
      <c r="C169" s="6"/>
      <c r="D169" s="6"/>
      <c r="E169" s="6"/>
      <c r="F169" s="6"/>
      <c r="G169" s="6"/>
      <c r="H169" s="6"/>
      <c r="I169" s="6"/>
      <c r="J169" s="6"/>
      <c r="K169" s="6"/>
      <c r="L169" s="6"/>
      <c r="M169" s="6"/>
      <c r="N169" s="6"/>
    </row>
    <row r="170">
      <c r="A170" s="6"/>
      <c r="B170" s="6"/>
      <c r="C170" s="6"/>
      <c r="D170" s="6"/>
      <c r="E170" s="6"/>
      <c r="F170" s="6"/>
      <c r="G170" s="6"/>
      <c r="H170" s="6"/>
      <c r="I170" s="6"/>
      <c r="J170" s="6"/>
      <c r="K170" s="6"/>
      <c r="L170" s="6"/>
      <c r="M170" s="6"/>
      <c r="N170" s="6"/>
    </row>
    <row r="171">
      <c r="A171" s="6"/>
      <c r="B171" s="6"/>
      <c r="C171" s="6"/>
      <c r="D171" s="6"/>
      <c r="E171" s="6"/>
      <c r="F171" s="6"/>
      <c r="G171" s="6"/>
      <c r="H171" s="6"/>
      <c r="I171" s="6"/>
      <c r="J171" s="6"/>
      <c r="K171" s="6"/>
      <c r="L171" s="6"/>
      <c r="M171" s="6"/>
      <c r="N171" s="6"/>
    </row>
    <row r="172">
      <c r="A172" s="6"/>
      <c r="B172" s="6"/>
      <c r="C172" s="6"/>
      <c r="D172" s="6"/>
      <c r="E172" s="6"/>
      <c r="F172" s="6"/>
      <c r="G172" s="6"/>
      <c r="H172" s="6"/>
      <c r="I172" s="6"/>
      <c r="J172" s="6"/>
      <c r="K172" s="6"/>
      <c r="L172" s="6"/>
      <c r="M172" s="6"/>
      <c r="N172" s="6"/>
    </row>
    <row r="173">
      <c r="A173" s="6"/>
      <c r="B173" s="6"/>
      <c r="C173" s="6"/>
      <c r="D173" s="6"/>
      <c r="E173" s="6"/>
      <c r="F173" s="6"/>
      <c r="G173" s="6"/>
      <c r="H173" s="6"/>
      <c r="I173" s="6"/>
      <c r="J173" s="6"/>
      <c r="K173" s="6"/>
      <c r="L173" s="6"/>
      <c r="M173" s="6"/>
      <c r="N173" s="6"/>
    </row>
    <row r="174">
      <c r="A174" s="6"/>
      <c r="B174" s="6"/>
      <c r="C174" s="6"/>
      <c r="D174" s="6"/>
      <c r="E174" s="6"/>
      <c r="F174" s="6"/>
      <c r="G174" s="6"/>
      <c r="H174" s="6"/>
      <c r="I174" s="6"/>
      <c r="J174" s="6"/>
      <c r="K174" s="6"/>
      <c r="L174" s="6"/>
      <c r="M174" s="6"/>
      <c r="N174" s="6"/>
    </row>
    <row r="175">
      <c r="A175" s="6"/>
      <c r="B175" s="6"/>
      <c r="C175" s="6"/>
      <c r="D175" s="6"/>
      <c r="E175" s="6"/>
      <c r="F175" s="6"/>
      <c r="G175" s="6"/>
      <c r="H175" s="6"/>
      <c r="I175" s="6"/>
      <c r="J175" s="6"/>
      <c r="K175" s="6"/>
      <c r="L175" s="6"/>
      <c r="M175" s="6"/>
      <c r="N175" s="6"/>
    </row>
    <row r="176">
      <c r="A176" s="6"/>
      <c r="B176" s="6"/>
      <c r="C176" s="6"/>
      <c r="D176" s="6"/>
      <c r="E176" s="6"/>
      <c r="F176" s="6"/>
      <c r="G176" s="6"/>
      <c r="H176" s="6"/>
      <c r="I176" s="6"/>
      <c r="J176" s="6"/>
      <c r="K176" s="6"/>
      <c r="L176" s="6"/>
      <c r="M176" s="6"/>
      <c r="N176" s="6"/>
    </row>
    <row r="177">
      <c r="A177" s="6"/>
      <c r="B177" s="6"/>
      <c r="C177" s="6"/>
      <c r="D177" s="6"/>
      <c r="E177" s="6"/>
      <c r="F177" s="6"/>
      <c r="G177" s="6"/>
      <c r="H177" s="6"/>
      <c r="I177" s="6"/>
      <c r="J177" s="6"/>
      <c r="K177" s="6"/>
      <c r="L177" s="6"/>
      <c r="M177" s="6"/>
      <c r="N177" s="6"/>
    </row>
    <row r="178">
      <c r="A178" s="6"/>
      <c r="B178" s="6"/>
      <c r="C178" s="6"/>
      <c r="D178" s="6"/>
      <c r="E178" s="6"/>
      <c r="F178" s="6"/>
      <c r="G178" s="6"/>
      <c r="H178" s="6"/>
      <c r="I178" s="6"/>
      <c r="J178" s="6"/>
      <c r="K178" s="6"/>
      <c r="L178" s="6"/>
      <c r="M178" s="6"/>
      <c r="N178" s="6"/>
    </row>
    <row r="179">
      <c r="A179" s="6"/>
      <c r="B179" s="6"/>
      <c r="C179" s="6"/>
      <c r="D179" s="6"/>
      <c r="E179" s="6"/>
      <c r="F179" s="6"/>
      <c r="G179" s="6"/>
      <c r="H179" s="6"/>
      <c r="I179" s="6"/>
      <c r="J179" s="6"/>
      <c r="K179" s="6"/>
      <c r="L179" s="6"/>
      <c r="M179" s="6"/>
      <c r="N179" s="6"/>
    </row>
    <row r="180">
      <c r="A180" s="6"/>
      <c r="B180" s="6"/>
      <c r="C180" s="6"/>
      <c r="D180" s="6"/>
      <c r="E180" s="6"/>
      <c r="F180" s="6"/>
      <c r="G180" s="6"/>
      <c r="H180" s="6"/>
      <c r="I180" s="6"/>
      <c r="J180" s="6"/>
      <c r="K180" s="6"/>
      <c r="L180" s="6"/>
      <c r="M180" s="6"/>
      <c r="N180" s="6"/>
    </row>
    <row r="181">
      <c r="A181" s="6"/>
      <c r="B181" s="6"/>
      <c r="C181" s="6"/>
      <c r="D181" s="6"/>
      <c r="E181" s="6"/>
      <c r="F181" s="6"/>
      <c r="G181" s="6"/>
      <c r="H181" s="6"/>
      <c r="I181" s="6"/>
      <c r="J181" s="6"/>
      <c r="K181" s="6"/>
      <c r="L181" s="6"/>
      <c r="M181" s="6"/>
      <c r="N181" s="6"/>
    </row>
    <row r="182">
      <c r="A182" s="6"/>
      <c r="B182" s="6"/>
      <c r="C182" s="6"/>
      <c r="D182" s="6"/>
      <c r="E182" s="6"/>
      <c r="F182" s="6"/>
      <c r="G182" s="6"/>
      <c r="H182" s="6"/>
      <c r="I182" s="6"/>
      <c r="J182" s="6"/>
      <c r="K182" s="6"/>
      <c r="L182" s="6"/>
      <c r="M182" s="6"/>
      <c r="N182" s="6"/>
    </row>
    <row r="183">
      <c r="A183" s="6"/>
      <c r="B183" s="6"/>
      <c r="C183" s="6"/>
      <c r="D183" s="6"/>
      <c r="E183" s="6"/>
      <c r="F183" s="6"/>
      <c r="G183" s="6"/>
      <c r="H183" s="6"/>
      <c r="I183" s="6"/>
      <c r="J183" s="6"/>
      <c r="K183" s="6"/>
      <c r="L183" s="6"/>
      <c r="M183" s="6"/>
      <c r="N183" s="6"/>
    </row>
    <row r="184">
      <c r="A184" s="6"/>
      <c r="B184" s="6"/>
      <c r="C184" s="6"/>
      <c r="D184" s="6"/>
      <c r="E184" s="6"/>
      <c r="F184" s="6"/>
      <c r="G184" s="6"/>
      <c r="H184" s="6"/>
      <c r="I184" s="6"/>
      <c r="J184" s="6"/>
      <c r="K184" s="6"/>
      <c r="L184" s="6"/>
      <c r="M184" s="6"/>
      <c r="N184" s="6"/>
    </row>
    <row r="185">
      <c r="A185" s="6"/>
      <c r="B185" s="6"/>
      <c r="C185" s="6"/>
      <c r="D185" s="6"/>
      <c r="E185" s="6"/>
      <c r="F185" s="6"/>
      <c r="G185" s="6"/>
      <c r="H185" s="6"/>
      <c r="I185" s="6"/>
      <c r="J185" s="6"/>
      <c r="K185" s="6"/>
      <c r="L185" s="6"/>
      <c r="M185" s="6"/>
      <c r="N185" s="6"/>
    </row>
    <row r="186">
      <c r="A186" s="6"/>
      <c r="B186" s="6"/>
      <c r="C186" s="6"/>
      <c r="D186" s="6"/>
      <c r="E186" s="6"/>
      <c r="F186" s="6"/>
      <c r="G186" s="6"/>
      <c r="H186" s="6"/>
      <c r="I186" s="6"/>
      <c r="J186" s="6"/>
      <c r="K186" s="6"/>
      <c r="L186" s="6"/>
      <c r="M186" s="6"/>
      <c r="N186" s="6"/>
    </row>
    <row r="187">
      <c r="A187" s="6"/>
      <c r="B187" s="6"/>
      <c r="C187" s="6"/>
      <c r="D187" s="6"/>
      <c r="E187" s="6"/>
      <c r="F187" s="6"/>
      <c r="G187" s="6"/>
      <c r="H187" s="6"/>
      <c r="I187" s="6"/>
      <c r="J187" s="6"/>
      <c r="K187" s="6"/>
      <c r="L187" s="6"/>
      <c r="M187" s="6"/>
      <c r="N187" s="6"/>
    </row>
    <row r="188">
      <c r="A188" s="6"/>
      <c r="B188" s="6"/>
      <c r="C188" s="6"/>
      <c r="D188" s="6"/>
      <c r="E188" s="6"/>
      <c r="F188" s="6"/>
      <c r="G188" s="6"/>
      <c r="H188" s="6"/>
      <c r="I188" s="6"/>
      <c r="J188" s="6"/>
      <c r="K188" s="6"/>
      <c r="L188" s="6"/>
      <c r="M188" s="6"/>
      <c r="N188" s="6"/>
    </row>
    <row r="189">
      <c r="A189" s="6"/>
      <c r="B189" s="6"/>
      <c r="C189" s="6"/>
      <c r="D189" s="6"/>
      <c r="E189" s="6"/>
      <c r="F189" s="6"/>
      <c r="G189" s="6"/>
      <c r="H189" s="6"/>
      <c r="I189" s="6"/>
      <c r="J189" s="6"/>
      <c r="K189" s="6"/>
      <c r="L189" s="6"/>
      <c r="M189" s="6"/>
      <c r="N189" s="6"/>
    </row>
    <row r="190">
      <c r="A190" s="6"/>
      <c r="B190" s="6"/>
      <c r="C190" s="6"/>
      <c r="D190" s="6"/>
      <c r="E190" s="6"/>
      <c r="F190" s="6"/>
      <c r="G190" s="6"/>
      <c r="H190" s="6"/>
      <c r="I190" s="6"/>
      <c r="J190" s="6"/>
      <c r="K190" s="6"/>
      <c r="L190" s="6"/>
      <c r="M190" s="6"/>
      <c r="N190" s="6"/>
    </row>
    <row r="191">
      <c r="A191" s="6"/>
      <c r="B191" s="6"/>
      <c r="C191" s="6"/>
      <c r="D191" s="6"/>
      <c r="E191" s="6"/>
      <c r="F191" s="6"/>
      <c r="G191" s="6"/>
      <c r="H191" s="6"/>
      <c r="I191" s="6"/>
      <c r="J191" s="6"/>
      <c r="K191" s="6"/>
      <c r="L191" s="6"/>
      <c r="M191" s="6"/>
      <c r="N191" s="6"/>
    </row>
    <row r="192">
      <c r="A192" s="6"/>
      <c r="B192" s="6"/>
      <c r="C192" s="6"/>
      <c r="D192" s="6"/>
      <c r="E192" s="6"/>
      <c r="F192" s="6"/>
      <c r="G192" s="6"/>
      <c r="H192" s="6"/>
      <c r="I192" s="6"/>
      <c r="J192" s="6"/>
      <c r="K192" s="6"/>
      <c r="L192" s="6"/>
      <c r="M192" s="6"/>
      <c r="N192" s="6"/>
    </row>
    <row r="193">
      <c r="A193" s="6"/>
      <c r="B193" s="6"/>
      <c r="C193" s="6"/>
      <c r="D193" s="6"/>
      <c r="E193" s="6"/>
      <c r="F193" s="6"/>
      <c r="G193" s="6"/>
      <c r="H193" s="6"/>
      <c r="I193" s="6"/>
      <c r="J193" s="6"/>
      <c r="K193" s="6"/>
      <c r="L193" s="6"/>
      <c r="M193" s="6"/>
      <c r="N193" s="6"/>
    </row>
    <row r="194">
      <c r="A194" s="6"/>
      <c r="B194" s="6"/>
      <c r="C194" s="6"/>
      <c r="D194" s="6"/>
      <c r="E194" s="6"/>
      <c r="F194" s="6"/>
      <c r="G194" s="6"/>
      <c r="H194" s="6"/>
      <c r="I194" s="6"/>
      <c r="J194" s="6"/>
      <c r="K194" s="6"/>
      <c r="L194" s="6"/>
      <c r="M194" s="6"/>
      <c r="N194" s="6"/>
    </row>
    <row r="195">
      <c r="A195" s="6"/>
      <c r="B195" s="6"/>
      <c r="C195" s="6"/>
      <c r="D195" s="6"/>
      <c r="E195" s="6"/>
      <c r="F195" s="6"/>
      <c r="G195" s="6"/>
      <c r="H195" s="6"/>
      <c r="I195" s="6"/>
      <c r="J195" s="6"/>
      <c r="K195" s="6"/>
      <c r="L195" s="6"/>
      <c r="M195" s="6"/>
      <c r="N195" s="6"/>
    </row>
    <row r="196">
      <c r="A196" s="6"/>
      <c r="B196" s="6"/>
      <c r="C196" s="6"/>
      <c r="D196" s="6"/>
      <c r="E196" s="6"/>
      <c r="F196" s="6"/>
      <c r="G196" s="6"/>
      <c r="H196" s="6"/>
      <c r="I196" s="6"/>
      <c r="J196" s="6"/>
      <c r="K196" s="6"/>
      <c r="L196" s="6"/>
      <c r="M196" s="6"/>
      <c r="N196" s="6"/>
    </row>
    <row r="197">
      <c r="A197" s="6"/>
      <c r="B197" s="6"/>
      <c r="C197" s="6"/>
      <c r="D197" s="6"/>
      <c r="E197" s="6"/>
      <c r="F197" s="6"/>
      <c r="G197" s="6"/>
      <c r="H197" s="6"/>
      <c r="I197" s="6"/>
      <c r="J197" s="6"/>
      <c r="K197" s="6"/>
      <c r="L197" s="6"/>
      <c r="M197" s="6"/>
      <c r="N197" s="6"/>
    </row>
    <row r="198">
      <c r="A198" s="6"/>
      <c r="B198" s="6"/>
      <c r="C198" s="6"/>
      <c r="D198" s="6"/>
      <c r="E198" s="6"/>
      <c r="F198" s="6"/>
      <c r="G198" s="6"/>
      <c r="H198" s="6"/>
      <c r="I198" s="6"/>
      <c r="J198" s="6"/>
      <c r="K198" s="6"/>
      <c r="L198" s="6"/>
      <c r="M198" s="6"/>
      <c r="N198" s="6"/>
    </row>
    <row r="199">
      <c r="A199" s="6"/>
      <c r="B199" s="6"/>
      <c r="C199" s="6"/>
      <c r="D199" s="6"/>
      <c r="E199" s="6"/>
      <c r="F199" s="6"/>
      <c r="G199" s="6"/>
      <c r="H199" s="6"/>
      <c r="I199" s="6"/>
      <c r="J199" s="6"/>
      <c r="K199" s="6"/>
      <c r="L199" s="6"/>
      <c r="M199" s="6"/>
      <c r="N199" s="6"/>
    </row>
    <row r="200">
      <c r="A200" s="6"/>
      <c r="B200" s="6"/>
      <c r="C200" s="6"/>
      <c r="D200" s="6"/>
      <c r="E200" s="6"/>
      <c r="F200" s="6"/>
      <c r="G200" s="6"/>
      <c r="H200" s="6"/>
      <c r="I200" s="6"/>
      <c r="J200" s="6"/>
      <c r="K200" s="6"/>
      <c r="L200" s="6"/>
      <c r="M200" s="6"/>
      <c r="N200" s="6"/>
    </row>
    <row r="201">
      <c r="A201" s="6"/>
      <c r="B201" s="6"/>
      <c r="C201" s="6"/>
      <c r="D201" s="6"/>
      <c r="E201" s="6"/>
      <c r="F201" s="6"/>
      <c r="G201" s="6"/>
      <c r="H201" s="6"/>
      <c r="I201" s="6"/>
      <c r="J201" s="6"/>
      <c r="K201" s="6"/>
      <c r="L201" s="6"/>
      <c r="M201" s="6"/>
      <c r="N201" s="6"/>
    </row>
    <row r="202">
      <c r="A202" s="6"/>
      <c r="B202" s="6"/>
      <c r="C202" s="6"/>
      <c r="D202" s="6"/>
      <c r="E202" s="6"/>
      <c r="F202" s="6"/>
      <c r="G202" s="6"/>
      <c r="H202" s="6"/>
      <c r="I202" s="6"/>
      <c r="J202" s="6"/>
      <c r="K202" s="6"/>
      <c r="L202" s="6"/>
      <c r="M202" s="6"/>
      <c r="N202" s="6"/>
    </row>
    <row r="203">
      <c r="A203" s="6"/>
      <c r="B203" s="6"/>
      <c r="C203" s="6"/>
      <c r="D203" s="6"/>
      <c r="E203" s="6"/>
      <c r="F203" s="6"/>
      <c r="G203" s="6"/>
      <c r="H203" s="6"/>
      <c r="I203" s="6"/>
      <c r="J203" s="6"/>
      <c r="K203" s="6"/>
      <c r="L203" s="6"/>
      <c r="M203" s="6"/>
      <c r="N203" s="6"/>
    </row>
    <row r="204">
      <c r="A204" s="6"/>
      <c r="B204" s="6"/>
      <c r="C204" s="6"/>
      <c r="D204" s="6"/>
      <c r="E204" s="6"/>
      <c r="F204" s="6"/>
      <c r="G204" s="6"/>
      <c r="H204" s="6"/>
      <c r="I204" s="6"/>
      <c r="J204" s="6"/>
      <c r="K204" s="6"/>
      <c r="L204" s="6"/>
      <c r="M204" s="6"/>
      <c r="N204" s="6"/>
    </row>
    <row r="205">
      <c r="A205" s="6"/>
      <c r="B205" s="6"/>
      <c r="C205" s="6"/>
      <c r="D205" s="6"/>
      <c r="E205" s="6"/>
      <c r="F205" s="6"/>
      <c r="G205" s="6"/>
      <c r="H205" s="6"/>
      <c r="I205" s="6"/>
      <c r="J205" s="6"/>
      <c r="K205" s="6"/>
      <c r="L205" s="6"/>
      <c r="M205" s="6"/>
      <c r="N205" s="6"/>
    </row>
    <row r="206">
      <c r="A206" s="6"/>
      <c r="B206" s="6"/>
      <c r="C206" s="6"/>
      <c r="D206" s="6"/>
      <c r="E206" s="6"/>
      <c r="F206" s="6"/>
      <c r="G206" s="6"/>
      <c r="H206" s="6"/>
      <c r="I206" s="6"/>
      <c r="J206" s="6"/>
      <c r="K206" s="6"/>
      <c r="L206" s="6"/>
      <c r="M206" s="6"/>
      <c r="N206" s="6"/>
    </row>
    <row r="207">
      <c r="A207" s="6"/>
      <c r="B207" s="6"/>
      <c r="C207" s="6"/>
      <c r="D207" s="6"/>
      <c r="E207" s="6"/>
      <c r="F207" s="6"/>
      <c r="G207" s="6"/>
      <c r="H207" s="6"/>
      <c r="I207" s="6"/>
      <c r="J207" s="6"/>
      <c r="K207" s="6"/>
      <c r="L207" s="6"/>
      <c r="M207" s="6"/>
      <c r="N207" s="6"/>
    </row>
    <row r="208">
      <c r="A208" s="6"/>
      <c r="B208" s="6"/>
      <c r="C208" s="6"/>
      <c r="D208" s="6"/>
      <c r="E208" s="6"/>
      <c r="F208" s="6"/>
      <c r="G208" s="6"/>
      <c r="H208" s="6"/>
      <c r="I208" s="6"/>
      <c r="J208" s="6"/>
      <c r="K208" s="6"/>
      <c r="L208" s="6"/>
      <c r="M208" s="6"/>
      <c r="N208" s="6"/>
    </row>
    <row r="209">
      <c r="A209" s="6"/>
      <c r="B209" s="6"/>
      <c r="C209" s="6"/>
      <c r="D209" s="6"/>
      <c r="E209" s="6"/>
      <c r="F209" s="6"/>
      <c r="G209" s="6"/>
      <c r="H209" s="6"/>
      <c r="I209" s="6"/>
      <c r="J209" s="6"/>
      <c r="K209" s="6"/>
      <c r="L209" s="6"/>
      <c r="M209" s="6"/>
      <c r="N209" s="6"/>
    </row>
    <row r="210">
      <c r="A210" s="6"/>
      <c r="B210" s="6"/>
      <c r="C210" s="6"/>
      <c r="D210" s="6"/>
      <c r="E210" s="6"/>
      <c r="F210" s="6"/>
      <c r="G210" s="6"/>
      <c r="H210" s="6"/>
      <c r="I210" s="6"/>
      <c r="J210" s="6"/>
      <c r="K210" s="6"/>
      <c r="L210" s="6"/>
      <c r="M210" s="6"/>
      <c r="N210" s="6"/>
    </row>
    <row r="211">
      <c r="A211" s="6"/>
      <c r="B211" s="6"/>
      <c r="C211" s="6"/>
      <c r="D211" s="6"/>
      <c r="E211" s="6"/>
      <c r="F211" s="6"/>
      <c r="G211" s="6"/>
      <c r="H211" s="6"/>
      <c r="I211" s="6"/>
      <c r="J211" s="6"/>
      <c r="K211" s="6"/>
      <c r="L211" s="6"/>
      <c r="M211" s="6"/>
      <c r="N211" s="6"/>
    </row>
    <row r="212">
      <c r="A212" s="6"/>
      <c r="B212" s="6"/>
      <c r="C212" s="6"/>
      <c r="D212" s="6"/>
      <c r="E212" s="6"/>
      <c r="F212" s="6"/>
      <c r="G212" s="6"/>
      <c r="H212" s="6"/>
      <c r="I212" s="6"/>
      <c r="J212" s="6"/>
      <c r="K212" s="6"/>
      <c r="L212" s="6"/>
      <c r="M212" s="6"/>
      <c r="N212" s="6"/>
    </row>
    <row r="213">
      <c r="A213" s="6"/>
      <c r="B213" s="6"/>
      <c r="C213" s="6"/>
      <c r="D213" s="6"/>
      <c r="E213" s="6"/>
      <c r="F213" s="6"/>
      <c r="G213" s="6"/>
      <c r="H213" s="6"/>
      <c r="I213" s="6"/>
      <c r="J213" s="6"/>
      <c r="K213" s="6"/>
      <c r="L213" s="6"/>
      <c r="M213" s="6"/>
      <c r="N213" s="6"/>
    </row>
    <row r="214">
      <c r="A214" s="6"/>
      <c r="B214" s="6"/>
      <c r="C214" s="6"/>
      <c r="D214" s="6"/>
      <c r="E214" s="6"/>
      <c r="F214" s="6"/>
      <c r="G214" s="6"/>
      <c r="H214" s="6"/>
      <c r="I214" s="6"/>
      <c r="J214" s="6"/>
      <c r="K214" s="6"/>
      <c r="L214" s="6"/>
      <c r="M214" s="6"/>
      <c r="N214" s="6"/>
    </row>
    <row r="215">
      <c r="A215" s="6"/>
      <c r="B215" s="6"/>
      <c r="C215" s="6"/>
      <c r="D215" s="6"/>
      <c r="E215" s="6"/>
      <c r="F215" s="6"/>
      <c r="G215" s="6"/>
      <c r="H215" s="6"/>
      <c r="I215" s="6"/>
      <c r="J215" s="6"/>
      <c r="K215" s="6"/>
      <c r="L215" s="6"/>
      <c r="M215" s="6"/>
      <c r="N215" s="6"/>
    </row>
    <row r="216">
      <c r="A216" s="6"/>
      <c r="B216" s="6"/>
      <c r="C216" s="6"/>
      <c r="D216" s="6"/>
      <c r="E216" s="6"/>
      <c r="F216" s="6"/>
      <c r="G216" s="6"/>
      <c r="H216" s="6"/>
      <c r="I216" s="6"/>
      <c r="J216" s="6"/>
      <c r="K216" s="6"/>
      <c r="L216" s="6"/>
      <c r="M216" s="6"/>
      <c r="N216" s="6"/>
    </row>
    <row r="217">
      <c r="A217" s="6"/>
      <c r="B217" s="6"/>
      <c r="C217" s="6"/>
      <c r="D217" s="6"/>
      <c r="E217" s="6"/>
      <c r="F217" s="6"/>
      <c r="G217" s="6"/>
      <c r="H217" s="6"/>
      <c r="I217" s="6"/>
      <c r="J217" s="6"/>
      <c r="K217" s="6"/>
      <c r="L217" s="6"/>
      <c r="M217" s="6"/>
      <c r="N217" s="6"/>
    </row>
    <row r="218">
      <c r="A218" s="6"/>
      <c r="B218" s="6"/>
      <c r="C218" s="6"/>
      <c r="D218" s="6"/>
      <c r="E218" s="6"/>
      <c r="F218" s="6"/>
      <c r="G218" s="6"/>
      <c r="H218" s="6"/>
      <c r="I218" s="6"/>
      <c r="J218" s="6"/>
      <c r="K218" s="6"/>
      <c r="L218" s="6"/>
      <c r="M218" s="6"/>
      <c r="N218" s="6"/>
    </row>
    <row r="219">
      <c r="A219" s="6"/>
      <c r="B219" s="6"/>
      <c r="C219" s="6"/>
      <c r="D219" s="6"/>
      <c r="E219" s="6"/>
      <c r="F219" s="6"/>
      <c r="G219" s="6"/>
      <c r="H219" s="6"/>
      <c r="I219" s="6"/>
      <c r="J219" s="6"/>
      <c r="K219" s="6"/>
      <c r="L219" s="6"/>
      <c r="M219" s="6"/>
      <c r="N219" s="6"/>
    </row>
    <row r="220">
      <c r="A220" s="6"/>
      <c r="B220" s="6"/>
      <c r="C220" s="6"/>
      <c r="D220" s="6"/>
      <c r="E220" s="6"/>
      <c r="F220" s="6"/>
      <c r="G220" s="6"/>
      <c r="H220" s="6"/>
      <c r="I220" s="6"/>
      <c r="J220" s="6"/>
      <c r="K220" s="6"/>
      <c r="L220" s="6"/>
      <c r="M220" s="6"/>
      <c r="N220" s="6"/>
    </row>
    <row r="221">
      <c r="A221" s="6"/>
      <c r="B221" s="6"/>
      <c r="C221" s="6"/>
      <c r="D221" s="6"/>
      <c r="E221" s="6"/>
      <c r="F221" s="6"/>
      <c r="G221" s="6"/>
      <c r="H221" s="6"/>
      <c r="I221" s="6"/>
      <c r="J221" s="6"/>
      <c r="K221" s="6"/>
      <c r="L221" s="6"/>
      <c r="M221" s="6"/>
      <c r="N221" s="6"/>
    </row>
    <row r="222">
      <c r="A222" s="6"/>
      <c r="B222" s="6"/>
      <c r="C222" s="6"/>
      <c r="D222" s="6"/>
      <c r="E222" s="6"/>
      <c r="F222" s="6"/>
      <c r="G222" s="6"/>
      <c r="H222" s="6"/>
      <c r="I222" s="6"/>
      <c r="J222" s="6"/>
      <c r="K222" s="6"/>
      <c r="L222" s="6"/>
      <c r="M222" s="6"/>
      <c r="N222" s="6"/>
    </row>
    <row r="223">
      <c r="A223" s="6"/>
      <c r="B223" s="6"/>
      <c r="C223" s="6"/>
      <c r="D223" s="6"/>
      <c r="E223" s="6"/>
      <c r="F223" s="6"/>
      <c r="G223" s="6"/>
      <c r="H223" s="6"/>
      <c r="I223" s="6"/>
      <c r="J223" s="6"/>
      <c r="K223" s="6"/>
      <c r="L223" s="6"/>
      <c r="M223" s="6"/>
      <c r="N223" s="6"/>
    </row>
    <row r="224">
      <c r="A224" s="6"/>
      <c r="B224" s="6"/>
      <c r="C224" s="6"/>
      <c r="D224" s="6"/>
      <c r="E224" s="6"/>
      <c r="F224" s="6"/>
      <c r="G224" s="6"/>
      <c r="H224" s="6"/>
      <c r="I224" s="6"/>
      <c r="J224" s="6"/>
      <c r="K224" s="6"/>
      <c r="L224" s="6"/>
      <c r="M224" s="6"/>
      <c r="N224" s="6"/>
    </row>
    <row r="225">
      <c r="A225" s="6"/>
      <c r="B225" s="6"/>
      <c r="C225" s="6"/>
      <c r="D225" s="6"/>
      <c r="E225" s="6"/>
      <c r="F225" s="6"/>
      <c r="G225" s="6"/>
      <c r="H225" s="6"/>
      <c r="I225" s="6"/>
      <c r="J225" s="6"/>
      <c r="K225" s="6"/>
      <c r="L225" s="6"/>
      <c r="M225" s="6"/>
      <c r="N225" s="6"/>
    </row>
    <row r="226">
      <c r="A226" s="6"/>
      <c r="B226" s="6"/>
      <c r="C226" s="6"/>
      <c r="D226" s="6"/>
      <c r="E226" s="6"/>
      <c r="F226" s="6"/>
      <c r="G226" s="6"/>
      <c r="H226" s="6"/>
      <c r="I226" s="6"/>
      <c r="J226" s="6"/>
      <c r="K226" s="6"/>
      <c r="L226" s="6"/>
      <c r="M226" s="6"/>
      <c r="N226" s="6"/>
    </row>
    <row r="227">
      <c r="A227" s="6"/>
      <c r="B227" s="6"/>
      <c r="C227" s="6"/>
      <c r="D227" s="6"/>
      <c r="E227" s="6"/>
      <c r="F227" s="6"/>
      <c r="G227" s="6"/>
      <c r="H227" s="6"/>
      <c r="I227" s="6"/>
      <c r="J227" s="6"/>
      <c r="K227" s="6"/>
      <c r="L227" s="6"/>
      <c r="M227" s="6"/>
      <c r="N227" s="6"/>
    </row>
    <row r="228">
      <c r="A228" s="6"/>
      <c r="B228" s="6"/>
      <c r="C228" s="6"/>
      <c r="D228" s="6"/>
      <c r="E228" s="6"/>
      <c r="F228" s="6"/>
      <c r="G228" s="6"/>
      <c r="H228" s="6"/>
      <c r="I228" s="6"/>
      <c r="J228" s="6"/>
      <c r="K228" s="6"/>
      <c r="L228" s="6"/>
      <c r="M228" s="6"/>
      <c r="N228" s="6"/>
    </row>
    <row r="229">
      <c r="A229" s="6"/>
      <c r="B229" s="6"/>
      <c r="C229" s="6"/>
      <c r="D229" s="6"/>
      <c r="E229" s="6"/>
      <c r="F229" s="6"/>
      <c r="G229" s="6"/>
      <c r="H229" s="6"/>
      <c r="I229" s="6"/>
      <c r="J229" s="6"/>
      <c r="K229" s="6"/>
      <c r="L229" s="6"/>
      <c r="M229" s="6"/>
      <c r="N229" s="6"/>
    </row>
    <row r="230">
      <c r="A230" s="6"/>
      <c r="B230" s="6"/>
      <c r="C230" s="6"/>
      <c r="D230" s="6"/>
      <c r="E230" s="6"/>
      <c r="F230" s="6"/>
      <c r="G230" s="6"/>
      <c r="H230" s="6"/>
      <c r="I230" s="6"/>
      <c r="J230" s="6"/>
      <c r="K230" s="6"/>
      <c r="L230" s="6"/>
      <c r="M230" s="6"/>
      <c r="N230" s="6"/>
    </row>
    <row r="231">
      <c r="A231" s="6"/>
      <c r="B231" s="6"/>
      <c r="C231" s="6"/>
      <c r="D231" s="6"/>
      <c r="E231" s="6"/>
      <c r="F231" s="6"/>
      <c r="G231" s="6"/>
      <c r="H231" s="6"/>
      <c r="I231" s="6"/>
      <c r="J231" s="6"/>
      <c r="K231" s="6"/>
      <c r="L231" s="6"/>
      <c r="M231" s="6"/>
      <c r="N231" s="6"/>
    </row>
    <row r="232">
      <c r="A232" s="6"/>
      <c r="B232" s="6"/>
      <c r="C232" s="6"/>
      <c r="D232" s="6"/>
      <c r="E232" s="6"/>
      <c r="F232" s="6"/>
      <c r="G232" s="6"/>
      <c r="H232" s="6"/>
      <c r="I232" s="6"/>
      <c r="J232" s="6"/>
      <c r="K232" s="6"/>
      <c r="L232" s="6"/>
      <c r="M232" s="6"/>
      <c r="N232" s="6"/>
    </row>
    <row r="233">
      <c r="A233" s="6"/>
      <c r="B233" s="6"/>
      <c r="C233" s="6"/>
      <c r="D233" s="6"/>
      <c r="E233" s="6"/>
      <c r="F233" s="6"/>
      <c r="G233" s="6"/>
      <c r="H233" s="6"/>
      <c r="I233" s="6"/>
      <c r="J233" s="6"/>
      <c r="K233" s="6"/>
      <c r="L233" s="6"/>
      <c r="M233" s="6"/>
      <c r="N233" s="6"/>
    </row>
    <row r="234">
      <c r="A234" s="6"/>
      <c r="B234" s="6"/>
      <c r="C234" s="6"/>
      <c r="D234" s="6"/>
      <c r="E234" s="6"/>
      <c r="F234" s="6"/>
      <c r="G234" s="6"/>
      <c r="H234" s="6"/>
      <c r="I234" s="6"/>
      <c r="J234" s="6"/>
      <c r="K234" s="6"/>
      <c r="L234" s="6"/>
      <c r="M234" s="6"/>
      <c r="N234" s="6"/>
    </row>
    <row r="235">
      <c r="A235" s="6"/>
      <c r="B235" s="6"/>
      <c r="C235" s="6"/>
      <c r="D235" s="6"/>
      <c r="E235" s="6"/>
      <c r="F235" s="6"/>
      <c r="G235" s="6"/>
      <c r="H235" s="6"/>
      <c r="I235" s="6"/>
      <c r="J235" s="6"/>
      <c r="K235" s="6"/>
      <c r="L235" s="6"/>
      <c r="M235" s="6"/>
      <c r="N235" s="6"/>
    </row>
    <row r="236">
      <c r="A236" s="6"/>
      <c r="B236" s="6"/>
      <c r="C236" s="6"/>
      <c r="D236" s="6"/>
      <c r="E236" s="6"/>
      <c r="F236" s="6"/>
      <c r="G236" s="6"/>
      <c r="H236" s="6"/>
      <c r="I236" s="6"/>
      <c r="J236" s="6"/>
      <c r="K236" s="6"/>
      <c r="L236" s="6"/>
      <c r="M236" s="6"/>
      <c r="N236" s="6"/>
    </row>
    <row r="237">
      <c r="A237" s="6"/>
      <c r="B237" s="6"/>
      <c r="C237" s="6"/>
      <c r="D237" s="6"/>
      <c r="E237" s="6"/>
      <c r="F237" s="6"/>
      <c r="G237" s="6"/>
      <c r="H237" s="6"/>
      <c r="I237" s="6"/>
      <c r="J237" s="6"/>
      <c r="K237" s="6"/>
      <c r="L237" s="6"/>
      <c r="M237" s="6"/>
      <c r="N237" s="6"/>
    </row>
    <row r="238">
      <c r="A238" s="6"/>
      <c r="B238" s="6"/>
      <c r="C238" s="6"/>
      <c r="D238" s="6"/>
      <c r="E238" s="6"/>
      <c r="F238" s="6"/>
      <c r="G238" s="6"/>
      <c r="H238" s="6"/>
      <c r="I238" s="6"/>
      <c r="J238" s="6"/>
      <c r="K238" s="6"/>
      <c r="L238" s="6"/>
      <c r="M238" s="6"/>
      <c r="N238" s="6"/>
    </row>
    <row r="239">
      <c r="A239" s="6"/>
      <c r="B239" s="6"/>
      <c r="C239" s="6"/>
      <c r="D239" s="6"/>
      <c r="E239" s="6"/>
      <c r="F239" s="6"/>
      <c r="G239" s="6"/>
      <c r="H239" s="6"/>
      <c r="I239" s="6"/>
      <c r="J239" s="6"/>
      <c r="K239" s="6"/>
      <c r="L239" s="6"/>
      <c r="M239" s="6"/>
      <c r="N239" s="6"/>
    </row>
    <row r="240">
      <c r="A240" s="6"/>
      <c r="B240" s="6"/>
      <c r="C240" s="6"/>
      <c r="D240" s="6"/>
      <c r="E240" s="6"/>
      <c r="F240" s="6"/>
      <c r="G240" s="6"/>
      <c r="H240" s="6"/>
      <c r="I240" s="6"/>
      <c r="J240" s="6"/>
      <c r="K240" s="6"/>
      <c r="L240" s="6"/>
      <c r="M240" s="6"/>
      <c r="N240" s="6"/>
    </row>
    <row r="241">
      <c r="A241" s="6"/>
      <c r="B241" s="6"/>
      <c r="C241" s="6"/>
      <c r="D241" s="6"/>
      <c r="E241" s="6"/>
      <c r="F241" s="6"/>
      <c r="G241" s="6"/>
      <c r="H241" s="6"/>
      <c r="I241" s="6"/>
      <c r="J241" s="6"/>
      <c r="K241" s="6"/>
      <c r="L241" s="6"/>
      <c r="M241" s="6"/>
      <c r="N241" s="6"/>
    </row>
    <row r="242">
      <c r="A242" s="6"/>
      <c r="B242" s="6"/>
      <c r="C242" s="6"/>
      <c r="D242" s="6"/>
      <c r="E242" s="6"/>
      <c r="F242" s="6"/>
      <c r="G242" s="6"/>
      <c r="H242" s="6"/>
      <c r="I242" s="6"/>
      <c r="J242" s="6"/>
      <c r="K242" s="6"/>
      <c r="L242" s="6"/>
      <c r="M242" s="6"/>
      <c r="N242" s="6"/>
    </row>
    <row r="243">
      <c r="A243" s="6"/>
      <c r="B243" s="6"/>
      <c r="C243" s="6"/>
      <c r="D243" s="6"/>
      <c r="E243" s="6"/>
      <c r="F243" s="6"/>
      <c r="G243" s="6"/>
      <c r="H243" s="6"/>
      <c r="I243" s="6"/>
      <c r="J243" s="6"/>
      <c r="K243" s="6"/>
      <c r="L243" s="6"/>
      <c r="M243" s="6"/>
      <c r="N243" s="6"/>
    </row>
    <row r="244">
      <c r="A244" s="6"/>
      <c r="B244" s="6"/>
      <c r="C244" s="6"/>
      <c r="D244" s="6"/>
      <c r="E244" s="6"/>
      <c r="F244" s="6"/>
      <c r="G244" s="6"/>
      <c r="H244" s="6"/>
      <c r="I244" s="6"/>
      <c r="J244" s="6"/>
      <c r="K244" s="6"/>
      <c r="L244" s="6"/>
      <c r="M244" s="6"/>
      <c r="N244" s="6"/>
    </row>
    <row r="245">
      <c r="A245" s="6"/>
      <c r="B245" s="6"/>
      <c r="C245" s="6"/>
      <c r="D245" s="6"/>
      <c r="E245" s="6"/>
      <c r="F245" s="6"/>
      <c r="G245" s="6"/>
      <c r="H245" s="6"/>
      <c r="I245" s="6"/>
      <c r="J245" s="6"/>
      <c r="K245" s="6"/>
      <c r="L245" s="6"/>
      <c r="M245" s="6"/>
      <c r="N245" s="6"/>
    </row>
    <row r="246">
      <c r="A246" s="6"/>
      <c r="B246" s="6"/>
      <c r="C246" s="6"/>
      <c r="D246" s="6"/>
      <c r="E246" s="6"/>
      <c r="F246" s="6"/>
      <c r="G246" s="6"/>
      <c r="H246" s="6"/>
      <c r="I246" s="6"/>
      <c r="J246" s="6"/>
      <c r="K246" s="6"/>
      <c r="L246" s="6"/>
      <c r="M246" s="6"/>
      <c r="N246" s="6"/>
    </row>
    <row r="247">
      <c r="A247" s="6"/>
      <c r="B247" s="6"/>
      <c r="C247" s="6"/>
      <c r="D247" s="6"/>
      <c r="E247" s="6"/>
      <c r="F247" s="6"/>
      <c r="G247" s="6"/>
      <c r="H247" s="6"/>
      <c r="I247" s="6"/>
      <c r="J247" s="6"/>
      <c r="K247" s="6"/>
      <c r="L247" s="6"/>
      <c r="M247" s="6"/>
      <c r="N247" s="6"/>
    </row>
    <row r="248">
      <c r="A248" s="6"/>
      <c r="B248" s="6"/>
      <c r="C248" s="6"/>
      <c r="D248" s="6"/>
      <c r="E248" s="6"/>
      <c r="F248" s="6"/>
      <c r="G248" s="6"/>
      <c r="H248" s="6"/>
      <c r="I248" s="6"/>
      <c r="J248" s="6"/>
      <c r="K248" s="6"/>
      <c r="L248" s="6"/>
      <c r="M248" s="6"/>
      <c r="N248" s="6"/>
    </row>
    <row r="249">
      <c r="A249" s="6"/>
      <c r="B249" s="6"/>
      <c r="C249" s="6"/>
      <c r="D249" s="6"/>
      <c r="E249" s="6"/>
      <c r="F249" s="6"/>
      <c r="G249" s="6"/>
      <c r="H249" s="6"/>
      <c r="I249" s="6"/>
      <c r="J249" s="6"/>
      <c r="K249" s="6"/>
      <c r="L249" s="6"/>
      <c r="M249" s="6"/>
      <c r="N249" s="6"/>
    </row>
    <row r="250">
      <c r="A250" s="6"/>
      <c r="B250" s="6"/>
      <c r="C250" s="6"/>
      <c r="D250" s="6"/>
      <c r="E250" s="6"/>
      <c r="F250" s="6"/>
      <c r="G250" s="6"/>
      <c r="H250" s="6"/>
      <c r="I250" s="6"/>
      <c r="J250" s="6"/>
      <c r="K250" s="6"/>
      <c r="L250" s="6"/>
      <c r="M250" s="6"/>
      <c r="N250" s="6"/>
    </row>
    <row r="251">
      <c r="A251" s="6"/>
      <c r="B251" s="6"/>
      <c r="C251" s="6"/>
      <c r="D251" s="6"/>
      <c r="E251" s="6"/>
      <c r="F251" s="6"/>
      <c r="G251" s="6"/>
      <c r="H251" s="6"/>
      <c r="I251" s="6"/>
      <c r="J251" s="6"/>
      <c r="K251" s="6"/>
      <c r="L251" s="6"/>
      <c r="M251" s="6"/>
      <c r="N251" s="6"/>
    </row>
    <row r="252">
      <c r="A252" s="6"/>
      <c r="B252" s="6"/>
      <c r="C252" s="6"/>
      <c r="D252" s="6"/>
      <c r="E252" s="6"/>
      <c r="F252" s="6"/>
      <c r="G252" s="6"/>
      <c r="H252" s="6"/>
      <c r="I252" s="6"/>
      <c r="J252" s="6"/>
      <c r="K252" s="6"/>
      <c r="L252" s="6"/>
      <c r="M252" s="6"/>
      <c r="N252" s="6"/>
    </row>
    <row r="253">
      <c r="A253" s="6"/>
      <c r="B253" s="6"/>
      <c r="C253" s="6"/>
      <c r="D253" s="6"/>
      <c r="E253" s="6"/>
      <c r="F253" s="6"/>
      <c r="G253" s="6"/>
      <c r="H253" s="6"/>
      <c r="I253" s="6"/>
      <c r="J253" s="6"/>
      <c r="K253" s="6"/>
      <c r="L253" s="6"/>
      <c r="M253" s="6"/>
      <c r="N253" s="6"/>
    </row>
    <row r="254">
      <c r="A254" s="6"/>
      <c r="B254" s="6"/>
      <c r="C254" s="6"/>
      <c r="D254" s="6"/>
      <c r="E254" s="6"/>
      <c r="F254" s="6"/>
      <c r="G254" s="6"/>
      <c r="H254" s="6"/>
      <c r="I254" s="6"/>
      <c r="J254" s="6"/>
      <c r="K254" s="6"/>
      <c r="L254" s="6"/>
      <c r="M254" s="6"/>
      <c r="N254" s="6"/>
    </row>
    <row r="255">
      <c r="A255" s="6"/>
      <c r="B255" s="6"/>
      <c r="C255" s="6"/>
      <c r="D255" s="6"/>
      <c r="E255" s="6"/>
      <c r="F255" s="6"/>
      <c r="G255" s="6"/>
      <c r="H255" s="6"/>
      <c r="I255" s="6"/>
      <c r="J255" s="6"/>
      <c r="K255" s="6"/>
      <c r="L255" s="6"/>
      <c r="M255" s="6"/>
      <c r="N255" s="6"/>
    </row>
    <row r="256">
      <c r="A256" s="6"/>
      <c r="B256" s="6"/>
      <c r="C256" s="6"/>
      <c r="D256" s="6"/>
      <c r="E256" s="6"/>
      <c r="F256" s="6"/>
      <c r="G256" s="6"/>
      <c r="H256" s="6"/>
      <c r="I256" s="6"/>
      <c r="J256" s="6"/>
      <c r="K256" s="6"/>
      <c r="L256" s="6"/>
      <c r="M256" s="6"/>
      <c r="N256" s="6"/>
    </row>
    <row r="257">
      <c r="A257" s="6"/>
      <c r="B257" s="6"/>
      <c r="C257" s="6"/>
      <c r="D257" s="6"/>
      <c r="E257" s="6"/>
      <c r="F257" s="6"/>
      <c r="G257" s="6"/>
      <c r="H257" s="6"/>
      <c r="I257" s="6"/>
      <c r="J257" s="6"/>
      <c r="K257" s="6"/>
      <c r="L257" s="6"/>
      <c r="M257" s="6"/>
      <c r="N257" s="6"/>
    </row>
    <row r="258">
      <c r="A258" s="6"/>
      <c r="B258" s="6"/>
      <c r="C258" s="6"/>
      <c r="D258" s="6"/>
      <c r="E258" s="6"/>
      <c r="F258" s="6"/>
      <c r="G258" s="6"/>
      <c r="H258" s="6"/>
      <c r="I258" s="6"/>
      <c r="J258" s="6"/>
      <c r="K258" s="6"/>
      <c r="L258" s="6"/>
      <c r="M258" s="6"/>
      <c r="N258" s="6"/>
    </row>
    <row r="259">
      <c r="A259" s="6"/>
      <c r="B259" s="6"/>
      <c r="C259" s="6"/>
      <c r="D259" s="6"/>
      <c r="E259" s="6"/>
      <c r="F259" s="6"/>
      <c r="G259" s="6"/>
      <c r="H259" s="6"/>
      <c r="I259" s="6"/>
      <c r="J259" s="6"/>
      <c r="K259" s="6"/>
      <c r="L259" s="6"/>
      <c r="M259" s="6"/>
      <c r="N259" s="6"/>
    </row>
    <row r="260">
      <c r="A260" s="6"/>
      <c r="B260" s="6"/>
      <c r="C260" s="6"/>
      <c r="D260" s="6"/>
      <c r="E260" s="6"/>
      <c r="F260" s="6"/>
      <c r="G260" s="6"/>
      <c r="H260" s="6"/>
      <c r="I260" s="6"/>
      <c r="J260" s="6"/>
      <c r="K260" s="6"/>
      <c r="L260" s="6"/>
      <c r="M260" s="6"/>
      <c r="N260" s="6"/>
    </row>
    <row r="261">
      <c r="A261" s="6"/>
      <c r="B261" s="6"/>
      <c r="C261" s="6"/>
      <c r="D261" s="6"/>
      <c r="E261" s="6"/>
      <c r="F261" s="6"/>
      <c r="G261" s="6"/>
      <c r="H261" s="6"/>
      <c r="I261" s="6"/>
      <c r="J261" s="6"/>
      <c r="K261" s="6"/>
      <c r="L261" s="6"/>
      <c r="M261" s="6"/>
      <c r="N261" s="6"/>
    </row>
    <row r="262">
      <c r="A262" s="6"/>
      <c r="B262" s="6"/>
      <c r="C262" s="6"/>
      <c r="D262" s="6"/>
      <c r="E262" s="6"/>
      <c r="F262" s="6"/>
      <c r="G262" s="6"/>
      <c r="H262" s="6"/>
      <c r="I262" s="6"/>
      <c r="J262" s="6"/>
      <c r="K262" s="6"/>
      <c r="L262" s="6"/>
      <c r="M262" s="6"/>
      <c r="N262" s="6"/>
    </row>
    <row r="263">
      <c r="A263" s="6"/>
      <c r="B263" s="6"/>
      <c r="C263" s="6"/>
      <c r="D263" s="6"/>
      <c r="E263" s="6"/>
      <c r="F263" s="6"/>
      <c r="G263" s="6"/>
      <c r="H263" s="6"/>
      <c r="I263" s="6"/>
      <c r="J263" s="6"/>
      <c r="K263" s="6"/>
      <c r="L263" s="6"/>
      <c r="M263" s="6"/>
      <c r="N263" s="6"/>
    </row>
    <row r="264">
      <c r="A264" s="6"/>
      <c r="B264" s="6"/>
      <c r="C264" s="6"/>
      <c r="D264" s="6"/>
      <c r="E264" s="6"/>
      <c r="F264" s="6"/>
      <c r="G264" s="6"/>
      <c r="H264" s="6"/>
      <c r="I264" s="6"/>
      <c r="J264" s="6"/>
      <c r="K264" s="6"/>
      <c r="L264" s="6"/>
      <c r="M264" s="6"/>
      <c r="N264" s="6"/>
    </row>
    <row r="265">
      <c r="A265" s="6"/>
      <c r="B265" s="6"/>
      <c r="C265" s="6"/>
      <c r="D265" s="6"/>
      <c r="E265" s="6"/>
      <c r="F265" s="6"/>
      <c r="G265" s="6"/>
      <c r="H265" s="6"/>
      <c r="I265" s="6"/>
      <c r="J265" s="6"/>
      <c r="K265" s="6"/>
      <c r="L265" s="6"/>
      <c r="M265" s="6"/>
      <c r="N265" s="6"/>
    </row>
    <row r="266">
      <c r="A266" s="6"/>
      <c r="B266" s="6"/>
      <c r="C266" s="6"/>
      <c r="D266" s="6"/>
      <c r="E266" s="6"/>
      <c r="F266" s="6"/>
      <c r="G266" s="6"/>
      <c r="H266" s="6"/>
      <c r="I266" s="6"/>
      <c r="J266" s="6"/>
      <c r="K266" s="6"/>
      <c r="L266" s="6"/>
      <c r="M266" s="6"/>
      <c r="N266" s="6"/>
    </row>
    <row r="267">
      <c r="A267" s="6"/>
      <c r="B267" s="6"/>
      <c r="C267" s="6"/>
      <c r="D267" s="6"/>
      <c r="E267" s="6"/>
      <c r="F267" s="6"/>
      <c r="G267" s="6"/>
      <c r="H267" s="6"/>
      <c r="I267" s="6"/>
      <c r="J267" s="6"/>
      <c r="K267" s="6"/>
      <c r="L267" s="6"/>
      <c r="M267" s="6"/>
      <c r="N267" s="6"/>
    </row>
    <row r="268">
      <c r="A268" s="6"/>
      <c r="B268" s="6"/>
      <c r="C268" s="6"/>
      <c r="D268" s="6"/>
      <c r="E268" s="6"/>
      <c r="F268" s="6"/>
      <c r="G268" s="6"/>
      <c r="H268" s="6"/>
      <c r="I268" s="6"/>
      <c r="J268" s="6"/>
      <c r="K268" s="6"/>
      <c r="L268" s="6"/>
      <c r="M268" s="6"/>
      <c r="N268" s="6"/>
    </row>
    <row r="269">
      <c r="A269" s="6"/>
      <c r="B269" s="6"/>
      <c r="C269" s="6"/>
      <c r="D269" s="6"/>
      <c r="E269" s="6"/>
      <c r="F269" s="6"/>
      <c r="G269" s="6"/>
      <c r="H269" s="6"/>
      <c r="I269" s="6"/>
      <c r="J269" s="6"/>
      <c r="K269" s="6"/>
      <c r="L269" s="6"/>
      <c r="M269" s="6"/>
      <c r="N269" s="6"/>
    </row>
    <row r="270">
      <c r="A270" s="6"/>
      <c r="B270" s="6"/>
      <c r="C270" s="6"/>
      <c r="D270" s="6"/>
      <c r="E270" s="6"/>
      <c r="F270" s="6"/>
      <c r="G270" s="6"/>
      <c r="H270" s="6"/>
      <c r="I270" s="6"/>
      <c r="J270" s="6"/>
      <c r="K270" s="6"/>
      <c r="L270" s="6"/>
      <c r="M270" s="6"/>
      <c r="N270" s="6"/>
    </row>
    <row r="271">
      <c r="A271" s="6"/>
      <c r="B271" s="6"/>
      <c r="C271" s="6"/>
      <c r="D271" s="6"/>
      <c r="E271" s="6"/>
      <c r="F271" s="6"/>
      <c r="G271" s="6"/>
      <c r="H271" s="6"/>
      <c r="I271" s="6"/>
      <c r="J271" s="6"/>
      <c r="K271" s="6"/>
      <c r="L271" s="6"/>
      <c r="M271" s="6"/>
      <c r="N271" s="6"/>
    </row>
    <row r="272">
      <c r="A272" s="6"/>
      <c r="B272" s="6"/>
      <c r="C272" s="6"/>
      <c r="D272" s="6"/>
      <c r="E272" s="6"/>
      <c r="F272" s="6"/>
      <c r="G272" s="6"/>
      <c r="H272" s="6"/>
      <c r="I272" s="6"/>
      <c r="J272" s="6"/>
      <c r="K272" s="6"/>
      <c r="L272" s="6"/>
      <c r="M272" s="6"/>
      <c r="N272" s="6"/>
    </row>
    <row r="273">
      <c r="A273" s="6"/>
      <c r="B273" s="6"/>
      <c r="C273" s="6"/>
      <c r="D273" s="6"/>
      <c r="E273" s="6"/>
      <c r="F273" s="6"/>
      <c r="G273" s="6"/>
      <c r="H273" s="6"/>
      <c r="I273" s="6"/>
      <c r="J273" s="6"/>
      <c r="K273" s="6"/>
      <c r="L273" s="6"/>
      <c r="M273" s="6"/>
      <c r="N273" s="6"/>
    </row>
    <row r="274">
      <c r="A274" s="6"/>
      <c r="B274" s="6"/>
      <c r="C274" s="6"/>
      <c r="D274" s="6"/>
      <c r="E274" s="6"/>
      <c r="F274" s="6"/>
      <c r="G274" s="6"/>
      <c r="H274" s="6"/>
      <c r="I274" s="6"/>
      <c r="J274" s="6"/>
      <c r="K274" s="6"/>
      <c r="L274" s="6"/>
      <c r="M274" s="6"/>
      <c r="N274" s="6"/>
    </row>
    <row r="275">
      <c r="A275" s="6"/>
      <c r="B275" s="6"/>
      <c r="C275" s="6"/>
      <c r="D275" s="6"/>
      <c r="E275" s="6"/>
      <c r="F275" s="6"/>
      <c r="G275" s="6"/>
      <c r="H275" s="6"/>
      <c r="I275" s="6"/>
      <c r="J275" s="6"/>
      <c r="K275" s="6"/>
      <c r="L275" s="6"/>
      <c r="M275" s="6"/>
      <c r="N275" s="6"/>
    </row>
    <row r="276">
      <c r="A276" s="6"/>
      <c r="B276" s="6"/>
      <c r="C276" s="6"/>
      <c r="D276" s="6"/>
      <c r="E276" s="6"/>
      <c r="F276" s="6"/>
      <c r="G276" s="6"/>
      <c r="H276" s="6"/>
      <c r="I276" s="6"/>
      <c r="J276" s="6"/>
      <c r="K276" s="6"/>
      <c r="L276" s="6"/>
      <c r="M276" s="6"/>
      <c r="N276" s="6"/>
    </row>
    <row r="277">
      <c r="A277" s="6"/>
      <c r="B277" s="6"/>
      <c r="C277" s="6"/>
      <c r="D277" s="6"/>
      <c r="E277" s="6"/>
      <c r="F277" s="6"/>
      <c r="G277" s="6"/>
      <c r="H277" s="6"/>
      <c r="I277" s="6"/>
      <c r="J277" s="6"/>
      <c r="K277" s="6"/>
      <c r="L277" s="6"/>
      <c r="M277" s="6"/>
      <c r="N277" s="6"/>
    </row>
    <row r="278">
      <c r="A278" s="6"/>
      <c r="B278" s="6"/>
      <c r="C278" s="6"/>
      <c r="D278" s="6"/>
      <c r="E278" s="6"/>
      <c r="F278" s="6"/>
      <c r="G278" s="6"/>
      <c r="H278" s="6"/>
      <c r="I278" s="6"/>
      <c r="J278" s="6"/>
      <c r="K278" s="6"/>
      <c r="L278" s="6"/>
      <c r="M278" s="6"/>
      <c r="N278" s="6"/>
    </row>
    <row r="279">
      <c r="A279" s="6"/>
      <c r="B279" s="6"/>
      <c r="C279" s="6"/>
      <c r="D279" s="6"/>
      <c r="E279" s="6"/>
      <c r="F279" s="6"/>
      <c r="G279" s="6"/>
      <c r="H279" s="6"/>
      <c r="I279" s="6"/>
      <c r="J279" s="6"/>
      <c r="K279" s="6"/>
      <c r="L279" s="6"/>
      <c r="M279" s="6"/>
      <c r="N279" s="6"/>
    </row>
    <row r="280">
      <c r="A280" s="6"/>
      <c r="B280" s="6"/>
      <c r="C280" s="6"/>
      <c r="D280" s="6"/>
      <c r="E280" s="6"/>
      <c r="F280" s="6"/>
      <c r="G280" s="6"/>
      <c r="H280" s="6"/>
      <c r="I280" s="6"/>
      <c r="J280" s="6"/>
      <c r="K280" s="6"/>
      <c r="L280" s="6"/>
      <c r="M280" s="6"/>
      <c r="N280" s="6"/>
    </row>
    <row r="281">
      <c r="A281" s="6"/>
      <c r="B281" s="6"/>
      <c r="C281" s="6"/>
      <c r="D281" s="6"/>
      <c r="E281" s="6"/>
      <c r="F281" s="6"/>
      <c r="G281" s="6"/>
      <c r="H281" s="6"/>
      <c r="I281" s="6"/>
      <c r="J281" s="6"/>
      <c r="K281" s="6"/>
      <c r="L281" s="6"/>
      <c r="M281" s="6"/>
      <c r="N281" s="6"/>
    </row>
    <row r="282">
      <c r="A282" s="6"/>
      <c r="B282" s="6"/>
      <c r="C282" s="6"/>
      <c r="D282" s="6"/>
      <c r="E282" s="6"/>
      <c r="F282" s="6"/>
      <c r="G282" s="6"/>
      <c r="H282" s="6"/>
      <c r="I282" s="6"/>
      <c r="J282" s="6"/>
      <c r="K282" s="6"/>
      <c r="L282" s="6"/>
      <c r="M282" s="6"/>
      <c r="N282" s="6"/>
    </row>
    <row r="283">
      <c r="A283" s="6"/>
      <c r="B283" s="6"/>
      <c r="C283" s="6"/>
      <c r="D283" s="6"/>
      <c r="E283" s="6"/>
      <c r="F283" s="6"/>
      <c r="G283" s="6"/>
      <c r="H283" s="6"/>
      <c r="I283" s="6"/>
      <c r="J283" s="6"/>
      <c r="K283" s="6"/>
      <c r="L283" s="6"/>
      <c r="M283" s="6"/>
      <c r="N283" s="6"/>
    </row>
    <row r="284">
      <c r="A284" s="6"/>
      <c r="B284" s="6"/>
      <c r="C284" s="6"/>
      <c r="D284" s="6"/>
      <c r="E284" s="6"/>
      <c r="F284" s="6"/>
      <c r="G284" s="6"/>
      <c r="H284" s="6"/>
      <c r="I284" s="6"/>
      <c r="J284" s="6"/>
      <c r="K284" s="6"/>
      <c r="L284" s="6"/>
      <c r="M284" s="6"/>
      <c r="N284" s="6"/>
    </row>
    <row r="285">
      <c r="A285" s="6"/>
      <c r="B285" s="6"/>
      <c r="C285" s="6"/>
      <c r="D285" s="6"/>
      <c r="E285" s="6"/>
      <c r="F285" s="6"/>
      <c r="G285" s="6"/>
      <c r="H285" s="6"/>
      <c r="I285" s="6"/>
      <c r="J285" s="6"/>
      <c r="K285" s="6"/>
      <c r="L285" s="6"/>
      <c r="M285" s="6"/>
      <c r="N285" s="6"/>
    </row>
    <row r="286">
      <c r="A286" s="6"/>
      <c r="B286" s="6"/>
      <c r="C286" s="6"/>
      <c r="D286" s="6"/>
      <c r="E286" s="6"/>
      <c r="F286" s="6"/>
      <c r="G286" s="6"/>
      <c r="H286" s="6"/>
      <c r="I286" s="6"/>
      <c r="J286" s="6"/>
      <c r="K286" s="6"/>
      <c r="L286" s="6"/>
      <c r="M286" s="6"/>
      <c r="N286" s="6"/>
    </row>
    <row r="287">
      <c r="A287" s="6"/>
      <c r="B287" s="6"/>
      <c r="C287" s="6"/>
      <c r="D287" s="6"/>
      <c r="E287" s="6"/>
      <c r="F287" s="6"/>
      <c r="G287" s="6"/>
      <c r="H287" s="6"/>
      <c r="I287" s="6"/>
      <c r="J287" s="6"/>
      <c r="K287" s="6"/>
      <c r="L287" s="6"/>
      <c r="M287" s="6"/>
      <c r="N287" s="6"/>
    </row>
    <row r="288">
      <c r="A288" s="6"/>
      <c r="B288" s="6"/>
      <c r="C288" s="6"/>
      <c r="D288" s="6"/>
      <c r="E288" s="6"/>
      <c r="F288" s="6"/>
      <c r="G288" s="6"/>
      <c r="H288" s="6"/>
      <c r="I288" s="6"/>
      <c r="J288" s="6"/>
      <c r="K288" s="6"/>
      <c r="L288" s="6"/>
      <c r="M288" s="6"/>
      <c r="N288" s="6"/>
    </row>
    <row r="289">
      <c r="A289" s="6"/>
      <c r="B289" s="6"/>
      <c r="C289" s="6"/>
      <c r="D289" s="6"/>
      <c r="E289" s="6"/>
      <c r="F289" s="6"/>
      <c r="G289" s="6"/>
      <c r="H289" s="6"/>
      <c r="I289" s="6"/>
      <c r="J289" s="6"/>
      <c r="K289" s="6"/>
      <c r="L289" s="6"/>
      <c r="M289" s="6"/>
      <c r="N289" s="6"/>
    </row>
    <row r="290">
      <c r="A290" s="6"/>
      <c r="B290" s="6"/>
      <c r="C290" s="6"/>
      <c r="D290" s="6"/>
      <c r="E290" s="6"/>
      <c r="F290" s="6"/>
      <c r="G290" s="6"/>
      <c r="H290" s="6"/>
      <c r="I290" s="6"/>
      <c r="J290" s="6"/>
      <c r="K290" s="6"/>
      <c r="L290" s="6"/>
      <c r="M290" s="6"/>
      <c r="N290" s="6"/>
    </row>
    <row r="291">
      <c r="A291" s="6"/>
      <c r="B291" s="6"/>
      <c r="C291" s="6"/>
      <c r="D291" s="6"/>
      <c r="E291" s="6"/>
      <c r="F291" s="6"/>
      <c r="G291" s="6"/>
      <c r="H291" s="6"/>
      <c r="I291" s="6"/>
      <c r="J291" s="6"/>
      <c r="K291" s="6"/>
      <c r="L291" s="6"/>
      <c r="M291" s="6"/>
      <c r="N291" s="6"/>
    </row>
    <row r="292">
      <c r="A292" s="6"/>
      <c r="B292" s="6"/>
      <c r="C292" s="6"/>
      <c r="D292" s="6"/>
      <c r="E292" s="6"/>
      <c r="F292" s="6"/>
      <c r="G292" s="6"/>
      <c r="H292" s="6"/>
      <c r="I292" s="6"/>
      <c r="J292" s="6"/>
      <c r="K292" s="6"/>
      <c r="L292" s="6"/>
      <c r="M292" s="6"/>
      <c r="N292" s="6"/>
    </row>
    <row r="293">
      <c r="A293" s="6"/>
      <c r="B293" s="6"/>
      <c r="C293" s="6"/>
      <c r="D293" s="6"/>
      <c r="E293" s="6"/>
      <c r="F293" s="6"/>
      <c r="G293" s="6"/>
      <c r="H293" s="6"/>
      <c r="I293" s="6"/>
      <c r="J293" s="6"/>
      <c r="K293" s="6"/>
      <c r="L293" s="6"/>
      <c r="M293" s="6"/>
      <c r="N293" s="6"/>
    </row>
    <row r="294">
      <c r="A294" s="6"/>
      <c r="B294" s="6"/>
      <c r="C294" s="6"/>
      <c r="D294" s="6"/>
      <c r="E294" s="6"/>
      <c r="F294" s="6"/>
      <c r="G294" s="6"/>
      <c r="H294" s="6"/>
      <c r="I294" s="6"/>
      <c r="J294" s="6"/>
      <c r="K294" s="6"/>
      <c r="L294" s="6"/>
      <c r="M294" s="6"/>
      <c r="N294" s="6"/>
    </row>
    <row r="295">
      <c r="A295" s="6"/>
      <c r="B295" s="6"/>
      <c r="C295" s="6"/>
      <c r="D295" s="6"/>
      <c r="E295" s="6"/>
      <c r="F295" s="6"/>
      <c r="G295" s="6"/>
      <c r="H295" s="6"/>
      <c r="I295" s="6"/>
      <c r="J295" s="6"/>
      <c r="K295" s="6"/>
      <c r="L295" s="6"/>
      <c r="M295" s="6"/>
      <c r="N295" s="6"/>
    </row>
    <row r="296">
      <c r="A296" s="6"/>
      <c r="B296" s="6"/>
      <c r="C296" s="6"/>
      <c r="D296" s="6"/>
      <c r="E296" s="6"/>
      <c r="F296" s="6"/>
      <c r="G296" s="6"/>
      <c r="H296" s="6"/>
      <c r="I296" s="6"/>
      <c r="J296" s="6"/>
      <c r="K296" s="6"/>
      <c r="L296" s="6"/>
      <c r="M296" s="6"/>
      <c r="N296" s="6"/>
    </row>
    <row r="297">
      <c r="A297" s="6"/>
      <c r="B297" s="6"/>
      <c r="C297" s="6"/>
      <c r="D297" s="6"/>
      <c r="E297" s="6"/>
      <c r="F297" s="6"/>
      <c r="G297" s="6"/>
      <c r="H297" s="6"/>
      <c r="I297" s="6"/>
      <c r="J297" s="6"/>
      <c r="K297" s="6"/>
      <c r="L297" s="6"/>
      <c r="M297" s="6"/>
      <c r="N297" s="6"/>
    </row>
    <row r="298">
      <c r="A298" s="6"/>
      <c r="B298" s="6"/>
      <c r="C298" s="6"/>
      <c r="D298" s="6"/>
      <c r="E298" s="6"/>
      <c r="F298" s="6"/>
      <c r="G298" s="6"/>
      <c r="H298" s="6"/>
      <c r="I298" s="6"/>
      <c r="J298" s="6"/>
      <c r="K298" s="6"/>
      <c r="L298" s="6"/>
      <c r="M298" s="6"/>
      <c r="N298" s="6"/>
    </row>
    <row r="299">
      <c r="A299" s="6"/>
      <c r="B299" s="6"/>
      <c r="C299" s="6"/>
      <c r="D299" s="6"/>
      <c r="E299" s="6"/>
      <c r="F299" s="6"/>
      <c r="G299" s="6"/>
      <c r="H299" s="6"/>
      <c r="I299" s="6"/>
      <c r="J299" s="6"/>
      <c r="K299" s="6"/>
      <c r="L299" s="6"/>
      <c r="M299" s="6"/>
      <c r="N299" s="6"/>
    </row>
    <row r="300">
      <c r="A300" s="6"/>
      <c r="B300" s="6"/>
      <c r="C300" s="6"/>
      <c r="D300" s="6"/>
      <c r="E300" s="6"/>
      <c r="F300" s="6"/>
      <c r="G300" s="6"/>
      <c r="H300" s="6"/>
      <c r="I300" s="6"/>
      <c r="J300" s="6"/>
      <c r="K300" s="6"/>
      <c r="L300" s="6"/>
      <c r="M300" s="6"/>
      <c r="N300" s="6"/>
    </row>
    <row r="301">
      <c r="A301" s="6"/>
      <c r="B301" s="6"/>
      <c r="C301" s="6"/>
      <c r="D301" s="6"/>
      <c r="E301" s="6"/>
      <c r="F301" s="6"/>
      <c r="G301" s="6"/>
      <c r="H301" s="6"/>
      <c r="I301" s="6"/>
      <c r="J301" s="6"/>
      <c r="K301" s="6"/>
      <c r="L301" s="6"/>
      <c r="M301" s="6"/>
      <c r="N301" s="6"/>
    </row>
    <row r="302">
      <c r="A302" s="6"/>
      <c r="B302" s="6"/>
      <c r="C302" s="6"/>
      <c r="D302" s="6"/>
      <c r="E302" s="6"/>
      <c r="F302" s="6"/>
      <c r="G302" s="6"/>
      <c r="H302" s="6"/>
      <c r="I302" s="6"/>
      <c r="J302" s="6"/>
      <c r="K302" s="6"/>
      <c r="L302" s="6"/>
      <c r="M302" s="6"/>
      <c r="N302" s="6"/>
    </row>
    <row r="303">
      <c r="A303" s="6"/>
      <c r="B303" s="6"/>
      <c r="C303" s="6"/>
      <c r="D303" s="6"/>
      <c r="E303" s="6"/>
      <c r="F303" s="6"/>
      <c r="G303" s="6"/>
      <c r="H303" s="6"/>
      <c r="I303" s="6"/>
      <c r="J303" s="6"/>
      <c r="K303" s="6"/>
      <c r="L303" s="6"/>
      <c r="M303" s="6"/>
      <c r="N303" s="6"/>
    </row>
    <row r="304">
      <c r="A304" s="6"/>
      <c r="B304" s="6"/>
      <c r="C304" s="6"/>
      <c r="D304" s="6"/>
      <c r="E304" s="6"/>
      <c r="F304" s="6"/>
      <c r="G304" s="6"/>
      <c r="H304" s="6"/>
      <c r="I304" s="6"/>
      <c r="J304" s="6"/>
      <c r="K304" s="6"/>
      <c r="L304" s="6"/>
      <c r="M304" s="6"/>
      <c r="N304" s="6"/>
    </row>
    <row r="305">
      <c r="A305" s="6"/>
      <c r="B305" s="6"/>
      <c r="C305" s="6"/>
      <c r="D305" s="6"/>
      <c r="E305" s="6"/>
      <c r="F305" s="6"/>
      <c r="G305" s="6"/>
      <c r="H305" s="6"/>
      <c r="I305" s="6"/>
      <c r="J305" s="6"/>
      <c r="K305" s="6"/>
      <c r="L305" s="6"/>
      <c r="M305" s="6"/>
      <c r="N305" s="6"/>
    </row>
    <row r="306">
      <c r="A306" s="6"/>
      <c r="B306" s="6"/>
      <c r="C306" s="6"/>
      <c r="D306" s="6"/>
      <c r="E306" s="6"/>
      <c r="F306" s="6"/>
      <c r="G306" s="6"/>
      <c r="H306" s="6"/>
      <c r="I306" s="6"/>
      <c r="J306" s="6"/>
      <c r="K306" s="6"/>
      <c r="L306" s="6"/>
      <c r="M306" s="6"/>
      <c r="N306" s="6"/>
    </row>
    <row r="307">
      <c r="A307" s="6"/>
      <c r="B307" s="6"/>
      <c r="C307" s="6"/>
      <c r="D307" s="6"/>
      <c r="E307" s="6"/>
      <c r="F307" s="6"/>
      <c r="G307" s="6"/>
      <c r="H307" s="6"/>
      <c r="I307" s="6"/>
      <c r="J307" s="6"/>
      <c r="K307" s="6"/>
      <c r="L307" s="6"/>
      <c r="M307" s="6"/>
      <c r="N307" s="6"/>
    </row>
    <row r="308">
      <c r="A308" s="6"/>
      <c r="B308" s="6"/>
      <c r="C308" s="6"/>
      <c r="D308" s="6"/>
      <c r="E308" s="6"/>
      <c r="F308" s="6"/>
      <c r="G308" s="6"/>
      <c r="H308" s="6"/>
      <c r="I308" s="6"/>
      <c r="J308" s="6"/>
      <c r="K308" s="6"/>
      <c r="L308" s="6"/>
      <c r="M308" s="6"/>
      <c r="N308" s="6"/>
    </row>
    <row r="309">
      <c r="A309" s="6"/>
      <c r="B309" s="6"/>
      <c r="C309" s="6"/>
      <c r="D309" s="6"/>
      <c r="E309" s="6"/>
      <c r="F309" s="6"/>
      <c r="G309" s="6"/>
      <c r="H309" s="6"/>
      <c r="I309" s="6"/>
      <c r="J309" s="6"/>
      <c r="K309" s="6"/>
      <c r="L309" s="6"/>
      <c r="M309" s="6"/>
      <c r="N309" s="6"/>
    </row>
    <row r="310">
      <c r="A310" s="6"/>
      <c r="B310" s="6"/>
      <c r="C310" s="6"/>
      <c r="D310" s="6"/>
      <c r="E310" s="6"/>
      <c r="F310" s="6"/>
      <c r="G310" s="6"/>
      <c r="H310" s="6"/>
      <c r="I310" s="6"/>
      <c r="J310" s="6"/>
      <c r="K310" s="6"/>
      <c r="L310" s="6"/>
      <c r="M310" s="6"/>
      <c r="N310" s="6"/>
    </row>
    <row r="311">
      <c r="A311" s="6"/>
      <c r="B311" s="6"/>
      <c r="C311" s="6"/>
      <c r="D311" s="6"/>
      <c r="E311" s="6"/>
      <c r="F311" s="6"/>
      <c r="G311" s="6"/>
      <c r="H311" s="6"/>
      <c r="I311" s="6"/>
      <c r="J311" s="6"/>
      <c r="K311" s="6"/>
      <c r="L311" s="6"/>
      <c r="M311" s="6"/>
      <c r="N311" s="6"/>
    </row>
    <row r="312">
      <c r="A312" s="6"/>
      <c r="B312" s="6"/>
      <c r="C312" s="6"/>
      <c r="D312" s="6"/>
      <c r="E312" s="6"/>
      <c r="F312" s="6"/>
      <c r="G312" s="6"/>
      <c r="H312" s="6"/>
      <c r="I312" s="6"/>
      <c r="J312" s="6"/>
      <c r="K312" s="6"/>
      <c r="L312" s="6"/>
      <c r="M312" s="6"/>
      <c r="N312" s="6"/>
    </row>
    <row r="313">
      <c r="A313" s="6"/>
      <c r="B313" s="6"/>
      <c r="C313" s="6"/>
      <c r="D313" s="6"/>
      <c r="E313" s="6"/>
      <c r="F313" s="6"/>
      <c r="G313" s="6"/>
      <c r="H313" s="6"/>
      <c r="I313" s="6"/>
      <c r="J313" s="6"/>
      <c r="K313" s="6"/>
      <c r="L313" s="6"/>
      <c r="M313" s="6"/>
      <c r="N313" s="6"/>
    </row>
    <row r="314">
      <c r="A314" s="6"/>
      <c r="B314" s="6"/>
      <c r="C314" s="6"/>
      <c r="D314" s="6"/>
      <c r="E314" s="6"/>
      <c r="F314" s="6"/>
      <c r="G314" s="6"/>
      <c r="H314" s="6"/>
      <c r="I314" s="6"/>
      <c r="J314" s="6"/>
      <c r="K314" s="6"/>
      <c r="L314" s="6"/>
      <c r="M314" s="6"/>
      <c r="N314" s="6"/>
    </row>
    <row r="315">
      <c r="A315" s="6"/>
      <c r="B315" s="6"/>
      <c r="C315" s="6"/>
      <c r="D315" s="6"/>
      <c r="E315" s="6"/>
      <c r="F315" s="6"/>
      <c r="G315" s="6"/>
      <c r="H315" s="6"/>
      <c r="I315" s="6"/>
      <c r="J315" s="6"/>
      <c r="K315" s="6"/>
      <c r="L315" s="6"/>
      <c r="M315" s="6"/>
      <c r="N315" s="6"/>
    </row>
    <row r="316">
      <c r="A316" s="6"/>
      <c r="B316" s="6"/>
      <c r="C316" s="6"/>
      <c r="D316" s="6"/>
      <c r="E316" s="6"/>
      <c r="F316" s="6"/>
      <c r="G316" s="6"/>
      <c r="H316" s="6"/>
      <c r="I316" s="6"/>
      <c r="J316" s="6"/>
      <c r="K316" s="6"/>
      <c r="L316" s="6"/>
      <c r="M316" s="6"/>
      <c r="N316" s="6"/>
    </row>
    <row r="317">
      <c r="A317" s="6"/>
      <c r="B317" s="6"/>
      <c r="C317" s="6"/>
      <c r="D317" s="6"/>
      <c r="E317" s="6"/>
      <c r="F317" s="6"/>
      <c r="G317" s="6"/>
      <c r="H317" s="6"/>
      <c r="I317" s="6"/>
      <c r="J317" s="6"/>
      <c r="K317" s="6"/>
      <c r="L317" s="6"/>
      <c r="M317" s="6"/>
      <c r="N317" s="6"/>
    </row>
    <row r="318">
      <c r="A318" s="6"/>
      <c r="B318" s="6"/>
      <c r="C318" s="6"/>
      <c r="D318" s="6"/>
      <c r="E318" s="6"/>
      <c r="F318" s="6"/>
      <c r="G318" s="6"/>
      <c r="H318" s="6"/>
      <c r="I318" s="6"/>
      <c r="J318" s="6"/>
      <c r="K318" s="6"/>
      <c r="L318" s="6"/>
      <c r="M318" s="6"/>
      <c r="N318" s="6"/>
    </row>
    <row r="319">
      <c r="A319" s="6"/>
      <c r="B319" s="6"/>
      <c r="C319" s="6"/>
      <c r="D319" s="6"/>
      <c r="E319" s="6"/>
      <c r="F319" s="6"/>
      <c r="G319" s="6"/>
      <c r="H319" s="6"/>
      <c r="I319" s="6"/>
      <c r="J319" s="6"/>
      <c r="K319" s="6"/>
      <c r="L319" s="6"/>
      <c r="M319" s="6"/>
      <c r="N319" s="6"/>
    </row>
    <row r="320">
      <c r="A320" s="6"/>
      <c r="B320" s="6"/>
      <c r="C320" s="6"/>
      <c r="D320" s="6"/>
      <c r="E320" s="6"/>
      <c r="F320" s="6"/>
      <c r="G320" s="6"/>
      <c r="H320" s="6"/>
      <c r="I320" s="6"/>
      <c r="J320" s="6"/>
      <c r="K320" s="6"/>
      <c r="L320" s="6"/>
      <c r="M320" s="6"/>
      <c r="N320" s="6"/>
    </row>
    <row r="321">
      <c r="A321" s="6"/>
      <c r="B321" s="6"/>
      <c r="C321" s="6"/>
      <c r="D321" s="6"/>
      <c r="E321" s="6"/>
      <c r="F321" s="6"/>
      <c r="G321" s="6"/>
      <c r="H321" s="6"/>
      <c r="I321" s="6"/>
      <c r="J321" s="6"/>
      <c r="K321" s="6"/>
      <c r="L321" s="6"/>
      <c r="M321" s="6"/>
      <c r="N321" s="6"/>
    </row>
    <row r="322">
      <c r="A322" s="6"/>
      <c r="B322" s="6"/>
      <c r="C322" s="6"/>
      <c r="D322" s="6"/>
      <c r="E322" s="6"/>
      <c r="F322" s="6"/>
      <c r="G322" s="6"/>
      <c r="H322" s="6"/>
      <c r="I322" s="6"/>
      <c r="J322" s="6"/>
      <c r="K322" s="6"/>
      <c r="L322" s="6"/>
      <c r="M322" s="6"/>
      <c r="N322" s="6"/>
    </row>
    <row r="323">
      <c r="A323" s="6"/>
      <c r="B323" s="6"/>
      <c r="C323" s="6"/>
      <c r="D323" s="6"/>
      <c r="E323" s="6"/>
      <c r="F323" s="6"/>
      <c r="G323" s="6"/>
      <c r="H323" s="6"/>
      <c r="I323" s="6"/>
      <c r="J323" s="6"/>
      <c r="K323" s="6"/>
      <c r="L323" s="6"/>
      <c r="M323" s="6"/>
      <c r="N323" s="6"/>
    </row>
    <row r="324">
      <c r="A324" s="6"/>
      <c r="B324" s="6"/>
      <c r="C324" s="6"/>
      <c r="D324" s="6"/>
      <c r="E324" s="6"/>
      <c r="F324" s="6"/>
      <c r="G324" s="6"/>
      <c r="H324" s="6"/>
      <c r="I324" s="6"/>
      <c r="J324" s="6"/>
      <c r="K324" s="6"/>
      <c r="L324" s="6"/>
      <c r="M324" s="6"/>
      <c r="N324" s="6"/>
    </row>
    <row r="325">
      <c r="A325" s="6"/>
      <c r="B325" s="6"/>
      <c r="C325" s="6"/>
      <c r="D325" s="6"/>
      <c r="E325" s="6"/>
      <c r="F325" s="6"/>
      <c r="G325" s="6"/>
      <c r="H325" s="6"/>
      <c r="I325" s="6"/>
      <c r="J325" s="6"/>
      <c r="K325" s="6"/>
      <c r="L325" s="6"/>
      <c r="M325" s="6"/>
      <c r="N325" s="6"/>
    </row>
    <row r="326">
      <c r="A326" s="6"/>
      <c r="B326" s="6"/>
      <c r="C326" s="6"/>
      <c r="D326" s="6"/>
      <c r="E326" s="6"/>
      <c r="F326" s="6"/>
      <c r="G326" s="6"/>
      <c r="H326" s="6"/>
      <c r="I326" s="6"/>
      <c r="J326" s="6"/>
      <c r="K326" s="6"/>
      <c r="L326" s="6"/>
      <c r="M326" s="6"/>
      <c r="N326" s="6"/>
    </row>
    <row r="327">
      <c r="A327" s="6"/>
      <c r="B327" s="6"/>
      <c r="C327" s="6"/>
      <c r="D327" s="6"/>
      <c r="E327" s="6"/>
      <c r="F327" s="6"/>
      <c r="G327" s="6"/>
      <c r="H327" s="6"/>
      <c r="I327" s="6"/>
      <c r="J327" s="6"/>
      <c r="K327" s="6"/>
      <c r="L327" s="6"/>
      <c r="M327" s="6"/>
      <c r="N327" s="6"/>
    </row>
    <row r="328">
      <c r="A328" s="6"/>
      <c r="B328" s="6"/>
      <c r="C328" s="6"/>
      <c r="D328" s="6"/>
      <c r="E328" s="6"/>
      <c r="F328" s="6"/>
      <c r="G328" s="6"/>
      <c r="H328" s="6"/>
      <c r="I328" s="6"/>
      <c r="J328" s="6"/>
      <c r="K328" s="6"/>
      <c r="L328" s="6"/>
      <c r="M328" s="6"/>
      <c r="N328" s="6"/>
    </row>
    <row r="329">
      <c r="A329" s="6"/>
      <c r="B329" s="6"/>
      <c r="C329" s="6"/>
      <c r="D329" s="6"/>
      <c r="E329" s="6"/>
      <c r="F329" s="6"/>
      <c r="G329" s="6"/>
      <c r="H329" s="6"/>
      <c r="I329" s="6"/>
      <c r="J329" s="6"/>
      <c r="K329" s="6"/>
      <c r="L329" s="6"/>
      <c r="M329" s="6"/>
      <c r="N329" s="6"/>
    </row>
    <row r="330">
      <c r="A330" s="6"/>
      <c r="B330" s="6"/>
      <c r="C330" s="6"/>
      <c r="D330" s="6"/>
      <c r="E330" s="6"/>
      <c r="F330" s="6"/>
      <c r="G330" s="6"/>
      <c r="H330" s="6"/>
      <c r="I330" s="6"/>
      <c r="J330" s="6"/>
      <c r="K330" s="6"/>
      <c r="L330" s="6"/>
      <c r="M330" s="6"/>
      <c r="N330" s="6"/>
    </row>
    <row r="331">
      <c r="A331" s="6"/>
      <c r="B331" s="6"/>
      <c r="C331" s="6"/>
      <c r="D331" s="6"/>
      <c r="E331" s="6"/>
      <c r="F331" s="6"/>
      <c r="G331" s="6"/>
      <c r="H331" s="6"/>
      <c r="I331" s="6"/>
      <c r="J331" s="6"/>
      <c r="K331" s="6"/>
      <c r="L331" s="6"/>
      <c r="M331" s="6"/>
      <c r="N331" s="6"/>
    </row>
    <row r="332">
      <c r="A332" s="6"/>
      <c r="B332" s="6"/>
      <c r="C332" s="6"/>
      <c r="D332" s="6"/>
      <c r="E332" s="6"/>
      <c r="F332" s="6"/>
      <c r="G332" s="6"/>
      <c r="H332" s="6"/>
      <c r="I332" s="6"/>
      <c r="J332" s="6"/>
      <c r="K332" s="6"/>
      <c r="L332" s="6"/>
      <c r="M332" s="6"/>
      <c r="N332" s="6"/>
    </row>
    <row r="333">
      <c r="A333" s="6"/>
      <c r="B333" s="6"/>
      <c r="C333" s="6"/>
      <c r="D333" s="6"/>
      <c r="E333" s="6"/>
      <c r="F333" s="6"/>
      <c r="G333" s="6"/>
      <c r="H333" s="6"/>
      <c r="I333" s="6"/>
      <c r="J333" s="6"/>
      <c r="K333" s="6"/>
      <c r="L333" s="6"/>
      <c r="M333" s="6"/>
      <c r="N333" s="6"/>
    </row>
    <row r="334">
      <c r="A334" s="6"/>
      <c r="B334" s="6"/>
      <c r="C334" s="6"/>
      <c r="D334" s="6"/>
      <c r="E334" s="6"/>
      <c r="F334" s="6"/>
      <c r="G334" s="6"/>
      <c r="H334" s="6"/>
      <c r="I334" s="6"/>
      <c r="J334" s="6"/>
      <c r="K334" s="6"/>
      <c r="L334" s="6"/>
      <c r="M334" s="6"/>
      <c r="N334" s="6"/>
    </row>
    <row r="335">
      <c r="A335" s="6"/>
      <c r="B335" s="6"/>
      <c r="C335" s="6"/>
      <c r="D335" s="6"/>
      <c r="E335" s="6"/>
      <c r="F335" s="6"/>
      <c r="G335" s="6"/>
      <c r="H335" s="6"/>
      <c r="I335" s="6"/>
      <c r="J335" s="6"/>
      <c r="K335" s="6"/>
      <c r="L335" s="6"/>
      <c r="M335" s="6"/>
      <c r="N335" s="6"/>
    </row>
    <row r="336">
      <c r="A336" s="6"/>
      <c r="B336" s="6"/>
      <c r="C336" s="6"/>
      <c r="D336" s="6"/>
      <c r="E336" s="6"/>
      <c r="F336" s="6"/>
      <c r="G336" s="6"/>
      <c r="H336" s="6"/>
      <c r="I336" s="6"/>
      <c r="J336" s="6"/>
      <c r="K336" s="6"/>
      <c r="L336" s="6"/>
      <c r="M336" s="6"/>
      <c r="N336" s="6"/>
    </row>
    <row r="337">
      <c r="A337" s="6"/>
      <c r="B337" s="6"/>
      <c r="C337" s="6"/>
      <c r="D337" s="6"/>
      <c r="E337" s="6"/>
      <c r="F337" s="6"/>
      <c r="G337" s="6"/>
      <c r="H337" s="6"/>
      <c r="I337" s="6"/>
      <c r="J337" s="6"/>
      <c r="K337" s="6"/>
      <c r="L337" s="6"/>
      <c r="M337" s="6"/>
      <c r="N337" s="6"/>
    </row>
    <row r="338">
      <c r="A338" s="6"/>
      <c r="B338" s="6"/>
      <c r="C338" s="6"/>
      <c r="D338" s="6"/>
      <c r="E338" s="6"/>
      <c r="F338" s="6"/>
      <c r="G338" s="6"/>
      <c r="H338" s="6"/>
      <c r="I338" s="6"/>
      <c r="J338" s="6"/>
      <c r="K338" s="6"/>
      <c r="L338" s="6"/>
      <c r="M338" s="6"/>
      <c r="N338" s="6"/>
    </row>
    <row r="339">
      <c r="A339" s="6"/>
      <c r="B339" s="6"/>
      <c r="C339" s="6"/>
      <c r="D339" s="6"/>
      <c r="E339" s="6"/>
      <c r="F339" s="6"/>
      <c r="G339" s="6"/>
      <c r="H339" s="6"/>
      <c r="I339" s="6"/>
      <c r="J339" s="6"/>
      <c r="K339" s="6"/>
      <c r="L339" s="6"/>
      <c r="M339" s="6"/>
      <c r="N339" s="6"/>
    </row>
    <row r="340">
      <c r="A340" s="6"/>
      <c r="B340" s="6"/>
      <c r="C340" s="6"/>
      <c r="D340" s="6"/>
      <c r="E340" s="6"/>
      <c r="F340" s="6"/>
      <c r="G340" s="6"/>
      <c r="H340" s="6"/>
      <c r="I340" s="6"/>
      <c r="J340" s="6"/>
      <c r="K340" s="6"/>
      <c r="L340" s="6"/>
      <c r="M340" s="6"/>
      <c r="N340" s="6"/>
    </row>
    <row r="341">
      <c r="A341" s="6"/>
      <c r="B341" s="6"/>
      <c r="C341" s="6"/>
      <c r="D341" s="6"/>
      <c r="E341" s="6"/>
      <c r="F341" s="6"/>
      <c r="G341" s="6"/>
      <c r="H341" s="6"/>
      <c r="I341" s="6"/>
      <c r="J341" s="6"/>
      <c r="K341" s="6"/>
      <c r="L341" s="6"/>
      <c r="M341" s="6"/>
      <c r="N341" s="6"/>
    </row>
    <row r="342">
      <c r="A342" s="6"/>
      <c r="B342" s="6"/>
      <c r="C342" s="6"/>
      <c r="D342" s="6"/>
      <c r="E342" s="6"/>
      <c r="F342" s="6"/>
      <c r="G342" s="6"/>
      <c r="H342" s="6"/>
      <c r="I342" s="6"/>
      <c r="J342" s="6"/>
      <c r="K342" s="6"/>
      <c r="L342" s="6"/>
      <c r="M342" s="6"/>
      <c r="N342" s="6"/>
    </row>
    <row r="343">
      <c r="A343" s="6"/>
      <c r="B343" s="6"/>
      <c r="C343" s="6"/>
      <c r="D343" s="6"/>
      <c r="E343" s="6"/>
      <c r="F343" s="6"/>
      <c r="G343" s="6"/>
      <c r="H343" s="6"/>
      <c r="I343" s="6"/>
      <c r="J343" s="6"/>
      <c r="K343" s="6"/>
      <c r="L343" s="6"/>
      <c r="M343" s="6"/>
      <c r="N343" s="6"/>
    </row>
    <row r="344">
      <c r="A344" s="6"/>
      <c r="B344" s="6"/>
      <c r="C344" s="6"/>
      <c r="D344" s="6"/>
      <c r="E344" s="6"/>
      <c r="F344" s="6"/>
      <c r="G344" s="6"/>
      <c r="H344" s="6"/>
      <c r="I344" s="6"/>
      <c r="J344" s="6"/>
      <c r="K344" s="6"/>
      <c r="L344" s="6"/>
      <c r="M344" s="6"/>
      <c r="N344" s="6"/>
    </row>
    <row r="345">
      <c r="A345" s="6"/>
      <c r="B345" s="6"/>
      <c r="C345" s="6"/>
      <c r="D345" s="6"/>
      <c r="E345" s="6"/>
      <c r="F345" s="6"/>
      <c r="G345" s="6"/>
      <c r="H345" s="6"/>
      <c r="I345" s="6"/>
      <c r="J345" s="6"/>
      <c r="K345" s="6"/>
      <c r="L345" s="6"/>
      <c r="M345" s="6"/>
      <c r="N345" s="6"/>
    </row>
    <row r="346">
      <c r="A346" s="6"/>
      <c r="B346" s="6"/>
      <c r="C346" s="6"/>
      <c r="D346" s="6"/>
      <c r="E346" s="6"/>
      <c r="F346" s="6"/>
      <c r="G346" s="6"/>
      <c r="H346" s="6"/>
      <c r="I346" s="6"/>
      <c r="J346" s="6"/>
      <c r="K346" s="6"/>
      <c r="L346" s="6"/>
      <c r="M346" s="6"/>
      <c r="N346" s="6"/>
    </row>
    <row r="347">
      <c r="A347" s="6"/>
      <c r="B347" s="6"/>
      <c r="C347" s="6"/>
      <c r="D347" s="6"/>
      <c r="E347" s="6"/>
      <c r="F347" s="6"/>
      <c r="G347" s="6"/>
      <c r="H347" s="6"/>
      <c r="I347" s="6"/>
      <c r="J347" s="6"/>
      <c r="K347" s="6"/>
      <c r="L347" s="6"/>
      <c r="M347" s="6"/>
      <c r="N347" s="6"/>
    </row>
    <row r="348">
      <c r="A348" s="6"/>
      <c r="B348" s="6"/>
      <c r="C348" s="6"/>
      <c r="D348" s="6"/>
      <c r="E348" s="6"/>
      <c r="F348" s="6"/>
      <c r="G348" s="6"/>
      <c r="H348" s="6"/>
      <c r="I348" s="6"/>
      <c r="J348" s="6"/>
      <c r="K348" s="6"/>
      <c r="L348" s="6"/>
      <c r="M348" s="6"/>
      <c r="N348" s="6"/>
    </row>
    <row r="349">
      <c r="A349" s="6"/>
      <c r="B349" s="6"/>
      <c r="C349" s="6"/>
      <c r="D349" s="6"/>
      <c r="E349" s="6"/>
      <c r="F349" s="6"/>
      <c r="G349" s="6"/>
      <c r="H349" s="6"/>
      <c r="I349" s="6"/>
      <c r="J349" s="6"/>
      <c r="K349" s="6"/>
      <c r="L349" s="6"/>
      <c r="M349" s="6"/>
      <c r="N349" s="6"/>
    </row>
    <row r="350">
      <c r="A350" s="6"/>
      <c r="B350" s="6"/>
      <c r="C350" s="6"/>
      <c r="D350" s="6"/>
      <c r="E350" s="6"/>
      <c r="F350" s="6"/>
      <c r="G350" s="6"/>
      <c r="H350" s="6"/>
      <c r="I350" s="6"/>
      <c r="J350" s="6"/>
      <c r="K350" s="6"/>
      <c r="L350" s="6"/>
      <c r="M350" s="6"/>
      <c r="N350" s="6"/>
    </row>
    <row r="351">
      <c r="A351" s="6"/>
      <c r="B351" s="6"/>
      <c r="C351" s="6"/>
      <c r="D351" s="6"/>
      <c r="E351" s="6"/>
      <c r="F351" s="6"/>
      <c r="G351" s="6"/>
      <c r="H351" s="6"/>
      <c r="I351" s="6"/>
      <c r="J351" s="6"/>
      <c r="K351" s="6"/>
      <c r="L351" s="6"/>
      <c r="M351" s="6"/>
      <c r="N351" s="6"/>
    </row>
    <row r="352">
      <c r="A352" s="6"/>
      <c r="B352" s="6"/>
      <c r="C352" s="6"/>
      <c r="D352" s="6"/>
      <c r="E352" s="6"/>
      <c r="F352" s="6"/>
      <c r="G352" s="6"/>
      <c r="H352" s="6"/>
      <c r="I352" s="6"/>
      <c r="J352" s="6"/>
      <c r="K352" s="6"/>
      <c r="L352" s="6"/>
      <c r="M352" s="6"/>
      <c r="N352" s="6"/>
    </row>
    <row r="353">
      <c r="A353" s="6"/>
      <c r="B353" s="6"/>
      <c r="C353" s="6"/>
      <c r="D353" s="6"/>
      <c r="E353" s="6"/>
      <c r="F353" s="6"/>
      <c r="G353" s="6"/>
      <c r="H353" s="6"/>
      <c r="I353" s="6"/>
      <c r="J353" s="6"/>
      <c r="K353" s="6"/>
      <c r="L353" s="6"/>
      <c r="M353" s="6"/>
      <c r="N353" s="6"/>
    </row>
    <row r="354">
      <c r="A354" s="6"/>
      <c r="B354" s="6"/>
      <c r="C354" s="6"/>
      <c r="D354" s="6"/>
      <c r="E354" s="6"/>
      <c r="F354" s="6"/>
      <c r="G354" s="6"/>
      <c r="H354" s="6"/>
      <c r="I354" s="6"/>
      <c r="J354" s="6"/>
      <c r="K354" s="6"/>
      <c r="L354" s="6"/>
      <c r="M354" s="6"/>
      <c r="N354" s="6"/>
    </row>
    <row r="355">
      <c r="A355" s="6"/>
      <c r="B355" s="6"/>
      <c r="C355" s="6"/>
      <c r="D355" s="6"/>
      <c r="E355" s="6"/>
      <c r="F355" s="6"/>
      <c r="G355" s="6"/>
      <c r="H355" s="6"/>
      <c r="I355" s="6"/>
      <c r="J355" s="6"/>
      <c r="K355" s="6"/>
      <c r="L355" s="6"/>
      <c r="M355" s="6"/>
      <c r="N355" s="6"/>
    </row>
    <row r="356">
      <c r="A356" s="6"/>
      <c r="B356" s="6"/>
      <c r="C356" s="6"/>
      <c r="D356" s="6"/>
      <c r="E356" s="6"/>
      <c r="F356" s="6"/>
      <c r="G356" s="6"/>
      <c r="H356" s="6"/>
      <c r="I356" s="6"/>
      <c r="J356" s="6"/>
      <c r="K356" s="6"/>
      <c r="L356" s="6"/>
      <c r="M356" s="6"/>
      <c r="N356" s="6"/>
    </row>
    <row r="357">
      <c r="A357" s="6"/>
      <c r="B357" s="6"/>
      <c r="C357" s="6"/>
      <c r="D357" s="6"/>
      <c r="E357" s="6"/>
      <c r="F357" s="6"/>
      <c r="G357" s="6"/>
      <c r="H357" s="6"/>
      <c r="I357" s="6"/>
      <c r="J357" s="6"/>
      <c r="K357" s="6"/>
      <c r="L357" s="6"/>
      <c r="M357" s="6"/>
      <c r="N357" s="6"/>
    </row>
    <row r="358">
      <c r="A358" s="6"/>
      <c r="B358" s="6"/>
      <c r="C358" s="6"/>
      <c r="D358" s="6"/>
      <c r="E358" s="6"/>
      <c r="F358" s="6"/>
      <c r="G358" s="6"/>
      <c r="H358" s="6"/>
      <c r="I358" s="6"/>
      <c r="J358" s="6"/>
      <c r="K358" s="6"/>
      <c r="L358" s="6"/>
      <c r="M358" s="6"/>
      <c r="N358" s="6"/>
    </row>
    <row r="359">
      <c r="A359" s="6"/>
      <c r="B359" s="6"/>
      <c r="C359" s="6"/>
      <c r="D359" s="6"/>
      <c r="E359" s="6"/>
      <c r="F359" s="6"/>
      <c r="G359" s="6"/>
      <c r="H359" s="6"/>
      <c r="I359" s="6"/>
      <c r="J359" s="6"/>
      <c r="K359" s="6"/>
      <c r="L359" s="6"/>
      <c r="M359" s="6"/>
      <c r="N359" s="6"/>
    </row>
    <row r="360">
      <c r="A360" s="6"/>
      <c r="B360" s="6"/>
      <c r="C360" s="6"/>
      <c r="D360" s="6"/>
      <c r="E360" s="6"/>
      <c r="F360" s="6"/>
      <c r="G360" s="6"/>
      <c r="H360" s="6"/>
      <c r="I360" s="6"/>
      <c r="J360" s="6"/>
      <c r="K360" s="6"/>
      <c r="L360" s="6"/>
      <c r="M360" s="6"/>
      <c r="N360" s="6"/>
    </row>
    <row r="361">
      <c r="A361" s="6"/>
      <c r="B361" s="6"/>
      <c r="C361" s="6"/>
      <c r="D361" s="6"/>
      <c r="E361" s="6"/>
      <c r="F361" s="6"/>
      <c r="G361" s="6"/>
      <c r="H361" s="6"/>
      <c r="I361" s="6"/>
      <c r="J361" s="6"/>
      <c r="K361" s="6"/>
      <c r="L361" s="6"/>
      <c r="M361" s="6"/>
      <c r="N361" s="6"/>
    </row>
    <row r="362">
      <c r="A362" s="6"/>
      <c r="B362" s="6"/>
      <c r="C362" s="6"/>
      <c r="D362" s="6"/>
      <c r="E362" s="6"/>
      <c r="F362" s="6"/>
      <c r="G362" s="6"/>
      <c r="H362" s="6"/>
      <c r="I362" s="6"/>
      <c r="J362" s="6"/>
      <c r="K362" s="6"/>
      <c r="L362" s="6"/>
      <c r="M362" s="6"/>
      <c r="N362" s="6"/>
    </row>
    <row r="363">
      <c r="A363" s="6"/>
      <c r="B363" s="6"/>
      <c r="C363" s="6"/>
      <c r="D363" s="6"/>
      <c r="E363" s="6"/>
      <c r="F363" s="6"/>
      <c r="G363" s="6"/>
      <c r="H363" s="6"/>
      <c r="I363" s="6"/>
      <c r="J363" s="6"/>
      <c r="K363" s="6"/>
      <c r="L363" s="6"/>
      <c r="M363" s="6"/>
      <c r="N363" s="6"/>
    </row>
    <row r="364">
      <c r="A364" s="6"/>
      <c r="B364" s="6"/>
      <c r="C364" s="6"/>
      <c r="D364" s="6"/>
      <c r="E364" s="6"/>
      <c r="F364" s="6"/>
      <c r="G364" s="6"/>
      <c r="H364" s="6"/>
      <c r="I364" s="6"/>
      <c r="J364" s="6"/>
      <c r="K364" s="6"/>
      <c r="L364" s="6"/>
      <c r="M364" s="6"/>
      <c r="N364" s="6"/>
    </row>
    <row r="365">
      <c r="A365" s="6"/>
      <c r="B365" s="6"/>
      <c r="C365" s="6"/>
      <c r="D365" s="6"/>
      <c r="E365" s="6"/>
      <c r="F365" s="6"/>
      <c r="G365" s="6"/>
      <c r="H365" s="6"/>
      <c r="I365" s="6"/>
      <c r="J365" s="6"/>
      <c r="K365" s="6"/>
      <c r="L365" s="6"/>
      <c r="M365" s="6"/>
      <c r="N365" s="6"/>
    </row>
    <row r="366">
      <c r="A366" s="6"/>
      <c r="B366" s="6"/>
      <c r="C366" s="6"/>
      <c r="D366" s="6"/>
      <c r="E366" s="6"/>
      <c r="F366" s="6"/>
      <c r="G366" s="6"/>
      <c r="H366" s="6"/>
      <c r="I366" s="6"/>
      <c r="J366" s="6"/>
      <c r="K366" s="6"/>
      <c r="L366" s="6"/>
      <c r="M366" s="6"/>
      <c r="N366" s="6"/>
    </row>
    <row r="367">
      <c r="A367" s="6"/>
      <c r="B367" s="6"/>
      <c r="C367" s="6"/>
      <c r="D367" s="6"/>
      <c r="E367" s="6"/>
      <c r="F367" s="6"/>
      <c r="G367" s="6"/>
      <c r="H367" s="6"/>
      <c r="I367" s="6"/>
      <c r="J367" s="6"/>
      <c r="K367" s="6"/>
      <c r="L367" s="6"/>
      <c r="M367" s="6"/>
      <c r="N367" s="6"/>
    </row>
    <row r="368">
      <c r="A368" s="6"/>
      <c r="B368" s="6"/>
      <c r="C368" s="6"/>
      <c r="D368" s="6"/>
      <c r="E368" s="6"/>
      <c r="F368" s="6"/>
      <c r="G368" s="6"/>
      <c r="H368" s="6"/>
      <c r="I368" s="6"/>
      <c r="J368" s="6"/>
      <c r="K368" s="6"/>
      <c r="L368" s="6"/>
      <c r="M368" s="6"/>
      <c r="N368" s="6"/>
    </row>
    <row r="369">
      <c r="A369" s="6"/>
      <c r="B369" s="6"/>
      <c r="C369" s="6"/>
      <c r="D369" s="6"/>
      <c r="E369" s="6"/>
      <c r="F369" s="6"/>
      <c r="G369" s="6"/>
      <c r="H369" s="6"/>
      <c r="I369" s="6"/>
      <c r="J369" s="6"/>
      <c r="K369" s="6"/>
      <c r="L369" s="6"/>
      <c r="M369" s="6"/>
      <c r="N369" s="6"/>
    </row>
    <row r="370">
      <c r="A370" s="6"/>
      <c r="B370" s="6"/>
      <c r="C370" s="6"/>
      <c r="D370" s="6"/>
      <c r="E370" s="6"/>
      <c r="F370" s="6"/>
      <c r="G370" s="6"/>
      <c r="H370" s="6"/>
      <c r="I370" s="6"/>
      <c r="J370" s="6"/>
      <c r="K370" s="6"/>
      <c r="L370" s="6"/>
      <c r="M370" s="6"/>
      <c r="N370" s="6"/>
    </row>
    <row r="371">
      <c r="A371" s="6"/>
      <c r="B371" s="6"/>
      <c r="C371" s="6"/>
      <c r="D371" s="6"/>
      <c r="E371" s="6"/>
      <c r="F371" s="6"/>
      <c r="G371" s="6"/>
      <c r="H371" s="6"/>
      <c r="I371" s="6"/>
      <c r="J371" s="6"/>
      <c r="K371" s="6"/>
      <c r="L371" s="6"/>
      <c r="M371" s="6"/>
      <c r="N371" s="6"/>
    </row>
    <row r="372">
      <c r="A372" s="6"/>
      <c r="B372" s="6"/>
      <c r="C372" s="6"/>
      <c r="D372" s="6"/>
      <c r="E372" s="6"/>
      <c r="F372" s="6"/>
      <c r="G372" s="6"/>
      <c r="H372" s="6"/>
      <c r="I372" s="6"/>
      <c r="J372" s="6"/>
      <c r="K372" s="6"/>
      <c r="L372" s="6"/>
      <c r="M372" s="6"/>
      <c r="N372" s="6"/>
    </row>
    <row r="373">
      <c r="A373" s="6"/>
      <c r="B373" s="6"/>
      <c r="C373" s="6"/>
      <c r="D373" s="6"/>
      <c r="E373" s="6"/>
      <c r="F373" s="6"/>
      <c r="G373" s="6"/>
      <c r="H373" s="6"/>
      <c r="I373" s="6"/>
      <c r="J373" s="6"/>
      <c r="K373" s="6"/>
      <c r="L373" s="6"/>
      <c r="M373" s="6"/>
      <c r="N373" s="6"/>
    </row>
    <row r="374">
      <c r="A374" s="6"/>
      <c r="B374" s="6"/>
      <c r="C374" s="6"/>
      <c r="D374" s="6"/>
      <c r="E374" s="6"/>
      <c r="F374" s="6"/>
      <c r="G374" s="6"/>
      <c r="H374" s="6"/>
      <c r="I374" s="6"/>
      <c r="J374" s="6"/>
      <c r="K374" s="6"/>
      <c r="L374" s="6"/>
      <c r="M374" s="6"/>
      <c r="N374" s="6"/>
    </row>
    <row r="375">
      <c r="A375" s="6"/>
      <c r="B375" s="6"/>
      <c r="C375" s="6"/>
      <c r="D375" s="6"/>
      <c r="E375" s="6"/>
      <c r="F375" s="6"/>
      <c r="G375" s="6"/>
      <c r="H375" s="6"/>
      <c r="I375" s="6"/>
      <c r="J375" s="6"/>
      <c r="K375" s="6"/>
      <c r="L375" s="6"/>
      <c r="M375" s="6"/>
      <c r="N375" s="6"/>
    </row>
    <row r="376">
      <c r="A376" s="6"/>
      <c r="B376" s="6"/>
      <c r="C376" s="6"/>
      <c r="D376" s="6"/>
      <c r="E376" s="6"/>
      <c r="F376" s="6"/>
      <c r="G376" s="6"/>
      <c r="H376" s="6"/>
      <c r="I376" s="6"/>
      <c r="J376" s="6"/>
      <c r="K376" s="6"/>
      <c r="L376" s="6"/>
      <c r="M376" s="6"/>
      <c r="N376" s="6"/>
    </row>
    <row r="377">
      <c r="A377" s="6"/>
      <c r="B377" s="6"/>
      <c r="C377" s="6"/>
      <c r="D377" s="6"/>
      <c r="E377" s="6"/>
      <c r="F377" s="6"/>
      <c r="G377" s="6"/>
      <c r="H377" s="6"/>
      <c r="I377" s="6"/>
      <c r="J377" s="6"/>
      <c r="K377" s="6"/>
      <c r="L377" s="6"/>
      <c r="M377" s="6"/>
      <c r="N377" s="6"/>
    </row>
    <row r="378">
      <c r="A378" s="6"/>
      <c r="B378" s="6"/>
      <c r="C378" s="6"/>
      <c r="D378" s="6"/>
      <c r="E378" s="6"/>
      <c r="F378" s="6"/>
      <c r="G378" s="6"/>
      <c r="H378" s="6"/>
      <c r="I378" s="6"/>
      <c r="J378" s="6"/>
      <c r="K378" s="6"/>
      <c r="L378" s="6"/>
      <c r="M378" s="6"/>
      <c r="N378" s="6"/>
    </row>
    <row r="379">
      <c r="A379" s="6"/>
      <c r="B379" s="6"/>
      <c r="C379" s="6"/>
      <c r="D379" s="6"/>
      <c r="E379" s="6"/>
      <c r="F379" s="6"/>
      <c r="G379" s="6"/>
      <c r="H379" s="6"/>
      <c r="I379" s="6"/>
      <c r="J379" s="6"/>
      <c r="K379" s="6"/>
      <c r="L379" s="6"/>
      <c r="M379" s="6"/>
      <c r="N379" s="6"/>
    </row>
    <row r="380">
      <c r="A380" s="6"/>
      <c r="B380" s="6"/>
      <c r="C380" s="6"/>
      <c r="D380" s="6"/>
      <c r="E380" s="6"/>
      <c r="F380" s="6"/>
      <c r="G380" s="6"/>
      <c r="H380" s="6"/>
      <c r="I380" s="6"/>
      <c r="J380" s="6"/>
      <c r="K380" s="6"/>
      <c r="L380" s="6"/>
      <c r="M380" s="6"/>
      <c r="N380" s="6"/>
    </row>
    <row r="381">
      <c r="A381" s="6"/>
      <c r="B381" s="6"/>
      <c r="C381" s="6"/>
      <c r="D381" s="6"/>
      <c r="E381" s="6"/>
      <c r="F381" s="6"/>
      <c r="G381" s="6"/>
      <c r="H381" s="6"/>
      <c r="I381" s="6"/>
      <c r="J381" s="6"/>
      <c r="K381" s="6"/>
      <c r="L381" s="6"/>
      <c r="M381" s="6"/>
      <c r="N381" s="6"/>
    </row>
    <row r="382">
      <c r="A382" s="6"/>
      <c r="B382" s="6"/>
      <c r="C382" s="6"/>
      <c r="D382" s="6"/>
      <c r="E382" s="6"/>
      <c r="F382" s="6"/>
      <c r="G382" s="6"/>
      <c r="H382" s="6"/>
      <c r="I382" s="6"/>
      <c r="J382" s="6"/>
      <c r="K382" s="6"/>
      <c r="L382" s="6"/>
      <c r="M382" s="6"/>
      <c r="N382" s="6"/>
    </row>
    <row r="383">
      <c r="A383" s="6"/>
      <c r="B383" s="6"/>
      <c r="C383" s="6"/>
      <c r="D383" s="6"/>
      <c r="E383" s="6"/>
      <c r="F383" s="6"/>
      <c r="G383" s="6"/>
      <c r="H383" s="6"/>
      <c r="I383" s="6"/>
      <c r="J383" s="6"/>
      <c r="K383" s="6"/>
      <c r="L383" s="6"/>
      <c r="M383" s="6"/>
      <c r="N383" s="6"/>
    </row>
    <row r="384">
      <c r="A384" s="6"/>
      <c r="B384" s="6"/>
      <c r="C384" s="6"/>
      <c r="D384" s="6"/>
      <c r="E384" s="6"/>
      <c r="F384" s="6"/>
      <c r="G384" s="6"/>
      <c r="H384" s="6"/>
      <c r="I384" s="6"/>
      <c r="J384" s="6"/>
      <c r="K384" s="6"/>
      <c r="L384" s="6"/>
      <c r="M384" s="6"/>
      <c r="N384" s="6"/>
    </row>
    <row r="385">
      <c r="A385" s="6"/>
      <c r="B385" s="6"/>
      <c r="C385" s="6"/>
      <c r="D385" s="6"/>
      <c r="E385" s="6"/>
      <c r="F385" s="6"/>
      <c r="G385" s="6"/>
      <c r="H385" s="6"/>
      <c r="I385" s="6"/>
      <c r="J385" s="6"/>
      <c r="K385" s="6"/>
      <c r="L385" s="6"/>
      <c r="M385" s="6"/>
      <c r="N385" s="6"/>
    </row>
    <row r="386">
      <c r="A386" s="6"/>
      <c r="B386" s="6"/>
      <c r="C386" s="6"/>
      <c r="D386" s="6"/>
      <c r="E386" s="6"/>
      <c r="F386" s="6"/>
      <c r="G386" s="6"/>
      <c r="H386" s="6"/>
      <c r="I386" s="6"/>
      <c r="J386" s="6"/>
      <c r="K386" s="6"/>
      <c r="L386" s="6"/>
      <c r="M386" s="6"/>
      <c r="N386" s="6"/>
    </row>
    <row r="387">
      <c r="A387" s="6"/>
      <c r="B387" s="6"/>
      <c r="C387" s="6"/>
      <c r="D387" s="6"/>
      <c r="E387" s="6"/>
      <c r="F387" s="6"/>
      <c r="G387" s="6"/>
      <c r="H387" s="6"/>
      <c r="I387" s="6"/>
      <c r="J387" s="6"/>
      <c r="K387" s="6"/>
      <c r="L387" s="6"/>
      <c r="M387" s="6"/>
      <c r="N387" s="6"/>
    </row>
    <row r="388">
      <c r="A388" s="6"/>
      <c r="B388" s="6"/>
      <c r="C388" s="6"/>
      <c r="D388" s="6"/>
      <c r="E388" s="6"/>
      <c r="F388" s="6"/>
      <c r="G388" s="6"/>
      <c r="H388" s="6"/>
      <c r="I388" s="6"/>
      <c r="J388" s="6"/>
      <c r="K388" s="6"/>
      <c r="L388" s="6"/>
      <c r="M388" s="6"/>
      <c r="N388" s="6"/>
    </row>
    <row r="389">
      <c r="A389" s="6"/>
      <c r="B389" s="6"/>
      <c r="C389" s="6"/>
      <c r="D389" s="6"/>
      <c r="E389" s="6"/>
      <c r="F389" s="6"/>
      <c r="G389" s="6"/>
      <c r="H389" s="6"/>
      <c r="I389" s="6"/>
      <c r="J389" s="6"/>
      <c r="K389" s="6"/>
      <c r="L389" s="6"/>
      <c r="M389" s="6"/>
      <c r="N389" s="6"/>
    </row>
    <row r="390">
      <c r="A390" s="6"/>
      <c r="B390" s="6"/>
      <c r="C390" s="6"/>
      <c r="D390" s="6"/>
      <c r="E390" s="6"/>
      <c r="F390" s="6"/>
      <c r="G390" s="6"/>
      <c r="H390" s="6"/>
      <c r="I390" s="6"/>
      <c r="J390" s="6"/>
      <c r="K390" s="6"/>
      <c r="L390" s="6"/>
      <c r="M390" s="6"/>
      <c r="N390" s="6"/>
    </row>
    <row r="391">
      <c r="A391" s="6"/>
      <c r="B391" s="6"/>
      <c r="C391" s="6"/>
      <c r="D391" s="6"/>
      <c r="E391" s="6"/>
      <c r="F391" s="6"/>
      <c r="G391" s="6"/>
      <c r="H391" s="6"/>
      <c r="I391" s="6"/>
      <c r="J391" s="6"/>
      <c r="K391" s="6"/>
      <c r="L391" s="6"/>
      <c r="M391" s="6"/>
      <c r="N391" s="6"/>
    </row>
    <row r="392">
      <c r="A392" s="6"/>
      <c r="B392" s="6"/>
      <c r="C392" s="6"/>
      <c r="D392" s="6"/>
      <c r="E392" s="6"/>
      <c r="F392" s="6"/>
      <c r="G392" s="6"/>
      <c r="H392" s="6"/>
      <c r="I392" s="6"/>
      <c r="J392" s="6"/>
      <c r="K392" s="6"/>
      <c r="L392" s="6"/>
      <c r="M392" s="6"/>
      <c r="N392" s="6"/>
    </row>
    <row r="393">
      <c r="A393" s="6"/>
      <c r="B393" s="6"/>
      <c r="C393" s="6"/>
      <c r="D393" s="6"/>
      <c r="E393" s="6"/>
      <c r="F393" s="6"/>
      <c r="G393" s="6"/>
      <c r="H393" s="6"/>
      <c r="I393" s="6"/>
      <c r="J393" s="6"/>
      <c r="K393" s="6"/>
      <c r="L393" s="6"/>
      <c r="M393" s="6"/>
      <c r="N393" s="6"/>
    </row>
    <row r="394">
      <c r="A394" s="6"/>
      <c r="B394" s="6"/>
      <c r="C394" s="6"/>
      <c r="D394" s="6"/>
      <c r="E394" s="6"/>
      <c r="F394" s="6"/>
      <c r="G394" s="6"/>
      <c r="H394" s="6"/>
      <c r="I394" s="6"/>
      <c r="J394" s="6"/>
      <c r="K394" s="6"/>
      <c r="L394" s="6"/>
      <c r="M394" s="6"/>
      <c r="N394" s="6"/>
    </row>
    <row r="395">
      <c r="A395" s="6"/>
      <c r="B395" s="6"/>
      <c r="C395" s="6"/>
      <c r="D395" s="6"/>
      <c r="E395" s="6"/>
      <c r="F395" s="6"/>
      <c r="G395" s="6"/>
      <c r="H395" s="6"/>
      <c r="I395" s="6"/>
      <c r="J395" s="6"/>
      <c r="K395" s="6"/>
      <c r="L395" s="6"/>
      <c r="M395" s="6"/>
      <c r="N395" s="6"/>
    </row>
    <row r="396">
      <c r="A396" s="6"/>
      <c r="B396" s="6"/>
      <c r="C396" s="6"/>
      <c r="D396" s="6"/>
      <c r="E396" s="6"/>
      <c r="F396" s="6"/>
      <c r="G396" s="6"/>
      <c r="H396" s="6"/>
      <c r="I396" s="6"/>
      <c r="J396" s="6"/>
      <c r="K396" s="6"/>
      <c r="L396" s="6"/>
      <c r="M396" s="6"/>
      <c r="N396" s="6"/>
    </row>
    <row r="397">
      <c r="A397" s="6"/>
      <c r="B397" s="6"/>
      <c r="C397" s="6"/>
      <c r="D397" s="6"/>
      <c r="E397" s="6"/>
      <c r="F397" s="6"/>
      <c r="G397" s="6"/>
      <c r="H397" s="6"/>
      <c r="I397" s="6"/>
      <c r="J397" s="6"/>
      <c r="K397" s="6"/>
      <c r="L397" s="6"/>
      <c r="M397" s="6"/>
      <c r="N397" s="6"/>
    </row>
    <row r="398">
      <c r="A398" s="6"/>
      <c r="B398" s="6"/>
      <c r="C398" s="6"/>
      <c r="D398" s="6"/>
      <c r="E398" s="6"/>
      <c r="F398" s="6"/>
      <c r="G398" s="6"/>
      <c r="H398" s="6"/>
      <c r="I398" s="6"/>
      <c r="J398" s="6"/>
      <c r="K398" s="6"/>
      <c r="L398" s="6"/>
      <c r="M398" s="6"/>
      <c r="N398" s="6"/>
    </row>
    <row r="399">
      <c r="A399" s="6"/>
      <c r="B399" s="6"/>
      <c r="C399" s="6"/>
      <c r="D399" s="6"/>
      <c r="E399" s="6"/>
      <c r="F399" s="6"/>
      <c r="G399" s="6"/>
      <c r="H399" s="6"/>
      <c r="I399" s="6"/>
      <c r="J399" s="6"/>
      <c r="K399" s="6"/>
      <c r="L399" s="6"/>
      <c r="M399" s="6"/>
      <c r="N399" s="6"/>
    </row>
    <row r="400">
      <c r="A400" s="6"/>
      <c r="B400" s="6"/>
      <c r="C400" s="6"/>
      <c r="D400" s="6"/>
      <c r="E400" s="6"/>
      <c r="F400" s="6"/>
      <c r="G400" s="6"/>
      <c r="H400" s="6"/>
      <c r="I400" s="6"/>
      <c r="J400" s="6"/>
      <c r="K400" s="6"/>
      <c r="L400" s="6"/>
      <c r="M400" s="6"/>
      <c r="N400" s="6"/>
    </row>
    <row r="401">
      <c r="A401" s="6"/>
      <c r="B401" s="6"/>
      <c r="C401" s="6"/>
      <c r="D401" s="6"/>
      <c r="E401" s="6"/>
      <c r="F401" s="6"/>
      <c r="G401" s="6"/>
      <c r="H401" s="6"/>
      <c r="I401" s="6"/>
      <c r="J401" s="6"/>
      <c r="K401" s="6"/>
      <c r="L401" s="6"/>
      <c r="M401" s="6"/>
      <c r="N401" s="6"/>
    </row>
    <row r="402">
      <c r="A402" s="6"/>
      <c r="B402" s="6"/>
      <c r="C402" s="6"/>
      <c r="D402" s="6"/>
      <c r="E402" s="6"/>
      <c r="F402" s="6"/>
      <c r="G402" s="6"/>
      <c r="H402" s="6"/>
      <c r="I402" s="6"/>
      <c r="J402" s="6"/>
      <c r="K402" s="6"/>
      <c r="L402" s="6"/>
      <c r="M402" s="6"/>
      <c r="N402" s="6"/>
    </row>
    <row r="403">
      <c r="A403" s="6"/>
      <c r="B403" s="6"/>
      <c r="C403" s="6"/>
      <c r="D403" s="6"/>
      <c r="E403" s="6"/>
      <c r="F403" s="6"/>
      <c r="G403" s="6"/>
      <c r="H403" s="6"/>
      <c r="I403" s="6"/>
      <c r="J403" s="6"/>
      <c r="K403" s="6"/>
      <c r="L403" s="6"/>
      <c r="M403" s="6"/>
      <c r="N403" s="6"/>
    </row>
    <row r="404">
      <c r="A404" s="6"/>
      <c r="B404" s="6"/>
      <c r="C404" s="6"/>
      <c r="D404" s="6"/>
      <c r="E404" s="6"/>
      <c r="F404" s="6"/>
      <c r="G404" s="6"/>
      <c r="H404" s="6"/>
      <c r="I404" s="6"/>
      <c r="J404" s="6"/>
      <c r="K404" s="6"/>
      <c r="L404" s="6"/>
      <c r="M404" s="6"/>
      <c r="N404" s="6"/>
    </row>
    <row r="405">
      <c r="A405" s="6"/>
      <c r="B405" s="6"/>
      <c r="C405" s="6"/>
      <c r="D405" s="6"/>
      <c r="E405" s="6"/>
      <c r="F405" s="6"/>
      <c r="G405" s="6"/>
      <c r="H405" s="6"/>
      <c r="I405" s="6"/>
      <c r="J405" s="6"/>
      <c r="K405" s="6"/>
      <c r="L405" s="6"/>
      <c r="M405" s="6"/>
      <c r="N405" s="6"/>
    </row>
    <row r="406">
      <c r="A406" s="6"/>
      <c r="B406" s="6"/>
      <c r="C406" s="6"/>
      <c r="D406" s="6"/>
      <c r="E406" s="6"/>
      <c r="F406" s="6"/>
      <c r="G406" s="6"/>
      <c r="H406" s="6"/>
      <c r="I406" s="6"/>
      <c r="J406" s="6"/>
      <c r="K406" s="6"/>
      <c r="L406" s="6"/>
      <c r="M406" s="6"/>
      <c r="N406" s="6"/>
    </row>
    <row r="407">
      <c r="A407" s="6"/>
      <c r="B407" s="6"/>
      <c r="C407" s="6"/>
      <c r="D407" s="6"/>
      <c r="E407" s="6"/>
      <c r="F407" s="6"/>
      <c r="G407" s="6"/>
      <c r="H407" s="6"/>
      <c r="I407" s="6"/>
      <c r="J407" s="6"/>
      <c r="K407" s="6"/>
      <c r="L407" s="6"/>
      <c r="M407" s="6"/>
      <c r="N407" s="6"/>
    </row>
    <row r="408">
      <c r="A408" s="6"/>
      <c r="B408" s="6"/>
      <c r="C408" s="6"/>
      <c r="D408" s="6"/>
      <c r="E408" s="6"/>
      <c r="F408" s="6"/>
      <c r="G408" s="6"/>
      <c r="H408" s="6"/>
      <c r="I408" s="6"/>
      <c r="J408" s="6"/>
      <c r="K408" s="6"/>
      <c r="L408" s="6"/>
      <c r="M408" s="6"/>
      <c r="N408" s="6"/>
    </row>
    <row r="409">
      <c r="A409" s="6"/>
      <c r="B409" s="6"/>
      <c r="C409" s="6"/>
      <c r="D409" s="6"/>
      <c r="E409" s="6"/>
      <c r="F409" s="6"/>
      <c r="G409" s="6"/>
      <c r="H409" s="6"/>
      <c r="I409" s="6"/>
      <c r="J409" s="6"/>
      <c r="K409" s="6"/>
      <c r="L409" s="6"/>
      <c r="M409" s="6"/>
      <c r="N409" s="6"/>
    </row>
    <row r="410">
      <c r="A410" s="6"/>
      <c r="B410" s="6"/>
      <c r="C410" s="6"/>
      <c r="D410" s="6"/>
      <c r="E410" s="6"/>
      <c r="F410" s="6"/>
      <c r="G410" s="6"/>
      <c r="H410" s="6"/>
      <c r="I410" s="6"/>
      <c r="J410" s="6"/>
      <c r="K410" s="6"/>
      <c r="L410" s="6"/>
      <c r="M410" s="6"/>
      <c r="N410" s="6"/>
    </row>
    <row r="411">
      <c r="A411" s="6"/>
      <c r="B411" s="6"/>
      <c r="C411" s="6"/>
      <c r="D411" s="6"/>
      <c r="E411" s="6"/>
      <c r="F411" s="6"/>
      <c r="G411" s="6"/>
      <c r="H411" s="6"/>
      <c r="I411" s="6"/>
      <c r="J411" s="6"/>
      <c r="K411" s="6"/>
      <c r="L411" s="6"/>
      <c r="M411" s="6"/>
      <c r="N411" s="6"/>
    </row>
    <row r="412">
      <c r="A412" s="6"/>
      <c r="B412" s="6"/>
      <c r="C412" s="6"/>
      <c r="D412" s="6"/>
      <c r="E412" s="6"/>
      <c r="F412" s="6"/>
      <c r="G412" s="6"/>
      <c r="H412" s="6"/>
      <c r="I412" s="6"/>
      <c r="J412" s="6"/>
      <c r="K412" s="6"/>
      <c r="L412" s="6"/>
      <c r="M412" s="6"/>
      <c r="N412" s="6"/>
    </row>
    <row r="413">
      <c r="A413" s="6"/>
      <c r="B413" s="6"/>
      <c r="C413" s="6"/>
      <c r="D413" s="6"/>
      <c r="E413" s="6"/>
      <c r="F413" s="6"/>
      <c r="G413" s="6"/>
      <c r="H413" s="6"/>
      <c r="I413" s="6"/>
      <c r="J413" s="6"/>
      <c r="K413" s="6"/>
      <c r="L413" s="6"/>
      <c r="M413" s="6"/>
      <c r="N413" s="6"/>
    </row>
    <row r="414">
      <c r="A414" s="6"/>
      <c r="B414" s="6"/>
      <c r="C414" s="6"/>
      <c r="D414" s="6"/>
      <c r="E414" s="6"/>
      <c r="F414" s="6"/>
      <c r="G414" s="6"/>
      <c r="H414" s="6"/>
      <c r="I414" s="6"/>
      <c r="J414" s="6"/>
      <c r="K414" s="6"/>
      <c r="L414" s="6"/>
      <c r="M414" s="6"/>
      <c r="N414" s="6"/>
    </row>
    <row r="415">
      <c r="A415" s="6"/>
      <c r="B415" s="6"/>
      <c r="C415" s="6"/>
      <c r="D415" s="6"/>
      <c r="E415" s="6"/>
      <c r="F415" s="6"/>
      <c r="G415" s="6"/>
      <c r="H415" s="6"/>
      <c r="I415" s="6"/>
      <c r="J415" s="6"/>
      <c r="K415" s="6"/>
      <c r="L415" s="6"/>
      <c r="M415" s="6"/>
      <c r="N415" s="6"/>
    </row>
    <row r="416">
      <c r="A416" s="6"/>
      <c r="B416" s="6"/>
      <c r="C416" s="6"/>
      <c r="D416" s="6"/>
      <c r="E416" s="6"/>
      <c r="F416" s="6"/>
      <c r="G416" s="6"/>
      <c r="H416" s="6"/>
      <c r="I416" s="6"/>
      <c r="J416" s="6"/>
      <c r="K416" s="6"/>
      <c r="L416" s="6"/>
      <c r="M416" s="6"/>
      <c r="N416" s="6"/>
    </row>
    <row r="417">
      <c r="A417" s="6"/>
      <c r="B417" s="6"/>
      <c r="C417" s="6"/>
      <c r="D417" s="6"/>
      <c r="E417" s="6"/>
      <c r="F417" s="6"/>
      <c r="G417" s="6"/>
      <c r="H417" s="6"/>
      <c r="I417" s="6"/>
      <c r="J417" s="6"/>
      <c r="K417" s="6"/>
      <c r="L417" s="6"/>
      <c r="M417" s="6"/>
      <c r="N417" s="6"/>
    </row>
    <row r="418">
      <c r="A418" s="6"/>
      <c r="B418" s="6"/>
      <c r="C418" s="6"/>
      <c r="D418" s="6"/>
      <c r="E418" s="6"/>
      <c r="F418" s="6"/>
      <c r="G418" s="6"/>
      <c r="H418" s="6"/>
      <c r="I418" s="6"/>
      <c r="J418" s="6"/>
      <c r="K418" s="6"/>
      <c r="L418" s="6"/>
      <c r="M418" s="6"/>
      <c r="N418" s="6"/>
    </row>
    <row r="419">
      <c r="A419" s="6"/>
      <c r="B419" s="6"/>
      <c r="C419" s="6"/>
      <c r="D419" s="6"/>
      <c r="E419" s="6"/>
      <c r="F419" s="6"/>
      <c r="G419" s="6"/>
      <c r="H419" s="6"/>
      <c r="I419" s="6"/>
      <c r="J419" s="6"/>
      <c r="K419" s="6"/>
      <c r="L419" s="6"/>
      <c r="M419" s="6"/>
      <c r="N419" s="6"/>
    </row>
    <row r="420">
      <c r="A420" s="6"/>
      <c r="B420" s="6"/>
      <c r="C420" s="6"/>
      <c r="D420" s="6"/>
      <c r="E420" s="6"/>
      <c r="F420" s="6"/>
      <c r="G420" s="6"/>
      <c r="H420" s="6"/>
      <c r="I420" s="6"/>
      <c r="J420" s="6"/>
      <c r="K420" s="6"/>
      <c r="L420" s="6"/>
      <c r="M420" s="6"/>
      <c r="N420" s="6"/>
    </row>
    <row r="421">
      <c r="A421" s="6"/>
      <c r="B421" s="6"/>
      <c r="C421" s="6"/>
      <c r="D421" s="6"/>
      <c r="E421" s="6"/>
      <c r="F421" s="6"/>
      <c r="G421" s="6"/>
      <c r="H421" s="6"/>
      <c r="I421" s="6"/>
      <c r="J421" s="6"/>
      <c r="K421" s="6"/>
      <c r="L421" s="6"/>
      <c r="M421" s="6"/>
      <c r="N421" s="6"/>
    </row>
    <row r="422">
      <c r="A422" s="6"/>
      <c r="B422" s="6"/>
      <c r="C422" s="6"/>
      <c r="D422" s="6"/>
      <c r="E422" s="6"/>
      <c r="F422" s="6"/>
      <c r="G422" s="6"/>
      <c r="H422" s="6"/>
      <c r="I422" s="6"/>
      <c r="J422" s="6"/>
      <c r="K422" s="6"/>
      <c r="L422" s="6"/>
      <c r="M422" s="6"/>
      <c r="N422" s="6"/>
    </row>
    <row r="423">
      <c r="A423" s="6"/>
      <c r="B423" s="6"/>
      <c r="C423" s="6"/>
      <c r="D423" s="6"/>
      <c r="E423" s="6"/>
      <c r="F423" s="6"/>
      <c r="G423" s="6"/>
      <c r="H423" s="6"/>
      <c r="I423" s="6"/>
      <c r="J423" s="6"/>
      <c r="K423" s="6"/>
      <c r="L423" s="6"/>
      <c r="M423" s="6"/>
      <c r="N423" s="6"/>
    </row>
    <row r="424">
      <c r="A424" s="6"/>
      <c r="B424" s="6"/>
      <c r="C424" s="6"/>
      <c r="D424" s="6"/>
      <c r="E424" s="6"/>
      <c r="F424" s="6"/>
      <c r="G424" s="6"/>
      <c r="H424" s="6"/>
      <c r="I424" s="6"/>
      <c r="J424" s="6"/>
      <c r="K424" s="6"/>
      <c r="L424" s="6"/>
      <c r="M424" s="6"/>
      <c r="N424" s="6"/>
    </row>
    <row r="425">
      <c r="A425" s="6"/>
      <c r="B425" s="6"/>
      <c r="C425" s="6"/>
      <c r="D425" s="6"/>
      <c r="E425" s="6"/>
      <c r="F425" s="6"/>
      <c r="G425" s="6"/>
      <c r="H425" s="6"/>
      <c r="I425" s="6"/>
      <c r="J425" s="6"/>
      <c r="K425" s="6"/>
      <c r="L425" s="6"/>
      <c r="M425" s="6"/>
      <c r="N425" s="6"/>
    </row>
    <row r="426">
      <c r="A426" s="6"/>
      <c r="B426" s="6"/>
      <c r="C426" s="6"/>
      <c r="D426" s="6"/>
      <c r="E426" s="6"/>
      <c r="F426" s="6"/>
      <c r="G426" s="6"/>
      <c r="H426" s="6"/>
      <c r="I426" s="6"/>
      <c r="J426" s="6"/>
      <c r="K426" s="6"/>
      <c r="L426" s="6"/>
      <c r="M426" s="6"/>
      <c r="N426" s="6"/>
    </row>
    <row r="427">
      <c r="A427" s="6"/>
      <c r="B427" s="6"/>
      <c r="C427" s="6"/>
      <c r="D427" s="6"/>
      <c r="E427" s="6"/>
      <c r="F427" s="6"/>
      <c r="G427" s="6"/>
      <c r="H427" s="6"/>
      <c r="I427" s="6"/>
      <c r="J427" s="6"/>
      <c r="K427" s="6"/>
      <c r="L427" s="6"/>
      <c r="M427" s="6"/>
      <c r="N427" s="6"/>
    </row>
    <row r="428">
      <c r="A428" s="6"/>
      <c r="B428" s="6"/>
      <c r="C428" s="6"/>
      <c r="D428" s="6"/>
      <c r="E428" s="6"/>
      <c r="F428" s="6"/>
      <c r="G428" s="6"/>
      <c r="H428" s="6"/>
      <c r="I428" s="6"/>
      <c r="J428" s="6"/>
      <c r="K428" s="6"/>
      <c r="L428" s="6"/>
      <c r="M428" s="6"/>
      <c r="N428" s="6"/>
    </row>
    <row r="429">
      <c r="A429" s="6"/>
      <c r="B429" s="6"/>
      <c r="C429" s="6"/>
      <c r="D429" s="6"/>
      <c r="E429" s="6"/>
      <c r="F429" s="6"/>
      <c r="G429" s="6"/>
      <c r="H429" s="6"/>
      <c r="I429" s="6"/>
      <c r="J429" s="6"/>
      <c r="K429" s="6"/>
      <c r="L429" s="6"/>
      <c r="M429" s="6"/>
      <c r="N429" s="6"/>
    </row>
    <row r="430">
      <c r="A430" s="6"/>
      <c r="B430" s="6"/>
      <c r="C430" s="6"/>
      <c r="D430" s="6"/>
      <c r="E430" s="6"/>
      <c r="F430" s="6"/>
      <c r="G430" s="6"/>
      <c r="H430" s="6"/>
      <c r="I430" s="6"/>
      <c r="J430" s="6"/>
      <c r="K430" s="6"/>
      <c r="L430" s="6"/>
      <c r="M430" s="6"/>
      <c r="N430" s="6"/>
    </row>
    <row r="431">
      <c r="A431" s="6"/>
      <c r="B431" s="6"/>
      <c r="C431" s="6"/>
      <c r="D431" s="6"/>
      <c r="E431" s="6"/>
      <c r="F431" s="6"/>
      <c r="G431" s="6"/>
      <c r="H431" s="6"/>
      <c r="I431" s="6"/>
      <c r="J431" s="6"/>
      <c r="K431" s="6"/>
      <c r="L431" s="6"/>
      <c r="M431" s="6"/>
      <c r="N431" s="6"/>
    </row>
    <row r="432">
      <c r="A432" s="6"/>
      <c r="B432" s="6"/>
      <c r="C432" s="6"/>
      <c r="D432" s="6"/>
      <c r="E432" s="6"/>
      <c r="F432" s="6"/>
      <c r="G432" s="6"/>
      <c r="H432" s="6"/>
      <c r="I432" s="6"/>
      <c r="J432" s="6"/>
      <c r="K432" s="6"/>
      <c r="L432" s="6"/>
      <c r="M432" s="6"/>
      <c r="N432" s="6"/>
    </row>
    <row r="433">
      <c r="A433" s="6"/>
      <c r="B433" s="6"/>
      <c r="C433" s="6"/>
      <c r="D433" s="6"/>
      <c r="E433" s="6"/>
      <c r="F433" s="6"/>
      <c r="G433" s="6"/>
      <c r="H433" s="6"/>
      <c r="I433" s="6"/>
      <c r="J433" s="6"/>
      <c r="K433" s="6"/>
      <c r="L433" s="6"/>
      <c r="M433" s="6"/>
      <c r="N433" s="6"/>
    </row>
    <row r="434">
      <c r="A434" s="6"/>
      <c r="B434" s="6"/>
      <c r="C434" s="6"/>
      <c r="D434" s="6"/>
      <c r="E434" s="6"/>
      <c r="F434" s="6"/>
      <c r="G434" s="6"/>
      <c r="H434" s="6"/>
      <c r="I434" s="6"/>
      <c r="J434" s="6"/>
      <c r="K434" s="6"/>
      <c r="L434" s="6"/>
      <c r="M434" s="6"/>
      <c r="N434" s="6"/>
    </row>
    <row r="435">
      <c r="A435" s="6"/>
      <c r="B435" s="6"/>
      <c r="C435" s="6"/>
      <c r="D435" s="6"/>
      <c r="E435" s="6"/>
      <c r="F435" s="6"/>
      <c r="G435" s="6"/>
      <c r="H435" s="6"/>
      <c r="I435" s="6"/>
      <c r="J435" s="6"/>
      <c r="K435" s="6"/>
      <c r="L435" s="6"/>
      <c r="M435" s="6"/>
      <c r="N435" s="6"/>
    </row>
    <row r="436">
      <c r="A436" s="6"/>
      <c r="B436" s="6"/>
      <c r="C436" s="6"/>
      <c r="D436" s="6"/>
      <c r="E436" s="6"/>
      <c r="F436" s="6"/>
      <c r="G436" s="6"/>
      <c r="H436" s="6"/>
      <c r="I436" s="6"/>
      <c r="J436" s="6"/>
      <c r="K436" s="6"/>
      <c r="L436" s="6"/>
      <c r="M436" s="6"/>
      <c r="N436" s="6"/>
    </row>
    <row r="437">
      <c r="A437" s="6"/>
      <c r="B437" s="6"/>
      <c r="C437" s="6"/>
      <c r="D437" s="6"/>
      <c r="E437" s="6"/>
      <c r="F437" s="6"/>
      <c r="G437" s="6"/>
      <c r="H437" s="6"/>
      <c r="I437" s="6"/>
      <c r="J437" s="6"/>
      <c r="K437" s="6"/>
      <c r="L437" s="6"/>
      <c r="M437" s="6"/>
      <c r="N437" s="6"/>
    </row>
    <row r="438">
      <c r="A438" s="6"/>
      <c r="B438" s="6"/>
      <c r="C438" s="6"/>
      <c r="D438" s="6"/>
      <c r="E438" s="6"/>
      <c r="F438" s="6"/>
      <c r="G438" s="6"/>
      <c r="H438" s="6"/>
      <c r="I438" s="6"/>
      <c r="J438" s="6"/>
      <c r="K438" s="6"/>
      <c r="L438" s="6"/>
      <c r="M438" s="6"/>
      <c r="N438" s="6"/>
    </row>
    <row r="439">
      <c r="A439" s="6"/>
      <c r="B439" s="6"/>
      <c r="C439" s="6"/>
      <c r="D439" s="6"/>
      <c r="E439" s="6"/>
      <c r="F439" s="6"/>
      <c r="G439" s="6"/>
      <c r="H439" s="6"/>
      <c r="I439" s="6"/>
      <c r="J439" s="6"/>
      <c r="K439" s="6"/>
      <c r="L439" s="6"/>
      <c r="M439" s="6"/>
      <c r="N439" s="6"/>
    </row>
    <row r="440">
      <c r="A440" s="6"/>
      <c r="B440" s="6"/>
      <c r="C440" s="6"/>
      <c r="D440" s="6"/>
      <c r="E440" s="6"/>
      <c r="F440" s="6"/>
      <c r="G440" s="6"/>
      <c r="H440" s="6"/>
      <c r="I440" s="6"/>
      <c r="J440" s="6"/>
      <c r="K440" s="6"/>
      <c r="L440" s="6"/>
      <c r="M440" s="6"/>
      <c r="N440" s="6"/>
    </row>
    <row r="441">
      <c r="A441" s="6"/>
      <c r="B441" s="6"/>
      <c r="C441" s="6"/>
      <c r="D441" s="6"/>
      <c r="E441" s="6"/>
      <c r="F441" s="6"/>
      <c r="G441" s="6"/>
      <c r="H441" s="6"/>
      <c r="I441" s="6"/>
      <c r="J441" s="6"/>
      <c r="K441" s="6"/>
      <c r="L441" s="6"/>
      <c r="M441" s="6"/>
      <c r="N441" s="6"/>
    </row>
    <row r="442">
      <c r="A442" s="6"/>
      <c r="B442" s="6"/>
      <c r="C442" s="6"/>
      <c r="D442" s="6"/>
      <c r="E442" s="6"/>
      <c r="F442" s="6"/>
      <c r="G442" s="6"/>
      <c r="H442" s="6"/>
      <c r="I442" s="6"/>
      <c r="J442" s="6"/>
      <c r="K442" s="6"/>
      <c r="L442" s="6"/>
      <c r="M442" s="6"/>
      <c r="N442" s="6"/>
    </row>
    <row r="443">
      <c r="A443" s="6"/>
      <c r="B443" s="6"/>
      <c r="C443" s="6"/>
      <c r="D443" s="6"/>
      <c r="E443" s="6"/>
      <c r="F443" s="6"/>
      <c r="G443" s="6"/>
      <c r="H443" s="6"/>
      <c r="I443" s="6"/>
      <c r="J443" s="6"/>
      <c r="K443" s="6"/>
      <c r="L443" s="6"/>
      <c r="M443" s="6"/>
      <c r="N443" s="6"/>
    </row>
    <row r="444">
      <c r="A444" s="6"/>
      <c r="B444" s="6"/>
      <c r="C444" s="6"/>
      <c r="D444" s="6"/>
      <c r="E444" s="6"/>
      <c r="F444" s="6"/>
      <c r="G444" s="6"/>
      <c r="H444" s="6"/>
      <c r="I444" s="6"/>
      <c r="J444" s="6"/>
      <c r="K444" s="6"/>
      <c r="L444" s="6"/>
      <c r="M444" s="6"/>
      <c r="N444" s="6"/>
    </row>
    <row r="445">
      <c r="A445" s="6"/>
      <c r="B445" s="6"/>
      <c r="C445" s="6"/>
      <c r="D445" s="6"/>
      <c r="E445" s="6"/>
      <c r="F445" s="6"/>
      <c r="G445" s="6"/>
      <c r="H445" s="6"/>
      <c r="I445" s="6"/>
      <c r="J445" s="6"/>
      <c r="K445" s="6"/>
      <c r="L445" s="6"/>
      <c r="M445" s="6"/>
      <c r="N445" s="6"/>
    </row>
    <row r="446">
      <c r="A446" s="6"/>
      <c r="B446" s="6"/>
      <c r="C446" s="6"/>
      <c r="D446" s="6"/>
      <c r="E446" s="6"/>
      <c r="F446" s="6"/>
      <c r="G446" s="6"/>
      <c r="H446" s="6"/>
      <c r="I446" s="6"/>
      <c r="J446" s="6"/>
      <c r="K446" s="6"/>
      <c r="L446" s="6"/>
      <c r="M446" s="6"/>
      <c r="N446" s="6"/>
    </row>
    <row r="447">
      <c r="A447" s="6"/>
      <c r="B447" s="6"/>
      <c r="C447" s="6"/>
      <c r="D447" s="6"/>
      <c r="E447" s="6"/>
      <c r="F447" s="6"/>
      <c r="G447" s="6"/>
      <c r="H447" s="6"/>
      <c r="I447" s="6"/>
      <c r="J447" s="6"/>
      <c r="K447" s="6"/>
      <c r="L447" s="6"/>
      <c r="M447" s="6"/>
      <c r="N447" s="6"/>
    </row>
    <row r="448">
      <c r="A448" s="6"/>
      <c r="B448" s="6"/>
      <c r="C448" s="6"/>
      <c r="D448" s="6"/>
      <c r="E448" s="6"/>
      <c r="F448" s="6"/>
      <c r="G448" s="6"/>
      <c r="H448" s="6"/>
      <c r="I448" s="6"/>
      <c r="J448" s="6"/>
      <c r="K448" s="6"/>
      <c r="L448" s="6"/>
      <c r="M448" s="6"/>
      <c r="N448" s="6"/>
    </row>
    <row r="449">
      <c r="A449" s="6"/>
      <c r="B449" s="6"/>
      <c r="C449" s="6"/>
      <c r="D449" s="6"/>
      <c r="E449" s="6"/>
      <c r="F449" s="6"/>
      <c r="G449" s="6"/>
      <c r="H449" s="6"/>
      <c r="I449" s="6"/>
      <c r="J449" s="6"/>
      <c r="K449" s="6"/>
      <c r="L449" s="6"/>
      <c r="M449" s="6"/>
      <c r="N449" s="6"/>
    </row>
    <row r="450">
      <c r="A450" s="6"/>
      <c r="B450" s="6"/>
      <c r="C450" s="6"/>
      <c r="D450" s="6"/>
      <c r="E450" s="6"/>
      <c r="F450" s="6"/>
      <c r="G450" s="6"/>
      <c r="H450" s="6"/>
      <c r="I450" s="6"/>
      <c r="J450" s="6"/>
      <c r="K450" s="6"/>
      <c r="L450" s="6"/>
      <c r="M450" s="6"/>
      <c r="N450" s="6"/>
    </row>
    <row r="451">
      <c r="A451" s="6"/>
      <c r="B451" s="6"/>
      <c r="C451" s="6"/>
      <c r="D451" s="6"/>
      <c r="E451" s="6"/>
      <c r="F451" s="6"/>
      <c r="G451" s="6"/>
      <c r="H451" s="6"/>
      <c r="I451" s="6"/>
      <c r="J451" s="6"/>
      <c r="K451" s="6"/>
      <c r="L451" s="6"/>
      <c r="M451" s="6"/>
      <c r="N451" s="6"/>
    </row>
    <row r="452">
      <c r="A452" s="6"/>
      <c r="B452" s="6"/>
      <c r="C452" s="6"/>
      <c r="D452" s="6"/>
      <c r="E452" s="6"/>
      <c r="F452" s="6"/>
      <c r="G452" s="6"/>
      <c r="H452" s="6"/>
      <c r="I452" s="6"/>
      <c r="J452" s="6"/>
      <c r="K452" s="6"/>
      <c r="L452" s="6"/>
      <c r="M452" s="6"/>
      <c r="N452" s="6"/>
    </row>
    <row r="453">
      <c r="A453" s="6"/>
      <c r="B453" s="6"/>
      <c r="C453" s="6"/>
      <c r="D453" s="6"/>
      <c r="E453" s="6"/>
      <c r="F453" s="6"/>
      <c r="G453" s="6"/>
      <c r="H453" s="6"/>
      <c r="I453" s="6"/>
      <c r="J453" s="6"/>
      <c r="K453" s="6"/>
      <c r="L453" s="6"/>
      <c r="M453" s="6"/>
      <c r="N453" s="6"/>
    </row>
    <row r="454">
      <c r="A454" s="6"/>
      <c r="B454" s="6"/>
      <c r="C454" s="6"/>
      <c r="D454" s="6"/>
      <c r="E454" s="6"/>
      <c r="F454" s="6"/>
      <c r="G454" s="6"/>
      <c r="H454" s="6"/>
      <c r="I454" s="6"/>
      <c r="J454" s="6"/>
      <c r="K454" s="6"/>
      <c r="L454" s="6"/>
      <c r="M454" s="6"/>
      <c r="N454" s="6"/>
    </row>
    <row r="455">
      <c r="A455" s="6"/>
      <c r="B455" s="6"/>
      <c r="C455" s="6"/>
      <c r="D455" s="6"/>
      <c r="E455" s="6"/>
      <c r="F455" s="6"/>
      <c r="G455" s="6"/>
      <c r="H455" s="6"/>
      <c r="I455" s="6"/>
      <c r="J455" s="6"/>
      <c r="K455" s="6"/>
      <c r="L455" s="6"/>
      <c r="M455" s="6"/>
      <c r="N455" s="6"/>
    </row>
    <row r="456">
      <c r="A456" s="6"/>
      <c r="B456" s="6"/>
      <c r="C456" s="6"/>
      <c r="D456" s="6"/>
      <c r="E456" s="6"/>
      <c r="F456" s="6"/>
      <c r="G456" s="6"/>
      <c r="H456" s="6"/>
      <c r="I456" s="6"/>
      <c r="J456" s="6"/>
      <c r="K456" s="6"/>
      <c r="L456" s="6"/>
      <c r="M456" s="6"/>
      <c r="N456" s="6"/>
    </row>
    <row r="457">
      <c r="A457" s="6"/>
      <c r="B457" s="6"/>
      <c r="C457" s="6"/>
      <c r="D457" s="6"/>
      <c r="E457" s="6"/>
      <c r="F457" s="6"/>
      <c r="G457" s="6"/>
      <c r="H457" s="6"/>
      <c r="I457" s="6"/>
      <c r="J457" s="6"/>
      <c r="K457" s="6"/>
      <c r="L457" s="6"/>
      <c r="M457" s="6"/>
      <c r="N457" s="6"/>
    </row>
    <row r="458">
      <c r="A458" s="6"/>
      <c r="B458" s="6"/>
      <c r="C458" s="6"/>
      <c r="D458" s="6"/>
      <c r="E458" s="6"/>
      <c r="F458" s="6"/>
      <c r="G458" s="6"/>
      <c r="H458" s="6"/>
      <c r="I458" s="6"/>
      <c r="J458" s="6"/>
      <c r="K458" s="6"/>
      <c r="L458" s="6"/>
      <c r="M458" s="6"/>
      <c r="N458" s="6"/>
    </row>
    <row r="459">
      <c r="A459" s="6"/>
      <c r="B459" s="6"/>
      <c r="C459" s="6"/>
      <c r="D459" s="6"/>
      <c r="E459" s="6"/>
      <c r="F459" s="6"/>
      <c r="G459" s="6"/>
      <c r="H459" s="6"/>
      <c r="I459" s="6"/>
      <c r="J459" s="6"/>
      <c r="K459" s="6"/>
      <c r="L459" s="6"/>
      <c r="M459" s="6"/>
      <c r="N459" s="6"/>
    </row>
    <row r="460">
      <c r="A460" s="6"/>
      <c r="B460" s="6"/>
      <c r="C460" s="6"/>
      <c r="D460" s="6"/>
      <c r="E460" s="6"/>
      <c r="F460" s="6"/>
      <c r="G460" s="6"/>
      <c r="H460" s="6"/>
      <c r="I460" s="6"/>
      <c r="J460" s="6"/>
      <c r="K460" s="6"/>
      <c r="L460" s="6"/>
      <c r="M460" s="6"/>
      <c r="N460" s="6"/>
    </row>
    <row r="461">
      <c r="A461" s="6"/>
      <c r="B461" s="6"/>
      <c r="C461" s="6"/>
      <c r="D461" s="6"/>
      <c r="E461" s="6"/>
      <c r="F461" s="6"/>
      <c r="G461" s="6"/>
      <c r="H461" s="6"/>
      <c r="I461" s="6"/>
      <c r="J461" s="6"/>
      <c r="K461" s="6"/>
      <c r="L461" s="6"/>
      <c r="M461" s="6"/>
      <c r="N461" s="6"/>
    </row>
    <row r="462">
      <c r="A462" s="6"/>
      <c r="B462" s="6"/>
      <c r="C462" s="6"/>
      <c r="D462" s="6"/>
      <c r="E462" s="6"/>
      <c r="F462" s="6"/>
      <c r="G462" s="6"/>
      <c r="H462" s="6"/>
      <c r="I462" s="6"/>
      <c r="J462" s="6"/>
      <c r="K462" s="6"/>
      <c r="L462" s="6"/>
      <c r="M462" s="6"/>
      <c r="N462" s="6"/>
    </row>
    <row r="463">
      <c r="A463" s="6"/>
      <c r="B463" s="6"/>
      <c r="C463" s="6"/>
      <c r="D463" s="6"/>
      <c r="E463" s="6"/>
      <c r="F463" s="6"/>
      <c r="G463" s="6"/>
      <c r="H463" s="6"/>
      <c r="I463" s="6"/>
      <c r="J463" s="6"/>
      <c r="K463" s="6"/>
      <c r="L463" s="6"/>
      <c r="M463" s="6"/>
      <c r="N463" s="6"/>
    </row>
    <row r="464">
      <c r="A464" s="6"/>
      <c r="B464" s="6"/>
      <c r="C464" s="6"/>
      <c r="D464" s="6"/>
      <c r="E464" s="6"/>
      <c r="F464" s="6"/>
      <c r="G464" s="6"/>
      <c r="H464" s="6"/>
      <c r="I464" s="6"/>
      <c r="J464" s="6"/>
      <c r="K464" s="6"/>
      <c r="L464" s="6"/>
      <c r="M464" s="6"/>
      <c r="N464" s="6"/>
    </row>
    <row r="465">
      <c r="A465" s="6"/>
      <c r="B465" s="6"/>
      <c r="C465" s="6"/>
      <c r="D465" s="6"/>
      <c r="E465" s="6"/>
      <c r="F465" s="6"/>
      <c r="G465" s="6"/>
      <c r="H465" s="6"/>
      <c r="I465" s="6"/>
      <c r="J465" s="6"/>
      <c r="K465" s="6"/>
      <c r="L465" s="6"/>
      <c r="M465" s="6"/>
      <c r="N465" s="6"/>
    </row>
    <row r="466">
      <c r="A466" s="6"/>
      <c r="B466" s="6"/>
      <c r="C466" s="6"/>
      <c r="D466" s="6"/>
      <c r="E466" s="6"/>
      <c r="F466" s="6"/>
      <c r="G466" s="6"/>
      <c r="H466" s="6"/>
      <c r="I466" s="6"/>
      <c r="J466" s="6"/>
      <c r="K466" s="6"/>
      <c r="L466" s="6"/>
      <c r="M466" s="6"/>
      <c r="N466" s="6"/>
    </row>
    <row r="467">
      <c r="A467" s="6"/>
      <c r="B467" s="6"/>
      <c r="C467" s="6"/>
      <c r="D467" s="6"/>
      <c r="E467" s="6"/>
      <c r="F467" s="6"/>
      <c r="G467" s="6"/>
      <c r="H467" s="6"/>
      <c r="I467" s="6"/>
      <c r="J467" s="6"/>
      <c r="K467" s="6"/>
      <c r="L467" s="6"/>
      <c r="M467" s="6"/>
      <c r="N467" s="6"/>
    </row>
    <row r="468">
      <c r="A468" s="6"/>
      <c r="B468" s="6"/>
      <c r="C468" s="6"/>
      <c r="D468" s="6"/>
      <c r="E468" s="6"/>
      <c r="F468" s="6"/>
      <c r="G468" s="6"/>
      <c r="H468" s="6"/>
      <c r="I468" s="6"/>
      <c r="J468" s="6"/>
      <c r="K468" s="6"/>
      <c r="L468" s="6"/>
      <c r="M468" s="6"/>
      <c r="N468" s="6"/>
    </row>
    <row r="469">
      <c r="A469" s="6"/>
      <c r="B469" s="6"/>
      <c r="C469" s="6"/>
      <c r="D469" s="6"/>
      <c r="E469" s="6"/>
      <c r="F469" s="6"/>
      <c r="G469" s="6"/>
      <c r="H469" s="6"/>
      <c r="I469" s="6"/>
      <c r="J469" s="6"/>
      <c r="K469" s="6"/>
      <c r="L469" s="6"/>
      <c r="M469" s="6"/>
      <c r="N469" s="6"/>
    </row>
    <row r="470">
      <c r="A470" s="6"/>
      <c r="B470" s="6"/>
      <c r="C470" s="6"/>
      <c r="D470" s="6"/>
      <c r="E470" s="6"/>
      <c r="F470" s="6"/>
      <c r="G470" s="6"/>
      <c r="H470" s="6"/>
      <c r="I470" s="6"/>
      <c r="J470" s="6"/>
      <c r="K470" s="6"/>
      <c r="L470" s="6"/>
      <c r="M470" s="6"/>
      <c r="N470" s="6"/>
    </row>
    <row r="471">
      <c r="A471" s="6"/>
      <c r="B471" s="6"/>
      <c r="C471" s="6"/>
      <c r="D471" s="6"/>
      <c r="E471" s="6"/>
      <c r="F471" s="6"/>
      <c r="G471" s="6"/>
      <c r="H471" s="6"/>
      <c r="I471" s="6"/>
      <c r="J471" s="6"/>
      <c r="K471" s="6"/>
      <c r="L471" s="6"/>
      <c r="M471" s="6"/>
      <c r="N471" s="6"/>
    </row>
    <row r="472">
      <c r="A472" s="6"/>
      <c r="B472" s="6"/>
      <c r="C472" s="6"/>
      <c r="D472" s="6"/>
      <c r="E472" s="6"/>
      <c r="F472" s="6"/>
      <c r="G472" s="6"/>
      <c r="H472" s="6"/>
      <c r="I472" s="6"/>
      <c r="J472" s="6"/>
      <c r="K472" s="6"/>
      <c r="L472" s="6"/>
      <c r="M472" s="6"/>
      <c r="N472" s="6"/>
    </row>
    <row r="473">
      <c r="A473" s="6"/>
      <c r="B473" s="6"/>
      <c r="C473" s="6"/>
      <c r="D473" s="6"/>
      <c r="E473" s="6"/>
      <c r="F473" s="6"/>
      <c r="G473" s="6"/>
      <c r="H473" s="6"/>
      <c r="I473" s="6"/>
      <c r="J473" s="6"/>
      <c r="K473" s="6"/>
      <c r="L473" s="6"/>
      <c r="M473" s="6"/>
      <c r="N473" s="6"/>
    </row>
    <row r="474">
      <c r="A474" s="6"/>
      <c r="B474" s="6"/>
      <c r="C474" s="6"/>
      <c r="D474" s="6"/>
      <c r="E474" s="6"/>
      <c r="F474" s="6"/>
      <c r="G474" s="6"/>
      <c r="H474" s="6"/>
      <c r="I474" s="6"/>
      <c r="J474" s="6"/>
      <c r="K474" s="6"/>
      <c r="L474" s="6"/>
      <c r="M474" s="6"/>
      <c r="N474" s="6"/>
    </row>
    <row r="475">
      <c r="A475" s="6"/>
      <c r="B475" s="6"/>
      <c r="C475" s="6"/>
      <c r="D475" s="6"/>
      <c r="E475" s="6"/>
      <c r="F475" s="6"/>
      <c r="G475" s="6"/>
      <c r="H475" s="6"/>
      <c r="I475" s="6"/>
      <c r="J475" s="6"/>
      <c r="K475" s="6"/>
      <c r="L475" s="6"/>
      <c r="M475" s="6"/>
      <c r="N475" s="6"/>
    </row>
    <row r="476">
      <c r="A476" s="6"/>
      <c r="B476" s="6"/>
      <c r="C476" s="6"/>
      <c r="D476" s="6"/>
      <c r="E476" s="6"/>
      <c r="F476" s="6"/>
      <c r="G476" s="6"/>
      <c r="H476" s="6"/>
      <c r="I476" s="6"/>
      <c r="J476" s="6"/>
      <c r="K476" s="6"/>
      <c r="L476" s="6"/>
      <c r="M476" s="6"/>
      <c r="N476" s="6"/>
    </row>
    <row r="477">
      <c r="A477" s="6"/>
      <c r="B477" s="6"/>
      <c r="C477" s="6"/>
      <c r="D477" s="6"/>
      <c r="E477" s="6"/>
      <c r="F477" s="6"/>
      <c r="G477" s="6"/>
      <c r="H477" s="6"/>
      <c r="I477" s="6"/>
      <c r="J477" s="6"/>
      <c r="K477" s="6"/>
      <c r="L477" s="6"/>
      <c r="M477" s="6"/>
      <c r="N477" s="6"/>
    </row>
    <row r="478">
      <c r="A478" s="6"/>
      <c r="B478" s="6"/>
      <c r="C478" s="6"/>
      <c r="D478" s="6"/>
      <c r="E478" s="6"/>
      <c r="F478" s="6"/>
      <c r="G478" s="6"/>
      <c r="H478" s="6"/>
      <c r="I478" s="6"/>
      <c r="J478" s="6"/>
      <c r="K478" s="6"/>
      <c r="L478" s="6"/>
      <c r="M478" s="6"/>
      <c r="N478" s="6"/>
    </row>
    <row r="479">
      <c r="A479" s="6"/>
      <c r="B479" s="6"/>
      <c r="C479" s="6"/>
      <c r="D479" s="6"/>
      <c r="E479" s="6"/>
      <c r="F479" s="6"/>
      <c r="G479" s="6"/>
      <c r="H479" s="6"/>
      <c r="I479" s="6"/>
      <c r="J479" s="6"/>
      <c r="K479" s="6"/>
      <c r="L479" s="6"/>
      <c r="M479" s="6"/>
      <c r="N479" s="6"/>
    </row>
    <row r="480">
      <c r="A480" s="6"/>
      <c r="B480" s="6"/>
      <c r="C480" s="6"/>
      <c r="D480" s="6"/>
      <c r="E480" s="6"/>
      <c r="F480" s="6"/>
      <c r="G480" s="6"/>
      <c r="H480" s="6"/>
      <c r="I480" s="6"/>
      <c r="J480" s="6"/>
      <c r="K480" s="6"/>
      <c r="L480" s="6"/>
      <c r="M480" s="6"/>
      <c r="N480" s="6"/>
    </row>
    <row r="481">
      <c r="A481" s="6"/>
      <c r="B481" s="6"/>
      <c r="C481" s="6"/>
      <c r="D481" s="6"/>
      <c r="E481" s="6"/>
      <c r="F481" s="6"/>
      <c r="G481" s="6"/>
      <c r="H481" s="6"/>
      <c r="I481" s="6"/>
      <c r="J481" s="6"/>
      <c r="K481" s="6"/>
      <c r="L481" s="6"/>
      <c r="M481" s="6"/>
      <c r="N481" s="6"/>
    </row>
    <row r="482">
      <c r="A482" s="6"/>
      <c r="B482" s="6"/>
      <c r="C482" s="6"/>
      <c r="D482" s="6"/>
      <c r="E482" s="6"/>
      <c r="F482" s="6"/>
      <c r="G482" s="6"/>
      <c r="H482" s="6"/>
      <c r="I482" s="6"/>
      <c r="J482" s="6"/>
      <c r="K482" s="6"/>
      <c r="L482" s="6"/>
      <c r="M482" s="6"/>
      <c r="N482" s="6"/>
    </row>
    <row r="483">
      <c r="A483" s="6"/>
      <c r="B483" s="6"/>
      <c r="C483" s="6"/>
      <c r="D483" s="6"/>
      <c r="E483" s="6"/>
      <c r="F483" s="6"/>
      <c r="G483" s="6"/>
      <c r="H483" s="6"/>
      <c r="I483" s="6"/>
      <c r="J483" s="6"/>
      <c r="K483" s="6"/>
      <c r="L483" s="6"/>
      <c r="M483" s="6"/>
      <c r="N483" s="6"/>
    </row>
    <row r="484">
      <c r="A484" s="6"/>
      <c r="B484" s="6"/>
      <c r="C484" s="6"/>
      <c r="D484" s="6"/>
      <c r="E484" s="6"/>
      <c r="F484" s="6"/>
      <c r="G484" s="6"/>
      <c r="H484" s="6"/>
      <c r="I484" s="6"/>
      <c r="J484" s="6"/>
      <c r="K484" s="6"/>
      <c r="L484" s="6"/>
      <c r="M484" s="6"/>
      <c r="N484" s="6"/>
    </row>
    <row r="485">
      <c r="A485" s="6"/>
      <c r="B485" s="6"/>
      <c r="C485" s="6"/>
      <c r="D485" s="6"/>
      <c r="E485" s="6"/>
      <c r="F485" s="6"/>
      <c r="G485" s="6"/>
      <c r="H485" s="6"/>
      <c r="I485" s="6"/>
      <c r="J485" s="6"/>
      <c r="K485" s="6"/>
      <c r="L485" s="6"/>
      <c r="M485" s="6"/>
      <c r="N485" s="6"/>
    </row>
    <row r="486">
      <c r="A486" s="6"/>
      <c r="B486" s="6"/>
      <c r="C486" s="6"/>
      <c r="D486" s="6"/>
      <c r="E486" s="6"/>
      <c r="F486" s="6"/>
      <c r="G486" s="6"/>
      <c r="H486" s="6"/>
      <c r="I486" s="6"/>
      <c r="J486" s="6"/>
      <c r="K486" s="6"/>
      <c r="L486" s="6"/>
      <c r="M486" s="6"/>
      <c r="N486" s="6"/>
    </row>
    <row r="487">
      <c r="A487" s="6"/>
      <c r="B487" s="6"/>
      <c r="C487" s="6"/>
      <c r="D487" s="6"/>
      <c r="E487" s="6"/>
      <c r="F487" s="6"/>
      <c r="G487" s="6"/>
      <c r="H487" s="6"/>
      <c r="I487" s="6"/>
      <c r="J487" s="6"/>
      <c r="K487" s="6"/>
      <c r="L487" s="6"/>
      <c r="M487" s="6"/>
      <c r="N487" s="6"/>
    </row>
    <row r="488">
      <c r="A488" s="6"/>
      <c r="B488" s="6"/>
      <c r="C488" s="6"/>
      <c r="D488" s="6"/>
      <c r="E488" s="6"/>
      <c r="F488" s="6"/>
      <c r="G488" s="6"/>
      <c r="H488" s="6"/>
      <c r="I488" s="6"/>
      <c r="J488" s="6"/>
      <c r="K488" s="6"/>
      <c r="L488" s="6"/>
      <c r="M488" s="6"/>
      <c r="N488" s="6"/>
    </row>
    <row r="489">
      <c r="A489" s="6"/>
      <c r="B489" s="6"/>
      <c r="C489" s="6"/>
      <c r="D489" s="6"/>
      <c r="E489" s="6"/>
      <c r="F489" s="6"/>
      <c r="G489" s="6"/>
      <c r="H489" s="6"/>
      <c r="I489" s="6"/>
      <c r="J489" s="6"/>
      <c r="K489" s="6"/>
      <c r="L489" s="6"/>
      <c r="M489" s="6"/>
      <c r="N489" s="6"/>
    </row>
    <row r="490">
      <c r="A490" s="6"/>
      <c r="B490" s="6"/>
      <c r="C490" s="6"/>
      <c r="D490" s="6"/>
      <c r="E490" s="6"/>
      <c r="F490" s="6"/>
      <c r="G490" s="6"/>
      <c r="H490" s="6"/>
      <c r="I490" s="6"/>
      <c r="J490" s="6"/>
      <c r="K490" s="6"/>
      <c r="L490" s="6"/>
      <c r="M490" s="6"/>
      <c r="N490" s="6"/>
    </row>
    <row r="491">
      <c r="A491" s="6"/>
      <c r="B491" s="6"/>
      <c r="C491" s="6"/>
      <c r="D491" s="6"/>
      <c r="E491" s="6"/>
      <c r="F491" s="6"/>
      <c r="G491" s="6"/>
      <c r="H491" s="6"/>
      <c r="I491" s="6"/>
      <c r="J491" s="6"/>
      <c r="K491" s="6"/>
      <c r="L491" s="6"/>
      <c r="M491" s="6"/>
      <c r="N491" s="6"/>
    </row>
    <row r="492">
      <c r="A492" s="6"/>
      <c r="B492" s="6"/>
      <c r="C492" s="6"/>
      <c r="D492" s="6"/>
      <c r="E492" s="6"/>
      <c r="F492" s="6"/>
      <c r="G492" s="6"/>
      <c r="H492" s="6"/>
      <c r="I492" s="6"/>
      <c r="J492" s="6"/>
      <c r="K492" s="6"/>
      <c r="L492" s="6"/>
      <c r="M492" s="6"/>
      <c r="N492" s="6"/>
    </row>
    <row r="493">
      <c r="A493" s="6"/>
      <c r="B493" s="6"/>
      <c r="C493" s="6"/>
      <c r="D493" s="6"/>
      <c r="E493" s="6"/>
      <c r="F493" s="6"/>
      <c r="G493" s="6"/>
      <c r="H493" s="6"/>
      <c r="I493" s="6"/>
      <c r="J493" s="6"/>
      <c r="K493" s="6"/>
      <c r="L493" s="6"/>
      <c r="M493" s="6"/>
      <c r="N493" s="6"/>
    </row>
    <row r="494">
      <c r="A494" s="6"/>
      <c r="B494" s="6"/>
      <c r="C494" s="6"/>
      <c r="D494" s="6"/>
      <c r="E494" s="6"/>
      <c r="F494" s="6"/>
      <c r="G494" s="6"/>
      <c r="H494" s="6"/>
      <c r="I494" s="6"/>
      <c r="J494" s="6"/>
      <c r="K494" s="6"/>
      <c r="L494" s="6"/>
      <c r="M494" s="6"/>
      <c r="N494" s="6"/>
    </row>
    <row r="495">
      <c r="A495" s="6"/>
      <c r="B495" s="6"/>
      <c r="C495" s="6"/>
      <c r="D495" s="6"/>
      <c r="E495" s="6"/>
      <c r="F495" s="6"/>
      <c r="G495" s="6"/>
      <c r="H495" s="6"/>
      <c r="I495" s="6"/>
      <c r="J495" s="6"/>
      <c r="K495" s="6"/>
      <c r="L495" s="6"/>
      <c r="M495" s="6"/>
      <c r="N495" s="6"/>
    </row>
    <row r="496">
      <c r="A496" s="6"/>
      <c r="B496" s="6"/>
      <c r="C496" s="6"/>
      <c r="D496" s="6"/>
      <c r="E496" s="6"/>
      <c r="F496" s="6"/>
      <c r="G496" s="6"/>
      <c r="H496" s="6"/>
      <c r="I496" s="6"/>
      <c r="J496" s="6"/>
      <c r="K496" s="6"/>
      <c r="L496" s="6"/>
      <c r="M496" s="6"/>
      <c r="N496" s="6"/>
    </row>
    <row r="497">
      <c r="A497" s="6"/>
      <c r="B497" s="6"/>
      <c r="C497" s="6"/>
      <c r="D497" s="6"/>
      <c r="E497" s="6"/>
      <c r="F497" s="6"/>
      <c r="G497" s="6"/>
      <c r="H497" s="6"/>
      <c r="I497" s="6"/>
      <c r="J497" s="6"/>
      <c r="K497" s="6"/>
      <c r="L497" s="6"/>
      <c r="M497" s="6"/>
      <c r="N497" s="6"/>
    </row>
    <row r="498">
      <c r="A498" s="6"/>
      <c r="B498" s="6"/>
      <c r="C498" s="6"/>
      <c r="D498" s="6"/>
      <c r="E498" s="6"/>
      <c r="F498" s="6"/>
      <c r="G498" s="6"/>
      <c r="H498" s="6"/>
      <c r="I498" s="6"/>
      <c r="J498" s="6"/>
      <c r="K498" s="6"/>
      <c r="L498" s="6"/>
      <c r="M498" s="6"/>
      <c r="N498" s="6"/>
    </row>
    <row r="499">
      <c r="A499" s="6"/>
      <c r="B499" s="6"/>
      <c r="C499" s="6"/>
      <c r="D499" s="6"/>
      <c r="E499" s="6"/>
      <c r="F499" s="6"/>
      <c r="G499" s="6"/>
      <c r="H499" s="6"/>
      <c r="I499" s="6"/>
      <c r="J499" s="6"/>
      <c r="K499" s="6"/>
      <c r="L499" s="6"/>
      <c r="M499" s="6"/>
      <c r="N499" s="6"/>
    </row>
    <row r="500">
      <c r="A500" s="6"/>
      <c r="B500" s="6"/>
      <c r="C500" s="6"/>
      <c r="D500" s="6"/>
      <c r="E500" s="6"/>
      <c r="F500" s="6"/>
      <c r="G500" s="6"/>
      <c r="H500" s="6"/>
      <c r="I500" s="6"/>
      <c r="J500" s="6"/>
      <c r="K500" s="6"/>
      <c r="L500" s="6"/>
      <c r="M500" s="6"/>
      <c r="N500" s="6"/>
    </row>
    <row r="501">
      <c r="A501" s="6"/>
      <c r="B501" s="6"/>
      <c r="C501" s="6"/>
      <c r="D501" s="6"/>
      <c r="E501" s="6"/>
      <c r="F501" s="6"/>
      <c r="G501" s="6"/>
      <c r="H501" s="6"/>
      <c r="I501" s="6"/>
      <c r="J501" s="6"/>
      <c r="K501" s="6"/>
      <c r="L501" s="6"/>
      <c r="M501" s="6"/>
      <c r="N501" s="6"/>
    </row>
    <row r="502">
      <c r="A502" s="6"/>
      <c r="B502" s="6"/>
      <c r="C502" s="6"/>
      <c r="D502" s="6"/>
      <c r="E502" s="6"/>
      <c r="F502" s="6"/>
      <c r="G502" s="6"/>
      <c r="H502" s="6"/>
      <c r="I502" s="6"/>
      <c r="J502" s="6"/>
      <c r="K502" s="6"/>
      <c r="L502" s="6"/>
      <c r="M502" s="6"/>
      <c r="N502" s="6"/>
    </row>
    <row r="503">
      <c r="A503" s="6"/>
      <c r="B503" s="6"/>
      <c r="C503" s="6"/>
      <c r="D503" s="6"/>
      <c r="E503" s="6"/>
      <c r="F503" s="6"/>
      <c r="G503" s="6"/>
      <c r="H503" s="6"/>
      <c r="I503" s="6"/>
      <c r="J503" s="6"/>
      <c r="K503" s="6"/>
      <c r="L503" s="6"/>
      <c r="M503" s="6"/>
      <c r="N503" s="6"/>
    </row>
    <row r="504">
      <c r="A504" s="6"/>
      <c r="B504" s="6"/>
      <c r="C504" s="6"/>
      <c r="D504" s="6"/>
      <c r="E504" s="6"/>
      <c r="F504" s="6"/>
      <c r="G504" s="6"/>
      <c r="H504" s="6"/>
      <c r="I504" s="6"/>
      <c r="J504" s="6"/>
      <c r="K504" s="6"/>
      <c r="L504" s="6"/>
      <c r="M504" s="6"/>
      <c r="N504" s="6"/>
    </row>
    <row r="505">
      <c r="A505" s="6"/>
      <c r="B505" s="6"/>
      <c r="C505" s="6"/>
      <c r="D505" s="6"/>
      <c r="E505" s="6"/>
      <c r="F505" s="6"/>
      <c r="G505" s="6"/>
      <c r="H505" s="6"/>
      <c r="I505" s="6"/>
      <c r="J505" s="6"/>
      <c r="K505" s="6"/>
      <c r="L505" s="6"/>
      <c r="M505" s="6"/>
      <c r="N505" s="6"/>
    </row>
    <row r="506">
      <c r="A506" s="6"/>
      <c r="B506" s="6"/>
      <c r="C506" s="6"/>
      <c r="D506" s="6"/>
      <c r="E506" s="6"/>
      <c r="F506" s="6"/>
      <c r="G506" s="6"/>
      <c r="H506" s="6"/>
      <c r="I506" s="6"/>
      <c r="J506" s="6"/>
      <c r="K506" s="6"/>
      <c r="L506" s="6"/>
      <c r="M506" s="6"/>
      <c r="N506" s="6"/>
    </row>
    <row r="507">
      <c r="A507" s="6"/>
      <c r="B507" s="6"/>
      <c r="C507" s="6"/>
      <c r="D507" s="6"/>
      <c r="E507" s="6"/>
      <c r="F507" s="6"/>
      <c r="G507" s="6"/>
      <c r="H507" s="6"/>
      <c r="I507" s="6"/>
      <c r="J507" s="6"/>
      <c r="K507" s="6"/>
      <c r="L507" s="6"/>
      <c r="M507" s="6"/>
      <c r="N507" s="6"/>
    </row>
    <row r="508">
      <c r="A508" s="6"/>
      <c r="B508" s="6"/>
      <c r="C508" s="6"/>
      <c r="D508" s="6"/>
      <c r="E508" s="6"/>
      <c r="F508" s="6"/>
      <c r="G508" s="6"/>
      <c r="H508" s="6"/>
      <c r="I508" s="6"/>
      <c r="J508" s="6"/>
      <c r="K508" s="6"/>
      <c r="L508" s="6"/>
      <c r="M508" s="6"/>
      <c r="N508" s="6"/>
    </row>
    <row r="509">
      <c r="A509" s="6"/>
      <c r="B509" s="6"/>
      <c r="C509" s="6"/>
      <c r="D509" s="6"/>
      <c r="E509" s="6"/>
      <c r="F509" s="6"/>
      <c r="G509" s="6"/>
      <c r="H509" s="6"/>
      <c r="I509" s="6"/>
      <c r="J509" s="6"/>
      <c r="K509" s="6"/>
      <c r="L509" s="6"/>
      <c r="M509" s="6"/>
      <c r="N509" s="6"/>
    </row>
    <row r="510">
      <c r="A510" s="6"/>
      <c r="B510" s="6"/>
      <c r="C510" s="6"/>
      <c r="D510" s="6"/>
      <c r="E510" s="6"/>
      <c r="F510" s="6"/>
      <c r="G510" s="6"/>
      <c r="H510" s="6"/>
      <c r="I510" s="6"/>
      <c r="J510" s="6"/>
      <c r="K510" s="6"/>
      <c r="L510" s="6"/>
      <c r="M510" s="6"/>
      <c r="N510" s="6"/>
    </row>
    <row r="511">
      <c r="A511" s="6"/>
      <c r="B511" s="6"/>
      <c r="C511" s="6"/>
      <c r="D511" s="6"/>
      <c r="E511" s="6"/>
      <c r="F511" s="6"/>
      <c r="G511" s="6"/>
      <c r="H511" s="6"/>
      <c r="I511" s="6"/>
      <c r="J511" s="6"/>
      <c r="K511" s="6"/>
      <c r="L511" s="6"/>
      <c r="M511" s="6"/>
      <c r="N511" s="6"/>
    </row>
    <row r="512">
      <c r="A512" s="6"/>
      <c r="B512" s="6"/>
      <c r="C512" s="6"/>
      <c r="D512" s="6"/>
      <c r="E512" s="6"/>
      <c r="F512" s="6"/>
      <c r="G512" s="6"/>
      <c r="H512" s="6"/>
      <c r="I512" s="6"/>
      <c r="J512" s="6"/>
      <c r="K512" s="6"/>
      <c r="L512" s="6"/>
      <c r="M512" s="6"/>
      <c r="N512" s="6"/>
    </row>
    <row r="513">
      <c r="A513" s="6"/>
      <c r="B513" s="6"/>
      <c r="C513" s="6"/>
      <c r="D513" s="6"/>
      <c r="E513" s="6"/>
      <c r="F513" s="6"/>
      <c r="G513" s="6"/>
      <c r="H513" s="6"/>
      <c r="I513" s="6"/>
      <c r="J513" s="6"/>
      <c r="K513" s="6"/>
      <c r="L513" s="6"/>
      <c r="M513" s="6"/>
      <c r="N513" s="6"/>
    </row>
    <row r="514">
      <c r="A514" s="6"/>
      <c r="B514" s="6"/>
      <c r="C514" s="6"/>
      <c r="D514" s="6"/>
      <c r="E514" s="6"/>
      <c r="F514" s="6"/>
      <c r="G514" s="6"/>
      <c r="H514" s="6"/>
      <c r="I514" s="6"/>
      <c r="J514" s="6"/>
      <c r="K514" s="6"/>
      <c r="L514" s="6"/>
      <c r="M514" s="6"/>
      <c r="N514" s="6"/>
    </row>
    <row r="515">
      <c r="A515" s="6"/>
      <c r="B515" s="6"/>
      <c r="C515" s="6"/>
      <c r="D515" s="6"/>
      <c r="E515" s="6"/>
      <c r="F515" s="6"/>
      <c r="G515" s="6"/>
      <c r="H515" s="6"/>
      <c r="I515" s="6"/>
      <c r="J515" s="6"/>
      <c r="K515" s="6"/>
      <c r="L515" s="6"/>
      <c r="M515" s="6"/>
      <c r="N515" s="6"/>
    </row>
    <row r="516">
      <c r="A516" s="6"/>
      <c r="B516" s="6"/>
      <c r="C516" s="6"/>
      <c r="D516" s="6"/>
      <c r="E516" s="6"/>
      <c r="F516" s="6"/>
      <c r="G516" s="6"/>
      <c r="H516" s="6"/>
      <c r="I516" s="6"/>
      <c r="J516" s="6"/>
      <c r="K516" s="6"/>
      <c r="L516" s="6"/>
      <c r="M516" s="6"/>
      <c r="N516" s="6"/>
    </row>
    <row r="517">
      <c r="A517" s="6"/>
      <c r="B517" s="6"/>
      <c r="C517" s="6"/>
      <c r="D517" s="6"/>
      <c r="E517" s="6"/>
      <c r="F517" s="6"/>
      <c r="G517" s="6"/>
      <c r="H517" s="6"/>
      <c r="I517" s="6"/>
      <c r="J517" s="6"/>
      <c r="K517" s="6"/>
      <c r="L517" s="6"/>
      <c r="M517" s="6"/>
      <c r="N517" s="6"/>
    </row>
    <row r="518">
      <c r="A518" s="6"/>
      <c r="B518" s="6"/>
      <c r="C518" s="6"/>
      <c r="D518" s="6"/>
      <c r="E518" s="6"/>
      <c r="F518" s="6"/>
      <c r="G518" s="6"/>
      <c r="H518" s="6"/>
      <c r="I518" s="6"/>
      <c r="J518" s="6"/>
      <c r="K518" s="6"/>
      <c r="L518" s="6"/>
      <c r="M518" s="6"/>
      <c r="N518" s="6"/>
    </row>
    <row r="519">
      <c r="A519" s="6"/>
      <c r="B519" s="6"/>
      <c r="C519" s="6"/>
      <c r="D519" s="6"/>
      <c r="E519" s="6"/>
      <c r="F519" s="6"/>
      <c r="G519" s="6"/>
      <c r="H519" s="6"/>
      <c r="I519" s="6"/>
      <c r="J519" s="6"/>
      <c r="K519" s="6"/>
      <c r="L519" s="6"/>
      <c r="M519" s="6"/>
      <c r="N519" s="6"/>
    </row>
    <row r="520">
      <c r="A520" s="6"/>
      <c r="B520" s="6"/>
      <c r="C520" s="6"/>
      <c r="D520" s="6"/>
      <c r="E520" s="6"/>
      <c r="F520" s="6"/>
      <c r="G520" s="6"/>
      <c r="H520" s="6"/>
      <c r="I520" s="6"/>
      <c r="J520" s="6"/>
      <c r="K520" s="6"/>
      <c r="L520" s="6"/>
      <c r="M520" s="6"/>
      <c r="N520" s="6"/>
    </row>
    <row r="521">
      <c r="A521" s="6"/>
      <c r="B521" s="6"/>
      <c r="C521" s="6"/>
      <c r="D521" s="6"/>
      <c r="E521" s="6"/>
      <c r="F521" s="6"/>
      <c r="G521" s="6"/>
      <c r="H521" s="6"/>
      <c r="I521" s="6"/>
      <c r="J521" s="6"/>
      <c r="K521" s="6"/>
      <c r="L521" s="6"/>
      <c r="M521" s="6"/>
      <c r="N521" s="6"/>
    </row>
    <row r="522">
      <c r="A522" s="6"/>
      <c r="B522" s="6"/>
      <c r="C522" s="6"/>
      <c r="D522" s="6"/>
      <c r="E522" s="6"/>
      <c r="F522" s="6"/>
      <c r="G522" s="6"/>
      <c r="H522" s="6"/>
      <c r="I522" s="6"/>
      <c r="J522" s="6"/>
      <c r="K522" s="6"/>
      <c r="L522" s="6"/>
      <c r="M522" s="6"/>
      <c r="N522" s="6"/>
    </row>
    <row r="523">
      <c r="A523" s="6"/>
      <c r="B523" s="6"/>
      <c r="C523" s="6"/>
      <c r="D523" s="6"/>
      <c r="E523" s="6"/>
      <c r="F523" s="6"/>
      <c r="G523" s="6"/>
      <c r="H523" s="6"/>
      <c r="I523" s="6"/>
      <c r="J523" s="6"/>
      <c r="K523" s="6"/>
      <c r="L523" s="6"/>
      <c r="M523" s="6"/>
      <c r="N523" s="6"/>
    </row>
    <row r="524">
      <c r="A524" s="6"/>
      <c r="B524" s="6"/>
      <c r="C524" s="6"/>
      <c r="D524" s="6"/>
      <c r="E524" s="6"/>
      <c r="F524" s="6"/>
      <c r="G524" s="6"/>
      <c r="H524" s="6"/>
      <c r="I524" s="6"/>
      <c r="J524" s="6"/>
      <c r="K524" s="6"/>
      <c r="L524" s="6"/>
      <c r="M524" s="6"/>
      <c r="N524" s="6"/>
    </row>
    <row r="525">
      <c r="A525" s="6"/>
      <c r="B525" s="6"/>
      <c r="C525" s="6"/>
      <c r="D525" s="6"/>
      <c r="E525" s="6"/>
      <c r="F525" s="6"/>
      <c r="G525" s="6"/>
      <c r="H525" s="6"/>
      <c r="I525" s="6"/>
      <c r="J525" s="6"/>
      <c r="K525" s="6"/>
      <c r="L525" s="6"/>
      <c r="M525" s="6"/>
      <c r="N525" s="6"/>
    </row>
    <row r="526">
      <c r="A526" s="6"/>
      <c r="B526" s="6"/>
      <c r="C526" s="6"/>
      <c r="D526" s="6"/>
      <c r="E526" s="6"/>
      <c r="F526" s="6"/>
      <c r="G526" s="6"/>
      <c r="H526" s="6"/>
      <c r="I526" s="6"/>
      <c r="J526" s="6"/>
      <c r="K526" s="6"/>
      <c r="L526" s="6"/>
      <c r="M526" s="6"/>
      <c r="N526" s="6"/>
    </row>
    <row r="527">
      <c r="A527" s="6"/>
      <c r="B527" s="6"/>
      <c r="C527" s="6"/>
      <c r="D527" s="6"/>
      <c r="E527" s="6"/>
      <c r="F527" s="6"/>
      <c r="G527" s="6"/>
      <c r="H527" s="6"/>
      <c r="I527" s="6"/>
      <c r="J527" s="6"/>
      <c r="K527" s="6"/>
      <c r="L527" s="6"/>
      <c r="M527" s="6"/>
      <c r="N527" s="6"/>
    </row>
    <row r="528">
      <c r="A528" s="6"/>
      <c r="B528" s="6"/>
      <c r="C528" s="6"/>
      <c r="D528" s="6"/>
      <c r="E528" s="6"/>
      <c r="F528" s="6"/>
      <c r="G528" s="6"/>
      <c r="H528" s="6"/>
      <c r="I528" s="6"/>
      <c r="J528" s="6"/>
      <c r="K528" s="6"/>
      <c r="L528" s="6"/>
      <c r="M528" s="6"/>
      <c r="N528" s="6"/>
    </row>
    <row r="529">
      <c r="A529" s="6"/>
      <c r="B529" s="6"/>
      <c r="C529" s="6"/>
      <c r="D529" s="6"/>
      <c r="E529" s="6"/>
      <c r="F529" s="6"/>
      <c r="G529" s="6"/>
      <c r="H529" s="6"/>
      <c r="I529" s="6"/>
      <c r="J529" s="6"/>
      <c r="K529" s="6"/>
      <c r="L529" s="6"/>
      <c r="M529" s="6"/>
      <c r="N529" s="6"/>
    </row>
    <row r="530">
      <c r="A530" s="6"/>
      <c r="B530" s="6"/>
      <c r="C530" s="6"/>
      <c r="D530" s="6"/>
      <c r="E530" s="6"/>
      <c r="F530" s="6"/>
      <c r="G530" s="6"/>
      <c r="H530" s="6"/>
      <c r="I530" s="6"/>
      <c r="J530" s="6"/>
      <c r="K530" s="6"/>
      <c r="L530" s="6"/>
      <c r="M530" s="6"/>
      <c r="N530" s="6"/>
    </row>
    <row r="531">
      <c r="A531" s="6"/>
      <c r="B531" s="6"/>
      <c r="C531" s="6"/>
      <c r="D531" s="6"/>
      <c r="E531" s="6"/>
      <c r="F531" s="6"/>
      <c r="G531" s="6"/>
      <c r="H531" s="6"/>
      <c r="I531" s="6"/>
      <c r="J531" s="6"/>
      <c r="K531" s="6"/>
      <c r="L531" s="6"/>
      <c r="M531" s="6"/>
      <c r="N531" s="6"/>
    </row>
    <row r="532">
      <c r="A532" s="6"/>
      <c r="B532" s="6"/>
      <c r="C532" s="6"/>
      <c r="D532" s="6"/>
      <c r="E532" s="6"/>
      <c r="F532" s="6"/>
      <c r="G532" s="6"/>
      <c r="H532" s="6"/>
      <c r="I532" s="6"/>
      <c r="J532" s="6"/>
      <c r="K532" s="6"/>
      <c r="L532" s="6"/>
      <c r="M532" s="6"/>
      <c r="N532" s="6"/>
    </row>
    <row r="533">
      <c r="A533" s="6"/>
      <c r="B533" s="6"/>
      <c r="C533" s="6"/>
      <c r="D533" s="6"/>
      <c r="E533" s="6"/>
      <c r="F533" s="6"/>
      <c r="G533" s="6"/>
      <c r="H533" s="6"/>
      <c r="I533" s="6"/>
      <c r="J533" s="6"/>
      <c r="K533" s="6"/>
      <c r="L533" s="6"/>
      <c r="M533" s="6"/>
      <c r="N533" s="6"/>
    </row>
    <row r="534">
      <c r="A534" s="6"/>
      <c r="B534" s="6"/>
      <c r="C534" s="6"/>
      <c r="D534" s="6"/>
      <c r="E534" s="6"/>
      <c r="F534" s="6"/>
      <c r="G534" s="6"/>
      <c r="H534" s="6"/>
      <c r="I534" s="6"/>
      <c r="J534" s="6"/>
      <c r="K534" s="6"/>
      <c r="L534" s="6"/>
      <c r="M534" s="6"/>
      <c r="N534" s="6"/>
    </row>
    <row r="535">
      <c r="A535" s="6"/>
      <c r="B535" s="6"/>
      <c r="C535" s="6"/>
      <c r="D535" s="6"/>
      <c r="E535" s="6"/>
      <c r="F535" s="6"/>
      <c r="G535" s="6"/>
      <c r="H535" s="6"/>
      <c r="I535" s="6"/>
      <c r="J535" s="6"/>
      <c r="K535" s="6"/>
      <c r="L535" s="6"/>
      <c r="M535" s="6"/>
      <c r="N535" s="6"/>
    </row>
    <row r="536">
      <c r="A536" s="6"/>
      <c r="B536" s="6"/>
      <c r="C536" s="6"/>
      <c r="D536" s="6"/>
      <c r="E536" s="6"/>
      <c r="F536" s="6"/>
      <c r="G536" s="6"/>
      <c r="H536" s="6"/>
      <c r="I536" s="6"/>
      <c r="J536" s="6"/>
      <c r="K536" s="6"/>
      <c r="L536" s="6"/>
      <c r="M536" s="6"/>
      <c r="N536" s="6"/>
    </row>
    <row r="537">
      <c r="A537" s="6"/>
      <c r="B537" s="6"/>
      <c r="C537" s="6"/>
      <c r="D537" s="6"/>
      <c r="E537" s="6"/>
      <c r="F537" s="6"/>
      <c r="G537" s="6"/>
      <c r="H537" s="6"/>
      <c r="I537" s="6"/>
      <c r="J537" s="6"/>
      <c r="K537" s="6"/>
      <c r="L537" s="6"/>
      <c r="M537" s="6"/>
      <c r="N537" s="6"/>
    </row>
    <row r="538">
      <c r="A538" s="6"/>
      <c r="B538" s="6"/>
      <c r="C538" s="6"/>
      <c r="D538" s="6"/>
      <c r="E538" s="6"/>
      <c r="F538" s="6"/>
      <c r="G538" s="6"/>
      <c r="H538" s="6"/>
      <c r="I538" s="6"/>
      <c r="J538" s="6"/>
      <c r="K538" s="6"/>
      <c r="L538" s="6"/>
      <c r="M538" s="6"/>
      <c r="N538" s="6"/>
    </row>
    <row r="539">
      <c r="A539" s="6"/>
      <c r="B539" s="6"/>
      <c r="C539" s="6"/>
      <c r="D539" s="6"/>
      <c r="E539" s="6"/>
      <c r="F539" s="6"/>
      <c r="G539" s="6"/>
      <c r="H539" s="6"/>
      <c r="I539" s="6"/>
      <c r="J539" s="6"/>
      <c r="K539" s="6"/>
      <c r="L539" s="6"/>
      <c r="M539" s="6"/>
      <c r="N539" s="6"/>
    </row>
    <row r="540">
      <c r="A540" s="6"/>
      <c r="B540" s="6"/>
      <c r="C540" s="6"/>
      <c r="D540" s="6"/>
      <c r="E540" s="6"/>
      <c r="F540" s="6"/>
      <c r="G540" s="6"/>
      <c r="H540" s="6"/>
      <c r="I540" s="6"/>
      <c r="J540" s="6"/>
      <c r="K540" s="6"/>
      <c r="L540" s="6"/>
      <c r="M540" s="6"/>
      <c r="N540" s="6"/>
    </row>
    <row r="541">
      <c r="A541" s="6"/>
      <c r="B541" s="6"/>
      <c r="C541" s="6"/>
      <c r="D541" s="6"/>
      <c r="E541" s="6"/>
      <c r="F541" s="6"/>
      <c r="G541" s="6"/>
      <c r="H541" s="6"/>
      <c r="I541" s="6"/>
      <c r="J541" s="6"/>
      <c r="K541" s="6"/>
      <c r="L541" s="6"/>
      <c r="M541" s="6"/>
      <c r="N541" s="6"/>
    </row>
    <row r="542">
      <c r="A542" s="6"/>
      <c r="B542" s="6"/>
      <c r="C542" s="6"/>
      <c r="D542" s="6"/>
      <c r="E542" s="6"/>
      <c r="F542" s="6"/>
      <c r="G542" s="6"/>
      <c r="H542" s="6"/>
      <c r="I542" s="6"/>
      <c r="J542" s="6"/>
      <c r="K542" s="6"/>
      <c r="L542" s="6"/>
      <c r="M542" s="6"/>
      <c r="N542" s="6"/>
    </row>
    <row r="543">
      <c r="A543" s="6"/>
      <c r="B543" s="6"/>
      <c r="C543" s="6"/>
      <c r="D543" s="6"/>
      <c r="E543" s="6"/>
      <c r="F543" s="6"/>
      <c r="G543" s="6"/>
      <c r="H543" s="6"/>
      <c r="I543" s="6"/>
      <c r="J543" s="6"/>
      <c r="K543" s="6"/>
      <c r="L543" s="6"/>
      <c r="M543" s="6"/>
      <c r="N543" s="6"/>
    </row>
    <row r="544">
      <c r="A544" s="6"/>
      <c r="B544" s="6"/>
      <c r="C544" s="6"/>
      <c r="D544" s="6"/>
      <c r="E544" s="6"/>
      <c r="F544" s="6"/>
      <c r="G544" s="6"/>
      <c r="H544" s="6"/>
      <c r="I544" s="6"/>
      <c r="J544" s="6"/>
      <c r="K544" s="6"/>
      <c r="L544" s="6"/>
      <c r="M544" s="6"/>
      <c r="N544" s="6"/>
    </row>
    <row r="545">
      <c r="A545" s="6"/>
      <c r="B545" s="6"/>
      <c r="C545" s="6"/>
      <c r="D545" s="6"/>
      <c r="E545" s="6"/>
      <c r="F545" s="6"/>
      <c r="G545" s="6"/>
      <c r="H545" s="6"/>
      <c r="I545" s="6"/>
      <c r="J545" s="6"/>
      <c r="K545" s="6"/>
      <c r="L545" s="6"/>
      <c r="M545" s="6"/>
      <c r="N545" s="6"/>
    </row>
    <row r="546">
      <c r="A546" s="6"/>
      <c r="B546" s="6"/>
      <c r="C546" s="6"/>
      <c r="D546" s="6"/>
      <c r="E546" s="6"/>
      <c r="F546" s="6"/>
      <c r="G546" s="6"/>
      <c r="H546" s="6"/>
      <c r="I546" s="6"/>
      <c r="J546" s="6"/>
      <c r="K546" s="6"/>
      <c r="L546" s="6"/>
      <c r="M546" s="6"/>
      <c r="N546" s="6"/>
    </row>
    <row r="547">
      <c r="A547" s="6"/>
      <c r="B547" s="6"/>
      <c r="C547" s="6"/>
      <c r="D547" s="6"/>
      <c r="E547" s="6"/>
      <c r="F547" s="6"/>
      <c r="G547" s="6"/>
      <c r="H547" s="6"/>
      <c r="I547" s="6"/>
      <c r="J547" s="6"/>
      <c r="K547" s="6"/>
      <c r="L547" s="6"/>
      <c r="M547" s="6"/>
      <c r="N547" s="6"/>
    </row>
    <row r="548">
      <c r="A548" s="6"/>
      <c r="B548" s="6"/>
      <c r="C548" s="6"/>
      <c r="D548" s="6"/>
      <c r="E548" s="6"/>
      <c r="F548" s="6"/>
      <c r="G548" s="6"/>
      <c r="H548" s="6"/>
      <c r="I548" s="6"/>
      <c r="J548" s="6"/>
      <c r="K548" s="6"/>
      <c r="L548" s="6"/>
      <c r="M548" s="6"/>
      <c r="N548" s="6"/>
    </row>
    <row r="549">
      <c r="A549" s="6"/>
      <c r="B549" s="6"/>
      <c r="C549" s="6"/>
      <c r="D549" s="6"/>
      <c r="E549" s="6"/>
      <c r="F549" s="6"/>
      <c r="G549" s="6"/>
      <c r="H549" s="6"/>
      <c r="I549" s="6"/>
      <c r="J549" s="6"/>
      <c r="K549" s="6"/>
      <c r="L549" s="6"/>
      <c r="M549" s="6"/>
      <c r="N549" s="6"/>
    </row>
    <row r="550">
      <c r="A550" s="6"/>
      <c r="B550" s="6"/>
      <c r="C550" s="6"/>
      <c r="D550" s="6"/>
      <c r="E550" s="6"/>
      <c r="F550" s="6"/>
      <c r="G550" s="6"/>
      <c r="H550" s="6"/>
      <c r="I550" s="6"/>
      <c r="J550" s="6"/>
      <c r="K550" s="6"/>
      <c r="L550" s="6"/>
      <c r="M550" s="6"/>
      <c r="N550" s="6"/>
    </row>
    <row r="551">
      <c r="A551" s="6"/>
      <c r="B551" s="6"/>
      <c r="C551" s="6"/>
      <c r="D551" s="6"/>
      <c r="E551" s="6"/>
      <c r="F551" s="6"/>
      <c r="G551" s="6"/>
      <c r="H551" s="6"/>
      <c r="I551" s="6"/>
      <c r="J551" s="6"/>
      <c r="K551" s="6"/>
      <c r="L551" s="6"/>
      <c r="M551" s="6"/>
      <c r="N551" s="6"/>
    </row>
    <row r="552">
      <c r="A552" s="6"/>
      <c r="B552" s="6"/>
      <c r="C552" s="6"/>
      <c r="D552" s="6"/>
      <c r="E552" s="6"/>
      <c r="F552" s="6"/>
      <c r="G552" s="6"/>
      <c r="H552" s="6"/>
      <c r="I552" s="6"/>
      <c r="J552" s="6"/>
      <c r="K552" s="6"/>
      <c r="L552" s="6"/>
      <c r="M552" s="6"/>
      <c r="N552" s="6"/>
    </row>
    <row r="553">
      <c r="A553" s="6"/>
      <c r="B553" s="6"/>
      <c r="C553" s="6"/>
      <c r="D553" s="6"/>
      <c r="E553" s="6"/>
      <c r="F553" s="6"/>
      <c r="G553" s="6"/>
      <c r="H553" s="6"/>
      <c r="I553" s="6"/>
      <c r="J553" s="6"/>
      <c r="K553" s="6"/>
      <c r="L553" s="6"/>
      <c r="M553" s="6"/>
      <c r="N553" s="6"/>
    </row>
    <row r="554">
      <c r="A554" s="6"/>
      <c r="B554" s="6"/>
      <c r="C554" s="6"/>
      <c r="D554" s="6"/>
      <c r="E554" s="6"/>
      <c r="F554" s="6"/>
      <c r="G554" s="6"/>
      <c r="H554" s="6"/>
      <c r="I554" s="6"/>
      <c r="J554" s="6"/>
      <c r="K554" s="6"/>
      <c r="L554" s="6"/>
      <c r="M554" s="6"/>
      <c r="N554" s="6"/>
    </row>
    <row r="555">
      <c r="A555" s="6"/>
      <c r="B555" s="6"/>
      <c r="C555" s="6"/>
      <c r="D555" s="6"/>
      <c r="E555" s="6"/>
      <c r="F555" s="6"/>
      <c r="G555" s="6"/>
      <c r="H555" s="6"/>
      <c r="I555" s="6"/>
      <c r="J555" s="6"/>
      <c r="K555" s="6"/>
      <c r="L555" s="6"/>
      <c r="M555" s="6"/>
      <c r="N555" s="6"/>
    </row>
    <row r="556">
      <c r="A556" s="6"/>
      <c r="B556" s="6"/>
      <c r="C556" s="6"/>
      <c r="D556" s="6"/>
      <c r="E556" s="6"/>
      <c r="F556" s="6"/>
      <c r="G556" s="6"/>
      <c r="H556" s="6"/>
      <c r="I556" s="6"/>
      <c r="J556" s="6"/>
      <c r="K556" s="6"/>
      <c r="L556" s="6"/>
      <c r="M556" s="6"/>
      <c r="N556" s="6"/>
    </row>
    <row r="557">
      <c r="A557" s="6"/>
      <c r="B557" s="6"/>
      <c r="C557" s="6"/>
      <c r="D557" s="6"/>
      <c r="E557" s="6"/>
      <c r="F557" s="6"/>
      <c r="G557" s="6"/>
      <c r="H557" s="6"/>
      <c r="I557" s="6"/>
      <c r="J557" s="6"/>
      <c r="K557" s="6"/>
      <c r="L557" s="6"/>
      <c r="M557" s="6"/>
      <c r="N557" s="6"/>
    </row>
    <row r="558">
      <c r="A558" s="6"/>
      <c r="B558" s="6"/>
      <c r="C558" s="6"/>
      <c r="D558" s="6"/>
      <c r="E558" s="6"/>
      <c r="F558" s="6"/>
      <c r="G558" s="6"/>
      <c r="H558" s="6"/>
      <c r="I558" s="6"/>
      <c r="J558" s="6"/>
      <c r="K558" s="6"/>
      <c r="L558" s="6"/>
      <c r="M558" s="6"/>
      <c r="N558" s="6"/>
    </row>
    <row r="559">
      <c r="A559" s="6"/>
      <c r="B559" s="6"/>
      <c r="C559" s="6"/>
      <c r="D559" s="6"/>
      <c r="E559" s="6"/>
      <c r="F559" s="6"/>
      <c r="G559" s="6"/>
      <c r="H559" s="6"/>
      <c r="I559" s="6"/>
      <c r="J559" s="6"/>
      <c r="K559" s="6"/>
      <c r="L559" s="6"/>
      <c r="M559" s="6"/>
      <c r="N559" s="6"/>
    </row>
    <row r="560">
      <c r="A560" s="6"/>
      <c r="B560" s="6"/>
      <c r="C560" s="6"/>
      <c r="D560" s="6"/>
      <c r="E560" s="6"/>
      <c r="F560" s="6"/>
      <c r="G560" s="6"/>
      <c r="H560" s="6"/>
      <c r="I560" s="6"/>
      <c r="J560" s="6"/>
      <c r="K560" s="6"/>
      <c r="L560" s="6"/>
      <c r="M560" s="6"/>
      <c r="N560" s="6"/>
    </row>
    <row r="561">
      <c r="A561" s="6"/>
      <c r="B561" s="6"/>
      <c r="C561" s="6"/>
      <c r="D561" s="6"/>
      <c r="E561" s="6"/>
      <c r="F561" s="6"/>
      <c r="G561" s="6"/>
      <c r="H561" s="6"/>
      <c r="I561" s="6"/>
      <c r="J561" s="6"/>
      <c r="K561" s="6"/>
      <c r="L561" s="6"/>
      <c r="M561" s="6"/>
      <c r="N561" s="6"/>
    </row>
    <row r="562">
      <c r="A562" s="6"/>
      <c r="B562" s="6"/>
      <c r="C562" s="6"/>
      <c r="D562" s="6"/>
      <c r="E562" s="6"/>
      <c r="F562" s="6"/>
      <c r="G562" s="6"/>
      <c r="H562" s="6"/>
      <c r="I562" s="6"/>
      <c r="J562" s="6"/>
      <c r="K562" s="6"/>
      <c r="L562" s="6"/>
      <c r="M562" s="6"/>
      <c r="N562" s="6"/>
    </row>
    <row r="563">
      <c r="A563" s="6"/>
      <c r="B563" s="6"/>
      <c r="C563" s="6"/>
      <c r="D563" s="6"/>
      <c r="E563" s="6"/>
      <c r="F563" s="6"/>
      <c r="G563" s="6"/>
      <c r="H563" s="6"/>
      <c r="I563" s="6"/>
      <c r="J563" s="6"/>
      <c r="K563" s="6"/>
      <c r="L563" s="6"/>
      <c r="M563" s="6"/>
      <c r="N563" s="6"/>
    </row>
    <row r="564">
      <c r="A564" s="6"/>
      <c r="B564" s="6"/>
      <c r="C564" s="6"/>
      <c r="D564" s="6"/>
      <c r="E564" s="6"/>
      <c r="F564" s="6"/>
      <c r="G564" s="6"/>
      <c r="H564" s="6"/>
      <c r="I564" s="6"/>
      <c r="J564" s="6"/>
      <c r="K564" s="6"/>
      <c r="L564" s="6"/>
      <c r="M564" s="6"/>
      <c r="N564" s="6"/>
    </row>
    <row r="565">
      <c r="A565" s="6"/>
      <c r="B565" s="6"/>
      <c r="C565" s="6"/>
      <c r="D565" s="6"/>
      <c r="E565" s="6"/>
      <c r="F565" s="6"/>
      <c r="G565" s="6"/>
      <c r="H565" s="6"/>
      <c r="I565" s="6"/>
      <c r="J565" s="6"/>
      <c r="K565" s="6"/>
      <c r="L565" s="6"/>
      <c r="M565" s="6"/>
      <c r="N565" s="6"/>
    </row>
    <row r="566">
      <c r="A566" s="6"/>
      <c r="B566" s="6"/>
      <c r="C566" s="6"/>
      <c r="D566" s="6"/>
      <c r="E566" s="6"/>
      <c r="F566" s="6"/>
      <c r="G566" s="6"/>
      <c r="H566" s="6"/>
      <c r="I566" s="6"/>
      <c r="J566" s="6"/>
      <c r="K566" s="6"/>
      <c r="L566" s="6"/>
      <c r="M566" s="6"/>
      <c r="N566" s="6"/>
    </row>
    <row r="567">
      <c r="A567" s="6"/>
      <c r="B567" s="6"/>
      <c r="C567" s="6"/>
      <c r="D567" s="6"/>
      <c r="E567" s="6"/>
      <c r="F567" s="6"/>
      <c r="G567" s="6"/>
      <c r="H567" s="6"/>
      <c r="I567" s="6"/>
      <c r="J567" s="6"/>
      <c r="K567" s="6"/>
      <c r="L567" s="6"/>
      <c r="M567" s="6"/>
      <c r="N567" s="6"/>
    </row>
    <row r="568">
      <c r="A568" s="6"/>
      <c r="B568" s="6"/>
      <c r="C568" s="6"/>
      <c r="D568" s="6"/>
      <c r="E568" s="6"/>
      <c r="F568" s="6"/>
      <c r="G568" s="6"/>
      <c r="H568" s="6"/>
      <c r="I568" s="6"/>
      <c r="J568" s="6"/>
      <c r="K568" s="6"/>
      <c r="L568" s="6"/>
      <c r="M568" s="6"/>
      <c r="N568" s="6"/>
    </row>
    <row r="569">
      <c r="A569" s="6"/>
      <c r="B569" s="6"/>
      <c r="C569" s="6"/>
      <c r="D569" s="6"/>
      <c r="E569" s="6"/>
      <c r="F569" s="6"/>
      <c r="G569" s="6"/>
      <c r="H569" s="6"/>
      <c r="I569" s="6"/>
      <c r="J569" s="6"/>
      <c r="K569" s="6"/>
      <c r="L569" s="6"/>
      <c r="M569" s="6"/>
      <c r="N569" s="6"/>
    </row>
    <row r="570">
      <c r="A570" s="6"/>
      <c r="B570" s="6"/>
      <c r="C570" s="6"/>
      <c r="D570" s="6"/>
      <c r="E570" s="6"/>
      <c r="F570" s="6"/>
      <c r="G570" s="6"/>
      <c r="H570" s="6"/>
      <c r="I570" s="6"/>
      <c r="J570" s="6"/>
      <c r="K570" s="6"/>
      <c r="L570" s="6"/>
      <c r="M570" s="6"/>
      <c r="N570" s="6"/>
    </row>
    <row r="571">
      <c r="A571" s="6"/>
      <c r="B571" s="6"/>
      <c r="C571" s="6"/>
      <c r="D571" s="6"/>
      <c r="E571" s="6"/>
      <c r="F571" s="6"/>
      <c r="G571" s="6"/>
      <c r="H571" s="6"/>
      <c r="I571" s="6"/>
      <c r="J571" s="6"/>
      <c r="K571" s="6"/>
      <c r="L571" s="6"/>
      <c r="M571" s="6"/>
      <c r="N571" s="6"/>
    </row>
    <row r="572">
      <c r="A572" s="6"/>
      <c r="B572" s="6"/>
      <c r="C572" s="6"/>
      <c r="D572" s="6"/>
      <c r="E572" s="6"/>
      <c r="F572" s="6"/>
      <c r="G572" s="6"/>
      <c r="H572" s="6"/>
      <c r="I572" s="6"/>
      <c r="J572" s="6"/>
      <c r="K572" s="6"/>
      <c r="L572" s="6"/>
      <c r="M572" s="6"/>
      <c r="N572" s="6"/>
    </row>
    <row r="573">
      <c r="A573" s="6"/>
      <c r="B573" s="6"/>
      <c r="C573" s="6"/>
      <c r="D573" s="6"/>
      <c r="E573" s="6"/>
      <c r="F573" s="6"/>
      <c r="G573" s="6"/>
      <c r="H573" s="6"/>
      <c r="I573" s="6"/>
      <c r="J573" s="6"/>
      <c r="K573" s="6"/>
      <c r="L573" s="6"/>
      <c r="M573" s="6"/>
      <c r="N573" s="6"/>
    </row>
    <row r="574">
      <c r="A574" s="6"/>
      <c r="B574" s="6"/>
      <c r="C574" s="6"/>
      <c r="D574" s="6"/>
      <c r="E574" s="6"/>
      <c r="F574" s="6"/>
      <c r="G574" s="6"/>
      <c r="H574" s="6"/>
      <c r="I574" s="6"/>
      <c r="J574" s="6"/>
      <c r="K574" s="6"/>
      <c r="L574" s="6"/>
      <c r="M574" s="6"/>
      <c r="N574" s="6"/>
    </row>
    <row r="575">
      <c r="A575" s="6"/>
      <c r="B575" s="6"/>
      <c r="C575" s="6"/>
      <c r="D575" s="6"/>
      <c r="E575" s="6"/>
      <c r="F575" s="6"/>
      <c r="G575" s="6"/>
      <c r="H575" s="6"/>
      <c r="I575" s="6"/>
      <c r="J575" s="6"/>
      <c r="K575" s="6"/>
      <c r="L575" s="6"/>
      <c r="M575" s="6"/>
      <c r="N575" s="6"/>
    </row>
    <row r="576">
      <c r="A576" s="6"/>
      <c r="B576" s="6"/>
      <c r="C576" s="6"/>
      <c r="D576" s="6"/>
      <c r="E576" s="6"/>
      <c r="F576" s="6"/>
      <c r="G576" s="6"/>
      <c r="H576" s="6"/>
      <c r="I576" s="6"/>
      <c r="J576" s="6"/>
      <c r="K576" s="6"/>
      <c r="L576" s="6"/>
      <c r="M576" s="6"/>
      <c r="N576" s="6"/>
    </row>
    <row r="577">
      <c r="A577" s="6"/>
      <c r="B577" s="6"/>
      <c r="C577" s="6"/>
      <c r="D577" s="6"/>
      <c r="E577" s="6"/>
      <c r="F577" s="6"/>
      <c r="G577" s="6"/>
      <c r="H577" s="6"/>
      <c r="I577" s="6"/>
      <c r="J577" s="6"/>
      <c r="K577" s="6"/>
      <c r="L577" s="6"/>
      <c r="M577" s="6"/>
      <c r="N577" s="6"/>
    </row>
    <row r="578">
      <c r="A578" s="6"/>
      <c r="B578" s="6"/>
      <c r="C578" s="6"/>
      <c r="D578" s="6"/>
      <c r="E578" s="6"/>
      <c r="F578" s="6"/>
      <c r="G578" s="6"/>
      <c r="H578" s="6"/>
      <c r="I578" s="6"/>
      <c r="J578" s="6"/>
      <c r="K578" s="6"/>
      <c r="L578" s="6"/>
      <c r="M578" s="6"/>
      <c r="N578" s="6"/>
    </row>
    <row r="579">
      <c r="A579" s="6"/>
      <c r="B579" s="6"/>
      <c r="C579" s="6"/>
      <c r="D579" s="6"/>
      <c r="E579" s="6"/>
      <c r="F579" s="6"/>
      <c r="G579" s="6"/>
      <c r="H579" s="6"/>
      <c r="I579" s="6"/>
      <c r="J579" s="6"/>
      <c r="K579" s="6"/>
      <c r="L579" s="6"/>
      <c r="M579" s="6"/>
      <c r="N579" s="6"/>
    </row>
    <row r="580">
      <c r="A580" s="6"/>
      <c r="B580" s="6"/>
      <c r="C580" s="6"/>
      <c r="D580" s="6"/>
      <c r="E580" s="6"/>
      <c r="F580" s="6"/>
      <c r="G580" s="6"/>
      <c r="H580" s="6"/>
      <c r="I580" s="6"/>
      <c r="J580" s="6"/>
      <c r="K580" s="6"/>
      <c r="L580" s="6"/>
      <c r="M580" s="6"/>
      <c r="N580" s="6"/>
    </row>
    <row r="581">
      <c r="A581" s="6"/>
      <c r="B581" s="6"/>
      <c r="C581" s="6"/>
      <c r="D581" s="6"/>
      <c r="E581" s="6"/>
      <c r="F581" s="6"/>
      <c r="G581" s="6"/>
      <c r="H581" s="6"/>
      <c r="I581" s="6"/>
      <c r="J581" s="6"/>
      <c r="K581" s="6"/>
      <c r="L581" s="6"/>
      <c r="M581" s="6"/>
      <c r="N581" s="6"/>
    </row>
    <row r="582">
      <c r="A582" s="6"/>
      <c r="B582" s="6"/>
      <c r="C582" s="6"/>
      <c r="D582" s="6"/>
      <c r="E582" s="6"/>
      <c r="F582" s="6"/>
      <c r="G582" s="6"/>
      <c r="H582" s="6"/>
      <c r="I582" s="6"/>
      <c r="J582" s="6"/>
      <c r="K582" s="6"/>
      <c r="L582" s="6"/>
      <c r="M582" s="6"/>
      <c r="N582" s="6"/>
    </row>
    <row r="583">
      <c r="A583" s="6"/>
      <c r="B583" s="6"/>
      <c r="C583" s="6"/>
      <c r="D583" s="6"/>
      <c r="E583" s="6"/>
      <c r="F583" s="6"/>
      <c r="G583" s="6"/>
      <c r="H583" s="6"/>
      <c r="I583" s="6"/>
      <c r="J583" s="6"/>
      <c r="K583" s="6"/>
      <c r="L583" s="6"/>
      <c r="M583" s="6"/>
      <c r="N583" s="6"/>
    </row>
    <row r="584">
      <c r="A584" s="6"/>
      <c r="B584" s="6"/>
      <c r="C584" s="6"/>
      <c r="D584" s="6"/>
      <c r="E584" s="6"/>
      <c r="F584" s="6"/>
      <c r="G584" s="6"/>
      <c r="H584" s="6"/>
      <c r="I584" s="6"/>
      <c r="J584" s="6"/>
      <c r="K584" s="6"/>
      <c r="L584" s="6"/>
      <c r="M584" s="6"/>
      <c r="N584" s="6"/>
    </row>
    <row r="585">
      <c r="A585" s="6"/>
      <c r="B585" s="6"/>
      <c r="C585" s="6"/>
      <c r="D585" s="6"/>
      <c r="E585" s="6"/>
      <c r="F585" s="6"/>
      <c r="G585" s="6"/>
      <c r="H585" s="6"/>
      <c r="I585" s="6"/>
      <c r="J585" s="6"/>
      <c r="K585" s="6"/>
      <c r="L585" s="6"/>
      <c r="M585" s="6"/>
      <c r="N585" s="6"/>
    </row>
    <row r="586">
      <c r="A586" s="6"/>
      <c r="B586" s="6"/>
      <c r="C586" s="6"/>
      <c r="D586" s="6"/>
      <c r="E586" s="6"/>
      <c r="F586" s="6"/>
      <c r="G586" s="6"/>
      <c r="H586" s="6"/>
      <c r="I586" s="6"/>
      <c r="J586" s="6"/>
      <c r="K586" s="6"/>
      <c r="L586" s="6"/>
      <c r="M586" s="6"/>
      <c r="N586" s="6"/>
    </row>
    <row r="587">
      <c r="A587" s="6"/>
      <c r="B587" s="6"/>
      <c r="C587" s="6"/>
      <c r="D587" s="6"/>
      <c r="E587" s="6"/>
      <c r="F587" s="6"/>
      <c r="G587" s="6"/>
      <c r="H587" s="6"/>
      <c r="I587" s="6"/>
      <c r="J587" s="6"/>
      <c r="K587" s="6"/>
      <c r="L587" s="6"/>
      <c r="M587" s="6"/>
      <c r="N587" s="6"/>
    </row>
    <row r="588">
      <c r="A588" s="6"/>
      <c r="B588" s="6"/>
      <c r="C588" s="6"/>
      <c r="D588" s="6"/>
      <c r="E588" s="6"/>
      <c r="F588" s="6"/>
      <c r="G588" s="6"/>
      <c r="H588" s="6"/>
      <c r="I588" s="6"/>
      <c r="J588" s="6"/>
      <c r="K588" s="6"/>
      <c r="L588" s="6"/>
      <c r="M588" s="6"/>
      <c r="N588" s="6"/>
    </row>
    <row r="589">
      <c r="A589" s="6"/>
      <c r="B589" s="6"/>
      <c r="C589" s="6"/>
      <c r="D589" s="6"/>
      <c r="E589" s="6"/>
      <c r="F589" s="6"/>
      <c r="G589" s="6"/>
      <c r="H589" s="6"/>
      <c r="I589" s="6"/>
      <c r="J589" s="6"/>
      <c r="K589" s="6"/>
      <c r="L589" s="6"/>
      <c r="M589" s="6"/>
      <c r="N589" s="6"/>
    </row>
    <row r="590">
      <c r="A590" s="6"/>
      <c r="B590" s="6"/>
      <c r="C590" s="6"/>
      <c r="D590" s="6"/>
      <c r="E590" s="6"/>
      <c r="F590" s="6"/>
      <c r="G590" s="6"/>
      <c r="H590" s="6"/>
      <c r="I590" s="6"/>
      <c r="J590" s="6"/>
      <c r="K590" s="6"/>
      <c r="L590" s="6"/>
      <c r="M590" s="6"/>
      <c r="N590" s="6"/>
    </row>
    <row r="591">
      <c r="A591" s="6"/>
      <c r="B591" s="6"/>
      <c r="C591" s="6"/>
      <c r="D591" s="6"/>
      <c r="E591" s="6"/>
      <c r="F591" s="6"/>
      <c r="G591" s="6"/>
      <c r="H591" s="6"/>
      <c r="I591" s="6"/>
      <c r="J591" s="6"/>
      <c r="K591" s="6"/>
      <c r="L591" s="6"/>
      <c r="M591" s="6"/>
      <c r="N591" s="6"/>
    </row>
    <row r="592">
      <c r="A592" s="6"/>
      <c r="B592" s="6"/>
      <c r="C592" s="6"/>
      <c r="D592" s="6"/>
      <c r="E592" s="6"/>
      <c r="F592" s="6"/>
      <c r="G592" s="6"/>
      <c r="H592" s="6"/>
      <c r="I592" s="6"/>
      <c r="J592" s="6"/>
      <c r="K592" s="6"/>
      <c r="L592" s="6"/>
      <c r="M592" s="6"/>
      <c r="N592" s="6"/>
    </row>
    <row r="593">
      <c r="A593" s="6"/>
      <c r="B593" s="6"/>
      <c r="C593" s="6"/>
      <c r="D593" s="6"/>
      <c r="E593" s="6"/>
      <c r="F593" s="6"/>
      <c r="G593" s="6"/>
      <c r="H593" s="6"/>
      <c r="I593" s="6"/>
      <c r="J593" s="6"/>
      <c r="K593" s="6"/>
      <c r="L593" s="6"/>
      <c r="M593" s="6"/>
      <c r="N593" s="6"/>
    </row>
    <row r="594">
      <c r="A594" s="6"/>
      <c r="B594" s="6"/>
      <c r="C594" s="6"/>
      <c r="D594" s="6"/>
      <c r="E594" s="6"/>
      <c r="F594" s="6"/>
      <c r="G594" s="6"/>
      <c r="H594" s="6"/>
      <c r="I594" s="6"/>
      <c r="J594" s="6"/>
      <c r="K594" s="6"/>
      <c r="L594" s="6"/>
      <c r="M594" s="6"/>
      <c r="N594" s="6"/>
    </row>
    <row r="595">
      <c r="A595" s="6"/>
      <c r="B595" s="6"/>
      <c r="C595" s="6"/>
      <c r="D595" s="6"/>
      <c r="E595" s="6"/>
      <c r="F595" s="6"/>
      <c r="G595" s="6"/>
      <c r="H595" s="6"/>
      <c r="I595" s="6"/>
      <c r="J595" s="6"/>
      <c r="K595" s="6"/>
      <c r="L595" s="6"/>
      <c r="M595" s="6"/>
      <c r="N595" s="6"/>
    </row>
    <row r="596">
      <c r="A596" s="6"/>
      <c r="B596" s="6"/>
      <c r="C596" s="6"/>
      <c r="D596" s="6"/>
      <c r="E596" s="6"/>
      <c r="F596" s="6"/>
      <c r="G596" s="6"/>
      <c r="H596" s="6"/>
      <c r="I596" s="6"/>
      <c r="J596" s="6"/>
      <c r="K596" s="6"/>
      <c r="L596" s="6"/>
      <c r="M596" s="6"/>
      <c r="N596" s="6"/>
    </row>
    <row r="597">
      <c r="A597" s="6"/>
      <c r="B597" s="6"/>
      <c r="C597" s="6"/>
      <c r="D597" s="6"/>
      <c r="E597" s="6"/>
      <c r="F597" s="6"/>
      <c r="G597" s="6"/>
      <c r="H597" s="6"/>
      <c r="I597" s="6"/>
      <c r="J597" s="6"/>
      <c r="K597" s="6"/>
      <c r="L597" s="6"/>
      <c r="M597" s="6"/>
      <c r="N597" s="6"/>
    </row>
    <row r="598">
      <c r="A598" s="6"/>
      <c r="B598" s="6"/>
      <c r="C598" s="6"/>
      <c r="D598" s="6"/>
      <c r="E598" s="6"/>
      <c r="F598" s="6"/>
      <c r="G598" s="6"/>
      <c r="H598" s="6"/>
      <c r="I598" s="6"/>
      <c r="J598" s="6"/>
      <c r="K598" s="6"/>
      <c r="L598" s="6"/>
      <c r="M598" s="6"/>
      <c r="N598" s="6"/>
    </row>
    <row r="599">
      <c r="A599" s="6"/>
      <c r="B599" s="6"/>
      <c r="C599" s="6"/>
      <c r="D599" s="6"/>
      <c r="E599" s="6"/>
      <c r="F599" s="6"/>
      <c r="G599" s="6"/>
      <c r="H599" s="6"/>
      <c r="I599" s="6"/>
      <c r="J599" s="6"/>
      <c r="K599" s="6"/>
      <c r="L599" s="6"/>
      <c r="M599" s="6"/>
      <c r="N599" s="6"/>
    </row>
    <row r="600">
      <c r="A600" s="6"/>
      <c r="B600" s="6"/>
      <c r="C600" s="6"/>
      <c r="D600" s="6"/>
      <c r="E600" s="6"/>
      <c r="F600" s="6"/>
      <c r="G600" s="6"/>
      <c r="H600" s="6"/>
      <c r="I600" s="6"/>
      <c r="J600" s="6"/>
      <c r="K600" s="6"/>
      <c r="L600" s="6"/>
      <c r="M600" s="6"/>
      <c r="N600" s="6"/>
    </row>
    <row r="601">
      <c r="A601" s="6"/>
      <c r="B601" s="6"/>
      <c r="C601" s="6"/>
      <c r="D601" s="6"/>
      <c r="E601" s="6"/>
      <c r="F601" s="6"/>
      <c r="G601" s="6"/>
      <c r="H601" s="6"/>
      <c r="I601" s="6"/>
      <c r="J601" s="6"/>
      <c r="K601" s="6"/>
      <c r="L601" s="6"/>
      <c r="M601" s="6"/>
      <c r="N601" s="6"/>
    </row>
    <row r="602">
      <c r="A602" s="6"/>
      <c r="B602" s="6"/>
      <c r="C602" s="6"/>
      <c r="D602" s="6"/>
      <c r="E602" s="6"/>
      <c r="F602" s="6"/>
      <c r="G602" s="6"/>
      <c r="H602" s="6"/>
      <c r="I602" s="6"/>
      <c r="J602" s="6"/>
      <c r="K602" s="6"/>
      <c r="L602" s="6"/>
      <c r="M602" s="6"/>
      <c r="N602" s="6"/>
    </row>
    <row r="603">
      <c r="A603" s="6"/>
      <c r="B603" s="6"/>
      <c r="C603" s="6"/>
      <c r="D603" s="6"/>
      <c r="E603" s="6"/>
      <c r="F603" s="6"/>
      <c r="G603" s="6"/>
      <c r="H603" s="6"/>
      <c r="I603" s="6"/>
      <c r="J603" s="6"/>
      <c r="K603" s="6"/>
      <c r="L603" s="6"/>
      <c r="M603" s="6"/>
      <c r="N603" s="6"/>
    </row>
    <row r="604">
      <c r="A604" s="6"/>
      <c r="B604" s="6"/>
      <c r="C604" s="6"/>
      <c r="D604" s="6"/>
      <c r="E604" s="6"/>
      <c r="F604" s="6"/>
      <c r="G604" s="6"/>
      <c r="H604" s="6"/>
      <c r="I604" s="6"/>
      <c r="J604" s="6"/>
      <c r="K604" s="6"/>
      <c r="L604" s="6"/>
      <c r="M604" s="6"/>
      <c r="N604" s="6"/>
    </row>
    <row r="605">
      <c r="A605" s="6"/>
      <c r="B605" s="6"/>
      <c r="C605" s="6"/>
      <c r="D605" s="6"/>
      <c r="E605" s="6"/>
      <c r="F605" s="6"/>
      <c r="G605" s="6"/>
      <c r="H605" s="6"/>
      <c r="I605" s="6"/>
      <c r="J605" s="6"/>
      <c r="K605" s="6"/>
      <c r="L605" s="6"/>
      <c r="M605" s="6"/>
      <c r="N605" s="6"/>
    </row>
    <row r="606">
      <c r="A606" s="6"/>
      <c r="B606" s="6"/>
      <c r="C606" s="6"/>
      <c r="D606" s="6"/>
      <c r="E606" s="6"/>
      <c r="F606" s="6"/>
      <c r="G606" s="6"/>
      <c r="H606" s="6"/>
      <c r="I606" s="6"/>
      <c r="J606" s="6"/>
      <c r="K606" s="6"/>
      <c r="L606" s="6"/>
      <c r="M606" s="6"/>
      <c r="N606" s="6"/>
    </row>
    <row r="607">
      <c r="A607" s="6"/>
      <c r="B607" s="6"/>
      <c r="C607" s="6"/>
      <c r="D607" s="6"/>
      <c r="E607" s="6"/>
      <c r="F607" s="6"/>
      <c r="G607" s="6"/>
      <c r="H607" s="6"/>
      <c r="I607" s="6"/>
      <c r="J607" s="6"/>
      <c r="K607" s="6"/>
      <c r="L607" s="6"/>
      <c r="M607" s="6"/>
      <c r="N607" s="6"/>
    </row>
    <row r="608">
      <c r="A608" s="6"/>
      <c r="B608" s="6"/>
      <c r="C608" s="6"/>
      <c r="D608" s="6"/>
      <c r="E608" s="6"/>
      <c r="F608" s="6"/>
      <c r="G608" s="6"/>
      <c r="H608" s="6"/>
      <c r="I608" s="6"/>
      <c r="J608" s="6"/>
      <c r="K608" s="6"/>
      <c r="L608" s="6"/>
      <c r="M608" s="6"/>
      <c r="N608" s="6"/>
    </row>
    <row r="609">
      <c r="A609" s="6"/>
      <c r="B609" s="6"/>
      <c r="C609" s="6"/>
      <c r="D609" s="6"/>
      <c r="E609" s="6"/>
      <c r="F609" s="6"/>
      <c r="G609" s="6"/>
      <c r="H609" s="6"/>
      <c r="I609" s="6"/>
      <c r="J609" s="6"/>
      <c r="K609" s="6"/>
      <c r="L609" s="6"/>
      <c r="M609" s="6"/>
      <c r="N609" s="6"/>
    </row>
    <row r="610">
      <c r="A610" s="6"/>
      <c r="B610" s="6"/>
      <c r="C610" s="6"/>
      <c r="D610" s="6"/>
      <c r="E610" s="6"/>
      <c r="F610" s="6"/>
      <c r="G610" s="6"/>
      <c r="H610" s="6"/>
      <c r="I610" s="6"/>
      <c r="J610" s="6"/>
      <c r="K610" s="6"/>
      <c r="L610" s="6"/>
      <c r="M610" s="6"/>
      <c r="N610" s="6"/>
    </row>
    <row r="611">
      <c r="A611" s="6"/>
      <c r="B611" s="6"/>
      <c r="C611" s="6"/>
      <c r="D611" s="6"/>
      <c r="E611" s="6"/>
      <c r="F611" s="6"/>
      <c r="G611" s="6"/>
      <c r="H611" s="6"/>
      <c r="I611" s="6"/>
      <c r="J611" s="6"/>
      <c r="K611" s="6"/>
      <c r="L611" s="6"/>
      <c r="M611" s="6"/>
      <c r="N611" s="6"/>
    </row>
    <row r="612">
      <c r="A612" s="6"/>
      <c r="B612" s="6"/>
      <c r="C612" s="6"/>
      <c r="D612" s="6"/>
      <c r="E612" s="6"/>
      <c r="F612" s="6"/>
      <c r="G612" s="6"/>
      <c r="H612" s="6"/>
      <c r="I612" s="6"/>
      <c r="J612" s="6"/>
      <c r="K612" s="6"/>
      <c r="L612" s="6"/>
      <c r="M612" s="6"/>
      <c r="N612" s="6"/>
    </row>
    <row r="613">
      <c r="A613" s="6"/>
      <c r="B613" s="6"/>
      <c r="C613" s="6"/>
      <c r="D613" s="6"/>
      <c r="E613" s="6"/>
      <c r="F613" s="6"/>
      <c r="G613" s="6"/>
      <c r="H613" s="6"/>
      <c r="I613" s="6"/>
      <c r="J613" s="6"/>
      <c r="K613" s="6"/>
      <c r="L613" s="6"/>
      <c r="M613" s="6"/>
      <c r="N613" s="6"/>
    </row>
    <row r="614">
      <c r="A614" s="6"/>
      <c r="B614" s="6"/>
      <c r="C614" s="6"/>
      <c r="D614" s="6"/>
      <c r="E614" s="6"/>
      <c r="F614" s="6"/>
      <c r="G614" s="6"/>
      <c r="H614" s="6"/>
      <c r="I614" s="6"/>
      <c r="J614" s="6"/>
      <c r="K614" s="6"/>
      <c r="L614" s="6"/>
      <c r="M614" s="6"/>
      <c r="N614" s="6"/>
    </row>
    <row r="615">
      <c r="A615" s="6"/>
      <c r="B615" s="6"/>
      <c r="C615" s="6"/>
      <c r="D615" s="6"/>
      <c r="E615" s="6"/>
      <c r="F615" s="6"/>
      <c r="G615" s="6"/>
      <c r="H615" s="6"/>
      <c r="I615" s="6"/>
      <c r="J615" s="6"/>
      <c r="K615" s="6"/>
      <c r="L615" s="6"/>
      <c r="M615" s="6"/>
      <c r="N615" s="6"/>
    </row>
    <row r="616">
      <c r="A616" s="6"/>
      <c r="B616" s="6"/>
      <c r="C616" s="6"/>
      <c r="D616" s="6"/>
      <c r="E616" s="6"/>
      <c r="F616" s="6"/>
      <c r="G616" s="6"/>
      <c r="H616" s="6"/>
      <c r="I616" s="6"/>
      <c r="J616" s="6"/>
      <c r="K616" s="6"/>
      <c r="L616" s="6"/>
      <c r="M616" s="6"/>
      <c r="N616" s="6"/>
    </row>
    <row r="617">
      <c r="A617" s="6"/>
      <c r="B617" s="6"/>
      <c r="C617" s="6"/>
      <c r="D617" s="6"/>
      <c r="E617" s="6"/>
      <c r="F617" s="6"/>
      <c r="G617" s="6"/>
      <c r="H617" s="6"/>
      <c r="I617" s="6"/>
      <c r="J617" s="6"/>
      <c r="K617" s="6"/>
      <c r="L617" s="6"/>
      <c r="M617" s="6"/>
      <c r="N617" s="6"/>
    </row>
    <row r="618">
      <c r="A618" s="6"/>
      <c r="B618" s="6"/>
      <c r="C618" s="6"/>
      <c r="D618" s="6"/>
      <c r="E618" s="6"/>
      <c r="F618" s="6"/>
      <c r="G618" s="6"/>
      <c r="H618" s="6"/>
      <c r="I618" s="6"/>
      <c r="J618" s="6"/>
      <c r="K618" s="6"/>
      <c r="L618" s="6"/>
      <c r="M618" s="6"/>
      <c r="N618" s="6"/>
    </row>
    <row r="619">
      <c r="A619" s="6"/>
      <c r="B619" s="6"/>
      <c r="C619" s="6"/>
      <c r="D619" s="6"/>
      <c r="E619" s="6"/>
      <c r="F619" s="6"/>
      <c r="G619" s="6"/>
      <c r="H619" s="6"/>
      <c r="I619" s="6"/>
      <c r="J619" s="6"/>
      <c r="K619" s="6"/>
      <c r="L619" s="6"/>
      <c r="M619" s="6"/>
      <c r="N619" s="6"/>
    </row>
    <row r="620">
      <c r="A620" s="6"/>
      <c r="B620" s="6"/>
      <c r="C620" s="6"/>
      <c r="D620" s="6"/>
      <c r="E620" s="6"/>
      <c r="F620" s="6"/>
      <c r="G620" s="6"/>
      <c r="H620" s="6"/>
      <c r="I620" s="6"/>
      <c r="J620" s="6"/>
      <c r="K620" s="6"/>
      <c r="L620" s="6"/>
      <c r="M620" s="6"/>
      <c r="N620" s="6"/>
    </row>
    <row r="621">
      <c r="A621" s="6"/>
      <c r="B621" s="6"/>
      <c r="C621" s="6"/>
      <c r="D621" s="6"/>
      <c r="E621" s="6"/>
      <c r="F621" s="6"/>
      <c r="G621" s="6"/>
      <c r="H621" s="6"/>
      <c r="I621" s="6"/>
      <c r="J621" s="6"/>
      <c r="K621" s="6"/>
      <c r="L621" s="6"/>
      <c r="M621" s="6"/>
      <c r="N621" s="6"/>
    </row>
    <row r="622">
      <c r="A622" s="6"/>
      <c r="B622" s="6"/>
      <c r="C622" s="6"/>
      <c r="D622" s="6"/>
      <c r="E622" s="6"/>
      <c r="F622" s="6"/>
      <c r="G622" s="6"/>
      <c r="H622" s="6"/>
      <c r="I622" s="6"/>
      <c r="J622" s="6"/>
      <c r="K622" s="6"/>
      <c r="L622" s="6"/>
      <c r="M622" s="6"/>
      <c r="N622" s="6"/>
    </row>
    <row r="623">
      <c r="A623" s="6"/>
      <c r="B623" s="6"/>
      <c r="C623" s="6"/>
      <c r="D623" s="6"/>
      <c r="E623" s="6"/>
      <c r="F623" s="6"/>
      <c r="G623" s="6"/>
      <c r="H623" s="6"/>
      <c r="I623" s="6"/>
      <c r="J623" s="6"/>
      <c r="K623" s="6"/>
      <c r="L623" s="6"/>
      <c r="M623" s="6"/>
      <c r="N623" s="6"/>
    </row>
    <row r="624">
      <c r="A624" s="6"/>
      <c r="B624" s="6"/>
      <c r="C624" s="6"/>
      <c r="D624" s="6"/>
      <c r="E624" s="6"/>
      <c r="F624" s="6"/>
      <c r="G624" s="6"/>
      <c r="H624" s="6"/>
      <c r="I624" s="6"/>
      <c r="J624" s="6"/>
      <c r="K624" s="6"/>
      <c r="L624" s="6"/>
      <c r="M624" s="6"/>
      <c r="N624" s="6"/>
    </row>
    <row r="625">
      <c r="A625" s="6"/>
      <c r="B625" s="6"/>
      <c r="C625" s="6"/>
      <c r="D625" s="6"/>
      <c r="E625" s="6"/>
      <c r="F625" s="6"/>
      <c r="G625" s="6"/>
      <c r="H625" s="6"/>
      <c r="I625" s="6"/>
      <c r="J625" s="6"/>
      <c r="K625" s="6"/>
      <c r="L625" s="6"/>
      <c r="M625" s="6"/>
      <c r="N625" s="6"/>
    </row>
    <row r="626">
      <c r="A626" s="6"/>
      <c r="B626" s="6"/>
      <c r="C626" s="6"/>
      <c r="D626" s="6"/>
      <c r="E626" s="6"/>
      <c r="F626" s="6"/>
      <c r="G626" s="6"/>
      <c r="H626" s="6"/>
      <c r="I626" s="6"/>
      <c r="J626" s="6"/>
      <c r="K626" s="6"/>
      <c r="L626" s="6"/>
      <c r="M626" s="6"/>
      <c r="N626" s="6"/>
    </row>
    <row r="627">
      <c r="A627" s="6"/>
      <c r="B627" s="6"/>
      <c r="C627" s="6"/>
      <c r="D627" s="6"/>
      <c r="E627" s="6"/>
      <c r="F627" s="6"/>
      <c r="G627" s="6"/>
      <c r="H627" s="6"/>
      <c r="I627" s="6"/>
      <c r="J627" s="6"/>
      <c r="K627" s="6"/>
      <c r="L627" s="6"/>
      <c r="M627" s="6"/>
      <c r="N627" s="6"/>
    </row>
    <row r="628">
      <c r="A628" s="6"/>
      <c r="B628" s="6"/>
      <c r="C628" s="6"/>
      <c r="D628" s="6"/>
      <c r="E628" s="6"/>
      <c r="F628" s="6"/>
      <c r="G628" s="6"/>
      <c r="H628" s="6"/>
      <c r="I628" s="6"/>
      <c r="J628" s="6"/>
      <c r="K628" s="6"/>
      <c r="L628" s="6"/>
      <c r="M628" s="6"/>
      <c r="N628" s="6"/>
    </row>
    <row r="629">
      <c r="A629" s="6"/>
      <c r="B629" s="6"/>
      <c r="C629" s="6"/>
      <c r="D629" s="6"/>
      <c r="E629" s="6"/>
      <c r="F629" s="6"/>
      <c r="G629" s="6"/>
      <c r="H629" s="6"/>
      <c r="I629" s="6"/>
      <c r="J629" s="6"/>
      <c r="K629" s="6"/>
      <c r="L629" s="6"/>
      <c r="M629" s="6"/>
      <c r="N629" s="6"/>
    </row>
    <row r="630">
      <c r="A630" s="6"/>
      <c r="B630" s="6"/>
      <c r="C630" s="6"/>
      <c r="D630" s="6"/>
      <c r="E630" s="6"/>
      <c r="F630" s="6"/>
      <c r="G630" s="6"/>
      <c r="H630" s="6"/>
      <c r="I630" s="6"/>
      <c r="J630" s="6"/>
      <c r="K630" s="6"/>
      <c r="L630" s="6"/>
      <c r="M630" s="6"/>
      <c r="N630" s="6"/>
    </row>
    <row r="631">
      <c r="A631" s="6"/>
      <c r="B631" s="6"/>
      <c r="C631" s="6"/>
      <c r="D631" s="6"/>
      <c r="E631" s="6"/>
      <c r="F631" s="6"/>
      <c r="G631" s="6"/>
      <c r="H631" s="6"/>
      <c r="I631" s="6"/>
      <c r="J631" s="6"/>
      <c r="K631" s="6"/>
      <c r="L631" s="6"/>
      <c r="M631" s="6"/>
      <c r="N631" s="6"/>
    </row>
    <row r="632">
      <c r="A632" s="6"/>
      <c r="B632" s="6"/>
      <c r="C632" s="6"/>
      <c r="D632" s="6"/>
      <c r="E632" s="6"/>
      <c r="F632" s="6"/>
      <c r="G632" s="6"/>
      <c r="H632" s="6"/>
      <c r="I632" s="6"/>
      <c r="J632" s="6"/>
      <c r="K632" s="6"/>
      <c r="L632" s="6"/>
      <c r="M632" s="6"/>
      <c r="N632" s="6"/>
    </row>
    <row r="633">
      <c r="A633" s="6"/>
      <c r="B633" s="6"/>
      <c r="C633" s="6"/>
      <c r="D633" s="6"/>
      <c r="E633" s="6"/>
      <c r="F633" s="6"/>
      <c r="G633" s="6"/>
      <c r="H633" s="6"/>
      <c r="I633" s="6"/>
      <c r="J633" s="6"/>
      <c r="K633" s="6"/>
      <c r="L633" s="6"/>
      <c r="M633" s="6"/>
      <c r="N633" s="6"/>
    </row>
    <row r="634">
      <c r="A634" s="6"/>
      <c r="B634" s="6"/>
      <c r="C634" s="6"/>
      <c r="D634" s="6"/>
      <c r="E634" s="6"/>
      <c r="F634" s="6"/>
      <c r="G634" s="6"/>
      <c r="H634" s="6"/>
      <c r="I634" s="6"/>
      <c r="J634" s="6"/>
      <c r="K634" s="6"/>
      <c r="L634" s="6"/>
      <c r="M634" s="6"/>
      <c r="N634" s="6"/>
    </row>
    <row r="635">
      <c r="A635" s="6"/>
      <c r="B635" s="6"/>
      <c r="C635" s="6"/>
      <c r="D635" s="6"/>
      <c r="E635" s="6"/>
      <c r="F635" s="6"/>
      <c r="G635" s="6"/>
      <c r="H635" s="6"/>
      <c r="I635" s="6"/>
      <c r="J635" s="6"/>
      <c r="K635" s="6"/>
      <c r="L635" s="6"/>
      <c r="M635" s="6"/>
      <c r="N635" s="6"/>
    </row>
    <row r="636">
      <c r="A636" s="6"/>
      <c r="B636" s="6"/>
      <c r="C636" s="6"/>
      <c r="D636" s="6"/>
      <c r="E636" s="6"/>
      <c r="F636" s="6"/>
      <c r="G636" s="6"/>
      <c r="H636" s="6"/>
      <c r="I636" s="6"/>
      <c r="J636" s="6"/>
      <c r="K636" s="6"/>
      <c r="L636" s="6"/>
      <c r="M636" s="6"/>
      <c r="N636" s="6"/>
    </row>
    <row r="637">
      <c r="A637" s="6"/>
      <c r="B637" s="6"/>
      <c r="C637" s="6"/>
      <c r="D637" s="6"/>
      <c r="E637" s="6"/>
      <c r="F637" s="6"/>
      <c r="G637" s="6"/>
      <c r="H637" s="6"/>
      <c r="I637" s="6"/>
      <c r="J637" s="6"/>
      <c r="K637" s="6"/>
      <c r="L637" s="6"/>
      <c r="M637" s="6"/>
      <c r="N637" s="6"/>
    </row>
    <row r="638">
      <c r="A638" s="6"/>
      <c r="B638" s="6"/>
      <c r="C638" s="6"/>
      <c r="D638" s="6"/>
      <c r="E638" s="6"/>
      <c r="F638" s="6"/>
      <c r="G638" s="6"/>
      <c r="H638" s="6"/>
      <c r="I638" s="6"/>
      <c r="J638" s="6"/>
      <c r="K638" s="6"/>
      <c r="L638" s="6"/>
      <c r="M638" s="6"/>
      <c r="N638" s="6"/>
    </row>
    <row r="639">
      <c r="A639" s="6"/>
      <c r="B639" s="6"/>
      <c r="C639" s="6"/>
      <c r="D639" s="6"/>
      <c r="E639" s="6"/>
      <c r="F639" s="6"/>
      <c r="G639" s="6"/>
      <c r="H639" s="6"/>
      <c r="I639" s="6"/>
      <c r="J639" s="6"/>
      <c r="K639" s="6"/>
      <c r="L639" s="6"/>
      <c r="M639" s="6"/>
      <c r="N639" s="6"/>
    </row>
    <row r="640">
      <c r="A640" s="6"/>
      <c r="B640" s="6"/>
      <c r="C640" s="6"/>
      <c r="D640" s="6"/>
      <c r="E640" s="6"/>
      <c r="F640" s="6"/>
      <c r="G640" s="6"/>
      <c r="H640" s="6"/>
      <c r="I640" s="6"/>
      <c r="J640" s="6"/>
      <c r="K640" s="6"/>
      <c r="L640" s="6"/>
      <c r="M640" s="6"/>
      <c r="N640" s="6"/>
    </row>
    <row r="641">
      <c r="A641" s="6"/>
      <c r="B641" s="6"/>
      <c r="C641" s="6"/>
      <c r="D641" s="6"/>
      <c r="E641" s="6"/>
      <c r="F641" s="6"/>
      <c r="G641" s="6"/>
      <c r="H641" s="6"/>
      <c r="I641" s="6"/>
      <c r="J641" s="6"/>
      <c r="K641" s="6"/>
      <c r="L641" s="6"/>
      <c r="M641" s="6"/>
      <c r="N641" s="6"/>
    </row>
    <row r="642">
      <c r="A642" s="6"/>
      <c r="B642" s="6"/>
      <c r="C642" s="6"/>
      <c r="D642" s="6"/>
      <c r="E642" s="6"/>
      <c r="F642" s="6"/>
      <c r="G642" s="6"/>
      <c r="H642" s="6"/>
      <c r="I642" s="6"/>
      <c r="J642" s="6"/>
      <c r="K642" s="6"/>
      <c r="L642" s="6"/>
      <c r="M642" s="6"/>
      <c r="N642" s="6"/>
    </row>
    <row r="643">
      <c r="A643" s="6"/>
      <c r="B643" s="6"/>
      <c r="C643" s="6"/>
      <c r="D643" s="6"/>
      <c r="E643" s="6"/>
      <c r="F643" s="6"/>
      <c r="G643" s="6"/>
      <c r="H643" s="6"/>
      <c r="I643" s="6"/>
      <c r="J643" s="6"/>
      <c r="K643" s="6"/>
      <c r="L643" s="6"/>
      <c r="M643" s="6"/>
      <c r="N643" s="6"/>
    </row>
    <row r="644">
      <c r="A644" s="6"/>
      <c r="B644" s="6"/>
      <c r="C644" s="6"/>
      <c r="D644" s="6"/>
      <c r="E644" s="6"/>
      <c r="F644" s="6"/>
      <c r="G644" s="6"/>
      <c r="H644" s="6"/>
      <c r="I644" s="6"/>
      <c r="J644" s="6"/>
      <c r="K644" s="6"/>
      <c r="L644" s="6"/>
      <c r="M644" s="6"/>
      <c r="N644" s="6"/>
    </row>
    <row r="645">
      <c r="A645" s="6"/>
      <c r="B645" s="6"/>
      <c r="C645" s="6"/>
      <c r="D645" s="6"/>
      <c r="E645" s="6"/>
      <c r="F645" s="6"/>
      <c r="G645" s="6"/>
      <c r="H645" s="6"/>
      <c r="I645" s="6"/>
      <c r="J645" s="6"/>
      <c r="K645" s="6"/>
      <c r="L645" s="6"/>
      <c r="M645" s="6"/>
      <c r="N645" s="6"/>
    </row>
    <row r="646">
      <c r="A646" s="6"/>
      <c r="B646" s="6"/>
      <c r="C646" s="6"/>
      <c r="D646" s="6"/>
      <c r="E646" s="6"/>
      <c r="F646" s="6"/>
      <c r="G646" s="6"/>
      <c r="H646" s="6"/>
      <c r="I646" s="6"/>
      <c r="J646" s="6"/>
      <c r="K646" s="6"/>
      <c r="L646" s="6"/>
      <c r="M646" s="6"/>
      <c r="N646" s="6"/>
    </row>
    <row r="647">
      <c r="A647" s="6"/>
      <c r="B647" s="6"/>
      <c r="C647" s="6"/>
      <c r="D647" s="6"/>
      <c r="E647" s="6"/>
      <c r="F647" s="6"/>
      <c r="G647" s="6"/>
      <c r="H647" s="6"/>
      <c r="I647" s="6"/>
      <c r="J647" s="6"/>
      <c r="K647" s="6"/>
      <c r="L647" s="6"/>
      <c r="M647" s="6"/>
      <c r="N647" s="6"/>
    </row>
    <row r="648">
      <c r="A648" s="6"/>
      <c r="B648" s="6"/>
      <c r="C648" s="6"/>
      <c r="D648" s="6"/>
      <c r="E648" s="6"/>
      <c r="F648" s="6"/>
      <c r="G648" s="6"/>
      <c r="H648" s="6"/>
      <c r="I648" s="6"/>
      <c r="J648" s="6"/>
      <c r="K648" s="6"/>
      <c r="L648" s="6"/>
      <c r="M648" s="6"/>
      <c r="N648" s="6"/>
    </row>
    <row r="649">
      <c r="A649" s="6"/>
      <c r="B649" s="6"/>
      <c r="C649" s="6"/>
      <c r="D649" s="6"/>
      <c r="E649" s="6"/>
      <c r="F649" s="6"/>
      <c r="G649" s="6"/>
      <c r="H649" s="6"/>
      <c r="I649" s="6"/>
      <c r="J649" s="6"/>
      <c r="K649" s="6"/>
      <c r="L649" s="6"/>
      <c r="M649" s="6"/>
      <c r="N649" s="6"/>
    </row>
    <row r="650">
      <c r="A650" s="6"/>
      <c r="B650" s="6"/>
      <c r="C650" s="6"/>
      <c r="D650" s="6"/>
      <c r="E650" s="6"/>
      <c r="F650" s="6"/>
      <c r="G650" s="6"/>
      <c r="H650" s="6"/>
      <c r="I650" s="6"/>
      <c r="J650" s="6"/>
      <c r="K650" s="6"/>
      <c r="L650" s="6"/>
      <c r="M650" s="6"/>
      <c r="N650" s="6"/>
    </row>
    <row r="651">
      <c r="A651" s="6"/>
      <c r="B651" s="6"/>
      <c r="C651" s="6"/>
      <c r="D651" s="6"/>
      <c r="E651" s="6"/>
      <c r="F651" s="6"/>
      <c r="G651" s="6"/>
      <c r="H651" s="6"/>
      <c r="I651" s="6"/>
      <c r="J651" s="6"/>
      <c r="K651" s="6"/>
      <c r="L651" s="6"/>
      <c r="M651" s="6"/>
      <c r="N651" s="6"/>
    </row>
    <row r="652">
      <c r="A652" s="6"/>
      <c r="B652" s="6"/>
      <c r="C652" s="6"/>
      <c r="D652" s="6"/>
      <c r="E652" s="6"/>
      <c r="F652" s="6"/>
      <c r="G652" s="6"/>
      <c r="H652" s="6"/>
      <c r="I652" s="6"/>
      <c r="J652" s="6"/>
      <c r="K652" s="6"/>
      <c r="L652" s="6"/>
      <c r="M652" s="6"/>
      <c r="N652" s="6"/>
    </row>
    <row r="653">
      <c r="A653" s="6"/>
      <c r="B653" s="6"/>
      <c r="C653" s="6"/>
      <c r="D653" s="6"/>
      <c r="E653" s="6"/>
      <c r="F653" s="6"/>
      <c r="G653" s="6"/>
      <c r="H653" s="6"/>
      <c r="I653" s="6"/>
      <c r="J653" s="6"/>
      <c r="K653" s="6"/>
      <c r="L653" s="6"/>
      <c r="M653" s="6"/>
      <c r="N653" s="6"/>
    </row>
    <row r="654">
      <c r="A654" s="6"/>
      <c r="B654" s="6"/>
      <c r="C654" s="6"/>
      <c r="D654" s="6"/>
      <c r="E654" s="6"/>
      <c r="F654" s="6"/>
      <c r="G654" s="6"/>
      <c r="H654" s="6"/>
      <c r="I654" s="6"/>
      <c r="J654" s="6"/>
      <c r="K654" s="6"/>
      <c r="L654" s="6"/>
      <c r="M654" s="6"/>
      <c r="N654" s="6"/>
    </row>
    <row r="655">
      <c r="A655" s="6"/>
      <c r="B655" s="6"/>
      <c r="C655" s="6"/>
      <c r="D655" s="6"/>
      <c r="E655" s="6"/>
      <c r="F655" s="6"/>
      <c r="G655" s="6"/>
      <c r="H655" s="6"/>
      <c r="I655" s="6"/>
      <c r="J655" s="6"/>
      <c r="K655" s="6"/>
      <c r="L655" s="6"/>
      <c r="M655" s="6"/>
      <c r="N655" s="6"/>
    </row>
    <row r="656">
      <c r="A656" s="6"/>
      <c r="B656" s="6"/>
      <c r="C656" s="6"/>
      <c r="D656" s="6"/>
      <c r="E656" s="6"/>
      <c r="F656" s="6"/>
      <c r="G656" s="6"/>
      <c r="H656" s="6"/>
      <c r="I656" s="6"/>
      <c r="J656" s="6"/>
      <c r="K656" s="6"/>
      <c r="L656" s="6"/>
      <c r="M656" s="6"/>
      <c r="N656" s="6"/>
    </row>
    <row r="657">
      <c r="A657" s="6"/>
      <c r="B657" s="6"/>
      <c r="C657" s="6"/>
      <c r="D657" s="6"/>
      <c r="E657" s="6"/>
      <c r="F657" s="6"/>
      <c r="G657" s="6"/>
      <c r="H657" s="6"/>
      <c r="I657" s="6"/>
      <c r="J657" s="6"/>
      <c r="K657" s="6"/>
      <c r="L657" s="6"/>
      <c r="M657" s="6"/>
      <c r="N657" s="6"/>
    </row>
    <row r="658">
      <c r="A658" s="6"/>
      <c r="B658" s="6"/>
      <c r="C658" s="6"/>
      <c r="D658" s="6"/>
      <c r="E658" s="6"/>
      <c r="F658" s="6"/>
      <c r="G658" s="6"/>
      <c r="H658" s="6"/>
      <c r="I658" s="6"/>
      <c r="J658" s="6"/>
      <c r="K658" s="6"/>
      <c r="L658" s="6"/>
      <c r="M658" s="6"/>
      <c r="N658" s="6"/>
    </row>
    <row r="659">
      <c r="A659" s="6"/>
      <c r="B659" s="6"/>
      <c r="C659" s="6"/>
      <c r="D659" s="6"/>
      <c r="E659" s="6"/>
      <c r="F659" s="6"/>
      <c r="G659" s="6"/>
      <c r="H659" s="6"/>
      <c r="I659" s="6"/>
      <c r="J659" s="6"/>
      <c r="K659" s="6"/>
      <c r="L659" s="6"/>
      <c r="M659" s="6"/>
      <c r="N659" s="6"/>
    </row>
    <row r="660">
      <c r="A660" s="6"/>
      <c r="B660" s="6"/>
      <c r="C660" s="6"/>
      <c r="D660" s="6"/>
      <c r="E660" s="6"/>
      <c r="F660" s="6"/>
      <c r="G660" s="6"/>
      <c r="H660" s="6"/>
      <c r="I660" s="6"/>
      <c r="J660" s="6"/>
      <c r="K660" s="6"/>
      <c r="L660" s="6"/>
      <c r="M660" s="6"/>
      <c r="N660" s="6"/>
    </row>
    <row r="661">
      <c r="A661" s="6"/>
      <c r="B661" s="6"/>
      <c r="C661" s="6"/>
      <c r="D661" s="6"/>
      <c r="E661" s="6"/>
      <c r="F661" s="6"/>
      <c r="G661" s="6"/>
      <c r="H661" s="6"/>
      <c r="I661" s="6"/>
      <c r="J661" s="6"/>
      <c r="K661" s="6"/>
      <c r="L661" s="6"/>
      <c r="M661" s="6"/>
      <c r="N661" s="6"/>
    </row>
    <row r="662">
      <c r="A662" s="6"/>
      <c r="B662" s="6"/>
      <c r="C662" s="6"/>
      <c r="D662" s="6"/>
      <c r="E662" s="6"/>
      <c r="F662" s="6"/>
      <c r="G662" s="6"/>
      <c r="H662" s="6"/>
      <c r="I662" s="6"/>
      <c r="J662" s="6"/>
      <c r="K662" s="6"/>
      <c r="L662" s="6"/>
      <c r="M662" s="6"/>
      <c r="N662" s="6"/>
    </row>
    <row r="663">
      <c r="A663" s="6"/>
      <c r="B663" s="6"/>
      <c r="C663" s="6"/>
      <c r="D663" s="6"/>
      <c r="E663" s="6"/>
      <c r="F663" s="6"/>
      <c r="G663" s="6"/>
      <c r="H663" s="6"/>
      <c r="I663" s="6"/>
      <c r="J663" s="6"/>
      <c r="K663" s="6"/>
      <c r="L663" s="6"/>
      <c r="M663" s="6"/>
      <c r="N663" s="6"/>
    </row>
    <row r="664">
      <c r="A664" s="6"/>
      <c r="B664" s="6"/>
      <c r="C664" s="6"/>
      <c r="D664" s="6"/>
      <c r="E664" s="6"/>
      <c r="F664" s="6"/>
      <c r="G664" s="6"/>
      <c r="H664" s="6"/>
      <c r="I664" s="6"/>
      <c r="J664" s="6"/>
      <c r="K664" s="6"/>
      <c r="L664" s="6"/>
      <c r="M664" s="6"/>
      <c r="N664" s="6"/>
    </row>
    <row r="665">
      <c r="A665" s="6"/>
      <c r="B665" s="6"/>
      <c r="C665" s="6"/>
      <c r="D665" s="6"/>
      <c r="E665" s="6"/>
      <c r="F665" s="6"/>
      <c r="G665" s="6"/>
      <c r="H665" s="6"/>
      <c r="I665" s="6"/>
      <c r="J665" s="6"/>
      <c r="K665" s="6"/>
      <c r="L665" s="6"/>
      <c r="M665" s="6"/>
      <c r="N665" s="6"/>
    </row>
    <row r="666">
      <c r="A666" s="6"/>
      <c r="B666" s="6"/>
      <c r="C666" s="6"/>
      <c r="D666" s="6"/>
      <c r="E666" s="6"/>
      <c r="F666" s="6"/>
      <c r="G666" s="6"/>
      <c r="H666" s="6"/>
      <c r="I666" s="6"/>
      <c r="J666" s="6"/>
      <c r="K666" s="6"/>
      <c r="L666" s="6"/>
      <c r="M666" s="6"/>
      <c r="N666" s="6"/>
    </row>
    <row r="667">
      <c r="A667" s="6"/>
      <c r="B667" s="6"/>
      <c r="C667" s="6"/>
      <c r="D667" s="6"/>
      <c r="E667" s="6"/>
      <c r="F667" s="6"/>
      <c r="G667" s="6"/>
      <c r="H667" s="6"/>
      <c r="I667" s="6"/>
      <c r="J667" s="6"/>
      <c r="K667" s="6"/>
      <c r="L667" s="6"/>
      <c r="M667" s="6"/>
      <c r="N667" s="6"/>
    </row>
    <row r="668">
      <c r="A668" s="6"/>
      <c r="B668" s="6"/>
      <c r="C668" s="6"/>
      <c r="D668" s="6"/>
      <c r="E668" s="6"/>
      <c r="F668" s="6"/>
      <c r="G668" s="6"/>
      <c r="H668" s="6"/>
      <c r="I668" s="6"/>
      <c r="J668" s="6"/>
      <c r="K668" s="6"/>
      <c r="L668" s="6"/>
      <c r="M668" s="6"/>
      <c r="N668" s="6"/>
    </row>
    <row r="669">
      <c r="A669" s="6"/>
      <c r="B669" s="6"/>
      <c r="C669" s="6"/>
      <c r="D669" s="6"/>
      <c r="E669" s="6"/>
      <c r="F669" s="6"/>
      <c r="G669" s="6"/>
      <c r="H669" s="6"/>
      <c r="I669" s="6"/>
      <c r="J669" s="6"/>
      <c r="K669" s="6"/>
      <c r="L669" s="6"/>
      <c r="M669" s="6"/>
      <c r="N669" s="6"/>
    </row>
    <row r="670">
      <c r="A670" s="6"/>
      <c r="B670" s="6"/>
      <c r="C670" s="6"/>
      <c r="D670" s="6"/>
      <c r="E670" s="6"/>
      <c r="F670" s="6"/>
      <c r="G670" s="6"/>
      <c r="H670" s="6"/>
      <c r="I670" s="6"/>
      <c r="J670" s="6"/>
      <c r="K670" s="6"/>
      <c r="L670" s="6"/>
      <c r="M670" s="6"/>
      <c r="N670" s="6"/>
    </row>
    <row r="671">
      <c r="A671" s="6"/>
      <c r="B671" s="6"/>
      <c r="C671" s="6"/>
      <c r="D671" s="6"/>
      <c r="E671" s="6"/>
      <c r="F671" s="6"/>
      <c r="G671" s="6"/>
      <c r="H671" s="6"/>
      <c r="I671" s="6"/>
      <c r="J671" s="6"/>
      <c r="K671" s="6"/>
      <c r="L671" s="6"/>
      <c r="M671" s="6"/>
      <c r="N671" s="6"/>
    </row>
    <row r="672">
      <c r="A672" s="6"/>
      <c r="B672" s="6"/>
      <c r="C672" s="6"/>
      <c r="D672" s="6"/>
      <c r="E672" s="6"/>
      <c r="F672" s="6"/>
      <c r="G672" s="6"/>
      <c r="H672" s="6"/>
      <c r="I672" s="6"/>
      <c r="J672" s="6"/>
      <c r="K672" s="6"/>
      <c r="L672" s="6"/>
      <c r="M672" s="6"/>
      <c r="N672" s="6"/>
    </row>
    <row r="673">
      <c r="A673" s="6"/>
      <c r="B673" s="6"/>
      <c r="C673" s="6"/>
      <c r="D673" s="6"/>
      <c r="E673" s="6"/>
      <c r="F673" s="6"/>
      <c r="G673" s="6"/>
      <c r="H673" s="6"/>
      <c r="I673" s="6"/>
      <c r="J673" s="6"/>
      <c r="K673" s="6"/>
      <c r="L673" s="6"/>
      <c r="M673" s="6"/>
      <c r="N673" s="6"/>
    </row>
    <row r="674">
      <c r="A674" s="6"/>
      <c r="B674" s="6"/>
      <c r="C674" s="6"/>
      <c r="D674" s="6"/>
      <c r="E674" s="6"/>
      <c r="F674" s="6"/>
      <c r="G674" s="6"/>
      <c r="H674" s="6"/>
      <c r="I674" s="6"/>
      <c r="J674" s="6"/>
      <c r="K674" s="6"/>
      <c r="L674" s="6"/>
      <c r="M674" s="6"/>
      <c r="N674" s="6"/>
    </row>
    <row r="675">
      <c r="A675" s="6"/>
      <c r="B675" s="6"/>
      <c r="C675" s="6"/>
      <c r="D675" s="6"/>
      <c r="E675" s="6"/>
      <c r="F675" s="6"/>
      <c r="G675" s="6"/>
      <c r="H675" s="6"/>
      <c r="I675" s="6"/>
      <c r="J675" s="6"/>
      <c r="K675" s="6"/>
      <c r="L675" s="6"/>
      <c r="M675" s="6"/>
      <c r="N675" s="6"/>
    </row>
    <row r="676">
      <c r="A676" s="6"/>
      <c r="B676" s="6"/>
      <c r="C676" s="6"/>
      <c r="D676" s="6"/>
      <c r="E676" s="6"/>
      <c r="F676" s="6"/>
      <c r="G676" s="6"/>
      <c r="H676" s="6"/>
      <c r="I676" s="6"/>
      <c r="J676" s="6"/>
      <c r="K676" s="6"/>
      <c r="L676" s="6"/>
      <c r="M676" s="6"/>
      <c r="N676" s="6"/>
    </row>
    <row r="677">
      <c r="A677" s="6"/>
      <c r="B677" s="6"/>
      <c r="C677" s="6"/>
      <c r="D677" s="6"/>
      <c r="E677" s="6"/>
      <c r="F677" s="6"/>
      <c r="G677" s="6"/>
      <c r="H677" s="6"/>
      <c r="I677" s="6"/>
      <c r="J677" s="6"/>
      <c r="K677" s="6"/>
      <c r="L677" s="6"/>
      <c r="M677" s="6"/>
      <c r="N677" s="6"/>
    </row>
    <row r="678">
      <c r="A678" s="6"/>
      <c r="B678" s="6"/>
      <c r="C678" s="6"/>
      <c r="D678" s="6"/>
      <c r="E678" s="6"/>
      <c r="F678" s="6"/>
      <c r="G678" s="6"/>
      <c r="H678" s="6"/>
      <c r="I678" s="6"/>
      <c r="J678" s="6"/>
      <c r="K678" s="6"/>
      <c r="L678" s="6"/>
      <c r="M678" s="6"/>
      <c r="N678" s="6"/>
    </row>
    <row r="679">
      <c r="A679" s="6"/>
      <c r="B679" s="6"/>
      <c r="C679" s="6"/>
      <c r="D679" s="6"/>
      <c r="E679" s="6"/>
      <c r="F679" s="6"/>
      <c r="G679" s="6"/>
      <c r="H679" s="6"/>
      <c r="I679" s="6"/>
      <c r="J679" s="6"/>
      <c r="K679" s="6"/>
      <c r="L679" s="6"/>
      <c r="M679" s="6"/>
      <c r="N679" s="6"/>
    </row>
    <row r="680">
      <c r="A680" s="6"/>
      <c r="B680" s="6"/>
      <c r="C680" s="6"/>
      <c r="D680" s="6"/>
      <c r="E680" s="6"/>
      <c r="F680" s="6"/>
      <c r="G680" s="6"/>
      <c r="H680" s="6"/>
      <c r="I680" s="6"/>
      <c r="J680" s="6"/>
      <c r="K680" s="6"/>
      <c r="L680" s="6"/>
      <c r="M680" s="6"/>
      <c r="N680" s="6"/>
    </row>
    <row r="681">
      <c r="A681" s="6"/>
      <c r="B681" s="6"/>
      <c r="C681" s="6"/>
      <c r="D681" s="6"/>
      <c r="E681" s="6"/>
      <c r="F681" s="6"/>
      <c r="G681" s="6"/>
      <c r="H681" s="6"/>
      <c r="I681" s="6"/>
      <c r="J681" s="6"/>
      <c r="K681" s="6"/>
      <c r="L681" s="6"/>
      <c r="M681" s="6"/>
      <c r="N681" s="6"/>
    </row>
    <row r="682">
      <c r="A682" s="6"/>
      <c r="B682" s="6"/>
      <c r="C682" s="6"/>
      <c r="D682" s="6"/>
      <c r="E682" s="6"/>
      <c r="F682" s="6"/>
      <c r="G682" s="6"/>
      <c r="H682" s="6"/>
      <c r="I682" s="6"/>
      <c r="J682" s="6"/>
      <c r="K682" s="6"/>
      <c r="L682" s="6"/>
      <c r="M682" s="6"/>
      <c r="N682" s="6"/>
    </row>
    <row r="683">
      <c r="A683" s="6"/>
      <c r="B683" s="6"/>
      <c r="C683" s="6"/>
      <c r="D683" s="6"/>
      <c r="E683" s="6"/>
      <c r="F683" s="6"/>
      <c r="G683" s="6"/>
      <c r="H683" s="6"/>
      <c r="I683" s="6"/>
      <c r="J683" s="6"/>
      <c r="K683" s="6"/>
      <c r="L683" s="6"/>
      <c r="M683" s="6"/>
      <c r="N683" s="6"/>
    </row>
    <row r="684">
      <c r="A684" s="6"/>
      <c r="B684" s="6"/>
      <c r="C684" s="6"/>
      <c r="D684" s="6"/>
      <c r="E684" s="6"/>
      <c r="F684" s="6"/>
      <c r="G684" s="6"/>
      <c r="H684" s="6"/>
      <c r="I684" s="6"/>
      <c r="J684" s="6"/>
      <c r="K684" s="6"/>
      <c r="L684" s="6"/>
      <c r="M684" s="6"/>
      <c r="N684" s="6"/>
    </row>
    <row r="685">
      <c r="A685" s="6"/>
      <c r="B685" s="6"/>
      <c r="C685" s="6"/>
      <c r="D685" s="6"/>
      <c r="E685" s="6"/>
      <c r="F685" s="6"/>
      <c r="G685" s="6"/>
      <c r="H685" s="6"/>
      <c r="I685" s="6"/>
      <c r="J685" s="6"/>
      <c r="K685" s="6"/>
      <c r="L685" s="6"/>
      <c r="M685" s="6"/>
      <c r="N685" s="6"/>
    </row>
    <row r="686">
      <c r="A686" s="6"/>
      <c r="B686" s="6"/>
      <c r="C686" s="6"/>
      <c r="D686" s="6"/>
      <c r="E686" s="6"/>
      <c r="F686" s="6"/>
      <c r="G686" s="6"/>
      <c r="H686" s="6"/>
      <c r="I686" s="6"/>
      <c r="J686" s="6"/>
      <c r="K686" s="6"/>
      <c r="L686" s="6"/>
      <c r="M686" s="6"/>
      <c r="N686" s="6"/>
    </row>
    <row r="687">
      <c r="A687" s="6"/>
      <c r="B687" s="6"/>
      <c r="C687" s="6"/>
      <c r="D687" s="6"/>
      <c r="E687" s="6"/>
      <c r="F687" s="6"/>
      <c r="G687" s="6"/>
      <c r="H687" s="6"/>
      <c r="I687" s="6"/>
      <c r="J687" s="6"/>
      <c r="K687" s="6"/>
      <c r="L687" s="6"/>
      <c r="M687" s="6"/>
      <c r="N687" s="6"/>
    </row>
    <row r="688">
      <c r="A688" s="6"/>
      <c r="B688" s="6"/>
      <c r="C688" s="6"/>
      <c r="D688" s="6"/>
      <c r="E688" s="6"/>
      <c r="F688" s="6"/>
      <c r="G688" s="6"/>
      <c r="H688" s="6"/>
      <c r="I688" s="6"/>
      <c r="J688" s="6"/>
      <c r="K688" s="6"/>
      <c r="L688" s="6"/>
      <c r="M688" s="6"/>
      <c r="N688" s="6"/>
    </row>
    <row r="689">
      <c r="A689" s="6"/>
      <c r="B689" s="6"/>
      <c r="C689" s="6"/>
      <c r="D689" s="6"/>
      <c r="E689" s="6"/>
      <c r="F689" s="6"/>
      <c r="G689" s="6"/>
      <c r="H689" s="6"/>
      <c r="I689" s="6"/>
      <c r="J689" s="6"/>
      <c r="K689" s="6"/>
      <c r="L689" s="6"/>
      <c r="M689" s="6"/>
      <c r="N689" s="6"/>
    </row>
    <row r="690">
      <c r="A690" s="6"/>
      <c r="B690" s="6"/>
      <c r="C690" s="6"/>
      <c r="D690" s="6"/>
      <c r="E690" s="6"/>
      <c r="F690" s="6"/>
      <c r="G690" s="6"/>
      <c r="H690" s="6"/>
      <c r="I690" s="6"/>
      <c r="J690" s="6"/>
      <c r="K690" s="6"/>
      <c r="L690" s="6"/>
      <c r="M690" s="6"/>
      <c r="N690" s="6"/>
    </row>
    <row r="691">
      <c r="A691" s="6"/>
      <c r="B691" s="6"/>
      <c r="C691" s="6"/>
      <c r="D691" s="6"/>
      <c r="E691" s="6"/>
      <c r="F691" s="6"/>
      <c r="G691" s="6"/>
      <c r="H691" s="6"/>
      <c r="I691" s="6"/>
      <c r="J691" s="6"/>
      <c r="K691" s="6"/>
      <c r="L691" s="6"/>
      <c r="M691" s="6"/>
      <c r="N691" s="6"/>
    </row>
    <row r="692">
      <c r="A692" s="6"/>
      <c r="B692" s="6"/>
      <c r="C692" s="6"/>
      <c r="D692" s="6"/>
      <c r="E692" s="6"/>
      <c r="F692" s="6"/>
      <c r="G692" s="6"/>
      <c r="H692" s="6"/>
      <c r="I692" s="6"/>
      <c r="J692" s="6"/>
      <c r="K692" s="6"/>
      <c r="L692" s="6"/>
      <c r="M692" s="6"/>
      <c r="N692" s="6"/>
    </row>
    <row r="693">
      <c r="A693" s="6"/>
      <c r="B693" s="6"/>
      <c r="C693" s="6"/>
      <c r="D693" s="6"/>
      <c r="E693" s="6"/>
      <c r="F693" s="6"/>
      <c r="G693" s="6"/>
      <c r="H693" s="6"/>
      <c r="I693" s="6"/>
      <c r="J693" s="6"/>
      <c r="K693" s="6"/>
      <c r="L693" s="6"/>
      <c r="M693" s="6"/>
      <c r="N693" s="6"/>
    </row>
    <row r="694">
      <c r="A694" s="6"/>
      <c r="B694" s="6"/>
      <c r="C694" s="6"/>
      <c r="D694" s="6"/>
      <c r="E694" s="6"/>
      <c r="F694" s="6"/>
      <c r="G694" s="6"/>
      <c r="H694" s="6"/>
      <c r="I694" s="6"/>
      <c r="J694" s="6"/>
      <c r="K694" s="6"/>
      <c r="L694" s="6"/>
      <c r="M694" s="6"/>
      <c r="N694" s="6"/>
    </row>
    <row r="695">
      <c r="A695" s="6"/>
      <c r="B695" s="6"/>
      <c r="C695" s="6"/>
      <c r="D695" s="6"/>
      <c r="E695" s="6"/>
      <c r="F695" s="6"/>
      <c r="G695" s="6"/>
      <c r="H695" s="6"/>
      <c r="I695" s="6"/>
      <c r="J695" s="6"/>
      <c r="K695" s="6"/>
      <c r="L695" s="6"/>
      <c r="M695" s="6"/>
      <c r="N695" s="6"/>
    </row>
    <row r="696">
      <c r="A696" s="6"/>
      <c r="B696" s="6"/>
      <c r="C696" s="6"/>
      <c r="D696" s="6"/>
      <c r="E696" s="6"/>
      <c r="F696" s="6"/>
      <c r="G696" s="6"/>
      <c r="H696" s="6"/>
      <c r="I696" s="6"/>
      <c r="J696" s="6"/>
      <c r="K696" s="6"/>
      <c r="L696" s="6"/>
      <c r="M696" s="6"/>
      <c r="N696" s="6"/>
    </row>
    <row r="697">
      <c r="A697" s="6"/>
      <c r="B697" s="6"/>
      <c r="C697" s="6"/>
      <c r="D697" s="6"/>
      <c r="E697" s="6"/>
      <c r="F697" s="6"/>
      <c r="G697" s="6"/>
      <c r="H697" s="6"/>
      <c r="I697" s="6"/>
      <c r="J697" s="6"/>
      <c r="K697" s="6"/>
      <c r="L697" s="6"/>
      <c r="M697" s="6"/>
      <c r="N697" s="6"/>
    </row>
    <row r="698">
      <c r="A698" s="6"/>
      <c r="B698" s="6"/>
      <c r="C698" s="6"/>
      <c r="D698" s="6"/>
      <c r="E698" s="6"/>
      <c r="F698" s="6"/>
      <c r="G698" s="6"/>
      <c r="H698" s="6"/>
      <c r="I698" s="6"/>
      <c r="J698" s="6"/>
      <c r="K698" s="6"/>
      <c r="L698" s="6"/>
      <c r="M698" s="6"/>
      <c r="N698" s="6"/>
    </row>
    <row r="699">
      <c r="A699" s="6"/>
      <c r="B699" s="6"/>
      <c r="C699" s="6"/>
      <c r="D699" s="6"/>
      <c r="E699" s="6"/>
      <c r="F699" s="6"/>
      <c r="G699" s="6"/>
      <c r="H699" s="6"/>
      <c r="I699" s="6"/>
      <c r="J699" s="6"/>
      <c r="K699" s="6"/>
      <c r="L699" s="6"/>
      <c r="M699" s="6"/>
      <c r="N699" s="6"/>
    </row>
    <row r="700">
      <c r="A700" s="6"/>
      <c r="B700" s="6"/>
      <c r="C700" s="6"/>
      <c r="D700" s="6"/>
      <c r="E700" s="6"/>
      <c r="F700" s="6"/>
      <c r="G700" s="6"/>
      <c r="H700" s="6"/>
      <c r="I700" s="6"/>
      <c r="J700" s="6"/>
      <c r="K700" s="6"/>
      <c r="L700" s="6"/>
      <c r="M700" s="6"/>
      <c r="N700" s="6"/>
    </row>
    <row r="701">
      <c r="A701" s="6"/>
      <c r="B701" s="6"/>
      <c r="C701" s="6"/>
      <c r="D701" s="6"/>
      <c r="E701" s="6"/>
      <c r="F701" s="6"/>
      <c r="G701" s="6"/>
      <c r="H701" s="6"/>
      <c r="I701" s="6"/>
      <c r="J701" s="6"/>
      <c r="K701" s="6"/>
      <c r="L701" s="6"/>
      <c r="M701" s="6"/>
      <c r="N701" s="6"/>
    </row>
    <row r="702">
      <c r="A702" s="6"/>
      <c r="B702" s="6"/>
      <c r="C702" s="6"/>
      <c r="D702" s="6"/>
      <c r="E702" s="6"/>
      <c r="F702" s="6"/>
      <c r="G702" s="6"/>
      <c r="H702" s="6"/>
      <c r="I702" s="6"/>
      <c r="J702" s="6"/>
      <c r="K702" s="6"/>
      <c r="L702" s="6"/>
      <c r="M702" s="6"/>
      <c r="N702" s="6"/>
    </row>
    <row r="703">
      <c r="A703" s="6"/>
      <c r="B703" s="6"/>
      <c r="C703" s="6"/>
      <c r="D703" s="6"/>
      <c r="E703" s="6"/>
      <c r="F703" s="6"/>
      <c r="G703" s="6"/>
      <c r="H703" s="6"/>
      <c r="I703" s="6"/>
      <c r="J703" s="6"/>
      <c r="K703" s="6"/>
      <c r="L703" s="6"/>
      <c r="M703" s="6"/>
      <c r="N703" s="6"/>
    </row>
    <row r="704">
      <c r="A704" s="6"/>
      <c r="B704" s="6"/>
      <c r="C704" s="6"/>
      <c r="D704" s="6"/>
      <c r="E704" s="6"/>
      <c r="F704" s="6"/>
      <c r="G704" s="6"/>
      <c r="H704" s="6"/>
      <c r="I704" s="6"/>
      <c r="J704" s="6"/>
      <c r="K704" s="6"/>
      <c r="L704" s="6"/>
      <c r="M704" s="6"/>
      <c r="N704" s="6"/>
    </row>
    <row r="705">
      <c r="A705" s="6"/>
      <c r="B705" s="6"/>
      <c r="C705" s="6"/>
      <c r="D705" s="6"/>
      <c r="E705" s="6"/>
      <c r="F705" s="6"/>
      <c r="G705" s="6"/>
      <c r="H705" s="6"/>
      <c r="I705" s="6"/>
      <c r="J705" s="6"/>
      <c r="K705" s="6"/>
      <c r="L705" s="6"/>
      <c r="M705" s="6"/>
      <c r="N705" s="6"/>
    </row>
    <row r="706">
      <c r="A706" s="6"/>
      <c r="B706" s="6"/>
      <c r="C706" s="6"/>
      <c r="D706" s="6"/>
      <c r="E706" s="6"/>
      <c r="F706" s="6"/>
      <c r="G706" s="6"/>
      <c r="H706" s="6"/>
      <c r="I706" s="6"/>
      <c r="J706" s="6"/>
      <c r="K706" s="6"/>
      <c r="L706" s="6"/>
      <c r="M706" s="6"/>
      <c r="N706" s="6"/>
    </row>
    <row r="707">
      <c r="A707" s="6"/>
      <c r="B707" s="6"/>
      <c r="C707" s="6"/>
      <c r="D707" s="6"/>
      <c r="E707" s="6"/>
      <c r="F707" s="6"/>
      <c r="G707" s="6"/>
      <c r="H707" s="6"/>
      <c r="I707" s="6"/>
      <c r="J707" s="6"/>
      <c r="K707" s="6"/>
      <c r="L707" s="6"/>
      <c r="M707" s="6"/>
      <c r="N707" s="6"/>
    </row>
    <row r="708">
      <c r="A708" s="6"/>
      <c r="B708" s="6"/>
      <c r="C708" s="6"/>
      <c r="D708" s="6"/>
      <c r="E708" s="6"/>
      <c r="F708" s="6"/>
      <c r="G708" s="6"/>
      <c r="H708" s="6"/>
      <c r="I708" s="6"/>
      <c r="J708" s="6"/>
      <c r="K708" s="6"/>
      <c r="L708" s="6"/>
      <c r="M708" s="6"/>
      <c r="N708" s="6"/>
    </row>
    <row r="709">
      <c r="A709" s="6"/>
      <c r="B709" s="6"/>
      <c r="C709" s="6"/>
      <c r="D709" s="6"/>
      <c r="E709" s="6"/>
      <c r="F709" s="6"/>
      <c r="G709" s="6"/>
      <c r="H709" s="6"/>
      <c r="I709" s="6"/>
      <c r="J709" s="6"/>
      <c r="K709" s="6"/>
      <c r="L709" s="6"/>
      <c r="M709" s="6"/>
      <c r="N709" s="6"/>
    </row>
    <row r="710">
      <c r="A710" s="6"/>
      <c r="B710" s="6"/>
      <c r="C710" s="6"/>
      <c r="D710" s="6"/>
      <c r="E710" s="6"/>
      <c r="F710" s="6"/>
      <c r="G710" s="6"/>
      <c r="H710" s="6"/>
      <c r="I710" s="6"/>
      <c r="J710" s="6"/>
      <c r="K710" s="6"/>
      <c r="L710" s="6"/>
      <c r="M710" s="6"/>
      <c r="N710" s="6"/>
    </row>
    <row r="711">
      <c r="A711" s="6"/>
      <c r="B711" s="6"/>
      <c r="C711" s="6"/>
      <c r="D711" s="6"/>
      <c r="E711" s="6"/>
      <c r="F711" s="6"/>
      <c r="G711" s="6"/>
      <c r="H711" s="6"/>
      <c r="I711" s="6"/>
      <c r="J711" s="6"/>
      <c r="K711" s="6"/>
      <c r="L711" s="6"/>
      <c r="M711" s="6"/>
      <c r="N711" s="6"/>
    </row>
    <row r="712">
      <c r="A712" s="6"/>
      <c r="B712" s="6"/>
      <c r="C712" s="6"/>
      <c r="D712" s="6"/>
      <c r="E712" s="6"/>
      <c r="F712" s="6"/>
      <c r="G712" s="6"/>
      <c r="H712" s="6"/>
      <c r="I712" s="6"/>
      <c r="J712" s="6"/>
      <c r="K712" s="6"/>
      <c r="L712" s="6"/>
      <c r="M712" s="6"/>
      <c r="N712" s="6"/>
    </row>
    <row r="713">
      <c r="A713" s="6"/>
      <c r="B713" s="6"/>
      <c r="C713" s="6"/>
      <c r="D713" s="6"/>
      <c r="E713" s="6"/>
      <c r="F713" s="6"/>
      <c r="G713" s="6"/>
      <c r="H713" s="6"/>
      <c r="I713" s="6"/>
      <c r="J713" s="6"/>
      <c r="K713" s="6"/>
      <c r="L713" s="6"/>
      <c r="M713" s="6"/>
      <c r="N713" s="6"/>
    </row>
    <row r="714">
      <c r="A714" s="6"/>
      <c r="B714" s="6"/>
      <c r="C714" s="6"/>
      <c r="D714" s="6"/>
      <c r="E714" s="6"/>
      <c r="F714" s="6"/>
      <c r="G714" s="6"/>
      <c r="H714" s="6"/>
      <c r="I714" s="6"/>
      <c r="J714" s="6"/>
      <c r="K714" s="6"/>
      <c r="L714" s="6"/>
      <c r="M714" s="6"/>
      <c r="N714" s="6"/>
    </row>
    <row r="715">
      <c r="A715" s="6"/>
      <c r="B715" s="6"/>
      <c r="C715" s="6"/>
      <c r="D715" s="6"/>
      <c r="E715" s="6"/>
      <c r="F715" s="6"/>
      <c r="G715" s="6"/>
      <c r="H715" s="6"/>
      <c r="I715" s="6"/>
      <c r="J715" s="6"/>
      <c r="K715" s="6"/>
      <c r="L715" s="6"/>
      <c r="M715" s="6"/>
      <c r="N715" s="6"/>
    </row>
    <row r="716">
      <c r="A716" s="6"/>
      <c r="B716" s="6"/>
      <c r="C716" s="6"/>
      <c r="D716" s="6"/>
      <c r="E716" s="6"/>
      <c r="F716" s="6"/>
      <c r="G716" s="6"/>
      <c r="H716" s="6"/>
      <c r="I716" s="6"/>
      <c r="J716" s="6"/>
      <c r="K716" s="6"/>
      <c r="L716" s="6"/>
      <c r="M716" s="6"/>
      <c r="N716" s="6"/>
    </row>
    <row r="717">
      <c r="A717" s="6"/>
      <c r="B717" s="6"/>
      <c r="C717" s="6"/>
      <c r="D717" s="6"/>
      <c r="E717" s="6"/>
      <c r="F717" s="6"/>
      <c r="G717" s="6"/>
      <c r="H717" s="6"/>
      <c r="I717" s="6"/>
      <c r="J717" s="6"/>
      <c r="K717" s="6"/>
      <c r="L717" s="6"/>
      <c r="M717" s="6"/>
      <c r="N717" s="6"/>
    </row>
    <row r="718">
      <c r="A718" s="6"/>
      <c r="B718" s="6"/>
      <c r="C718" s="6"/>
      <c r="D718" s="6"/>
      <c r="E718" s="6"/>
      <c r="F718" s="6"/>
      <c r="G718" s="6"/>
      <c r="H718" s="6"/>
      <c r="I718" s="6"/>
      <c r="J718" s="6"/>
      <c r="K718" s="6"/>
      <c r="L718" s="6"/>
      <c r="M718" s="6"/>
      <c r="N718" s="6"/>
    </row>
    <row r="719">
      <c r="A719" s="6"/>
      <c r="B719" s="6"/>
      <c r="C719" s="6"/>
      <c r="D719" s="6"/>
      <c r="E719" s="6"/>
      <c r="F719" s="6"/>
      <c r="G719" s="6"/>
      <c r="H719" s="6"/>
      <c r="I719" s="6"/>
      <c r="J719" s="6"/>
      <c r="K719" s="6"/>
      <c r="L719" s="6"/>
      <c r="M719" s="6"/>
      <c r="N719" s="6"/>
    </row>
    <row r="720">
      <c r="A720" s="6"/>
      <c r="B720" s="6"/>
      <c r="C720" s="6"/>
      <c r="D720" s="6"/>
      <c r="E720" s="6"/>
      <c r="F720" s="6"/>
      <c r="G720" s="6"/>
      <c r="H720" s="6"/>
      <c r="I720" s="6"/>
      <c r="J720" s="6"/>
      <c r="K720" s="6"/>
      <c r="L720" s="6"/>
      <c r="M720" s="6"/>
      <c r="N720" s="6"/>
    </row>
    <row r="721">
      <c r="A721" s="6"/>
      <c r="B721" s="6"/>
      <c r="C721" s="6"/>
      <c r="D721" s="6"/>
      <c r="E721" s="6"/>
      <c r="F721" s="6"/>
      <c r="G721" s="6"/>
      <c r="H721" s="6"/>
      <c r="I721" s="6"/>
      <c r="J721" s="6"/>
      <c r="K721" s="6"/>
      <c r="L721" s="6"/>
      <c r="M721" s="6"/>
      <c r="N721" s="6"/>
    </row>
    <row r="722">
      <c r="A722" s="6"/>
      <c r="B722" s="6"/>
      <c r="C722" s="6"/>
      <c r="D722" s="6"/>
      <c r="E722" s="6"/>
      <c r="F722" s="6"/>
      <c r="G722" s="6"/>
      <c r="H722" s="6"/>
      <c r="I722" s="6"/>
      <c r="J722" s="6"/>
      <c r="K722" s="6"/>
      <c r="L722" s="6"/>
      <c r="M722" s="6"/>
      <c r="N722" s="6"/>
    </row>
    <row r="723">
      <c r="A723" s="6"/>
      <c r="B723" s="6"/>
      <c r="C723" s="6"/>
      <c r="D723" s="6"/>
      <c r="E723" s="6"/>
      <c r="F723" s="6"/>
      <c r="G723" s="6"/>
      <c r="H723" s="6"/>
      <c r="I723" s="6"/>
      <c r="J723" s="6"/>
      <c r="K723" s="6"/>
      <c r="L723" s="6"/>
      <c r="M723" s="6"/>
      <c r="N723" s="6"/>
    </row>
    <row r="724">
      <c r="A724" s="6"/>
      <c r="B724" s="6"/>
      <c r="C724" s="6"/>
      <c r="D724" s="6"/>
      <c r="E724" s="6"/>
      <c r="F724" s="6"/>
      <c r="G724" s="6"/>
      <c r="H724" s="6"/>
      <c r="I724" s="6"/>
      <c r="J724" s="6"/>
      <c r="K724" s="6"/>
      <c r="L724" s="6"/>
      <c r="M724" s="6"/>
      <c r="N724" s="6"/>
    </row>
    <row r="725">
      <c r="A725" s="6"/>
      <c r="B725" s="6"/>
      <c r="C725" s="6"/>
      <c r="D725" s="6"/>
      <c r="E725" s="6"/>
      <c r="F725" s="6"/>
      <c r="G725" s="6"/>
      <c r="H725" s="6"/>
      <c r="I725" s="6"/>
      <c r="J725" s="6"/>
      <c r="K725" s="6"/>
      <c r="L725" s="6"/>
      <c r="M725" s="6"/>
      <c r="N725" s="6"/>
    </row>
    <row r="726">
      <c r="A726" s="6"/>
      <c r="B726" s="6"/>
      <c r="C726" s="6"/>
      <c r="D726" s="6"/>
      <c r="E726" s="6"/>
      <c r="F726" s="6"/>
      <c r="G726" s="6"/>
      <c r="H726" s="6"/>
      <c r="I726" s="6"/>
      <c r="J726" s="6"/>
      <c r="K726" s="6"/>
      <c r="L726" s="6"/>
      <c r="M726" s="6"/>
      <c r="N726" s="6"/>
    </row>
    <row r="727">
      <c r="A727" s="6"/>
      <c r="B727" s="6"/>
      <c r="C727" s="6"/>
      <c r="D727" s="6"/>
      <c r="E727" s="6"/>
      <c r="F727" s="6"/>
      <c r="G727" s="6"/>
      <c r="H727" s="6"/>
      <c r="I727" s="6"/>
      <c r="J727" s="6"/>
      <c r="K727" s="6"/>
      <c r="L727" s="6"/>
      <c r="M727" s="6"/>
      <c r="N727" s="6"/>
    </row>
    <row r="728">
      <c r="A728" s="6"/>
      <c r="B728" s="6"/>
      <c r="C728" s="6"/>
      <c r="D728" s="6"/>
      <c r="E728" s="6"/>
      <c r="F728" s="6"/>
      <c r="G728" s="6"/>
      <c r="H728" s="6"/>
      <c r="I728" s="6"/>
      <c r="J728" s="6"/>
      <c r="K728" s="6"/>
      <c r="L728" s="6"/>
      <c r="M728" s="6"/>
      <c r="N728" s="6"/>
    </row>
    <row r="729">
      <c r="A729" s="6"/>
      <c r="B729" s="6"/>
      <c r="C729" s="6"/>
      <c r="D729" s="6"/>
      <c r="E729" s="6"/>
      <c r="F729" s="6"/>
      <c r="G729" s="6"/>
      <c r="H729" s="6"/>
      <c r="I729" s="6"/>
      <c r="J729" s="6"/>
      <c r="K729" s="6"/>
      <c r="L729" s="6"/>
      <c r="M729" s="6"/>
      <c r="N729" s="6"/>
    </row>
    <row r="730">
      <c r="A730" s="6"/>
      <c r="B730" s="6"/>
      <c r="C730" s="6"/>
      <c r="D730" s="6"/>
      <c r="E730" s="6"/>
      <c r="F730" s="6"/>
      <c r="G730" s="6"/>
      <c r="H730" s="6"/>
      <c r="I730" s="6"/>
      <c r="J730" s="6"/>
      <c r="K730" s="6"/>
      <c r="L730" s="6"/>
      <c r="M730" s="6"/>
      <c r="N730" s="6"/>
    </row>
    <row r="731">
      <c r="A731" s="6"/>
      <c r="B731" s="6"/>
      <c r="C731" s="6"/>
      <c r="D731" s="6"/>
      <c r="E731" s="6"/>
      <c r="F731" s="6"/>
      <c r="G731" s="6"/>
      <c r="H731" s="6"/>
      <c r="I731" s="6"/>
      <c r="J731" s="6"/>
      <c r="K731" s="6"/>
      <c r="L731" s="6"/>
      <c r="M731" s="6"/>
      <c r="N731" s="6"/>
    </row>
    <row r="732">
      <c r="A732" s="6"/>
      <c r="B732" s="6"/>
      <c r="C732" s="6"/>
      <c r="D732" s="6"/>
      <c r="E732" s="6"/>
      <c r="F732" s="6"/>
      <c r="G732" s="6"/>
      <c r="H732" s="6"/>
      <c r="I732" s="6"/>
      <c r="J732" s="6"/>
      <c r="K732" s="6"/>
      <c r="L732" s="6"/>
      <c r="M732" s="6"/>
      <c r="N732" s="6"/>
    </row>
    <row r="733">
      <c r="A733" s="6"/>
      <c r="B733" s="6"/>
      <c r="C733" s="6"/>
      <c r="D733" s="6"/>
      <c r="E733" s="6"/>
      <c r="F733" s="6"/>
      <c r="G733" s="6"/>
      <c r="H733" s="6"/>
      <c r="I733" s="6"/>
      <c r="J733" s="6"/>
      <c r="K733" s="6"/>
      <c r="L733" s="6"/>
      <c r="M733" s="6"/>
      <c r="N733" s="6"/>
    </row>
    <row r="734">
      <c r="A734" s="6"/>
      <c r="B734" s="6"/>
      <c r="C734" s="6"/>
      <c r="D734" s="6"/>
      <c r="E734" s="6"/>
      <c r="F734" s="6"/>
      <c r="G734" s="6"/>
      <c r="H734" s="6"/>
      <c r="I734" s="6"/>
      <c r="J734" s="6"/>
      <c r="K734" s="6"/>
      <c r="L734" s="6"/>
      <c r="M734" s="6"/>
      <c r="N734" s="6"/>
    </row>
    <row r="735">
      <c r="A735" s="6"/>
      <c r="B735" s="6"/>
      <c r="C735" s="6"/>
      <c r="D735" s="6"/>
      <c r="E735" s="6"/>
      <c r="F735" s="6"/>
      <c r="G735" s="6"/>
      <c r="H735" s="6"/>
      <c r="I735" s="6"/>
      <c r="J735" s="6"/>
      <c r="K735" s="6"/>
      <c r="L735" s="6"/>
      <c r="M735" s="6"/>
      <c r="N735" s="6"/>
    </row>
    <row r="736">
      <c r="A736" s="6"/>
      <c r="B736" s="6"/>
      <c r="C736" s="6"/>
      <c r="D736" s="6"/>
      <c r="E736" s="6"/>
      <c r="F736" s="6"/>
      <c r="G736" s="6"/>
      <c r="H736" s="6"/>
      <c r="I736" s="6"/>
      <c r="J736" s="6"/>
      <c r="K736" s="6"/>
      <c r="L736" s="6"/>
      <c r="M736" s="6"/>
      <c r="N736" s="6"/>
    </row>
    <row r="737">
      <c r="A737" s="6"/>
      <c r="B737" s="6"/>
      <c r="C737" s="6"/>
      <c r="D737" s="6"/>
      <c r="E737" s="6"/>
      <c r="F737" s="6"/>
      <c r="G737" s="6"/>
      <c r="H737" s="6"/>
      <c r="I737" s="6"/>
      <c r="J737" s="6"/>
      <c r="K737" s="6"/>
      <c r="L737" s="6"/>
      <c r="M737" s="6"/>
      <c r="N737" s="6"/>
    </row>
    <row r="738">
      <c r="A738" s="6"/>
      <c r="B738" s="6"/>
      <c r="C738" s="6"/>
      <c r="D738" s="6"/>
      <c r="E738" s="6"/>
      <c r="F738" s="6"/>
      <c r="G738" s="6"/>
      <c r="H738" s="6"/>
      <c r="I738" s="6"/>
      <c r="J738" s="6"/>
      <c r="K738" s="6"/>
      <c r="L738" s="6"/>
      <c r="M738" s="6"/>
      <c r="N738" s="6"/>
    </row>
    <row r="739">
      <c r="A739" s="6"/>
      <c r="B739" s="6"/>
      <c r="C739" s="6"/>
      <c r="D739" s="6"/>
      <c r="E739" s="6"/>
      <c r="F739" s="6"/>
      <c r="G739" s="6"/>
      <c r="H739" s="6"/>
      <c r="I739" s="6"/>
      <c r="J739" s="6"/>
      <c r="K739" s="6"/>
      <c r="L739" s="6"/>
      <c r="M739" s="6"/>
      <c r="N739" s="6"/>
    </row>
    <row r="740">
      <c r="A740" s="6"/>
      <c r="B740" s="6"/>
      <c r="C740" s="6"/>
      <c r="D740" s="6"/>
      <c r="E740" s="6"/>
      <c r="F740" s="6"/>
      <c r="G740" s="6"/>
      <c r="H740" s="6"/>
      <c r="I740" s="6"/>
      <c r="J740" s="6"/>
      <c r="K740" s="6"/>
      <c r="L740" s="6"/>
      <c r="M740" s="6"/>
      <c r="N740" s="6"/>
    </row>
    <row r="741">
      <c r="A741" s="6"/>
      <c r="B741" s="6"/>
      <c r="C741" s="6"/>
      <c r="D741" s="6"/>
      <c r="E741" s="6"/>
      <c r="F741" s="6"/>
      <c r="G741" s="6"/>
      <c r="H741" s="6"/>
      <c r="I741" s="6"/>
      <c r="J741" s="6"/>
      <c r="K741" s="6"/>
      <c r="L741" s="6"/>
      <c r="M741" s="6"/>
      <c r="N741" s="6"/>
    </row>
    <row r="742">
      <c r="A742" s="6"/>
      <c r="B742" s="6"/>
      <c r="C742" s="6"/>
      <c r="D742" s="6"/>
      <c r="E742" s="6"/>
      <c r="F742" s="6"/>
      <c r="G742" s="6"/>
      <c r="H742" s="6"/>
      <c r="I742" s="6"/>
      <c r="J742" s="6"/>
      <c r="K742" s="6"/>
      <c r="L742" s="6"/>
      <c r="M742" s="6"/>
      <c r="N742" s="6"/>
    </row>
    <row r="743">
      <c r="A743" s="6"/>
      <c r="B743" s="6"/>
      <c r="C743" s="6"/>
      <c r="D743" s="6"/>
      <c r="E743" s="6"/>
      <c r="F743" s="6"/>
      <c r="G743" s="6"/>
      <c r="H743" s="6"/>
      <c r="I743" s="6"/>
      <c r="J743" s="6"/>
      <c r="K743" s="6"/>
      <c r="L743" s="6"/>
      <c r="M743" s="6"/>
      <c r="N743" s="6"/>
    </row>
    <row r="744">
      <c r="A744" s="6"/>
      <c r="B744" s="6"/>
      <c r="C744" s="6"/>
      <c r="D744" s="6"/>
      <c r="E744" s="6"/>
      <c r="F744" s="6"/>
      <c r="G744" s="6"/>
      <c r="H744" s="6"/>
      <c r="I744" s="6"/>
      <c r="J744" s="6"/>
      <c r="K744" s="6"/>
      <c r="L744" s="6"/>
      <c r="M744" s="6"/>
      <c r="N744" s="6"/>
    </row>
    <row r="745">
      <c r="A745" s="6"/>
      <c r="B745" s="6"/>
      <c r="C745" s="6"/>
      <c r="D745" s="6"/>
      <c r="E745" s="6"/>
      <c r="F745" s="6"/>
      <c r="G745" s="6"/>
      <c r="H745" s="6"/>
      <c r="I745" s="6"/>
      <c r="J745" s="6"/>
      <c r="K745" s="6"/>
      <c r="L745" s="6"/>
      <c r="M745" s="6"/>
      <c r="N745" s="6"/>
    </row>
    <row r="746">
      <c r="A746" s="6"/>
      <c r="B746" s="6"/>
      <c r="C746" s="6"/>
      <c r="D746" s="6"/>
      <c r="E746" s="6"/>
      <c r="F746" s="6"/>
      <c r="G746" s="6"/>
      <c r="H746" s="6"/>
      <c r="I746" s="6"/>
      <c r="J746" s="6"/>
      <c r="K746" s="6"/>
      <c r="L746" s="6"/>
      <c r="M746" s="6"/>
      <c r="N746" s="6"/>
    </row>
    <row r="747">
      <c r="A747" s="6"/>
      <c r="B747" s="6"/>
      <c r="C747" s="6"/>
      <c r="D747" s="6"/>
      <c r="E747" s="6"/>
      <c r="F747" s="6"/>
      <c r="G747" s="6"/>
      <c r="H747" s="6"/>
      <c r="I747" s="6"/>
      <c r="J747" s="6"/>
      <c r="K747" s="6"/>
      <c r="L747" s="6"/>
      <c r="M747" s="6"/>
      <c r="N747" s="6"/>
    </row>
    <row r="748">
      <c r="A748" s="6"/>
      <c r="B748" s="6"/>
      <c r="C748" s="6"/>
      <c r="D748" s="6"/>
      <c r="E748" s="6"/>
      <c r="F748" s="6"/>
      <c r="G748" s="6"/>
      <c r="H748" s="6"/>
      <c r="I748" s="6"/>
      <c r="J748" s="6"/>
      <c r="K748" s="6"/>
      <c r="L748" s="6"/>
      <c r="M748" s="6"/>
      <c r="N748" s="6"/>
    </row>
    <row r="749">
      <c r="A749" s="6"/>
      <c r="B749" s="6"/>
      <c r="C749" s="6"/>
      <c r="D749" s="6"/>
      <c r="E749" s="6"/>
      <c r="F749" s="6"/>
      <c r="G749" s="6"/>
      <c r="H749" s="6"/>
      <c r="I749" s="6"/>
      <c r="J749" s="6"/>
      <c r="K749" s="6"/>
      <c r="L749" s="6"/>
      <c r="M749" s="6"/>
      <c r="N749" s="6"/>
    </row>
    <row r="750">
      <c r="A750" s="6"/>
      <c r="B750" s="6"/>
      <c r="C750" s="6"/>
      <c r="D750" s="6"/>
      <c r="E750" s="6"/>
      <c r="F750" s="6"/>
      <c r="G750" s="6"/>
      <c r="H750" s="6"/>
      <c r="I750" s="6"/>
      <c r="J750" s="6"/>
      <c r="K750" s="6"/>
      <c r="L750" s="6"/>
      <c r="M750" s="6"/>
      <c r="N750" s="6"/>
    </row>
    <row r="751">
      <c r="A751" s="6"/>
      <c r="B751" s="6"/>
      <c r="C751" s="6"/>
      <c r="D751" s="6"/>
      <c r="E751" s="6"/>
      <c r="F751" s="6"/>
      <c r="G751" s="6"/>
      <c r="H751" s="6"/>
      <c r="I751" s="6"/>
      <c r="J751" s="6"/>
      <c r="K751" s="6"/>
      <c r="L751" s="6"/>
      <c r="M751" s="6"/>
      <c r="N751" s="6"/>
    </row>
    <row r="752">
      <c r="A752" s="6"/>
      <c r="B752" s="6"/>
      <c r="C752" s="6"/>
      <c r="D752" s="6"/>
      <c r="E752" s="6"/>
      <c r="F752" s="6"/>
      <c r="G752" s="6"/>
      <c r="H752" s="6"/>
      <c r="I752" s="6"/>
      <c r="J752" s="6"/>
      <c r="K752" s="6"/>
      <c r="L752" s="6"/>
      <c r="M752" s="6"/>
      <c r="N752" s="6"/>
    </row>
    <row r="753">
      <c r="A753" s="6"/>
      <c r="B753" s="6"/>
      <c r="C753" s="6"/>
      <c r="D753" s="6"/>
      <c r="E753" s="6"/>
      <c r="F753" s="6"/>
      <c r="G753" s="6"/>
      <c r="H753" s="6"/>
      <c r="I753" s="6"/>
      <c r="J753" s="6"/>
      <c r="K753" s="6"/>
      <c r="L753" s="6"/>
      <c r="M753" s="6"/>
      <c r="N753" s="6"/>
    </row>
    <row r="754">
      <c r="A754" s="6"/>
      <c r="B754" s="6"/>
      <c r="C754" s="6"/>
      <c r="D754" s="6"/>
      <c r="E754" s="6"/>
      <c r="F754" s="6"/>
      <c r="G754" s="6"/>
      <c r="H754" s="6"/>
      <c r="I754" s="6"/>
      <c r="J754" s="6"/>
      <c r="K754" s="6"/>
      <c r="L754" s="6"/>
      <c r="M754" s="6"/>
      <c r="N754" s="6"/>
    </row>
    <row r="755">
      <c r="A755" s="6"/>
      <c r="B755" s="6"/>
      <c r="C755" s="6"/>
      <c r="D755" s="6"/>
      <c r="E755" s="6"/>
      <c r="F755" s="6"/>
      <c r="G755" s="6"/>
      <c r="H755" s="6"/>
      <c r="I755" s="6"/>
      <c r="J755" s="6"/>
      <c r="K755" s="6"/>
      <c r="L755" s="6"/>
      <c r="M755" s="6"/>
      <c r="N755" s="6"/>
    </row>
    <row r="756">
      <c r="A756" s="6"/>
      <c r="B756" s="6"/>
      <c r="C756" s="6"/>
      <c r="D756" s="6"/>
      <c r="E756" s="6"/>
      <c r="F756" s="6"/>
      <c r="G756" s="6"/>
      <c r="H756" s="6"/>
      <c r="I756" s="6"/>
      <c r="J756" s="6"/>
      <c r="K756" s="6"/>
      <c r="L756" s="6"/>
      <c r="M756" s="6"/>
      <c r="N756" s="6"/>
    </row>
    <row r="757">
      <c r="A757" s="6"/>
      <c r="B757" s="6"/>
      <c r="C757" s="6"/>
      <c r="D757" s="6"/>
      <c r="E757" s="6"/>
      <c r="F757" s="6"/>
      <c r="G757" s="6"/>
      <c r="H757" s="6"/>
      <c r="I757" s="6"/>
      <c r="J757" s="6"/>
      <c r="K757" s="6"/>
      <c r="L757" s="6"/>
      <c r="M757" s="6"/>
      <c r="N757" s="6"/>
    </row>
    <row r="758">
      <c r="A758" s="6"/>
      <c r="B758" s="6"/>
      <c r="C758" s="6"/>
      <c r="D758" s="6"/>
      <c r="E758" s="6"/>
      <c r="F758" s="6"/>
      <c r="G758" s="6"/>
      <c r="H758" s="6"/>
      <c r="I758" s="6"/>
      <c r="J758" s="6"/>
      <c r="K758" s="6"/>
      <c r="L758" s="6"/>
      <c r="M758" s="6"/>
      <c r="N758" s="6"/>
    </row>
    <row r="759">
      <c r="A759" s="6"/>
      <c r="B759" s="6"/>
      <c r="C759" s="6"/>
      <c r="D759" s="6"/>
      <c r="E759" s="6"/>
      <c r="F759" s="6"/>
      <c r="G759" s="6"/>
      <c r="H759" s="6"/>
      <c r="I759" s="6"/>
      <c r="J759" s="6"/>
      <c r="K759" s="6"/>
      <c r="L759" s="6"/>
      <c r="M759" s="6"/>
      <c r="N759" s="6"/>
    </row>
    <row r="760">
      <c r="A760" s="6"/>
      <c r="B760" s="6"/>
      <c r="C760" s="6"/>
      <c r="D760" s="6"/>
      <c r="E760" s="6"/>
      <c r="F760" s="6"/>
      <c r="G760" s="6"/>
      <c r="H760" s="6"/>
      <c r="I760" s="6"/>
      <c r="J760" s="6"/>
      <c r="K760" s="6"/>
      <c r="L760" s="6"/>
      <c r="M760" s="6"/>
      <c r="N760" s="6"/>
    </row>
    <row r="761">
      <c r="A761" s="6"/>
      <c r="B761" s="6"/>
      <c r="C761" s="6"/>
      <c r="D761" s="6"/>
      <c r="E761" s="6"/>
      <c r="F761" s="6"/>
      <c r="G761" s="6"/>
      <c r="H761" s="6"/>
      <c r="I761" s="6"/>
      <c r="J761" s="6"/>
      <c r="K761" s="6"/>
      <c r="L761" s="6"/>
      <c r="M761" s="6"/>
      <c r="N761" s="6"/>
    </row>
    <row r="762">
      <c r="A762" s="6"/>
      <c r="B762" s="6"/>
      <c r="C762" s="6"/>
      <c r="D762" s="6"/>
      <c r="E762" s="6"/>
      <c r="F762" s="6"/>
      <c r="G762" s="6"/>
      <c r="H762" s="6"/>
      <c r="I762" s="6"/>
      <c r="J762" s="6"/>
      <c r="K762" s="6"/>
      <c r="L762" s="6"/>
      <c r="M762" s="6"/>
      <c r="N762" s="6"/>
    </row>
    <row r="763">
      <c r="A763" s="6"/>
      <c r="B763" s="6"/>
      <c r="C763" s="6"/>
      <c r="D763" s="6"/>
      <c r="E763" s="6"/>
      <c r="F763" s="6"/>
      <c r="G763" s="6"/>
      <c r="H763" s="6"/>
      <c r="I763" s="6"/>
      <c r="J763" s="6"/>
      <c r="K763" s="6"/>
      <c r="L763" s="6"/>
      <c r="M763" s="6"/>
      <c r="N763" s="6"/>
    </row>
    <row r="764">
      <c r="A764" s="6"/>
      <c r="B764" s="6"/>
      <c r="C764" s="6"/>
      <c r="D764" s="6"/>
      <c r="E764" s="6"/>
      <c r="F764" s="6"/>
      <c r="G764" s="6"/>
      <c r="H764" s="6"/>
      <c r="I764" s="6"/>
      <c r="J764" s="6"/>
      <c r="K764" s="6"/>
      <c r="L764" s="6"/>
      <c r="M764" s="6"/>
      <c r="N764" s="6"/>
    </row>
    <row r="765">
      <c r="A765" s="6"/>
      <c r="B765" s="6"/>
      <c r="C765" s="6"/>
      <c r="D765" s="6"/>
      <c r="E765" s="6"/>
      <c r="F765" s="6"/>
      <c r="G765" s="6"/>
      <c r="H765" s="6"/>
      <c r="I765" s="6"/>
      <c r="J765" s="6"/>
      <c r="K765" s="6"/>
      <c r="L765" s="6"/>
      <c r="M765" s="6"/>
      <c r="N765" s="6"/>
    </row>
    <row r="766">
      <c r="A766" s="6"/>
      <c r="B766" s="6"/>
      <c r="C766" s="6"/>
      <c r="D766" s="6"/>
      <c r="E766" s="6"/>
      <c r="F766" s="6"/>
      <c r="G766" s="6"/>
      <c r="H766" s="6"/>
      <c r="I766" s="6"/>
      <c r="J766" s="6"/>
      <c r="K766" s="6"/>
      <c r="L766" s="6"/>
      <c r="M766" s="6"/>
      <c r="N766" s="6"/>
    </row>
    <row r="767">
      <c r="A767" s="6"/>
      <c r="B767" s="6"/>
      <c r="C767" s="6"/>
      <c r="D767" s="6"/>
      <c r="E767" s="6"/>
      <c r="F767" s="6"/>
      <c r="G767" s="6"/>
      <c r="H767" s="6"/>
      <c r="I767" s="6"/>
      <c r="J767" s="6"/>
      <c r="K767" s="6"/>
      <c r="L767" s="6"/>
      <c r="M767" s="6"/>
      <c r="N767" s="6"/>
    </row>
    <row r="768">
      <c r="A768" s="6"/>
      <c r="B768" s="6"/>
      <c r="C768" s="6"/>
      <c r="D768" s="6"/>
      <c r="E768" s="6"/>
      <c r="F768" s="6"/>
      <c r="G768" s="6"/>
      <c r="H768" s="6"/>
      <c r="I768" s="6"/>
      <c r="J768" s="6"/>
      <c r="K768" s="6"/>
      <c r="L768" s="6"/>
      <c r="M768" s="6"/>
      <c r="N768" s="6"/>
    </row>
    <row r="769">
      <c r="A769" s="6"/>
      <c r="B769" s="6"/>
      <c r="C769" s="6"/>
      <c r="D769" s="6"/>
      <c r="E769" s="6"/>
      <c r="F769" s="6"/>
      <c r="G769" s="6"/>
      <c r="H769" s="6"/>
      <c r="I769" s="6"/>
      <c r="J769" s="6"/>
      <c r="K769" s="6"/>
      <c r="L769" s="6"/>
      <c r="M769" s="6"/>
      <c r="N769" s="6"/>
    </row>
    <row r="770">
      <c r="A770" s="6"/>
      <c r="B770" s="6"/>
      <c r="C770" s="6"/>
      <c r="D770" s="6"/>
      <c r="E770" s="6"/>
      <c r="F770" s="6"/>
      <c r="G770" s="6"/>
      <c r="H770" s="6"/>
      <c r="I770" s="6"/>
      <c r="J770" s="6"/>
      <c r="K770" s="6"/>
      <c r="L770" s="6"/>
      <c r="M770" s="6"/>
      <c r="N770" s="6"/>
    </row>
    <row r="771">
      <c r="A771" s="6"/>
      <c r="B771" s="6"/>
      <c r="C771" s="6"/>
      <c r="D771" s="6"/>
      <c r="E771" s="6"/>
      <c r="F771" s="6"/>
      <c r="G771" s="6"/>
      <c r="H771" s="6"/>
      <c r="I771" s="6"/>
      <c r="J771" s="6"/>
      <c r="K771" s="6"/>
      <c r="L771" s="6"/>
      <c r="M771" s="6"/>
      <c r="N771" s="6"/>
    </row>
    <row r="772">
      <c r="A772" s="6"/>
      <c r="B772" s="6"/>
      <c r="C772" s="6"/>
      <c r="D772" s="6"/>
      <c r="E772" s="6"/>
      <c r="F772" s="6"/>
      <c r="G772" s="6"/>
      <c r="H772" s="6"/>
      <c r="I772" s="6"/>
      <c r="J772" s="6"/>
      <c r="K772" s="6"/>
      <c r="L772" s="6"/>
      <c r="M772" s="6"/>
      <c r="N772" s="6"/>
    </row>
    <row r="773">
      <c r="A773" s="6"/>
      <c r="B773" s="6"/>
      <c r="C773" s="6"/>
      <c r="D773" s="6"/>
      <c r="E773" s="6"/>
      <c r="F773" s="6"/>
      <c r="G773" s="6"/>
      <c r="H773" s="6"/>
      <c r="I773" s="6"/>
      <c r="J773" s="6"/>
      <c r="K773" s="6"/>
      <c r="L773" s="6"/>
      <c r="M773" s="6"/>
      <c r="N773" s="6"/>
    </row>
    <row r="774">
      <c r="A774" s="6"/>
      <c r="B774" s="6"/>
      <c r="C774" s="6"/>
      <c r="D774" s="6"/>
      <c r="E774" s="6"/>
      <c r="F774" s="6"/>
      <c r="G774" s="6"/>
      <c r="H774" s="6"/>
      <c r="I774" s="6"/>
      <c r="J774" s="6"/>
      <c r="K774" s="6"/>
      <c r="L774" s="6"/>
      <c r="M774" s="6"/>
      <c r="N774" s="6"/>
    </row>
    <row r="775">
      <c r="A775" s="6"/>
      <c r="B775" s="6"/>
      <c r="C775" s="6"/>
      <c r="D775" s="6"/>
      <c r="E775" s="6"/>
      <c r="F775" s="6"/>
      <c r="G775" s="6"/>
      <c r="H775" s="6"/>
      <c r="I775" s="6"/>
      <c r="J775" s="6"/>
      <c r="K775" s="6"/>
      <c r="L775" s="6"/>
      <c r="M775" s="6"/>
      <c r="N775" s="6"/>
    </row>
    <row r="776">
      <c r="A776" s="6"/>
      <c r="B776" s="6"/>
      <c r="C776" s="6"/>
      <c r="D776" s="6"/>
      <c r="E776" s="6"/>
      <c r="F776" s="6"/>
      <c r="G776" s="6"/>
      <c r="H776" s="6"/>
      <c r="I776" s="6"/>
      <c r="J776" s="6"/>
      <c r="K776" s="6"/>
      <c r="L776" s="6"/>
      <c r="M776" s="6"/>
      <c r="N776" s="6"/>
    </row>
    <row r="777">
      <c r="A777" s="6"/>
      <c r="B777" s="6"/>
      <c r="C777" s="6"/>
      <c r="D777" s="6"/>
      <c r="E777" s="6"/>
      <c r="F777" s="6"/>
      <c r="G777" s="6"/>
      <c r="H777" s="6"/>
      <c r="I777" s="6"/>
      <c r="J777" s="6"/>
      <c r="K777" s="6"/>
      <c r="L777" s="6"/>
      <c r="M777" s="6"/>
      <c r="N777" s="6"/>
    </row>
    <row r="778">
      <c r="A778" s="6"/>
      <c r="B778" s="6"/>
      <c r="C778" s="6"/>
      <c r="D778" s="6"/>
      <c r="E778" s="6"/>
      <c r="F778" s="6"/>
      <c r="G778" s="6"/>
      <c r="H778" s="6"/>
      <c r="I778" s="6"/>
      <c r="J778" s="6"/>
      <c r="K778" s="6"/>
      <c r="L778" s="6"/>
      <c r="M778" s="6"/>
      <c r="N778" s="6"/>
    </row>
    <row r="779">
      <c r="A779" s="6"/>
      <c r="B779" s="6"/>
      <c r="C779" s="6"/>
      <c r="D779" s="6"/>
      <c r="E779" s="6"/>
      <c r="F779" s="6"/>
      <c r="G779" s="6"/>
      <c r="H779" s="6"/>
      <c r="I779" s="6"/>
      <c r="J779" s="6"/>
      <c r="K779" s="6"/>
      <c r="L779" s="6"/>
      <c r="M779" s="6"/>
      <c r="N779" s="6"/>
    </row>
    <row r="780">
      <c r="A780" s="6"/>
      <c r="B780" s="6"/>
      <c r="C780" s="6"/>
      <c r="D780" s="6"/>
      <c r="E780" s="6"/>
      <c r="F780" s="6"/>
      <c r="G780" s="6"/>
      <c r="H780" s="6"/>
      <c r="I780" s="6"/>
      <c r="J780" s="6"/>
      <c r="K780" s="6"/>
      <c r="L780" s="6"/>
      <c r="M780" s="6"/>
      <c r="N780" s="6"/>
    </row>
    <row r="781">
      <c r="A781" s="6"/>
      <c r="B781" s="6"/>
      <c r="C781" s="6"/>
      <c r="D781" s="6"/>
      <c r="E781" s="6"/>
      <c r="F781" s="6"/>
      <c r="G781" s="6"/>
      <c r="H781" s="6"/>
      <c r="I781" s="6"/>
      <c r="J781" s="6"/>
      <c r="K781" s="6"/>
      <c r="L781" s="6"/>
      <c r="M781" s="6"/>
      <c r="N781" s="6"/>
    </row>
    <row r="782">
      <c r="A782" s="6"/>
      <c r="B782" s="6"/>
      <c r="C782" s="6"/>
      <c r="D782" s="6"/>
      <c r="E782" s="6"/>
      <c r="F782" s="6"/>
      <c r="G782" s="6"/>
      <c r="H782" s="6"/>
      <c r="I782" s="6"/>
      <c r="J782" s="6"/>
      <c r="K782" s="6"/>
      <c r="L782" s="6"/>
      <c r="M782" s="6"/>
      <c r="N782" s="6"/>
    </row>
    <row r="783">
      <c r="A783" s="6"/>
      <c r="B783" s="6"/>
      <c r="C783" s="6"/>
      <c r="D783" s="6"/>
      <c r="E783" s="6"/>
      <c r="F783" s="6"/>
      <c r="G783" s="6"/>
      <c r="H783" s="6"/>
      <c r="I783" s="6"/>
      <c r="J783" s="6"/>
      <c r="K783" s="6"/>
      <c r="L783" s="6"/>
      <c r="M783" s="6"/>
      <c r="N783" s="6"/>
    </row>
    <row r="784">
      <c r="A784" s="6"/>
      <c r="B784" s="6"/>
      <c r="C784" s="6"/>
      <c r="D784" s="6"/>
      <c r="E784" s="6"/>
      <c r="F784" s="6"/>
      <c r="G784" s="6"/>
      <c r="H784" s="6"/>
      <c r="I784" s="6"/>
      <c r="J784" s="6"/>
      <c r="K784" s="6"/>
      <c r="L784" s="6"/>
      <c r="M784" s="6"/>
      <c r="N784" s="6"/>
    </row>
    <row r="785">
      <c r="A785" s="6"/>
      <c r="B785" s="6"/>
      <c r="C785" s="6"/>
      <c r="D785" s="6"/>
      <c r="E785" s="6"/>
      <c r="F785" s="6"/>
      <c r="G785" s="6"/>
      <c r="H785" s="6"/>
      <c r="I785" s="6"/>
      <c r="J785" s="6"/>
      <c r="K785" s="6"/>
      <c r="L785" s="6"/>
      <c r="M785" s="6"/>
      <c r="N785" s="6"/>
    </row>
    <row r="786">
      <c r="A786" s="6"/>
      <c r="B786" s="6"/>
      <c r="C786" s="6"/>
      <c r="D786" s="6"/>
      <c r="E786" s="6"/>
      <c r="F786" s="6"/>
      <c r="G786" s="6"/>
      <c r="H786" s="6"/>
      <c r="I786" s="6"/>
      <c r="J786" s="6"/>
      <c r="K786" s="6"/>
      <c r="L786" s="6"/>
      <c r="M786" s="6"/>
      <c r="N786" s="6"/>
    </row>
    <row r="787">
      <c r="A787" s="6"/>
      <c r="B787" s="6"/>
      <c r="C787" s="6"/>
      <c r="D787" s="6"/>
      <c r="E787" s="6"/>
      <c r="F787" s="6"/>
      <c r="G787" s="6"/>
      <c r="H787" s="6"/>
      <c r="I787" s="6"/>
      <c r="J787" s="6"/>
      <c r="K787" s="6"/>
      <c r="L787" s="6"/>
      <c r="M787" s="6"/>
      <c r="N787" s="6"/>
    </row>
    <row r="788">
      <c r="A788" s="6"/>
      <c r="B788" s="6"/>
      <c r="C788" s="6"/>
      <c r="D788" s="6"/>
      <c r="E788" s="6"/>
      <c r="F788" s="6"/>
      <c r="G788" s="6"/>
      <c r="H788" s="6"/>
      <c r="I788" s="6"/>
      <c r="J788" s="6"/>
      <c r="K788" s="6"/>
      <c r="L788" s="6"/>
      <c r="M788" s="6"/>
      <c r="N788" s="6"/>
    </row>
    <row r="789">
      <c r="A789" s="6"/>
      <c r="B789" s="6"/>
      <c r="C789" s="6"/>
      <c r="D789" s="6"/>
      <c r="E789" s="6"/>
      <c r="F789" s="6"/>
      <c r="G789" s="6"/>
      <c r="H789" s="6"/>
      <c r="I789" s="6"/>
      <c r="J789" s="6"/>
      <c r="K789" s="6"/>
      <c r="L789" s="6"/>
      <c r="M789" s="6"/>
      <c r="N789" s="6"/>
    </row>
    <row r="790">
      <c r="A790" s="6"/>
      <c r="B790" s="6"/>
      <c r="C790" s="6"/>
      <c r="D790" s="6"/>
      <c r="E790" s="6"/>
      <c r="F790" s="6"/>
      <c r="G790" s="6"/>
      <c r="H790" s="6"/>
      <c r="I790" s="6"/>
      <c r="J790" s="6"/>
      <c r="K790" s="6"/>
      <c r="L790" s="6"/>
      <c r="M790" s="6"/>
      <c r="N790" s="6"/>
    </row>
    <row r="791">
      <c r="A791" s="6"/>
      <c r="B791" s="6"/>
      <c r="C791" s="6"/>
      <c r="D791" s="6"/>
      <c r="E791" s="6"/>
      <c r="F791" s="6"/>
      <c r="G791" s="6"/>
      <c r="H791" s="6"/>
      <c r="I791" s="6"/>
      <c r="J791" s="6"/>
      <c r="K791" s="6"/>
      <c r="L791" s="6"/>
      <c r="M791" s="6"/>
      <c r="N791" s="6"/>
    </row>
    <row r="792">
      <c r="A792" s="6"/>
      <c r="B792" s="6"/>
      <c r="C792" s="6"/>
      <c r="D792" s="6"/>
      <c r="E792" s="6"/>
      <c r="F792" s="6"/>
      <c r="G792" s="6"/>
      <c r="H792" s="6"/>
      <c r="I792" s="6"/>
      <c r="J792" s="6"/>
      <c r="K792" s="6"/>
      <c r="L792" s="6"/>
      <c r="M792" s="6"/>
      <c r="N792" s="6"/>
    </row>
    <row r="793">
      <c r="A793" s="6"/>
      <c r="B793" s="6"/>
      <c r="C793" s="6"/>
      <c r="D793" s="6"/>
      <c r="E793" s="6"/>
      <c r="F793" s="6"/>
      <c r="G793" s="6"/>
      <c r="H793" s="6"/>
      <c r="I793" s="6"/>
      <c r="J793" s="6"/>
      <c r="K793" s="6"/>
      <c r="L793" s="6"/>
      <c r="M793" s="6"/>
      <c r="N793" s="6"/>
    </row>
    <row r="794">
      <c r="A794" s="6"/>
      <c r="B794" s="6"/>
      <c r="C794" s="6"/>
      <c r="D794" s="6"/>
      <c r="E794" s="6"/>
      <c r="F794" s="6"/>
      <c r="G794" s="6"/>
      <c r="H794" s="6"/>
      <c r="I794" s="6"/>
      <c r="J794" s="6"/>
      <c r="K794" s="6"/>
      <c r="L794" s="6"/>
      <c r="M794" s="6"/>
      <c r="N794" s="6"/>
    </row>
    <row r="795">
      <c r="A795" s="6"/>
      <c r="B795" s="6"/>
      <c r="C795" s="6"/>
      <c r="D795" s="6"/>
      <c r="E795" s="6"/>
      <c r="F795" s="6"/>
      <c r="G795" s="6"/>
      <c r="H795" s="6"/>
      <c r="I795" s="6"/>
      <c r="J795" s="6"/>
      <c r="K795" s="6"/>
      <c r="L795" s="6"/>
      <c r="M795" s="6"/>
      <c r="N795" s="6"/>
    </row>
    <row r="796">
      <c r="A796" s="6"/>
      <c r="B796" s="6"/>
      <c r="C796" s="6"/>
      <c r="D796" s="6"/>
      <c r="E796" s="6"/>
      <c r="F796" s="6"/>
      <c r="G796" s="6"/>
      <c r="H796" s="6"/>
      <c r="I796" s="6"/>
      <c r="J796" s="6"/>
      <c r="K796" s="6"/>
      <c r="L796" s="6"/>
      <c r="M796" s="6"/>
      <c r="N796" s="6"/>
    </row>
    <row r="797">
      <c r="A797" s="6"/>
      <c r="B797" s="6"/>
      <c r="C797" s="6"/>
      <c r="D797" s="6"/>
      <c r="E797" s="6"/>
      <c r="F797" s="6"/>
      <c r="G797" s="6"/>
      <c r="H797" s="6"/>
      <c r="I797" s="6"/>
      <c r="J797" s="6"/>
      <c r="K797" s="6"/>
      <c r="L797" s="6"/>
      <c r="M797" s="6"/>
      <c r="N797" s="6"/>
    </row>
    <row r="798">
      <c r="A798" s="6"/>
      <c r="B798" s="6"/>
      <c r="C798" s="6"/>
      <c r="D798" s="6"/>
      <c r="E798" s="6"/>
      <c r="F798" s="6"/>
      <c r="G798" s="6"/>
      <c r="H798" s="6"/>
      <c r="I798" s="6"/>
      <c r="J798" s="6"/>
      <c r="K798" s="6"/>
      <c r="L798" s="6"/>
      <c r="M798" s="6"/>
      <c r="N798" s="6"/>
    </row>
    <row r="799">
      <c r="A799" s="6"/>
      <c r="B799" s="6"/>
      <c r="C799" s="6"/>
      <c r="D799" s="6"/>
      <c r="E799" s="6"/>
      <c r="F799" s="6"/>
      <c r="G799" s="6"/>
      <c r="H799" s="6"/>
      <c r="I799" s="6"/>
      <c r="J799" s="6"/>
      <c r="K799" s="6"/>
      <c r="L799" s="6"/>
      <c r="M799" s="6"/>
      <c r="N799" s="6"/>
    </row>
    <row r="800">
      <c r="A800" s="6"/>
      <c r="B800" s="6"/>
      <c r="C800" s="6"/>
      <c r="D800" s="6"/>
      <c r="E800" s="6"/>
      <c r="F800" s="6"/>
      <c r="G800" s="6"/>
      <c r="H800" s="6"/>
      <c r="I800" s="6"/>
      <c r="J800" s="6"/>
      <c r="K800" s="6"/>
      <c r="L800" s="6"/>
      <c r="M800" s="6"/>
      <c r="N800" s="6"/>
    </row>
    <row r="801">
      <c r="A801" s="6"/>
      <c r="B801" s="6"/>
      <c r="C801" s="6"/>
      <c r="D801" s="6"/>
      <c r="E801" s="6"/>
      <c r="F801" s="6"/>
      <c r="G801" s="6"/>
      <c r="H801" s="6"/>
      <c r="I801" s="6"/>
      <c r="J801" s="6"/>
      <c r="K801" s="6"/>
      <c r="L801" s="6"/>
      <c r="M801" s="6"/>
      <c r="N801" s="6"/>
    </row>
    <row r="802">
      <c r="A802" s="6"/>
      <c r="B802" s="6"/>
      <c r="C802" s="6"/>
      <c r="D802" s="6"/>
      <c r="E802" s="6"/>
      <c r="F802" s="6"/>
      <c r="G802" s="6"/>
      <c r="H802" s="6"/>
      <c r="I802" s="6"/>
      <c r="J802" s="6"/>
      <c r="K802" s="6"/>
      <c r="L802" s="6"/>
      <c r="M802" s="6"/>
      <c r="N802" s="6"/>
    </row>
    <row r="803">
      <c r="A803" s="6"/>
      <c r="B803" s="6"/>
      <c r="C803" s="6"/>
      <c r="D803" s="6"/>
      <c r="E803" s="6"/>
      <c r="F803" s="6"/>
      <c r="G803" s="6"/>
      <c r="H803" s="6"/>
      <c r="I803" s="6"/>
      <c r="J803" s="6"/>
      <c r="K803" s="6"/>
      <c r="L803" s="6"/>
      <c r="M803" s="6"/>
      <c r="N803" s="6"/>
    </row>
    <row r="804">
      <c r="A804" s="6"/>
      <c r="B804" s="6"/>
      <c r="C804" s="6"/>
      <c r="D804" s="6"/>
      <c r="E804" s="6"/>
      <c r="F804" s="6"/>
      <c r="G804" s="6"/>
      <c r="H804" s="6"/>
      <c r="I804" s="6"/>
      <c r="J804" s="6"/>
      <c r="K804" s="6"/>
      <c r="L804" s="6"/>
      <c r="M804" s="6"/>
      <c r="N804" s="6"/>
    </row>
    <row r="805">
      <c r="A805" s="6"/>
      <c r="B805" s="6"/>
      <c r="C805" s="6"/>
      <c r="D805" s="6"/>
      <c r="E805" s="6"/>
      <c r="F805" s="6"/>
      <c r="G805" s="6"/>
      <c r="H805" s="6"/>
      <c r="I805" s="6"/>
      <c r="J805" s="6"/>
      <c r="K805" s="6"/>
      <c r="L805" s="6"/>
      <c r="M805" s="6"/>
      <c r="N805" s="6"/>
    </row>
    <row r="806">
      <c r="A806" s="6"/>
      <c r="B806" s="6"/>
      <c r="C806" s="6"/>
      <c r="D806" s="6"/>
      <c r="E806" s="6"/>
      <c r="F806" s="6"/>
      <c r="G806" s="6"/>
      <c r="H806" s="6"/>
      <c r="I806" s="6"/>
      <c r="J806" s="6"/>
      <c r="K806" s="6"/>
      <c r="L806" s="6"/>
      <c r="M806" s="6"/>
      <c r="N806" s="6"/>
    </row>
    <row r="807">
      <c r="A807" s="6"/>
      <c r="B807" s="6"/>
      <c r="C807" s="6"/>
      <c r="D807" s="6"/>
      <c r="E807" s="6"/>
      <c r="F807" s="6"/>
      <c r="G807" s="6"/>
      <c r="H807" s="6"/>
      <c r="I807" s="6"/>
      <c r="J807" s="6"/>
      <c r="K807" s="6"/>
      <c r="L807" s="6"/>
      <c r="M807" s="6"/>
      <c r="N807" s="6"/>
    </row>
    <row r="808">
      <c r="A808" s="6"/>
      <c r="B808" s="6"/>
      <c r="C808" s="6"/>
      <c r="D808" s="6"/>
      <c r="E808" s="6"/>
      <c r="F808" s="6"/>
      <c r="G808" s="6"/>
      <c r="H808" s="6"/>
      <c r="I808" s="6"/>
      <c r="J808" s="6"/>
      <c r="K808" s="6"/>
      <c r="L808" s="6"/>
      <c r="M808" s="6"/>
      <c r="N808" s="6"/>
    </row>
    <row r="809">
      <c r="A809" s="6"/>
      <c r="B809" s="6"/>
      <c r="C809" s="6"/>
      <c r="D809" s="6"/>
      <c r="E809" s="6"/>
      <c r="F809" s="6"/>
      <c r="G809" s="6"/>
      <c r="H809" s="6"/>
      <c r="I809" s="6"/>
      <c r="J809" s="6"/>
      <c r="K809" s="6"/>
      <c r="L809" s="6"/>
      <c r="M809" s="6"/>
      <c r="N809" s="6"/>
    </row>
    <row r="810">
      <c r="A810" s="6"/>
      <c r="B810" s="6"/>
      <c r="C810" s="6"/>
      <c r="D810" s="6"/>
      <c r="E810" s="6"/>
      <c r="F810" s="6"/>
      <c r="G810" s="6"/>
      <c r="H810" s="6"/>
      <c r="I810" s="6"/>
      <c r="J810" s="6"/>
      <c r="K810" s="6"/>
      <c r="L810" s="6"/>
      <c r="M810" s="6"/>
      <c r="N810" s="6"/>
    </row>
    <row r="811">
      <c r="A811" s="6"/>
      <c r="B811" s="6"/>
      <c r="C811" s="6"/>
      <c r="D811" s="6"/>
      <c r="E811" s="6"/>
      <c r="F811" s="6"/>
      <c r="G811" s="6"/>
      <c r="H811" s="6"/>
      <c r="I811" s="6"/>
      <c r="J811" s="6"/>
      <c r="K811" s="6"/>
      <c r="L811" s="6"/>
      <c r="M811" s="6"/>
      <c r="N811" s="6"/>
    </row>
    <row r="812">
      <c r="A812" s="6"/>
      <c r="B812" s="6"/>
      <c r="C812" s="6"/>
      <c r="D812" s="6"/>
      <c r="E812" s="6"/>
      <c r="F812" s="6"/>
      <c r="G812" s="6"/>
      <c r="H812" s="6"/>
      <c r="I812" s="6"/>
      <c r="J812" s="6"/>
      <c r="K812" s="6"/>
      <c r="L812" s="6"/>
      <c r="M812" s="6"/>
      <c r="N812" s="6"/>
    </row>
    <row r="813">
      <c r="A813" s="6"/>
      <c r="B813" s="6"/>
      <c r="C813" s="6"/>
      <c r="D813" s="6"/>
      <c r="E813" s="6"/>
      <c r="F813" s="6"/>
      <c r="G813" s="6"/>
      <c r="H813" s="6"/>
      <c r="I813" s="6"/>
      <c r="J813" s="6"/>
      <c r="K813" s="6"/>
      <c r="L813" s="6"/>
      <c r="M813" s="6"/>
      <c r="N813" s="6"/>
    </row>
    <row r="814">
      <c r="A814" s="6"/>
      <c r="B814" s="6"/>
      <c r="C814" s="6"/>
      <c r="D814" s="6"/>
      <c r="E814" s="6"/>
      <c r="F814" s="6"/>
      <c r="G814" s="6"/>
      <c r="H814" s="6"/>
      <c r="I814" s="6"/>
      <c r="J814" s="6"/>
      <c r="K814" s="6"/>
      <c r="L814" s="6"/>
      <c r="M814" s="6"/>
      <c r="N814" s="6"/>
    </row>
    <row r="815">
      <c r="A815" s="6"/>
      <c r="B815" s="6"/>
      <c r="C815" s="6"/>
      <c r="D815" s="6"/>
      <c r="E815" s="6"/>
      <c r="F815" s="6"/>
      <c r="G815" s="6"/>
      <c r="H815" s="6"/>
      <c r="I815" s="6"/>
      <c r="J815" s="6"/>
      <c r="K815" s="6"/>
      <c r="L815" s="6"/>
      <c r="M815" s="6"/>
      <c r="N815" s="6"/>
    </row>
    <row r="816">
      <c r="A816" s="6"/>
      <c r="B816" s="6"/>
      <c r="C816" s="6"/>
      <c r="D816" s="6"/>
      <c r="E816" s="6"/>
      <c r="F816" s="6"/>
      <c r="G816" s="6"/>
      <c r="H816" s="6"/>
      <c r="I816" s="6"/>
      <c r="J816" s="6"/>
      <c r="K816" s="6"/>
      <c r="L816" s="6"/>
      <c r="M816" s="6"/>
      <c r="N816" s="6"/>
    </row>
    <row r="817">
      <c r="A817" s="6"/>
      <c r="B817" s="6"/>
      <c r="C817" s="6"/>
      <c r="D817" s="6"/>
      <c r="E817" s="6"/>
      <c r="F817" s="6"/>
      <c r="G817" s="6"/>
      <c r="H817" s="6"/>
      <c r="I817" s="6"/>
      <c r="J817" s="6"/>
      <c r="K817" s="6"/>
      <c r="L817" s="6"/>
      <c r="M817" s="6"/>
      <c r="N817" s="6"/>
    </row>
    <row r="818">
      <c r="A818" s="6"/>
      <c r="B818" s="6"/>
      <c r="C818" s="6"/>
      <c r="D818" s="6"/>
      <c r="E818" s="6"/>
      <c r="F818" s="6"/>
      <c r="G818" s="6"/>
      <c r="H818" s="6"/>
      <c r="I818" s="6"/>
      <c r="J818" s="6"/>
      <c r="K818" s="6"/>
      <c r="L818" s="6"/>
      <c r="M818" s="6"/>
      <c r="N818" s="6"/>
    </row>
    <row r="819">
      <c r="A819" s="6"/>
      <c r="B819" s="6"/>
      <c r="C819" s="6"/>
      <c r="D819" s="6"/>
      <c r="E819" s="6"/>
      <c r="F819" s="6"/>
      <c r="G819" s="6"/>
      <c r="H819" s="6"/>
      <c r="I819" s="6"/>
      <c r="J819" s="6"/>
      <c r="K819" s="6"/>
      <c r="L819" s="6"/>
      <c r="M819" s="6"/>
      <c r="N819" s="6"/>
    </row>
    <row r="820">
      <c r="A820" s="6"/>
      <c r="B820" s="6"/>
      <c r="C820" s="6"/>
      <c r="D820" s="6"/>
      <c r="E820" s="6"/>
      <c r="F820" s="6"/>
      <c r="G820" s="6"/>
      <c r="H820" s="6"/>
      <c r="I820" s="6"/>
      <c r="J820" s="6"/>
      <c r="K820" s="6"/>
      <c r="L820" s="6"/>
      <c r="M820" s="6"/>
      <c r="N820" s="6"/>
    </row>
    <row r="821">
      <c r="A821" s="6"/>
      <c r="B821" s="6"/>
      <c r="C821" s="6"/>
      <c r="D821" s="6"/>
      <c r="E821" s="6"/>
      <c r="F821" s="6"/>
      <c r="G821" s="6"/>
      <c r="H821" s="6"/>
      <c r="I821" s="6"/>
      <c r="J821" s="6"/>
      <c r="K821" s="6"/>
      <c r="L821" s="6"/>
      <c r="M821" s="6"/>
      <c r="N821" s="6"/>
    </row>
    <row r="822">
      <c r="A822" s="6"/>
      <c r="B822" s="6"/>
      <c r="C822" s="6"/>
      <c r="D822" s="6"/>
      <c r="E822" s="6"/>
      <c r="F822" s="6"/>
      <c r="G822" s="6"/>
      <c r="H822" s="6"/>
      <c r="I822" s="6"/>
      <c r="J822" s="6"/>
      <c r="K822" s="6"/>
      <c r="L822" s="6"/>
      <c r="M822" s="6"/>
      <c r="N822" s="6"/>
    </row>
    <row r="823">
      <c r="A823" s="6"/>
      <c r="B823" s="6"/>
      <c r="C823" s="6"/>
      <c r="D823" s="6"/>
      <c r="E823" s="6"/>
      <c r="F823" s="6"/>
      <c r="G823" s="6"/>
      <c r="H823" s="6"/>
      <c r="I823" s="6"/>
      <c r="J823" s="6"/>
      <c r="K823" s="6"/>
      <c r="L823" s="6"/>
      <c r="M823" s="6"/>
      <c r="N823" s="6"/>
    </row>
    <row r="824">
      <c r="A824" s="6"/>
      <c r="B824" s="6"/>
      <c r="C824" s="6"/>
      <c r="D824" s="6"/>
      <c r="E824" s="6"/>
      <c r="F824" s="6"/>
      <c r="G824" s="6"/>
      <c r="H824" s="6"/>
      <c r="I824" s="6"/>
      <c r="J824" s="6"/>
      <c r="K824" s="6"/>
      <c r="L824" s="6"/>
      <c r="M824" s="6"/>
      <c r="N824" s="6"/>
    </row>
    <row r="825">
      <c r="A825" s="6"/>
      <c r="B825" s="6"/>
      <c r="C825" s="6"/>
      <c r="D825" s="6"/>
      <c r="E825" s="6"/>
      <c r="F825" s="6"/>
      <c r="G825" s="6"/>
      <c r="H825" s="6"/>
      <c r="I825" s="6"/>
      <c r="J825" s="6"/>
      <c r="K825" s="6"/>
      <c r="L825" s="6"/>
      <c r="M825" s="6"/>
      <c r="N825" s="6"/>
    </row>
    <row r="826">
      <c r="A826" s="6"/>
      <c r="B826" s="6"/>
      <c r="C826" s="6"/>
      <c r="D826" s="6"/>
      <c r="E826" s="6"/>
      <c r="F826" s="6"/>
      <c r="G826" s="6"/>
      <c r="H826" s="6"/>
      <c r="I826" s="6"/>
      <c r="J826" s="6"/>
      <c r="K826" s="6"/>
      <c r="L826" s="6"/>
      <c r="M826" s="6"/>
      <c r="N826" s="6"/>
    </row>
    <row r="827">
      <c r="A827" s="6"/>
      <c r="B827" s="6"/>
      <c r="C827" s="6"/>
      <c r="D827" s="6"/>
      <c r="E827" s="6"/>
      <c r="F827" s="6"/>
      <c r="G827" s="6"/>
      <c r="H827" s="6"/>
      <c r="I827" s="6"/>
      <c r="J827" s="6"/>
      <c r="K827" s="6"/>
      <c r="L827" s="6"/>
      <c r="M827" s="6"/>
      <c r="N827" s="6"/>
    </row>
    <row r="828">
      <c r="A828" s="6"/>
      <c r="B828" s="6"/>
      <c r="C828" s="6"/>
      <c r="D828" s="6"/>
      <c r="E828" s="6"/>
      <c r="F828" s="6"/>
      <c r="G828" s="6"/>
      <c r="H828" s="6"/>
      <c r="I828" s="6"/>
      <c r="J828" s="6"/>
      <c r="K828" s="6"/>
      <c r="L828" s="6"/>
      <c r="M828" s="6"/>
      <c r="N828" s="6"/>
    </row>
    <row r="829">
      <c r="A829" s="6"/>
      <c r="B829" s="6"/>
      <c r="C829" s="6"/>
      <c r="D829" s="6"/>
      <c r="E829" s="6"/>
      <c r="F829" s="6"/>
      <c r="G829" s="6"/>
      <c r="H829" s="6"/>
      <c r="I829" s="6"/>
      <c r="J829" s="6"/>
      <c r="K829" s="6"/>
      <c r="L829" s="6"/>
      <c r="M829" s="6"/>
      <c r="N829" s="6"/>
    </row>
    <row r="830">
      <c r="A830" s="6"/>
      <c r="B830" s="6"/>
      <c r="C830" s="6"/>
      <c r="D830" s="6"/>
      <c r="E830" s="6"/>
      <c r="F830" s="6"/>
      <c r="G830" s="6"/>
      <c r="H830" s="6"/>
      <c r="I830" s="6"/>
      <c r="J830" s="6"/>
      <c r="K830" s="6"/>
      <c r="L830" s="6"/>
      <c r="M830" s="6"/>
      <c r="N830" s="6"/>
    </row>
    <row r="831">
      <c r="A831" s="6"/>
      <c r="B831" s="6"/>
      <c r="C831" s="6"/>
      <c r="D831" s="6"/>
      <c r="E831" s="6"/>
      <c r="F831" s="6"/>
      <c r="G831" s="6"/>
      <c r="H831" s="6"/>
      <c r="I831" s="6"/>
      <c r="J831" s="6"/>
      <c r="K831" s="6"/>
      <c r="L831" s="6"/>
      <c r="M831" s="6"/>
      <c r="N831" s="6"/>
    </row>
    <row r="832">
      <c r="A832" s="6"/>
      <c r="B832" s="6"/>
      <c r="C832" s="6"/>
      <c r="D832" s="6"/>
      <c r="E832" s="6"/>
      <c r="F832" s="6"/>
      <c r="G832" s="6"/>
      <c r="H832" s="6"/>
      <c r="I832" s="6"/>
      <c r="J832" s="6"/>
      <c r="K832" s="6"/>
      <c r="L832" s="6"/>
      <c r="M832" s="6"/>
      <c r="N832" s="6"/>
    </row>
    <row r="833">
      <c r="A833" s="6"/>
      <c r="B833" s="6"/>
      <c r="C833" s="6"/>
      <c r="D833" s="6"/>
      <c r="E833" s="6"/>
      <c r="F833" s="6"/>
      <c r="G833" s="6"/>
      <c r="H833" s="6"/>
      <c r="I833" s="6"/>
      <c r="J833" s="6"/>
      <c r="K833" s="6"/>
      <c r="L833" s="6"/>
      <c r="M833" s="6"/>
      <c r="N833" s="6"/>
    </row>
    <row r="834">
      <c r="A834" s="6"/>
      <c r="B834" s="6"/>
      <c r="C834" s="6"/>
      <c r="D834" s="6"/>
      <c r="E834" s="6"/>
      <c r="F834" s="6"/>
      <c r="G834" s="6"/>
      <c r="H834" s="6"/>
      <c r="I834" s="6"/>
      <c r="J834" s="6"/>
      <c r="K834" s="6"/>
      <c r="L834" s="6"/>
      <c r="M834" s="6"/>
      <c r="N834" s="6"/>
    </row>
    <row r="835">
      <c r="A835" s="6"/>
      <c r="B835" s="6"/>
      <c r="C835" s="6"/>
      <c r="D835" s="6"/>
      <c r="E835" s="6"/>
      <c r="F835" s="6"/>
      <c r="G835" s="6"/>
      <c r="H835" s="6"/>
      <c r="I835" s="6"/>
      <c r="J835" s="6"/>
      <c r="K835" s="6"/>
      <c r="L835" s="6"/>
      <c r="M835" s="6"/>
      <c r="N835" s="6"/>
    </row>
    <row r="836">
      <c r="A836" s="6"/>
      <c r="B836" s="6"/>
      <c r="C836" s="6"/>
      <c r="D836" s="6"/>
      <c r="E836" s="6"/>
      <c r="F836" s="6"/>
      <c r="G836" s="6"/>
      <c r="H836" s="6"/>
      <c r="I836" s="6"/>
      <c r="J836" s="6"/>
      <c r="K836" s="6"/>
      <c r="L836" s="6"/>
      <c r="M836" s="6"/>
      <c r="N836" s="6"/>
    </row>
    <row r="837">
      <c r="A837" s="6"/>
      <c r="B837" s="6"/>
      <c r="C837" s="6"/>
      <c r="D837" s="6"/>
      <c r="E837" s="6"/>
      <c r="F837" s="6"/>
      <c r="G837" s="6"/>
      <c r="H837" s="6"/>
      <c r="I837" s="6"/>
      <c r="J837" s="6"/>
      <c r="K837" s="6"/>
      <c r="L837" s="6"/>
      <c r="M837" s="6"/>
      <c r="N837" s="6"/>
    </row>
    <row r="838">
      <c r="A838" s="6"/>
      <c r="B838" s="6"/>
      <c r="C838" s="6"/>
      <c r="D838" s="6"/>
      <c r="E838" s="6"/>
      <c r="F838" s="6"/>
      <c r="G838" s="6"/>
      <c r="H838" s="6"/>
      <c r="I838" s="6"/>
      <c r="J838" s="6"/>
      <c r="K838" s="6"/>
      <c r="L838" s="6"/>
      <c r="M838" s="6"/>
      <c r="N838" s="6"/>
    </row>
    <row r="839">
      <c r="A839" s="6"/>
      <c r="B839" s="6"/>
      <c r="C839" s="6"/>
      <c r="D839" s="6"/>
      <c r="E839" s="6"/>
      <c r="F839" s="6"/>
      <c r="G839" s="6"/>
      <c r="H839" s="6"/>
      <c r="I839" s="6"/>
      <c r="J839" s="6"/>
      <c r="K839" s="6"/>
      <c r="L839" s="6"/>
      <c r="M839" s="6"/>
      <c r="N839" s="6"/>
    </row>
    <row r="840">
      <c r="A840" s="6"/>
      <c r="B840" s="6"/>
      <c r="C840" s="6"/>
      <c r="D840" s="6"/>
      <c r="E840" s="6"/>
      <c r="F840" s="6"/>
      <c r="G840" s="6"/>
      <c r="H840" s="6"/>
      <c r="I840" s="6"/>
      <c r="J840" s="6"/>
      <c r="K840" s="6"/>
      <c r="L840" s="6"/>
      <c r="M840" s="6"/>
      <c r="N840" s="6"/>
    </row>
    <row r="841">
      <c r="A841" s="6"/>
      <c r="B841" s="6"/>
      <c r="C841" s="6"/>
      <c r="D841" s="6"/>
      <c r="E841" s="6"/>
      <c r="F841" s="6"/>
      <c r="G841" s="6"/>
      <c r="H841" s="6"/>
      <c r="I841" s="6"/>
      <c r="J841" s="6"/>
      <c r="K841" s="6"/>
      <c r="L841" s="6"/>
      <c r="M841" s="6"/>
      <c r="N841" s="6"/>
    </row>
    <row r="842">
      <c r="A842" s="6"/>
      <c r="B842" s="6"/>
      <c r="C842" s="6"/>
      <c r="D842" s="6"/>
      <c r="E842" s="6"/>
      <c r="F842" s="6"/>
      <c r="G842" s="6"/>
      <c r="H842" s="6"/>
      <c r="I842" s="6"/>
      <c r="J842" s="6"/>
      <c r="K842" s="6"/>
      <c r="L842" s="6"/>
      <c r="M842" s="6"/>
      <c r="N842" s="6"/>
    </row>
    <row r="843">
      <c r="A843" s="6"/>
      <c r="B843" s="6"/>
      <c r="C843" s="6"/>
      <c r="D843" s="6"/>
      <c r="E843" s="6"/>
      <c r="F843" s="6"/>
      <c r="G843" s="6"/>
      <c r="H843" s="6"/>
      <c r="I843" s="6"/>
      <c r="J843" s="6"/>
      <c r="K843" s="6"/>
      <c r="L843" s="6"/>
      <c r="M843" s="6"/>
      <c r="N843" s="6"/>
    </row>
    <row r="844">
      <c r="A844" s="6"/>
      <c r="B844" s="6"/>
      <c r="C844" s="6"/>
      <c r="D844" s="6"/>
      <c r="E844" s="6"/>
      <c r="F844" s="6"/>
      <c r="G844" s="6"/>
      <c r="H844" s="6"/>
      <c r="I844" s="6"/>
      <c r="J844" s="6"/>
      <c r="K844" s="6"/>
      <c r="L844" s="6"/>
      <c r="M844" s="6"/>
      <c r="N844" s="6"/>
    </row>
    <row r="845">
      <c r="A845" s="6"/>
      <c r="B845" s="6"/>
      <c r="C845" s="6"/>
      <c r="D845" s="6"/>
      <c r="E845" s="6"/>
      <c r="F845" s="6"/>
      <c r="G845" s="6"/>
      <c r="H845" s="6"/>
      <c r="I845" s="6"/>
      <c r="J845" s="6"/>
      <c r="K845" s="6"/>
      <c r="L845" s="6"/>
      <c r="M845" s="6"/>
      <c r="N845" s="6"/>
    </row>
    <row r="846">
      <c r="A846" s="6"/>
      <c r="B846" s="6"/>
      <c r="C846" s="6"/>
      <c r="D846" s="6"/>
      <c r="E846" s="6"/>
      <c r="F846" s="6"/>
      <c r="G846" s="6"/>
      <c r="H846" s="6"/>
      <c r="I846" s="6"/>
      <c r="J846" s="6"/>
      <c r="K846" s="6"/>
      <c r="L846" s="6"/>
      <c r="M846" s="6"/>
      <c r="N846" s="6"/>
    </row>
    <row r="847">
      <c r="A847" s="6"/>
      <c r="B847" s="6"/>
      <c r="C847" s="6"/>
      <c r="D847" s="6"/>
      <c r="E847" s="6"/>
      <c r="F847" s="6"/>
      <c r="G847" s="6"/>
      <c r="H847" s="6"/>
      <c r="I847" s="6"/>
      <c r="J847" s="6"/>
      <c r="K847" s="6"/>
      <c r="L847" s="6"/>
      <c r="M847" s="6"/>
      <c r="N847" s="6"/>
    </row>
    <row r="848">
      <c r="A848" s="6"/>
      <c r="B848" s="6"/>
      <c r="C848" s="6"/>
      <c r="D848" s="6"/>
      <c r="E848" s="6"/>
      <c r="F848" s="6"/>
      <c r="G848" s="6"/>
      <c r="H848" s="6"/>
      <c r="I848" s="6"/>
      <c r="J848" s="6"/>
      <c r="K848" s="6"/>
      <c r="L848" s="6"/>
      <c r="M848" s="6"/>
      <c r="N848" s="6"/>
    </row>
    <row r="849">
      <c r="A849" s="6"/>
      <c r="B849" s="6"/>
      <c r="C849" s="6"/>
      <c r="D849" s="6"/>
      <c r="E849" s="6"/>
      <c r="F849" s="6"/>
      <c r="G849" s="6"/>
      <c r="H849" s="6"/>
      <c r="I849" s="6"/>
      <c r="J849" s="6"/>
      <c r="K849" s="6"/>
      <c r="L849" s="6"/>
      <c r="M849" s="6"/>
      <c r="N849" s="6"/>
    </row>
    <row r="850">
      <c r="A850" s="6"/>
      <c r="B850" s="6"/>
      <c r="C850" s="6"/>
      <c r="D850" s="6"/>
      <c r="E850" s="6"/>
      <c r="F850" s="6"/>
      <c r="G850" s="6"/>
      <c r="H850" s="6"/>
      <c r="I850" s="6"/>
      <c r="J850" s="6"/>
      <c r="K850" s="6"/>
      <c r="L850" s="6"/>
      <c r="M850" s="6"/>
      <c r="N850" s="6"/>
    </row>
    <row r="851">
      <c r="A851" s="6"/>
      <c r="B851" s="6"/>
      <c r="C851" s="6"/>
      <c r="D851" s="6"/>
      <c r="E851" s="6"/>
      <c r="F851" s="6"/>
      <c r="G851" s="6"/>
      <c r="H851" s="6"/>
      <c r="I851" s="6"/>
      <c r="J851" s="6"/>
      <c r="K851" s="6"/>
      <c r="L851" s="6"/>
      <c r="M851" s="6"/>
      <c r="N851" s="6"/>
    </row>
    <row r="852">
      <c r="A852" s="6"/>
      <c r="B852" s="6"/>
      <c r="C852" s="6"/>
      <c r="D852" s="6"/>
      <c r="E852" s="6"/>
      <c r="F852" s="6"/>
      <c r="G852" s="6"/>
      <c r="H852" s="6"/>
      <c r="I852" s="6"/>
      <c r="J852" s="6"/>
      <c r="K852" s="6"/>
      <c r="L852" s="6"/>
      <c r="M852" s="6"/>
      <c r="N852" s="6"/>
    </row>
    <row r="853">
      <c r="A853" s="6"/>
      <c r="B853" s="6"/>
      <c r="C853" s="6"/>
      <c r="D853" s="6"/>
      <c r="E853" s="6"/>
      <c r="F853" s="6"/>
      <c r="G853" s="6"/>
      <c r="H853" s="6"/>
      <c r="I853" s="6"/>
      <c r="J853" s="6"/>
      <c r="K853" s="6"/>
      <c r="L853" s="6"/>
      <c r="M853" s="6"/>
      <c r="N853" s="6"/>
    </row>
    <row r="854">
      <c r="A854" s="6"/>
      <c r="B854" s="6"/>
      <c r="C854" s="6"/>
      <c r="D854" s="6"/>
      <c r="E854" s="6"/>
      <c r="F854" s="6"/>
      <c r="G854" s="6"/>
      <c r="H854" s="6"/>
      <c r="I854" s="6"/>
      <c r="J854" s="6"/>
      <c r="K854" s="6"/>
      <c r="L854" s="6"/>
      <c r="M854" s="6"/>
      <c r="N854" s="6"/>
    </row>
    <row r="855">
      <c r="A855" s="6"/>
      <c r="B855" s="6"/>
      <c r="C855" s="6"/>
      <c r="D855" s="6"/>
      <c r="E855" s="6"/>
      <c r="F855" s="6"/>
      <c r="G855" s="6"/>
      <c r="H855" s="6"/>
      <c r="I855" s="6"/>
      <c r="J855" s="6"/>
      <c r="K855" s="6"/>
      <c r="L855" s="6"/>
      <c r="M855" s="6"/>
      <c r="N855" s="6"/>
    </row>
    <row r="856">
      <c r="A856" s="6"/>
      <c r="B856" s="6"/>
      <c r="C856" s="6"/>
      <c r="D856" s="6"/>
      <c r="E856" s="6"/>
      <c r="F856" s="6"/>
      <c r="G856" s="6"/>
      <c r="H856" s="6"/>
      <c r="I856" s="6"/>
      <c r="J856" s="6"/>
      <c r="K856" s="6"/>
      <c r="L856" s="6"/>
      <c r="M856" s="6"/>
      <c r="N856" s="6"/>
    </row>
    <row r="857">
      <c r="A857" s="6"/>
      <c r="B857" s="6"/>
      <c r="C857" s="6"/>
      <c r="D857" s="6"/>
      <c r="E857" s="6"/>
      <c r="F857" s="6"/>
      <c r="G857" s="6"/>
      <c r="H857" s="6"/>
      <c r="I857" s="6"/>
      <c r="J857" s="6"/>
      <c r="K857" s="6"/>
      <c r="L857" s="6"/>
      <c r="M857" s="6"/>
      <c r="N857" s="6"/>
    </row>
    <row r="858">
      <c r="A858" s="6"/>
      <c r="B858" s="6"/>
      <c r="C858" s="6"/>
      <c r="D858" s="6"/>
      <c r="E858" s="6"/>
      <c r="F858" s="6"/>
      <c r="G858" s="6"/>
      <c r="H858" s="6"/>
      <c r="I858" s="6"/>
      <c r="J858" s="6"/>
      <c r="K858" s="6"/>
      <c r="L858" s="6"/>
      <c r="M858" s="6"/>
      <c r="N858" s="6"/>
    </row>
    <row r="859">
      <c r="A859" s="6"/>
      <c r="B859" s="6"/>
      <c r="C859" s="6"/>
      <c r="D859" s="6"/>
      <c r="E859" s="6"/>
      <c r="F859" s="6"/>
      <c r="G859" s="6"/>
      <c r="H859" s="6"/>
      <c r="I859" s="6"/>
      <c r="J859" s="6"/>
      <c r="K859" s="6"/>
      <c r="L859" s="6"/>
      <c r="M859" s="6"/>
      <c r="N859" s="6"/>
    </row>
    <row r="860">
      <c r="A860" s="6"/>
      <c r="B860" s="6"/>
      <c r="C860" s="6"/>
      <c r="D860" s="6"/>
      <c r="E860" s="6"/>
      <c r="F860" s="6"/>
      <c r="G860" s="6"/>
      <c r="H860" s="6"/>
      <c r="I860" s="6"/>
      <c r="J860" s="6"/>
      <c r="K860" s="6"/>
      <c r="L860" s="6"/>
      <c r="M860" s="6"/>
      <c r="N860" s="6"/>
    </row>
    <row r="861">
      <c r="A861" s="6"/>
      <c r="B861" s="6"/>
      <c r="C861" s="6"/>
      <c r="D861" s="6"/>
      <c r="E861" s="6"/>
      <c r="F861" s="6"/>
      <c r="G861" s="6"/>
      <c r="H861" s="6"/>
      <c r="I861" s="6"/>
      <c r="J861" s="6"/>
      <c r="K861" s="6"/>
      <c r="L861" s="6"/>
      <c r="M861" s="6"/>
      <c r="N861" s="6"/>
    </row>
    <row r="862">
      <c r="A862" s="6"/>
      <c r="B862" s="6"/>
      <c r="C862" s="6"/>
      <c r="D862" s="6"/>
      <c r="E862" s="6"/>
      <c r="F862" s="6"/>
      <c r="G862" s="6"/>
      <c r="H862" s="6"/>
      <c r="I862" s="6"/>
      <c r="J862" s="6"/>
      <c r="K862" s="6"/>
      <c r="L862" s="6"/>
      <c r="M862" s="6"/>
      <c r="N862" s="6"/>
    </row>
    <row r="863">
      <c r="A863" s="6"/>
      <c r="B863" s="6"/>
      <c r="C863" s="6"/>
      <c r="D863" s="6"/>
      <c r="E863" s="6"/>
      <c r="F863" s="6"/>
      <c r="G863" s="6"/>
      <c r="H863" s="6"/>
      <c r="I863" s="6"/>
      <c r="J863" s="6"/>
      <c r="K863" s="6"/>
      <c r="L863" s="6"/>
      <c r="M863" s="6"/>
      <c r="N863" s="6"/>
    </row>
    <row r="864">
      <c r="A864" s="6"/>
      <c r="B864" s="6"/>
      <c r="C864" s="6"/>
      <c r="D864" s="6"/>
      <c r="E864" s="6"/>
      <c r="F864" s="6"/>
      <c r="G864" s="6"/>
      <c r="H864" s="6"/>
      <c r="I864" s="6"/>
      <c r="J864" s="6"/>
      <c r="K864" s="6"/>
      <c r="L864" s="6"/>
      <c r="M864" s="6"/>
      <c r="N864" s="6"/>
    </row>
    <row r="865">
      <c r="A865" s="6"/>
      <c r="B865" s="6"/>
      <c r="C865" s="6"/>
      <c r="D865" s="6"/>
      <c r="E865" s="6"/>
      <c r="F865" s="6"/>
      <c r="G865" s="6"/>
      <c r="H865" s="6"/>
      <c r="I865" s="6"/>
      <c r="J865" s="6"/>
      <c r="K865" s="6"/>
      <c r="L865" s="6"/>
      <c r="M865" s="6"/>
      <c r="N865" s="6"/>
    </row>
    <row r="866">
      <c r="A866" s="6"/>
      <c r="B866" s="6"/>
      <c r="C866" s="6"/>
      <c r="D866" s="6"/>
      <c r="E866" s="6"/>
      <c r="F866" s="6"/>
      <c r="G866" s="6"/>
      <c r="H866" s="6"/>
      <c r="I866" s="6"/>
      <c r="J866" s="6"/>
      <c r="K866" s="6"/>
      <c r="L866" s="6"/>
      <c r="M866" s="6"/>
      <c r="N866" s="6"/>
    </row>
    <row r="867">
      <c r="A867" s="6"/>
      <c r="B867" s="6"/>
      <c r="C867" s="6"/>
      <c r="D867" s="6"/>
      <c r="E867" s="6"/>
      <c r="F867" s="6"/>
      <c r="G867" s="6"/>
      <c r="H867" s="6"/>
      <c r="I867" s="6"/>
      <c r="J867" s="6"/>
      <c r="K867" s="6"/>
      <c r="L867" s="6"/>
      <c r="M867" s="6"/>
      <c r="N867" s="6"/>
    </row>
    <row r="868">
      <c r="A868" s="6"/>
      <c r="B868" s="6"/>
      <c r="C868" s="6"/>
      <c r="D868" s="6"/>
      <c r="E868" s="6"/>
      <c r="F868" s="6"/>
      <c r="G868" s="6"/>
      <c r="H868" s="6"/>
      <c r="I868" s="6"/>
      <c r="J868" s="6"/>
      <c r="K868" s="6"/>
      <c r="L868" s="6"/>
      <c r="M868" s="6"/>
      <c r="N868" s="6"/>
    </row>
    <row r="869">
      <c r="A869" s="6"/>
      <c r="B869" s="6"/>
      <c r="C869" s="6"/>
      <c r="D869" s="6"/>
      <c r="E869" s="6"/>
      <c r="F869" s="6"/>
      <c r="G869" s="6"/>
      <c r="H869" s="6"/>
      <c r="I869" s="6"/>
      <c r="J869" s="6"/>
      <c r="K869" s="6"/>
      <c r="L869" s="6"/>
      <c r="M869" s="6"/>
      <c r="N869" s="6"/>
    </row>
    <row r="870">
      <c r="A870" s="6"/>
      <c r="B870" s="6"/>
      <c r="C870" s="6"/>
      <c r="D870" s="6"/>
      <c r="E870" s="6"/>
      <c r="F870" s="6"/>
      <c r="G870" s="6"/>
      <c r="H870" s="6"/>
      <c r="I870" s="6"/>
      <c r="J870" s="6"/>
      <c r="K870" s="6"/>
      <c r="L870" s="6"/>
      <c r="M870" s="6"/>
      <c r="N870" s="6"/>
    </row>
    <row r="871">
      <c r="A871" s="6"/>
      <c r="B871" s="6"/>
      <c r="C871" s="6"/>
      <c r="D871" s="6"/>
      <c r="E871" s="6"/>
      <c r="F871" s="6"/>
      <c r="G871" s="6"/>
      <c r="H871" s="6"/>
      <c r="I871" s="6"/>
      <c r="J871" s="6"/>
      <c r="K871" s="6"/>
      <c r="L871" s="6"/>
      <c r="M871" s="6"/>
      <c r="N871" s="6"/>
    </row>
    <row r="872">
      <c r="A872" s="6"/>
      <c r="B872" s="6"/>
      <c r="C872" s="6"/>
      <c r="D872" s="6"/>
      <c r="E872" s="6"/>
      <c r="F872" s="6"/>
      <c r="G872" s="6"/>
      <c r="H872" s="6"/>
      <c r="I872" s="6"/>
      <c r="J872" s="6"/>
      <c r="K872" s="6"/>
      <c r="L872" s="6"/>
      <c r="M872" s="6"/>
      <c r="N872" s="6"/>
    </row>
    <row r="873">
      <c r="A873" s="6"/>
      <c r="B873" s="6"/>
      <c r="C873" s="6"/>
      <c r="D873" s="6"/>
      <c r="E873" s="6"/>
      <c r="F873" s="6"/>
      <c r="G873" s="6"/>
      <c r="H873" s="6"/>
      <c r="I873" s="6"/>
      <c r="J873" s="6"/>
      <c r="K873" s="6"/>
      <c r="L873" s="6"/>
      <c r="M873" s="6"/>
      <c r="N873" s="6"/>
    </row>
    <row r="874">
      <c r="A874" s="6"/>
      <c r="B874" s="6"/>
      <c r="C874" s="6"/>
      <c r="D874" s="6"/>
      <c r="E874" s="6"/>
      <c r="F874" s="6"/>
      <c r="G874" s="6"/>
      <c r="H874" s="6"/>
      <c r="I874" s="6"/>
      <c r="J874" s="6"/>
      <c r="K874" s="6"/>
      <c r="L874" s="6"/>
      <c r="M874" s="6"/>
      <c r="N874" s="6"/>
    </row>
    <row r="875">
      <c r="A875" s="6"/>
      <c r="B875" s="6"/>
      <c r="C875" s="6"/>
      <c r="D875" s="6"/>
      <c r="E875" s="6"/>
      <c r="F875" s="6"/>
      <c r="G875" s="6"/>
      <c r="H875" s="6"/>
      <c r="I875" s="6"/>
      <c r="J875" s="6"/>
      <c r="K875" s="6"/>
      <c r="L875" s="6"/>
      <c r="M875" s="6"/>
      <c r="N875" s="6"/>
    </row>
    <row r="876">
      <c r="A876" s="6"/>
      <c r="B876" s="6"/>
      <c r="C876" s="6"/>
      <c r="D876" s="6"/>
      <c r="E876" s="6"/>
      <c r="F876" s="6"/>
      <c r="G876" s="6"/>
      <c r="H876" s="6"/>
      <c r="I876" s="6"/>
      <c r="J876" s="6"/>
      <c r="K876" s="6"/>
      <c r="L876" s="6"/>
      <c r="M876" s="6"/>
      <c r="N876" s="6"/>
    </row>
    <row r="877">
      <c r="A877" s="6"/>
      <c r="B877" s="6"/>
      <c r="C877" s="6"/>
      <c r="D877" s="6"/>
      <c r="E877" s="6"/>
      <c r="F877" s="6"/>
      <c r="G877" s="6"/>
      <c r="H877" s="6"/>
      <c r="I877" s="6"/>
      <c r="J877" s="6"/>
      <c r="K877" s="6"/>
      <c r="L877" s="6"/>
      <c r="M877" s="6"/>
      <c r="N877" s="6"/>
    </row>
    <row r="878">
      <c r="A878" s="6"/>
      <c r="B878" s="6"/>
      <c r="C878" s="6"/>
      <c r="D878" s="6"/>
      <c r="E878" s="6"/>
      <c r="F878" s="6"/>
      <c r="G878" s="6"/>
      <c r="H878" s="6"/>
      <c r="I878" s="6"/>
      <c r="J878" s="6"/>
      <c r="K878" s="6"/>
      <c r="L878" s="6"/>
      <c r="M878" s="6"/>
      <c r="N878" s="6"/>
    </row>
    <row r="879">
      <c r="A879" s="6"/>
      <c r="B879" s="6"/>
      <c r="C879" s="6"/>
      <c r="D879" s="6"/>
      <c r="E879" s="6"/>
      <c r="F879" s="6"/>
      <c r="G879" s="6"/>
      <c r="H879" s="6"/>
      <c r="I879" s="6"/>
      <c r="J879" s="6"/>
      <c r="K879" s="6"/>
      <c r="L879" s="6"/>
      <c r="M879" s="6"/>
      <c r="N879" s="6"/>
    </row>
    <row r="880">
      <c r="A880" s="6"/>
      <c r="B880" s="6"/>
      <c r="C880" s="6"/>
      <c r="D880" s="6"/>
      <c r="E880" s="6"/>
      <c r="F880" s="6"/>
      <c r="G880" s="6"/>
      <c r="H880" s="6"/>
      <c r="I880" s="6"/>
      <c r="J880" s="6"/>
      <c r="K880" s="6"/>
      <c r="L880" s="6"/>
      <c r="M880" s="6"/>
      <c r="N880" s="6"/>
    </row>
    <row r="881">
      <c r="A881" s="6"/>
      <c r="B881" s="6"/>
      <c r="C881" s="6"/>
      <c r="D881" s="6"/>
      <c r="E881" s="6"/>
      <c r="F881" s="6"/>
      <c r="G881" s="6"/>
      <c r="H881" s="6"/>
      <c r="I881" s="6"/>
      <c r="J881" s="6"/>
      <c r="K881" s="6"/>
      <c r="L881" s="6"/>
      <c r="M881" s="6"/>
      <c r="N881" s="6"/>
    </row>
    <row r="882">
      <c r="A882" s="6"/>
      <c r="B882" s="6"/>
      <c r="C882" s="6"/>
      <c r="D882" s="6"/>
      <c r="E882" s="6"/>
      <c r="F882" s="6"/>
      <c r="G882" s="6"/>
      <c r="H882" s="6"/>
      <c r="I882" s="6"/>
      <c r="J882" s="6"/>
      <c r="K882" s="6"/>
      <c r="L882" s="6"/>
      <c r="M882" s="6"/>
      <c r="N882" s="6"/>
    </row>
    <row r="883">
      <c r="A883" s="6"/>
      <c r="B883" s="6"/>
      <c r="C883" s="6"/>
      <c r="D883" s="6"/>
      <c r="E883" s="6"/>
      <c r="F883" s="6"/>
      <c r="G883" s="6"/>
      <c r="H883" s="6"/>
      <c r="I883" s="6"/>
      <c r="J883" s="6"/>
      <c r="K883" s="6"/>
      <c r="L883" s="6"/>
      <c r="M883" s="6"/>
      <c r="N883" s="6"/>
    </row>
    <row r="884">
      <c r="A884" s="6"/>
      <c r="B884" s="6"/>
      <c r="C884" s="6"/>
      <c r="D884" s="6"/>
      <c r="E884" s="6"/>
      <c r="F884" s="6"/>
      <c r="G884" s="6"/>
      <c r="H884" s="6"/>
      <c r="I884" s="6"/>
      <c r="J884" s="6"/>
      <c r="K884" s="6"/>
      <c r="L884" s="6"/>
      <c r="M884" s="6"/>
      <c r="N884" s="6"/>
    </row>
    <row r="885">
      <c r="A885" s="6"/>
      <c r="B885" s="6"/>
      <c r="C885" s="6"/>
      <c r="D885" s="6"/>
      <c r="E885" s="6"/>
      <c r="F885" s="6"/>
      <c r="G885" s="6"/>
      <c r="H885" s="6"/>
      <c r="I885" s="6"/>
      <c r="J885" s="6"/>
      <c r="K885" s="6"/>
      <c r="L885" s="6"/>
      <c r="M885" s="6"/>
      <c r="N885" s="6"/>
    </row>
    <row r="886">
      <c r="A886" s="6"/>
      <c r="B886" s="6"/>
      <c r="C886" s="6"/>
      <c r="D886" s="6"/>
      <c r="E886" s="6"/>
      <c r="F886" s="6"/>
      <c r="G886" s="6"/>
      <c r="H886" s="6"/>
      <c r="I886" s="6"/>
      <c r="J886" s="6"/>
      <c r="K886" s="6"/>
      <c r="L886" s="6"/>
      <c r="M886" s="6"/>
      <c r="N886" s="6"/>
    </row>
    <row r="887">
      <c r="A887" s="6"/>
      <c r="B887" s="6"/>
      <c r="C887" s="6"/>
      <c r="D887" s="6"/>
      <c r="E887" s="6"/>
      <c r="F887" s="6"/>
      <c r="G887" s="6"/>
      <c r="H887" s="6"/>
      <c r="I887" s="6"/>
      <c r="J887" s="6"/>
      <c r="K887" s="6"/>
      <c r="L887" s="6"/>
      <c r="M887" s="6"/>
      <c r="N887" s="6"/>
    </row>
    <row r="888">
      <c r="A888" s="6"/>
      <c r="B888" s="6"/>
      <c r="C888" s="6"/>
      <c r="D888" s="6"/>
      <c r="E888" s="6"/>
      <c r="F888" s="6"/>
      <c r="G888" s="6"/>
      <c r="H888" s="6"/>
      <c r="I888" s="6"/>
      <c r="J888" s="6"/>
      <c r="K888" s="6"/>
      <c r="L888" s="6"/>
      <c r="M888" s="6"/>
      <c r="N888" s="6"/>
    </row>
    <row r="889">
      <c r="A889" s="6"/>
      <c r="B889" s="6"/>
      <c r="C889" s="6"/>
      <c r="D889" s="6"/>
      <c r="E889" s="6"/>
      <c r="F889" s="6"/>
      <c r="G889" s="6"/>
      <c r="H889" s="6"/>
      <c r="I889" s="6"/>
      <c r="J889" s="6"/>
      <c r="K889" s="6"/>
      <c r="L889" s="6"/>
      <c r="M889" s="6"/>
      <c r="N889" s="6"/>
    </row>
    <row r="890">
      <c r="A890" s="6"/>
      <c r="B890" s="6"/>
      <c r="C890" s="6"/>
      <c r="D890" s="6"/>
      <c r="E890" s="6"/>
      <c r="F890" s="6"/>
      <c r="G890" s="6"/>
      <c r="H890" s="6"/>
      <c r="I890" s="6"/>
      <c r="J890" s="6"/>
      <c r="K890" s="6"/>
      <c r="L890" s="6"/>
      <c r="M890" s="6"/>
      <c r="N890" s="6"/>
    </row>
    <row r="891">
      <c r="A891" s="6"/>
      <c r="B891" s="6"/>
      <c r="C891" s="6"/>
      <c r="D891" s="6"/>
      <c r="E891" s="6"/>
      <c r="F891" s="6"/>
      <c r="G891" s="6"/>
      <c r="H891" s="6"/>
      <c r="I891" s="6"/>
      <c r="J891" s="6"/>
      <c r="K891" s="6"/>
      <c r="L891" s="6"/>
      <c r="M891" s="6"/>
      <c r="N891" s="6"/>
    </row>
    <row r="892">
      <c r="A892" s="6"/>
      <c r="B892" s="6"/>
      <c r="C892" s="6"/>
      <c r="D892" s="6"/>
      <c r="E892" s="6"/>
      <c r="F892" s="6"/>
      <c r="G892" s="6"/>
      <c r="H892" s="6"/>
      <c r="I892" s="6"/>
      <c r="J892" s="6"/>
      <c r="K892" s="6"/>
      <c r="L892" s="6"/>
      <c r="M892" s="6"/>
      <c r="N892" s="6"/>
    </row>
    <row r="893">
      <c r="A893" s="6"/>
      <c r="B893" s="6"/>
      <c r="C893" s="6"/>
      <c r="D893" s="6"/>
      <c r="E893" s="6"/>
      <c r="F893" s="6"/>
      <c r="G893" s="6"/>
      <c r="H893" s="6"/>
      <c r="I893" s="6"/>
      <c r="J893" s="6"/>
      <c r="K893" s="6"/>
      <c r="L893" s="6"/>
      <c r="M893" s="6"/>
      <c r="N893" s="6"/>
    </row>
    <row r="894">
      <c r="A894" s="6"/>
      <c r="B894" s="6"/>
      <c r="C894" s="6"/>
      <c r="D894" s="6"/>
      <c r="E894" s="6"/>
      <c r="F894" s="6"/>
      <c r="G894" s="6"/>
      <c r="H894" s="6"/>
      <c r="I894" s="6"/>
      <c r="J894" s="6"/>
      <c r="K894" s="6"/>
      <c r="L894" s="6"/>
      <c r="M894" s="6"/>
      <c r="N894" s="6"/>
    </row>
    <row r="895">
      <c r="A895" s="6"/>
      <c r="B895" s="6"/>
      <c r="C895" s="6"/>
      <c r="D895" s="6"/>
      <c r="E895" s="6"/>
      <c r="F895" s="6"/>
      <c r="G895" s="6"/>
      <c r="H895" s="6"/>
      <c r="I895" s="6"/>
      <c r="J895" s="6"/>
      <c r="K895" s="6"/>
      <c r="L895" s="6"/>
      <c r="M895" s="6"/>
      <c r="N895" s="6"/>
    </row>
    <row r="896">
      <c r="A896" s="6"/>
      <c r="B896" s="6"/>
      <c r="C896" s="6"/>
      <c r="D896" s="6"/>
      <c r="E896" s="6"/>
      <c r="F896" s="6"/>
      <c r="G896" s="6"/>
      <c r="H896" s="6"/>
      <c r="I896" s="6"/>
      <c r="J896" s="6"/>
      <c r="K896" s="6"/>
      <c r="L896" s="6"/>
      <c r="M896" s="6"/>
      <c r="N896" s="6"/>
    </row>
    <row r="897">
      <c r="A897" s="6"/>
      <c r="B897" s="6"/>
      <c r="C897" s="6"/>
      <c r="D897" s="6"/>
      <c r="E897" s="6"/>
      <c r="F897" s="6"/>
      <c r="G897" s="6"/>
      <c r="H897" s="6"/>
      <c r="I897" s="6"/>
      <c r="J897" s="6"/>
      <c r="K897" s="6"/>
      <c r="L897" s="6"/>
      <c r="M897" s="6"/>
      <c r="N897" s="6"/>
    </row>
    <row r="898">
      <c r="A898" s="6"/>
      <c r="B898" s="6"/>
      <c r="C898" s="6"/>
      <c r="D898" s="6"/>
      <c r="E898" s="6"/>
      <c r="F898" s="6"/>
      <c r="G898" s="6"/>
      <c r="H898" s="6"/>
      <c r="I898" s="6"/>
      <c r="J898" s="6"/>
      <c r="K898" s="6"/>
      <c r="L898" s="6"/>
      <c r="M898" s="6"/>
      <c r="N898" s="6"/>
    </row>
    <row r="899">
      <c r="A899" s="6"/>
      <c r="B899" s="6"/>
      <c r="C899" s="6"/>
      <c r="D899" s="6"/>
      <c r="E899" s="6"/>
      <c r="F899" s="6"/>
      <c r="G899" s="6"/>
      <c r="H899" s="6"/>
      <c r="I899" s="6"/>
      <c r="J899" s="6"/>
      <c r="K899" s="6"/>
      <c r="L899" s="6"/>
      <c r="M899" s="6"/>
      <c r="N899" s="6"/>
    </row>
    <row r="900">
      <c r="A900" s="6"/>
      <c r="B900" s="6"/>
      <c r="C900" s="6"/>
      <c r="D900" s="6"/>
      <c r="E900" s="6"/>
      <c r="F900" s="6"/>
      <c r="G900" s="6"/>
      <c r="H900" s="6"/>
      <c r="I900" s="6"/>
      <c r="J900" s="6"/>
      <c r="K900" s="6"/>
      <c r="L900" s="6"/>
      <c r="M900" s="6"/>
      <c r="N900" s="6"/>
    </row>
    <row r="901">
      <c r="A901" s="6"/>
      <c r="B901" s="6"/>
      <c r="C901" s="6"/>
      <c r="D901" s="6"/>
      <c r="E901" s="6"/>
      <c r="F901" s="6"/>
      <c r="G901" s="6"/>
      <c r="H901" s="6"/>
      <c r="I901" s="6"/>
      <c r="J901" s="6"/>
      <c r="K901" s="6"/>
      <c r="L901" s="6"/>
      <c r="M901" s="6"/>
      <c r="N901" s="6"/>
    </row>
    <row r="902">
      <c r="A902" s="6"/>
      <c r="B902" s="6"/>
      <c r="C902" s="6"/>
      <c r="D902" s="6"/>
      <c r="E902" s="6"/>
      <c r="F902" s="6"/>
      <c r="G902" s="6"/>
      <c r="H902" s="6"/>
      <c r="I902" s="6"/>
      <c r="J902" s="6"/>
      <c r="K902" s="6"/>
      <c r="L902" s="6"/>
      <c r="M902" s="6"/>
      <c r="N902" s="6"/>
    </row>
    <row r="903">
      <c r="A903" s="6"/>
      <c r="B903" s="6"/>
      <c r="C903" s="6"/>
      <c r="D903" s="6"/>
      <c r="E903" s="6"/>
      <c r="F903" s="6"/>
      <c r="G903" s="6"/>
      <c r="H903" s="6"/>
      <c r="I903" s="6"/>
      <c r="J903" s="6"/>
      <c r="K903" s="6"/>
      <c r="L903" s="6"/>
      <c r="M903" s="6"/>
      <c r="N903" s="6"/>
    </row>
    <row r="904">
      <c r="A904" s="6"/>
      <c r="B904" s="6"/>
      <c r="C904" s="6"/>
      <c r="D904" s="6"/>
      <c r="E904" s="6"/>
      <c r="F904" s="6"/>
      <c r="G904" s="6"/>
      <c r="H904" s="6"/>
      <c r="I904" s="6"/>
      <c r="J904" s="6"/>
      <c r="K904" s="6"/>
      <c r="L904" s="6"/>
      <c r="M904" s="6"/>
      <c r="N904" s="6"/>
    </row>
    <row r="905">
      <c r="A905" s="6"/>
      <c r="B905" s="6"/>
      <c r="C905" s="6"/>
      <c r="D905" s="6"/>
      <c r="E905" s="6"/>
      <c r="F905" s="6"/>
      <c r="G905" s="6"/>
      <c r="H905" s="6"/>
      <c r="I905" s="6"/>
      <c r="J905" s="6"/>
      <c r="K905" s="6"/>
      <c r="L905" s="6"/>
      <c r="M905" s="6"/>
      <c r="N905" s="6"/>
    </row>
    <row r="906">
      <c r="A906" s="6"/>
      <c r="B906" s="6"/>
      <c r="C906" s="6"/>
      <c r="D906" s="6"/>
      <c r="E906" s="6"/>
      <c r="F906" s="6"/>
      <c r="G906" s="6"/>
      <c r="H906" s="6"/>
      <c r="I906" s="6"/>
      <c r="J906" s="6"/>
      <c r="K906" s="6"/>
      <c r="L906" s="6"/>
      <c r="M906" s="6"/>
      <c r="N906" s="6"/>
    </row>
    <row r="907">
      <c r="A907" s="6"/>
      <c r="B907" s="6"/>
      <c r="C907" s="6"/>
      <c r="D907" s="6"/>
      <c r="E907" s="6"/>
      <c r="F907" s="6"/>
      <c r="G907" s="6"/>
      <c r="H907" s="6"/>
      <c r="I907" s="6"/>
      <c r="J907" s="6"/>
      <c r="K907" s="6"/>
      <c r="L907" s="6"/>
      <c r="M907" s="6"/>
      <c r="N907" s="6"/>
    </row>
    <row r="908">
      <c r="A908" s="6"/>
      <c r="B908" s="6"/>
      <c r="C908" s="6"/>
      <c r="D908" s="6"/>
      <c r="E908" s="6"/>
      <c r="F908" s="6"/>
      <c r="G908" s="6"/>
      <c r="H908" s="6"/>
      <c r="I908" s="6"/>
      <c r="J908" s="6"/>
      <c r="K908" s="6"/>
      <c r="L908" s="6"/>
      <c r="M908" s="6"/>
      <c r="N908" s="6"/>
    </row>
    <row r="909">
      <c r="A909" s="6"/>
      <c r="B909" s="6"/>
      <c r="C909" s="6"/>
      <c r="D909" s="6"/>
      <c r="E909" s="6"/>
      <c r="F909" s="6"/>
      <c r="G909" s="6"/>
      <c r="H909" s="6"/>
      <c r="I909" s="6"/>
      <c r="J909" s="6"/>
      <c r="K909" s="6"/>
      <c r="L909" s="6"/>
      <c r="M909" s="6"/>
      <c r="N909" s="6"/>
    </row>
    <row r="910">
      <c r="A910" s="6"/>
      <c r="B910" s="6"/>
      <c r="C910" s="6"/>
      <c r="D910" s="6"/>
      <c r="E910" s="6"/>
      <c r="F910" s="6"/>
      <c r="G910" s="6"/>
      <c r="H910" s="6"/>
      <c r="I910" s="6"/>
      <c r="J910" s="6"/>
      <c r="K910" s="6"/>
      <c r="L910" s="6"/>
      <c r="M910" s="6"/>
      <c r="N910" s="6"/>
    </row>
    <row r="911">
      <c r="A911" s="6"/>
      <c r="B911" s="6"/>
      <c r="C911" s="6"/>
      <c r="D911" s="6"/>
      <c r="E911" s="6"/>
      <c r="F911" s="6"/>
      <c r="G911" s="6"/>
      <c r="H911" s="6"/>
      <c r="I911" s="6"/>
      <c r="J911" s="6"/>
      <c r="K911" s="6"/>
      <c r="L911" s="6"/>
      <c r="M911" s="6"/>
      <c r="N911" s="6"/>
    </row>
    <row r="912">
      <c r="A912" s="6"/>
      <c r="B912" s="6"/>
      <c r="C912" s="6"/>
      <c r="D912" s="6"/>
      <c r="E912" s="6"/>
      <c r="F912" s="6"/>
      <c r="G912" s="6"/>
      <c r="H912" s="6"/>
      <c r="I912" s="6"/>
      <c r="J912" s="6"/>
      <c r="K912" s="6"/>
      <c r="L912" s="6"/>
      <c r="M912" s="6"/>
      <c r="N912" s="6"/>
    </row>
    <row r="913">
      <c r="A913" s="6"/>
      <c r="B913" s="6"/>
      <c r="C913" s="6"/>
      <c r="D913" s="6"/>
      <c r="E913" s="6"/>
      <c r="F913" s="6"/>
      <c r="G913" s="6"/>
      <c r="H913" s="6"/>
      <c r="I913" s="6"/>
      <c r="J913" s="6"/>
      <c r="K913" s="6"/>
      <c r="L913" s="6"/>
      <c r="M913" s="6"/>
      <c r="N913" s="6"/>
    </row>
    <row r="914">
      <c r="A914" s="6"/>
      <c r="B914" s="6"/>
      <c r="C914" s="6"/>
      <c r="D914" s="6"/>
      <c r="E914" s="6"/>
      <c r="F914" s="6"/>
      <c r="G914" s="6"/>
      <c r="H914" s="6"/>
      <c r="I914" s="6"/>
      <c r="J914" s="6"/>
      <c r="K914" s="6"/>
      <c r="L914" s="6"/>
      <c r="M914" s="6"/>
      <c r="N914" s="6"/>
    </row>
    <row r="915">
      <c r="A915" s="6"/>
      <c r="B915" s="6"/>
      <c r="C915" s="6"/>
      <c r="D915" s="6"/>
      <c r="E915" s="6"/>
      <c r="F915" s="6"/>
      <c r="G915" s="6"/>
      <c r="H915" s="6"/>
      <c r="I915" s="6"/>
      <c r="J915" s="6"/>
      <c r="K915" s="6"/>
      <c r="L915" s="6"/>
      <c r="M915" s="6"/>
      <c r="N915" s="6"/>
    </row>
    <row r="916">
      <c r="A916" s="6"/>
      <c r="B916" s="6"/>
      <c r="C916" s="6"/>
      <c r="D916" s="6"/>
      <c r="E916" s="6"/>
      <c r="F916" s="6"/>
      <c r="G916" s="6"/>
      <c r="H916" s="6"/>
      <c r="I916" s="6"/>
      <c r="J916" s="6"/>
      <c r="K916" s="6"/>
      <c r="L916" s="6"/>
      <c r="M916" s="6"/>
      <c r="N916" s="6"/>
    </row>
    <row r="917">
      <c r="A917" s="6"/>
      <c r="B917" s="6"/>
      <c r="C917" s="6"/>
      <c r="D917" s="6"/>
      <c r="E917" s="6"/>
      <c r="F917" s="6"/>
      <c r="G917" s="6"/>
      <c r="H917" s="6"/>
      <c r="I917" s="6"/>
      <c r="J917" s="6"/>
      <c r="K917" s="6"/>
      <c r="L917" s="6"/>
      <c r="M917" s="6"/>
      <c r="N917" s="6"/>
    </row>
    <row r="918">
      <c r="A918" s="6"/>
      <c r="B918" s="6"/>
      <c r="C918" s="6"/>
      <c r="D918" s="6"/>
      <c r="E918" s="6"/>
      <c r="F918" s="6"/>
      <c r="G918" s="6"/>
      <c r="H918" s="6"/>
      <c r="I918" s="6"/>
      <c r="J918" s="6"/>
      <c r="K918" s="6"/>
      <c r="L918" s="6"/>
      <c r="M918" s="6"/>
      <c r="N918" s="6"/>
    </row>
    <row r="919">
      <c r="A919" s="6"/>
      <c r="B919" s="6"/>
      <c r="C919" s="6"/>
      <c r="D919" s="6"/>
      <c r="E919" s="6"/>
      <c r="F919" s="6"/>
      <c r="G919" s="6"/>
      <c r="H919" s="6"/>
      <c r="I919" s="6"/>
      <c r="J919" s="6"/>
      <c r="K919" s="6"/>
      <c r="L919" s="6"/>
      <c r="M919" s="6"/>
      <c r="N919" s="6"/>
    </row>
    <row r="920">
      <c r="A920" s="6"/>
      <c r="B920" s="6"/>
      <c r="C920" s="6"/>
      <c r="D920" s="6"/>
      <c r="E920" s="6"/>
      <c r="F920" s="6"/>
      <c r="G920" s="6"/>
      <c r="H920" s="6"/>
      <c r="I920" s="6"/>
      <c r="J920" s="6"/>
      <c r="K920" s="6"/>
      <c r="L920" s="6"/>
      <c r="M920" s="6"/>
      <c r="N920" s="6"/>
    </row>
    <row r="921">
      <c r="A921" s="6"/>
      <c r="B921" s="6"/>
      <c r="C921" s="6"/>
      <c r="D921" s="6"/>
      <c r="E921" s="6"/>
      <c r="F921" s="6"/>
      <c r="G921" s="6"/>
      <c r="H921" s="6"/>
      <c r="I921" s="6"/>
      <c r="J921" s="6"/>
      <c r="K921" s="6"/>
      <c r="L921" s="6"/>
      <c r="M921" s="6"/>
      <c r="N921" s="6"/>
    </row>
    <row r="922">
      <c r="A922" s="6"/>
      <c r="B922" s="6"/>
      <c r="C922" s="6"/>
      <c r="D922" s="6"/>
      <c r="E922" s="6"/>
      <c r="F922" s="6"/>
      <c r="G922" s="6"/>
      <c r="H922" s="6"/>
      <c r="I922" s="6"/>
      <c r="J922" s="6"/>
      <c r="K922" s="6"/>
      <c r="L922" s="6"/>
      <c r="M922" s="6"/>
      <c r="N922" s="6"/>
    </row>
    <row r="923">
      <c r="A923" s="6"/>
      <c r="B923" s="6"/>
      <c r="C923" s="6"/>
      <c r="D923" s="6"/>
      <c r="E923" s="6"/>
      <c r="F923" s="6"/>
      <c r="G923" s="6"/>
      <c r="H923" s="6"/>
      <c r="I923" s="6"/>
      <c r="J923" s="6"/>
      <c r="K923" s="6"/>
      <c r="L923" s="6"/>
      <c r="M923" s="6"/>
      <c r="N923" s="6"/>
    </row>
    <row r="924">
      <c r="A924" s="6"/>
      <c r="B924" s="6"/>
      <c r="C924" s="6"/>
      <c r="D924" s="6"/>
      <c r="E924" s="6"/>
      <c r="F924" s="6"/>
      <c r="G924" s="6"/>
      <c r="H924" s="6"/>
      <c r="I924" s="6"/>
      <c r="J924" s="6"/>
      <c r="K924" s="6"/>
      <c r="L924" s="6"/>
      <c r="M924" s="6"/>
      <c r="N924" s="6"/>
    </row>
    <row r="925">
      <c r="A925" s="6"/>
      <c r="B925" s="6"/>
      <c r="C925" s="6"/>
      <c r="D925" s="6"/>
      <c r="E925" s="6"/>
      <c r="F925" s="6"/>
      <c r="G925" s="6"/>
      <c r="H925" s="6"/>
      <c r="I925" s="6"/>
      <c r="J925" s="6"/>
      <c r="K925" s="6"/>
      <c r="L925" s="6"/>
      <c r="M925" s="6"/>
      <c r="N925" s="6"/>
    </row>
    <row r="926">
      <c r="A926" s="6"/>
      <c r="B926" s="6"/>
      <c r="C926" s="6"/>
      <c r="D926" s="6"/>
      <c r="E926" s="6"/>
      <c r="F926" s="6"/>
      <c r="G926" s="6"/>
      <c r="H926" s="6"/>
      <c r="I926" s="6"/>
      <c r="J926" s="6"/>
      <c r="K926" s="6"/>
      <c r="L926" s="6"/>
      <c r="M926" s="6"/>
      <c r="N926" s="6"/>
    </row>
    <row r="927">
      <c r="A927" s="6"/>
      <c r="B927" s="6"/>
      <c r="C927" s="6"/>
      <c r="D927" s="6"/>
      <c r="E927" s="6"/>
      <c r="F927" s="6"/>
      <c r="G927" s="6"/>
      <c r="H927" s="6"/>
      <c r="I927" s="6"/>
      <c r="J927" s="6"/>
      <c r="K927" s="6"/>
      <c r="L927" s="6"/>
      <c r="M927" s="6"/>
      <c r="N927" s="6"/>
    </row>
    <row r="928">
      <c r="A928" s="6"/>
      <c r="B928" s="6"/>
      <c r="C928" s="6"/>
      <c r="D928" s="6"/>
      <c r="E928" s="6"/>
      <c r="F928" s="6"/>
      <c r="G928" s="6"/>
      <c r="H928" s="6"/>
      <c r="I928" s="6"/>
      <c r="J928" s="6"/>
      <c r="K928" s="6"/>
      <c r="L928" s="6"/>
      <c r="M928" s="6"/>
      <c r="N928" s="6"/>
    </row>
    <row r="929">
      <c r="A929" s="6"/>
      <c r="B929" s="6"/>
      <c r="C929" s="6"/>
      <c r="D929" s="6"/>
      <c r="E929" s="6"/>
      <c r="F929" s="6"/>
      <c r="G929" s="6"/>
      <c r="H929" s="6"/>
      <c r="I929" s="6"/>
      <c r="J929" s="6"/>
      <c r="K929" s="6"/>
      <c r="L929" s="6"/>
      <c r="M929" s="6"/>
      <c r="N929" s="6"/>
    </row>
    <row r="930">
      <c r="A930" s="6"/>
      <c r="B930" s="6"/>
      <c r="C930" s="6"/>
      <c r="D930" s="6"/>
      <c r="E930" s="6"/>
      <c r="F930" s="6"/>
      <c r="G930" s="6"/>
      <c r="H930" s="6"/>
      <c r="I930" s="6"/>
      <c r="J930" s="6"/>
      <c r="K930" s="6"/>
      <c r="L930" s="6"/>
      <c r="M930" s="6"/>
      <c r="N930" s="6"/>
    </row>
    <row r="931">
      <c r="A931" s="6"/>
      <c r="B931" s="6"/>
      <c r="C931" s="6"/>
      <c r="D931" s="6"/>
      <c r="E931" s="6"/>
      <c r="F931" s="6"/>
      <c r="G931" s="6"/>
      <c r="H931" s="6"/>
      <c r="I931" s="6"/>
      <c r="J931" s="6"/>
      <c r="K931" s="6"/>
      <c r="L931" s="6"/>
      <c r="M931" s="6"/>
      <c r="N931" s="6"/>
    </row>
    <row r="932">
      <c r="A932" s="6"/>
      <c r="B932" s="6"/>
      <c r="C932" s="6"/>
      <c r="D932" s="6"/>
      <c r="E932" s="6"/>
      <c r="F932" s="6"/>
      <c r="G932" s="6"/>
      <c r="H932" s="6"/>
      <c r="I932" s="6"/>
      <c r="J932" s="6"/>
      <c r="K932" s="6"/>
      <c r="L932" s="6"/>
      <c r="M932" s="6"/>
      <c r="N932" s="6"/>
    </row>
    <row r="933">
      <c r="A933" s="6"/>
      <c r="B933" s="6"/>
      <c r="C933" s="6"/>
      <c r="D933" s="6"/>
      <c r="E933" s="6"/>
      <c r="F933" s="6"/>
      <c r="G933" s="6"/>
      <c r="H933" s="6"/>
      <c r="I933" s="6"/>
      <c r="J933" s="6"/>
      <c r="K933" s="6"/>
      <c r="L933" s="6"/>
      <c r="M933" s="6"/>
      <c r="N933" s="6"/>
    </row>
    <row r="934">
      <c r="A934" s="6"/>
      <c r="B934" s="6"/>
      <c r="C934" s="6"/>
      <c r="D934" s="6"/>
      <c r="E934" s="6"/>
      <c r="F934" s="6"/>
      <c r="G934" s="6"/>
      <c r="H934" s="6"/>
      <c r="I934" s="6"/>
      <c r="J934" s="6"/>
      <c r="K934" s="6"/>
      <c r="L934" s="6"/>
      <c r="M934" s="6"/>
      <c r="N934" s="6"/>
    </row>
    <row r="935">
      <c r="A935" s="6"/>
      <c r="B935" s="6"/>
      <c r="C935" s="6"/>
      <c r="D935" s="6"/>
      <c r="E935" s="6"/>
      <c r="F935" s="6"/>
      <c r="G935" s="6"/>
      <c r="H935" s="6"/>
      <c r="I935" s="6"/>
      <c r="J935" s="6"/>
      <c r="K935" s="6"/>
      <c r="L935" s="6"/>
      <c r="M935" s="6"/>
      <c r="N935" s="6"/>
    </row>
    <row r="936">
      <c r="A936" s="6"/>
      <c r="B936" s="6"/>
      <c r="C936" s="6"/>
      <c r="D936" s="6"/>
      <c r="E936" s="6"/>
      <c r="F936" s="6"/>
      <c r="G936" s="6"/>
      <c r="H936" s="6"/>
      <c r="I936" s="6"/>
      <c r="J936" s="6"/>
      <c r="K936" s="6"/>
      <c r="L936" s="6"/>
      <c r="M936" s="6"/>
      <c r="N936" s="6"/>
    </row>
    <row r="937">
      <c r="A937" s="6"/>
      <c r="B937" s="6"/>
      <c r="C937" s="6"/>
      <c r="D937" s="6"/>
      <c r="E937" s="6"/>
      <c r="F937" s="6"/>
      <c r="G937" s="6"/>
      <c r="H937" s="6"/>
      <c r="I937" s="6"/>
      <c r="J937" s="6"/>
      <c r="K937" s="6"/>
      <c r="L937" s="6"/>
      <c r="M937" s="6"/>
      <c r="N937" s="6"/>
    </row>
    <row r="938">
      <c r="A938" s="6"/>
      <c r="B938" s="6"/>
      <c r="C938" s="6"/>
      <c r="D938" s="6"/>
      <c r="E938" s="6"/>
      <c r="F938" s="6"/>
      <c r="G938" s="6"/>
      <c r="H938" s="6"/>
      <c r="I938" s="6"/>
      <c r="J938" s="6"/>
      <c r="K938" s="6"/>
      <c r="L938" s="6"/>
      <c r="M938" s="6"/>
      <c r="N938" s="6"/>
    </row>
    <row r="939">
      <c r="A939" s="6"/>
      <c r="B939" s="6"/>
      <c r="C939" s="6"/>
      <c r="D939" s="6"/>
      <c r="E939" s="6"/>
      <c r="F939" s="6"/>
      <c r="G939" s="6"/>
      <c r="H939" s="6"/>
      <c r="I939" s="6"/>
      <c r="J939" s="6"/>
      <c r="K939" s="6"/>
      <c r="L939" s="6"/>
      <c r="M939" s="6"/>
      <c r="N939" s="6"/>
    </row>
    <row r="940">
      <c r="A940" s="6"/>
      <c r="B940" s="6"/>
      <c r="C940" s="6"/>
      <c r="D940" s="6"/>
      <c r="E940" s="6"/>
      <c r="F940" s="6"/>
      <c r="G940" s="6"/>
      <c r="H940" s="6"/>
      <c r="I940" s="6"/>
      <c r="J940" s="6"/>
      <c r="K940" s="6"/>
      <c r="L940" s="6"/>
      <c r="M940" s="6"/>
      <c r="N940" s="6"/>
    </row>
    <row r="941">
      <c r="A941" s="6"/>
      <c r="B941" s="6"/>
      <c r="C941" s="6"/>
      <c r="D941" s="6"/>
      <c r="E941" s="6"/>
      <c r="F941" s="6"/>
      <c r="G941" s="6"/>
      <c r="H941" s="6"/>
      <c r="I941" s="6"/>
      <c r="J941" s="6"/>
      <c r="K941" s="6"/>
      <c r="L941" s="6"/>
      <c r="M941" s="6"/>
      <c r="N941" s="6"/>
    </row>
    <row r="942">
      <c r="A942" s="6"/>
      <c r="B942" s="6"/>
      <c r="C942" s="6"/>
      <c r="D942" s="6"/>
      <c r="E942" s="6"/>
      <c r="F942" s="6"/>
      <c r="G942" s="6"/>
      <c r="H942" s="6"/>
      <c r="I942" s="6"/>
      <c r="J942" s="6"/>
      <c r="K942" s="6"/>
      <c r="L942" s="6"/>
      <c r="M942" s="6"/>
      <c r="N942" s="6"/>
    </row>
    <row r="943">
      <c r="A943" s="6"/>
      <c r="B943" s="6"/>
      <c r="C943" s="6"/>
      <c r="D943" s="6"/>
      <c r="E943" s="6"/>
      <c r="F943" s="6"/>
      <c r="G943" s="6"/>
      <c r="H943" s="6"/>
      <c r="I943" s="6"/>
      <c r="J943" s="6"/>
      <c r="K943" s="6"/>
      <c r="L943" s="6"/>
      <c r="M943" s="6"/>
      <c r="N943" s="6"/>
    </row>
    <row r="944">
      <c r="A944" s="6"/>
      <c r="B944" s="6"/>
      <c r="C944" s="6"/>
      <c r="D944" s="6"/>
      <c r="E944" s="6"/>
      <c r="F944" s="6"/>
      <c r="G944" s="6"/>
      <c r="H944" s="6"/>
      <c r="I944" s="6"/>
      <c r="J944" s="6"/>
      <c r="K944" s="6"/>
      <c r="L944" s="6"/>
      <c r="M944" s="6"/>
      <c r="N944" s="6"/>
    </row>
    <row r="945">
      <c r="A945" s="6"/>
      <c r="B945" s="6"/>
      <c r="C945" s="6"/>
      <c r="D945" s="6"/>
      <c r="E945" s="6"/>
      <c r="F945" s="6"/>
      <c r="G945" s="6"/>
      <c r="H945" s="6"/>
      <c r="I945" s="6"/>
      <c r="J945" s="6"/>
      <c r="K945" s="6"/>
      <c r="L945" s="6"/>
      <c r="M945" s="6"/>
      <c r="N945" s="6"/>
    </row>
    <row r="946">
      <c r="A946" s="6"/>
      <c r="B946" s="6"/>
      <c r="C946" s="6"/>
      <c r="D946" s="6"/>
      <c r="E946" s="6"/>
      <c r="F946" s="6"/>
      <c r="G946" s="6"/>
      <c r="H946" s="6"/>
      <c r="I946" s="6"/>
      <c r="J946" s="6"/>
      <c r="K946" s="6"/>
      <c r="L946" s="6"/>
      <c r="M946" s="6"/>
      <c r="N946" s="6"/>
    </row>
    <row r="947">
      <c r="A947" s="6"/>
      <c r="B947" s="6"/>
      <c r="C947" s="6"/>
      <c r="D947" s="6"/>
      <c r="E947" s="6"/>
      <c r="F947" s="6"/>
      <c r="G947" s="6"/>
      <c r="H947" s="6"/>
      <c r="I947" s="6"/>
      <c r="J947" s="6"/>
      <c r="K947" s="6"/>
      <c r="L947" s="6"/>
      <c r="M947" s="6"/>
      <c r="N947" s="6"/>
    </row>
    <row r="948">
      <c r="A948" s="6"/>
      <c r="B948" s="6"/>
      <c r="C948" s="6"/>
      <c r="D948" s="6"/>
      <c r="E948" s="6"/>
      <c r="F948" s="6"/>
      <c r="G948" s="6"/>
      <c r="H948" s="6"/>
      <c r="I948" s="6"/>
      <c r="J948" s="6"/>
      <c r="K948" s="6"/>
      <c r="L948" s="6"/>
      <c r="M948" s="6"/>
      <c r="N948" s="6"/>
    </row>
    <row r="949">
      <c r="A949" s="6"/>
      <c r="B949" s="6"/>
      <c r="C949" s="6"/>
      <c r="D949" s="6"/>
      <c r="E949" s="6"/>
      <c r="F949" s="6"/>
      <c r="G949" s="6"/>
      <c r="H949" s="6"/>
      <c r="I949" s="6"/>
      <c r="J949" s="6"/>
      <c r="K949" s="6"/>
      <c r="L949" s="6"/>
      <c r="M949" s="6"/>
      <c r="N949" s="6"/>
    </row>
    <row r="950">
      <c r="A950" s="6"/>
      <c r="B950" s="6"/>
      <c r="C950" s="6"/>
      <c r="D950" s="6"/>
      <c r="E950" s="6"/>
      <c r="F950" s="6"/>
      <c r="G950" s="6"/>
      <c r="H950" s="6"/>
      <c r="I950" s="6"/>
      <c r="J950" s="6"/>
      <c r="K950" s="6"/>
      <c r="L950" s="6"/>
      <c r="M950" s="6"/>
      <c r="N950" s="6"/>
    </row>
    <row r="951">
      <c r="A951" s="6"/>
      <c r="B951" s="6"/>
      <c r="C951" s="6"/>
      <c r="D951" s="6"/>
      <c r="E951" s="6"/>
      <c r="F951" s="6"/>
      <c r="G951" s="6"/>
      <c r="H951" s="6"/>
      <c r="I951" s="6"/>
      <c r="J951" s="6"/>
      <c r="K951" s="6"/>
      <c r="L951" s="6"/>
      <c r="M951" s="6"/>
      <c r="N951" s="6"/>
    </row>
    <row r="952">
      <c r="A952" s="6"/>
      <c r="B952" s="6"/>
      <c r="C952" s="6"/>
      <c r="D952" s="6"/>
      <c r="E952" s="6"/>
      <c r="F952" s="6"/>
      <c r="G952" s="6"/>
      <c r="H952" s="6"/>
      <c r="I952" s="6"/>
      <c r="J952" s="6"/>
      <c r="K952" s="6"/>
      <c r="L952" s="6"/>
      <c r="M952" s="6"/>
      <c r="N952" s="6"/>
    </row>
    <row r="953">
      <c r="A953" s="6"/>
      <c r="B953" s="6"/>
      <c r="C953" s="6"/>
      <c r="D953" s="6"/>
      <c r="E953" s="6"/>
      <c r="F953" s="6"/>
      <c r="G953" s="6"/>
      <c r="H953" s="6"/>
      <c r="I953" s="6"/>
      <c r="J953" s="6"/>
      <c r="K953" s="6"/>
      <c r="L953" s="6"/>
      <c r="M953" s="6"/>
      <c r="N953" s="6"/>
    </row>
    <row r="954">
      <c r="A954" s="6"/>
      <c r="B954" s="6"/>
      <c r="C954" s="6"/>
      <c r="D954" s="6"/>
      <c r="E954" s="6"/>
      <c r="F954" s="6"/>
      <c r="G954" s="6"/>
      <c r="H954" s="6"/>
      <c r="I954" s="6"/>
      <c r="J954" s="6"/>
      <c r="K954" s="6"/>
      <c r="L954" s="6"/>
      <c r="M954" s="6"/>
      <c r="N954" s="6"/>
    </row>
    <row r="955">
      <c r="A955" s="6"/>
      <c r="B955" s="6"/>
      <c r="C955" s="6"/>
      <c r="D955" s="6"/>
      <c r="E955" s="6"/>
      <c r="F955" s="6"/>
      <c r="G955" s="6"/>
      <c r="H955" s="6"/>
      <c r="I955" s="6"/>
      <c r="J955" s="6"/>
      <c r="K955" s="6"/>
      <c r="L955" s="6"/>
      <c r="M955" s="6"/>
      <c r="N955" s="6"/>
    </row>
    <row r="956">
      <c r="A956" s="6"/>
      <c r="B956" s="6"/>
      <c r="C956" s="6"/>
      <c r="D956" s="6"/>
      <c r="E956" s="6"/>
      <c r="F956" s="6"/>
      <c r="G956" s="6"/>
      <c r="H956" s="6"/>
      <c r="I956" s="6"/>
      <c r="J956" s="6"/>
      <c r="K956" s="6"/>
      <c r="L956" s="6"/>
      <c r="M956" s="6"/>
      <c r="N956" s="6"/>
    </row>
    <row r="957">
      <c r="A957" s="6"/>
      <c r="B957" s="6"/>
      <c r="C957" s="6"/>
      <c r="D957" s="6"/>
      <c r="E957" s="6"/>
      <c r="F957" s="6"/>
      <c r="G957" s="6"/>
      <c r="H957" s="6"/>
      <c r="I957" s="6"/>
      <c r="J957" s="6"/>
      <c r="K957" s="6"/>
      <c r="L957" s="6"/>
      <c r="M957" s="6"/>
      <c r="N957" s="6"/>
    </row>
    <row r="958">
      <c r="A958" s="6"/>
      <c r="B958" s="6"/>
      <c r="C958" s="6"/>
      <c r="D958" s="6"/>
      <c r="E958" s="6"/>
      <c r="F958" s="6"/>
      <c r="G958" s="6"/>
      <c r="H958" s="6"/>
      <c r="I958" s="6"/>
      <c r="J958" s="6"/>
      <c r="K958" s="6"/>
      <c r="L958" s="6"/>
      <c r="M958" s="6"/>
      <c r="N958" s="6"/>
    </row>
    <row r="959">
      <c r="A959" s="6"/>
      <c r="B959" s="6"/>
      <c r="C959" s="6"/>
      <c r="D959" s="6"/>
      <c r="E959" s="6"/>
      <c r="F959" s="6"/>
      <c r="G959" s="6"/>
      <c r="H959" s="6"/>
      <c r="I959" s="6"/>
      <c r="J959" s="6"/>
      <c r="K959" s="6"/>
      <c r="L959" s="6"/>
      <c r="M959" s="6"/>
      <c r="N959" s="6"/>
    </row>
    <row r="960">
      <c r="A960" s="6"/>
      <c r="B960" s="6"/>
      <c r="C960" s="6"/>
      <c r="D960" s="6"/>
      <c r="E960" s="6"/>
      <c r="F960" s="6"/>
      <c r="G960" s="6"/>
      <c r="H960" s="6"/>
      <c r="I960" s="6"/>
      <c r="J960" s="6"/>
      <c r="K960" s="6"/>
      <c r="L960" s="6"/>
      <c r="M960" s="6"/>
      <c r="N960" s="6"/>
    </row>
    <row r="961">
      <c r="A961" s="6"/>
      <c r="B961" s="6"/>
      <c r="C961" s="6"/>
      <c r="D961" s="6"/>
      <c r="E961" s="6"/>
      <c r="F961" s="6"/>
      <c r="G961" s="6"/>
      <c r="H961" s="6"/>
      <c r="I961" s="6"/>
      <c r="J961" s="6"/>
      <c r="K961" s="6"/>
      <c r="L961" s="6"/>
      <c r="M961" s="6"/>
      <c r="N961" s="6"/>
    </row>
    <row r="962">
      <c r="A962" s="6"/>
      <c r="B962" s="6"/>
      <c r="C962" s="6"/>
      <c r="D962" s="6"/>
      <c r="E962" s="6"/>
      <c r="F962" s="6"/>
      <c r="G962" s="6"/>
      <c r="H962" s="6"/>
      <c r="I962" s="6"/>
      <c r="J962" s="6"/>
      <c r="K962" s="6"/>
      <c r="L962" s="6"/>
      <c r="M962" s="6"/>
      <c r="N962" s="6"/>
    </row>
    <row r="963">
      <c r="A963" s="6"/>
      <c r="B963" s="6"/>
      <c r="C963" s="6"/>
      <c r="D963" s="6"/>
      <c r="E963" s="6"/>
      <c r="F963" s="6"/>
      <c r="G963" s="6"/>
      <c r="H963" s="6"/>
      <c r="I963" s="6"/>
      <c r="J963" s="6"/>
      <c r="K963" s="6"/>
      <c r="L963" s="6"/>
      <c r="M963" s="6"/>
      <c r="N963" s="6"/>
    </row>
    <row r="964">
      <c r="A964" s="6"/>
      <c r="B964" s="6"/>
      <c r="C964" s="6"/>
      <c r="D964" s="6"/>
      <c r="E964" s="6"/>
      <c r="F964" s="6"/>
      <c r="G964" s="6"/>
      <c r="H964" s="6"/>
      <c r="I964" s="6"/>
      <c r="J964" s="6"/>
      <c r="K964" s="6"/>
      <c r="L964" s="6"/>
      <c r="M964" s="6"/>
      <c r="N964" s="6"/>
    </row>
    <row r="965">
      <c r="A965" s="6"/>
      <c r="B965" s="6"/>
      <c r="C965" s="6"/>
      <c r="D965" s="6"/>
      <c r="E965" s="6"/>
      <c r="F965" s="6"/>
      <c r="G965" s="6"/>
      <c r="H965" s="6"/>
      <c r="I965" s="6"/>
      <c r="J965" s="6"/>
      <c r="K965" s="6"/>
      <c r="L965" s="6"/>
      <c r="M965" s="6"/>
      <c r="N965" s="6"/>
    </row>
    <row r="966">
      <c r="A966" s="6"/>
      <c r="B966" s="6"/>
      <c r="C966" s="6"/>
      <c r="D966" s="6"/>
      <c r="E966" s="6"/>
      <c r="F966" s="6"/>
      <c r="G966" s="6"/>
      <c r="H966" s="6"/>
      <c r="I966" s="6"/>
      <c r="J966" s="6"/>
      <c r="K966" s="6"/>
      <c r="L966" s="6"/>
      <c r="M966" s="6"/>
      <c r="N966" s="6"/>
    </row>
    <row r="967">
      <c r="A967" s="6"/>
      <c r="B967" s="6"/>
      <c r="C967" s="6"/>
      <c r="D967" s="6"/>
      <c r="E967" s="6"/>
      <c r="F967" s="6"/>
      <c r="G967" s="6"/>
      <c r="H967" s="6"/>
      <c r="I967" s="6"/>
      <c r="J967" s="6"/>
      <c r="K967" s="6"/>
      <c r="L967" s="6"/>
      <c r="M967" s="6"/>
      <c r="N967" s="6"/>
    </row>
    <row r="968">
      <c r="A968" s="6"/>
      <c r="B968" s="6"/>
      <c r="C968" s="6"/>
      <c r="D968" s="6"/>
      <c r="E968" s="6"/>
      <c r="F968" s="6"/>
      <c r="G968" s="6"/>
      <c r="H968" s="6"/>
      <c r="I968" s="6"/>
      <c r="J968" s="6"/>
      <c r="K968" s="6"/>
      <c r="L968" s="6"/>
      <c r="M968" s="6"/>
      <c r="N968" s="6"/>
    </row>
    <row r="969">
      <c r="A969" s="6"/>
      <c r="B969" s="6"/>
      <c r="C969" s="6"/>
      <c r="D969" s="6"/>
      <c r="E969" s="6"/>
      <c r="F969" s="6"/>
      <c r="G969" s="6"/>
      <c r="H969" s="6"/>
      <c r="I969" s="6"/>
      <c r="J969" s="6"/>
      <c r="K969" s="6"/>
      <c r="L969" s="6"/>
      <c r="M969" s="6"/>
      <c r="N969" s="6"/>
    </row>
    <row r="970">
      <c r="A970" s="6"/>
      <c r="B970" s="6"/>
      <c r="C970" s="6"/>
      <c r="D970" s="6"/>
      <c r="E970" s="6"/>
      <c r="F970" s="6"/>
      <c r="G970" s="6"/>
      <c r="H970" s="6"/>
      <c r="I970" s="6"/>
      <c r="J970" s="6"/>
      <c r="K970" s="6"/>
      <c r="L970" s="6"/>
      <c r="M970" s="6"/>
      <c r="N970" s="6"/>
    </row>
    <row r="971">
      <c r="A971" s="6"/>
      <c r="B971" s="6"/>
      <c r="C971" s="6"/>
      <c r="D971" s="6"/>
      <c r="E971" s="6"/>
      <c r="F971" s="6"/>
      <c r="G971" s="6"/>
      <c r="H971" s="6"/>
      <c r="I971" s="6"/>
      <c r="J971" s="6"/>
      <c r="K971" s="6"/>
      <c r="L971" s="6"/>
      <c r="M971" s="6"/>
      <c r="N971" s="6"/>
    </row>
    <row r="972">
      <c r="A972" s="6"/>
      <c r="B972" s="6"/>
      <c r="C972" s="6"/>
      <c r="D972" s="6"/>
      <c r="E972" s="6"/>
      <c r="F972" s="6"/>
      <c r="G972" s="6"/>
      <c r="H972" s="6"/>
      <c r="I972" s="6"/>
      <c r="J972" s="6"/>
      <c r="K972" s="6"/>
      <c r="L972" s="6"/>
      <c r="M972" s="6"/>
      <c r="N972" s="6"/>
    </row>
    <row r="973">
      <c r="A973" s="6"/>
      <c r="B973" s="6"/>
      <c r="C973" s="6"/>
      <c r="D973" s="6"/>
      <c r="E973" s="6"/>
      <c r="F973" s="6"/>
      <c r="G973" s="6"/>
      <c r="H973" s="6"/>
      <c r="I973" s="6"/>
      <c r="J973" s="6"/>
      <c r="K973" s="6"/>
      <c r="L973" s="6"/>
      <c r="M973" s="6"/>
      <c r="N973" s="6"/>
    </row>
    <row r="974">
      <c r="A974" s="6"/>
      <c r="B974" s="6"/>
      <c r="C974" s="6"/>
      <c r="D974" s="6"/>
      <c r="E974" s="6"/>
      <c r="F974" s="6"/>
      <c r="G974" s="6"/>
      <c r="H974" s="6"/>
      <c r="I974" s="6"/>
      <c r="J974" s="6"/>
      <c r="K974" s="6"/>
      <c r="L974" s="6"/>
      <c r="M974" s="6"/>
      <c r="N974" s="6"/>
    </row>
    <row r="975">
      <c r="A975" s="6"/>
      <c r="B975" s="6"/>
      <c r="C975" s="6"/>
      <c r="D975" s="6"/>
      <c r="E975" s="6"/>
      <c r="F975" s="6"/>
      <c r="G975" s="6"/>
      <c r="H975" s="6"/>
      <c r="I975" s="6"/>
      <c r="J975" s="6"/>
      <c r="K975" s="6"/>
      <c r="L975" s="6"/>
      <c r="M975" s="6"/>
      <c r="N975" s="6"/>
    </row>
    <row r="976">
      <c r="A976" s="6"/>
      <c r="B976" s="6"/>
      <c r="C976" s="6"/>
      <c r="D976" s="6"/>
      <c r="E976" s="6"/>
      <c r="F976" s="6"/>
      <c r="G976" s="6"/>
      <c r="H976" s="6"/>
      <c r="I976" s="6"/>
      <c r="J976" s="6"/>
      <c r="K976" s="6"/>
      <c r="L976" s="6"/>
      <c r="M976" s="6"/>
      <c r="N976" s="6"/>
    </row>
    <row r="977">
      <c r="A977" s="6"/>
      <c r="B977" s="6"/>
      <c r="C977" s="6"/>
      <c r="D977" s="6"/>
      <c r="E977" s="6"/>
      <c r="F977" s="6"/>
      <c r="G977" s="6"/>
      <c r="H977" s="6"/>
      <c r="I977" s="6"/>
      <c r="J977" s="6"/>
      <c r="K977" s="6"/>
      <c r="L977" s="6"/>
      <c r="M977" s="6"/>
      <c r="N977" s="6"/>
    </row>
    <row r="978">
      <c r="A978" s="6"/>
      <c r="B978" s="6"/>
      <c r="C978" s="6"/>
      <c r="D978" s="6"/>
      <c r="E978" s="6"/>
      <c r="F978" s="6"/>
      <c r="G978" s="6"/>
      <c r="H978" s="6"/>
      <c r="I978" s="6"/>
      <c r="J978" s="6"/>
      <c r="K978" s="6"/>
      <c r="L978" s="6"/>
      <c r="M978" s="6"/>
      <c r="N978" s="6"/>
    </row>
    <row r="979">
      <c r="A979" s="6"/>
      <c r="B979" s="6"/>
      <c r="C979" s="6"/>
      <c r="D979" s="6"/>
      <c r="E979" s="6"/>
      <c r="F979" s="6"/>
      <c r="G979" s="6"/>
      <c r="H979" s="6"/>
      <c r="I979" s="6"/>
      <c r="J979" s="6"/>
      <c r="K979" s="6"/>
      <c r="L979" s="6"/>
      <c r="M979" s="6"/>
      <c r="N979" s="6"/>
    </row>
    <row r="980">
      <c r="A980" s="6"/>
      <c r="B980" s="6"/>
      <c r="C980" s="6"/>
      <c r="D980" s="6"/>
      <c r="E980" s="6"/>
      <c r="F980" s="6"/>
      <c r="G980" s="6"/>
      <c r="H980" s="6"/>
      <c r="I980" s="6"/>
      <c r="J980" s="6"/>
      <c r="K980" s="6"/>
      <c r="L980" s="6"/>
      <c r="M980" s="6"/>
      <c r="N980" s="6"/>
    </row>
    <row r="981">
      <c r="A981" s="6"/>
      <c r="B981" s="6"/>
      <c r="C981" s="6"/>
      <c r="D981" s="6"/>
      <c r="E981" s="6"/>
      <c r="F981" s="6"/>
      <c r="G981" s="6"/>
      <c r="H981" s="6"/>
      <c r="I981" s="6"/>
      <c r="J981" s="6"/>
      <c r="K981" s="6"/>
      <c r="L981" s="6"/>
      <c r="M981" s="6"/>
      <c r="N981" s="6"/>
    </row>
    <row r="982">
      <c r="A982" s="6"/>
      <c r="B982" s="6"/>
      <c r="C982" s="6"/>
      <c r="D982" s="6"/>
      <c r="E982" s="6"/>
      <c r="F982" s="6"/>
      <c r="G982" s="6"/>
      <c r="H982" s="6"/>
      <c r="I982" s="6"/>
      <c r="J982" s="6"/>
      <c r="K982" s="6"/>
      <c r="L982" s="6"/>
      <c r="M982" s="6"/>
      <c r="N982" s="6"/>
    </row>
    <row r="983">
      <c r="A983" s="6"/>
      <c r="B983" s="6"/>
      <c r="C983" s="6"/>
      <c r="D983" s="6"/>
      <c r="E983" s="6"/>
      <c r="F983" s="6"/>
      <c r="G983" s="6"/>
      <c r="H983" s="6"/>
      <c r="I983" s="6"/>
      <c r="J983" s="6"/>
      <c r="K983" s="6"/>
      <c r="L983" s="6"/>
      <c r="M983" s="6"/>
      <c r="N983" s="6"/>
    </row>
    <row r="984">
      <c r="A984" s="6"/>
      <c r="B984" s="6"/>
      <c r="C984" s="6"/>
      <c r="D984" s="6"/>
      <c r="E984" s="6"/>
      <c r="F984" s="6"/>
      <c r="G984" s="6"/>
      <c r="H984" s="6"/>
      <c r="I984" s="6"/>
      <c r="J984" s="6"/>
      <c r="K984" s="6"/>
      <c r="L984" s="6"/>
      <c r="M984" s="6"/>
      <c r="N984" s="6"/>
    </row>
    <row r="985">
      <c r="A985" s="6"/>
      <c r="B985" s="6"/>
      <c r="C985" s="6"/>
      <c r="D985" s="6"/>
      <c r="E985" s="6"/>
      <c r="F985" s="6"/>
      <c r="G985" s="6"/>
      <c r="H985" s="6"/>
      <c r="I985" s="6"/>
      <c r="J985" s="6"/>
      <c r="K985" s="6"/>
      <c r="L985" s="6"/>
      <c r="M985" s="6"/>
      <c r="N985" s="6"/>
    </row>
    <row r="986">
      <c r="A986" s="6"/>
      <c r="B986" s="6"/>
      <c r="C986" s="6"/>
      <c r="D986" s="6"/>
      <c r="E986" s="6"/>
      <c r="F986" s="6"/>
      <c r="G986" s="6"/>
      <c r="H986" s="6"/>
      <c r="I986" s="6"/>
      <c r="J986" s="6"/>
      <c r="K986" s="6"/>
      <c r="L986" s="6"/>
      <c r="M986" s="6"/>
      <c r="N986" s="6"/>
    </row>
    <row r="987">
      <c r="A987" s="6"/>
      <c r="B987" s="6"/>
      <c r="C987" s="6"/>
      <c r="D987" s="6"/>
      <c r="E987" s="6"/>
      <c r="F987" s="6"/>
      <c r="G987" s="6"/>
      <c r="H987" s="6"/>
      <c r="I987" s="6"/>
      <c r="J987" s="6"/>
      <c r="K987" s="6"/>
      <c r="L987" s="6"/>
      <c r="M987" s="6"/>
      <c r="N987" s="6"/>
    </row>
    <row r="988">
      <c r="A988" s="6"/>
      <c r="B988" s="6"/>
      <c r="C988" s="6"/>
      <c r="D988" s="6"/>
      <c r="E988" s="6"/>
      <c r="F988" s="6"/>
      <c r="G988" s="6"/>
      <c r="H988" s="6"/>
      <c r="I988" s="6"/>
      <c r="J988" s="6"/>
      <c r="K988" s="6"/>
      <c r="L988" s="6"/>
      <c r="M988" s="6"/>
      <c r="N988" s="6"/>
    </row>
    <row r="989">
      <c r="A989" s="6"/>
      <c r="B989" s="6"/>
      <c r="C989" s="6"/>
      <c r="D989" s="6"/>
      <c r="E989" s="6"/>
      <c r="F989" s="6"/>
      <c r="G989" s="6"/>
      <c r="H989" s="6"/>
      <c r="I989" s="6"/>
      <c r="J989" s="6"/>
      <c r="K989" s="6"/>
      <c r="L989" s="6"/>
      <c r="M989" s="6"/>
      <c r="N989" s="6"/>
    </row>
    <row r="990">
      <c r="A990" s="6"/>
      <c r="B990" s="6"/>
      <c r="C990" s="6"/>
      <c r="D990" s="6"/>
      <c r="E990" s="6"/>
      <c r="F990" s="6"/>
      <c r="G990" s="6"/>
      <c r="H990" s="6"/>
      <c r="I990" s="6"/>
      <c r="J990" s="6"/>
      <c r="K990" s="6"/>
      <c r="L990" s="6"/>
      <c r="M990" s="6"/>
      <c r="N990" s="6"/>
    </row>
    <row r="991">
      <c r="A991" s="6"/>
      <c r="B991" s="6"/>
      <c r="C991" s="6"/>
      <c r="D991" s="6"/>
      <c r="E991" s="6"/>
      <c r="F991" s="6"/>
      <c r="G991" s="6"/>
      <c r="H991" s="6"/>
      <c r="I991" s="6"/>
      <c r="J991" s="6"/>
      <c r="K991" s="6"/>
      <c r="L991" s="6"/>
      <c r="M991" s="6"/>
      <c r="N991" s="6"/>
    </row>
    <row r="992">
      <c r="A992" s="6"/>
      <c r="B992" s="6"/>
      <c r="C992" s="6"/>
      <c r="D992" s="6"/>
      <c r="E992" s="6"/>
      <c r="F992" s="6"/>
      <c r="G992" s="6"/>
      <c r="H992" s="6"/>
      <c r="I992" s="6"/>
      <c r="J992" s="6"/>
      <c r="K992" s="6"/>
      <c r="L992" s="6"/>
      <c r="M992" s="6"/>
      <c r="N992" s="6"/>
    </row>
    <row r="993">
      <c r="A993" s="6"/>
      <c r="B993" s="6"/>
      <c r="C993" s="6"/>
      <c r="D993" s="6"/>
      <c r="E993" s="6"/>
      <c r="F993" s="6"/>
      <c r="G993" s="6"/>
      <c r="H993" s="6"/>
      <c r="I993" s="6"/>
      <c r="J993" s="6"/>
      <c r="K993" s="6"/>
      <c r="L993" s="6"/>
      <c r="M993" s="6"/>
      <c r="N993" s="6"/>
    </row>
    <row r="994">
      <c r="A994" s="6"/>
      <c r="B994" s="6"/>
      <c r="C994" s="6"/>
      <c r="D994" s="6"/>
      <c r="E994" s="6"/>
      <c r="F994" s="6"/>
      <c r="G994" s="6"/>
      <c r="H994" s="6"/>
      <c r="I994" s="6"/>
      <c r="J994" s="6"/>
      <c r="K994" s="6"/>
      <c r="L994" s="6"/>
      <c r="M994" s="6"/>
      <c r="N994" s="6"/>
    </row>
    <row r="995">
      <c r="A995" s="6"/>
      <c r="B995" s="6"/>
      <c r="C995" s="6"/>
      <c r="D995" s="6"/>
      <c r="E995" s="6"/>
      <c r="F995" s="6"/>
      <c r="G995" s="6"/>
      <c r="H995" s="6"/>
      <c r="I995" s="6"/>
      <c r="J995" s="6"/>
      <c r="K995" s="6"/>
      <c r="L995" s="6"/>
      <c r="M995" s="6"/>
      <c r="N995" s="6"/>
    </row>
    <row r="996">
      <c r="A996" s="6"/>
      <c r="B996" s="6"/>
      <c r="C996" s="6"/>
      <c r="D996" s="6"/>
      <c r="E996" s="6"/>
      <c r="F996" s="6"/>
      <c r="G996" s="6"/>
      <c r="H996" s="6"/>
      <c r="I996" s="6"/>
      <c r="J996" s="6"/>
      <c r="K996" s="6"/>
      <c r="L996" s="6"/>
      <c r="M996" s="6"/>
      <c r="N996" s="6"/>
    </row>
    <row r="997">
      <c r="A997" s="6"/>
      <c r="B997" s="6"/>
      <c r="C997" s="6"/>
      <c r="D997" s="6"/>
      <c r="E997" s="6"/>
      <c r="F997" s="6"/>
      <c r="G997" s="6"/>
      <c r="H997" s="6"/>
      <c r="I997" s="6"/>
      <c r="J997" s="6"/>
      <c r="K997" s="6"/>
      <c r="L997" s="6"/>
      <c r="M997" s="6"/>
      <c r="N997" s="6"/>
    </row>
    <row r="998">
      <c r="A998" s="6"/>
      <c r="B998" s="6"/>
      <c r="C998" s="6"/>
      <c r="D998" s="6"/>
      <c r="E998" s="6"/>
      <c r="F998" s="6"/>
      <c r="G998" s="6"/>
      <c r="H998" s="6"/>
      <c r="I998" s="6"/>
      <c r="J998" s="6"/>
      <c r="K998" s="6"/>
      <c r="L998" s="6"/>
      <c r="M998" s="6"/>
      <c r="N998" s="6"/>
    </row>
    <row r="999">
      <c r="A999" s="6"/>
      <c r="B999" s="6"/>
      <c r="C999" s="6"/>
      <c r="D999" s="6"/>
      <c r="E999" s="6"/>
      <c r="F999" s="6"/>
      <c r="G999" s="6"/>
      <c r="H999" s="6"/>
      <c r="I999" s="6"/>
      <c r="J999" s="6"/>
      <c r="K999" s="6"/>
      <c r="L999" s="6"/>
      <c r="M999" s="6"/>
      <c r="N999" s="6"/>
    </row>
    <row r="1000">
      <c r="A1000" s="6"/>
      <c r="B1000" s="6"/>
      <c r="C1000" s="6"/>
      <c r="D1000" s="6"/>
      <c r="E1000" s="6"/>
      <c r="F1000" s="6"/>
      <c r="G1000" s="6"/>
      <c r="H1000" s="6"/>
      <c r="I1000" s="6"/>
      <c r="J1000" s="6"/>
      <c r="K1000" s="6"/>
      <c r="L1000" s="6"/>
      <c r="M1000" s="6"/>
      <c r="N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9.88"/>
    <col customWidth="1" min="3" max="3" width="11.88"/>
    <col customWidth="1" min="4" max="4" width="10.13"/>
    <col customWidth="1" min="5" max="6" width="10.5"/>
    <col customWidth="1" min="7" max="7" width="18.13"/>
    <col customWidth="1" min="8" max="8" width="21.38"/>
    <col customWidth="1" min="11" max="11" width="15.38"/>
    <col customWidth="1" min="13" max="13" width="19.63"/>
  </cols>
  <sheetData>
    <row r="1" ht="26.25" customHeight="1">
      <c r="A1" s="98" t="s">
        <v>3234</v>
      </c>
      <c r="B1" s="98" t="s">
        <v>12</v>
      </c>
      <c r="C1" s="98" t="s">
        <v>3235</v>
      </c>
      <c r="D1" s="98" t="s">
        <v>3236</v>
      </c>
      <c r="E1" s="98" t="s">
        <v>3237</v>
      </c>
      <c r="F1" s="98" t="s">
        <v>3238</v>
      </c>
      <c r="G1" s="98" t="s">
        <v>3239</v>
      </c>
      <c r="H1" s="98" t="s">
        <v>3240</v>
      </c>
      <c r="I1" s="98" t="s">
        <v>3241</v>
      </c>
      <c r="J1" s="98" t="s">
        <v>3242</v>
      </c>
      <c r="K1" s="98" t="s">
        <v>3243</v>
      </c>
      <c r="L1" s="98" t="s">
        <v>3244</v>
      </c>
      <c r="N1" s="99"/>
      <c r="O1" s="99"/>
      <c r="P1" s="99"/>
      <c r="Q1" s="99"/>
      <c r="R1" s="99"/>
      <c r="S1" s="99"/>
      <c r="T1" s="99"/>
      <c r="U1" s="99"/>
      <c r="V1" s="99"/>
      <c r="W1" s="99"/>
      <c r="X1" s="99"/>
      <c r="Y1" s="99"/>
      <c r="Z1" s="99"/>
      <c r="AA1" s="99"/>
    </row>
    <row r="2">
      <c r="A2" s="100">
        <v>45971.0</v>
      </c>
      <c r="B2" s="2" t="s">
        <v>17</v>
      </c>
      <c r="C2" s="101">
        <v>0.3680555555555556</v>
      </c>
      <c r="D2" s="15" t="s">
        <v>3245</v>
      </c>
      <c r="E2" s="101"/>
      <c r="F2" s="101">
        <v>0.7534722222222222</v>
      </c>
      <c r="G2" s="15" t="s">
        <v>3246</v>
      </c>
      <c r="H2" s="15" t="s">
        <v>3247</v>
      </c>
      <c r="I2" s="102">
        <v>4.0</v>
      </c>
      <c r="J2" s="15" t="s">
        <v>3248</v>
      </c>
      <c r="K2" s="15" t="s">
        <v>3249</v>
      </c>
      <c r="L2" s="15" t="s">
        <v>3250</v>
      </c>
      <c r="N2" s="6"/>
    </row>
    <row r="3">
      <c r="A3" s="100">
        <v>45971.0</v>
      </c>
      <c r="B3" s="2" t="s">
        <v>19</v>
      </c>
      <c r="C3" s="101">
        <v>0.36944444444444446</v>
      </c>
      <c r="D3" s="15" t="s">
        <v>3251</v>
      </c>
      <c r="E3" s="101"/>
      <c r="F3" s="101">
        <v>0.75625</v>
      </c>
      <c r="G3" s="15" t="s">
        <v>3252</v>
      </c>
      <c r="H3" s="15" t="s">
        <v>3253</v>
      </c>
      <c r="I3" s="102">
        <v>3.0</v>
      </c>
      <c r="J3" s="15" t="s">
        <v>3254</v>
      </c>
      <c r="K3" s="15" t="s">
        <v>3255</v>
      </c>
      <c r="L3" s="15" t="s">
        <v>3256</v>
      </c>
      <c r="N3" s="6"/>
    </row>
    <row r="4">
      <c r="A4" s="103">
        <v>45971.0</v>
      </c>
      <c r="B4" s="2" t="s">
        <v>21</v>
      </c>
      <c r="C4" s="101">
        <v>0.3736111111111111</v>
      </c>
      <c r="D4" s="15" t="s">
        <v>3257</v>
      </c>
      <c r="E4" s="101"/>
      <c r="F4" s="101">
        <v>0.7506944444444444</v>
      </c>
      <c r="G4" s="15" t="s">
        <v>3258</v>
      </c>
      <c r="H4" s="15" t="s">
        <v>3259</v>
      </c>
      <c r="I4" s="102">
        <v>4.0</v>
      </c>
      <c r="J4" s="15" t="s">
        <v>3260</v>
      </c>
      <c r="K4" s="15" t="s">
        <v>3261</v>
      </c>
      <c r="L4" s="15" t="s">
        <v>3262</v>
      </c>
      <c r="N4" s="6"/>
    </row>
    <row r="5">
      <c r="A5" s="100">
        <v>45971.0</v>
      </c>
      <c r="B5" s="2" t="s">
        <v>23</v>
      </c>
      <c r="C5" s="101">
        <v>0.3659722222222222</v>
      </c>
      <c r="D5" s="15" t="s">
        <v>3263</v>
      </c>
      <c r="E5" s="101"/>
      <c r="F5" s="101">
        <v>0.7541666666666667</v>
      </c>
      <c r="G5" s="15" t="s">
        <v>3264</v>
      </c>
      <c r="H5" s="15" t="s">
        <v>3265</v>
      </c>
      <c r="I5" s="102">
        <v>5.0</v>
      </c>
      <c r="J5" s="15" t="s">
        <v>3266</v>
      </c>
      <c r="K5" s="15" t="s">
        <v>3267</v>
      </c>
      <c r="L5" s="15" t="s">
        <v>3268</v>
      </c>
      <c r="N5" s="6"/>
    </row>
    <row r="6">
      <c r="A6" s="100">
        <v>45971.0</v>
      </c>
      <c r="B6" s="2" t="s">
        <v>25</v>
      </c>
      <c r="C6" s="101">
        <v>0.3701388888888889</v>
      </c>
      <c r="D6" s="15" t="s">
        <v>3269</v>
      </c>
      <c r="E6" s="101"/>
      <c r="F6" s="101">
        <v>0.7451388888888889</v>
      </c>
      <c r="G6" s="15" t="s">
        <v>3270</v>
      </c>
      <c r="H6" s="15" t="s">
        <v>3271</v>
      </c>
      <c r="I6" s="102">
        <v>5.0</v>
      </c>
      <c r="J6" s="15" t="s">
        <v>3272</v>
      </c>
      <c r="K6" s="15" t="s">
        <v>3273</v>
      </c>
      <c r="L6" s="15" t="s">
        <v>3274</v>
      </c>
      <c r="N6" s="6"/>
    </row>
    <row r="7">
      <c r="A7" s="100">
        <v>45971.0</v>
      </c>
      <c r="B7" s="2" t="s">
        <v>27</v>
      </c>
      <c r="C7" s="101">
        <v>0.36666666666666664</v>
      </c>
      <c r="D7" s="15" t="s">
        <v>3275</v>
      </c>
      <c r="E7" s="101"/>
      <c r="F7" s="101">
        <v>0.7513888888888889</v>
      </c>
      <c r="G7" s="15" t="s">
        <v>3276</v>
      </c>
      <c r="H7" s="15" t="s">
        <v>3277</v>
      </c>
      <c r="I7" s="102">
        <v>4.0</v>
      </c>
      <c r="J7" s="15" t="s">
        <v>3278</v>
      </c>
      <c r="K7" s="15" t="s">
        <v>3279</v>
      </c>
      <c r="L7" s="15" t="s">
        <v>3280</v>
      </c>
      <c r="N7" s="6"/>
    </row>
    <row r="8">
      <c r="A8" s="100">
        <v>45971.0</v>
      </c>
      <c r="B8" s="2" t="s">
        <v>31</v>
      </c>
      <c r="C8" s="101">
        <v>0.3659722222222222</v>
      </c>
      <c r="D8" s="15" t="s">
        <v>3281</v>
      </c>
      <c r="E8" s="101"/>
      <c r="F8" s="101">
        <v>0.7486111111111111</v>
      </c>
      <c r="G8" s="15" t="s">
        <v>3282</v>
      </c>
      <c r="H8" s="15" t="s">
        <v>3283</v>
      </c>
      <c r="I8" s="102">
        <v>4.0</v>
      </c>
      <c r="J8" s="15" t="s">
        <v>3284</v>
      </c>
      <c r="K8" s="15" t="s">
        <v>3285</v>
      </c>
      <c r="L8" s="15" t="s">
        <v>3286</v>
      </c>
      <c r="N8" s="6"/>
    </row>
    <row r="9">
      <c r="A9" s="100">
        <v>45971.0</v>
      </c>
      <c r="B9" s="2" t="s">
        <v>35</v>
      </c>
      <c r="C9" s="101">
        <v>0.36944444444444446</v>
      </c>
      <c r="D9" s="15" t="s">
        <v>3287</v>
      </c>
      <c r="E9" s="101"/>
      <c r="F9" s="101">
        <v>0.7513888888888889</v>
      </c>
      <c r="G9" s="15" t="s">
        <v>3288</v>
      </c>
      <c r="H9" s="15" t="s">
        <v>3289</v>
      </c>
      <c r="I9" s="102">
        <v>5.0</v>
      </c>
      <c r="J9" s="15" t="s">
        <v>3284</v>
      </c>
      <c r="K9" s="15" t="s">
        <v>3290</v>
      </c>
      <c r="L9" s="15" t="s">
        <v>3291</v>
      </c>
      <c r="N9" s="6"/>
    </row>
    <row r="10">
      <c r="A10" s="100">
        <v>45971.0</v>
      </c>
      <c r="B10" s="2" t="s">
        <v>38</v>
      </c>
      <c r="C10" s="101">
        <v>0.37222222222222223</v>
      </c>
      <c r="D10" s="15" t="s">
        <v>3292</v>
      </c>
      <c r="E10" s="101"/>
      <c r="F10" s="101">
        <v>0.7506944444444444</v>
      </c>
      <c r="G10" s="15" t="s">
        <v>3293</v>
      </c>
      <c r="H10" s="15" t="s">
        <v>3294</v>
      </c>
      <c r="I10" s="102">
        <v>5.0</v>
      </c>
      <c r="J10" s="15" t="s">
        <v>3295</v>
      </c>
      <c r="K10" s="15" t="s">
        <v>3296</v>
      </c>
      <c r="L10" s="15" t="s">
        <v>3297</v>
      </c>
      <c r="N10" s="6"/>
    </row>
    <row r="11">
      <c r="A11" s="100">
        <v>45971.0</v>
      </c>
      <c r="B11" s="2" t="s">
        <v>39</v>
      </c>
      <c r="C11" s="101">
        <v>0.37222222222222223</v>
      </c>
      <c r="D11" s="15" t="s">
        <v>3298</v>
      </c>
      <c r="E11" s="101"/>
      <c r="F11" s="101">
        <v>0.7486111111111111</v>
      </c>
      <c r="G11" s="15" t="s">
        <v>3299</v>
      </c>
      <c r="H11" s="15" t="s">
        <v>3300</v>
      </c>
      <c r="I11" s="102">
        <v>2.0</v>
      </c>
      <c r="J11" s="15" t="s">
        <v>3301</v>
      </c>
      <c r="K11" s="15" t="s">
        <v>3302</v>
      </c>
      <c r="L11" s="15" t="s">
        <v>171</v>
      </c>
      <c r="N11" s="6"/>
    </row>
    <row r="12">
      <c r="A12" s="100">
        <v>45971.0</v>
      </c>
      <c r="B12" s="2" t="s">
        <v>41</v>
      </c>
      <c r="C12" s="101">
        <v>0.35347222222222224</v>
      </c>
      <c r="D12" s="15" t="s">
        <v>3303</v>
      </c>
      <c r="E12" s="101"/>
      <c r="F12" s="101">
        <v>0.75</v>
      </c>
      <c r="G12" s="15" t="s">
        <v>3304</v>
      </c>
      <c r="H12" s="15" t="s">
        <v>3305</v>
      </c>
      <c r="I12" s="102">
        <v>5.0</v>
      </c>
      <c r="J12" s="15" t="s">
        <v>3306</v>
      </c>
      <c r="K12" s="15" t="s">
        <v>3307</v>
      </c>
      <c r="L12" s="15" t="s">
        <v>3308</v>
      </c>
      <c r="N12" s="6"/>
    </row>
    <row r="13">
      <c r="A13" s="100"/>
      <c r="B13" s="2"/>
      <c r="C13" s="101"/>
      <c r="D13" s="15"/>
      <c r="E13" s="101"/>
      <c r="F13" s="15"/>
      <c r="G13" s="15"/>
      <c r="H13" s="15"/>
      <c r="I13" s="15"/>
      <c r="J13" s="15"/>
      <c r="K13" s="15"/>
      <c r="L13" s="15"/>
      <c r="M13" s="6"/>
      <c r="N13" s="6"/>
    </row>
    <row r="14">
      <c r="A14" s="103"/>
      <c r="B14" s="2"/>
      <c r="C14" s="101"/>
      <c r="D14" s="15"/>
      <c r="E14" s="101"/>
      <c r="F14" s="15"/>
      <c r="G14" s="15"/>
      <c r="H14" s="15"/>
      <c r="I14" s="15"/>
      <c r="J14" s="15"/>
      <c r="K14" s="15"/>
      <c r="L14" s="15"/>
      <c r="M14" s="6"/>
      <c r="N14" s="6"/>
    </row>
    <row r="15">
      <c r="A15" s="103"/>
      <c r="B15" s="2"/>
      <c r="C15" s="101"/>
      <c r="D15" s="15"/>
      <c r="E15" s="101"/>
      <c r="F15" s="15"/>
      <c r="G15" s="15"/>
      <c r="H15" s="15"/>
      <c r="I15" s="15"/>
      <c r="J15" s="15"/>
      <c r="K15" s="15"/>
      <c r="L15" s="15"/>
      <c r="M15" s="6"/>
      <c r="N15" s="6"/>
    </row>
    <row r="16">
      <c r="A16" s="103"/>
      <c r="B16" s="2"/>
      <c r="C16" s="101"/>
      <c r="D16" s="15"/>
      <c r="E16" s="101"/>
      <c r="F16" s="15"/>
      <c r="G16" s="15"/>
      <c r="H16" s="15"/>
      <c r="I16" s="15"/>
      <c r="J16" s="15"/>
      <c r="K16" s="15"/>
      <c r="L16" s="15"/>
      <c r="M16" s="6"/>
      <c r="N16" s="6"/>
    </row>
    <row r="17">
      <c r="A17" s="100"/>
      <c r="B17" s="15"/>
      <c r="C17" s="101"/>
      <c r="D17" s="15"/>
      <c r="E17" s="101"/>
      <c r="F17" s="15"/>
      <c r="G17" s="15"/>
      <c r="H17" s="15"/>
      <c r="I17" s="15"/>
      <c r="J17" s="15"/>
      <c r="K17" s="15"/>
      <c r="L17" s="15"/>
      <c r="M17" s="6"/>
      <c r="N17" s="6"/>
    </row>
    <row r="18">
      <c r="A18" s="100"/>
      <c r="B18" s="15"/>
      <c r="C18" s="101"/>
      <c r="D18" s="15"/>
      <c r="E18" s="101"/>
      <c r="F18" s="15"/>
      <c r="G18" s="15"/>
      <c r="H18" s="15"/>
      <c r="I18" s="15"/>
      <c r="J18" s="15"/>
      <c r="K18" s="15"/>
      <c r="L18" s="15"/>
      <c r="M18" s="6"/>
      <c r="N18" s="6"/>
    </row>
    <row r="19">
      <c r="A19" s="103"/>
      <c r="B19" s="15"/>
      <c r="C19" s="101"/>
      <c r="D19" s="15"/>
      <c r="E19" s="101"/>
      <c r="F19" s="15"/>
      <c r="G19" s="15"/>
      <c r="H19" s="15"/>
      <c r="I19" s="15"/>
      <c r="J19" s="15"/>
      <c r="K19" s="15"/>
      <c r="L19" s="15"/>
      <c r="M19" s="6"/>
      <c r="N19" s="6"/>
    </row>
    <row r="20">
      <c r="A20" s="100"/>
      <c r="B20" s="15"/>
      <c r="C20" s="101"/>
      <c r="D20" s="15"/>
      <c r="E20" s="101"/>
      <c r="F20" s="15"/>
      <c r="G20" s="15"/>
      <c r="H20" s="15"/>
      <c r="I20" s="15"/>
      <c r="J20" s="15"/>
      <c r="K20" s="15"/>
      <c r="L20" s="15"/>
      <c r="M20" s="6"/>
      <c r="N20" s="6"/>
    </row>
    <row r="21">
      <c r="A21" s="100"/>
      <c r="B21" s="15"/>
      <c r="C21" s="101"/>
      <c r="D21" s="15"/>
      <c r="E21" s="101"/>
      <c r="F21" s="15"/>
      <c r="G21" s="15"/>
      <c r="H21" s="15"/>
      <c r="I21" s="15"/>
      <c r="J21" s="15"/>
      <c r="K21" s="15"/>
      <c r="L21" s="15"/>
      <c r="M21" s="6"/>
      <c r="N21" s="6"/>
    </row>
    <row r="22">
      <c r="A22" s="100"/>
      <c r="B22" s="15"/>
      <c r="C22" s="101"/>
      <c r="D22" s="15"/>
      <c r="E22" s="101"/>
      <c r="F22" s="15"/>
      <c r="G22" s="15"/>
      <c r="H22" s="15"/>
      <c r="I22" s="15"/>
      <c r="J22" s="15"/>
      <c r="K22" s="15"/>
      <c r="L22" s="15"/>
      <c r="M22" s="6"/>
      <c r="N22" s="6"/>
    </row>
    <row r="23">
      <c r="A23" s="100"/>
      <c r="B23" s="15"/>
      <c r="C23" s="101"/>
      <c r="D23" s="15"/>
      <c r="E23" s="101"/>
      <c r="F23" s="15"/>
      <c r="G23" s="15"/>
      <c r="H23" s="15"/>
      <c r="I23" s="15"/>
      <c r="J23" s="15"/>
      <c r="K23" s="15"/>
      <c r="L23" s="15"/>
      <c r="M23" s="6"/>
      <c r="N23" s="6"/>
    </row>
    <row r="24">
      <c r="A24" s="103"/>
      <c r="B24" s="15"/>
      <c r="C24" s="101"/>
      <c r="D24" s="15"/>
      <c r="E24" s="101"/>
      <c r="F24" s="15"/>
      <c r="G24" s="15"/>
      <c r="H24" s="15"/>
      <c r="I24" s="15"/>
      <c r="J24" s="15"/>
      <c r="K24" s="15"/>
      <c r="L24" s="15"/>
      <c r="M24" s="6"/>
      <c r="N24" s="6"/>
    </row>
    <row r="25">
      <c r="A25" s="103"/>
      <c r="B25" s="15"/>
      <c r="C25" s="101"/>
      <c r="D25" s="15"/>
      <c r="E25" s="101"/>
      <c r="F25" s="15"/>
      <c r="G25" s="15"/>
      <c r="H25" s="15"/>
      <c r="I25" s="15"/>
      <c r="J25" s="15"/>
      <c r="K25" s="15"/>
      <c r="L25" s="15"/>
      <c r="M25" s="6"/>
      <c r="N25" s="6"/>
    </row>
    <row r="26">
      <c r="A26" s="103"/>
      <c r="B26" s="15"/>
      <c r="C26" s="101"/>
      <c r="D26" s="15"/>
      <c r="E26" s="15"/>
      <c r="F26" s="101"/>
      <c r="G26" s="15"/>
      <c r="H26" s="15"/>
      <c r="I26" s="102"/>
      <c r="J26" s="15"/>
      <c r="K26" s="15"/>
      <c r="L26" s="15"/>
      <c r="M26" s="6"/>
      <c r="N26" s="6"/>
    </row>
    <row r="27">
      <c r="A27" s="103"/>
      <c r="B27" s="15"/>
      <c r="C27" s="101"/>
      <c r="D27" s="15"/>
      <c r="E27" s="15"/>
      <c r="F27" s="101"/>
      <c r="G27" s="15"/>
      <c r="H27" s="15"/>
      <c r="I27" s="102"/>
      <c r="J27" s="15"/>
      <c r="K27" s="15"/>
      <c r="L27" s="15"/>
      <c r="M27" s="6"/>
      <c r="N27" s="6"/>
    </row>
    <row r="28">
      <c r="A28" s="103"/>
      <c r="B28" s="15"/>
      <c r="C28" s="101"/>
      <c r="D28" s="15"/>
      <c r="E28" s="15"/>
      <c r="F28" s="101"/>
      <c r="G28" s="15"/>
      <c r="H28" s="15"/>
      <c r="I28" s="102"/>
      <c r="J28" s="15"/>
      <c r="K28" s="15"/>
      <c r="L28" s="15"/>
      <c r="M28" s="6"/>
      <c r="N28" s="6"/>
    </row>
    <row r="29">
      <c r="A29" s="103"/>
      <c r="B29" s="15"/>
      <c r="C29" s="101"/>
      <c r="D29" s="15"/>
      <c r="E29" s="15"/>
      <c r="F29" s="101"/>
      <c r="G29" s="6"/>
      <c r="H29" s="15"/>
      <c r="I29" s="102"/>
      <c r="J29" s="15"/>
      <c r="K29" s="15"/>
      <c r="L29" s="15"/>
      <c r="M29" s="6"/>
      <c r="N29" s="6"/>
    </row>
    <row r="30">
      <c r="A30" s="103"/>
      <c r="B30" s="15"/>
      <c r="C30" s="101"/>
      <c r="D30" s="15"/>
      <c r="E30" s="15"/>
      <c r="F30" s="101"/>
      <c r="G30" s="15"/>
      <c r="H30" s="15"/>
      <c r="I30" s="102"/>
      <c r="J30" s="15"/>
      <c r="K30" s="15"/>
      <c r="L30" s="15"/>
      <c r="M30" s="6"/>
      <c r="N30" s="6"/>
    </row>
    <row r="31">
      <c r="A31" s="103"/>
      <c r="B31" s="15"/>
      <c r="C31" s="101"/>
      <c r="D31" s="15"/>
      <c r="E31" s="15"/>
      <c r="F31" s="101"/>
      <c r="G31" s="15"/>
      <c r="H31" s="15"/>
      <c r="I31" s="102"/>
      <c r="J31" s="15"/>
      <c r="K31" s="15"/>
      <c r="L31" s="15"/>
      <c r="M31" s="6"/>
      <c r="N31" s="6"/>
    </row>
    <row r="32">
      <c r="A32" s="103"/>
      <c r="B32" s="15"/>
      <c r="C32" s="101"/>
      <c r="D32" s="15"/>
      <c r="E32" s="15"/>
      <c r="F32" s="101"/>
      <c r="G32" s="6"/>
      <c r="H32" s="15"/>
      <c r="I32" s="102"/>
      <c r="J32" s="15"/>
      <c r="K32" s="15"/>
      <c r="L32" s="15"/>
      <c r="M32" s="6"/>
      <c r="N32" s="6"/>
    </row>
    <row r="33">
      <c r="A33" s="103"/>
      <c r="B33" s="15"/>
      <c r="C33" s="101"/>
      <c r="D33" s="15"/>
      <c r="E33" s="15"/>
      <c r="F33" s="101"/>
      <c r="G33" s="15"/>
      <c r="H33" s="15"/>
      <c r="I33" s="102"/>
      <c r="J33" s="15"/>
      <c r="K33" s="15"/>
      <c r="L33" s="15"/>
      <c r="M33" s="6"/>
      <c r="N33" s="6"/>
    </row>
    <row r="34">
      <c r="A34" s="103"/>
      <c r="B34" s="15"/>
      <c r="C34" s="101"/>
      <c r="D34" s="15"/>
      <c r="E34" s="15"/>
      <c r="F34" s="101"/>
      <c r="G34" s="15"/>
      <c r="H34" s="15"/>
      <c r="I34" s="102"/>
      <c r="J34" s="15"/>
      <c r="K34" s="15"/>
      <c r="L34" s="15"/>
      <c r="M34" s="6"/>
      <c r="N34" s="6"/>
    </row>
    <row r="35">
      <c r="A35" s="103"/>
      <c r="B35" s="15"/>
      <c r="C35" s="101"/>
      <c r="D35" s="15"/>
      <c r="E35" s="15"/>
      <c r="F35" s="101"/>
      <c r="G35" s="15"/>
      <c r="H35" s="15"/>
      <c r="I35" s="102"/>
      <c r="J35" s="15"/>
      <c r="K35" s="15"/>
      <c r="L35" s="15"/>
      <c r="M35" s="6"/>
      <c r="N35" s="6"/>
    </row>
    <row r="36">
      <c r="A36" s="103"/>
      <c r="B36" s="15"/>
      <c r="C36" s="101"/>
      <c r="D36" s="15"/>
      <c r="E36" s="15"/>
      <c r="F36" s="101"/>
      <c r="G36" s="6"/>
      <c r="H36" s="15"/>
      <c r="I36" s="102"/>
      <c r="J36" s="15"/>
      <c r="K36" s="15"/>
      <c r="L36" s="15"/>
      <c r="M36" s="6"/>
      <c r="N36" s="6"/>
    </row>
    <row r="37">
      <c r="A37" s="103"/>
      <c r="B37" s="15"/>
      <c r="C37" s="101"/>
      <c r="D37" s="15"/>
      <c r="E37" s="15"/>
      <c r="F37" s="101"/>
      <c r="G37" s="15"/>
      <c r="H37" s="15"/>
      <c r="I37" s="102"/>
      <c r="J37" s="15"/>
      <c r="K37" s="15"/>
      <c r="L37" s="15"/>
      <c r="M37" s="6"/>
      <c r="N37" s="6"/>
    </row>
    <row r="38">
      <c r="A38" s="103"/>
      <c r="B38" s="15"/>
      <c r="C38" s="101"/>
      <c r="D38" s="15"/>
      <c r="E38" s="15"/>
      <c r="F38" s="101"/>
      <c r="G38" s="6"/>
      <c r="H38" s="15"/>
      <c r="I38" s="102"/>
      <c r="J38" s="15"/>
      <c r="K38" s="15"/>
      <c r="L38" s="15"/>
      <c r="M38" s="6"/>
      <c r="N38" s="6"/>
    </row>
    <row r="39">
      <c r="A39" s="103"/>
      <c r="B39" s="15"/>
      <c r="C39" s="101"/>
      <c r="D39" s="15"/>
      <c r="E39" s="15"/>
      <c r="F39" s="101"/>
      <c r="G39" s="6"/>
      <c r="H39" s="15"/>
      <c r="I39" s="102"/>
      <c r="J39" s="15"/>
      <c r="K39" s="15"/>
      <c r="L39" s="15"/>
      <c r="M39" s="6"/>
      <c r="N39" s="6"/>
    </row>
    <row r="40">
      <c r="A40" s="103"/>
      <c r="B40" s="15"/>
      <c r="C40" s="101"/>
      <c r="D40" s="15"/>
      <c r="E40" s="15"/>
      <c r="F40" s="101"/>
      <c r="G40" s="15"/>
      <c r="H40" s="15"/>
      <c r="I40" s="102"/>
      <c r="J40" s="15"/>
      <c r="K40" s="15"/>
      <c r="L40" s="15"/>
      <c r="M40" s="6"/>
      <c r="N40" s="6"/>
    </row>
    <row r="41">
      <c r="A41" s="103"/>
      <c r="B41" s="15"/>
      <c r="C41" s="101"/>
      <c r="D41" s="15"/>
      <c r="E41" s="15"/>
      <c r="F41" s="101"/>
      <c r="G41" s="15"/>
      <c r="H41" s="15"/>
      <c r="I41" s="102"/>
      <c r="J41" s="15"/>
      <c r="K41" s="15"/>
      <c r="L41" s="15"/>
      <c r="M41" s="6"/>
      <c r="N41" s="6"/>
    </row>
    <row r="42">
      <c r="A42" s="103"/>
      <c r="B42" s="15"/>
      <c r="C42" s="101"/>
      <c r="D42" s="15"/>
      <c r="E42" s="15"/>
      <c r="F42" s="101"/>
      <c r="G42" s="15"/>
      <c r="H42" s="15"/>
      <c r="I42" s="102"/>
      <c r="J42" s="15"/>
      <c r="K42" s="15"/>
      <c r="L42" s="15"/>
      <c r="M42" s="6"/>
      <c r="N42" s="6"/>
    </row>
    <row r="43">
      <c r="A43" s="103"/>
      <c r="B43" s="15"/>
      <c r="C43" s="101"/>
      <c r="D43" s="15"/>
      <c r="E43" s="15"/>
      <c r="F43" s="101"/>
      <c r="G43" s="15"/>
      <c r="H43" s="15"/>
      <c r="I43" s="102"/>
      <c r="J43" s="15"/>
      <c r="K43" s="15"/>
      <c r="L43" s="15"/>
      <c r="M43" s="6"/>
      <c r="N43" s="6"/>
    </row>
    <row r="44">
      <c r="A44" s="103"/>
      <c r="B44" s="15"/>
      <c r="C44" s="101"/>
      <c r="D44" s="15"/>
      <c r="E44" s="15"/>
      <c r="F44" s="101"/>
      <c r="G44" s="15"/>
      <c r="H44" s="15"/>
      <c r="I44" s="102"/>
      <c r="J44" s="15"/>
      <c r="K44" s="15"/>
      <c r="L44" s="15"/>
      <c r="M44" s="6"/>
      <c r="N44" s="6"/>
    </row>
    <row r="45">
      <c r="A45" s="103"/>
      <c r="B45" s="15"/>
      <c r="C45" s="101"/>
      <c r="D45" s="15"/>
      <c r="E45" s="15"/>
      <c r="F45" s="101"/>
      <c r="G45" s="6"/>
      <c r="H45" s="15"/>
      <c r="I45" s="102"/>
      <c r="J45" s="15"/>
      <c r="K45" s="15"/>
      <c r="L45" s="15"/>
      <c r="M45" s="6"/>
      <c r="N45" s="6"/>
    </row>
    <row r="46">
      <c r="A46" s="103"/>
      <c r="B46" s="15"/>
      <c r="C46" s="101"/>
      <c r="D46" s="15"/>
      <c r="E46" s="15"/>
      <c r="F46" s="101"/>
      <c r="G46" s="15"/>
      <c r="H46" s="15"/>
      <c r="I46" s="102"/>
      <c r="J46" s="15"/>
      <c r="K46" s="15"/>
      <c r="L46" s="15"/>
      <c r="M46" s="6"/>
      <c r="N46" s="6"/>
    </row>
    <row r="47">
      <c r="A47" s="103"/>
      <c r="B47" s="15"/>
      <c r="C47" s="101"/>
      <c r="D47" s="15"/>
      <c r="E47" s="15"/>
      <c r="F47" s="101"/>
      <c r="G47" s="6"/>
      <c r="H47" s="15"/>
      <c r="I47" s="102"/>
      <c r="J47" s="15"/>
      <c r="K47" s="15"/>
      <c r="L47" s="15"/>
      <c r="M47" s="6"/>
      <c r="N47" s="6"/>
    </row>
    <row r="48">
      <c r="A48" s="103"/>
      <c r="B48" s="15"/>
      <c r="C48" s="101"/>
      <c r="D48" s="15"/>
      <c r="E48" s="15"/>
      <c r="F48" s="101"/>
      <c r="G48" s="15"/>
      <c r="H48" s="15"/>
      <c r="I48" s="102"/>
      <c r="J48" s="15"/>
      <c r="K48" s="15"/>
      <c r="L48" s="15"/>
      <c r="M48" s="6"/>
      <c r="N48" s="6"/>
    </row>
    <row r="49">
      <c r="A49" s="103"/>
      <c r="B49" s="15"/>
      <c r="C49" s="101"/>
      <c r="D49" s="15"/>
      <c r="E49" s="15"/>
      <c r="F49" s="101"/>
      <c r="G49" s="6"/>
      <c r="H49" s="15"/>
      <c r="I49" s="102"/>
      <c r="J49" s="15"/>
      <c r="K49" s="15"/>
      <c r="L49" s="15"/>
      <c r="M49" s="6"/>
      <c r="N49" s="6"/>
    </row>
    <row r="50">
      <c r="A50" s="103"/>
      <c r="B50" s="15"/>
      <c r="C50" s="101"/>
      <c r="D50" s="15"/>
      <c r="E50" s="15"/>
      <c r="F50" s="101"/>
      <c r="G50" s="15"/>
      <c r="H50" s="15"/>
      <c r="I50" s="102"/>
      <c r="J50" s="15"/>
      <c r="K50" s="15"/>
      <c r="L50" s="15"/>
      <c r="M50" s="6"/>
      <c r="N50" s="6"/>
    </row>
    <row r="51">
      <c r="A51" s="103"/>
      <c r="B51" s="15"/>
      <c r="C51" s="101"/>
      <c r="D51" s="15"/>
      <c r="E51" s="15"/>
      <c r="F51" s="101"/>
      <c r="G51" s="15"/>
      <c r="H51" s="15"/>
      <c r="I51" s="102"/>
      <c r="J51" s="15"/>
      <c r="K51" s="15"/>
      <c r="L51" s="15"/>
      <c r="M51" s="6"/>
      <c r="N51" s="6"/>
    </row>
    <row r="52">
      <c r="A52" s="103"/>
      <c r="B52" s="15"/>
      <c r="C52" s="101"/>
      <c r="D52" s="15"/>
      <c r="E52" s="15"/>
      <c r="F52" s="101"/>
      <c r="G52" s="15"/>
      <c r="H52" s="15"/>
      <c r="I52" s="102"/>
      <c r="J52" s="15"/>
      <c r="K52" s="15"/>
      <c r="L52" s="15"/>
      <c r="M52" s="6"/>
      <c r="N52" s="6"/>
    </row>
    <row r="53">
      <c r="A53" s="103"/>
      <c r="B53" s="15"/>
      <c r="C53" s="101"/>
      <c r="D53" s="15"/>
      <c r="E53" s="15"/>
      <c r="F53" s="101"/>
      <c r="G53" s="6"/>
      <c r="H53" s="15"/>
      <c r="I53" s="102"/>
      <c r="J53" s="15"/>
      <c r="K53" s="15"/>
      <c r="L53" s="15"/>
      <c r="M53" s="6"/>
      <c r="N53" s="6"/>
    </row>
    <row r="54">
      <c r="A54" s="103"/>
      <c r="B54" s="15"/>
      <c r="C54" s="101"/>
      <c r="D54" s="15"/>
      <c r="E54" s="15"/>
      <c r="F54" s="101"/>
      <c r="G54" s="6"/>
      <c r="H54" s="15"/>
      <c r="I54" s="102"/>
      <c r="J54" s="15"/>
      <c r="K54" s="15"/>
      <c r="L54" s="15"/>
      <c r="M54" s="6"/>
      <c r="N54" s="6"/>
    </row>
    <row r="55">
      <c r="A55" s="103"/>
      <c r="B55" s="15"/>
      <c r="C55" s="101"/>
      <c r="D55" s="15"/>
      <c r="E55" s="15"/>
      <c r="F55" s="101"/>
      <c r="G55" s="15"/>
      <c r="H55" s="15"/>
      <c r="I55" s="102"/>
      <c r="J55" s="15"/>
      <c r="K55" s="15"/>
      <c r="L55" s="15"/>
      <c r="M55" s="6"/>
      <c r="N55" s="6"/>
    </row>
    <row r="56">
      <c r="A56" s="103"/>
      <c r="B56" s="15"/>
      <c r="C56" s="101"/>
      <c r="D56" s="15"/>
      <c r="E56" s="15"/>
      <c r="F56" s="101"/>
      <c r="G56" s="15"/>
      <c r="H56" s="15"/>
      <c r="I56" s="102"/>
      <c r="J56" s="15"/>
      <c r="K56" s="15"/>
      <c r="L56" s="15"/>
      <c r="M56" s="6"/>
      <c r="N56" s="6"/>
    </row>
    <row r="57">
      <c r="A57" s="103"/>
      <c r="B57" s="15"/>
      <c r="C57" s="101"/>
      <c r="D57" s="15"/>
      <c r="E57" s="15"/>
      <c r="F57" s="101"/>
      <c r="G57" s="15"/>
      <c r="H57" s="15"/>
      <c r="I57" s="102"/>
      <c r="J57" s="15"/>
      <c r="K57" s="15"/>
      <c r="L57" s="15"/>
      <c r="M57" s="6"/>
      <c r="N57" s="6"/>
    </row>
    <row r="58">
      <c r="A58" s="103"/>
      <c r="B58" s="15"/>
      <c r="C58" s="101"/>
      <c r="D58" s="15"/>
      <c r="E58" s="15"/>
      <c r="F58" s="101"/>
      <c r="G58" s="6"/>
      <c r="H58" s="15"/>
      <c r="I58" s="102"/>
      <c r="J58" s="15"/>
      <c r="K58" s="15"/>
      <c r="L58" s="15"/>
      <c r="M58" s="6"/>
      <c r="N58" s="6"/>
    </row>
    <row r="59">
      <c r="A59" s="103"/>
      <c r="B59" s="15"/>
      <c r="C59" s="101"/>
      <c r="D59" s="15"/>
      <c r="E59" s="15"/>
      <c r="F59" s="101"/>
      <c r="G59" s="6"/>
      <c r="H59" s="15"/>
      <c r="I59" s="102"/>
      <c r="J59" s="15"/>
      <c r="K59" s="15"/>
      <c r="L59" s="15"/>
      <c r="M59" s="6"/>
      <c r="N59" s="6"/>
    </row>
    <row r="60">
      <c r="A60" s="103"/>
      <c r="B60" s="15"/>
      <c r="C60" s="101"/>
      <c r="D60" s="15"/>
      <c r="E60" s="15"/>
      <c r="F60" s="101"/>
      <c r="G60" s="6"/>
      <c r="H60" s="15"/>
      <c r="I60" s="102"/>
      <c r="J60" s="15"/>
      <c r="K60" s="15"/>
      <c r="L60" s="15"/>
      <c r="M60" s="6"/>
      <c r="N60" s="6"/>
    </row>
    <row r="61">
      <c r="A61" s="103"/>
      <c r="B61" s="15"/>
      <c r="C61" s="101"/>
      <c r="D61" s="15"/>
      <c r="E61" s="15"/>
      <c r="F61" s="101"/>
      <c r="G61" s="6"/>
      <c r="H61" s="15"/>
      <c r="I61" s="102"/>
      <c r="J61" s="15"/>
      <c r="K61" s="15"/>
      <c r="L61" s="15"/>
      <c r="M61" s="6"/>
      <c r="N61" s="6"/>
    </row>
    <row r="62">
      <c r="A62" s="103"/>
      <c r="B62" s="15"/>
      <c r="C62" s="101"/>
      <c r="D62" s="15"/>
      <c r="E62" s="15"/>
      <c r="F62" s="101"/>
      <c r="G62" s="6"/>
      <c r="H62" s="15"/>
      <c r="I62" s="102"/>
      <c r="J62" s="15"/>
      <c r="K62" s="15"/>
      <c r="L62" s="15"/>
      <c r="M62" s="6"/>
      <c r="N62" s="6"/>
    </row>
    <row r="63">
      <c r="A63" s="103"/>
      <c r="B63" s="15"/>
      <c r="C63" s="101"/>
      <c r="D63" s="15"/>
      <c r="E63" s="15"/>
      <c r="F63" s="101"/>
      <c r="G63" s="6"/>
      <c r="H63" s="15"/>
      <c r="I63" s="102"/>
      <c r="J63" s="15"/>
      <c r="K63" s="15"/>
      <c r="L63" s="15"/>
      <c r="M63" s="6"/>
      <c r="N63" s="6"/>
    </row>
    <row r="64">
      <c r="A64" s="103"/>
      <c r="B64" s="15"/>
      <c r="C64" s="101"/>
      <c r="D64" s="15"/>
      <c r="E64" s="15"/>
      <c r="F64" s="101"/>
      <c r="G64" s="6"/>
      <c r="H64" s="15"/>
      <c r="I64" s="102"/>
      <c r="J64" s="15"/>
      <c r="K64" s="15"/>
      <c r="L64" s="15"/>
      <c r="M64" s="6"/>
      <c r="N64" s="6"/>
    </row>
    <row r="65">
      <c r="A65" s="103"/>
      <c r="B65" s="15"/>
      <c r="C65" s="101"/>
      <c r="D65" s="15"/>
      <c r="E65" s="15"/>
      <c r="F65" s="101"/>
      <c r="G65" s="6"/>
      <c r="H65" s="15"/>
      <c r="I65" s="102"/>
      <c r="J65" s="15"/>
      <c r="K65" s="15"/>
      <c r="L65" s="15"/>
      <c r="M65" s="6"/>
      <c r="N65" s="6"/>
    </row>
    <row r="66">
      <c r="A66" s="103"/>
      <c r="B66" s="15"/>
      <c r="C66" s="101"/>
      <c r="D66" s="15"/>
      <c r="E66" s="15"/>
      <c r="F66" s="101"/>
      <c r="G66" s="6"/>
      <c r="H66" s="15"/>
      <c r="I66" s="102"/>
      <c r="J66" s="15"/>
      <c r="K66" s="15"/>
      <c r="L66" s="15"/>
      <c r="M66" s="6"/>
      <c r="N66" s="6"/>
    </row>
    <row r="67">
      <c r="A67" s="103"/>
      <c r="B67" s="15"/>
      <c r="C67" s="101"/>
      <c r="D67" s="15"/>
      <c r="E67" s="15"/>
      <c r="F67" s="101"/>
      <c r="G67" s="6"/>
      <c r="H67" s="15"/>
      <c r="I67" s="102"/>
      <c r="J67" s="15"/>
      <c r="K67" s="15"/>
      <c r="L67" s="15"/>
      <c r="M67" s="6"/>
      <c r="N67" s="6"/>
    </row>
    <row r="68">
      <c r="A68" s="103"/>
      <c r="B68" s="15"/>
      <c r="C68" s="101"/>
      <c r="D68" s="15"/>
      <c r="E68" s="15"/>
      <c r="F68" s="101"/>
      <c r="G68" s="6"/>
      <c r="H68" s="15"/>
      <c r="I68" s="102"/>
      <c r="J68" s="15"/>
      <c r="K68" s="15"/>
      <c r="L68" s="15"/>
      <c r="M68" s="6"/>
      <c r="N68" s="6"/>
    </row>
    <row r="69">
      <c r="A69" s="103"/>
      <c r="B69" s="15"/>
      <c r="C69" s="101"/>
      <c r="D69" s="15"/>
      <c r="E69" s="15"/>
      <c r="F69" s="101"/>
      <c r="G69" s="6"/>
      <c r="H69" s="15"/>
      <c r="I69" s="102"/>
      <c r="J69" s="15"/>
      <c r="K69" s="15"/>
      <c r="L69" s="15"/>
      <c r="M69" s="6"/>
      <c r="N69" s="6"/>
    </row>
    <row r="70">
      <c r="A70" s="103"/>
      <c r="B70" s="15"/>
      <c r="C70" s="101"/>
      <c r="D70" s="15"/>
      <c r="E70" s="15"/>
      <c r="F70" s="101"/>
      <c r="G70" s="6"/>
      <c r="H70" s="15"/>
      <c r="I70" s="102"/>
      <c r="J70" s="15"/>
      <c r="K70" s="15"/>
      <c r="L70" s="15"/>
      <c r="M70" s="6"/>
      <c r="N70" s="6"/>
    </row>
    <row r="71">
      <c r="A71" s="103"/>
      <c r="B71" s="15"/>
      <c r="C71" s="101"/>
      <c r="D71" s="15"/>
      <c r="E71" s="15"/>
      <c r="F71" s="101"/>
      <c r="G71" s="6"/>
      <c r="H71" s="15"/>
      <c r="I71" s="102"/>
      <c r="J71" s="15"/>
      <c r="K71" s="15"/>
      <c r="L71" s="15"/>
      <c r="M71" s="6"/>
      <c r="N71" s="6"/>
    </row>
    <row r="72">
      <c r="A72" s="103"/>
      <c r="B72" s="15"/>
      <c r="C72" s="101"/>
      <c r="D72" s="15"/>
      <c r="E72" s="15"/>
      <c r="F72" s="101"/>
      <c r="G72" s="15"/>
      <c r="H72" s="15"/>
      <c r="I72" s="102"/>
      <c r="J72" s="15"/>
      <c r="K72" s="15"/>
      <c r="L72" s="15"/>
      <c r="M72" s="6"/>
      <c r="N72" s="6"/>
    </row>
    <row r="73">
      <c r="A73" s="103"/>
      <c r="B73" s="15"/>
      <c r="C73" s="101"/>
      <c r="D73" s="15"/>
      <c r="E73" s="15"/>
      <c r="F73" s="101"/>
      <c r="G73" s="6"/>
      <c r="H73" s="15"/>
      <c r="I73" s="102"/>
      <c r="J73" s="15"/>
      <c r="K73" s="15"/>
      <c r="L73" s="15"/>
      <c r="M73" s="6"/>
      <c r="N73" s="6"/>
    </row>
    <row r="74">
      <c r="A74" s="103"/>
      <c r="B74" s="15"/>
      <c r="C74" s="101"/>
      <c r="D74" s="15"/>
      <c r="E74" s="15"/>
      <c r="F74" s="101"/>
      <c r="G74" s="6"/>
      <c r="H74" s="15"/>
      <c r="I74" s="102"/>
      <c r="J74" s="15"/>
      <c r="K74" s="15"/>
      <c r="L74" s="15"/>
      <c r="M74" s="6"/>
      <c r="N74" s="6"/>
    </row>
    <row r="75">
      <c r="A75" s="103"/>
      <c r="B75" s="15"/>
      <c r="C75" s="101"/>
      <c r="D75" s="15"/>
      <c r="E75" s="15"/>
      <c r="F75" s="101"/>
      <c r="G75" s="6"/>
      <c r="H75" s="15"/>
      <c r="I75" s="102"/>
      <c r="J75" s="15"/>
      <c r="K75" s="15"/>
      <c r="L75" s="15"/>
      <c r="M75" s="6"/>
      <c r="N75" s="6"/>
    </row>
    <row r="76">
      <c r="A76" s="103"/>
      <c r="B76" s="15"/>
      <c r="C76" s="101"/>
      <c r="D76" s="15"/>
      <c r="E76" s="15"/>
      <c r="F76" s="101"/>
      <c r="G76" s="6"/>
      <c r="H76" s="15"/>
      <c r="I76" s="102"/>
      <c r="J76" s="15"/>
      <c r="K76" s="15"/>
      <c r="L76" s="15"/>
      <c r="M76" s="6"/>
      <c r="N76" s="6"/>
    </row>
    <row r="77">
      <c r="A77" s="103"/>
      <c r="B77" s="15"/>
      <c r="C77" s="101"/>
      <c r="D77" s="15"/>
      <c r="E77" s="15"/>
      <c r="F77" s="101"/>
      <c r="G77" s="6"/>
      <c r="H77" s="15"/>
      <c r="I77" s="102"/>
      <c r="J77" s="15"/>
      <c r="K77" s="15"/>
      <c r="L77" s="15"/>
      <c r="M77" s="6"/>
      <c r="N77" s="6"/>
    </row>
    <row r="78">
      <c r="A78" s="103"/>
      <c r="B78" s="15"/>
      <c r="C78" s="101"/>
      <c r="D78" s="15"/>
      <c r="E78" s="15"/>
      <c r="F78" s="101"/>
      <c r="G78" s="6"/>
      <c r="H78" s="15"/>
      <c r="I78" s="102"/>
      <c r="J78" s="15"/>
      <c r="K78" s="15"/>
      <c r="L78" s="15"/>
      <c r="M78" s="6"/>
      <c r="N78" s="6"/>
    </row>
    <row r="79">
      <c r="A79" s="103"/>
      <c r="B79" s="15"/>
      <c r="C79" s="101"/>
      <c r="D79" s="15"/>
      <c r="E79" s="15"/>
      <c r="F79" s="101"/>
      <c r="G79" s="6"/>
      <c r="H79" s="15"/>
      <c r="I79" s="102"/>
      <c r="J79" s="15"/>
      <c r="K79" s="15"/>
      <c r="L79" s="15"/>
      <c r="M79" s="6"/>
      <c r="N79" s="6"/>
    </row>
    <row r="80">
      <c r="A80" s="103"/>
      <c r="B80" s="15"/>
      <c r="C80" s="101"/>
      <c r="D80" s="15"/>
      <c r="E80" s="15"/>
      <c r="F80" s="101"/>
      <c r="G80" s="6"/>
      <c r="H80" s="15"/>
      <c r="I80" s="102"/>
      <c r="J80" s="15"/>
      <c r="K80" s="15"/>
      <c r="L80" s="15"/>
      <c r="M80" s="6"/>
      <c r="N80" s="6"/>
    </row>
    <row r="81">
      <c r="A81" s="103"/>
      <c r="B81" s="15"/>
      <c r="C81" s="101"/>
      <c r="D81" s="15"/>
      <c r="E81" s="15"/>
      <c r="F81" s="101"/>
      <c r="G81" s="6"/>
      <c r="H81" s="15"/>
      <c r="I81" s="102"/>
      <c r="J81" s="15"/>
      <c r="K81" s="15"/>
      <c r="L81" s="15"/>
      <c r="M81" s="6"/>
      <c r="N81" s="6"/>
    </row>
    <row r="82">
      <c r="A82" s="103"/>
      <c r="B82" s="15"/>
      <c r="C82" s="101"/>
      <c r="D82" s="15"/>
      <c r="E82" s="15"/>
      <c r="F82" s="101"/>
      <c r="G82" s="6"/>
      <c r="H82" s="15"/>
      <c r="I82" s="102"/>
      <c r="J82" s="15"/>
      <c r="K82" s="15"/>
      <c r="L82" s="15"/>
      <c r="M82" s="6"/>
      <c r="N82" s="6"/>
    </row>
    <row r="83">
      <c r="A83" s="103"/>
      <c r="B83" s="15"/>
      <c r="C83" s="101"/>
      <c r="D83" s="15"/>
      <c r="E83" s="15"/>
      <c r="F83" s="101"/>
      <c r="G83" s="6"/>
      <c r="H83" s="15"/>
      <c r="I83" s="102"/>
      <c r="J83" s="15"/>
      <c r="K83" s="15"/>
      <c r="L83" s="15"/>
      <c r="M83" s="6"/>
      <c r="N83" s="6"/>
    </row>
    <row r="84">
      <c r="A84" s="103"/>
      <c r="B84" s="15"/>
      <c r="C84" s="101"/>
      <c r="D84" s="15"/>
      <c r="E84" s="15"/>
      <c r="F84" s="101"/>
      <c r="G84" s="6"/>
      <c r="H84" s="15"/>
      <c r="I84" s="102"/>
      <c r="J84" s="15"/>
      <c r="K84" s="15"/>
      <c r="L84" s="15"/>
      <c r="M84" s="6"/>
      <c r="N84" s="6"/>
    </row>
    <row r="85">
      <c r="A85" s="103"/>
      <c r="B85" s="15"/>
      <c r="C85" s="101"/>
      <c r="D85" s="15"/>
      <c r="E85" s="15"/>
      <c r="F85" s="101"/>
      <c r="G85" s="6"/>
      <c r="H85" s="15"/>
      <c r="I85" s="102"/>
      <c r="J85" s="15"/>
      <c r="K85" s="15"/>
      <c r="L85" s="15"/>
      <c r="M85" s="6"/>
      <c r="N85" s="6"/>
    </row>
    <row r="86">
      <c r="A86" s="103"/>
      <c r="B86" s="15"/>
      <c r="C86" s="101"/>
      <c r="D86" s="15"/>
      <c r="E86" s="15"/>
      <c r="F86" s="101"/>
      <c r="G86" s="6"/>
      <c r="H86" s="15"/>
      <c r="I86" s="102"/>
      <c r="J86" s="15"/>
      <c r="K86" s="15"/>
      <c r="L86" s="15"/>
      <c r="M86" s="6"/>
      <c r="N86" s="6"/>
    </row>
    <row r="87">
      <c r="A87" s="103"/>
      <c r="B87" s="15"/>
      <c r="C87" s="101"/>
      <c r="D87" s="15"/>
      <c r="E87" s="15"/>
      <c r="F87" s="101"/>
      <c r="G87" s="6"/>
      <c r="H87" s="15"/>
      <c r="I87" s="102"/>
      <c r="J87" s="15"/>
      <c r="K87" s="15"/>
      <c r="L87" s="15"/>
      <c r="M87" s="6"/>
      <c r="N87" s="6"/>
    </row>
    <row r="88">
      <c r="A88" s="103"/>
      <c r="B88" s="15"/>
      <c r="C88" s="101"/>
      <c r="D88" s="15"/>
      <c r="E88" s="15"/>
      <c r="F88" s="101"/>
      <c r="G88" s="6"/>
      <c r="H88" s="15"/>
      <c r="I88" s="102"/>
      <c r="J88" s="15"/>
      <c r="K88" s="15"/>
      <c r="L88" s="15"/>
      <c r="M88" s="6"/>
      <c r="N88" s="6"/>
    </row>
    <row r="89">
      <c r="A89" s="103"/>
      <c r="B89" s="15"/>
      <c r="C89" s="101"/>
      <c r="D89" s="15"/>
      <c r="E89" s="15"/>
      <c r="F89" s="101"/>
      <c r="G89" s="6"/>
      <c r="H89" s="15"/>
      <c r="I89" s="102"/>
      <c r="J89" s="15"/>
      <c r="K89" s="15"/>
      <c r="L89" s="15"/>
      <c r="M89" s="6"/>
      <c r="N89" s="6"/>
    </row>
    <row r="90">
      <c r="A90" s="103"/>
      <c r="B90" s="15"/>
      <c r="C90" s="101"/>
      <c r="D90" s="15"/>
      <c r="E90" s="15"/>
      <c r="F90" s="101"/>
      <c r="G90" s="6"/>
      <c r="H90" s="15"/>
      <c r="I90" s="102"/>
      <c r="J90" s="15"/>
      <c r="K90" s="15"/>
      <c r="L90" s="15"/>
      <c r="M90" s="6"/>
      <c r="N90" s="6"/>
    </row>
    <row r="91">
      <c r="A91" s="103"/>
      <c r="B91" s="15"/>
      <c r="C91" s="101"/>
      <c r="D91" s="15"/>
      <c r="E91" s="15"/>
      <c r="F91" s="101"/>
      <c r="G91" s="6"/>
      <c r="H91" s="15"/>
      <c r="I91" s="102"/>
      <c r="J91" s="15"/>
      <c r="K91" s="15"/>
      <c r="L91" s="15"/>
      <c r="M91" s="6"/>
      <c r="N91" s="6"/>
    </row>
    <row r="92">
      <c r="A92" s="103"/>
      <c r="B92" s="15"/>
      <c r="C92" s="101"/>
      <c r="D92" s="15"/>
      <c r="E92" s="15"/>
      <c r="F92" s="101"/>
      <c r="G92" s="6"/>
      <c r="H92" s="15"/>
      <c r="I92" s="102"/>
      <c r="J92" s="15"/>
      <c r="K92" s="15"/>
      <c r="L92" s="15"/>
      <c r="M92" s="6"/>
      <c r="N92" s="6"/>
    </row>
    <row r="93">
      <c r="A93" s="103"/>
      <c r="B93" s="15"/>
      <c r="C93" s="101"/>
      <c r="D93" s="15"/>
      <c r="E93" s="15"/>
      <c r="F93" s="101"/>
      <c r="G93" s="6"/>
      <c r="H93" s="15"/>
      <c r="I93" s="102"/>
      <c r="J93" s="15"/>
      <c r="K93" s="15"/>
      <c r="L93" s="15"/>
      <c r="M93" s="6"/>
      <c r="N93" s="6"/>
    </row>
    <row r="94">
      <c r="A94" s="103"/>
      <c r="B94" s="15"/>
      <c r="C94" s="101"/>
      <c r="D94" s="15"/>
      <c r="E94" s="15"/>
      <c r="F94" s="101"/>
      <c r="G94" s="6"/>
      <c r="H94" s="15"/>
      <c r="I94" s="102"/>
      <c r="J94" s="15"/>
      <c r="K94" s="15"/>
      <c r="L94" s="15"/>
      <c r="M94" s="6"/>
      <c r="N94" s="6"/>
    </row>
    <row r="95">
      <c r="A95" s="103"/>
      <c r="B95" s="15"/>
      <c r="C95" s="101"/>
      <c r="D95" s="15"/>
      <c r="E95" s="15"/>
      <c r="F95" s="101"/>
      <c r="G95" s="6"/>
      <c r="H95" s="15"/>
      <c r="I95" s="102"/>
      <c r="J95" s="15"/>
      <c r="K95" s="15"/>
      <c r="L95" s="15"/>
      <c r="M95" s="6"/>
      <c r="N95" s="6"/>
    </row>
    <row r="96">
      <c r="A96" s="103"/>
      <c r="B96" s="15"/>
      <c r="C96" s="101"/>
      <c r="D96" s="15"/>
      <c r="E96" s="15"/>
      <c r="F96" s="101"/>
      <c r="G96" s="6"/>
      <c r="H96" s="15"/>
      <c r="I96" s="102"/>
      <c r="J96" s="15"/>
      <c r="K96" s="15"/>
      <c r="L96" s="15"/>
      <c r="M96" s="6"/>
      <c r="N96" s="6"/>
    </row>
    <row r="97">
      <c r="A97" s="103"/>
      <c r="B97" s="15"/>
      <c r="C97" s="101"/>
      <c r="D97" s="15"/>
      <c r="E97" s="15"/>
      <c r="F97" s="101"/>
      <c r="G97" s="6"/>
      <c r="H97" s="15"/>
      <c r="I97" s="102"/>
      <c r="J97" s="15"/>
      <c r="K97" s="15"/>
      <c r="L97" s="15"/>
      <c r="M97" s="6"/>
      <c r="N97" s="6"/>
    </row>
    <row r="98">
      <c r="A98" s="103"/>
      <c r="B98" s="15"/>
      <c r="C98" s="101"/>
      <c r="D98" s="15"/>
      <c r="E98" s="15"/>
      <c r="F98" s="101"/>
      <c r="G98" s="6"/>
      <c r="H98" s="15"/>
      <c r="I98" s="102"/>
      <c r="J98" s="15"/>
      <c r="K98" s="15"/>
      <c r="L98" s="15"/>
      <c r="M98" s="6"/>
      <c r="N98" s="6"/>
    </row>
    <row r="99">
      <c r="A99" s="103"/>
      <c r="B99" s="15"/>
      <c r="C99" s="101"/>
      <c r="D99" s="15"/>
      <c r="E99" s="15"/>
      <c r="F99" s="101"/>
      <c r="G99" s="6"/>
      <c r="H99" s="15"/>
      <c r="I99" s="102"/>
      <c r="J99" s="15"/>
      <c r="K99" s="15"/>
      <c r="L99" s="15"/>
      <c r="M99" s="6"/>
      <c r="N99" s="6"/>
    </row>
    <row r="100">
      <c r="A100" s="103"/>
      <c r="B100" s="15"/>
      <c r="C100" s="101"/>
      <c r="D100" s="15"/>
      <c r="E100" s="15"/>
      <c r="F100" s="101"/>
      <c r="G100" s="6"/>
      <c r="H100" s="15"/>
      <c r="I100" s="102"/>
      <c r="J100" s="15"/>
      <c r="K100" s="15"/>
      <c r="L100" s="15"/>
      <c r="M100" s="6"/>
      <c r="N100" s="6"/>
    </row>
    <row r="101">
      <c r="A101" s="6"/>
      <c r="B101" s="6"/>
      <c r="C101" s="6"/>
      <c r="D101" s="6"/>
      <c r="E101" s="6"/>
      <c r="F101" s="6"/>
      <c r="G101" s="6"/>
      <c r="H101" s="6"/>
      <c r="I101" s="6"/>
      <c r="J101" s="6"/>
      <c r="K101" s="6"/>
      <c r="L101" s="6"/>
      <c r="M101" s="6"/>
      <c r="N101" s="6"/>
    </row>
    <row r="102">
      <c r="A102" s="6"/>
      <c r="B102" s="6"/>
      <c r="C102" s="6"/>
      <c r="D102" s="6"/>
      <c r="E102" s="6"/>
      <c r="F102" s="6"/>
      <c r="G102" s="6"/>
      <c r="H102" s="6"/>
      <c r="I102" s="6"/>
      <c r="J102" s="6"/>
      <c r="K102" s="6"/>
      <c r="L102" s="6"/>
      <c r="M102" s="6"/>
      <c r="N102" s="6"/>
    </row>
    <row r="103">
      <c r="A103" s="6"/>
      <c r="B103" s="6"/>
      <c r="C103" s="6"/>
      <c r="D103" s="6"/>
      <c r="E103" s="6"/>
      <c r="F103" s="6"/>
      <c r="G103" s="6"/>
      <c r="H103" s="6"/>
      <c r="I103" s="6"/>
      <c r="J103" s="6"/>
      <c r="K103" s="6"/>
      <c r="L103" s="6"/>
      <c r="M103" s="6"/>
      <c r="N103" s="6"/>
    </row>
    <row r="104">
      <c r="A104" s="6"/>
      <c r="B104" s="6"/>
      <c r="C104" s="6"/>
      <c r="D104" s="6"/>
      <c r="E104" s="6"/>
      <c r="F104" s="6"/>
      <c r="G104" s="6"/>
      <c r="H104" s="6"/>
      <c r="I104" s="6"/>
      <c r="J104" s="6"/>
      <c r="K104" s="6"/>
      <c r="L104" s="6"/>
      <c r="M104" s="6"/>
      <c r="N104" s="6"/>
    </row>
    <row r="105">
      <c r="A105" s="6"/>
      <c r="B105" s="6"/>
      <c r="C105" s="6"/>
      <c r="D105" s="6"/>
      <c r="E105" s="6"/>
      <c r="F105" s="6"/>
      <c r="G105" s="6"/>
      <c r="H105" s="6"/>
      <c r="I105" s="6"/>
      <c r="J105" s="6"/>
      <c r="K105" s="6"/>
      <c r="L105" s="6"/>
      <c r="M105" s="6"/>
      <c r="N105" s="6"/>
    </row>
    <row r="106">
      <c r="A106" s="6"/>
      <c r="B106" s="6"/>
      <c r="C106" s="6"/>
      <c r="D106" s="6"/>
      <c r="E106" s="6"/>
      <c r="F106" s="6"/>
      <c r="G106" s="6"/>
      <c r="H106" s="6"/>
      <c r="I106" s="6"/>
      <c r="J106" s="6"/>
      <c r="K106" s="6"/>
      <c r="L106" s="6"/>
      <c r="M106" s="6"/>
      <c r="N106" s="6"/>
    </row>
    <row r="107">
      <c r="A107" s="6"/>
      <c r="B107" s="6"/>
      <c r="C107" s="6"/>
      <c r="D107" s="6"/>
      <c r="E107" s="6"/>
      <c r="F107" s="6"/>
      <c r="G107" s="6"/>
      <c r="H107" s="6"/>
      <c r="I107" s="6"/>
      <c r="J107" s="6"/>
      <c r="K107" s="6"/>
      <c r="L107" s="6"/>
      <c r="M107" s="6"/>
      <c r="N107" s="6"/>
    </row>
    <row r="108">
      <c r="A108" s="6"/>
      <c r="B108" s="6"/>
      <c r="C108" s="6"/>
      <c r="D108" s="6"/>
      <c r="E108" s="6"/>
      <c r="F108" s="6"/>
      <c r="G108" s="6"/>
      <c r="H108" s="6"/>
      <c r="I108" s="6"/>
      <c r="J108" s="6"/>
      <c r="K108" s="6"/>
      <c r="L108" s="6"/>
      <c r="M108" s="6"/>
      <c r="N108" s="6"/>
    </row>
    <row r="109">
      <c r="A109" s="6"/>
      <c r="B109" s="6"/>
      <c r="C109" s="6"/>
      <c r="D109" s="6"/>
      <c r="E109" s="6"/>
      <c r="F109" s="6"/>
      <c r="G109" s="6"/>
      <c r="H109" s="6"/>
      <c r="I109" s="6"/>
      <c r="J109" s="6"/>
      <c r="K109" s="6"/>
      <c r="L109" s="6"/>
      <c r="M109" s="6"/>
      <c r="N109" s="6"/>
    </row>
    <row r="110">
      <c r="A110" s="6"/>
      <c r="B110" s="6"/>
      <c r="C110" s="6"/>
      <c r="D110" s="6"/>
      <c r="E110" s="6"/>
      <c r="F110" s="6"/>
      <c r="G110" s="6"/>
      <c r="H110" s="6"/>
      <c r="I110" s="6"/>
      <c r="J110" s="6"/>
      <c r="K110" s="6"/>
      <c r="L110" s="6"/>
      <c r="M110" s="6"/>
      <c r="N110" s="6"/>
    </row>
    <row r="111">
      <c r="A111" s="6"/>
      <c r="B111" s="6"/>
      <c r="C111" s="6"/>
      <c r="D111" s="6"/>
      <c r="E111" s="6"/>
      <c r="F111" s="6"/>
      <c r="G111" s="6"/>
      <c r="H111" s="6"/>
      <c r="I111" s="6"/>
      <c r="J111" s="6"/>
      <c r="K111" s="6"/>
      <c r="L111" s="6"/>
      <c r="M111" s="6"/>
      <c r="N111" s="6"/>
    </row>
    <row r="112">
      <c r="A112" s="6"/>
      <c r="B112" s="6"/>
      <c r="C112" s="6"/>
      <c r="D112" s="6"/>
      <c r="E112" s="6"/>
      <c r="F112" s="6"/>
      <c r="G112" s="6"/>
      <c r="H112" s="6"/>
      <c r="I112" s="6"/>
      <c r="J112" s="6"/>
      <c r="K112" s="6"/>
      <c r="L112" s="6"/>
      <c r="M112" s="6"/>
      <c r="N112" s="6"/>
    </row>
    <row r="113">
      <c r="A113" s="6"/>
      <c r="B113" s="6"/>
      <c r="C113" s="6"/>
      <c r="D113" s="6"/>
      <c r="E113" s="6"/>
      <c r="F113" s="6"/>
      <c r="G113" s="6"/>
      <c r="H113" s="6"/>
      <c r="I113" s="6"/>
      <c r="J113" s="6"/>
      <c r="K113" s="6"/>
      <c r="L113" s="6"/>
      <c r="M113" s="6"/>
      <c r="N113" s="6"/>
    </row>
    <row r="114">
      <c r="A114" s="6"/>
      <c r="B114" s="6"/>
      <c r="C114" s="6"/>
      <c r="D114" s="6"/>
      <c r="E114" s="6"/>
      <c r="F114" s="6"/>
      <c r="G114" s="6"/>
      <c r="H114" s="6"/>
      <c r="I114" s="6"/>
      <c r="J114" s="6"/>
      <c r="K114" s="6"/>
      <c r="L114" s="6"/>
      <c r="M114" s="6"/>
      <c r="N114" s="6"/>
    </row>
    <row r="115">
      <c r="A115" s="6"/>
      <c r="B115" s="6"/>
      <c r="C115" s="6"/>
      <c r="D115" s="6"/>
      <c r="E115" s="6"/>
      <c r="F115" s="6"/>
      <c r="G115" s="6"/>
      <c r="H115" s="6"/>
      <c r="I115" s="6"/>
      <c r="J115" s="6"/>
      <c r="K115" s="6"/>
      <c r="L115" s="6"/>
      <c r="M115" s="6"/>
      <c r="N115" s="6"/>
    </row>
    <row r="116">
      <c r="A116" s="6"/>
      <c r="B116" s="6"/>
      <c r="C116" s="6"/>
      <c r="D116" s="6"/>
      <c r="E116" s="6"/>
      <c r="F116" s="6"/>
      <c r="G116" s="6"/>
      <c r="H116" s="6"/>
      <c r="I116" s="6"/>
      <c r="J116" s="6"/>
      <c r="K116" s="6"/>
      <c r="L116" s="6"/>
      <c r="M116" s="6"/>
      <c r="N116" s="6"/>
    </row>
    <row r="117">
      <c r="A117" s="6"/>
      <c r="B117" s="6"/>
      <c r="C117" s="6"/>
      <c r="D117" s="6"/>
      <c r="E117" s="6"/>
      <c r="F117" s="6"/>
      <c r="G117" s="6"/>
      <c r="H117" s="6"/>
      <c r="I117" s="6"/>
      <c r="J117" s="6"/>
      <c r="K117" s="6"/>
      <c r="L117" s="6"/>
      <c r="M117" s="6"/>
      <c r="N117" s="6"/>
    </row>
    <row r="118">
      <c r="A118" s="6"/>
      <c r="B118" s="6"/>
      <c r="C118" s="6"/>
      <c r="D118" s="6"/>
      <c r="E118" s="6"/>
      <c r="F118" s="6"/>
      <c r="G118" s="6"/>
      <c r="H118" s="6"/>
      <c r="I118" s="6"/>
      <c r="J118" s="6"/>
      <c r="K118" s="6"/>
      <c r="L118" s="6"/>
      <c r="M118" s="6"/>
      <c r="N118" s="6"/>
    </row>
    <row r="119">
      <c r="A119" s="6"/>
      <c r="B119" s="6"/>
      <c r="C119" s="6"/>
      <c r="D119" s="6"/>
      <c r="E119" s="6"/>
      <c r="F119" s="6"/>
      <c r="G119" s="6"/>
      <c r="H119" s="6"/>
      <c r="I119" s="6"/>
      <c r="J119" s="6"/>
      <c r="K119" s="6"/>
      <c r="L119" s="6"/>
      <c r="M119" s="6"/>
      <c r="N119" s="6"/>
    </row>
    <row r="120">
      <c r="A120" s="6"/>
      <c r="B120" s="6"/>
      <c r="C120" s="6"/>
      <c r="D120" s="6"/>
      <c r="E120" s="6"/>
      <c r="F120" s="6"/>
      <c r="G120" s="6"/>
      <c r="H120" s="6"/>
      <c r="I120" s="6"/>
      <c r="J120" s="6"/>
      <c r="K120" s="6"/>
      <c r="L120" s="6"/>
      <c r="M120" s="6"/>
      <c r="N120" s="6"/>
    </row>
    <row r="121">
      <c r="A121" s="6"/>
      <c r="B121" s="6"/>
      <c r="C121" s="6"/>
      <c r="D121" s="6"/>
      <c r="E121" s="6"/>
      <c r="F121" s="6"/>
      <c r="G121" s="6"/>
      <c r="H121" s="6"/>
      <c r="I121" s="6"/>
      <c r="J121" s="6"/>
      <c r="K121" s="6"/>
      <c r="L121" s="6"/>
      <c r="M121" s="6"/>
      <c r="N121" s="6"/>
    </row>
    <row r="122">
      <c r="A122" s="6"/>
      <c r="B122" s="6"/>
      <c r="C122" s="6"/>
      <c r="D122" s="6"/>
      <c r="E122" s="6"/>
      <c r="F122" s="6"/>
      <c r="G122" s="6"/>
      <c r="H122" s="6"/>
      <c r="I122" s="6"/>
      <c r="J122" s="6"/>
      <c r="K122" s="6"/>
      <c r="L122" s="6"/>
      <c r="M122" s="6"/>
      <c r="N122" s="6"/>
    </row>
    <row r="123">
      <c r="A123" s="6"/>
      <c r="B123" s="6"/>
      <c r="C123" s="6"/>
      <c r="D123" s="6"/>
      <c r="E123" s="6"/>
      <c r="F123" s="6"/>
      <c r="G123" s="6"/>
      <c r="H123" s="6"/>
      <c r="I123" s="6"/>
      <c r="J123" s="6"/>
      <c r="K123" s="6"/>
      <c r="L123" s="6"/>
      <c r="M123" s="6"/>
      <c r="N123" s="6"/>
    </row>
    <row r="124">
      <c r="A124" s="6"/>
      <c r="B124" s="6"/>
      <c r="C124" s="6"/>
      <c r="D124" s="6"/>
      <c r="E124" s="6"/>
      <c r="F124" s="6"/>
      <c r="G124" s="6"/>
      <c r="H124" s="6"/>
      <c r="I124" s="6"/>
      <c r="J124" s="6"/>
      <c r="K124" s="6"/>
      <c r="L124" s="6"/>
      <c r="M124" s="6"/>
      <c r="N124" s="6"/>
    </row>
    <row r="125">
      <c r="A125" s="6"/>
      <c r="B125" s="6"/>
      <c r="C125" s="6"/>
      <c r="D125" s="6"/>
      <c r="E125" s="6"/>
      <c r="F125" s="6"/>
      <c r="G125" s="6"/>
      <c r="H125" s="6"/>
      <c r="I125" s="6"/>
      <c r="J125" s="6"/>
      <c r="K125" s="6"/>
      <c r="L125" s="6"/>
      <c r="M125" s="6"/>
      <c r="N125" s="6"/>
    </row>
    <row r="126">
      <c r="A126" s="6"/>
      <c r="B126" s="6"/>
      <c r="C126" s="6"/>
      <c r="D126" s="6"/>
      <c r="E126" s="6"/>
      <c r="F126" s="6"/>
      <c r="G126" s="6"/>
      <c r="H126" s="6"/>
      <c r="I126" s="6"/>
      <c r="J126" s="6"/>
      <c r="K126" s="6"/>
      <c r="L126" s="6"/>
      <c r="M126" s="6"/>
      <c r="N126" s="6"/>
    </row>
    <row r="127">
      <c r="A127" s="6"/>
      <c r="B127" s="6"/>
      <c r="C127" s="6"/>
      <c r="D127" s="6"/>
      <c r="E127" s="6"/>
      <c r="F127" s="6"/>
      <c r="G127" s="6"/>
      <c r="H127" s="6"/>
      <c r="I127" s="6"/>
      <c r="J127" s="6"/>
      <c r="K127" s="6"/>
      <c r="L127" s="6"/>
      <c r="M127" s="6"/>
      <c r="N127" s="6"/>
    </row>
    <row r="128">
      <c r="A128" s="6"/>
      <c r="B128" s="6"/>
      <c r="C128" s="6"/>
      <c r="D128" s="6"/>
      <c r="E128" s="6"/>
      <c r="F128" s="6"/>
      <c r="G128" s="6"/>
      <c r="H128" s="6"/>
      <c r="I128" s="6"/>
      <c r="J128" s="6"/>
      <c r="K128" s="6"/>
      <c r="L128" s="6"/>
      <c r="M128" s="6"/>
      <c r="N128" s="6"/>
    </row>
    <row r="129">
      <c r="A129" s="6"/>
      <c r="B129" s="6"/>
      <c r="C129" s="6"/>
      <c r="D129" s="6"/>
      <c r="E129" s="6"/>
      <c r="F129" s="6"/>
      <c r="G129" s="6"/>
      <c r="H129" s="6"/>
      <c r="I129" s="6"/>
      <c r="J129" s="6"/>
      <c r="K129" s="6"/>
      <c r="L129" s="6"/>
      <c r="M129" s="6"/>
      <c r="N129" s="6"/>
    </row>
    <row r="130">
      <c r="A130" s="6"/>
      <c r="B130" s="6"/>
      <c r="C130" s="6"/>
      <c r="D130" s="6"/>
      <c r="E130" s="6"/>
      <c r="F130" s="6"/>
      <c r="G130" s="6"/>
      <c r="H130" s="6"/>
      <c r="I130" s="6"/>
      <c r="J130" s="6"/>
      <c r="K130" s="6"/>
      <c r="L130" s="6"/>
      <c r="M130" s="6"/>
      <c r="N130" s="6"/>
    </row>
    <row r="131">
      <c r="A131" s="6"/>
      <c r="B131" s="6"/>
      <c r="C131" s="6"/>
      <c r="D131" s="6"/>
      <c r="E131" s="6"/>
      <c r="F131" s="6"/>
      <c r="G131" s="6"/>
      <c r="H131" s="6"/>
      <c r="I131" s="6"/>
      <c r="J131" s="6"/>
      <c r="K131" s="6"/>
      <c r="L131" s="6"/>
      <c r="M131" s="6"/>
      <c r="N131" s="6"/>
    </row>
    <row r="132">
      <c r="A132" s="6"/>
      <c r="B132" s="6"/>
      <c r="C132" s="6"/>
      <c r="D132" s="6"/>
      <c r="E132" s="6"/>
      <c r="F132" s="6"/>
      <c r="G132" s="6"/>
      <c r="H132" s="6"/>
      <c r="I132" s="6"/>
      <c r="J132" s="6"/>
      <c r="K132" s="6"/>
      <c r="L132" s="6"/>
      <c r="M132" s="6"/>
      <c r="N132" s="6"/>
    </row>
    <row r="133">
      <c r="A133" s="6"/>
      <c r="B133" s="6"/>
      <c r="C133" s="6"/>
      <c r="D133" s="6"/>
      <c r="E133" s="6"/>
      <c r="F133" s="6"/>
      <c r="G133" s="6"/>
      <c r="H133" s="6"/>
      <c r="I133" s="6"/>
      <c r="J133" s="6"/>
      <c r="K133" s="6"/>
      <c r="L133" s="6"/>
      <c r="M133" s="6"/>
      <c r="N133" s="6"/>
    </row>
    <row r="134">
      <c r="A134" s="6"/>
      <c r="B134" s="6"/>
      <c r="C134" s="6"/>
      <c r="D134" s="6"/>
      <c r="E134" s="6"/>
      <c r="F134" s="6"/>
      <c r="G134" s="6"/>
      <c r="H134" s="6"/>
      <c r="I134" s="6"/>
      <c r="J134" s="6"/>
      <c r="K134" s="6"/>
      <c r="L134" s="6"/>
      <c r="M134" s="6"/>
      <c r="N134" s="6"/>
    </row>
    <row r="135">
      <c r="A135" s="6"/>
      <c r="B135" s="6"/>
      <c r="C135" s="6"/>
      <c r="D135" s="6"/>
      <c r="E135" s="6"/>
      <c r="F135" s="6"/>
      <c r="G135" s="6"/>
      <c r="H135" s="6"/>
      <c r="I135" s="6"/>
      <c r="J135" s="6"/>
      <c r="K135" s="6"/>
      <c r="L135" s="6"/>
      <c r="M135" s="6"/>
      <c r="N135" s="6"/>
    </row>
    <row r="136">
      <c r="A136" s="6"/>
      <c r="B136" s="6"/>
      <c r="C136" s="6"/>
      <c r="D136" s="6"/>
      <c r="E136" s="6"/>
      <c r="F136" s="6"/>
      <c r="G136" s="6"/>
      <c r="H136" s="6"/>
      <c r="I136" s="6"/>
      <c r="J136" s="6"/>
      <c r="K136" s="6"/>
      <c r="L136" s="6"/>
      <c r="M136" s="6"/>
      <c r="N136" s="6"/>
    </row>
    <row r="137">
      <c r="A137" s="6"/>
      <c r="B137" s="6"/>
      <c r="C137" s="6"/>
      <c r="D137" s="6"/>
      <c r="E137" s="6"/>
      <c r="F137" s="6"/>
      <c r="G137" s="6"/>
      <c r="H137" s="6"/>
      <c r="I137" s="6"/>
      <c r="J137" s="6"/>
      <c r="K137" s="6"/>
      <c r="L137" s="6"/>
      <c r="M137" s="6"/>
      <c r="N137" s="6"/>
    </row>
    <row r="138">
      <c r="A138" s="6"/>
      <c r="B138" s="6"/>
      <c r="C138" s="6"/>
      <c r="D138" s="6"/>
      <c r="E138" s="6"/>
      <c r="F138" s="6"/>
      <c r="G138" s="6"/>
      <c r="H138" s="6"/>
      <c r="I138" s="6"/>
      <c r="J138" s="6"/>
      <c r="K138" s="6"/>
      <c r="L138" s="6"/>
      <c r="M138" s="6"/>
      <c r="N138" s="6"/>
    </row>
    <row r="139">
      <c r="A139" s="6"/>
      <c r="B139" s="6"/>
      <c r="C139" s="6"/>
      <c r="D139" s="6"/>
      <c r="E139" s="6"/>
      <c r="F139" s="6"/>
      <c r="G139" s="6"/>
      <c r="H139" s="6"/>
      <c r="I139" s="6"/>
      <c r="J139" s="6"/>
      <c r="K139" s="6"/>
      <c r="L139" s="6"/>
      <c r="M139" s="6"/>
      <c r="N139" s="6"/>
    </row>
    <row r="140">
      <c r="A140" s="6"/>
      <c r="B140" s="6"/>
      <c r="C140" s="6"/>
      <c r="D140" s="6"/>
      <c r="E140" s="6"/>
      <c r="F140" s="6"/>
      <c r="G140" s="6"/>
      <c r="H140" s="6"/>
      <c r="I140" s="6"/>
      <c r="J140" s="6"/>
      <c r="K140" s="6"/>
      <c r="L140" s="6"/>
      <c r="M140" s="6"/>
      <c r="N140" s="6"/>
    </row>
    <row r="141">
      <c r="A141" s="6"/>
      <c r="B141" s="6"/>
      <c r="C141" s="6"/>
      <c r="D141" s="6"/>
      <c r="E141" s="6"/>
      <c r="F141" s="6"/>
      <c r="G141" s="6"/>
      <c r="H141" s="6"/>
      <c r="I141" s="6"/>
      <c r="J141" s="6"/>
      <c r="K141" s="6"/>
      <c r="L141" s="6"/>
      <c r="M141" s="6"/>
      <c r="N141" s="6"/>
    </row>
    <row r="142">
      <c r="A142" s="6"/>
      <c r="B142" s="6"/>
      <c r="C142" s="6"/>
      <c r="D142" s="6"/>
      <c r="E142" s="6"/>
      <c r="F142" s="6"/>
      <c r="G142" s="6"/>
      <c r="H142" s="6"/>
      <c r="I142" s="6"/>
      <c r="J142" s="6"/>
      <c r="K142" s="6"/>
      <c r="L142" s="6"/>
      <c r="M142" s="6"/>
      <c r="N142" s="6"/>
    </row>
    <row r="143">
      <c r="A143" s="6"/>
      <c r="B143" s="6"/>
      <c r="C143" s="6"/>
      <c r="D143" s="6"/>
      <c r="E143" s="6"/>
      <c r="F143" s="6"/>
      <c r="G143" s="6"/>
      <c r="H143" s="6"/>
      <c r="I143" s="6"/>
      <c r="J143" s="6"/>
      <c r="K143" s="6"/>
      <c r="L143" s="6"/>
      <c r="M143" s="6"/>
      <c r="N143" s="6"/>
    </row>
    <row r="144">
      <c r="A144" s="6"/>
      <c r="B144" s="6"/>
      <c r="C144" s="6"/>
      <c r="D144" s="6"/>
      <c r="E144" s="6"/>
      <c r="F144" s="6"/>
      <c r="G144" s="6"/>
      <c r="H144" s="6"/>
      <c r="I144" s="6"/>
      <c r="J144" s="6"/>
      <c r="K144" s="6"/>
      <c r="L144" s="6"/>
      <c r="M144" s="6"/>
      <c r="N144" s="6"/>
    </row>
    <row r="145">
      <c r="A145" s="6"/>
      <c r="B145" s="6"/>
      <c r="C145" s="6"/>
      <c r="D145" s="6"/>
      <c r="E145" s="6"/>
      <c r="F145" s="6"/>
      <c r="G145" s="6"/>
      <c r="H145" s="6"/>
      <c r="I145" s="6"/>
      <c r="J145" s="6"/>
      <c r="K145" s="6"/>
      <c r="L145" s="6"/>
      <c r="M145" s="6"/>
      <c r="N145" s="6"/>
    </row>
    <row r="146">
      <c r="A146" s="6"/>
      <c r="B146" s="6"/>
      <c r="C146" s="6"/>
      <c r="D146" s="6"/>
      <c r="E146" s="6"/>
      <c r="F146" s="6"/>
      <c r="G146" s="6"/>
      <c r="H146" s="6"/>
      <c r="I146" s="6"/>
      <c r="J146" s="6"/>
      <c r="K146" s="6"/>
      <c r="L146" s="6"/>
      <c r="M146" s="6"/>
      <c r="N146" s="6"/>
    </row>
    <row r="147">
      <c r="A147" s="6"/>
      <c r="B147" s="6"/>
      <c r="C147" s="6"/>
      <c r="D147" s="6"/>
      <c r="E147" s="6"/>
      <c r="F147" s="6"/>
      <c r="G147" s="6"/>
      <c r="H147" s="6"/>
      <c r="I147" s="6"/>
      <c r="J147" s="6"/>
      <c r="K147" s="6"/>
      <c r="L147" s="6"/>
      <c r="M147" s="6"/>
      <c r="N147" s="6"/>
    </row>
    <row r="148">
      <c r="A148" s="6"/>
      <c r="B148" s="6"/>
      <c r="C148" s="6"/>
      <c r="D148" s="6"/>
      <c r="E148" s="6"/>
      <c r="F148" s="6"/>
      <c r="G148" s="6"/>
      <c r="H148" s="6"/>
      <c r="I148" s="6"/>
      <c r="J148" s="6"/>
      <c r="K148" s="6"/>
      <c r="L148" s="6"/>
      <c r="M148" s="6"/>
      <c r="N148" s="6"/>
    </row>
    <row r="149">
      <c r="A149" s="6"/>
      <c r="B149" s="6"/>
      <c r="C149" s="6"/>
      <c r="D149" s="6"/>
      <c r="E149" s="6"/>
      <c r="F149" s="6"/>
      <c r="G149" s="6"/>
      <c r="H149" s="6"/>
      <c r="I149" s="6"/>
      <c r="J149" s="6"/>
      <c r="K149" s="6"/>
      <c r="L149" s="6"/>
      <c r="M149" s="6"/>
      <c r="N149" s="6"/>
    </row>
    <row r="150">
      <c r="A150" s="6"/>
      <c r="B150" s="6"/>
      <c r="C150" s="6"/>
      <c r="D150" s="6"/>
      <c r="E150" s="6"/>
      <c r="F150" s="6"/>
      <c r="G150" s="6"/>
      <c r="H150" s="6"/>
      <c r="I150" s="6"/>
      <c r="J150" s="6"/>
      <c r="K150" s="6"/>
      <c r="L150" s="6"/>
      <c r="M150" s="6"/>
      <c r="N150" s="6"/>
    </row>
    <row r="151">
      <c r="A151" s="6"/>
      <c r="B151" s="6"/>
      <c r="C151" s="6"/>
      <c r="D151" s="6"/>
      <c r="E151" s="6"/>
      <c r="F151" s="6"/>
      <c r="G151" s="6"/>
      <c r="H151" s="6"/>
      <c r="I151" s="6"/>
      <c r="J151" s="6"/>
      <c r="K151" s="6"/>
      <c r="L151" s="6"/>
      <c r="M151" s="6"/>
      <c r="N151" s="6"/>
    </row>
    <row r="152">
      <c r="A152" s="6"/>
      <c r="B152" s="6"/>
      <c r="C152" s="6"/>
      <c r="D152" s="6"/>
      <c r="E152" s="6"/>
      <c r="F152" s="6"/>
      <c r="G152" s="6"/>
      <c r="H152" s="6"/>
      <c r="I152" s="6"/>
      <c r="J152" s="6"/>
      <c r="K152" s="6"/>
      <c r="L152" s="6"/>
      <c r="M152" s="6"/>
      <c r="N152" s="6"/>
    </row>
    <row r="153">
      <c r="A153" s="6"/>
      <c r="B153" s="6"/>
      <c r="C153" s="6"/>
      <c r="D153" s="6"/>
      <c r="E153" s="6"/>
      <c r="F153" s="6"/>
      <c r="G153" s="6"/>
      <c r="H153" s="6"/>
      <c r="I153" s="6"/>
      <c r="J153" s="6"/>
      <c r="K153" s="6"/>
      <c r="L153" s="6"/>
      <c r="M153" s="6"/>
      <c r="N153" s="6"/>
    </row>
    <row r="154">
      <c r="A154" s="6"/>
      <c r="B154" s="6"/>
      <c r="C154" s="6"/>
      <c r="D154" s="6"/>
      <c r="E154" s="6"/>
      <c r="F154" s="6"/>
      <c r="G154" s="6"/>
      <c r="H154" s="6"/>
      <c r="I154" s="6"/>
      <c r="J154" s="6"/>
      <c r="K154" s="6"/>
      <c r="L154" s="6"/>
      <c r="M154" s="6"/>
      <c r="N154" s="6"/>
    </row>
    <row r="155">
      <c r="A155" s="6"/>
      <c r="B155" s="6"/>
      <c r="C155" s="6"/>
      <c r="D155" s="6"/>
      <c r="E155" s="6"/>
      <c r="F155" s="6"/>
      <c r="G155" s="6"/>
      <c r="H155" s="6"/>
      <c r="I155" s="6"/>
      <c r="J155" s="6"/>
      <c r="K155" s="6"/>
      <c r="L155" s="6"/>
      <c r="M155" s="6"/>
      <c r="N155" s="6"/>
    </row>
    <row r="156">
      <c r="A156" s="6"/>
      <c r="B156" s="6"/>
      <c r="C156" s="6"/>
      <c r="D156" s="6"/>
      <c r="E156" s="6"/>
      <c r="F156" s="6"/>
      <c r="G156" s="6"/>
      <c r="H156" s="6"/>
      <c r="I156" s="6"/>
      <c r="J156" s="6"/>
      <c r="K156" s="6"/>
      <c r="L156" s="6"/>
      <c r="M156" s="6"/>
      <c r="N156" s="6"/>
    </row>
    <row r="157">
      <c r="A157" s="6"/>
      <c r="B157" s="6"/>
      <c r="C157" s="6"/>
      <c r="D157" s="6"/>
      <c r="E157" s="6"/>
      <c r="F157" s="6"/>
      <c r="G157" s="6"/>
      <c r="H157" s="6"/>
      <c r="I157" s="6"/>
      <c r="J157" s="6"/>
      <c r="K157" s="6"/>
      <c r="L157" s="6"/>
      <c r="M157" s="6"/>
      <c r="N157" s="6"/>
    </row>
    <row r="158">
      <c r="A158" s="6"/>
      <c r="B158" s="6"/>
      <c r="C158" s="6"/>
      <c r="D158" s="6"/>
      <c r="E158" s="6"/>
      <c r="F158" s="6"/>
      <c r="G158" s="6"/>
      <c r="H158" s="6"/>
      <c r="I158" s="6"/>
      <c r="J158" s="6"/>
      <c r="K158" s="6"/>
      <c r="L158" s="6"/>
      <c r="M158" s="6"/>
      <c r="N158" s="6"/>
    </row>
    <row r="159">
      <c r="A159" s="6"/>
      <c r="B159" s="6"/>
      <c r="C159" s="6"/>
      <c r="D159" s="6"/>
      <c r="E159" s="6"/>
      <c r="F159" s="6"/>
      <c r="G159" s="6"/>
      <c r="H159" s="6"/>
      <c r="I159" s="6"/>
      <c r="J159" s="6"/>
      <c r="K159" s="6"/>
      <c r="L159" s="6"/>
      <c r="M159" s="6"/>
      <c r="N159" s="6"/>
    </row>
    <row r="160">
      <c r="A160" s="6"/>
      <c r="B160" s="6"/>
      <c r="C160" s="6"/>
      <c r="D160" s="6"/>
      <c r="E160" s="6"/>
      <c r="F160" s="6"/>
      <c r="G160" s="6"/>
      <c r="H160" s="6"/>
      <c r="I160" s="6"/>
      <c r="J160" s="6"/>
      <c r="K160" s="6"/>
      <c r="L160" s="6"/>
      <c r="M160" s="6"/>
      <c r="N160" s="6"/>
    </row>
    <row r="161">
      <c r="A161" s="6"/>
      <c r="B161" s="6"/>
      <c r="C161" s="6"/>
      <c r="D161" s="6"/>
      <c r="E161" s="6"/>
      <c r="F161" s="6"/>
      <c r="G161" s="6"/>
      <c r="H161" s="6"/>
      <c r="I161" s="6"/>
      <c r="J161" s="6"/>
      <c r="K161" s="6"/>
      <c r="L161" s="6"/>
      <c r="M161" s="6"/>
      <c r="N161" s="6"/>
    </row>
    <row r="162">
      <c r="A162" s="6"/>
      <c r="B162" s="6"/>
      <c r="C162" s="6"/>
      <c r="D162" s="6"/>
      <c r="E162" s="6"/>
      <c r="F162" s="6"/>
      <c r="G162" s="6"/>
      <c r="H162" s="6"/>
      <c r="I162" s="6"/>
      <c r="J162" s="6"/>
      <c r="K162" s="6"/>
      <c r="L162" s="6"/>
      <c r="M162" s="6"/>
      <c r="N162" s="6"/>
    </row>
    <row r="163">
      <c r="A163" s="6"/>
      <c r="B163" s="6"/>
      <c r="C163" s="6"/>
      <c r="D163" s="6"/>
      <c r="E163" s="6"/>
      <c r="F163" s="6"/>
      <c r="G163" s="6"/>
      <c r="H163" s="6"/>
      <c r="I163" s="6"/>
      <c r="J163" s="6"/>
      <c r="K163" s="6"/>
      <c r="L163" s="6"/>
      <c r="M163" s="6"/>
      <c r="N163" s="6"/>
    </row>
    <row r="164">
      <c r="A164" s="6"/>
      <c r="B164" s="6"/>
      <c r="C164" s="6"/>
      <c r="D164" s="6"/>
      <c r="E164" s="6"/>
      <c r="F164" s="6"/>
      <c r="G164" s="6"/>
      <c r="H164" s="6"/>
      <c r="I164" s="6"/>
      <c r="J164" s="6"/>
      <c r="K164" s="6"/>
      <c r="L164" s="6"/>
      <c r="M164" s="6"/>
      <c r="N164" s="6"/>
    </row>
    <row r="165">
      <c r="A165" s="6"/>
      <c r="B165" s="6"/>
      <c r="C165" s="6"/>
      <c r="D165" s="6"/>
      <c r="E165" s="6"/>
      <c r="F165" s="6"/>
      <c r="G165" s="6"/>
      <c r="H165" s="6"/>
      <c r="I165" s="6"/>
      <c r="J165" s="6"/>
      <c r="K165" s="6"/>
      <c r="L165" s="6"/>
      <c r="M165" s="6"/>
      <c r="N165" s="6"/>
    </row>
    <row r="166">
      <c r="A166" s="6"/>
      <c r="B166" s="6"/>
      <c r="C166" s="6"/>
      <c r="D166" s="6"/>
      <c r="E166" s="6"/>
      <c r="F166" s="6"/>
      <c r="G166" s="6"/>
      <c r="H166" s="6"/>
      <c r="I166" s="6"/>
      <c r="J166" s="6"/>
      <c r="K166" s="6"/>
      <c r="L166" s="6"/>
      <c r="M166" s="6"/>
      <c r="N166" s="6"/>
    </row>
    <row r="167">
      <c r="A167" s="6"/>
      <c r="B167" s="6"/>
      <c r="C167" s="6"/>
      <c r="D167" s="6"/>
      <c r="E167" s="6"/>
      <c r="F167" s="6"/>
      <c r="G167" s="6"/>
      <c r="H167" s="6"/>
      <c r="I167" s="6"/>
      <c r="J167" s="6"/>
      <c r="K167" s="6"/>
      <c r="L167" s="6"/>
      <c r="M167" s="6"/>
      <c r="N167" s="6"/>
    </row>
    <row r="168">
      <c r="A168" s="6"/>
      <c r="B168" s="6"/>
      <c r="C168" s="6"/>
      <c r="D168" s="6"/>
      <c r="E168" s="6"/>
      <c r="F168" s="6"/>
      <c r="G168" s="6"/>
      <c r="H168" s="6"/>
      <c r="I168" s="6"/>
      <c r="J168" s="6"/>
      <c r="K168" s="6"/>
      <c r="L168" s="6"/>
      <c r="M168" s="6"/>
      <c r="N168" s="6"/>
    </row>
    <row r="169">
      <c r="A169" s="6"/>
      <c r="B169" s="6"/>
      <c r="C169" s="6"/>
      <c r="D169" s="6"/>
      <c r="E169" s="6"/>
      <c r="F169" s="6"/>
      <c r="G169" s="6"/>
      <c r="H169" s="6"/>
      <c r="I169" s="6"/>
      <c r="J169" s="6"/>
      <c r="K169" s="6"/>
      <c r="L169" s="6"/>
      <c r="M169" s="6"/>
      <c r="N169" s="6"/>
    </row>
    <row r="170">
      <c r="A170" s="6"/>
      <c r="B170" s="6"/>
      <c r="C170" s="6"/>
      <c r="D170" s="6"/>
      <c r="E170" s="6"/>
      <c r="F170" s="6"/>
      <c r="G170" s="6"/>
      <c r="H170" s="6"/>
      <c r="I170" s="6"/>
      <c r="J170" s="6"/>
      <c r="K170" s="6"/>
      <c r="L170" s="6"/>
      <c r="M170" s="6"/>
      <c r="N170" s="6"/>
    </row>
    <row r="171">
      <c r="A171" s="6"/>
      <c r="B171" s="6"/>
      <c r="C171" s="6"/>
      <c r="D171" s="6"/>
      <c r="E171" s="6"/>
      <c r="F171" s="6"/>
      <c r="G171" s="6"/>
      <c r="H171" s="6"/>
      <c r="I171" s="6"/>
      <c r="J171" s="6"/>
      <c r="K171" s="6"/>
      <c r="L171" s="6"/>
      <c r="M171" s="6"/>
      <c r="N171" s="6"/>
    </row>
    <row r="172">
      <c r="A172" s="6"/>
      <c r="B172" s="6"/>
      <c r="C172" s="6"/>
      <c r="D172" s="6"/>
      <c r="E172" s="6"/>
      <c r="F172" s="6"/>
      <c r="G172" s="6"/>
      <c r="H172" s="6"/>
      <c r="I172" s="6"/>
      <c r="J172" s="6"/>
      <c r="K172" s="6"/>
      <c r="L172" s="6"/>
      <c r="M172" s="6"/>
      <c r="N172" s="6"/>
    </row>
    <row r="173">
      <c r="A173" s="6"/>
      <c r="B173" s="6"/>
      <c r="C173" s="6"/>
      <c r="D173" s="6"/>
      <c r="E173" s="6"/>
      <c r="F173" s="6"/>
      <c r="G173" s="6"/>
      <c r="H173" s="6"/>
      <c r="I173" s="6"/>
      <c r="J173" s="6"/>
      <c r="K173" s="6"/>
      <c r="L173" s="6"/>
      <c r="M173" s="6"/>
      <c r="N173" s="6"/>
    </row>
    <row r="174">
      <c r="A174" s="6"/>
      <c r="B174" s="6"/>
      <c r="C174" s="6"/>
      <c r="D174" s="6"/>
      <c r="E174" s="6"/>
      <c r="F174" s="6"/>
      <c r="G174" s="6"/>
      <c r="H174" s="6"/>
      <c r="I174" s="6"/>
      <c r="J174" s="6"/>
      <c r="K174" s="6"/>
      <c r="L174" s="6"/>
      <c r="M174" s="6"/>
      <c r="N174" s="6"/>
    </row>
    <row r="175">
      <c r="A175" s="6"/>
      <c r="B175" s="6"/>
      <c r="C175" s="6"/>
      <c r="D175" s="6"/>
      <c r="E175" s="6"/>
      <c r="F175" s="6"/>
      <c r="G175" s="6"/>
      <c r="H175" s="6"/>
      <c r="I175" s="6"/>
      <c r="J175" s="6"/>
      <c r="K175" s="6"/>
      <c r="L175" s="6"/>
      <c r="M175" s="6"/>
      <c r="N175" s="6"/>
    </row>
    <row r="176">
      <c r="A176" s="6"/>
      <c r="B176" s="6"/>
      <c r="C176" s="6"/>
      <c r="D176" s="6"/>
      <c r="E176" s="6"/>
      <c r="F176" s="6"/>
      <c r="G176" s="6"/>
      <c r="H176" s="6"/>
      <c r="I176" s="6"/>
      <c r="J176" s="6"/>
      <c r="K176" s="6"/>
      <c r="L176" s="6"/>
      <c r="M176" s="6"/>
      <c r="N176" s="6"/>
    </row>
    <row r="177">
      <c r="A177" s="6"/>
      <c r="B177" s="6"/>
      <c r="C177" s="6"/>
      <c r="D177" s="6"/>
      <c r="E177" s="6"/>
      <c r="F177" s="6"/>
      <c r="G177" s="6"/>
      <c r="H177" s="6"/>
      <c r="I177" s="6"/>
      <c r="J177" s="6"/>
      <c r="K177" s="6"/>
      <c r="L177" s="6"/>
      <c r="M177" s="6"/>
      <c r="N177" s="6"/>
    </row>
    <row r="178">
      <c r="A178" s="6"/>
      <c r="B178" s="6"/>
      <c r="C178" s="6"/>
      <c r="D178" s="6"/>
      <c r="E178" s="6"/>
      <c r="F178" s="6"/>
      <c r="G178" s="6"/>
      <c r="H178" s="6"/>
      <c r="I178" s="6"/>
      <c r="J178" s="6"/>
      <c r="K178" s="6"/>
      <c r="L178" s="6"/>
      <c r="M178" s="6"/>
      <c r="N178" s="6"/>
    </row>
    <row r="179">
      <c r="A179" s="6"/>
      <c r="B179" s="6"/>
      <c r="C179" s="6"/>
      <c r="D179" s="6"/>
      <c r="E179" s="6"/>
      <c r="F179" s="6"/>
      <c r="G179" s="6"/>
      <c r="H179" s="6"/>
      <c r="I179" s="6"/>
      <c r="J179" s="6"/>
      <c r="K179" s="6"/>
      <c r="L179" s="6"/>
      <c r="M179" s="6"/>
      <c r="N179" s="6"/>
    </row>
    <row r="180">
      <c r="A180" s="6"/>
      <c r="B180" s="6"/>
      <c r="C180" s="6"/>
      <c r="D180" s="6"/>
      <c r="E180" s="6"/>
      <c r="F180" s="6"/>
      <c r="G180" s="6"/>
      <c r="H180" s="6"/>
      <c r="I180" s="6"/>
      <c r="J180" s="6"/>
      <c r="K180" s="6"/>
      <c r="L180" s="6"/>
      <c r="M180" s="6"/>
      <c r="N180" s="6"/>
    </row>
    <row r="181">
      <c r="A181" s="6"/>
      <c r="B181" s="6"/>
      <c r="C181" s="6"/>
      <c r="D181" s="6"/>
      <c r="E181" s="6"/>
      <c r="F181" s="6"/>
      <c r="G181" s="6"/>
      <c r="H181" s="6"/>
      <c r="I181" s="6"/>
      <c r="J181" s="6"/>
      <c r="K181" s="6"/>
      <c r="L181" s="6"/>
      <c r="M181" s="6"/>
      <c r="N181" s="6"/>
    </row>
    <row r="182">
      <c r="A182" s="6"/>
      <c r="B182" s="6"/>
      <c r="C182" s="6"/>
      <c r="D182" s="6"/>
      <c r="E182" s="6"/>
      <c r="F182" s="6"/>
      <c r="G182" s="6"/>
      <c r="H182" s="6"/>
      <c r="I182" s="6"/>
      <c r="J182" s="6"/>
      <c r="K182" s="6"/>
      <c r="L182" s="6"/>
      <c r="M182" s="6"/>
      <c r="N182" s="6"/>
    </row>
    <row r="183">
      <c r="A183" s="6"/>
      <c r="B183" s="6"/>
      <c r="C183" s="6"/>
      <c r="D183" s="6"/>
      <c r="E183" s="6"/>
      <c r="F183" s="6"/>
      <c r="G183" s="6"/>
      <c r="H183" s="6"/>
      <c r="I183" s="6"/>
      <c r="J183" s="6"/>
      <c r="K183" s="6"/>
      <c r="L183" s="6"/>
      <c r="M183" s="6"/>
      <c r="N183" s="6"/>
    </row>
    <row r="184">
      <c r="A184" s="6"/>
      <c r="B184" s="6"/>
      <c r="C184" s="6"/>
      <c r="D184" s="6"/>
      <c r="E184" s="6"/>
      <c r="F184" s="6"/>
      <c r="G184" s="6"/>
      <c r="H184" s="6"/>
      <c r="I184" s="6"/>
      <c r="J184" s="6"/>
      <c r="K184" s="6"/>
      <c r="L184" s="6"/>
      <c r="M184" s="6"/>
      <c r="N184" s="6"/>
    </row>
    <row r="185">
      <c r="A185" s="6"/>
      <c r="B185" s="6"/>
      <c r="C185" s="6"/>
      <c r="D185" s="6"/>
      <c r="E185" s="6"/>
      <c r="F185" s="6"/>
      <c r="G185" s="6"/>
      <c r="H185" s="6"/>
      <c r="I185" s="6"/>
      <c r="J185" s="6"/>
      <c r="K185" s="6"/>
      <c r="L185" s="6"/>
      <c r="M185" s="6"/>
      <c r="N185" s="6"/>
    </row>
    <row r="186">
      <c r="A186" s="6"/>
      <c r="B186" s="6"/>
      <c r="C186" s="6"/>
      <c r="D186" s="6"/>
      <c r="E186" s="6"/>
      <c r="F186" s="6"/>
      <c r="G186" s="6"/>
      <c r="H186" s="6"/>
      <c r="I186" s="6"/>
      <c r="J186" s="6"/>
      <c r="K186" s="6"/>
      <c r="L186" s="6"/>
      <c r="M186" s="6"/>
      <c r="N186" s="6"/>
    </row>
    <row r="187">
      <c r="A187" s="6"/>
      <c r="B187" s="6"/>
      <c r="C187" s="6"/>
      <c r="D187" s="6"/>
      <c r="E187" s="6"/>
      <c r="F187" s="6"/>
      <c r="G187" s="6"/>
      <c r="H187" s="6"/>
      <c r="I187" s="6"/>
      <c r="J187" s="6"/>
      <c r="K187" s="6"/>
      <c r="L187" s="6"/>
      <c r="M187" s="6"/>
      <c r="N187" s="6"/>
    </row>
    <row r="188">
      <c r="A188" s="6"/>
      <c r="B188" s="6"/>
      <c r="C188" s="6"/>
      <c r="D188" s="6"/>
      <c r="E188" s="6"/>
      <c r="F188" s="6"/>
      <c r="G188" s="6"/>
      <c r="H188" s="6"/>
      <c r="I188" s="6"/>
      <c r="J188" s="6"/>
      <c r="K188" s="6"/>
      <c r="L188" s="6"/>
      <c r="M188" s="6"/>
      <c r="N188" s="6"/>
    </row>
    <row r="189">
      <c r="A189" s="6"/>
      <c r="B189" s="6"/>
      <c r="C189" s="6"/>
      <c r="D189" s="6"/>
      <c r="E189" s="6"/>
      <c r="F189" s="6"/>
      <c r="G189" s="6"/>
      <c r="H189" s="6"/>
      <c r="I189" s="6"/>
      <c r="J189" s="6"/>
      <c r="K189" s="6"/>
      <c r="L189" s="6"/>
      <c r="M189" s="6"/>
      <c r="N189" s="6"/>
    </row>
    <row r="190">
      <c r="A190" s="6"/>
      <c r="B190" s="6"/>
      <c r="C190" s="6"/>
      <c r="D190" s="6"/>
      <c r="E190" s="6"/>
      <c r="F190" s="6"/>
      <c r="G190" s="6"/>
      <c r="H190" s="6"/>
      <c r="I190" s="6"/>
      <c r="J190" s="6"/>
      <c r="K190" s="6"/>
      <c r="L190" s="6"/>
      <c r="M190" s="6"/>
      <c r="N190" s="6"/>
    </row>
    <row r="191">
      <c r="A191" s="6"/>
      <c r="B191" s="6"/>
      <c r="C191" s="6"/>
      <c r="D191" s="6"/>
      <c r="E191" s="6"/>
      <c r="F191" s="6"/>
      <c r="G191" s="6"/>
      <c r="H191" s="6"/>
      <c r="I191" s="6"/>
      <c r="J191" s="6"/>
      <c r="K191" s="6"/>
      <c r="L191" s="6"/>
      <c r="M191" s="6"/>
      <c r="N191" s="6"/>
    </row>
    <row r="192">
      <c r="A192" s="6"/>
      <c r="B192" s="6"/>
      <c r="C192" s="6"/>
      <c r="D192" s="6"/>
      <c r="E192" s="6"/>
      <c r="F192" s="6"/>
      <c r="G192" s="6"/>
      <c r="H192" s="6"/>
      <c r="I192" s="6"/>
      <c r="J192" s="6"/>
      <c r="K192" s="6"/>
      <c r="L192" s="6"/>
      <c r="M192" s="6"/>
      <c r="N192" s="6"/>
    </row>
    <row r="193">
      <c r="A193" s="6"/>
      <c r="B193" s="6"/>
      <c r="C193" s="6"/>
      <c r="D193" s="6"/>
      <c r="E193" s="6"/>
      <c r="F193" s="6"/>
      <c r="G193" s="6"/>
      <c r="H193" s="6"/>
      <c r="I193" s="6"/>
      <c r="J193" s="6"/>
      <c r="K193" s="6"/>
      <c r="L193" s="6"/>
      <c r="M193" s="6"/>
      <c r="N193" s="6"/>
    </row>
    <row r="194">
      <c r="A194" s="6"/>
      <c r="B194" s="6"/>
      <c r="C194" s="6"/>
      <c r="D194" s="6"/>
      <c r="E194" s="6"/>
      <c r="F194" s="6"/>
      <c r="G194" s="6"/>
      <c r="H194" s="6"/>
      <c r="I194" s="6"/>
      <c r="J194" s="6"/>
      <c r="K194" s="6"/>
      <c r="L194" s="6"/>
      <c r="M194" s="6"/>
      <c r="N194" s="6"/>
    </row>
    <row r="195">
      <c r="A195" s="6"/>
      <c r="B195" s="6"/>
      <c r="C195" s="6"/>
      <c r="D195" s="6"/>
      <c r="E195" s="6"/>
      <c r="F195" s="6"/>
      <c r="G195" s="6"/>
      <c r="H195" s="6"/>
      <c r="I195" s="6"/>
      <c r="J195" s="6"/>
      <c r="K195" s="6"/>
      <c r="L195" s="6"/>
      <c r="M195" s="6"/>
      <c r="N195" s="6"/>
    </row>
    <row r="196">
      <c r="A196" s="6"/>
      <c r="B196" s="6"/>
      <c r="C196" s="6"/>
      <c r="D196" s="6"/>
      <c r="E196" s="6"/>
      <c r="F196" s="6"/>
      <c r="G196" s="6"/>
      <c r="H196" s="6"/>
      <c r="I196" s="6"/>
      <c r="J196" s="6"/>
      <c r="K196" s="6"/>
      <c r="L196" s="6"/>
      <c r="M196" s="6"/>
      <c r="N196" s="6"/>
    </row>
    <row r="197">
      <c r="A197" s="6"/>
      <c r="B197" s="6"/>
      <c r="C197" s="6"/>
      <c r="D197" s="6"/>
      <c r="E197" s="6"/>
      <c r="F197" s="6"/>
      <c r="G197" s="6"/>
      <c r="H197" s="6"/>
      <c r="I197" s="6"/>
      <c r="J197" s="6"/>
      <c r="K197" s="6"/>
      <c r="L197" s="6"/>
      <c r="M197" s="6"/>
      <c r="N197" s="6"/>
    </row>
    <row r="198">
      <c r="A198" s="6"/>
      <c r="B198" s="6"/>
      <c r="C198" s="6"/>
      <c r="D198" s="6"/>
      <c r="E198" s="6"/>
      <c r="F198" s="6"/>
      <c r="G198" s="6"/>
      <c r="H198" s="6"/>
      <c r="I198" s="6"/>
      <c r="J198" s="6"/>
      <c r="K198" s="6"/>
      <c r="L198" s="6"/>
      <c r="M198" s="6"/>
      <c r="N198" s="6"/>
    </row>
    <row r="199">
      <c r="A199" s="6"/>
      <c r="B199" s="6"/>
      <c r="C199" s="6"/>
      <c r="D199" s="6"/>
      <c r="E199" s="6"/>
      <c r="F199" s="6"/>
      <c r="G199" s="6"/>
      <c r="H199" s="6"/>
      <c r="I199" s="6"/>
      <c r="J199" s="6"/>
      <c r="K199" s="6"/>
      <c r="L199" s="6"/>
      <c r="M199" s="6"/>
      <c r="N199" s="6"/>
    </row>
    <row r="200">
      <c r="A200" s="6"/>
      <c r="B200" s="6"/>
      <c r="C200" s="6"/>
      <c r="D200" s="6"/>
      <c r="E200" s="6"/>
      <c r="F200" s="6"/>
      <c r="G200" s="6"/>
      <c r="H200" s="6"/>
      <c r="I200" s="6"/>
      <c r="J200" s="6"/>
      <c r="K200" s="6"/>
      <c r="L200" s="6"/>
      <c r="M200" s="6"/>
      <c r="N200" s="6"/>
    </row>
    <row r="201">
      <c r="A201" s="6"/>
      <c r="B201" s="6"/>
      <c r="C201" s="6"/>
      <c r="D201" s="6"/>
      <c r="E201" s="6"/>
      <c r="F201" s="6"/>
      <c r="G201" s="6"/>
      <c r="H201" s="6"/>
      <c r="I201" s="6"/>
      <c r="J201" s="6"/>
      <c r="K201" s="6"/>
      <c r="L201" s="6"/>
      <c r="M201" s="6"/>
      <c r="N201" s="6"/>
    </row>
    <row r="202">
      <c r="A202" s="6"/>
      <c r="B202" s="6"/>
      <c r="C202" s="6"/>
      <c r="D202" s="6"/>
      <c r="E202" s="6"/>
      <c r="F202" s="6"/>
      <c r="G202" s="6"/>
      <c r="H202" s="6"/>
      <c r="I202" s="6"/>
      <c r="J202" s="6"/>
      <c r="K202" s="6"/>
      <c r="L202" s="6"/>
      <c r="M202" s="6"/>
      <c r="N202" s="6"/>
    </row>
    <row r="203">
      <c r="A203" s="6"/>
      <c r="B203" s="6"/>
      <c r="C203" s="6"/>
      <c r="D203" s="6"/>
      <c r="E203" s="6"/>
      <c r="F203" s="6"/>
      <c r="G203" s="6"/>
      <c r="H203" s="6"/>
      <c r="I203" s="6"/>
      <c r="J203" s="6"/>
      <c r="K203" s="6"/>
      <c r="L203" s="6"/>
      <c r="M203" s="6"/>
      <c r="N203" s="6"/>
    </row>
    <row r="204">
      <c r="A204" s="6"/>
      <c r="B204" s="6"/>
      <c r="C204" s="6"/>
      <c r="D204" s="6"/>
      <c r="E204" s="6"/>
      <c r="F204" s="6"/>
      <c r="G204" s="6"/>
      <c r="H204" s="6"/>
      <c r="I204" s="6"/>
      <c r="J204" s="6"/>
      <c r="K204" s="6"/>
      <c r="L204" s="6"/>
      <c r="M204" s="6"/>
      <c r="N204" s="6"/>
    </row>
    <row r="205">
      <c r="A205" s="6"/>
      <c r="B205" s="6"/>
      <c r="C205" s="6"/>
      <c r="D205" s="6"/>
      <c r="E205" s="6"/>
      <c r="F205" s="6"/>
      <c r="G205" s="6"/>
      <c r="H205" s="6"/>
      <c r="I205" s="6"/>
      <c r="J205" s="6"/>
      <c r="K205" s="6"/>
      <c r="L205" s="6"/>
      <c r="M205" s="6"/>
      <c r="N205" s="6"/>
    </row>
    <row r="206">
      <c r="A206" s="6"/>
      <c r="B206" s="6"/>
      <c r="C206" s="6"/>
      <c r="D206" s="6"/>
      <c r="E206" s="6"/>
      <c r="F206" s="6"/>
      <c r="G206" s="6"/>
      <c r="H206" s="6"/>
      <c r="I206" s="6"/>
      <c r="J206" s="6"/>
      <c r="K206" s="6"/>
      <c r="L206" s="6"/>
      <c r="M206" s="6"/>
      <c r="N206" s="6"/>
    </row>
    <row r="207">
      <c r="A207" s="6"/>
      <c r="B207" s="6"/>
      <c r="C207" s="6"/>
      <c r="D207" s="6"/>
      <c r="E207" s="6"/>
      <c r="F207" s="6"/>
      <c r="G207" s="6"/>
      <c r="H207" s="6"/>
      <c r="I207" s="6"/>
      <c r="J207" s="6"/>
      <c r="K207" s="6"/>
      <c r="L207" s="6"/>
      <c r="M207" s="6"/>
      <c r="N207" s="6"/>
    </row>
    <row r="208">
      <c r="A208" s="6"/>
      <c r="B208" s="6"/>
      <c r="C208" s="6"/>
      <c r="D208" s="6"/>
      <c r="E208" s="6"/>
      <c r="F208" s="6"/>
      <c r="G208" s="6"/>
      <c r="H208" s="6"/>
      <c r="I208" s="6"/>
      <c r="J208" s="6"/>
      <c r="K208" s="6"/>
      <c r="L208" s="6"/>
      <c r="M208" s="6"/>
      <c r="N208" s="6"/>
    </row>
    <row r="209">
      <c r="A209" s="6"/>
      <c r="B209" s="6"/>
      <c r="C209" s="6"/>
      <c r="D209" s="6"/>
      <c r="E209" s="6"/>
      <c r="F209" s="6"/>
      <c r="G209" s="6"/>
      <c r="H209" s="6"/>
      <c r="I209" s="6"/>
      <c r="J209" s="6"/>
      <c r="K209" s="6"/>
      <c r="L209" s="6"/>
      <c r="M209" s="6"/>
      <c r="N209" s="6"/>
    </row>
    <row r="210">
      <c r="A210" s="6"/>
      <c r="B210" s="6"/>
      <c r="C210" s="6"/>
      <c r="D210" s="6"/>
      <c r="E210" s="6"/>
      <c r="F210" s="6"/>
      <c r="G210" s="6"/>
      <c r="H210" s="6"/>
      <c r="I210" s="6"/>
      <c r="J210" s="6"/>
      <c r="K210" s="6"/>
      <c r="L210" s="6"/>
      <c r="M210" s="6"/>
      <c r="N210" s="6"/>
    </row>
    <row r="211">
      <c r="A211" s="6"/>
      <c r="B211" s="6"/>
      <c r="C211" s="6"/>
      <c r="D211" s="6"/>
      <c r="E211" s="6"/>
      <c r="F211" s="6"/>
      <c r="G211" s="6"/>
      <c r="H211" s="6"/>
      <c r="I211" s="6"/>
      <c r="J211" s="6"/>
      <c r="K211" s="6"/>
      <c r="L211" s="6"/>
      <c r="M211" s="6"/>
      <c r="N211" s="6"/>
    </row>
    <row r="212">
      <c r="A212" s="6"/>
      <c r="B212" s="6"/>
      <c r="C212" s="6"/>
      <c r="D212" s="6"/>
      <c r="E212" s="6"/>
      <c r="F212" s="6"/>
      <c r="G212" s="6"/>
      <c r="H212" s="6"/>
      <c r="I212" s="6"/>
      <c r="J212" s="6"/>
      <c r="K212" s="6"/>
      <c r="L212" s="6"/>
      <c r="M212" s="6"/>
      <c r="N212" s="6"/>
    </row>
    <row r="213">
      <c r="A213" s="6"/>
      <c r="B213" s="6"/>
      <c r="C213" s="6"/>
      <c r="D213" s="6"/>
      <c r="E213" s="6"/>
      <c r="F213" s="6"/>
      <c r="G213" s="6"/>
      <c r="H213" s="6"/>
      <c r="I213" s="6"/>
      <c r="J213" s="6"/>
      <c r="K213" s="6"/>
      <c r="L213" s="6"/>
      <c r="M213" s="6"/>
      <c r="N213" s="6"/>
    </row>
    <row r="214">
      <c r="A214" s="6"/>
      <c r="B214" s="6"/>
      <c r="C214" s="6"/>
      <c r="D214" s="6"/>
      <c r="E214" s="6"/>
      <c r="F214" s="6"/>
      <c r="G214" s="6"/>
      <c r="H214" s="6"/>
      <c r="I214" s="6"/>
      <c r="J214" s="6"/>
      <c r="K214" s="6"/>
      <c r="L214" s="6"/>
      <c r="M214" s="6"/>
      <c r="N214" s="6"/>
    </row>
    <row r="215">
      <c r="A215" s="6"/>
      <c r="B215" s="6"/>
      <c r="C215" s="6"/>
      <c r="D215" s="6"/>
      <c r="E215" s="6"/>
      <c r="F215" s="6"/>
      <c r="G215" s="6"/>
      <c r="H215" s="6"/>
      <c r="I215" s="6"/>
      <c r="J215" s="6"/>
      <c r="K215" s="6"/>
      <c r="L215" s="6"/>
      <c r="M215" s="6"/>
      <c r="N215" s="6"/>
    </row>
    <row r="216">
      <c r="A216" s="6"/>
      <c r="B216" s="6"/>
      <c r="C216" s="6"/>
      <c r="D216" s="6"/>
      <c r="E216" s="6"/>
      <c r="F216" s="6"/>
      <c r="G216" s="6"/>
      <c r="H216" s="6"/>
      <c r="I216" s="6"/>
      <c r="J216" s="6"/>
      <c r="K216" s="6"/>
      <c r="L216" s="6"/>
      <c r="M216" s="6"/>
      <c r="N216" s="6"/>
    </row>
    <row r="217">
      <c r="A217" s="6"/>
      <c r="B217" s="6"/>
      <c r="C217" s="6"/>
      <c r="D217" s="6"/>
      <c r="E217" s="6"/>
      <c r="F217" s="6"/>
      <c r="G217" s="6"/>
      <c r="H217" s="6"/>
      <c r="I217" s="6"/>
      <c r="J217" s="6"/>
      <c r="K217" s="6"/>
      <c r="L217" s="6"/>
      <c r="M217" s="6"/>
      <c r="N217" s="6"/>
    </row>
    <row r="218">
      <c r="A218" s="6"/>
      <c r="B218" s="6"/>
      <c r="C218" s="6"/>
      <c r="D218" s="6"/>
      <c r="E218" s="6"/>
      <c r="F218" s="6"/>
      <c r="G218" s="6"/>
      <c r="H218" s="6"/>
      <c r="I218" s="6"/>
      <c r="J218" s="6"/>
      <c r="K218" s="6"/>
      <c r="L218" s="6"/>
      <c r="M218" s="6"/>
      <c r="N218" s="6"/>
    </row>
    <row r="219">
      <c r="A219" s="6"/>
      <c r="B219" s="6"/>
      <c r="C219" s="6"/>
      <c r="D219" s="6"/>
      <c r="E219" s="6"/>
      <c r="F219" s="6"/>
      <c r="G219" s="6"/>
      <c r="H219" s="6"/>
      <c r="I219" s="6"/>
      <c r="J219" s="6"/>
      <c r="K219" s="6"/>
      <c r="L219" s="6"/>
      <c r="M219" s="6"/>
      <c r="N219" s="6"/>
    </row>
    <row r="220">
      <c r="A220" s="6"/>
      <c r="B220" s="6"/>
      <c r="C220" s="6"/>
      <c r="D220" s="6"/>
      <c r="E220" s="6"/>
      <c r="F220" s="6"/>
      <c r="G220" s="6"/>
      <c r="H220" s="6"/>
      <c r="I220" s="6"/>
      <c r="J220" s="6"/>
      <c r="K220" s="6"/>
      <c r="L220" s="6"/>
      <c r="M220" s="6"/>
      <c r="N220" s="6"/>
    </row>
    <row r="221">
      <c r="A221" s="6"/>
      <c r="B221" s="6"/>
      <c r="C221" s="6"/>
      <c r="D221" s="6"/>
      <c r="E221" s="6"/>
      <c r="F221" s="6"/>
      <c r="G221" s="6"/>
      <c r="H221" s="6"/>
      <c r="I221" s="6"/>
      <c r="J221" s="6"/>
      <c r="K221" s="6"/>
      <c r="L221" s="6"/>
      <c r="M221" s="6"/>
      <c r="N221" s="6"/>
    </row>
    <row r="222">
      <c r="A222" s="6"/>
      <c r="B222" s="6"/>
      <c r="C222" s="6"/>
      <c r="D222" s="6"/>
      <c r="E222" s="6"/>
      <c r="F222" s="6"/>
      <c r="G222" s="6"/>
      <c r="H222" s="6"/>
      <c r="I222" s="6"/>
      <c r="J222" s="6"/>
      <c r="K222" s="6"/>
      <c r="L222" s="6"/>
      <c r="M222" s="6"/>
      <c r="N222" s="6"/>
    </row>
    <row r="223">
      <c r="A223" s="6"/>
      <c r="B223" s="6"/>
      <c r="C223" s="6"/>
      <c r="D223" s="6"/>
      <c r="E223" s="6"/>
      <c r="F223" s="6"/>
      <c r="G223" s="6"/>
      <c r="H223" s="6"/>
      <c r="I223" s="6"/>
      <c r="J223" s="6"/>
      <c r="K223" s="6"/>
      <c r="L223" s="6"/>
      <c r="M223" s="6"/>
      <c r="N223" s="6"/>
    </row>
    <row r="224">
      <c r="A224" s="6"/>
      <c r="B224" s="6"/>
      <c r="C224" s="6"/>
      <c r="D224" s="6"/>
      <c r="E224" s="6"/>
      <c r="F224" s="6"/>
      <c r="G224" s="6"/>
      <c r="H224" s="6"/>
      <c r="I224" s="6"/>
      <c r="J224" s="6"/>
      <c r="K224" s="6"/>
      <c r="L224" s="6"/>
      <c r="M224" s="6"/>
      <c r="N224" s="6"/>
    </row>
    <row r="225">
      <c r="A225" s="6"/>
      <c r="B225" s="6"/>
      <c r="C225" s="6"/>
      <c r="D225" s="6"/>
      <c r="E225" s="6"/>
      <c r="F225" s="6"/>
      <c r="G225" s="6"/>
      <c r="H225" s="6"/>
      <c r="I225" s="6"/>
      <c r="J225" s="6"/>
      <c r="K225" s="6"/>
      <c r="L225" s="6"/>
      <c r="M225" s="6"/>
      <c r="N225" s="6"/>
    </row>
    <row r="226">
      <c r="A226" s="6"/>
      <c r="B226" s="6"/>
      <c r="C226" s="6"/>
      <c r="D226" s="6"/>
      <c r="E226" s="6"/>
      <c r="F226" s="6"/>
      <c r="G226" s="6"/>
      <c r="H226" s="6"/>
      <c r="I226" s="6"/>
      <c r="J226" s="6"/>
      <c r="K226" s="6"/>
      <c r="L226" s="6"/>
      <c r="M226" s="6"/>
      <c r="N226" s="6"/>
    </row>
    <row r="227">
      <c r="A227" s="6"/>
      <c r="B227" s="6"/>
      <c r="C227" s="6"/>
      <c r="D227" s="6"/>
      <c r="E227" s="6"/>
      <c r="F227" s="6"/>
      <c r="G227" s="6"/>
      <c r="H227" s="6"/>
      <c r="I227" s="6"/>
      <c r="J227" s="6"/>
      <c r="K227" s="6"/>
      <c r="L227" s="6"/>
      <c r="M227" s="6"/>
      <c r="N227" s="6"/>
    </row>
    <row r="228">
      <c r="A228" s="6"/>
      <c r="B228" s="6"/>
      <c r="C228" s="6"/>
      <c r="D228" s="6"/>
      <c r="E228" s="6"/>
      <c r="F228" s="6"/>
      <c r="G228" s="6"/>
      <c r="H228" s="6"/>
      <c r="I228" s="6"/>
      <c r="J228" s="6"/>
      <c r="K228" s="6"/>
      <c r="L228" s="6"/>
      <c r="M228" s="6"/>
      <c r="N228" s="6"/>
    </row>
    <row r="229">
      <c r="A229" s="6"/>
      <c r="B229" s="6"/>
      <c r="C229" s="6"/>
      <c r="D229" s="6"/>
      <c r="E229" s="6"/>
      <c r="F229" s="6"/>
      <c r="G229" s="6"/>
      <c r="H229" s="6"/>
      <c r="I229" s="6"/>
      <c r="J229" s="6"/>
      <c r="K229" s="6"/>
      <c r="L229" s="6"/>
      <c r="M229" s="6"/>
      <c r="N229" s="6"/>
    </row>
    <row r="230">
      <c r="A230" s="6"/>
      <c r="B230" s="6"/>
      <c r="C230" s="6"/>
      <c r="D230" s="6"/>
      <c r="E230" s="6"/>
      <c r="F230" s="6"/>
      <c r="G230" s="6"/>
      <c r="H230" s="6"/>
      <c r="I230" s="6"/>
      <c r="J230" s="6"/>
      <c r="K230" s="6"/>
      <c r="L230" s="6"/>
      <c r="M230" s="6"/>
      <c r="N230" s="6"/>
    </row>
    <row r="231">
      <c r="A231" s="6"/>
      <c r="B231" s="6"/>
      <c r="C231" s="6"/>
      <c r="D231" s="6"/>
      <c r="E231" s="6"/>
      <c r="F231" s="6"/>
      <c r="G231" s="6"/>
      <c r="H231" s="6"/>
      <c r="I231" s="6"/>
      <c r="J231" s="6"/>
      <c r="K231" s="6"/>
      <c r="L231" s="6"/>
      <c r="M231" s="6"/>
      <c r="N231" s="6"/>
    </row>
    <row r="232">
      <c r="A232" s="6"/>
      <c r="B232" s="6"/>
      <c r="C232" s="6"/>
      <c r="D232" s="6"/>
      <c r="E232" s="6"/>
      <c r="F232" s="6"/>
      <c r="G232" s="6"/>
      <c r="H232" s="6"/>
      <c r="I232" s="6"/>
      <c r="J232" s="6"/>
      <c r="K232" s="6"/>
      <c r="L232" s="6"/>
      <c r="M232" s="6"/>
      <c r="N232" s="6"/>
    </row>
    <row r="233">
      <c r="A233" s="6"/>
      <c r="B233" s="6"/>
      <c r="C233" s="6"/>
      <c r="D233" s="6"/>
      <c r="E233" s="6"/>
      <c r="F233" s="6"/>
      <c r="G233" s="6"/>
      <c r="H233" s="6"/>
      <c r="I233" s="6"/>
      <c r="J233" s="6"/>
      <c r="K233" s="6"/>
      <c r="L233" s="6"/>
      <c r="M233" s="6"/>
      <c r="N233" s="6"/>
    </row>
    <row r="234">
      <c r="A234" s="6"/>
      <c r="B234" s="6"/>
      <c r="C234" s="6"/>
      <c r="D234" s="6"/>
      <c r="E234" s="6"/>
      <c r="F234" s="6"/>
      <c r="G234" s="6"/>
      <c r="H234" s="6"/>
      <c r="I234" s="6"/>
      <c r="J234" s="6"/>
      <c r="K234" s="6"/>
      <c r="L234" s="6"/>
      <c r="M234" s="6"/>
      <c r="N234" s="6"/>
    </row>
    <row r="235">
      <c r="A235" s="6"/>
      <c r="B235" s="6"/>
      <c r="C235" s="6"/>
      <c r="D235" s="6"/>
      <c r="E235" s="6"/>
      <c r="F235" s="6"/>
      <c r="G235" s="6"/>
      <c r="H235" s="6"/>
      <c r="I235" s="6"/>
      <c r="J235" s="6"/>
      <c r="K235" s="6"/>
      <c r="L235" s="6"/>
      <c r="M235" s="6"/>
      <c r="N235" s="6"/>
    </row>
    <row r="236">
      <c r="A236" s="6"/>
      <c r="B236" s="6"/>
      <c r="C236" s="6"/>
      <c r="D236" s="6"/>
      <c r="E236" s="6"/>
      <c r="F236" s="6"/>
      <c r="G236" s="6"/>
      <c r="H236" s="6"/>
      <c r="I236" s="6"/>
      <c r="J236" s="6"/>
      <c r="K236" s="6"/>
      <c r="L236" s="6"/>
      <c r="M236" s="6"/>
      <c r="N236" s="6"/>
    </row>
    <row r="237">
      <c r="A237" s="6"/>
      <c r="B237" s="6"/>
      <c r="C237" s="6"/>
      <c r="D237" s="6"/>
      <c r="E237" s="6"/>
      <c r="F237" s="6"/>
      <c r="G237" s="6"/>
      <c r="H237" s="6"/>
      <c r="I237" s="6"/>
      <c r="J237" s="6"/>
      <c r="K237" s="6"/>
      <c r="L237" s="6"/>
      <c r="M237" s="6"/>
      <c r="N237" s="6"/>
    </row>
    <row r="238">
      <c r="A238" s="6"/>
      <c r="B238" s="6"/>
      <c r="C238" s="6"/>
      <c r="D238" s="6"/>
      <c r="E238" s="6"/>
      <c r="F238" s="6"/>
      <c r="G238" s="6"/>
      <c r="H238" s="6"/>
      <c r="I238" s="6"/>
      <c r="J238" s="6"/>
      <c r="K238" s="6"/>
      <c r="L238" s="6"/>
      <c r="M238" s="6"/>
      <c r="N238" s="6"/>
    </row>
    <row r="239">
      <c r="A239" s="6"/>
      <c r="B239" s="6"/>
      <c r="C239" s="6"/>
      <c r="D239" s="6"/>
      <c r="E239" s="6"/>
      <c r="F239" s="6"/>
      <c r="G239" s="6"/>
      <c r="H239" s="6"/>
      <c r="I239" s="6"/>
      <c r="J239" s="6"/>
      <c r="K239" s="6"/>
      <c r="L239" s="6"/>
      <c r="M239" s="6"/>
      <c r="N239" s="6"/>
    </row>
    <row r="240">
      <c r="A240" s="6"/>
      <c r="B240" s="6"/>
      <c r="C240" s="6"/>
      <c r="D240" s="6"/>
      <c r="E240" s="6"/>
      <c r="F240" s="6"/>
      <c r="G240" s="6"/>
      <c r="H240" s="6"/>
      <c r="I240" s="6"/>
      <c r="J240" s="6"/>
      <c r="K240" s="6"/>
      <c r="L240" s="6"/>
      <c r="M240" s="6"/>
      <c r="N240" s="6"/>
    </row>
    <row r="241">
      <c r="A241" s="6"/>
      <c r="B241" s="6"/>
      <c r="C241" s="6"/>
      <c r="D241" s="6"/>
      <c r="E241" s="6"/>
      <c r="F241" s="6"/>
      <c r="G241" s="6"/>
      <c r="H241" s="6"/>
      <c r="I241" s="6"/>
      <c r="J241" s="6"/>
      <c r="K241" s="6"/>
      <c r="L241" s="6"/>
      <c r="M241" s="6"/>
      <c r="N241" s="6"/>
    </row>
    <row r="242">
      <c r="A242" s="6"/>
      <c r="B242" s="6"/>
      <c r="C242" s="6"/>
      <c r="D242" s="6"/>
      <c r="E242" s="6"/>
      <c r="F242" s="6"/>
      <c r="G242" s="6"/>
      <c r="H242" s="6"/>
      <c r="I242" s="6"/>
      <c r="J242" s="6"/>
      <c r="K242" s="6"/>
      <c r="L242" s="6"/>
      <c r="M242" s="6"/>
      <c r="N242" s="6"/>
    </row>
    <row r="243">
      <c r="A243" s="6"/>
      <c r="B243" s="6"/>
      <c r="C243" s="6"/>
      <c r="D243" s="6"/>
      <c r="E243" s="6"/>
      <c r="F243" s="6"/>
      <c r="G243" s="6"/>
      <c r="H243" s="6"/>
      <c r="I243" s="6"/>
      <c r="J243" s="6"/>
      <c r="K243" s="6"/>
      <c r="L243" s="6"/>
      <c r="M243" s="6"/>
      <c r="N243" s="6"/>
    </row>
    <row r="244">
      <c r="A244" s="6"/>
      <c r="B244" s="6"/>
      <c r="C244" s="6"/>
      <c r="D244" s="6"/>
      <c r="E244" s="6"/>
      <c r="F244" s="6"/>
      <c r="G244" s="6"/>
      <c r="H244" s="6"/>
      <c r="I244" s="6"/>
      <c r="J244" s="6"/>
      <c r="K244" s="6"/>
      <c r="L244" s="6"/>
      <c r="M244" s="6"/>
      <c r="N244" s="6"/>
    </row>
    <row r="245">
      <c r="A245" s="6"/>
      <c r="B245" s="6"/>
      <c r="C245" s="6"/>
      <c r="D245" s="6"/>
      <c r="E245" s="6"/>
      <c r="F245" s="6"/>
      <c r="G245" s="6"/>
      <c r="H245" s="6"/>
      <c r="I245" s="6"/>
      <c r="J245" s="6"/>
      <c r="K245" s="6"/>
      <c r="L245" s="6"/>
      <c r="M245" s="6"/>
      <c r="N245" s="6"/>
    </row>
    <row r="246">
      <c r="A246" s="6"/>
      <c r="B246" s="6"/>
      <c r="C246" s="6"/>
      <c r="D246" s="6"/>
      <c r="E246" s="6"/>
      <c r="F246" s="6"/>
      <c r="G246" s="6"/>
      <c r="H246" s="6"/>
      <c r="I246" s="6"/>
      <c r="J246" s="6"/>
      <c r="K246" s="6"/>
      <c r="L246" s="6"/>
      <c r="M246" s="6"/>
      <c r="N246" s="6"/>
    </row>
    <row r="247">
      <c r="A247" s="6"/>
      <c r="B247" s="6"/>
      <c r="C247" s="6"/>
      <c r="D247" s="6"/>
      <c r="E247" s="6"/>
      <c r="F247" s="6"/>
      <c r="G247" s="6"/>
      <c r="H247" s="6"/>
      <c r="I247" s="6"/>
      <c r="J247" s="6"/>
      <c r="K247" s="6"/>
      <c r="L247" s="6"/>
      <c r="M247" s="6"/>
      <c r="N247" s="6"/>
    </row>
    <row r="248">
      <c r="A248" s="6"/>
      <c r="B248" s="6"/>
      <c r="C248" s="6"/>
      <c r="D248" s="6"/>
      <c r="E248" s="6"/>
      <c r="F248" s="6"/>
      <c r="G248" s="6"/>
      <c r="H248" s="6"/>
      <c r="I248" s="6"/>
      <c r="J248" s="6"/>
      <c r="K248" s="6"/>
      <c r="L248" s="6"/>
      <c r="M248" s="6"/>
      <c r="N248" s="6"/>
    </row>
    <row r="249">
      <c r="A249" s="6"/>
      <c r="B249" s="6"/>
      <c r="C249" s="6"/>
      <c r="D249" s="6"/>
      <c r="E249" s="6"/>
      <c r="F249" s="6"/>
      <c r="G249" s="6"/>
      <c r="H249" s="6"/>
      <c r="I249" s="6"/>
      <c r="J249" s="6"/>
      <c r="K249" s="6"/>
      <c r="L249" s="6"/>
      <c r="M249" s="6"/>
      <c r="N249" s="6"/>
    </row>
    <row r="250">
      <c r="A250" s="6"/>
      <c r="B250" s="6"/>
      <c r="C250" s="6"/>
      <c r="D250" s="6"/>
      <c r="E250" s="6"/>
      <c r="F250" s="6"/>
      <c r="G250" s="6"/>
      <c r="H250" s="6"/>
      <c r="I250" s="6"/>
      <c r="J250" s="6"/>
      <c r="K250" s="6"/>
      <c r="L250" s="6"/>
      <c r="M250" s="6"/>
      <c r="N250" s="6"/>
    </row>
    <row r="251">
      <c r="A251" s="6"/>
      <c r="B251" s="6"/>
      <c r="C251" s="6"/>
      <c r="D251" s="6"/>
      <c r="E251" s="6"/>
      <c r="F251" s="6"/>
      <c r="G251" s="6"/>
      <c r="H251" s="6"/>
      <c r="I251" s="6"/>
      <c r="J251" s="6"/>
      <c r="K251" s="6"/>
      <c r="L251" s="6"/>
      <c r="M251" s="6"/>
      <c r="N251" s="6"/>
    </row>
    <row r="252">
      <c r="A252" s="6"/>
      <c r="B252" s="6"/>
      <c r="C252" s="6"/>
      <c r="D252" s="6"/>
      <c r="E252" s="6"/>
      <c r="F252" s="6"/>
      <c r="G252" s="6"/>
      <c r="H252" s="6"/>
      <c r="I252" s="6"/>
      <c r="J252" s="6"/>
      <c r="K252" s="6"/>
      <c r="L252" s="6"/>
      <c r="M252" s="6"/>
      <c r="N252" s="6"/>
    </row>
    <row r="253">
      <c r="A253" s="6"/>
      <c r="B253" s="6"/>
      <c r="C253" s="6"/>
      <c r="D253" s="6"/>
      <c r="E253" s="6"/>
      <c r="F253" s="6"/>
      <c r="G253" s="6"/>
      <c r="H253" s="6"/>
      <c r="I253" s="6"/>
      <c r="J253" s="6"/>
      <c r="K253" s="6"/>
      <c r="L253" s="6"/>
      <c r="M253" s="6"/>
      <c r="N253" s="6"/>
    </row>
    <row r="254">
      <c r="A254" s="6"/>
      <c r="B254" s="6"/>
      <c r="C254" s="6"/>
      <c r="D254" s="6"/>
      <c r="E254" s="6"/>
      <c r="F254" s="6"/>
      <c r="G254" s="6"/>
      <c r="H254" s="6"/>
      <c r="I254" s="6"/>
      <c r="J254" s="6"/>
      <c r="K254" s="6"/>
      <c r="L254" s="6"/>
      <c r="M254" s="6"/>
      <c r="N254" s="6"/>
    </row>
    <row r="255">
      <c r="A255" s="6"/>
      <c r="B255" s="6"/>
      <c r="C255" s="6"/>
      <c r="D255" s="6"/>
      <c r="E255" s="6"/>
      <c r="F255" s="6"/>
      <c r="G255" s="6"/>
      <c r="H255" s="6"/>
      <c r="I255" s="6"/>
      <c r="J255" s="6"/>
      <c r="K255" s="6"/>
      <c r="L255" s="6"/>
      <c r="M255" s="6"/>
      <c r="N255" s="6"/>
    </row>
    <row r="256">
      <c r="A256" s="6"/>
      <c r="B256" s="6"/>
      <c r="C256" s="6"/>
      <c r="D256" s="6"/>
      <c r="E256" s="6"/>
      <c r="F256" s="6"/>
      <c r="G256" s="6"/>
      <c r="H256" s="6"/>
      <c r="I256" s="6"/>
      <c r="J256" s="6"/>
      <c r="K256" s="6"/>
      <c r="L256" s="6"/>
      <c r="M256" s="6"/>
      <c r="N256" s="6"/>
    </row>
    <row r="257">
      <c r="A257" s="6"/>
      <c r="B257" s="6"/>
      <c r="C257" s="6"/>
      <c r="D257" s="6"/>
      <c r="E257" s="6"/>
      <c r="F257" s="6"/>
      <c r="G257" s="6"/>
      <c r="H257" s="6"/>
      <c r="I257" s="6"/>
      <c r="J257" s="6"/>
      <c r="K257" s="6"/>
      <c r="L257" s="6"/>
      <c r="M257" s="6"/>
      <c r="N257" s="6"/>
    </row>
    <row r="258">
      <c r="A258" s="6"/>
      <c r="B258" s="6"/>
      <c r="C258" s="6"/>
      <c r="D258" s="6"/>
      <c r="E258" s="6"/>
      <c r="F258" s="6"/>
      <c r="G258" s="6"/>
      <c r="H258" s="6"/>
      <c r="I258" s="6"/>
      <c r="J258" s="6"/>
      <c r="K258" s="6"/>
      <c r="L258" s="6"/>
      <c r="M258" s="6"/>
      <c r="N258" s="6"/>
    </row>
    <row r="259">
      <c r="A259" s="6"/>
      <c r="B259" s="6"/>
      <c r="C259" s="6"/>
      <c r="D259" s="6"/>
      <c r="E259" s="6"/>
      <c r="F259" s="6"/>
      <c r="G259" s="6"/>
      <c r="H259" s="6"/>
      <c r="I259" s="6"/>
      <c r="J259" s="6"/>
      <c r="K259" s="6"/>
      <c r="L259" s="6"/>
      <c r="M259" s="6"/>
      <c r="N259" s="6"/>
    </row>
    <row r="260">
      <c r="A260" s="6"/>
      <c r="B260" s="6"/>
      <c r="C260" s="6"/>
      <c r="D260" s="6"/>
      <c r="E260" s="6"/>
      <c r="F260" s="6"/>
      <c r="G260" s="6"/>
      <c r="H260" s="6"/>
      <c r="I260" s="6"/>
      <c r="J260" s="6"/>
      <c r="K260" s="6"/>
      <c r="L260" s="6"/>
      <c r="M260" s="6"/>
      <c r="N260" s="6"/>
    </row>
    <row r="261">
      <c r="A261" s="6"/>
      <c r="B261" s="6"/>
      <c r="C261" s="6"/>
      <c r="D261" s="6"/>
      <c r="E261" s="6"/>
      <c r="F261" s="6"/>
      <c r="G261" s="6"/>
      <c r="H261" s="6"/>
      <c r="I261" s="6"/>
      <c r="J261" s="6"/>
      <c r="K261" s="6"/>
      <c r="L261" s="6"/>
      <c r="M261" s="6"/>
      <c r="N261" s="6"/>
    </row>
    <row r="262">
      <c r="A262" s="6"/>
      <c r="B262" s="6"/>
      <c r="C262" s="6"/>
      <c r="D262" s="6"/>
      <c r="E262" s="6"/>
      <c r="F262" s="6"/>
      <c r="G262" s="6"/>
      <c r="H262" s="6"/>
      <c r="I262" s="6"/>
      <c r="J262" s="6"/>
      <c r="K262" s="6"/>
      <c r="L262" s="6"/>
      <c r="M262" s="6"/>
      <c r="N262" s="6"/>
    </row>
    <row r="263">
      <c r="A263" s="6"/>
      <c r="B263" s="6"/>
      <c r="C263" s="6"/>
      <c r="D263" s="6"/>
      <c r="E263" s="6"/>
      <c r="F263" s="6"/>
      <c r="G263" s="6"/>
      <c r="H263" s="6"/>
      <c r="I263" s="6"/>
      <c r="J263" s="6"/>
      <c r="K263" s="6"/>
      <c r="L263" s="6"/>
      <c r="M263" s="6"/>
      <c r="N263" s="6"/>
    </row>
    <row r="264">
      <c r="A264" s="6"/>
      <c r="B264" s="6"/>
      <c r="C264" s="6"/>
      <c r="D264" s="6"/>
      <c r="E264" s="6"/>
      <c r="F264" s="6"/>
      <c r="G264" s="6"/>
      <c r="H264" s="6"/>
      <c r="I264" s="6"/>
      <c r="J264" s="6"/>
      <c r="K264" s="6"/>
      <c r="L264" s="6"/>
      <c r="M264" s="6"/>
      <c r="N264" s="6"/>
    </row>
    <row r="265">
      <c r="A265" s="6"/>
      <c r="B265" s="6"/>
      <c r="C265" s="6"/>
      <c r="D265" s="6"/>
      <c r="E265" s="6"/>
      <c r="F265" s="6"/>
      <c r="G265" s="6"/>
      <c r="H265" s="6"/>
      <c r="I265" s="6"/>
      <c r="J265" s="6"/>
      <c r="K265" s="6"/>
      <c r="L265" s="6"/>
      <c r="M265" s="6"/>
      <c r="N265" s="6"/>
    </row>
    <row r="266">
      <c r="A266" s="6"/>
      <c r="B266" s="6"/>
      <c r="C266" s="6"/>
      <c r="D266" s="6"/>
      <c r="E266" s="6"/>
      <c r="F266" s="6"/>
      <c r="G266" s="6"/>
      <c r="H266" s="6"/>
      <c r="I266" s="6"/>
      <c r="J266" s="6"/>
      <c r="K266" s="6"/>
      <c r="L266" s="6"/>
      <c r="M266" s="6"/>
      <c r="N266" s="6"/>
    </row>
    <row r="267">
      <c r="A267" s="6"/>
      <c r="B267" s="6"/>
      <c r="C267" s="6"/>
      <c r="D267" s="6"/>
      <c r="E267" s="6"/>
      <c r="F267" s="6"/>
      <c r="G267" s="6"/>
      <c r="H267" s="6"/>
      <c r="I267" s="6"/>
      <c r="J267" s="6"/>
      <c r="K267" s="6"/>
      <c r="L267" s="6"/>
      <c r="M267" s="6"/>
      <c r="N267" s="6"/>
    </row>
    <row r="268">
      <c r="A268" s="6"/>
      <c r="B268" s="6"/>
      <c r="C268" s="6"/>
      <c r="D268" s="6"/>
      <c r="E268" s="6"/>
      <c r="F268" s="6"/>
      <c r="G268" s="6"/>
      <c r="H268" s="6"/>
      <c r="I268" s="6"/>
      <c r="J268" s="6"/>
      <c r="K268" s="6"/>
      <c r="L268" s="6"/>
      <c r="M268" s="6"/>
      <c r="N268" s="6"/>
    </row>
    <row r="269">
      <c r="A269" s="6"/>
      <c r="B269" s="6"/>
      <c r="C269" s="6"/>
      <c r="D269" s="6"/>
      <c r="E269" s="6"/>
      <c r="F269" s="6"/>
      <c r="G269" s="6"/>
      <c r="H269" s="6"/>
      <c r="I269" s="6"/>
      <c r="J269" s="6"/>
      <c r="K269" s="6"/>
      <c r="L269" s="6"/>
      <c r="M269" s="6"/>
      <c r="N269" s="6"/>
    </row>
    <row r="270">
      <c r="A270" s="6"/>
      <c r="B270" s="6"/>
      <c r="C270" s="6"/>
      <c r="D270" s="6"/>
      <c r="E270" s="6"/>
      <c r="F270" s="6"/>
      <c r="G270" s="6"/>
      <c r="H270" s="6"/>
      <c r="I270" s="6"/>
      <c r="J270" s="6"/>
      <c r="K270" s="6"/>
      <c r="L270" s="6"/>
      <c r="M270" s="6"/>
      <c r="N270" s="6"/>
    </row>
    <row r="271">
      <c r="A271" s="6"/>
      <c r="B271" s="6"/>
      <c r="C271" s="6"/>
      <c r="D271" s="6"/>
      <c r="E271" s="6"/>
      <c r="F271" s="6"/>
      <c r="G271" s="6"/>
      <c r="H271" s="6"/>
      <c r="I271" s="6"/>
      <c r="J271" s="6"/>
      <c r="K271" s="6"/>
      <c r="L271" s="6"/>
      <c r="M271" s="6"/>
      <c r="N271" s="6"/>
    </row>
    <row r="272">
      <c r="A272" s="6"/>
      <c r="B272" s="6"/>
      <c r="C272" s="6"/>
      <c r="D272" s="6"/>
      <c r="E272" s="6"/>
      <c r="F272" s="6"/>
      <c r="G272" s="6"/>
      <c r="H272" s="6"/>
      <c r="I272" s="6"/>
      <c r="J272" s="6"/>
      <c r="K272" s="6"/>
      <c r="L272" s="6"/>
      <c r="M272" s="6"/>
      <c r="N272" s="6"/>
    </row>
    <row r="273">
      <c r="A273" s="6"/>
      <c r="B273" s="6"/>
      <c r="C273" s="6"/>
      <c r="D273" s="6"/>
      <c r="E273" s="6"/>
      <c r="F273" s="6"/>
      <c r="G273" s="6"/>
      <c r="H273" s="6"/>
      <c r="I273" s="6"/>
      <c r="J273" s="6"/>
      <c r="K273" s="6"/>
      <c r="L273" s="6"/>
      <c r="M273" s="6"/>
      <c r="N273" s="6"/>
    </row>
    <row r="274">
      <c r="A274" s="6"/>
      <c r="B274" s="6"/>
      <c r="C274" s="6"/>
      <c r="D274" s="6"/>
      <c r="E274" s="6"/>
      <c r="F274" s="6"/>
      <c r="G274" s="6"/>
      <c r="H274" s="6"/>
      <c r="I274" s="6"/>
      <c r="J274" s="6"/>
      <c r="K274" s="6"/>
      <c r="L274" s="6"/>
      <c r="M274" s="6"/>
      <c r="N274" s="6"/>
    </row>
    <row r="275">
      <c r="A275" s="6"/>
      <c r="B275" s="6"/>
      <c r="C275" s="6"/>
      <c r="D275" s="6"/>
      <c r="E275" s="6"/>
      <c r="F275" s="6"/>
      <c r="G275" s="6"/>
      <c r="H275" s="6"/>
      <c r="I275" s="6"/>
      <c r="J275" s="6"/>
      <c r="K275" s="6"/>
      <c r="L275" s="6"/>
      <c r="M275" s="6"/>
      <c r="N275" s="6"/>
    </row>
    <row r="276">
      <c r="A276" s="6"/>
      <c r="B276" s="6"/>
      <c r="C276" s="6"/>
      <c r="D276" s="6"/>
      <c r="E276" s="6"/>
      <c r="F276" s="6"/>
      <c r="G276" s="6"/>
      <c r="H276" s="6"/>
      <c r="I276" s="6"/>
      <c r="J276" s="6"/>
      <c r="K276" s="6"/>
      <c r="L276" s="6"/>
      <c r="M276" s="6"/>
      <c r="N276" s="6"/>
    </row>
    <row r="277">
      <c r="A277" s="6"/>
      <c r="B277" s="6"/>
      <c r="C277" s="6"/>
      <c r="D277" s="6"/>
      <c r="E277" s="6"/>
      <c r="F277" s="6"/>
      <c r="G277" s="6"/>
      <c r="H277" s="6"/>
      <c r="I277" s="6"/>
      <c r="J277" s="6"/>
      <c r="K277" s="6"/>
      <c r="L277" s="6"/>
      <c r="M277" s="6"/>
      <c r="N277" s="6"/>
    </row>
    <row r="278">
      <c r="A278" s="6"/>
      <c r="B278" s="6"/>
      <c r="C278" s="6"/>
      <c r="D278" s="6"/>
      <c r="E278" s="6"/>
      <c r="F278" s="6"/>
      <c r="G278" s="6"/>
      <c r="H278" s="6"/>
      <c r="I278" s="6"/>
      <c r="J278" s="6"/>
      <c r="K278" s="6"/>
      <c r="L278" s="6"/>
      <c r="M278" s="6"/>
      <c r="N278" s="6"/>
    </row>
    <row r="279">
      <c r="A279" s="6"/>
      <c r="B279" s="6"/>
      <c r="C279" s="6"/>
      <c r="D279" s="6"/>
      <c r="E279" s="6"/>
      <c r="F279" s="6"/>
      <c r="G279" s="6"/>
      <c r="H279" s="6"/>
      <c r="I279" s="6"/>
      <c r="J279" s="6"/>
      <c r="K279" s="6"/>
      <c r="L279" s="6"/>
      <c r="M279" s="6"/>
      <c r="N279" s="6"/>
    </row>
    <row r="280">
      <c r="A280" s="6"/>
      <c r="B280" s="6"/>
      <c r="C280" s="6"/>
      <c r="D280" s="6"/>
      <c r="E280" s="6"/>
      <c r="F280" s="6"/>
      <c r="G280" s="6"/>
      <c r="H280" s="6"/>
      <c r="I280" s="6"/>
      <c r="J280" s="6"/>
      <c r="K280" s="6"/>
      <c r="L280" s="6"/>
      <c r="M280" s="6"/>
      <c r="N280" s="6"/>
    </row>
    <row r="281">
      <c r="A281" s="6"/>
      <c r="B281" s="6"/>
      <c r="C281" s="6"/>
      <c r="D281" s="6"/>
      <c r="E281" s="6"/>
      <c r="F281" s="6"/>
      <c r="G281" s="6"/>
      <c r="H281" s="6"/>
      <c r="I281" s="6"/>
      <c r="J281" s="6"/>
      <c r="K281" s="6"/>
      <c r="L281" s="6"/>
      <c r="M281" s="6"/>
      <c r="N281" s="6"/>
    </row>
    <row r="282">
      <c r="A282" s="6"/>
      <c r="B282" s="6"/>
      <c r="C282" s="6"/>
      <c r="D282" s="6"/>
      <c r="E282" s="6"/>
      <c r="F282" s="6"/>
      <c r="G282" s="6"/>
      <c r="H282" s="6"/>
      <c r="I282" s="6"/>
      <c r="J282" s="6"/>
      <c r="K282" s="6"/>
      <c r="L282" s="6"/>
      <c r="M282" s="6"/>
      <c r="N282" s="6"/>
    </row>
    <row r="283">
      <c r="A283" s="6"/>
      <c r="B283" s="6"/>
      <c r="C283" s="6"/>
      <c r="D283" s="6"/>
      <c r="E283" s="6"/>
      <c r="F283" s="6"/>
      <c r="G283" s="6"/>
      <c r="H283" s="6"/>
      <c r="I283" s="6"/>
      <c r="J283" s="6"/>
      <c r="K283" s="6"/>
      <c r="L283" s="6"/>
      <c r="M283" s="6"/>
      <c r="N283" s="6"/>
    </row>
    <row r="284">
      <c r="A284" s="6"/>
      <c r="B284" s="6"/>
      <c r="C284" s="6"/>
      <c r="D284" s="6"/>
      <c r="E284" s="6"/>
      <c r="F284" s="6"/>
      <c r="G284" s="6"/>
      <c r="H284" s="6"/>
      <c r="I284" s="6"/>
      <c r="J284" s="6"/>
      <c r="K284" s="6"/>
      <c r="L284" s="6"/>
      <c r="M284" s="6"/>
      <c r="N284" s="6"/>
    </row>
    <row r="285">
      <c r="A285" s="6"/>
      <c r="B285" s="6"/>
      <c r="C285" s="6"/>
      <c r="D285" s="6"/>
      <c r="E285" s="6"/>
      <c r="F285" s="6"/>
      <c r="G285" s="6"/>
      <c r="H285" s="6"/>
      <c r="I285" s="6"/>
      <c r="J285" s="6"/>
      <c r="K285" s="6"/>
      <c r="L285" s="6"/>
      <c r="M285" s="6"/>
      <c r="N285" s="6"/>
    </row>
    <row r="286">
      <c r="A286" s="6"/>
      <c r="B286" s="6"/>
      <c r="C286" s="6"/>
      <c r="D286" s="6"/>
      <c r="E286" s="6"/>
      <c r="F286" s="6"/>
      <c r="G286" s="6"/>
      <c r="H286" s="6"/>
      <c r="I286" s="6"/>
      <c r="J286" s="6"/>
      <c r="K286" s="6"/>
      <c r="L286" s="6"/>
      <c r="M286" s="6"/>
      <c r="N286" s="6"/>
    </row>
    <row r="287">
      <c r="A287" s="6"/>
      <c r="B287" s="6"/>
      <c r="C287" s="6"/>
      <c r="D287" s="6"/>
      <c r="E287" s="6"/>
      <c r="F287" s="6"/>
      <c r="G287" s="6"/>
      <c r="H287" s="6"/>
      <c r="I287" s="6"/>
      <c r="J287" s="6"/>
      <c r="K287" s="6"/>
      <c r="L287" s="6"/>
      <c r="M287" s="6"/>
      <c r="N287" s="6"/>
    </row>
    <row r="288">
      <c r="A288" s="6"/>
      <c r="B288" s="6"/>
      <c r="C288" s="6"/>
      <c r="D288" s="6"/>
      <c r="E288" s="6"/>
      <c r="F288" s="6"/>
      <c r="G288" s="6"/>
      <c r="H288" s="6"/>
      <c r="I288" s="6"/>
      <c r="J288" s="6"/>
      <c r="K288" s="6"/>
      <c r="L288" s="6"/>
      <c r="M288" s="6"/>
      <c r="N288" s="6"/>
    </row>
    <row r="289">
      <c r="A289" s="6"/>
      <c r="B289" s="6"/>
      <c r="C289" s="6"/>
      <c r="D289" s="6"/>
      <c r="E289" s="6"/>
      <c r="F289" s="6"/>
      <c r="G289" s="6"/>
      <c r="H289" s="6"/>
      <c r="I289" s="6"/>
      <c r="J289" s="6"/>
      <c r="K289" s="6"/>
      <c r="L289" s="6"/>
      <c r="M289" s="6"/>
      <c r="N289" s="6"/>
    </row>
    <row r="290">
      <c r="A290" s="6"/>
      <c r="B290" s="6"/>
      <c r="C290" s="6"/>
      <c r="D290" s="6"/>
      <c r="E290" s="6"/>
      <c r="F290" s="6"/>
      <c r="G290" s="6"/>
      <c r="H290" s="6"/>
      <c r="I290" s="6"/>
      <c r="J290" s="6"/>
      <c r="K290" s="6"/>
      <c r="L290" s="6"/>
      <c r="M290" s="6"/>
      <c r="N290" s="6"/>
    </row>
    <row r="291">
      <c r="A291" s="6"/>
      <c r="B291" s="6"/>
      <c r="C291" s="6"/>
      <c r="D291" s="6"/>
      <c r="E291" s="6"/>
      <c r="F291" s="6"/>
      <c r="G291" s="6"/>
      <c r="H291" s="6"/>
      <c r="I291" s="6"/>
      <c r="J291" s="6"/>
      <c r="K291" s="6"/>
      <c r="L291" s="6"/>
      <c r="M291" s="6"/>
      <c r="N291" s="6"/>
    </row>
    <row r="292">
      <c r="A292" s="6"/>
      <c r="B292" s="6"/>
      <c r="C292" s="6"/>
      <c r="D292" s="6"/>
      <c r="E292" s="6"/>
      <c r="F292" s="6"/>
      <c r="G292" s="6"/>
      <c r="H292" s="6"/>
      <c r="I292" s="6"/>
      <c r="J292" s="6"/>
      <c r="K292" s="6"/>
      <c r="L292" s="6"/>
      <c r="M292" s="6"/>
      <c r="N292" s="6"/>
    </row>
    <row r="293">
      <c r="A293" s="6"/>
      <c r="B293" s="6"/>
      <c r="C293" s="6"/>
      <c r="D293" s="6"/>
      <c r="E293" s="6"/>
      <c r="F293" s="6"/>
      <c r="G293" s="6"/>
      <c r="H293" s="6"/>
      <c r="I293" s="6"/>
      <c r="J293" s="6"/>
      <c r="K293" s="6"/>
      <c r="L293" s="6"/>
      <c r="M293" s="6"/>
      <c r="N293" s="6"/>
    </row>
    <row r="294">
      <c r="A294" s="6"/>
      <c r="B294" s="6"/>
      <c r="C294" s="6"/>
      <c r="D294" s="6"/>
      <c r="E294" s="6"/>
      <c r="F294" s="6"/>
      <c r="G294" s="6"/>
      <c r="H294" s="6"/>
      <c r="I294" s="6"/>
      <c r="J294" s="6"/>
      <c r="K294" s="6"/>
      <c r="L294" s="6"/>
      <c r="M294" s="6"/>
      <c r="N294" s="6"/>
    </row>
    <row r="295">
      <c r="A295" s="6"/>
      <c r="B295" s="6"/>
      <c r="C295" s="6"/>
      <c r="D295" s="6"/>
      <c r="E295" s="6"/>
      <c r="F295" s="6"/>
      <c r="G295" s="6"/>
      <c r="H295" s="6"/>
      <c r="I295" s="6"/>
      <c r="J295" s="6"/>
      <c r="K295" s="6"/>
      <c r="L295" s="6"/>
      <c r="M295" s="6"/>
      <c r="N295" s="6"/>
    </row>
    <row r="296">
      <c r="A296" s="6"/>
      <c r="B296" s="6"/>
      <c r="C296" s="6"/>
      <c r="D296" s="6"/>
      <c r="E296" s="6"/>
      <c r="F296" s="6"/>
      <c r="G296" s="6"/>
      <c r="H296" s="6"/>
      <c r="I296" s="6"/>
      <c r="J296" s="6"/>
      <c r="K296" s="6"/>
      <c r="L296" s="6"/>
      <c r="M296" s="6"/>
      <c r="N296" s="6"/>
    </row>
    <row r="297">
      <c r="A297" s="6"/>
      <c r="B297" s="6"/>
      <c r="C297" s="6"/>
      <c r="D297" s="6"/>
      <c r="E297" s="6"/>
      <c r="F297" s="6"/>
      <c r="G297" s="6"/>
      <c r="H297" s="6"/>
      <c r="I297" s="6"/>
      <c r="J297" s="6"/>
      <c r="K297" s="6"/>
      <c r="L297" s="6"/>
      <c r="M297" s="6"/>
      <c r="N297" s="6"/>
    </row>
    <row r="298">
      <c r="A298" s="6"/>
      <c r="B298" s="6"/>
      <c r="C298" s="6"/>
      <c r="D298" s="6"/>
      <c r="E298" s="6"/>
      <c r="F298" s="6"/>
      <c r="G298" s="6"/>
      <c r="H298" s="6"/>
      <c r="I298" s="6"/>
      <c r="J298" s="6"/>
      <c r="K298" s="6"/>
      <c r="L298" s="6"/>
      <c r="M298" s="6"/>
      <c r="N298" s="6"/>
    </row>
    <row r="299">
      <c r="A299" s="6"/>
      <c r="B299" s="6"/>
      <c r="C299" s="6"/>
      <c r="D299" s="6"/>
      <c r="E299" s="6"/>
      <c r="F299" s="6"/>
      <c r="G299" s="6"/>
      <c r="H299" s="6"/>
      <c r="I299" s="6"/>
      <c r="J299" s="6"/>
      <c r="K299" s="6"/>
      <c r="L299" s="6"/>
      <c r="M299" s="6"/>
      <c r="N299" s="6"/>
    </row>
    <row r="300">
      <c r="A300" s="6"/>
      <c r="B300" s="6"/>
      <c r="C300" s="6"/>
      <c r="D300" s="6"/>
      <c r="E300" s="6"/>
      <c r="F300" s="6"/>
      <c r="G300" s="6"/>
      <c r="H300" s="6"/>
      <c r="I300" s="6"/>
      <c r="J300" s="6"/>
      <c r="K300" s="6"/>
      <c r="L300" s="6"/>
      <c r="M300" s="6"/>
      <c r="N300" s="6"/>
    </row>
    <row r="301">
      <c r="A301" s="6"/>
      <c r="B301" s="6"/>
      <c r="C301" s="6"/>
      <c r="D301" s="6"/>
      <c r="E301" s="6"/>
      <c r="F301" s="6"/>
      <c r="G301" s="6"/>
      <c r="H301" s="6"/>
      <c r="I301" s="6"/>
      <c r="J301" s="6"/>
      <c r="K301" s="6"/>
      <c r="L301" s="6"/>
      <c r="M301" s="6"/>
      <c r="N301" s="6"/>
    </row>
    <row r="302">
      <c r="A302" s="6"/>
      <c r="B302" s="6"/>
      <c r="C302" s="6"/>
      <c r="D302" s="6"/>
      <c r="E302" s="6"/>
      <c r="F302" s="6"/>
      <c r="G302" s="6"/>
      <c r="H302" s="6"/>
      <c r="I302" s="6"/>
      <c r="J302" s="6"/>
      <c r="K302" s="6"/>
      <c r="L302" s="6"/>
      <c r="M302" s="6"/>
      <c r="N302" s="6"/>
    </row>
    <row r="303">
      <c r="A303" s="6"/>
      <c r="B303" s="6"/>
      <c r="C303" s="6"/>
      <c r="D303" s="6"/>
      <c r="E303" s="6"/>
      <c r="F303" s="6"/>
      <c r="G303" s="6"/>
      <c r="H303" s="6"/>
      <c r="I303" s="6"/>
      <c r="J303" s="6"/>
      <c r="K303" s="6"/>
      <c r="L303" s="6"/>
      <c r="M303" s="6"/>
      <c r="N303" s="6"/>
    </row>
    <row r="304">
      <c r="A304" s="6"/>
      <c r="B304" s="6"/>
      <c r="C304" s="6"/>
      <c r="D304" s="6"/>
      <c r="E304" s="6"/>
      <c r="F304" s="6"/>
      <c r="G304" s="6"/>
      <c r="H304" s="6"/>
      <c r="I304" s="6"/>
      <c r="J304" s="6"/>
      <c r="K304" s="6"/>
      <c r="L304" s="6"/>
      <c r="M304" s="6"/>
      <c r="N304" s="6"/>
    </row>
    <row r="305">
      <c r="A305" s="6"/>
      <c r="B305" s="6"/>
      <c r="C305" s="6"/>
      <c r="D305" s="6"/>
      <c r="E305" s="6"/>
      <c r="F305" s="6"/>
      <c r="G305" s="6"/>
      <c r="H305" s="6"/>
      <c r="I305" s="6"/>
      <c r="J305" s="6"/>
      <c r="K305" s="6"/>
      <c r="L305" s="6"/>
      <c r="M305" s="6"/>
      <c r="N305" s="6"/>
    </row>
    <row r="306">
      <c r="A306" s="6"/>
      <c r="B306" s="6"/>
      <c r="C306" s="6"/>
      <c r="D306" s="6"/>
      <c r="E306" s="6"/>
      <c r="F306" s="6"/>
      <c r="G306" s="6"/>
      <c r="H306" s="6"/>
      <c r="I306" s="6"/>
      <c r="J306" s="6"/>
      <c r="K306" s="6"/>
      <c r="L306" s="6"/>
      <c r="M306" s="6"/>
      <c r="N306" s="6"/>
    </row>
    <row r="307">
      <c r="A307" s="6"/>
      <c r="B307" s="6"/>
      <c r="C307" s="6"/>
      <c r="D307" s="6"/>
      <c r="E307" s="6"/>
      <c r="F307" s="6"/>
      <c r="G307" s="6"/>
      <c r="H307" s="6"/>
      <c r="I307" s="6"/>
      <c r="J307" s="6"/>
      <c r="K307" s="6"/>
      <c r="L307" s="6"/>
      <c r="M307" s="6"/>
      <c r="N307" s="6"/>
    </row>
    <row r="308">
      <c r="A308" s="6"/>
      <c r="B308" s="6"/>
      <c r="C308" s="6"/>
      <c r="D308" s="6"/>
      <c r="E308" s="6"/>
      <c r="F308" s="6"/>
      <c r="G308" s="6"/>
      <c r="H308" s="6"/>
      <c r="I308" s="6"/>
      <c r="J308" s="6"/>
      <c r="K308" s="6"/>
      <c r="L308" s="6"/>
      <c r="M308" s="6"/>
      <c r="N308" s="6"/>
    </row>
    <row r="309">
      <c r="A309" s="6"/>
      <c r="B309" s="6"/>
      <c r="C309" s="6"/>
      <c r="D309" s="6"/>
      <c r="E309" s="6"/>
      <c r="F309" s="6"/>
      <c r="G309" s="6"/>
      <c r="H309" s="6"/>
      <c r="I309" s="6"/>
      <c r="J309" s="6"/>
      <c r="K309" s="6"/>
      <c r="L309" s="6"/>
      <c r="M309" s="6"/>
      <c r="N309" s="6"/>
    </row>
    <row r="310">
      <c r="A310" s="6"/>
      <c r="B310" s="6"/>
      <c r="C310" s="6"/>
      <c r="D310" s="6"/>
      <c r="E310" s="6"/>
      <c r="F310" s="6"/>
      <c r="G310" s="6"/>
      <c r="H310" s="6"/>
      <c r="I310" s="6"/>
      <c r="J310" s="6"/>
      <c r="K310" s="6"/>
      <c r="L310" s="6"/>
      <c r="M310" s="6"/>
      <c r="N310" s="6"/>
    </row>
    <row r="311">
      <c r="A311" s="6"/>
      <c r="B311" s="6"/>
      <c r="C311" s="6"/>
      <c r="D311" s="6"/>
      <c r="E311" s="6"/>
      <c r="F311" s="6"/>
      <c r="G311" s="6"/>
      <c r="H311" s="6"/>
      <c r="I311" s="6"/>
      <c r="J311" s="6"/>
      <c r="K311" s="6"/>
      <c r="L311" s="6"/>
      <c r="M311" s="6"/>
      <c r="N311" s="6"/>
    </row>
    <row r="312">
      <c r="A312" s="6"/>
      <c r="B312" s="6"/>
      <c r="C312" s="6"/>
      <c r="D312" s="6"/>
      <c r="E312" s="6"/>
      <c r="F312" s="6"/>
      <c r="G312" s="6"/>
      <c r="H312" s="6"/>
      <c r="I312" s="6"/>
      <c r="J312" s="6"/>
      <c r="K312" s="6"/>
      <c r="L312" s="6"/>
      <c r="M312" s="6"/>
      <c r="N312" s="6"/>
    </row>
    <row r="313">
      <c r="A313" s="6"/>
      <c r="B313" s="6"/>
      <c r="C313" s="6"/>
      <c r="D313" s="6"/>
      <c r="E313" s="6"/>
      <c r="F313" s="6"/>
      <c r="G313" s="6"/>
      <c r="H313" s="6"/>
      <c r="I313" s="6"/>
      <c r="J313" s="6"/>
      <c r="K313" s="6"/>
      <c r="L313" s="6"/>
      <c r="M313" s="6"/>
      <c r="N313" s="6"/>
    </row>
    <row r="314">
      <c r="A314" s="6"/>
      <c r="B314" s="6"/>
      <c r="C314" s="6"/>
      <c r="D314" s="6"/>
      <c r="E314" s="6"/>
      <c r="F314" s="6"/>
      <c r="G314" s="6"/>
      <c r="H314" s="6"/>
      <c r="I314" s="6"/>
      <c r="J314" s="6"/>
      <c r="K314" s="6"/>
      <c r="L314" s="6"/>
      <c r="M314" s="6"/>
      <c r="N314" s="6"/>
    </row>
    <row r="315">
      <c r="A315" s="6"/>
      <c r="B315" s="6"/>
      <c r="C315" s="6"/>
      <c r="D315" s="6"/>
      <c r="E315" s="6"/>
      <c r="F315" s="6"/>
      <c r="G315" s="6"/>
      <c r="H315" s="6"/>
      <c r="I315" s="6"/>
      <c r="J315" s="6"/>
      <c r="K315" s="6"/>
      <c r="L315" s="6"/>
      <c r="M315" s="6"/>
      <c r="N315" s="6"/>
    </row>
    <row r="316">
      <c r="A316" s="6"/>
      <c r="B316" s="6"/>
      <c r="C316" s="6"/>
      <c r="D316" s="6"/>
      <c r="E316" s="6"/>
      <c r="F316" s="6"/>
      <c r="G316" s="6"/>
      <c r="H316" s="6"/>
      <c r="I316" s="6"/>
      <c r="J316" s="6"/>
      <c r="K316" s="6"/>
      <c r="L316" s="6"/>
      <c r="M316" s="6"/>
      <c r="N316" s="6"/>
    </row>
    <row r="317">
      <c r="A317" s="6"/>
      <c r="B317" s="6"/>
      <c r="C317" s="6"/>
      <c r="D317" s="6"/>
      <c r="E317" s="6"/>
      <c r="F317" s="6"/>
      <c r="G317" s="6"/>
      <c r="H317" s="6"/>
      <c r="I317" s="6"/>
      <c r="J317" s="6"/>
      <c r="K317" s="6"/>
      <c r="L317" s="6"/>
      <c r="M317" s="6"/>
      <c r="N317" s="6"/>
    </row>
    <row r="318">
      <c r="A318" s="6"/>
      <c r="B318" s="6"/>
      <c r="C318" s="6"/>
      <c r="D318" s="6"/>
      <c r="E318" s="6"/>
      <c r="F318" s="6"/>
      <c r="G318" s="6"/>
      <c r="H318" s="6"/>
      <c r="I318" s="6"/>
      <c r="J318" s="6"/>
      <c r="K318" s="6"/>
      <c r="L318" s="6"/>
      <c r="M318" s="6"/>
      <c r="N318" s="6"/>
    </row>
    <row r="319">
      <c r="A319" s="6"/>
      <c r="B319" s="6"/>
      <c r="C319" s="6"/>
      <c r="D319" s="6"/>
      <c r="E319" s="6"/>
      <c r="F319" s="6"/>
      <c r="G319" s="6"/>
      <c r="H319" s="6"/>
      <c r="I319" s="6"/>
      <c r="J319" s="6"/>
      <c r="K319" s="6"/>
      <c r="L319" s="6"/>
      <c r="M319" s="6"/>
      <c r="N319" s="6"/>
    </row>
    <row r="320">
      <c r="A320" s="6"/>
      <c r="B320" s="6"/>
      <c r="C320" s="6"/>
      <c r="D320" s="6"/>
      <c r="E320" s="6"/>
      <c r="F320" s="6"/>
      <c r="G320" s="6"/>
      <c r="H320" s="6"/>
      <c r="I320" s="6"/>
      <c r="J320" s="6"/>
      <c r="K320" s="6"/>
      <c r="L320" s="6"/>
      <c r="M320" s="6"/>
      <c r="N320" s="6"/>
    </row>
    <row r="321">
      <c r="A321" s="6"/>
      <c r="B321" s="6"/>
      <c r="C321" s="6"/>
      <c r="D321" s="6"/>
      <c r="E321" s="6"/>
      <c r="F321" s="6"/>
      <c r="G321" s="6"/>
      <c r="H321" s="6"/>
      <c r="I321" s="6"/>
      <c r="J321" s="6"/>
      <c r="K321" s="6"/>
      <c r="L321" s="6"/>
      <c r="M321" s="6"/>
      <c r="N321" s="6"/>
    </row>
    <row r="322">
      <c r="A322" s="6"/>
      <c r="B322" s="6"/>
      <c r="C322" s="6"/>
      <c r="D322" s="6"/>
      <c r="E322" s="6"/>
      <c r="F322" s="6"/>
      <c r="G322" s="6"/>
      <c r="H322" s="6"/>
      <c r="I322" s="6"/>
      <c r="J322" s="6"/>
      <c r="K322" s="6"/>
      <c r="L322" s="6"/>
      <c r="M322" s="6"/>
      <c r="N322" s="6"/>
    </row>
    <row r="323">
      <c r="A323" s="6"/>
      <c r="B323" s="6"/>
      <c r="C323" s="6"/>
      <c r="D323" s="6"/>
      <c r="E323" s="6"/>
      <c r="F323" s="6"/>
      <c r="G323" s="6"/>
      <c r="H323" s="6"/>
      <c r="I323" s="6"/>
      <c r="J323" s="6"/>
      <c r="K323" s="6"/>
      <c r="L323" s="6"/>
      <c r="M323" s="6"/>
      <c r="N323" s="6"/>
    </row>
    <row r="324">
      <c r="A324" s="6"/>
      <c r="B324" s="6"/>
      <c r="C324" s="6"/>
      <c r="D324" s="6"/>
      <c r="E324" s="6"/>
      <c r="F324" s="6"/>
      <c r="G324" s="6"/>
      <c r="H324" s="6"/>
      <c r="I324" s="6"/>
      <c r="J324" s="6"/>
      <c r="K324" s="6"/>
      <c r="L324" s="6"/>
      <c r="M324" s="6"/>
      <c r="N324" s="6"/>
    </row>
    <row r="325">
      <c r="A325" s="6"/>
      <c r="B325" s="6"/>
      <c r="C325" s="6"/>
      <c r="D325" s="6"/>
      <c r="E325" s="6"/>
      <c r="F325" s="6"/>
      <c r="G325" s="6"/>
      <c r="H325" s="6"/>
      <c r="I325" s="6"/>
      <c r="J325" s="6"/>
      <c r="K325" s="6"/>
      <c r="L325" s="6"/>
      <c r="M325" s="6"/>
      <c r="N325" s="6"/>
    </row>
    <row r="326">
      <c r="A326" s="6"/>
      <c r="B326" s="6"/>
      <c r="C326" s="6"/>
      <c r="D326" s="6"/>
      <c r="E326" s="6"/>
      <c r="F326" s="6"/>
      <c r="G326" s="6"/>
      <c r="H326" s="6"/>
      <c r="I326" s="6"/>
      <c r="J326" s="6"/>
      <c r="K326" s="6"/>
      <c r="L326" s="6"/>
      <c r="M326" s="6"/>
      <c r="N326" s="6"/>
    </row>
    <row r="327">
      <c r="A327" s="6"/>
      <c r="B327" s="6"/>
      <c r="C327" s="6"/>
      <c r="D327" s="6"/>
      <c r="E327" s="6"/>
      <c r="F327" s="6"/>
      <c r="G327" s="6"/>
      <c r="H327" s="6"/>
      <c r="I327" s="6"/>
      <c r="J327" s="6"/>
      <c r="K327" s="6"/>
      <c r="L327" s="6"/>
      <c r="M327" s="6"/>
      <c r="N327" s="6"/>
    </row>
    <row r="328">
      <c r="A328" s="6"/>
      <c r="B328" s="6"/>
      <c r="C328" s="6"/>
      <c r="D328" s="6"/>
      <c r="E328" s="6"/>
      <c r="F328" s="6"/>
      <c r="G328" s="6"/>
      <c r="H328" s="6"/>
      <c r="I328" s="6"/>
      <c r="J328" s="6"/>
      <c r="K328" s="6"/>
      <c r="L328" s="6"/>
      <c r="M328" s="6"/>
      <c r="N328" s="6"/>
    </row>
    <row r="329">
      <c r="A329" s="6"/>
      <c r="B329" s="6"/>
      <c r="C329" s="6"/>
      <c r="D329" s="6"/>
      <c r="E329" s="6"/>
      <c r="F329" s="6"/>
      <c r="G329" s="6"/>
      <c r="H329" s="6"/>
      <c r="I329" s="6"/>
      <c r="J329" s="6"/>
      <c r="K329" s="6"/>
      <c r="L329" s="6"/>
      <c r="M329" s="6"/>
      <c r="N329" s="6"/>
    </row>
    <row r="330">
      <c r="A330" s="6"/>
      <c r="B330" s="6"/>
      <c r="C330" s="6"/>
      <c r="D330" s="6"/>
      <c r="E330" s="6"/>
      <c r="F330" s="6"/>
      <c r="G330" s="6"/>
      <c r="H330" s="6"/>
      <c r="I330" s="6"/>
      <c r="J330" s="6"/>
      <c r="K330" s="6"/>
      <c r="L330" s="6"/>
      <c r="M330" s="6"/>
      <c r="N330" s="6"/>
    </row>
    <row r="331">
      <c r="A331" s="6"/>
      <c r="B331" s="6"/>
      <c r="C331" s="6"/>
      <c r="D331" s="6"/>
      <c r="E331" s="6"/>
      <c r="F331" s="6"/>
      <c r="G331" s="6"/>
      <c r="H331" s="6"/>
      <c r="I331" s="6"/>
      <c r="J331" s="6"/>
      <c r="K331" s="6"/>
      <c r="L331" s="6"/>
      <c r="M331" s="6"/>
      <c r="N331" s="6"/>
    </row>
    <row r="332">
      <c r="A332" s="6"/>
      <c r="B332" s="6"/>
      <c r="C332" s="6"/>
      <c r="D332" s="6"/>
      <c r="E332" s="6"/>
      <c r="F332" s="6"/>
      <c r="G332" s="6"/>
      <c r="H332" s="6"/>
      <c r="I332" s="6"/>
      <c r="J332" s="6"/>
      <c r="K332" s="6"/>
      <c r="L332" s="6"/>
      <c r="M332" s="6"/>
      <c r="N332" s="6"/>
    </row>
    <row r="333">
      <c r="A333" s="6"/>
      <c r="B333" s="6"/>
      <c r="C333" s="6"/>
      <c r="D333" s="6"/>
      <c r="E333" s="6"/>
      <c r="F333" s="6"/>
      <c r="G333" s="6"/>
      <c r="H333" s="6"/>
      <c r="I333" s="6"/>
      <c r="J333" s="6"/>
      <c r="K333" s="6"/>
      <c r="L333" s="6"/>
      <c r="M333" s="6"/>
      <c r="N333" s="6"/>
    </row>
    <row r="334">
      <c r="A334" s="6"/>
      <c r="B334" s="6"/>
      <c r="C334" s="6"/>
      <c r="D334" s="6"/>
      <c r="E334" s="6"/>
      <c r="F334" s="6"/>
      <c r="G334" s="6"/>
      <c r="H334" s="6"/>
      <c r="I334" s="6"/>
      <c r="J334" s="6"/>
      <c r="K334" s="6"/>
      <c r="L334" s="6"/>
      <c r="M334" s="6"/>
      <c r="N334" s="6"/>
    </row>
    <row r="335">
      <c r="A335" s="6"/>
      <c r="B335" s="6"/>
      <c r="C335" s="6"/>
      <c r="D335" s="6"/>
      <c r="E335" s="6"/>
      <c r="F335" s="6"/>
      <c r="G335" s="6"/>
      <c r="H335" s="6"/>
      <c r="I335" s="6"/>
      <c r="J335" s="6"/>
      <c r="K335" s="6"/>
      <c r="L335" s="6"/>
      <c r="M335" s="6"/>
      <c r="N335" s="6"/>
    </row>
    <row r="336">
      <c r="A336" s="6"/>
      <c r="B336" s="6"/>
      <c r="C336" s="6"/>
      <c r="D336" s="6"/>
      <c r="E336" s="6"/>
      <c r="F336" s="6"/>
      <c r="G336" s="6"/>
      <c r="H336" s="6"/>
      <c r="I336" s="6"/>
      <c r="J336" s="6"/>
      <c r="K336" s="6"/>
      <c r="L336" s="6"/>
      <c r="M336" s="6"/>
      <c r="N336" s="6"/>
    </row>
    <row r="337">
      <c r="A337" s="6"/>
      <c r="B337" s="6"/>
      <c r="C337" s="6"/>
      <c r="D337" s="6"/>
      <c r="E337" s="6"/>
      <c r="F337" s="6"/>
      <c r="G337" s="6"/>
      <c r="H337" s="6"/>
      <c r="I337" s="6"/>
      <c r="J337" s="6"/>
      <c r="K337" s="6"/>
      <c r="L337" s="6"/>
      <c r="M337" s="6"/>
      <c r="N337" s="6"/>
    </row>
    <row r="338">
      <c r="A338" s="6"/>
      <c r="B338" s="6"/>
      <c r="C338" s="6"/>
      <c r="D338" s="6"/>
      <c r="E338" s="6"/>
      <c r="F338" s="6"/>
      <c r="G338" s="6"/>
      <c r="H338" s="6"/>
      <c r="I338" s="6"/>
      <c r="J338" s="6"/>
      <c r="K338" s="6"/>
      <c r="L338" s="6"/>
      <c r="M338" s="6"/>
      <c r="N338" s="6"/>
    </row>
    <row r="339">
      <c r="A339" s="6"/>
      <c r="B339" s="6"/>
      <c r="C339" s="6"/>
      <c r="D339" s="6"/>
      <c r="E339" s="6"/>
      <c r="F339" s="6"/>
      <c r="G339" s="6"/>
      <c r="H339" s="6"/>
      <c r="I339" s="6"/>
      <c r="J339" s="6"/>
      <c r="K339" s="6"/>
      <c r="L339" s="6"/>
      <c r="M339" s="6"/>
      <c r="N339" s="6"/>
    </row>
    <row r="340">
      <c r="A340" s="6"/>
      <c r="B340" s="6"/>
      <c r="C340" s="6"/>
      <c r="D340" s="6"/>
      <c r="E340" s="6"/>
      <c r="F340" s="6"/>
      <c r="G340" s="6"/>
      <c r="H340" s="6"/>
      <c r="I340" s="6"/>
      <c r="J340" s="6"/>
      <c r="K340" s="6"/>
      <c r="L340" s="6"/>
      <c r="M340" s="6"/>
      <c r="N340" s="6"/>
    </row>
    <row r="341">
      <c r="A341" s="6"/>
      <c r="B341" s="6"/>
      <c r="C341" s="6"/>
      <c r="D341" s="6"/>
      <c r="E341" s="6"/>
      <c r="F341" s="6"/>
      <c r="G341" s="6"/>
      <c r="H341" s="6"/>
      <c r="I341" s="6"/>
      <c r="J341" s="6"/>
      <c r="K341" s="6"/>
      <c r="L341" s="6"/>
      <c r="M341" s="6"/>
      <c r="N341" s="6"/>
    </row>
    <row r="342">
      <c r="A342" s="6"/>
      <c r="B342" s="6"/>
      <c r="C342" s="6"/>
      <c r="D342" s="6"/>
      <c r="E342" s="6"/>
      <c r="F342" s="6"/>
      <c r="G342" s="6"/>
      <c r="H342" s="6"/>
      <c r="I342" s="6"/>
      <c r="J342" s="6"/>
      <c r="K342" s="6"/>
      <c r="L342" s="6"/>
      <c r="M342" s="6"/>
      <c r="N342" s="6"/>
    </row>
    <row r="343">
      <c r="A343" s="6"/>
      <c r="B343" s="6"/>
      <c r="C343" s="6"/>
      <c r="D343" s="6"/>
      <c r="E343" s="6"/>
      <c r="F343" s="6"/>
      <c r="G343" s="6"/>
      <c r="H343" s="6"/>
      <c r="I343" s="6"/>
      <c r="J343" s="6"/>
      <c r="K343" s="6"/>
      <c r="L343" s="6"/>
      <c r="M343" s="6"/>
      <c r="N343" s="6"/>
    </row>
    <row r="344">
      <c r="A344" s="6"/>
      <c r="B344" s="6"/>
      <c r="C344" s="6"/>
      <c r="D344" s="6"/>
      <c r="E344" s="6"/>
      <c r="F344" s="6"/>
      <c r="G344" s="6"/>
      <c r="H344" s="6"/>
      <c r="I344" s="6"/>
      <c r="J344" s="6"/>
      <c r="K344" s="6"/>
      <c r="L344" s="6"/>
      <c r="M344" s="6"/>
      <c r="N344" s="6"/>
    </row>
    <row r="345">
      <c r="A345" s="6"/>
      <c r="B345" s="6"/>
      <c r="C345" s="6"/>
      <c r="D345" s="6"/>
      <c r="E345" s="6"/>
      <c r="F345" s="6"/>
      <c r="G345" s="6"/>
      <c r="H345" s="6"/>
      <c r="I345" s="6"/>
      <c r="J345" s="6"/>
      <c r="K345" s="6"/>
      <c r="L345" s="6"/>
      <c r="M345" s="6"/>
      <c r="N345" s="6"/>
    </row>
    <row r="346">
      <c r="A346" s="6"/>
      <c r="B346" s="6"/>
      <c r="C346" s="6"/>
      <c r="D346" s="6"/>
      <c r="E346" s="6"/>
      <c r="F346" s="6"/>
      <c r="G346" s="6"/>
      <c r="H346" s="6"/>
      <c r="I346" s="6"/>
      <c r="J346" s="6"/>
      <c r="K346" s="6"/>
      <c r="L346" s="6"/>
      <c r="M346" s="6"/>
      <c r="N346" s="6"/>
    </row>
    <row r="347">
      <c r="A347" s="6"/>
      <c r="B347" s="6"/>
      <c r="C347" s="6"/>
      <c r="D347" s="6"/>
      <c r="E347" s="6"/>
      <c r="F347" s="6"/>
      <c r="G347" s="6"/>
      <c r="H347" s="6"/>
      <c r="I347" s="6"/>
      <c r="J347" s="6"/>
      <c r="K347" s="6"/>
      <c r="L347" s="6"/>
      <c r="M347" s="6"/>
      <c r="N347" s="6"/>
    </row>
    <row r="348">
      <c r="A348" s="6"/>
      <c r="B348" s="6"/>
      <c r="C348" s="6"/>
      <c r="D348" s="6"/>
      <c r="E348" s="6"/>
      <c r="F348" s="6"/>
      <c r="G348" s="6"/>
      <c r="H348" s="6"/>
      <c r="I348" s="6"/>
      <c r="J348" s="6"/>
      <c r="K348" s="6"/>
      <c r="L348" s="6"/>
      <c r="M348" s="6"/>
      <c r="N348" s="6"/>
    </row>
    <row r="349">
      <c r="A349" s="6"/>
      <c r="B349" s="6"/>
      <c r="C349" s="6"/>
      <c r="D349" s="6"/>
      <c r="E349" s="6"/>
      <c r="F349" s="6"/>
      <c r="G349" s="6"/>
      <c r="H349" s="6"/>
      <c r="I349" s="6"/>
      <c r="J349" s="6"/>
      <c r="K349" s="6"/>
      <c r="L349" s="6"/>
      <c r="M349" s="6"/>
      <c r="N349" s="6"/>
    </row>
    <row r="350">
      <c r="A350" s="6"/>
      <c r="B350" s="6"/>
      <c r="C350" s="6"/>
      <c r="D350" s="6"/>
      <c r="E350" s="6"/>
      <c r="F350" s="6"/>
      <c r="G350" s="6"/>
      <c r="H350" s="6"/>
      <c r="I350" s="6"/>
      <c r="J350" s="6"/>
      <c r="K350" s="6"/>
      <c r="L350" s="6"/>
      <c r="M350" s="6"/>
      <c r="N350" s="6"/>
    </row>
    <row r="351">
      <c r="A351" s="6"/>
      <c r="B351" s="6"/>
      <c r="C351" s="6"/>
      <c r="D351" s="6"/>
      <c r="E351" s="6"/>
      <c r="F351" s="6"/>
      <c r="G351" s="6"/>
      <c r="H351" s="6"/>
      <c r="I351" s="6"/>
      <c r="J351" s="6"/>
      <c r="K351" s="6"/>
      <c r="L351" s="6"/>
      <c r="M351" s="6"/>
      <c r="N351" s="6"/>
    </row>
    <row r="352">
      <c r="A352" s="6"/>
      <c r="B352" s="6"/>
      <c r="C352" s="6"/>
      <c r="D352" s="6"/>
      <c r="E352" s="6"/>
      <c r="F352" s="6"/>
      <c r="G352" s="6"/>
      <c r="H352" s="6"/>
      <c r="I352" s="6"/>
      <c r="J352" s="6"/>
      <c r="K352" s="6"/>
      <c r="L352" s="6"/>
      <c r="M352" s="6"/>
      <c r="N352" s="6"/>
    </row>
    <row r="353">
      <c r="A353" s="6"/>
      <c r="B353" s="6"/>
      <c r="C353" s="6"/>
      <c r="D353" s="6"/>
      <c r="E353" s="6"/>
      <c r="F353" s="6"/>
      <c r="G353" s="6"/>
      <c r="H353" s="6"/>
      <c r="I353" s="6"/>
      <c r="J353" s="6"/>
      <c r="K353" s="6"/>
      <c r="L353" s="6"/>
      <c r="M353" s="6"/>
      <c r="N353" s="6"/>
    </row>
    <row r="354">
      <c r="A354" s="6"/>
      <c r="B354" s="6"/>
      <c r="C354" s="6"/>
      <c r="D354" s="6"/>
      <c r="E354" s="6"/>
      <c r="F354" s="6"/>
      <c r="G354" s="6"/>
      <c r="H354" s="6"/>
      <c r="I354" s="6"/>
      <c r="J354" s="6"/>
      <c r="K354" s="6"/>
      <c r="L354" s="6"/>
      <c r="M354" s="6"/>
      <c r="N354" s="6"/>
    </row>
    <row r="355">
      <c r="A355" s="6"/>
      <c r="B355" s="6"/>
      <c r="C355" s="6"/>
      <c r="D355" s="6"/>
      <c r="E355" s="6"/>
      <c r="F355" s="6"/>
      <c r="G355" s="6"/>
      <c r="H355" s="6"/>
      <c r="I355" s="6"/>
      <c r="J355" s="6"/>
      <c r="K355" s="6"/>
      <c r="L355" s="6"/>
      <c r="M355" s="6"/>
      <c r="N355" s="6"/>
    </row>
    <row r="356">
      <c r="A356" s="6"/>
      <c r="B356" s="6"/>
      <c r="C356" s="6"/>
      <c r="D356" s="6"/>
      <c r="E356" s="6"/>
      <c r="F356" s="6"/>
      <c r="G356" s="6"/>
      <c r="H356" s="6"/>
      <c r="I356" s="6"/>
      <c r="J356" s="6"/>
      <c r="K356" s="6"/>
      <c r="L356" s="6"/>
      <c r="M356" s="6"/>
      <c r="N356" s="6"/>
    </row>
    <row r="357">
      <c r="A357" s="6"/>
      <c r="B357" s="6"/>
      <c r="C357" s="6"/>
      <c r="D357" s="6"/>
      <c r="E357" s="6"/>
      <c r="F357" s="6"/>
      <c r="G357" s="6"/>
      <c r="H357" s="6"/>
      <c r="I357" s="6"/>
      <c r="J357" s="6"/>
      <c r="K357" s="6"/>
      <c r="L357" s="6"/>
      <c r="M357" s="6"/>
      <c r="N357" s="6"/>
    </row>
    <row r="358">
      <c r="A358" s="6"/>
      <c r="B358" s="6"/>
      <c r="C358" s="6"/>
      <c r="D358" s="6"/>
      <c r="E358" s="6"/>
      <c r="F358" s="6"/>
      <c r="G358" s="6"/>
      <c r="H358" s="6"/>
      <c r="I358" s="6"/>
      <c r="J358" s="6"/>
      <c r="K358" s="6"/>
      <c r="L358" s="6"/>
      <c r="M358" s="6"/>
      <c r="N358" s="6"/>
    </row>
    <row r="359">
      <c r="A359" s="6"/>
      <c r="B359" s="6"/>
      <c r="C359" s="6"/>
      <c r="D359" s="6"/>
      <c r="E359" s="6"/>
      <c r="F359" s="6"/>
      <c r="G359" s="6"/>
      <c r="H359" s="6"/>
      <c r="I359" s="6"/>
      <c r="J359" s="6"/>
      <c r="K359" s="6"/>
      <c r="L359" s="6"/>
      <c r="M359" s="6"/>
      <c r="N359" s="6"/>
    </row>
    <row r="360">
      <c r="A360" s="6"/>
      <c r="B360" s="6"/>
      <c r="C360" s="6"/>
      <c r="D360" s="6"/>
      <c r="E360" s="6"/>
      <c r="F360" s="6"/>
      <c r="G360" s="6"/>
      <c r="H360" s="6"/>
      <c r="I360" s="6"/>
      <c r="J360" s="6"/>
      <c r="K360" s="6"/>
      <c r="L360" s="6"/>
      <c r="M360" s="6"/>
      <c r="N360" s="6"/>
    </row>
    <row r="361">
      <c r="A361" s="6"/>
      <c r="B361" s="6"/>
      <c r="C361" s="6"/>
      <c r="D361" s="6"/>
      <c r="E361" s="6"/>
      <c r="F361" s="6"/>
      <c r="G361" s="6"/>
      <c r="H361" s="6"/>
      <c r="I361" s="6"/>
      <c r="J361" s="6"/>
      <c r="K361" s="6"/>
      <c r="L361" s="6"/>
      <c r="M361" s="6"/>
      <c r="N361" s="6"/>
    </row>
    <row r="362">
      <c r="A362" s="6"/>
      <c r="B362" s="6"/>
      <c r="C362" s="6"/>
      <c r="D362" s="6"/>
      <c r="E362" s="6"/>
      <c r="F362" s="6"/>
      <c r="G362" s="6"/>
      <c r="H362" s="6"/>
      <c r="I362" s="6"/>
      <c r="J362" s="6"/>
      <c r="K362" s="6"/>
      <c r="L362" s="6"/>
      <c r="M362" s="6"/>
      <c r="N362" s="6"/>
    </row>
    <row r="363">
      <c r="A363" s="6"/>
      <c r="B363" s="6"/>
      <c r="C363" s="6"/>
      <c r="D363" s="6"/>
      <c r="E363" s="6"/>
      <c r="F363" s="6"/>
      <c r="G363" s="6"/>
      <c r="H363" s="6"/>
      <c r="I363" s="6"/>
      <c r="J363" s="6"/>
      <c r="K363" s="6"/>
      <c r="L363" s="6"/>
      <c r="M363" s="6"/>
      <c r="N363" s="6"/>
    </row>
    <row r="364">
      <c r="A364" s="6"/>
      <c r="B364" s="6"/>
      <c r="C364" s="6"/>
      <c r="D364" s="6"/>
      <c r="E364" s="6"/>
      <c r="F364" s="6"/>
      <c r="G364" s="6"/>
      <c r="H364" s="6"/>
      <c r="I364" s="6"/>
      <c r="J364" s="6"/>
      <c r="K364" s="6"/>
      <c r="L364" s="6"/>
      <c r="M364" s="6"/>
      <c r="N364" s="6"/>
    </row>
    <row r="365">
      <c r="A365" s="6"/>
      <c r="B365" s="6"/>
      <c r="C365" s="6"/>
      <c r="D365" s="6"/>
      <c r="E365" s="6"/>
      <c r="F365" s="6"/>
      <c r="G365" s="6"/>
      <c r="H365" s="6"/>
      <c r="I365" s="6"/>
      <c r="J365" s="6"/>
      <c r="K365" s="6"/>
      <c r="L365" s="6"/>
      <c r="M365" s="6"/>
      <c r="N365" s="6"/>
    </row>
    <row r="366">
      <c r="A366" s="6"/>
      <c r="B366" s="6"/>
      <c r="C366" s="6"/>
      <c r="D366" s="6"/>
      <c r="E366" s="6"/>
      <c r="F366" s="6"/>
      <c r="G366" s="6"/>
      <c r="H366" s="6"/>
      <c r="I366" s="6"/>
      <c r="J366" s="6"/>
      <c r="K366" s="6"/>
      <c r="L366" s="6"/>
      <c r="M366" s="6"/>
      <c r="N366" s="6"/>
    </row>
    <row r="367">
      <c r="A367" s="6"/>
      <c r="B367" s="6"/>
      <c r="C367" s="6"/>
      <c r="D367" s="6"/>
      <c r="E367" s="6"/>
      <c r="F367" s="6"/>
      <c r="G367" s="6"/>
      <c r="H367" s="6"/>
      <c r="I367" s="6"/>
      <c r="J367" s="6"/>
      <c r="K367" s="6"/>
      <c r="L367" s="6"/>
      <c r="M367" s="6"/>
      <c r="N367" s="6"/>
    </row>
    <row r="368">
      <c r="A368" s="6"/>
      <c r="B368" s="6"/>
      <c r="C368" s="6"/>
      <c r="D368" s="6"/>
      <c r="E368" s="6"/>
      <c r="F368" s="6"/>
      <c r="G368" s="6"/>
      <c r="H368" s="6"/>
      <c r="I368" s="6"/>
      <c r="J368" s="6"/>
      <c r="K368" s="6"/>
      <c r="L368" s="6"/>
      <c r="M368" s="6"/>
      <c r="N368" s="6"/>
    </row>
    <row r="369">
      <c r="A369" s="6"/>
      <c r="B369" s="6"/>
      <c r="C369" s="6"/>
      <c r="D369" s="6"/>
      <c r="E369" s="6"/>
      <c r="F369" s="6"/>
      <c r="G369" s="6"/>
      <c r="H369" s="6"/>
      <c r="I369" s="6"/>
      <c r="J369" s="6"/>
      <c r="K369" s="6"/>
      <c r="L369" s="6"/>
      <c r="M369" s="6"/>
      <c r="N369" s="6"/>
    </row>
    <row r="370">
      <c r="A370" s="6"/>
      <c r="B370" s="6"/>
      <c r="C370" s="6"/>
      <c r="D370" s="6"/>
      <c r="E370" s="6"/>
      <c r="F370" s="6"/>
      <c r="G370" s="6"/>
      <c r="H370" s="6"/>
      <c r="I370" s="6"/>
      <c r="J370" s="6"/>
      <c r="K370" s="6"/>
      <c r="L370" s="6"/>
      <c r="M370" s="6"/>
      <c r="N370" s="6"/>
    </row>
    <row r="371">
      <c r="A371" s="6"/>
      <c r="B371" s="6"/>
      <c r="C371" s="6"/>
      <c r="D371" s="6"/>
      <c r="E371" s="6"/>
      <c r="F371" s="6"/>
      <c r="G371" s="6"/>
      <c r="H371" s="6"/>
      <c r="I371" s="6"/>
      <c r="J371" s="6"/>
      <c r="K371" s="6"/>
      <c r="L371" s="6"/>
      <c r="M371" s="6"/>
      <c r="N371" s="6"/>
    </row>
    <row r="372">
      <c r="A372" s="6"/>
      <c r="B372" s="6"/>
      <c r="C372" s="6"/>
      <c r="D372" s="6"/>
      <c r="E372" s="6"/>
      <c r="F372" s="6"/>
      <c r="G372" s="6"/>
      <c r="H372" s="6"/>
      <c r="I372" s="6"/>
      <c r="J372" s="6"/>
      <c r="K372" s="6"/>
      <c r="L372" s="6"/>
      <c r="M372" s="6"/>
      <c r="N372" s="6"/>
    </row>
    <row r="373">
      <c r="A373" s="6"/>
      <c r="B373" s="6"/>
      <c r="C373" s="6"/>
      <c r="D373" s="6"/>
      <c r="E373" s="6"/>
      <c r="F373" s="6"/>
      <c r="G373" s="6"/>
      <c r="H373" s="6"/>
      <c r="I373" s="6"/>
      <c r="J373" s="6"/>
      <c r="K373" s="6"/>
      <c r="L373" s="6"/>
      <c r="M373" s="6"/>
      <c r="N373" s="6"/>
    </row>
    <row r="374">
      <c r="A374" s="6"/>
      <c r="B374" s="6"/>
      <c r="C374" s="6"/>
      <c r="D374" s="6"/>
      <c r="E374" s="6"/>
      <c r="F374" s="6"/>
      <c r="G374" s="6"/>
      <c r="H374" s="6"/>
      <c r="I374" s="6"/>
      <c r="J374" s="6"/>
      <c r="K374" s="6"/>
      <c r="L374" s="6"/>
      <c r="M374" s="6"/>
      <c r="N374" s="6"/>
    </row>
    <row r="375">
      <c r="A375" s="6"/>
      <c r="B375" s="6"/>
      <c r="C375" s="6"/>
      <c r="D375" s="6"/>
      <c r="E375" s="6"/>
      <c r="F375" s="6"/>
      <c r="G375" s="6"/>
      <c r="H375" s="6"/>
      <c r="I375" s="6"/>
      <c r="J375" s="6"/>
      <c r="K375" s="6"/>
      <c r="L375" s="6"/>
      <c r="M375" s="6"/>
      <c r="N375" s="6"/>
    </row>
    <row r="376">
      <c r="A376" s="6"/>
      <c r="B376" s="6"/>
      <c r="C376" s="6"/>
      <c r="D376" s="6"/>
      <c r="E376" s="6"/>
      <c r="F376" s="6"/>
      <c r="G376" s="6"/>
      <c r="H376" s="6"/>
      <c r="I376" s="6"/>
      <c r="J376" s="6"/>
      <c r="K376" s="6"/>
      <c r="L376" s="6"/>
      <c r="M376" s="6"/>
      <c r="N376" s="6"/>
    </row>
    <row r="377">
      <c r="A377" s="6"/>
      <c r="B377" s="6"/>
      <c r="C377" s="6"/>
      <c r="D377" s="6"/>
      <c r="E377" s="6"/>
      <c r="F377" s="6"/>
      <c r="G377" s="6"/>
      <c r="H377" s="6"/>
      <c r="I377" s="6"/>
      <c r="J377" s="6"/>
      <c r="K377" s="6"/>
      <c r="L377" s="6"/>
      <c r="M377" s="6"/>
      <c r="N377" s="6"/>
    </row>
    <row r="378">
      <c r="A378" s="6"/>
      <c r="B378" s="6"/>
      <c r="C378" s="6"/>
      <c r="D378" s="6"/>
      <c r="E378" s="6"/>
      <c r="F378" s="6"/>
      <c r="G378" s="6"/>
      <c r="H378" s="6"/>
      <c r="I378" s="6"/>
      <c r="J378" s="6"/>
      <c r="K378" s="6"/>
      <c r="L378" s="6"/>
      <c r="M378" s="6"/>
      <c r="N378" s="6"/>
    </row>
    <row r="379">
      <c r="A379" s="6"/>
      <c r="B379" s="6"/>
      <c r="C379" s="6"/>
      <c r="D379" s="6"/>
      <c r="E379" s="6"/>
      <c r="F379" s="6"/>
      <c r="G379" s="6"/>
      <c r="H379" s="6"/>
      <c r="I379" s="6"/>
      <c r="J379" s="6"/>
      <c r="K379" s="6"/>
      <c r="L379" s="6"/>
      <c r="M379" s="6"/>
      <c r="N379" s="6"/>
    </row>
    <row r="380">
      <c r="A380" s="6"/>
      <c r="B380" s="6"/>
      <c r="C380" s="6"/>
      <c r="D380" s="6"/>
      <c r="E380" s="6"/>
      <c r="F380" s="6"/>
      <c r="G380" s="6"/>
      <c r="H380" s="6"/>
      <c r="I380" s="6"/>
      <c r="J380" s="6"/>
      <c r="K380" s="6"/>
      <c r="L380" s="6"/>
      <c r="M380" s="6"/>
      <c r="N380" s="6"/>
    </row>
    <row r="381">
      <c r="A381" s="6"/>
      <c r="B381" s="6"/>
      <c r="C381" s="6"/>
      <c r="D381" s="6"/>
      <c r="E381" s="6"/>
      <c r="F381" s="6"/>
      <c r="G381" s="6"/>
      <c r="H381" s="6"/>
      <c r="I381" s="6"/>
      <c r="J381" s="6"/>
      <c r="K381" s="6"/>
      <c r="L381" s="6"/>
      <c r="M381" s="6"/>
      <c r="N381" s="6"/>
    </row>
    <row r="382">
      <c r="A382" s="6"/>
      <c r="B382" s="6"/>
      <c r="C382" s="6"/>
      <c r="D382" s="6"/>
      <c r="E382" s="6"/>
      <c r="F382" s="6"/>
      <c r="G382" s="6"/>
      <c r="H382" s="6"/>
      <c r="I382" s="6"/>
      <c r="J382" s="6"/>
      <c r="K382" s="6"/>
      <c r="L382" s="6"/>
      <c r="M382" s="6"/>
      <c r="N382" s="6"/>
    </row>
    <row r="383">
      <c r="A383" s="6"/>
      <c r="B383" s="6"/>
      <c r="C383" s="6"/>
      <c r="D383" s="6"/>
      <c r="E383" s="6"/>
      <c r="F383" s="6"/>
      <c r="G383" s="6"/>
      <c r="H383" s="6"/>
      <c r="I383" s="6"/>
      <c r="J383" s="6"/>
      <c r="K383" s="6"/>
      <c r="L383" s="6"/>
      <c r="M383" s="6"/>
      <c r="N383" s="6"/>
    </row>
    <row r="384">
      <c r="A384" s="6"/>
      <c r="B384" s="6"/>
      <c r="C384" s="6"/>
      <c r="D384" s="6"/>
      <c r="E384" s="6"/>
      <c r="F384" s="6"/>
      <c r="G384" s="6"/>
      <c r="H384" s="6"/>
      <c r="I384" s="6"/>
      <c r="J384" s="6"/>
      <c r="K384" s="6"/>
      <c r="L384" s="6"/>
      <c r="M384" s="6"/>
      <c r="N384" s="6"/>
    </row>
    <row r="385">
      <c r="A385" s="6"/>
      <c r="B385" s="6"/>
      <c r="C385" s="6"/>
      <c r="D385" s="6"/>
      <c r="E385" s="6"/>
      <c r="F385" s="6"/>
      <c r="G385" s="6"/>
      <c r="H385" s="6"/>
      <c r="I385" s="6"/>
      <c r="J385" s="6"/>
      <c r="K385" s="6"/>
      <c r="L385" s="6"/>
      <c r="M385" s="6"/>
      <c r="N385" s="6"/>
    </row>
    <row r="386">
      <c r="A386" s="6"/>
      <c r="B386" s="6"/>
      <c r="C386" s="6"/>
      <c r="D386" s="6"/>
      <c r="E386" s="6"/>
      <c r="F386" s="6"/>
      <c r="G386" s="6"/>
      <c r="H386" s="6"/>
      <c r="I386" s="6"/>
      <c r="J386" s="6"/>
      <c r="K386" s="6"/>
      <c r="L386" s="6"/>
      <c r="M386" s="6"/>
      <c r="N386" s="6"/>
    </row>
    <row r="387">
      <c r="A387" s="6"/>
      <c r="B387" s="6"/>
      <c r="C387" s="6"/>
      <c r="D387" s="6"/>
      <c r="E387" s="6"/>
      <c r="F387" s="6"/>
      <c r="G387" s="6"/>
      <c r="H387" s="6"/>
      <c r="I387" s="6"/>
      <c r="J387" s="6"/>
      <c r="K387" s="6"/>
      <c r="L387" s="6"/>
      <c r="M387" s="6"/>
      <c r="N387" s="6"/>
    </row>
    <row r="388">
      <c r="A388" s="6"/>
      <c r="B388" s="6"/>
      <c r="C388" s="6"/>
      <c r="D388" s="6"/>
      <c r="E388" s="6"/>
      <c r="F388" s="6"/>
      <c r="G388" s="6"/>
      <c r="H388" s="6"/>
      <c r="I388" s="6"/>
      <c r="J388" s="6"/>
      <c r="K388" s="6"/>
      <c r="L388" s="6"/>
      <c r="M388" s="6"/>
      <c r="N388" s="6"/>
    </row>
    <row r="389">
      <c r="A389" s="6"/>
      <c r="B389" s="6"/>
      <c r="C389" s="6"/>
      <c r="D389" s="6"/>
      <c r="E389" s="6"/>
      <c r="F389" s="6"/>
      <c r="G389" s="6"/>
      <c r="H389" s="6"/>
      <c r="I389" s="6"/>
      <c r="J389" s="6"/>
      <c r="K389" s="6"/>
      <c r="L389" s="6"/>
      <c r="M389" s="6"/>
      <c r="N389" s="6"/>
    </row>
    <row r="390">
      <c r="A390" s="6"/>
      <c r="B390" s="6"/>
      <c r="C390" s="6"/>
      <c r="D390" s="6"/>
      <c r="E390" s="6"/>
      <c r="F390" s="6"/>
      <c r="G390" s="6"/>
      <c r="H390" s="6"/>
      <c r="I390" s="6"/>
      <c r="J390" s="6"/>
      <c r="K390" s="6"/>
      <c r="L390" s="6"/>
      <c r="M390" s="6"/>
      <c r="N390" s="6"/>
    </row>
    <row r="391">
      <c r="A391" s="6"/>
      <c r="B391" s="6"/>
      <c r="C391" s="6"/>
      <c r="D391" s="6"/>
      <c r="E391" s="6"/>
      <c r="F391" s="6"/>
      <c r="G391" s="6"/>
      <c r="H391" s="6"/>
      <c r="I391" s="6"/>
      <c r="J391" s="6"/>
      <c r="K391" s="6"/>
      <c r="L391" s="6"/>
      <c r="M391" s="6"/>
      <c r="N391" s="6"/>
    </row>
    <row r="392">
      <c r="A392" s="6"/>
      <c r="B392" s="6"/>
      <c r="C392" s="6"/>
      <c r="D392" s="6"/>
      <c r="E392" s="6"/>
      <c r="F392" s="6"/>
      <c r="G392" s="6"/>
      <c r="H392" s="6"/>
      <c r="I392" s="6"/>
      <c r="J392" s="6"/>
      <c r="K392" s="6"/>
      <c r="L392" s="6"/>
      <c r="M392" s="6"/>
      <c r="N392" s="6"/>
    </row>
    <row r="393">
      <c r="A393" s="6"/>
      <c r="B393" s="6"/>
      <c r="C393" s="6"/>
      <c r="D393" s="6"/>
      <c r="E393" s="6"/>
      <c r="F393" s="6"/>
      <c r="G393" s="6"/>
      <c r="H393" s="6"/>
      <c r="I393" s="6"/>
      <c r="J393" s="6"/>
      <c r="K393" s="6"/>
      <c r="L393" s="6"/>
      <c r="M393" s="6"/>
      <c r="N393" s="6"/>
    </row>
    <row r="394">
      <c r="A394" s="6"/>
      <c r="B394" s="6"/>
      <c r="C394" s="6"/>
      <c r="D394" s="6"/>
      <c r="E394" s="6"/>
      <c r="F394" s="6"/>
      <c r="G394" s="6"/>
      <c r="H394" s="6"/>
      <c r="I394" s="6"/>
      <c r="J394" s="6"/>
      <c r="K394" s="6"/>
      <c r="L394" s="6"/>
      <c r="M394" s="6"/>
      <c r="N394" s="6"/>
    </row>
    <row r="395">
      <c r="A395" s="6"/>
      <c r="B395" s="6"/>
      <c r="C395" s="6"/>
      <c r="D395" s="6"/>
      <c r="E395" s="6"/>
      <c r="F395" s="6"/>
      <c r="G395" s="6"/>
      <c r="H395" s="6"/>
      <c r="I395" s="6"/>
      <c r="J395" s="6"/>
      <c r="K395" s="6"/>
      <c r="L395" s="6"/>
      <c r="M395" s="6"/>
      <c r="N395" s="6"/>
    </row>
    <row r="396">
      <c r="A396" s="6"/>
      <c r="B396" s="6"/>
      <c r="C396" s="6"/>
      <c r="D396" s="6"/>
      <c r="E396" s="6"/>
      <c r="F396" s="6"/>
      <c r="G396" s="6"/>
      <c r="H396" s="6"/>
      <c r="I396" s="6"/>
      <c r="J396" s="6"/>
      <c r="K396" s="6"/>
      <c r="L396" s="6"/>
      <c r="M396" s="6"/>
      <c r="N396" s="6"/>
    </row>
    <row r="397">
      <c r="A397" s="6"/>
      <c r="B397" s="6"/>
      <c r="C397" s="6"/>
      <c r="D397" s="6"/>
      <c r="E397" s="6"/>
      <c r="F397" s="6"/>
      <c r="G397" s="6"/>
      <c r="H397" s="6"/>
      <c r="I397" s="6"/>
      <c r="J397" s="6"/>
      <c r="K397" s="6"/>
      <c r="L397" s="6"/>
      <c r="M397" s="6"/>
      <c r="N397" s="6"/>
    </row>
    <row r="398">
      <c r="A398" s="6"/>
      <c r="B398" s="6"/>
      <c r="C398" s="6"/>
      <c r="D398" s="6"/>
      <c r="E398" s="6"/>
      <c r="F398" s="6"/>
      <c r="G398" s="6"/>
      <c r="H398" s="6"/>
      <c r="I398" s="6"/>
      <c r="J398" s="6"/>
      <c r="K398" s="6"/>
      <c r="L398" s="6"/>
      <c r="M398" s="6"/>
      <c r="N398" s="6"/>
    </row>
    <row r="399">
      <c r="A399" s="6"/>
      <c r="B399" s="6"/>
      <c r="C399" s="6"/>
      <c r="D399" s="6"/>
      <c r="E399" s="6"/>
      <c r="F399" s="6"/>
      <c r="G399" s="6"/>
      <c r="H399" s="6"/>
      <c r="I399" s="6"/>
      <c r="J399" s="6"/>
      <c r="K399" s="6"/>
      <c r="L399" s="6"/>
      <c r="M399" s="6"/>
      <c r="N399" s="6"/>
    </row>
    <row r="400">
      <c r="A400" s="6"/>
      <c r="B400" s="6"/>
      <c r="C400" s="6"/>
      <c r="D400" s="6"/>
      <c r="E400" s="6"/>
      <c r="F400" s="6"/>
      <c r="G400" s="6"/>
      <c r="H400" s="6"/>
      <c r="I400" s="6"/>
      <c r="J400" s="6"/>
      <c r="K400" s="6"/>
      <c r="L400" s="6"/>
      <c r="M400" s="6"/>
      <c r="N400" s="6"/>
    </row>
    <row r="401">
      <c r="A401" s="6"/>
      <c r="B401" s="6"/>
      <c r="C401" s="6"/>
      <c r="D401" s="6"/>
      <c r="E401" s="6"/>
      <c r="F401" s="6"/>
      <c r="G401" s="6"/>
      <c r="H401" s="6"/>
      <c r="I401" s="6"/>
      <c r="J401" s="6"/>
      <c r="K401" s="6"/>
      <c r="L401" s="6"/>
      <c r="M401" s="6"/>
      <c r="N401" s="6"/>
    </row>
    <row r="402">
      <c r="A402" s="6"/>
      <c r="B402" s="6"/>
      <c r="C402" s="6"/>
      <c r="D402" s="6"/>
      <c r="E402" s="6"/>
      <c r="F402" s="6"/>
      <c r="G402" s="6"/>
      <c r="H402" s="6"/>
      <c r="I402" s="6"/>
      <c r="J402" s="6"/>
      <c r="K402" s="6"/>
      <c r="L402" s="6"/>
      <c r="M402" s="6"/>
      <c r="N402" s="6"/>
    </row>
    <row r="403">
      <c r="A403" s="6"/>
      <c r="B403" s="6"/>
      <c r="C403" s="6"/>
      <c r="D403" s="6"/>
      <c r="E403" s="6"/>
      <c r="F403" s="6"/>
      <c r="G403" s="6"/>
      <c r="H403" s="6"/>
      <c r="I403" s="6"/>
      <c r="J403" s="6"/>
      <c r="K403" s="6"/>
      <c r="L403" s="6"/>
      <c r="M403" s="6"/>
      <c r="N403" s="6"/>
    </row>
    <row r="404">
      <c r="A404" s="6"/>
      <c r="B404" s="6"/>
      <c r="C404" s="6"/>
      <c r="D404" s="6"/>
      <c r="E404" s="6"/>
      <c r="F404" s="6"/>
      <c r="G404" s="6"/>
      <c r="H404" s="6"/>
      <c r="I404" s="6"/>
      <c r="J404" s="6"/>
      <c r="K404" s="6"/>
      <c r="L404" s="6"/>
      <c r="M404" s="6"/>
      <c r="N404" s="6"/>
    </row>
    <row r="405">
      <c r="A405" s="6"/>
      <c r="B405" s="6"/>
      <c r="C405" s="6"/>
      <c r="D405" s="6"/>
      <c r="E405" s="6"/>
      <c r="F405" s="6"/>
      <c r="G405" s="6"/>
      <c r="H405" s="6"/>
      <c r="I405" s="6"/>
      <c r="J405" s="6"/>
      <c r="K405" s="6"/>
      <c r="L405" s="6"/>
      <c r="M405" s="6"/>
      <c r="N405" s="6"/>
    </row>
    <row r="406">
      <c r="A406" s="6"/>
      <c r="B406" s="6"/>
      <c r="C406" s="6"/>
      <c r="D406" s="6"/>
      <c r="E406" s="6"/>
      <c r="F406" s="6"/>
      <c r="G406" s="6"/>
      <c r="H406" s="6"/>
      <c r="I406" s="6"/>
      <c r="J406" s="6"/>
      <c r="K406" s="6"/>
      <c r="L406" s="6"/>
      <c r="M406" s="6"/>
      <c r="N406" s="6"/>
    </row>
    <row r="407">
      <c r="A407" s="6"/>
      <c r="B407" s="6"/>
      <c r="C407" s="6"/>
      <c r="D407" s="6"/>
      <c r="E407" s="6"/>
      <c r="F407" s="6"/>
      <c r="G407" s="6"/>
      <c r="H407" s="6"/>
      <c r="I407" s="6"/>
      <c r="J407" s="6"/>
      <c r="K407" s="6"/>
      <c r="L407" s="6"/>
      <c r="M407" s="6"/>
      <c r="N407" s="6"/>
    </row>
    <row r="408">
      <c r="A408" s="6"/>
      <c r="B408" s="6"/>
      <c r="C408" s="6"/>
      <c r="D408" s="6"/>
      <c r="E408" s="6"/>
      <c r="F408" s="6"/>
      <c r="G408" s="6"/>
      <c r="H408" s="6"/>
      <c r="I408" s="6"/>
      <c r="J408" s="6"/>
      <c r="K408" s="6"/>
      <c r="L408" s="6"/>
      <c r="M408" s="6"/>
      <c r="N408" s="6"/>
    </row>
    <row r="409">
      <c r="A409" s="6"/>
      <c r="B409" s="6"/>
      <c r="C409" s="6"/>
      <c r="D409" s="6"/>
      <c r="E409" s="6"/>
      <c r="F409" s="6"/>
      <c r="G409" s="6"/>
      <c r="H409" s="6"/>
      <c r="I409" s="6"/>
      <c r="J409" s="6"/>
      <c r="K409" s="6"/>
      <c r="L409" s="6"/>
      <c r="M409" s="6"/>
      <c r="N409" s="6"/>
    </row>
    <row r="410">
      <c r="A410" s="6"/>
      <c r="B410" s="6"/>
      <c r="C410" s="6"/>
      <c r="D410" s="6"/>
      <c r="E410" s="6"/>
      <c r="F410" s="6"/>
      <c r="G410" s="6"/>
      <c r="H410" s="6"/>
      <c r="I410" s="6"/>
      <c r="J410" s="6"/>
      <c r="K410" s="6"/>
      <c r="L410" s="6"/>
      <c r="M410" s="6"/>
      <c r="N410" s="6"/>
    </row>
    <row r="411">
      <c r="A411" s="6"/>
      <c r="B411" s="6"/>
      <c r="C411" s="6"/>
      <c r="D411" s="6"/>
      <c r="E411" s="6"/>
      <c r="F411" s="6"/>
      <c r="G411" s="6"/>
      <c r="H411" s="6"/>
      <c r="I411" s="6"/>
      <c r="J411" s="6"/>
      <c r="K411" s="6"/>
      <c r="L411" s="6"/>
      <c r="M411" s="6"/>
      <c r="N411" s="6"/>
    </row>
    <row r="412">
      <c r="A412" s="6"/>
      <c r="B412" s="6"/>
      <c r="C412" s="6"/>
      <c r="D412" s="6"/>
      <c r="E412" s="6"/>
      <c r="F412" s="6"/>
      <c r="G412" s="6"/>
      <c r="H412" s="6"/>
      <c r="I412" s="6"/>
      <c r="J412" s="6"/>
      <c r="K412" s="6"/>
      <c r="L412" s="6"/>
      <c r="M412" s="6"/>
      <c r="N412" s="6"/>
    </row>
    <row r="413">
      <c r="A413" s="6"/>
      <c r="B413" s="6"/>
      <c r="C413" s="6"/>
      <c r="D413" s="6"/>
      <c r="E413" s="6"/>
      <c r="F413" s="6"/>
      <c r="G413" s="6"/>
      <c r="H413" s="6"/>
      <c r="I413" s="6"/>
      <c r="J413" s="6"/>
      <c r="K413" s="6"/>
      <c r="L413" s="6"/>
      <c r="M413" s="6"/>
      <c r="N413" s="6"/>
    </row>
    <row r="414">
      <c r="A414" s="6"/>
      <c r="B414" s="6"/>
      <c r="C414" s="6"/>
      <c r="D414" s="6"/>
      <c r="E414" s="6"/>
      <c r="F414" s="6"/>
      <c r="G414" s="6"/>
      <c r="H414" s="6"/>
      <c r="I414" s="6"/>
      <c r="J414" s="6"/>
      <c r="K414" s="6"/>
      <c r="L414" s="6"/>
      <c r="M414" s="6"/>
      <c r="N414" s="6"/>
    </row>
    <row r="415">
      <c r="A415" s="6"/>
      <c r="B415" s="6"/>
      <c r="C415" s="6"/>
      <c r="D415" s="6"/>
      <c r="E415" s="6"/>
      <c r="F415" s="6"/>
      <c r="G415" s="6"/>
      <c r="H415" s="6"/>
      <c r="I415" s="6"/>
      <c r="J415" s="6"/>
      <c r="K415" s="6"/>
      <c r="L415" s="6"/>
      <c r="M415" s="6"/>
      <c r="N415" s="6"/>
    </row>
    <row r="416">
      <c r="A416" s="6"/>
      <c r="B416" s="6"/>
      <c r="C416" s="6"/>
      <c r="D416" s="6"/>
      <c r="E416" s="6"/>
      <c r="F416" s="6"/>
      <c r="G416" s="6"/>
      <c r="H416" s="6"/>
      <c r="I416" s="6"/>
      <c r="J416" s="6"/>
      <c r="K416" s="6"/>
      <c r="L416" s="6"/>
      <c r="M416" s="6"/>
      <c r="N416" s="6"/>
    </row>
    <row r="417">
      <c r="A417" s="6"/>
      <c r="B417" s="6"/>
      <c r="C417" s="6"/>
      <c r="D417" s="6"/>
      <c r="E417" s="6"/>
      <c r="F417" s="6"/>
      <c r="G417" s="6"/>
      <c r="H417" s="6"/>
      <c r="I417" s="6"/>
      <c r="J417" s="6"/>
      <c r="K417" s="6"/>
      <c r="L417" s="6"/>
      <c r="M417" s="6"/>
      <c r="N417" s="6"/>
    </row>
    <row r="418">
      <c r="A418" s="6"/>
      <c r="B418" s="6"/>
      <c r="C418" s="6"/>
      <c r="D418" s="6"/>
      <c r="E418" s="6"/>
      <c r="F418" s="6"/>
      <c r="G418" s="6"/>
      <c r="H418" s="6"/>
      <c r="I418" s="6"/>
      <c r="J418" s="6"/>
      <c r="K418" s="6"/>
      <c r="L418" s="6"/>
      <c r="M418" s="6"/>
      <c r="N418" s="6"/>
    </row>
    <row r="419">
      <c r="A419" s="6"/>
      <c r="B419" s="6"/>
      <c r="C419" s="6"/>
      <c r="D419" s="6"/>
      <c r="E419" s="6"/>
      <c r="F419" s="6"/>
      <c r="G419" s="6"/>
      <c r="H419" s="6"/>
      <c r="I419" s="6"/>
      <c r="J419" s="6"/>
      <c r="K419" s="6"/>
      <c r="L419" s="6"/>
      <c r="M419" s="6"/>
      <c r="N419" s="6"/>
    </row>
    <row r="420">
      <c r="A420" s="6"/>
      <c r="B420" s="6"/>
      <c r="C420" s="6"/>
      <c r="D420" s="6"/>
      <c r="E420" s="6"/>
      <c r="F420" s="6"/>
      <c r="G420" s="6"/>
      <c r="H420" s="6"/>
      <c r="I420" s="6"/>
      <c r="J420" s="6"/>
      <c r="K420" s="6"/>
      <c r="L420" s="6"/>
      <c r="M420" s="6"/>
      <c r="N420" s="6"/>
    </row>
    <row r="421">
      <c r="A421" s="6"/>
      <c r="B421" s="6"/>
      <c r="C421" s="6"/>
      <c r="D421" s="6"/>
      <c r="E421" s="6"/>
      <c r="F421" s="6"/>
      <c r="G421" s="6"/>
      <c r="H421" s="6"/>
      <c r="I421" s="6"/>
      <c r="J421" s="6"/>
      <c r="K421" s="6"/>
      <c r="L421" s="6"/>
      <c r="M421" s="6"/>
      <c r="N421" s="6"/>
    </row>
    <row r="422">
      <c r="A422" s="6"/>
      <c r="B422" s="6"/>
      <c r="C422" s="6"/>
      <c r="D422" s="6"/>
      <c r="E422" s="6"/>
      <c r="F422" s="6"/>
      <c r="G422" s="6"/>
      <c r="H422" s="6"/>
      <c r="I422" s="6"/>
      <c r="J422" s="6"/>
      <c r="K422" s="6"/>
      <c r="L422" s="6"/>
      <c r="M422" s="6"/>
      <c r="N422" s="6"/>
    </row>
    <row r="423">
      <c r="A423" s="6"/>
      <c r="B423" s="6"/>
      <c r="C423" s="6"/>
      <c r="D423" s="6"/>
      <c r="E423" s="6"/>
      <c r="F423" s="6"/>
      <c r="G423" s="6"/>
      <c r="H423" s="6"/>
      <c r="I423" s="6"/>
      <c r="J423" s="6"/>
      <c r="K423" s="6"/>
      <c r="L423" s="6"/>
      <c r="M423" s="6"/>
      <c r="N423" s="6"/>
    </row>
    <row r="424">
      <c r="A424" s="6"/>
      <c r="B424" s="6"/>
      <c r="C424" s="6"/>
      <c r="D424" s="6"/>
      <c r="E424" s="6"/>
      <c r="F424" s="6"/>
      <c r="G424" s="6"/>
      <c r="H424" s="6"/>
      <c r="I424" s="6"/>
      <c r="J424" s="6"/>
      <c r="K424" s="6"/>
      <c r="L424" s="6"/>
      <c r="M424" s="6"/>
      <c r="N424" s="6"/>
    </row>
    <row r="425">
      <c r="A425" s="6"/>
      <c r="B425" s="6"/>
      <c r="C425" s="6"/>
      <c r="D425" s="6"/>
      <c r="E425" s="6"/>
      <c r="F425" s="6"/>
      <c r="G425" s="6"/>
      <c r="H425" s="6"/>
      <c r="I425" s="6"/>
      <c r="J425" s="6"/>
      <c r="K425" s="6"/>
      <c r="L425" s="6"/>
      <c r="M425" s="6"/>
      <c r="N425" s="6"/>
    </row>
    <row r="426">
      <c r="A426" s="6"/>
      <c r="B426" s="6"/>
      <c r="C426" s="6"/>
      <c r="D426" s="6"/>
      <c r="E426" s="6"/>
      <c r="F426" s="6"/>
      <c r="G426" s="6"/>
      <c r="H426" s="6"/>
      <c r="I426" s="6"/>
      <c r="J426" s="6"/>
      <c r="K426" s="6"/>
      <c r="L426" s="6"/>
      <c r="M426" s="6"/>
      <c r="N426" s="6"/>
    </row>
    <row r="427">
      <c r="A427" s="6"/>
      <c r="B427" s="6"/>
      <c r="C427" s="6"/>
      <c r="D427" s="6"/>
      <c r="E427" s="6"/>
      <c r="F427" s="6"/>
      <c r="G427" s="6"/>
      <c r="H427" s="6"/>
      <c r="I427" s="6"/>
      <c r="J427" s="6"/>
      <c r="K427" s="6"/>
      <c r="L427" s="6"/>
      <c r="M427" s="6"/>
      <c r="N427" s="6"/>
    </row>
    <row r="428">
      <c r="A428" s="6"/>
      <c r="B428" s="6"/>
      <c r="C428" s="6"/>
      <c r="D428" s="6"/>
      <c r="E428" s="6"/>
      <c r="F428" s="6"/>
      <c r="G428" s="6"/>
      <c r="H428" s="6"/>
      <c r="I428" s="6"/>
      <c r="J428" s="6"/>
      <c r="K428" s="6"/>
      <c r="L428" s="6"/>
      <c r="M428" s="6"/>
      <c r="N428" s="6"/>
    </row>
    <row r="429">
      <c r="A429" s="6"/>
      <c r="B429" s="6"/>
      <c r="C429" s="6"/>
      <c r="D429" s="6"/>
      <c r="E429" s="6"/>
      <c r="F429" s="6"/>
      <c r="G429" s="6"/>
      <c r="H429" s="6"/>
      <c r="I429" s="6"/>
      <c r="J429" s="6"/>
      <c r="K429" s="6"/>
      <c r="L429" s="6"/>
      <c r="M429" s="6"/>
      <c r="N429" s="6"/>
    </row>
    <row r="430">
      <c r="A430" s="6"/>
      <c r="B430" s="6"/>
      <c r="C430" s="6"/>
      <c r="D430" s="6"/>
      <c r="E430" s="6"/>
      <c r="F430" s="6"/>
      <c r="G430" s="6"/>
      <c r="H430" s="6"/>
      <c r="I430" s="6"/>
      <c r="J430" s="6"/>
      <c r="K430" s="6"/>
      <c r="L430" s="6"/>
      <c r="M430" s="6"/>
      <c r="N430" s="6"/>
    </row>
    <row r="431">
      <c r="A431" s="6"/>
      <c r="B431" s="6"/>
      <c r="C431" s="6"/>
      <c r="D431" s="6"/>
      <c r="E431" s="6"/>
      <c r="F431" s="6"/>
      <c r="G431" s="6"/>
      <c r="H431" s="6"/>
      <c r="I431" s="6"/>
      <c r="J431" s="6"/>
      <c r="K431" s="6"/>
      <c r="L431" s="6"/>
      <c r="M431" s="6"/>
      <c r="N431" s="6"/>
    </row>
    <row r="432">
      <c r="A432" s="6"/>
      <c r="B432" s="6"/>
      <c r="C432" s="6"/>
      <c r="D432" s="6"/>
      <c r="E432" s="6"/>
      <c r="F432" s="6"/>
      <c r="G432" s="6"/>
      <c r="H432" s="6"/>
      <c r="I432" s="6"/>
      <c r="J432" s="6"/>
      <c r="K432" s="6"/>
      <c r="L432" s="6"/>
      <c r="M432" s="6"/>
      <c r="N432" s="6"/>
    </row>
    <row r="433">
      <c r="A433" s="6"/>
      <c r="B433" s="6"/>
      <c r="C433" s="6"/>
      <c r="D433" s="6"/>
      <c r="E433" s="6"/>
      <c r="F433" s="6"/>
      <c r="G433" s="6"/>
      <c r="H433" s="6"/>
      <c r="I433" s="6"/>
      <c r="J433" s="6"/>
      <c r="K433" s="6"/>
      <c r="L433" s="6"/>
      <c r="M433" s="6"/>
      <c r="N433" s="6"/>
    </row>
    <row r="434">
      <c r="A434" s="6"/>
      <c r="B434" s="6"/>
      <c r="C434" s="6"/>
      <c r="D434" s="6"/>
      <c r="E434" s="6"/>
      <c r="F434" s="6"/>
      <c r="G434" s="6"/>
      <c r="H434" s="6"/>
      <c r="I434" s="6"/>
      <c r="J434" s="6"/>
      <c r="K434" s="6"/>
      <c r="L434" s="6"/>
      <c r="M434" s="6"/>
      <c r="N434" s="6"/>
    </row>
    <row r="435">
      <c r="A435" s="6"/>
      <c r="B435" s="6"/>
      <c r="C435" s="6"/>
      <c r="D435" s="6"/>
      <c r="E435" s="6"/>
      <c r="F435" s="6"/>
      <c r="G435" s="6"/>
      <c r="H435" s="6"/>
      <c r="I435" s="6"/>
      <c r="J435" s="6"/>
      <c r="K435" s="6"/>
      <c r="L435" s="6"/>
      <c r="M435" s="6"/>
      <c r="N435" s="6"/>
    </row>
    <row r="436">
      <c r="A436" s="6"/>
      <c r="B436" s="6"/>
      <c r="C436" s="6"/>
      <c r="D436" s="6"/>
      <c r="E436" s="6"/>
      <c r="F436" s="6"/>
      <c r="G436" s="6"/>
      <c r="H436" s="6"/>
      <c r="I436" s="6"/>
      <c r="J436" s="6"/>
      <c r="K436" s="6"/>
      <c r="L436" s="6"/>
      <c r="M436" s="6"/>
      <c r="N436" s="6"/>
    </row>
    <row r="437">
      <c r="A437" s="6"/>
      <c r="B437" s="6"/>
      <c r="C437" s="6"/>
      <c r="D437" s="6"/>
      <c r="E437" s="6"/>
      <c r="F437" s="6"/>
      <c r="G437" s="6"/>
      <c r="H437" s="6"/>
      <c r="I437" s="6"/>
      <c r="J437" s="6"/>
      <c r="K437" s="6"/>
      <c r="L437" s="6"/>
      <c r="M437" s="6"/>
      <c r="N437" s="6"/>
    </row>
    <row r="438">
      <c r="A438" s="6"/>
      <c r="B438" s="6"/>
      <c r="C438" s="6"/>
      <c r="D438" s="6"/>
      <c r="E438" s="6"/>
      <c r="F438" s="6"/>
      <c r="G438" s="6"/>
      <c r="H438" s="6"/>
      <c r="I438" s="6"/>
      <c r="J438" s="6"/>
      <c r="K438" s="6"/>
      <c r="L438" s="6"/>
      <c r="M438" s="6"/>
      <c r="N438" s="6"/>
    </row>
    <row r="439">
      <c r="A439" s="6"/>
      <c r="B439" s="6"/>
      <c r="C439" s="6"/>
      <c r="D439" s="6"/>
      <c r="E439" s="6"/>
      <c r="F439" s="6"/>
      <c r="G439" s="6"/>
      <c r="H439" s="6"/>
      <c r="I439" s="6"/>
      <c r="J439" s="6"/>
      <c r="K439" s="6"/>
      <c r="L439" s="6"/>
      <c r="M439" s="6"/>
      <c r="N439" s="6"/>
    </row>
    <row r="440">
      <c r="A440" s="6"/>
      <c r="B440" s="6"/>
      <c r="C440" s="6"/>
      <c r="D440" s="6"/>
      <c r="E440" s="6"/>
      <c r="F440" s="6"/>
      <c r="G440" s="6"/>
      <c r="H440" s="6"/>
      <c r="I440" s="6"/>
      <c r="J440" s="6"/>
      <c r="K440" s="6"/>
      <c r="L440" s="6"/>
      <c r="M440" s="6"/>
      <c r="N440" s="6"/>
    </row>
    <row r="441">
      <c r="A441" s="6"/>
      <c r="B441" s="6"/>
      <c r="C441" s="6"/>
      <c r="D441" s="6"/>
      <c r="E441" s="6"/>
      <c r="F441" s="6"/>
      <c r="G441" s="6"/>
      <c r="H441" s="6"/>
      <c r="I441" s="6"/>
      <c r="J441" s="6"/>
      <c r="K441" s="6"/>
      <c r="L441" s="6"/>
      <c r="M441" s="6"/>
      <c r="N441" s="6"/>
    </row>
    <row r="442">
      <c r="A442" s="6"/>
      <c r="B442" s="6"/>
      <c r="C442" s="6"/>
      <c r="D442" s="6"/>
      <c r="E442" s="6"/>
      <c r="F442" s="6"/>
      <c r="G442" s="6"/>
      <c r="H442" s="6"/>
      <c r="I442" s="6"/>
      <c r="J442" s="6"/>
      <c r="K442" s="6"/>
      <c r="L442" s="6"/>
      <c r="M442" s="6"/>
      <c r="N442" s="6"/>
    </row>
    <row r="443">
      <c r="A443" s="6"/>
      <c r="B443" s="6"/>
      <c r="C443" s="6"/>
      <c r="D443" s="6"/>
      <c r="E443" s="6"/>
      <c r="F443" s="6"/>
      <c r="G443" s="6"/>
      <c r="H443" s="6"/>
      <c r="I443" s="6"/>
      <c r="J443" s="6"/>
      <c r="K443" s="6"/>
      <c r="L443" s="6"/>
      <c r="M443" s="6"/>
      <c r="N443" s="6"/>
    </row>
    <row r="444">
      <c r="A444" s="6"/>
      <c r="B444" s="6"/>
      <c r="C444" s="6"/>
      <c r="D444" s="6"/>
      <c r="E444" s="6"/>
      <c r="F444" s="6"/>
      <c r="G444" s="6"/>
      <c r="H444" s="6"/>
      <c r="I444" s="6"/>
      <c r="J444" s="6"/>
      <c r="K444" s="6"/>
      <c r="L444" s="6"/>
      <c r="M444" s="6"/>
      <c r="N444" s="6"/>
    </row>
    <row r="445">
      <c r="A445" s="6"/>
      <c r="B445" s="6"/>
      <c r="C445" s="6"/>
      <c r="D445" s="6"/>
      <c r="E445" s="6"/>
      <c r="F445" s="6"/>
      <c r="G445" s="6"/>
      <c r="H445" s="6"/>
      <c r="I445" s="6"/>
      <c r="J445" s="6"/>
      <c r="K445" s="6"/>
      <c r="L445" s="6"/>
      <c r="M445" s="6"/>
      <c r="N445" s="6"/>
    </row>
    <row r="446">
      <c r="A446" s="6"/>
      <c r="B446" s="6"/>
      <c r="C446" s="6"/>
      <c r="D446" s="6"/>
      <c r="E446" s="6"/>
      <c r="F446" s="6"/>
      <c r="G446" s="6"/>
      <c r="H446" s="6"/>
      <c r="I446" s="6"/>
      <c r="J446" s="6"/>
      <c r="K446" s="6"/>
      <c r="L446" s="6"/>
      <c r="M446" s="6"/>
      <c r="N446" s="6"/>
    </row>
    <row r="447">
      <c r="A447" s="6"/>
      <c r="B447" s="6"/>
      <c r="C447" s="6"/>
      <c r="D447" s="6"/>
      <c r="E447" s="6"/>
      <c r="F447" s="6"/>
      <c r="G447" s="6"/>
      <c r="H447" s="6"/>
      <c r="I447" s="6"/>
      <c r="J447" s="6"/>
      <c r="K447" s="6"/>
      <c r="L447" s="6"/>
      <c r="M447" s="6"/>
      <c r="N447" s="6"/>
    </row>
    <row r="448">
      <c r="A448" s="6"/>
      <c r="B448" s="6"/>
      <c r="C448" s="6"/>
      <c r="D448" s="6"/>
      <c r="E448" s="6"/>
      <c r="F448" s="6"/>
      <c r="G448" s="6"/>
      <c r="H448" s="6"/>
      <c r="I448" s="6"/>
      <c r="J448" s="6"/>
      <c r="K448" s="6"/>
      <c r="L448" s="6"/>
      <c r="M448" s="6"/>
      <c r="N448" s="6"/>
    </row>
    <row r="449">
      <c r="A449" s="6"/>
      <c r="B449" s="6"/>
      <c r="C449" s="6"/>
      <c r="D449" s="6"/>
      <c r="E449" s="6"/>
      <c r="F449" s="6"/>
      <c r="G449" s="6"/>
      <c r="H449" s="6"/>
      <c r="I449" s="6"/>
      <c r="J449" s="6"/>
      <c r="K449" s="6"/>
      <c r="L449" s="6"/>
      <c r="M449" s="6"/>
      <c r="N449" s="6"/>
    </row>
    <row r="450">
      <c r="A450" s="6"/>
      <c r="B450" s="6"/>
      <c r="C450" s="6"/>
      <c r="D450" s="6"/>
      <c r="E450" s="6"/>
      <c r="F450" s="6"/>
      <c r="G450" s="6"/>
      <c r="H450" s="6"/>
      <c r="I450" s="6"/>
      <c r="J450" s="6"/>
      <c r="K450" s="6"/>
      <c r="L450" s="6"/>
      <c r="M450" s="6"/>
      <c r="N450" s="6"/>
    </row>
    <row r="451">
      <c r="A451" s="6"/>
      <c r="B451" s="6"/>
      <c r="C451" s="6"/>
      <c r="D451" s="6"/>
      <c r="E451" s="6"/>
      <c r="F451" s="6"/>
      <c r="G451" s="6"/>
      <c r="H451" s="6"/>
      <c r="I451" s="6"/>
      <c r="J451" s="6"/>
      <c r="K451" s="6"/>
      <c r="L451" s="6"/>
      <c r="M451" s="6"/>
      <c r="N451" s="6"/>
    </row>
    <row r="452">
      <c r="A452" s="6"/>
      <c r="B452" s="6"/>
      <c r="C452" s="6"/>
      <c r="D452" s="6"/>
      <c r="E452" s="6"/>
      <c r="F452" s="6"/>
      <c r="G452" s="6"/>
      <c r="H452" s="6"/>
      <c r="I452" s="6"/>
      <c r="J452" s="6"/>
      <c r="K452" s="6"/>
      <c r="L452" s="6"/>
      <c r="M452" s="6"/>
      <c r="N452" s="6"/>
    </row>
    <row r="453">
      <c r="A453" s="6"/>
      <c r="B453" s="6"/>
      <c r="C453" s="6"/>
      <c r="D453" s="6"/>
      <c r="E453" s="6"/>
      <c r="F453" s="6"/>
      <c r="G453" s="6"/>
      <c r="H453" s="6"/>
      <c r="I453" s="6"/>
      <c r="J453" s="6"/>
      <c r="K453" s="6"/>
      <c r="L453" s="6"/>
      <c r="M453" s="6"/>
      <c r="N453" s="6"/>
    </row>
    <row r="454">
      <c r="A454" s="6"/>
      <c r="B454" s="6"/>
      <c r="C454" s="6"/>
      <c r="D454" s="6"/>
      <c r="E454" s="6"/>
      <c r="F454" s="6"/>
      <c r="G454" s="6"/>
      <c r="H454" s="6"/>
      <c r="I454" s="6"/>
      <c r="J454" s="6"/>
      <c r="K454" s="6"/>
      <c r="L454" s="6"/>
      <c r="M454" s="6"/>
      <c r="N454" s="6"/>
    </row>
    <row r="455">
      <c r="A455" s="6"/>
      <c r="B455" s="6"/>
      <c r="C455" s="6"/>
      <c r="D455" s="6"/>
      <c r="E455" s="6"/>
      <c r="F455" s="6"/>
      <c r="G455" s="6"/>
      <c r="H455" s="6"/>
      <c r="I455" s="6"/>
      <c r="J455" s="6"/>
      <c r="K455" s="6"/>
      <c r="L455" s="6"/>
      <c r="M455" s="6"/>
      <c r="N455" s="6"/>
    </row>
    <row r="456">
      <c r="A456" s="6"/>
      <c r="B456" s="6"/>
      <c r="C456" s="6"/>
      <c r="D456" s="6"/>
      <c r="E456" s="6"/>
      <c r="F456" s="6"/>
      <c r="G456" s="6"/>
      <c r="H456" s="6"/>
      <c r="I456" s="6"/>
      <c r="J456" s="6"/>
      <c r="K456" s="6"/>
      <c r="L456" s="6"/>
      <c r="M456" s="6"/>
      <c r="N456" s="6"/>
    </row>
    <row r="457">
      <c r="A457" s="6"/>
      <c r="B457" s="6"/>
      <c r="C457" s="6"/>
      <c r="D457" s="6"/>
      <c r="E457" s="6"/>
      <c r="F457" s="6"/>
      <c r="G457" s="6"/>
      <c r="H457" s="6"/>
      <c r="I457" s="6"/>
      <c r="J457" s="6"/>
      <c r="K457" s="6"/>
      <c r="L457" s="6"/>
      <c r="M457" s="6"/>
      <c r="N457" s="6"/>
    </row>
    <row r="458">
      <c r="A458" s="6"/>
      <c r="B458" s="6"/>
      <c r="C458" s="6"/>
      <c r="D458" s="6"/>
      <c r="E458" s="6"/>
      <c r="F458" s="6"/>
      <c r="G458" s="6"/>
      <c r="H458" s="6"/>
      <c r="I458" s="6"/>
      <c r="J458" s="6"/>
      <c r="K458" s="6"/>
      <c r="L458" s="6"/>
      <c r="M458" s="6"/>
      <c r="N458" s="6"/>
    </row>
    <row r="459">
      <c r="A459" s="6"/>
      <c r="B459" s="6"/>
      <c r="C459" s="6"/>
      <c r="D459" s="6"/>
      <c r="E459" s="6"/>
      <c r="F459" s="6"/>
      <c r="G459" s="6"/>
      <c r="H459" s="6"/>
      <c r="I459" s="6"/>
      <c r="J459" s="6"/>
      <c r="K459" s="6"/>
      <c r="L459" s="6"/>
      <c r="M459" s="6"/>
      <c r="N459" s="6"/>
    </row>
    <row r="460">
      <c r="A460" s="6"/>
      <c r="B460" s="6"/>
      <c r="C460" s="6"/>
      <c r="D460" s="6"/>
      <c r="E460" s="6"/>
      <c r="F460" s="6"/>
      <c r="G460" s="6"/>
      <c r="H460" s="6"/>
      <c r="I460" s="6"/>
      <c r="J460" s="6"/>
      <c r="K460" s="6"/>
      <c r="L460" s="6"/>
      <c r="M460" s="6"/>
      <c r="N460" s="6"/>
    </row>
    <row r="461">
      <c r="A461" s="6"/>
      <c r="B461" s="6"/>
      <c r="C461" s="6"/>
      <c r="D461" s="6"/>
      <c r="E461" s="6"/>
      <c r="F461" s="6"/>
      <c r="G461" s="6"/>
      <c r="H461" s="6"/>
      <c r="I461" s="6"/>
      <c r="J461" s="6"/>
      <c r="K461" s="6"/>
      <c r="L461" s="6"/>
      <c r="M461" s="6"/>
      <c r="N461" s="6"/>
    </row>
    <row r="462">
      <c r="A462" s="6"/>
      <c r="B462" s="6"/>
      <c r="C462" s="6"/>
      <c r="D462" s="6"/>
      <c r="E462" s="6"/>
      <c r="F462" s="6"/>
      <c r="G462" s="6"/>
      <c r="H462" s="6"/>
      <c r="I462" s="6"/>
      <c r="J462" s="6"/>
      <c r="K462" s="6"/>
      <c r="L462" s="6"/>
      <c r="M462" s="6"/>
      <c r="N462" s="6"/>
    </row>
    <row r="463">
      <c r="A463" s="6"/>
      <c r="B463" s="6"/>
      <c r="C463" s="6"/>
      <c r="D463" s="6"/>
      <c r="E463" s="6"/>
      <c r="F463" s="6"/>
      <c r="G463" s="6"/>
      <c r="H463" s="6"/>
      <c r="I463" s="6"/>
      <c r="J463" s="6"/>
      <c r="K463" s="6"/>
      <c r="L463" s="6"/>
      <c r="M463" s="6"/>
      <c r="N463" s="6"/>
    </row>
    <row r="464">
      <c r="A464" s="6"/>
      <c r="B464" s="6"/>
      <c r="C464" s="6"/>
      <c r="D464" s="6"/>
      <c r="E464" s="6"/>
      <c r="F464" s="6"/>
      <c r="G464" s="6"/>
      <c r="H464" s="6"/>
      <c r="I464" s="6"/>
      <c r="J464" s="6"/>
      <c r="K464" s="6"/>
      <c r="L464" s="6"/>
      <c r="M464" s="6"/>
      <c r="N464" s="6"/>
    </row>
    <row r="465">
      <c r="A465" s="6"/>
      <c r="B465" s="6"/>
      <c r="C465" s="6"/>
      <c r="D465" s="6"/>
      <c r="E465" s="6"/>
      <c r="F465" s="6"/>
      <c r="G465" s="6"/>
      <c r="H465" s="6"/>
      <c r="I465" s="6"/>
      <c r="J465" s="6"/>
      <c r="K465" s="6"/>
      <c r="L465" s="6"/>
      <c r="M465" s="6"/>
      <c r="N465" s="6"/>
    </row>
    <row r="466">
      <c r="A466" s="6"/>
      <c r="B466" s="6"/>
      <c r="C466" s="6"/>
      <c r="D466" s="6"/>
      <c r="E466" s="6"/>
      <c r="F466" s="6"/>
      <c r="G466" s="6"/>
      <c r="H466" s="6"/>
      <c r="I466" s="6"/>
      <c r="J466" s="6"/>
      <c r="K466" s="6"/>
      <c r="L466" s="6"/>
      <c r="M466" s="6"/>
      <c r="N466" s="6"/>
    </row>
    <row r="467">
      <c r="A467" s="6"/>
      <c r="B467" s="6"/>
      <c r="C467" s="6"/>
      <c r="D467" s="6"/>
      <c r="E467" s="6"/>
      <c r="F467" s="6"/>
      <c r="G467" s="6"/>
      <c r="H467" s="6"/>
      <c r="I467" s="6"/>
      <c r="J467" s="6"/>
      <c r="K467" s="6"/>
      <c r="L467" s="6"/>
      <c r="M467" s="6"/>
      <c r="N467" s="6"/>
    </row>
    <row r="468">
      <c r="A468" s="6"/>
      <c r="B468" s="6"/>
      <c r="C468" s="6"/>
      <c r="D468" s="6"/>
      <c r="E468" s="6"/>
      <c r="F468" s="6"/>
      <c r="G468" s="6"/>
      <c r="H468" s="6"/>
      <c r="I468" s="6"/>
      <c r="J468" s="6"/>
      <c r="K468" s="6"/>
      <c r="L468" s="6"/>
      <c r="M468" s="6"/>
      <c r="N468" s="6"/>
    </row>
    <row r="469">
      <c r="A469" s="6"/>
      <c r="B469" s="6"/>
      <c r="C469" s="6"/>
      <c r="D469" s="6"/>
      <c r="E469" s="6"/>
      <c r="F469" s="6"/>
      <c r="G469" s="6"/>
      <c r="H469" s="6"/>
      <c r="I469" s="6"/>
      <c r="J469" s="6"/>
      <c r="K469" s="6"/>
      <c r="L469" s="6"/>
      <c r="M469" s="6"/>
      <c r="N469" s="6"/>
    </row>
    <row r="470">
      <c r="A470" s="6"/>
      <c r="B470" s="6"/>
      <c r="C470" s="6"/>
      <c r="D470" s="6"/>
      <c r="E470" s="6"/>
      <c r="F470" s="6"/>
      <c r="G470" s="6"/>
      <c r="H470" s="6"/>
      <c r="I470" s="6"/>
      <c r="J470" s="6"/>
      <c r="K470" s="6"/>
      <c r="L470" s="6"/>
      <c r="M470" s="6"/>
      <c r="N470" s="6"/>
    </row>
    <row r="471">
      <c r="A471" s="6"/>
      <c r="B471" s="6"/>
      <c r="C471" s="6"/>
      <c r="D471" s="6"/>
      <c r="E471" s="6"/>
      <c r="F471" s="6"/>
      <c r="G471" s="6"/>
      <c r="H471" s="6"/>
      <c r="I471" s="6"/>
      <c r="J471" s="6"/>
      <c r="K471" s="6"/>
      <c r="L471" s="6"/>
      <c r="M471" s="6"/>
      <c r="N471" s="6"/>
    </row>
    <row r="472">
      <c r="A472" s="6"/>
      <c r="B472" s="6"/>
      <c r="C472" s="6"/>
      <c r="D472" s="6"/>
      <c r="E472" s="6"/>
      <c r="F472" s="6"/>
      <c r="G472" s="6"/>
      <c r="H472" s="6"/>
      <c r="I472" s="6"/>
      <c r="J472" s="6"/>
      <c r="K472" s="6"/>
      <c r="L472" s="6"/>
      <c r="M472" s="6"/>
      <c r="N472" s="6"/>
    </row>
    <row r="473">
      <c r="A473" s="6"/>
      <c r="B473" s="6"/>
      <c r="C473" s="6"/>
      <c r="D473" s="6"/>
      <c r="E473" s="6"/>
      <c r="F473" s="6"/>
      <c r="G473" s="6"/>
      <c r="H473" s="6"/>
      <c r="I473" s="6"/>
      <c r="J473" s="6"/>
      <c r="K473" s="6"/>
      <c r="L473" s="6"/>
      <c r="M473" s="6"/>
      <c r="N473" s="6"/>
    </row>
    <row r="474">
      <c r="A474" s="6"/>
      <c r="B474" s="6"/>
      <c r="C474" s="6"/>
      <c r="D474" s="6"/>
      <c r="E474" s="6"/>
      <c r="F474" s="6"/>
      <c r="G474" s="6"/>
      <c r="H474" s="6"/>
      <c r="I474" s="6"/>
      <c r="J474" s="6"/>
      <c r="K474" s="6"/>
      <c r="L474" s="6"/>
      <c r="M474" s="6"/>
      <c r="N474" s="6"/>
    </row>
    <row r="475">
      <c r="A475" s="6"/>
      <c r="B475" s="6"/>
      <c r="C475" s="6"/>
      <c r="D475" s="6"/>
      <c r="E475" s="6"/>
      <c r="F475" s="6"/>
      <c r="G475" s="6"/>
      <c r="H475" s="6"/>
      <c r="I475" s="6"/>
      <c r="J475" s="6"/>
      <c r="K475" s="6"/>
      <c r="L475" s="6"/>
      <c r="M475" s="6"/>
      <c r="N475" s="6"/>
    </row>
    <row r="476">
      <c r="A476" s="6"/>
      <c r="B476" s="6"/>
      <c r="C476" s="6"/>
      <c r="D476" s="6"/>
      <c r="E476" s="6"/>
      <c r="F476" s="6"/>
      <c r="G476" s="6"/>
      <c r="H476" s="6"/>
      <c r="I476" s="6"/>
      <c r="J476" s="6"/>
      <c r="K476" s="6"/>
      <c r="L476" s="6"/>
      <c r="M476" s="6"/>
      <c r="N476" s="6"/>
    </row>
    <row r="477">
      <c r="A477" s="6"/>
      <c r="B477" s="6"/>
      <c r="C477" s="6"/>
      <c r="D477" s="6"/>
      <c r="E477" s="6"/>
      <c r="F477" s="6"/>
      <c r="G477" s="6"/>
      <c r="H477" s="6"/>
      <c r="I477" s="6"/>
      <c r="J477" s="6"/>
      <c r="K477" s="6"/>
      <c r="L477" s="6"/>
      <c r="M477" s="6"/>
      <c r="N477" s="6"/>
    </row>
    <row r="478">
      <c r="A478" s="6"/>
      <c r="B478" s="6"/>
      <c r="C478" s="6"/>
      <c r="D478" s="6"/>
      <c r="E478" s="6"/>
      <c r="F478" s="6"/>
      <c r="G478" s="6"/>
      <c r="H478" s="6"/>
      <c r="I478" s="6"/>
      <c r="J478" s="6"/>
      <c r="K478" s="6"/>
      <c r="L478" s="6"/>
      <c r="M478" s="6"/>
      <c r="N478" s="6"/>
    </row>
    <row r="479">
      <c r="A479" s="6"/>
      <c r="B479" s="6"/>
      <c r="C479" s="6"/>
      <c r="D479" s="6"/>
      <c r="E479" s="6"/>
      <c r="F479" s="6"/>
      <c r="G479" s="6"/>
      <c r="H479" s="6"/>
      <c r="I479" s="6"/>
      <c r="J479" s="6"/>
      <c r="K479" s="6"/>
      <c r="L479" s="6"/>
      <c r="M479" s="6"/>
      <c r="N479" s="6"/>
    </row>
    <row r="480">
      <c r="A480" s="6"/>
      <c r="B480" s="6"/>
      <c r="C480" s="6"/>
      <c r="D480" s="6"/>
      <c r="E480" s="6"/>
      <c r="F480" s="6"/>
      <c r="G480" s="6"/>
      <c r="H480" s="6"/>
      <c r="I480" s="6"/>
      <c r="J480" s="6"/>
      <c r="K480" s="6"/>
      <c r="L480" s="6"/>
      <c r="M480" s="6"/>
      <c r="N480" s="6"/>
    </row>
    <row r="481">
      <c r="A481" s="6"/>
      <c r="B481" s="6"/>
      <c r="C481" s="6"/>
      <c r="D481" s="6"/>
      <c r="E481" s="6"/>
      <c r="F481" s="6"/>
      <c r="G481" s="6"/>
      <c r="H481" s="6"/>
      <c r="I481" s="6"/>
      <c r="J481" s="6"/>
      <c r="K481" s="6"/>
      <c r="L481" s="6"/>
      <c r="M481" s="6"/>
      <c r="N481" s="6"/>
    </row>
    <row r="482">
      <c r="A482" s="6"/>
      <c r="B482" s="6"/>
      <c r="C482" s="6"/>
      <c r="D482" s="6"/>
      <c r="E482" s="6"/>
      <c r="F482" s="6"/>
      <c r="G482" s="6"/>
      <c r="H482" s="6"/>
      <c r="I482" s="6"/>
      <c r="J482" s="6"/>
      <c r="K482" s="6"/>
      <c r="L482" s="6"/>
      <c r="M482" s="6"/>
      <c r="N482" s="6"/>
    </row>
    <row r="483">
      <c r="A483" s="6"/>
      <c r="B483" s="6"/>
      <c r="C483" s="6"/>
      <c r="D483" s="6"/>
      <c r="E483" s="6"/>
      <c r="F483" s="6"/>
      <c r="G483" s="6"/>
      <c r="H483" s="6"/>
      <c r="I483" s="6"/>
      <c r="J483" s="6"/>
      <c r="K483" s="6"/>
      <c r="L483" s="6"/>
      <c r="M483" s="6"/>
      <c r="N483" s="6"/>
    </row>
    <row r="484">
      <c r="A484" s="6"/>
      <c r="B484" s="6"/>
      <c r="C484" s="6"/>
      <c r="D484" s="6"/>
      <c r="E484" s="6"/>
      <c r="F484" s="6"/>
      <c r="G484" s="6"/>
      <c r="H484" s="6"/>
      <c r="I484" s="6"/>
      <c r="J484" s="6"/>
      <c r="K484" s="6"/>
      <c r="L484" s="6"/>
      <c r="M484" s="6"/>
      <c r="N484" s="6"/>
    </row>
    <row r="485">
      <c r="A485" s="6"/>
      <c r="B485" s="6"/>
      <c r="C485" s="6"/>
      <c r="D485" s="6"/>
      <c r="E485" s="6"/>
      <c r="F485" s="6"/>
      <c r="G485" s="6"/>
      <c r="H485" s="6"/>
      <c r="I485" s="6"/>
      <c r="J485" s="6"/>
      <c r="K485" s="6"/>
      <c r="L485" s="6"/>
      <c r="M485" s="6"/>
      <c r="N485" s="6"/>
    </row>
    <row r="486">
      <c r="A486" s="6"/>
      <c r="B486" s="6"/>
      <c r="C486" s="6"/>
      <c r="D486" s="6"/>
      <c r="E486" s="6"/>
      <c r="F486" s="6"/>
      <c r="G486" s="6"/>
      <c r="H486" s="6"/>
      <c r="I486" s="6"/>
      <c r="J486" s="6"/>
      <c r="K486" s="6"/>
      <c r="L486" s="6"/>
      <c r="M486" s="6"/>
      <c r="N486" s="6"/>
    </row>
    <row r="487">
      <c r="A487" s="6"/>
      <c r="B487" s="6"/>
      <c r="C487" s="6"/>
      <c r="D487" s="6"/>
      <c r="E487" s="6"/>
      <c r="F487" s="6"/>
      <c r="G487" s="6"/>
      <c r="H487" s="6"/>
      <c r="I487" s="6"/>
      <c r="J487" s="6"/>
      <c r="K487" s="6"/>
      <c r="L487" s="6"/>
      <c r="M487" s="6"/>
      <c r="N487" s="6"/>
    </row>
    <row r="488">
      <c r="A488" s="6"/>
      <c r="B488" s="6"/>
      <c r="C488" s="6"/>
      <c r="D488" s="6"/>
      <c r="E488" s="6"/>
      <c r="F488" s="6"/>
      <c r="G488" s="6"/>
      <c r="H488" s="6"/>
      <c r="I488" s="6"/>
      <c r="J488" s="6"/>
      <c r="K488" s="6"/>
      <c r="L488" s="6"/>
      <c r="M488" s="6"/>
      <c r="N488" s="6"/>
    </row>
    <row r="489">
      <c r="A489" s="6"/>
      <c r="B489" s="6"/>
      <c r="C489" s="6"/>
      <c r="D489" s="6"/>
      <c r="E489" s="6"/>
      <c r="F489" s="6"/>
      <c r="G489" s="6"/>
      <c r="H489" s="6"/>
      <c r="I489" s="6"/>
      <c r="J489" s="6"/>
      <c r="K489" s="6"/>
      <c r="L489" s="6"/>
      <c r="M489" s="6"/>
      <c r="N489" s="6"/>
    </row>
    <row r="490">
      <c r="A490" s="6"/>
      <c r="B490" s="6"/>
      <c r="C490" s="6"/>
      <c r="D490" s="6"/>
      <c r="E490" s="6"/>
      <c r="F490" s="6"/>
      <c r="G490" s="6"/>
      <c r="H490" s="6"/>
      <c r="I490" s="6"/>
      <c r="J490" s="6"/>
      <c r="K490" s="6"/>
      <c r="L490" s="6"/>
      <c r="M490" s="6"/>
      <c r="N490" s="6"/>
    </row>
    <row r="491">
      <c r="A491" s="6"/>
      <c r="B491" s="6"/>
      <c r="C491" s="6"/>
      <c r="D491" s="6"/>
      <c r="E491" s="6"/>
      <c r="F491" s="6"/>
      <c r="G491" s="6"/>
      <c r="H491" s="6"/>
      <c r="I491" s="6"/>
      <c r="J491" s="6"/>
      <c r="K491" s="6"/>
      <c r="L491" s="6"/>
      <c r="M491" s="6"/>
      <c r="N491" s="6"/>
    </row>
    <row r="492">
      <c r="A492" s="6"/>
      <c r="B492" s="6"/>
      <c r="C492" s="6"/>
      <c r="D492" s="6"/>
      <c r="E492" s="6"/>
      <c r="F492" s="6"/>
      <c r="G492" s="6"/>
      <c r="H492" s="6"/>
      <c r="I492" s="6"/>
      <c r="J492" s="6"/>
      <c r="K492" s="6"/>
      <c r="L492" s="6"/>
      <c r="M492" s="6"/>
      <c r="N492" s="6"/>
    </row>
    <row r="493">
      <c r="A493" s="6"/>
      <c r="B493" s="6"/>
      <c r="C493" s="6"/>
      <c r="D493" s="6"/>
      <c r="E493" s="6"/>
      <c r="F493" s="6"/>
      <c r="G493" s="6"/>
      <c r="H493" s="6"/>
      <c r="I493" s="6"/>
      <c r="J493" s="6"/>
      <c r="K493" s="6"/>
      <c r="L493" s="6"/>
      <c r="M493" s="6"/>
      <c r="N493" s="6"/>
    </row>
    <row r="494">
      <c r="A494" s="6"/>
      <c r="B494" s="6"/>
      <c r="C494" s="6"/>
      <c r="D494" s="6"/>
      <c r="E494" s="6"/>
      <c r="F494" s="6"/>
      <c r="G494" s="6"/>
      <c r="H494" s="6"/>
      <c r="I494" s="6"/>
      <c r="J494" s="6"/>
      <c r="K494" s="6"/>
      <c r="L494" s="6"/>
      <c r="M494" s="6"/>
      <c r="N494" s="6"/>
    </row>
    <row r="495">
      <c r="A495" s="6"/>
      <c r="B495" s="6"/>
      <c r="C495" s="6"/>
      <c r="D495" s="6"/>
      <c r="E495" s="6"/>
      <c r="F495" s="6"/>
      <c r="G495" s="6"/>
      <c r="H495" s="6"/>
      <c r="I495" s="6"/>
      <c r="J495" s="6"/>
      <c r="K495" s="6"/>
      <c r="L495" s="6"/>
      <c r="M495" s="6"/>
      <c r="N495" s="6"/>
    </row>
    <row r="496">
      <c r="A496" s="6"/>
      <c r="B496" s="6"/>
      <c r="C496" s="6"/>
      <c r="D496" s="6"/>
      <c r="E496" s="6"/>
      <c r="F496" s="6"/>
      <c r="G496" s="6"/>
      <c r="H496" s="6"/>
      <c r="I496" s="6"/>
      <c r="J496" s="6"/>
      <c r="K496" s="6"/>
      <c r="L496" s="6"/>
      <c r="M496" s="6"/>
      <c r="N496" s="6"/>
    </row>
    <row r="497">
      <c r="A497" s="6"/>
      <c r="B497" s="6"/>
      <c r="C497" s="6"/>
      <c r="D497" s="6"/>
      <c r="E497" s="6"/>
      <c r="F497" s="6"/>
      <c r="G497" s="6"/>
      <c r="H497" s="6"/>
      <c r="I497" s="6"/>
      <c r="J497" s="6"/>
      <c r="K497" s="6"/>
      <c r="L497" s="6"/>
      <c r="M497" s="6"/>
      <c r="N497" s="6"/>
    </row>
    <row r="498">
      <c r="A498" s="6"/>
      <c r="B498" s="6"/>
      <c r="C498" s="6"/>
      <c r="D498" s="6"/>
      <c r="E498" s="6"/>
      <c r="F498" s="6"/>
      <c r="G498" s="6"/>
      <c r="H498" s="6"/>
      <c r="I498" s="6"/>
      <c r="J498" s="6"/>
      <c r="K498" s="6"/>
      <c r="L498" s="6"/>
      <c r="M498" s="6"/>
      <c r="N498" s="6"/>
    </row>
    <row r="499">
      <c r="A499" s="6"/>
      <c r="B499" s="6"/>
      <c r="C499" s="6"/>
      <c r="D499" s="6"/>
      <c r="E499" s="6"/>
      <c r="F499" s="6"/>
      <c r="G499" s="6"/>
      <c r="H499" s="6"/>
      <c r="I499" s="6"/>
      <c r="J499" s="6"/>
      <c r="K499" s="6"/>
      <c r="L499" s="6"/>
      <c r="M499" s="6"/>
      <c r="N499" s="6"/>
    </row>
    <row r="500">
      <c r="A500" s="6"/>
      <c r="B500" s="6"/>
      <c r="C500" s="6"/>
      <c r="D500" s="6"/>
      <c r="E500" s="6"/>
      <c r="F500" s="6"/>
      <c r="G500" s="6"/>
      <c r="H500" s="6"/>
      <c r="I500" s="6"/>
      <c r="J500" s="6"/>
      <c r="K500" s="6"/>
      <c r="L500" s="6"/>
      <c r="M500" s="6"/>
      <c r="N500" s="6"/>
    </row>
    <row r="501">
      <c r="A501" s="6"/>
      <c r="B501" s="6"/>
      <c r="C501" s="6"/>
      <c r="D501" s="6"/>
      <c r="E501" s="6"/>
      <c r="F501" s="6"/>
      <c r="G501" s="6"/>
      <c r="H501" s="6"/>
      <c r="I501" s="6"/>
      <c r="J501" s="6"/>
      <c r="K501" s="6"/>
      <c r="L501" s="6"/>
      <c r="M501" s="6"/>
      <c r="N501" s="6"/>
    </row>
    <row r="502">
      <c r="A502" s="6"/>
      <c r="B502" s="6"/>
      <c r="C502" s="6"/>
      <c r="D502" s="6"/>
      <c r="E502" s="6"/>
      <c r="F502" s="6"/>
      <c r="G502" s="6"/>
      <c r="H502" s="6"/>
      <c r="I502" s="6"/>
      <c r="J502" s="6"/>
      <c r="K502" s="6"/>
      <c r="L502" s="6"/>
      <c r="M502" s="6"/>
      <c r="N502" s="6"/>
    </row>
    <row r="503">
      <c r="A503" s="6"/>
      <c r="B503" s="6"/>
      <c r="C503" s="6"/>
      <c r="D503" s="6"/>
      <c r="E503" s="6"/>
      <c r="F503" s="6"/>
      <c r="G503" s="6"/>
      <c r="H503" s="6"/>
      <c r="I503" s="6"/>
      <c r="J503" s="6"/>
      <c r="K503" s="6"/>
      <c r="L503" s="6"/>
      <c r="M503" s="6"/>
      <c r="N503" s="6"/>
    </row>
    <row r="504">
      <c r="A504" s="6"/>
      <c r="B504" s="6"/>
      <c r="C504" s="6"/>
      <c r="D504" s="6"/>
      <c r="E504" s="6"/>
      <c r="F504" s="6"/>
      <c r="G504" s="6"/>
      <c r="H504" s="6"/>
      <c r="I504" s="6"/>
      <c r="J504" s="6"/>
      <c r="K504" s="6"/>
      <c r="L504" s="6"/>
      <c r="M504" s="6"/>
      <c r="N504" s="6"/>
    </row>
    <row r="505">
      <c r="A505" s="6"/>
      <c r="B505" s="6"/>
      <c r="C505" s="6"/>
      <c r="D505" s="6"/>
      <c r="E505" s="6"/>
      <c r="F505" s="6"/>
      <c r="G505" s="6"/>
      <c r="H505" s="6"/>
      <c r="I505" s="6"/>
      <c r="J505" s="6"/>
      <c r="K505" s="6"/>
      <c r="L505" s="6"/>
      <c r="M505" s="6"/>
      <c r="N505" s="6"/>
    </row>
    <row r="506">
      <c r="A506" s="6"/>
      <c r="B506" s="6"/>
      <c r="C506" s="6"/>
      <c r="D506" s="6"/>
      <c r="E506" s="6"/>
      <c r="F506" s="6"/>
      <c r="G506" s="6"/>
      <c r="H506" s="6"/>
      <c r="I506" s="6"/>
      <c r="J506" s="6"/>
      <c r="K506" s="6"/>
      <c r="L506" s="6"/>
      <c r="M506" s="6"/>
      <c r="N506" s="6"/>
    </row>
    <row r="507">
      <c r="A507" s="6"/>
      <c r="B507" s="6"/>
      <c r="C507" s="6"/>
      <c r="D507" s="6"/>
      <c r="E507" s="6"/>
      <c r="F507" s="6"/>
      <c r="G507" s="6"/>
      <c r="H507" s="6"/>
      <c r="I507" s="6"/>
      <c r="J507" s="6"/>
      <c r="K507" s="6"/>
      <c r="L507" s="6"/>
      <c r="M507" s="6"/>
      <c r="N507" s="6"/>
    </row>
    <row r="508">
      <c r="A508" s="6"/>
      <c r="B508" s="6"/>
      <c r="C508" s="6"/>
      <c r="D508" s="6"/>
      <c r="E508" s="6"/>
      <c r="F508" s="6"/>
      <c r="G508" s="6"/>
      <c r="H508" s="6"/>
      <c r="I508" s="6"/>
      <c r="J508" s="6"/>
      <c r="K508" s="6"/>
      <c r="L508" s="6"/>
      <c r="M508" s="6"/>
      <c r="N508" s="6"/>
    </row>
    <row r="509">
      <c r="A509" s="6"/>
      <c r="B509" s="6"/>
      <c r="C509" s="6"/>
      <c r="D509" s="6"/>
      <c r="E509" s="6"/>
      <c r="F509" s="6"/>
      <c r="G509" s="6"/>
      <c r="H509" s="6"/>
      <c r="I509" s="6"/>
      <c r="J509" s="6"/>
      <c r="K509" s="6"/>
      <c r="L509" s="6"/>
      <c r="M509" s="6"/>
      <c r="N509" s="6"/>
    </row>
    <row r="510">
      <c r="A510" s="6"/>
      <c r="B510" s="6"/>
      <c r="C510" s="6"/>
      <c r="D510" s="6"/>
      <c r="E510" s="6"/>
      <c r="F510" s="6"/>
      <c r="G510" s="6"/>
      <c r="H510" s="6"/>
      <c r="I510" s="6"/>
      <c r="J510" s="6"/>
      <c r="K510" s="6"/>
      <c r="L510" s="6"/>
      <c r="M510" s="6"/>
      <c r="N510" s="6"/>
    </row>
    <row r="511">
      <c r="A511" s="6"/>
      <c r="B511" s="6"/>
      <c r="C511" s="6"/>
      <c r="D511" s="6"/>
      <c r="E511" s="6"/>
      <c r="F511" s="6"/>
      <c r="G511" s="6"/>
      <c r="H511" s="6"/>
      <c r="I511" s="6"/>
      <c r="J511" s="6"/>
      <c r="K511" s="6"/>
      <c r="L511" s="6"/>
      <c r="M511" s="6"/>
      <c r="N511" s="6"/>
    </row>
    <row r="512">
      <c r="A512" s="6"/>
      <c r="B512" s="6"/>
      <c r="C512" s="6"/>
      <c r="D512" s="6"/>
      <c r="E512" s="6"/>
      <c r="F512" s="6"/>
      <c r="G512" s="6"/>
      <c r="H512" s="6"/>
      <c r="I512" s="6"/>
      <c r="J512" s="6"/>
      <c r="K512" s="6"/>
      <c r="L512" s="6"/>
      <c r="M512" s="6"/>
      <c r="N512" s="6"/>
    </row>
    <row r="513">
      <c r="A513" s="6"/>
      <c r="B513" s="6"/>
      <c r="C513" s="6"/>
      <c r="D513" s="6"/>
      <c r="E513" s="6"/>
      <c r="F513" s="6"/>
      <c r="G513" s="6"/>
      <c r="H513" s="6"/>
      <c r="I513" s="6"/>
      <c r="J513" s="6"/>
      <c r="K513" s="6"/>
      <c r="L513" s="6"/>
      <c r="M513" s="6"/>
      <c r="N513" s="6"/>
    </row>
    <row r="514">
      <c r="A514" s="6"/>
      <c r="B514" s="6"/>
      <c r="C514" s="6"/>
      <c r="D514" s="6"/>
      <c r="E514" s="6"/>
      <c r="F514" s="6"/>
      <c r="G514" s="6"/>
      <c r="H514" s="6"/>
      <c r="I514" s="6"/>
      <c r="J514" s="6"/>
      <c r="K514" s="6"/>
      <c r="L514" s="6"/>
      <c r="M514" s="6"/>
      <c r="N514" s="6"/>
    </row>
    <row r="515">
      <c r="A515" s="6"/>
      <c r="B515" s="6"/>
      <c r="C515" s="6"/>
      <c r="D515" s="6"/>
      <c r="E515" s="6"/>
      <c r="F515" s="6"/>
      <c r="G515" s="6"/>
      <c r="H515" s="6"/>
      <c r="I515" s="6"/>
      <c r="J515" s="6"/>
      <c r="K515" s="6"/>
      <c r="L515" s="6"/>
      <c r="M515" s="6"/>
      <c r="N515" s="6"/>
    </row>
    <row r="516">
      <c r="A516" s="6"/>
      <c r="B516" s="6"/>
      <c r="C516" s="6"/>
      <c r="D516" s="6"/>
      <c r="E516" s="6"/>
      <c r="F516" s="6"/>
      <c r="G516" s="6"/>
      <c r="H516" s="6"/>
      <c r="I516" s="6"/>
      <c r="J516" s="6"/>
      <c r="K516" s="6"/>
      <c r="L516" s="6"/>
      <c r="M516" s="6"/>
      <c r="N516" s="6"/>
    </row>
    <row r="517">
      <c r="A517" s="6"/>
      <c r="B517" s="6"/>
      <c r="C517" s="6"/>
      <c r="D517" s="6"/>
      <c r="E517" s="6"/>
      <c r="F517" s="6"/>
      <c r="G517" s="6"/>
      <c r="H517" s="6"/>
      <c r="I517" s="6"/>
      <c r="J517" s="6"/>
      <c r="K517" s="6"/>
      <c r="L517" s="6"/>
      <c r="M517" s="6"/>
      <c r="N517" s="6"/>
    </row>
    <row r="518">
      <c r="A518" s="6"/>
      <c r="B518" s="6"/>
      <c r="C518" s="6"/>
      <c r="D518" s="6"/>
      <c r="E518" s="6"/>
      <c r="F518" s="6"/>
      <c r="G518" s="6"/>
      <c r="H518" s="6"/>
      <c r="I518" s="6"/>
      <c r="J518" s="6"/>
      <c r="K518" s="6"/>
      <c r="L518" s="6"/>
      <c r="M518" s="6"/>
      <c r="N518" s="6"/>
    </row>
    <row r="519">
      <c r="A519" s="6"/>
      <c r="B519" s="6"/>
      <c r="C519" s="6"/>
      <c r="D519" s="6"/>
      <c r="E519" s="6"/>
      <c r="F519" s="6"/>
      <c r="G519" s="6"/>
      <c r="H519" s="6"/>
      <c r="I519" s="6"/>
      <c r="J519" s="6"/>
      <c r="K519" s="6"/>
      <c r="L519" s="6"/>
      <c r="M519" s="6"/>
      <c r="N519" s="6"/>
    </row>
    <row r="520">
      <c r="A520" s="6"/>
      <c r="B520" s="6"/>
      <c r="C520" s="6"/>
      <c r="D520" s="6"/>
      <c r="E520" s="6"/>
      <c r="F520" s="6"/>
      <c r="G520" s="6"/>
      <c r="H520" s="6"/>
      <c r="I520" s="6"/>
      <c r="J520" s="6"/>
      <c r="K520" s="6"/>
      <c r="L520" s="6"/>
      <c r="M520" s="6"/>
      <c r="N520" s="6"/>
    </row>
    <row r="521">
      <c r="A521" s="6"/>
      <c r="B521" s="6"/>
      <c r="C521" s="6"/>
      <c r="D521" s="6"/>
      <c r="E521" s="6"/>
      <c r="F521" s="6"/>
      <c r="G521" s="6"/>
      <c r="H521" s="6"/>
      <c r="I521" s="6"/>
      <c r="J521" s="6"/>
      <c r="K521" s="6"/>
      <c r="L521" s="6"/>
      <c r="M521" s="6"/>
      <c r="N521" s="6"/>
    </row>
    <row r="522">
      <c r="A522" s="6"/>
      <c r="B522" s="6"/>
      <c r="C522" s="6"/>
      <c r="D522" s="6"/>
      <c r="E522" s="6"/>
      <c r="F522" s="6"/>
      <c r="G522" s="6"/>
      <c r="H522" s="6"/>
      <c r="I522" s="6"/>
      <c r="J522" s="6"/>
      <c r="K522" s="6"/>
      <c r="L522" s="6"/>
      <c r="M522" s="6"/>
      <c r="N522" s="6"/>
    </row>
    <row r="523">
      <c r="A523" s="6"/>
      <c r="B523" s="6"/>
      <c r="C523" s="6"/>
      <c r="D523" s="6"/>
      <c r="E523" s="6"/>
      <c r="F523" s="6"/>
      <c r="G523" s="6"/>
      <c r="H523" s="6"/>
      <c r="I523" s="6"/>
      <c r="J523" s="6"/>
      <c r="K523" s="6"/>
      <c r="L523" s="6"/>
      <c r="M523" s="6"/>
      <c r="N523" s="6"/>
    </row>
    <row r="524">
      <c r="A524" s="6"/>
      <c r="B524" s="6"/>
      <c r="C524" s="6"/>
      <c r="D524" s="6"/>
      <c r="E524" s="6"/>
      <c r="F524" s="6"/>
      <c r="G524" s="6"/>
      <c r="H524" s="6"/>
      <c r="I524" s="6"/>
      <c r="J524" s="6"/>
      <c r="K524" s="6"/>
      <c r="L524" s="6"/>
      <c r="M524" s="6"/>
      <c r="N524" s="6"/>
    </row>
    <row r="525">
      <c r="A525" s="6"/>
      <c r="B525" s="6"/>
      <c r="C525" s="6"/>
      <c r="D525" s="6"/>
      <c r="E525" s="6"/>
      <c r="F525" s="6"/>
      <c r="G525" s="6"/>
      <c r="H525" s="6"/>
      <c r="I525" s="6"/>
      <c r="J525" s="6"/>
      <c r="K525" s="6"/>
      <c r="L525" s="6"/>
      <c r="M525" s="6"/>
      <c r="N525" s="6"/>
    </row>
    <row r="526">
      <c r="A526" s="6"/>
      <c r="B526" s="6"/>
      <c r="C526" s="6"/>
      <c r="D526" s="6"/>
      <c r="E526" s="6"/>
      <c r="F526" s="6"/>
      <c r="G526" s="6"/>
      <c r="H526" s="6"/>
      <c r="I526" s="6"/>
      <c r="J526" s="6"/>
      <c r="K526" s="6"/>
      <c r="L526" s="6"/>
      <c r="M526" s="6"/>
      <c r="N526" s="6"/>
    </row>
    <row r="527">
      <c r="A527" s="6"/>
      <c r="B527" s="6"/>
      <c r="C527" s="6"/>
      <c r="D527" s="6"/>
      <c r="E527" s="6"/>
      <c r="F527" s="6"/>
      <c r="G527" s="6"/>
      <c r="H527" s="6"/>
      <c r="I527" s="6"/>
      <c r="J527" s="6"/>
      <c r="K527" s="6"/>
      <c r="L527" s="6"/>
      <c r="M527" s="6"/>
      <c r="N527" s="6"/>
    </row>
    <row r="528">
      <c r="A528" s="6"/>
      <c r="B528" s="6"/>
      <c r="C528" s="6"/>
      <c r="D528" s="6"/>
      <c r="E528" s="6"/>
      <c r="F528" s="6"/>
      <c r="G528" s="6"/>
      <c r="H528" s="6"/>
      <c r="I528" s="6"/>
      <c r="J528" s="6"/>
      <c r="K528" s="6"/>
      <c r="L528" s="6"/>
      <c r="M528" s="6"/>
      <c r="N528" s="6"/>
    </row>
    <row r="529">
      <c r="A529" s="6"/>
      <c r="B529" s="6"/>
      <c r="C529" s="6"/>
      <c r="D529" s="6"/>
      <c r="E529" s="6"/>
      <c r="F529" s="6"/>
      <c r="G529" s="6"/>
      <c r="H529" s="6"/>
      <c r="I529" s="6"/>
      <c r="J529" s="6"/>
      <c r="K529" s="6"/>
      <c r="L529" s="6"/>
      <c r="M529" s="6"/>
      <c r="N529" s="6"/>
    </row>
    <row r="530">
      <c r="A530" s="6"/>
      <c r="B530" s="6"/>
      <c r="C530" s="6"/>
      <c r="D530" s="6"/>
      <c r="E530" s="6"/>
      <c r="F530" s="6"/>
      <c r="G530" s="6"/>
      <c r="H530" s="6"/>
      <c r="I530" s="6"/>
      <c r="J530" s="6"/>
      <c r="K530" s="6"/>
      <c r="L530" s="6"/>
      <c r="M530" s="6"/>
      <c r="N530" s="6"/>
    </row>
    <row r="531">
      <c r="A531" s="6"/>
      <c r="B531" s="6"/>
      <c r="C531" s="6"/>
      <c r="D531" s="6"/>
      <c r="E531" s="6"/>
      <c r="F531" s="6"/>
      <c r="G531" s="6"/>
      <c r="H531" s="6"/>
      <c r="I531" s="6"/>
      <c r="J531" s="6"/>
      <c r="K531" s="6"/>
      <c r="L531" s="6"/>
      <c r="M531" s="6"/>
      <c r="N531" s="6"/>
    </row>
    <row r="532">
      <c r="A532" s="6"/>
      <c r="B532" s="6"/>
      <c r="C532" s="6"/>
      <c r="D532" s="6"/>
      <c r="E532" s="6"/>
      <c r="F532" s="6"/>
      <c r="G532" s="6"/>
      <c r="H532" s="6"/>
      <c r="I532" s="6"/>
      <c r="J532" s="6"/>
      <c r="K532" s="6"/>
      <c r="L532" s="6"/>
      <c r="M532" s="6"/>
      <c r="N532" s="6"/>
    </row>
    <row r="533">
      <c r="A533" s="6"/>
      <c r="B533" s="6"/>
      <c r="C533" s="6"/>
      <c r="D533" s="6"/>
      <c r="E533" s="6"/>
      <c r="F533" s="6"/>
      <c r="G533" s="6"/>
      <c r="H533" s="6"/>
      <c r="I533" s="6"/>
      <c r="J533" s="6"/>
      <c r="K533" s="6"/>
      <c r="L533" s="6"/>
      <c r="M533" s="6"/>
      <c r="N533" s="6"/>
    </row>
    <row r="534">
      <c r="A534" s="6"/>
      <c r="B534" s="6"/>
      <c r="C534" s="6"/>
      <c r="D534" s="6"/>
      <c r="E534" s="6"/>
      <c r="F534" s="6"/>
      <c r="G534" s="6"/>
      <c r="H534" s="6"/>
      <c r="I534" s="6"/>
      <c r="J534" s="6"/>
      <c r="K534" s="6"/>
      <c r="L534" s="6"/>
      <c r="M534" s="6"/>
      <c r="N534" s="6"/>
    </row>
    <row r="535">
      <c r="A535" s="6"/>
      <c r="B535" s="6"/>
      <c r="C535" s="6"/>
      <c r="D535" s="6"/>
      <c r="E535" s="6"/>
      <c r="F535" s="6"/>
      <c r="G535" s="6"/>
      <c r="H535" s="6"/>
      <c r="I535" s="6"/>
      <c r="J535" s="6"/>
      <c r="K535" s="6"/>
      <c r="L535" s="6"/>
      <c r="M535" s="6"/>
      <c r="N535" s="6"/>
    </row>
    <row r="536">
      <c r="A536" s="6"/>
      <c r="B536" s="6"/>
      <c r="C536" s="6"/>
      <c r="D536" s="6"/>
      <c r="E536" s="6"/>
      <c r="F536" s="6"/>
      <c r="G536" s="6"/>
      <c r="H536" s="6"/>
      <c r="I536" s="6"/>
      <c r="J536" s="6"/>
      <c r="K536" s="6"/>
      <c r="L536" s="6"/>
      <c r="M536" s="6"/>
      <c r="N536" s="6"/>
    </row>
    <row r="537">
      <c r="A537" s="6"/>
      <c r="B537" s="6"/>
      <c r="C537" s="6"/>
      <c r="D537" s="6"/>
      <c r="E537" s="6"/>
      <c r="F537" s="6"/>
      <c r="G537" s="6"/>
      <c r="H537" s="6"/>
      <c r="I537" s="6"/>
      <c r="J537" s="6"/>
      <c r="K537" s="6"/>
      <c r="L537" s="6"/>
      <c r="M537" s="6"/>
      <c r="N537" s="6"/>
    </row>
    <row r="538">
      <c r="A538" s="6"/>
      <c r="B538" s="6"/>
      <c r="C538" s="6"/>
      <c r="D538" s="6"/>
      <c r="E538" s="6"/>
      <c r="F538" s="6"/>
      <c r="G538" s="6"/>
      <c r="H538" s="6"/>
      <c r="I538" s="6"/>
      <c r="J538" s="6"/>
      <c r="K538" s="6"/>
      <c r="L538" s="6"/>
      <c r="M538" s="6"/>
      <c r="N538" s="6"/>
    </row>
    <row r="539">
      <c r="A539" s="6"/>
      <c r="B539" s="6"/>
      <c r="C539" s="6"/>
      <c r="D539" s="6"/>
      <c r="E539" s="6"/>
      <c r="F539" s="6"/>
      <c r="G539" s="6"/>
      <c r="H539" s="6"/>
      <c r="I539" s="6"/>
      <c r="J539" s="6"/>
      <c r="K539" s="6"/>
      <c r="L539" s="6"/>
      <c r="M539" s="6"/>
      <c r="N539" s="6"/>
    </row>
    <row r="540">
      <c r="A540" s="6"/>
      <c r="B540" s="6"/>
      <c r="C540" s="6"/>
      <c r="D540" s="6"/>
      <c r="E540" s="6"/>
      <c r="F540" s="6"/>
      <c r="G540" s="6"/>
      <c r="H540" s="6"/>
      <c r="I540" s="6"/>
      <c r="J540" s="6"/>
      <c r="K540" s="6"/>
      <c r="L540" s="6"/>
      <c r="M540" s="6"/>
      <c r="N540" s="6"/>
    </row>
    <row r="541">
      <c r="A541" s="6"/>
      <c r="B541" s="6"/>
      <c r="C541" s="6"/>
      <c r="D541" s="6"/>
      <c r="E541" s="6"/>
      <c r="F541" s="6"/>
      <c r="G541" s="6"/>
      <c r="H541" s="6"/>
      <c r="I541" s="6"/>
      <c r="J541" s="6"/>
      <c r="K541" s="6"/>
      <c r="L541" s="6"/>
      <c r="M541" s="6"/>
      <c r="N541" s="6"/>
    </row>
    <row r="542">
      <c r="A542" s="6"/>
      <c r="B542" s="6"/>
      <c r="C542" s="6"/>
      <c r="D542" s="6"/>
      <c r="E542" s="6"/>
      <c r="F542" s="6"/>
      <c r="G542" s="6"/>
      <c r="H542" s="6"/>
      <c r="I542" s="6"/>
      <c r="J542" s="6"/>
      <c r="K542" s="6"/>
      <c r="L542" s="6"/>
      <c r="M542" s="6"/>
      <c r="N542" s="6"/>
    </row>
    <row r="543">
      <c r="A543" s="6"/>
      <c r="B543" s="6"/>
      <c r="C543" s="6"/>
      <c r="D543" s="6"/>
      <c r="E543" s="6"/>
      <c r="F543" s="6"/>
      <c r="G543" s="6"/>
      <c r="H543" s="6"/>
      <c r="I543" s="6"/>
      <c r="J543" s="6"/>
      <c r="K543" s="6"/>
      <c r="L543" s="6"/>
      <c r="M543" s="6"/>
      <c r="N543" s="6"/>
    </row>
    <row r="544">
      <c r="A544" s="6"/>
      <c r="B544" s="6"/>
      <c r="C544" s="6"/>
      <c r="D544" s="6"/>
      <c r="E544" s="6"/>
      <c r="F544" s="6"/>
      <c r="G544" s="6"/>
      <c r="H544" s="6"/>
      <c r="I544" s="6"/>
      <c r="J544" s="6"/>
      <c r="K544" s="6"/>
      <c r="L544" s="6"/>
      <c r="M544" s="6"/>
      <c r="N544" s="6"/>
    </row>
    <row r="545">
      <c r="A545" s="6"/>
      <c r="B545" s="6"/>
      <c r="C545" s="6"/>
      <c r="D545" s="6"/>
      <c r="E545" s="6"/>
      <c r="F545" s="6"/>
      <c r="G545" s="6"/>
      <c r="H545" s="6"/>
      <c r="I545" s="6"/>
      <c r="J545" s="6"/>
      <c r="K545" s="6"/>
      <c r="L545" s="6"/>
      <c r="M545" s="6"/>
      <c r="N545" s="6"/>
    </row>
    <row r="546">
      <c r="A546" s="6"/>
      <c r="B546" s="6"/>
      <c r="C546" s="6"/>
      <c r="D546" s="6"/>
      <c r="E546" s="6"/>
      <c r="F546" s="6"/>
      <c r="G546" s="6"/>
      <c r="H546" s="6"/>
      <c r="I546" s="6"/>
      <c r="J546" s="6"/>
      <c r="K546" s="6"/>
      <c r="L546" s="6"/>
      <c r="M546" s="6"/>
      <c r="N546" s="6"/>
    </row>
    <row r="547">
      <c r="A547" s="6"/>
      <c r="B547" s="6"/>
      <c r="C547" s="6"/>
      <c r="D547" s="6"/>
      <c r="E547" s="6"/>
      <c r="F547" s="6"/>
      <c r="G547" s="6"/>
      <c r="H547" s="6"/>
      <c r="I547" s="6"/>
      <c r="J547" s="6"/>
      <c r="K547" s="6"/>
      <c r="L547" s="6"/>
      <c r="M547" s="6"/>
      <c r="N547" s="6"/>
    </row>
    <row r="548">
      <c r="A548" s="6"/>
      <c r="B548" s="6"/>
      <c r="C548" s="6"/>
      <c r="D548" s="6"/>
      <c r="E548" s="6"/>
      <c r="F548" s="6"/>
      <c r="G548" s="6"/>
      <c r="H548" s="6"/>
      <c r="I548" s="6"/>
      <c r="J548" s="6"/>
      <c r="K548" s="6"/>
      <c r="L548" s="6"/>
      <c r="M548" s="6"/>
      <c r="N548" s="6"/>
    </row>
    <row r="549">
      <c r="A549" s="6"/>
      <c r="B549" s="6"/>
      <c r="C549" s="6"/>
      <c r="D549" s="6"/>
      <c r="E549" s="6"/>
      <c r="F549" s="6"/>
      <c r="G549" s="6"/>
      <c r="H549" s="6"/>
      <c r="I549" s="6"/>
      <c r="J549" s="6"/>
      <c r="K549" s="6"/>
      <c r="L549" s="6"/>
      <c r="M549" s="6"/>
      <c r="N549" s="6"/>
    </row>
    <row r="550">
      <c r="A550" s="6"/>
      <c r="B550" s="6"/>
      <c r="C550" s="6"/>
      <c r="D550" s="6"/>
      <c r="E550" s="6"/>
      <c r="F550" s="6"/>
      <c r="G550" s="6"/>
      <c r="H550" s="6"/>
      <c r="I550" s="6"/>
      <c r="J550" s="6"/>
      <c r="K550" s="6"/>
      <c r="L550" s="6"/>
      <c r="M550" s="6"/>
      <c r="N550" s="6"/>
    </row>
    <row r="551">
      <c r="A551" s="6"/>
      <c r="B551" s="6"/>
      <c r="C551" s="6"/>
      <c r="D551" s="6"/>
      <c r="E551" s="6"/>
      <c r="F551" s="6"/>
      <c r="G551" s="6"/>
      <c r="H551" s="6"/>
      <c r="I551" s="6"/>
      <c r="J551" s="6"/>
      <c r="K551" s="6"/>
      <c r="L551" s="6"/>
      <c r="M551" s="6"/>
      <c r="N551" s="6"/>
    </row>
    <row r="552">
      <c r="A552" s="6"/>
      <c r="B552" s="6"/>
      <c r="C552" s="6"/>
      <c r="D552" s="6"/>
      <c r="E552" s="6"/>
      <c r="F552" s="6"/>
      <c r="G552" s="6"/>
      <c r="H552" s="6"/>
      <c r="I552" s="6"/>
      <c r="J552" s="6"/>
      <c r="K552" s="6"/>
      <c r="L552" s="6"/>
      <c r="M552" s="6"/>
      <c r="N552" s="6"/>
    </row>
    <row r="553">
      <c r="A553" s="6"/>
      <c r="B553" s="6"/>
      <c r="C553" s="6"/>
      <c r="D553" s="6"/>
      <c r="E553" s="6"/>
      <c r="F553" s="6"/>
      <c r="G553" s="6"/>
      <c r="H553" s="6"/>
      <c r="I553" s="6"/>
      <c r="J553" s="6"/>
      <c r="K553" s="6"/>
      <c r="L553" s="6"/>
      <c r="M553" s="6"/>
      <c r="N553" s="6"/>
    </row>
    <row r="554">
      <c r="A554" s="6"/>
      <c r="B554" s="6"/>
      <c r="C554" s="6"/>
      <c r="D554" s="6"/>
      <c r="E554" s="6"/>
      <c r="F554" s="6"/>
      <c r="G554" s="6"/>
      <c r="H554" s="6"/>
      <c r="I554" s="6"/>
      <c r="J554" s="6"/>
      <c r="K554" s="6"/>
      <c r="L554" s="6"/>
      <c r="M554" s="6"/>
      <c r="N554" s="6"/>
    </row>
    <row r="555">
      <c r="A555" s="6"/>
      <c r="B555" s="6"/>
      <c r="C555" s="6"/>
      <c r="D555" s="6"/>
      <c r="E555" s="6"/>
      <c r="F555" s="6"/>
      <c r="G555" s="6"/>
      <c r="H555" s="6"/>
      <c r="I555" s="6"/>
      <c r="J555" s="6"/>
      <c r="K555" s="6"/>
      <c r="L555" s="6"/>
      <c r="M555" s="6"/>
      <c r="N555" s="6"/>
    </row>
    <row r="556">
      <c r="A556" s="6"/>
      <c r="B556" s="6"/>
      <c r="C556" s="6"/>
      <c r="D556" s="6"/>
      <c r="E556" s="6"/>
      <c r="F556" s="6"/>
      <c r="G556" s="6"/>
      <c r="H556" s="6"/>
      <c r="I556" s="6"/>
      <c r="J556" s="6"/>
      <c r="K556" s="6"/>
      <c r="L556" s="6"/>
      <c r="M556" s="6"/>
      <c r="N556" s="6"/>
    </row>
    <row r="557">
      <c r="A557" s="6"/>
      <c r="B557" s="6"/>
      <c r="C557" s="6"/>
      <c r="D557" s="6"/>
      <c r="E557" s="6"/>
      <c r="F557" s="6"/>
      <c r="G557" s="6"/>
      <c r="H557" s="6"/>
      <c r="I557" s="6"/>
      <c r="J557" s="6"/>
      <c r="K557" s="6"/>
      <c r="L557" s="6"/>
      <c r="M557" s="6"/>
      <c r="N557" s="6"/>
    </row>
    <row r="558">
      <c r="A558" s="6"/>
      <c r="B558" s="6"/>
      <c r="C558" s="6"/>
      <c r="D558" s="6"/>
      <c r="E558" s="6"/>
      <c r="F558" s="6"/>
      <c r="G558" s="6"/>
      <c r="H558" s="6"/>
      <c r="I558" s="6"/>
      <c r="J558" s="6"/>
      <c r="K558" s="6"/>
      <c r="L558" s="6"/>
      <c r="M558" s="6"/>
      <c r="N558" s="6"/>
    </row>
    <row r="559">
      <c r="A559" s="6"/>
      <c r="B559" s="6"/>
      <c r="C559" s="6"/>
      <c r="D559" s="6"/>
      <c r="E559" s="6"/>
      <c r="F559" s="6"/>
      <c r="G559" s="6"/>
      <c r="H559" s="6"/>
      <c r="I559" s="6"/>
      <c r="J559" s="6"/>
      <c r="K559" s="6"/>
      <c r="L559" s="6"/>
      <c r="M559" s="6"/>
      <c r="N559" s="6"/>
    </row>
    <row r="560">
      <c r="A560" s="6"/>
      <c r="B560" s="6"/>
      <c r="C560" s="6"/>
      <c r="D560" s="6"/>
      <c r="E560" s="6"/>
      <c r="F560" s="6"/>
      <c r="G560" s="6"/>
      <c r="H560" s="6"/>
      <c r="I560" s="6"/>
      <c r="J560" s="6"/>
      <c r="K560" s="6"/>
      <c r="L560" s="6"/>
      <c r="M560" s="6"/>
      <c r="N560" s="6"/>
    </row>
    <row r="561">
      <c r="A561" s="6"/>
      <c r="B561" s="6"/>
      <c r="C561" s="6"/>
      <c r="D561" s="6"/>
      <c r="E561" s="6"/>
      <c r="F561" s="6"/>
      <c r="G561" s="6"/>
      <c r="H561" s="6"/>
      <c r="I561" s="6"/>
      <c r="J561" s="6"/>
      <c r="K561" s="6"/>
      <c r="L561" s="6"/>
      <c r="M561" s="6"/>
      <c r="N561" s="6"/>
    </row>
    <row r="562">
      <c r="A562" s="6"/>
      <c r="B562" s="6"/>
      <c r="C562" s="6"/>
      <c r="D562" s="6"/>
      <c r="E562" s="6"/>
      <c r="F562" s="6"/>
      <c r="G562" s="6"/>
      <c r="H562" s="6"/>
      <c r="I562" s="6"/>
      <c r="J562" s="6"/>
      <c r="K562" s="6"/>
      <c r="L562" s="6"/>
      <c r="M562" s="6"/>
      <c r="N562" s="6"/>
    </row>
    <row r="563">
      <c r="A563" s="6"/>
      <c r="B563" s="6"/>
      <c r="C563" s="6"/>
      <c r="D563" s="6"/>
      <c r="E563" s="6"/>
      <c r="F563" s="6"/>
      <c r="G563" s="6"/>
      <c r="H563" s="6"/>
      <c r="I563" s="6"/>
      <c r="J563" s="6"/>
      <c r="K563" s="6"/>
      <c r="L563" s="6"/>
      <c r="M563" s="6"/>
      <c r="N563" s="6"/>
    </row>
    <row r="564">
      <c r="A564" s="6"/>
      <c r="B564" s="6"/>
      <c r="C564" s="6"/>
      <c r="D564" s="6"/>
      <c r="E564" s="6"/>
      <c r="F564" s="6"/>
      <c r="G564" s="6"/>
      <c r="H564" s="6"/>
      <c r="I564" s="6"/>
      <c r="J564" s="6"/>
      <c r="K564" s="6"/>
      <c r="L564" s="6"/>
      <c r="M564" s="6"/>
      <c r="N564" s="6"/>
    </row>
    <row r="565">
      <c r="A565" s="6"/>
      <c r="B565" s="6"/>
      <c r="C565" s="6"/>
      <c r="D565" s="6"/>
      <c r="E565" s="6"/>
      <c r="F565" s="6"/>
      <c r="G565" s="6"/>
      <c r="H565" s="6"/>
      <c r="I565" s="6"/>
      <c r="J565" s="6"/>
      <c r="K565" s="6"/>
      <c r="L565" s="6"/>
      <c r="M565" s="6"/>
      <c r="N565" s="6"/>
    </row>
    <row r="566">
      <c r="A566" s="6"/>
      <c r="B566" s="6"/>
      <c r="C566" s="6"/>
      <c r="D566" s="6"/>
      <c r="E566" s="6"/>
      <c r="F566" s="6"/>
      <c r="G566" s="6"/>
      <c r="H566" s="6"/>
      <c r="I566" s="6"/>
      <c r="J566" s="6"/>
      <c r="K566" s="6"/>
      <c r="L566" s="6"/>
      <c r="M566" s="6"/>
      <c r="N566" s="6"/>
    </row>
    <row r="567">
      <c r="A567" s="6"/>
      <c r="B567" s="6"/>
      <c r="C567" s="6"/>
      <c r="D567" s="6"/>
      <c r="E567" s="6"/>
      <c r="F567" s="6"/>
      <c r="G567" s="6"/>
      <c r="H567" s="6"/>
      <c r="I567" s="6"/>
      <c r="J567" s="6"/>
      <c r="K567" s="6"/>
      <c r="L567" s="6"/>
      <c r="M567" s="6"/>
      <c r="N567" s="6"/>
    </row>
    <row r="568">
      <c r="A568" s="6"/>
      <c r="B568" s="6"/>
      <c r="C568" s="6"/>
      <c r="D568" s="6"/>
      <c r="E568" s="6"/>
      <c r="F568" s="6"/>
      <c r="G568" s="6"/>
      <c r="H568" s="6"/>
      <c r="I568" s="6"/>
      <c r="J568" s="6"/>
      <c r="K568" s="6"/>
      <c r="L568" s="6"/>
      <c r="M568" s="6"/>
      <c r="N568" s="6"/>
    </row>
    <row r="569">
      <c r="A569" s="6"/>
      <c r="B569" s="6"/>
      <c r="C569" s="6"/>
      <c r="D569" s="6"/>
      <c r="E569" s="6"/>
      <c r="F569" s="6"/>
      <c r="G569" s="6"/>
      <c r="H569" s="6"/>
      <c r="I569" s="6"/>
      <c r="J569" s="6"/>
      <c r="K569" s="6"/>
      <c r="L569" s="6"/>
      <c r="M569" s="6"/>
      <c r="N569" s="6"/>
    </row>
    <row r="570">
      <c r="A570" s="6"/>
      <c r="B570" s="6"/>
      <c r="C570" s="6"/>
      <c r="D570" s="6"/>
      <c r="E570" s="6"/>
      <c r="F570" s="6"/>
      <c r="G570" s="6"/>
      <c r="H570" s="6"/>
      <c r="I570" s="6"/>
      <c r="J570" s="6"/>
      <c r="K570" s="6"/>
      <c r="L570" s="6"/>
      <c r="M570" s="6"/>
      <c r="N570" s="6"/>
    </row>
    <row r="571">
      <c r="A571" s="6"/>
      <c r="B571" s="6"/>
      <c r="C571" s="6"/>
      <c r="D571" s="6"/>
      <c r="E571" s="6"/>
      <c r="F571" s="6"/>
      <c r="G571" s="6"/>
      <c r="H571" s="6"/>
      <c r="I571" s="6"/>
      <c r="J571" s="6"/>
      <c r="K571" s="6"/>
      <c r="L571" s="6"/>
      <c r="M571" s="6"/>
      <c r="N571" s="6"/>
    </row>
    <row r="572">
      <c r="A572" s="6"/>
      <c r="B572" s="6"/>
      <c r="C572" s="6"/>
      <c r="D572" s="6"/>
      <c r="E572" s="6"/>
      <c r="F572" s="6"/>
      <c r="G572" s="6"/>
      <c r="H572" s="6"/>
      <c r="I572" s="6"/>
      <c r="J572" s="6"/>
      <c r="K572" s="6"/>
      <c r="L572" s="6"/>
      <c r="M572" s="6"/>
      <c r="N572" s="6"/>
    </row>
    <row r="573">
      <c r="A573" s="6"/>
      <c r="B573" s="6"/>
      <c r="C573" s="6"/>
      <c r="D573" s="6"/>
      <c r="E573" s="6"/>
      <c r="F573" s="6"/>
      <c r="G573" s="6"/>
      <c r="H573" s="6"/>
      <c r="I573" s="6"/>
      <c r="J573" s="6"/>
      <c r="K573" s="6"/>
      <c r="L573" s="6"/>
      <c r="M573" s="6"/>
      <c r="N573" s="6"/>
    </row>
    <row r="574">
      <c r="A574" s="6"/>
      <c r="B574" s="6"/>
      <c r="C574" s="6"/>
      <c r="D574" s="6"/>
      <c r="E574" s="6"/>
      <c r="F574" s="6"/>
      <c r="G574" s="6"/>
      <c r="H574" s="6"/>
      <c r="I574" s="6"/>
      <c r="J574" s="6"/>
      <c r="K574" s="6"/>
      <c r="L574" s="6"/>
      <c r="M574" s="6"/>
      <c r="N574" s="6"/>
    </row>
    <row r="575">
      <c r="A575" s="6"/>
      <c r="B575" s="6"/>
      <c r="C575" s="6"/>
      <c r="D575" s="6"/>
      <c r="E575" s="6"/>
      <c r="F575" s="6"/>
      <c r="G575" s="6"/>
      <c r="H575" s="6"/>
      <c r="I575" s="6"/>
      <c r="J575" s="6"/>
      <c r="K575" s="6"/>
      <c r="L575" s="6"/>
      <c r="M575" s="6"/>
      <c r="N575" s="6"/>
    </row>
    <row r="576">
      <c r="A576" s="6"/>
      <c r="B576" s="6"/>
      <c r="C576" s="6"/>
      <c r="D576" s="6"/>
      <c r="E576" s="6"/>
      <c r="F576" s="6"/>
      <c r="G576" s="6"/>
      <c r="H576" s="6"/>
      <c r="I576" s="6"/>
      <c r="J576" s="6"/>
      <c r="K576" s="6"/>
      <c r="L576" s="6"/>
      <c r="M576" s="6"/>
      <c r="N576" s="6"/>
    </row>
    <row r="577">
      <c r="A577" s="6"/>
      <c r="B577" s="6"/>
      <c r="C577" s="6"/>
      <c r="D577" s="6"/>
      <c r="E577" s="6"/>
      <c r="F577" s="6"/>
      <c r="G577" s="6"/>
      <c r="H577" s="6"/>
      <c r="I577" s="6"/>
      <c r="J577" s="6"/>
      <c r="K577" s="6"/>
      <c r="L577" s="6"/>
      <c r="M577" s="6"/>
      <c r="N577" s="6"/>
    </row>
    <row r="578">
      <c r="A578" s="6"/>
      <c r="B578" s="6"/>
      <c r="C578" s="6"/>
      <c r="D578" s="6"/>
      <c r="E578" s="6"/>
      <c r="F578" s="6"/>
      <c r="G578" s="6"/>
      <c r="H578" s="6"/>
      <c r="I578" s="6"/>
      <c r="J578" s="6"/>
      <c r="K578" s="6"/>
      <c r="L578" s="6"/>
      <c r="M578" s="6"/>
      <c r="N578" s="6"/>
    </row>
    <row r="579">
      <c r="A579" s="6"/>
      <c r="B579" s="6"/>
      <c r="C579" s="6"/>
      <c r="D579" s="6"/>
      <c r="E579" s="6"/>
      <c r="F579" s="6"/>
      <c r="G579" s="6"/>
      <c r="H579" s="6"/>
      <c r="I579" s="6"/>
      <c r="J579" s="6"/>
      <c r="K579" s="6"/>
      <c r="L579" s="6"/>
      <c r="M579" s="6"/>
      <c r="N579" s="6"/>
    </row>
    <row r="580">
      <c r="A580" s="6"/>
      <c r="B580" s="6"/>
      <c r="C580" s="6"/>
      <c r="D580" s="6"/>
      <c r="E580" s="6"/>
      <c r="F580" s="6"/>
      <c r="G580" s="6"/>
      <c r="H580" s="6"/>
      <c r="I580" s="6"/>
      <c r="J580" s="6"/>
      <c r="K580" s="6"/>
      <c r="L580" s="6"/>
      <c r="M580" s="6"/>
      <c r="N580" s="6"/>
    </row>
    <row r="581">
      <c r="A581" s="6"/>
      <c r="B581" s="6"/>
      <c r="C581" s="6"/>
      <c r="D581" s="6"/>
      <c r="E581" s="6"/>
      <c r="F581" s="6"/>
      <c r="G581" s="6"/>
      <c r="H581" s="6"/>
      <c r="I581" s="6"/>
      <c r="J581" s="6"/>
      <c r="K581" s="6"/>
      <c r="L581" s="6"/>
      <c r="M581" s="6"/>
      <c r="N581" s="6"/>
    </row>
    <row r="582">
      <c r="A582" s="6"/>
      <c r="B582" s="6"/>
      <c r="C582" s="6"/>
      <c r="D582" s="6"/>
      <c r="E582" s="6"/>
      <c r="F582" s="6"/>
      <c r="G582" s="6"/>
      <c r="H582" s="6"/>
      <c r="I582" s="6"/>
      <c r="J582" s="6"/>
      <c r="K582" s="6"/>
      <c r="L582" s="6"/>
      <c r="M582" s="6"/>
      <c r="N582" s="6"/>
    </row>
    <row r="583">
      <c r="A583" s="6"/>
      <c r="B583" s="6"/>
      <c r="C583" s="6"/>
      <c r="D583" s="6"/>
      <c r="E583" s="6"/>
      <c r="F583" s="6"/>
      <c r="G583" s="6"/>
      <c r="H583" s="6"/>
      <c r="I583" s="6"/>
      <c r="J583" s="6"/>
      <c r="K583" s="6"/>
      <c r="L583" s="6"/>
      <c r="M583" s="6"/>
      <c r="N583" s="6"/>
    </row>
    <row r="584">
      <c r="A584" s="6"/>
      <c r="B584" s="6"/>
      <c r="C584" s="6"/>
      <c r="D584" s="6"/>
      <c r="E584" s="6"/>
      <c r="F584" s="6"/>
      <c r="G584" s="6"/>
      <c r="H584" s="6"/>
      <c r="I584" s="6"/>
      <c r="J584" s="6"/>
      <c r="K584" s="6"/>
      <c r="L584" s="6"/>
      <c r="M584" s="6"/>
      <c r="N584" s="6"/>
    </row>
    <row r="585">
      <c r="A585" s="6"/>
      <c r="B585" s="6"/>
      <c r="C585" s="6"/>
      <c r="D585" s="6"/>
      <c r="E585" s="6"/>
      <c r="F585" s="6"/>
      <c r="G585" s="6"/>
      <c r="H585" s="6"/>
      <c r="I585" s="6"/>
      <c r="J585" s="6"/>
      <c r="K585" s="6"/>
      <c r="L585" s="6"/>
      <c r="M585" s="6"/>
      <c r="N585" s="6"/>
    </row>
    <row r="586">
      <c r="A586" s="6"/>
      <c r="B586" s="6"/>
      <c r="C586" s="6"/>
      <c r="D586" s="6"/>
      <c r="E586" s="6"/>
      <c r="F586" s="6"/>
      <c r="G586" s="6"/>
      <c r="H586" s="6"/>
      <c r="I586" s="6"/>
      <c r="J586" s="6"/>
      <c r="K586" s="6"/>
      <c r="L586" s="6"/>
      <c r="M586" s="6"/>
      <c r="N586" s="6"/>
    </row>
    <row r="587">
      <c r="A587" s="6"/>
      <c r="B587" s="6"/>
      <c r="C587" s="6"/>
      <c r="D587" s="6"/>
      <c r="E587" s="6"/>
      <c r="F587" s="6"/>
      <c r="G587" s="6"/>
      <c r="H587" s="6"/>
      <c r="I587" s="6"/>
      <c r="J587" s="6"/>
      <c r="K587" s="6"/>
      <c r="L587" s="6"/>
      <c r="M587" s="6"/>
      <c r="N587" s="6"/>
    </row>
    <row r="588">
      <c r="A588" s="6"/>
      <c r="B588" s="6"/>
      <c r="C588" s="6"/>
      <c r="D588" s="6"/>
      <c r="E588" s="6"/>
      <c r="F588" s="6"/>
      <c r="G588" s="6"/>
      <c r="H588" s="6"/>
      <c r="I588" s="6"/>
      <c r="J588" s="6"/>
      <c r="K588" s="6"/>
      <c r="L588" s="6"/>
      <c r="M588" s="6"/>
      <c r="N588" s="6"/>
    </row>
    <row r="589">
      <c r="A589" s="6"/>
      <c r="B589" s="6"/>
      <c r="C589" s="6"/>
      <c r="D589" s="6"/>
      <c r="E589" s="6"/>
      <c r="F589" s="6"/>
      <c r="G589" s="6"/>
      <c r="H589" s="6"/>
      <c r="I589" s="6"/>
      <c r="J589" s="6"/>
      <c r="K589" s="6"/>
      <c r="L589" s="6"/>
      <c r="M589" s="6"/>
      <c r="N589" s="6"/>
    </row>
    <row r="590">
      <c r="A590" s="6"/>
      <c r="B590" s="6"/>
      <c r="C590" s="6"/>
      <c r="D590" s="6"/>
      <c r="E590" s="6"/>
      <c r="F590" s="6"/>
      <c r="G590" s="6"/>
      <c r="H590" s="6"/>
      <c r="I590" s="6"/>
      <c r="J590" s="6"/>
      <c r="K590" s="6"/>
      <c r="L590" s="6"/>
      <c r="M590" s="6"/>
      <c r="N590" s="6"/>
    </row>
    <row r="591">
      <c r="A591" s="6"/>
      <c r="B591" s="6"/>
      <c r="C591" s="6"/>
      <c r="D591" s="6"/>
      <c r="E591" s="6"/>
      <c r="F591" s="6"/>
      <c r="G591" s="6"/>
      <c r="H591" s="6"/>
      <c r="I591" s="6"/>
      <c r="J591" s="6"/>
      <c r="K591" s="6"/>
      <c r="L591" s="6"/>
      <c r="M591" s="6"/>
      <c r="N591" s="6"/>
    </row>
    <row r="592">
      <c r="A592" s="6"/>
      <c r="B592" s="6"/>
      <c r="C592" s="6"/>
      <c r="D592" s="6"/>
      <c r="E592" s="6"/>
      <c r="F592" s="6"/>
      <c r="G592" s="6"/>
      <c r="H592" s="6"/>
      <c r="I592" s="6"/>
      <c r="J592" s="6"/>
      <c r="K592" s="6"/>
      <c r="L592" s="6"/>
      <c r="M592" s="6"/>
      <c r="N592" s="6"/>
    </row>
    <row r="593">
      <c r="A593" s="6"/>
      <c r="B593" s="6"/>
      <c r="C593" s="6"/>
      <c r="D593" s="6"/>
      <c r="E593" s="6"/>
      <c r="F593" s="6"/>
      <c r="G593" s="6"/>
      <c r="H593" s="6"/>
      <c r="I593" s="6"/>
      <c r="J593" s="6"/>
      <c r="K593" s="6"/>
      <c r="L593" s="6"/>
      <c r="M593" s="6"/>
      <c r="N593" s="6"/>
    </row>
    <row r="594">
      <c r="A594" s="6"/>
      <c r="B594" s="6"/>
      <c r="C594" s="6"/>
      <c r="D594" s="6"/>
      <c r="E594" s="6"/>
      <c r="F594" s="6"/>
      <c r="G594" s="6"/>
      <c r="H594" s="6"/>
      <c r="I594" s="6"/>
      <c r="J594" s="6"/>
      <c r="K594" s="6"/>
      <c r="L594" s="6"/>
      <c r="M594" s="6"/>
      <c r="N594" s="6"/>
    </row>
    <row r="595">
      <c r="A595" s="6"/>
      <c r="B595" s="6"/>
      <c r="C595" s="6"/>
      <c r="D595" s="6"/>
      <c r="E595" s="6"/>
      <c r="F595" s="6"/>
      <c r="G595" s="6"/>
      <c r="H595" s="6"/>
      <c r="I595" s="6"/>
      <c r="J595" s="6"/>
      <c r="K595" s="6"/>
      <c r="L595" s="6"/>
      <c r="M595" s="6"/>
      <c r="N595" s="6"/>
    </row>
    <row r="596">
      <c r="A596" s="6"/>
      <c r="B596" s="6"/>
      <c r="C596" s="6"/>
      <c r="D596" s="6"/>
      <c r="E596" s="6"/>
      <c r="F596" s="6"/>
      <c r="G596" s="6"/>
      <c r="H596" s="6"/>
      <c r="I596" s="6"/>
      <c r="J596" s="6"/>
      <c r="K596" s="6"/>
      <c r="L596" s="6"/>
      <c r="M596" s="6"/>
      <c r="N596" s="6"/>
    </row>
    <row r="597">
      <c r="A597" s="6"/>
      <c r="B597" s="6"/>
      <c r="C597" s="6"/>
      <c r="D597" s="6"/>
      <c r="E597" s="6"/>
      <c r="F597" s="6"/>
      <c r="G597" s="6"/>
      <c r="H597" s="6"/>
      <c r="I597" s="6"/>
      <c r="J597" s="6"/>
      <c r="K597" s="6"/>
      <c r="L597" s="6"/>
      <c r="M597" s="6"/>
      <c r="N597" s="6"/>
    </row>
    <row r="598">
      <c r="A598" s="6"/>
      <c r="B598" s="6"/>
      <c r="C598" s="6"/>
      <c r="D598" s="6"/>
      <c r="E598" s="6"/>
      <c r="F598" s="6"/>
      <c r="G598" s="6"/>
      <c r="H598" s="6"/>
      <c r="I598" s="6"/>
      <c r="J598" s="6"/>
      <c r="K598" s="6"/>
      <c r="L598" s="6"/>
      <c r="M598" s="6"/>
      <c r="N598" s="6"/>
    </row>
    <row r="599">
      <c r="A599" s="6"/>
      <c r="B599" s="6"/>
      <c r="C599" s="6"/>
      <c r="D599" s="6"/>
      <c r="E599" s="6"/>
      <c r="F599" s="6"/>
      <c r="G599" s="6"/>
      <c r="H599" s="6"/>
      <c r="I599" s="6"/>
      <c r="J599" s="6"/>
      <c r="K599" s="6"/>
      <c r="L599" s="6"/>
      <c r="M599" s="6"/>
      <c r="N599" s="6"/>
    </row>
    <row r="600">
      <c r="A600" s="6"/>
      <c r="B600" s="6"/>
      <c r="C600" s="6"/>
      <c r="D600" s="6"/>
      <c r="E600" s="6"/>
      <c r="F600" s="6"/>
      <c r="G600" s="6"/>
      <c r="H600" s="6"/>
      <c r="I600" s="6"/>
      <c r="J600" s="6"/>
      <c r="K600" s="6"/>
      <c r="L600" s="6"/>
      <c r="M600" s="6"/>
      <c r="N600" s="6"/>
    </row>
    <row r="601">
      <c r="A601" s="6"/>
      <c r="B601" s="6"/>
      <c r="C601" s="6"/>
      <c r="D601" s="6"/>
      <c r="E601" s="6"/>
      <c r="F601" s="6"/>
      <c r="G601" s="6"/>
      <c r="H601" s="6"/>
      <c r="I601" s="6"/>
      <c r="J601" s="6"/>
      <c r="K601" s="6"/>
      <c r="L601" s="6"/>
      <c r="M601" s="6"/>
      <c r="N601" s="6"/>
    </row>
    <row r="602">
      <c r="A602" s="6"/>
      <c r="B602" s="6"/>
      <c r="C602" s="6"/>
      <c r="D602" s="6"/>
      <c r="E602" s="6"/>
      <c r="F602" s="6"/>
      <c r="G602" s="6"/>
      <c r="H602" s="6"/>
      <c r="I602" s="6"/>
      <c r="J602" s="6"/>
      <c r="K602" s="6"/>
      <c r="L602" s="6"/>
      <c r="M602" s="6"/>
      <c r="N602" s="6"/>
    </row>
    <row r="603">
      <c r="A603" s="6"/>
      <c r="B603" s="6"/>
      <c r="C603" s="6"/>
      <c r="D603" s="6"/>
      <c r="E603" s="6"/>
      <c r="F603" s="6"/>
      <c r="G603" s="6"/>
      <c r="H603" s="6"/>
      <c r="I603" s="6"/>
      <c r="J603" s="6"/>
      <c r="K603" s="6"/>
      <c r="L603" s="6"/>
      <c r="M603" s="6"/>
      <c r="N603" s="6"/>
    </row>
    <row r="604">
      <c r="A604" s="6"/>
      <c r="B604" s="6"/>
      <c r="C604" s="6"/>
      <c r="D604" s="6"/>
      <c r="E604" s="6"/>
      <c r="F604" s="6"/>
      <c r="G604" s="6"/>
      <c r="H604" s="6"/>
      <c r="I604" s="6"/>
      <c r="J604" s="6"/>
      <c r="K604" s="6"/>
      <c r="L604" s="6"/>
      <c r="M604" s="6"/>
      <c r="N604" s="6"/>
    </row>
    <row r="605">
      <c r="A605" s="6"/>
      <c r="B605" s="6"/>
      <c r="C605" s="6"/>
      <c r="D605" s="6"/>
      <c r="E605" s="6"/>
      <c r="F605" s="6"/>
      <c r="G605" s="6"/>
      <c r="H605" s="6"/>
      <c r="I605" s="6"/>
      <c r="J605" s="6"/>
      <c r="K605" s="6"/>
      <c r="L605" s="6"/>
      <c r="M605" s="6"/>
      <c r="N605" s="6"/>
    </row>
    <row r="606">
      <c r="A606" s="6"/>
      <c r="B606" s="6"/>
      <c r="C606" s="6"/>
      <c r="D606" s="6"/>
      <c r="E606" s="6"/>
      <c r="F606" s="6"/>
      <c r="G606" s="6"/>
      <c r="H606" s="6"/>
      <c r="I606" s="6"/>
      <c r="J606" s="6"/>
      <c r="K606" s="6"/>
      <c r="L606" s="6"/>
      <c r="M606" s="6"/>
      <c r="N606" s="6"/>
    </row>
    <row r="607">
      <c r="A607" s="6"/>
      <c r="B607" s="6"/>
      <c r="C607" s="6"/>
      <c r="D607" s="6"/>
      <c r="E607" s="6"/>
      <c r="F607" s="6"/>
      <c r="G607" s="6"/>
      <c r="H607" s="6"/>
      <c r="I607" s="6"/>
      <c r="J607" s="6"/>
      <c r="K607" s="6"/>
      <c r="L607" s="6"/>
      <c r="M607" s="6"/>
      <c r="N607" s="6"/>
    </row>
    <row r="608">
      <c r="A608" s="6"/>
      <c r="B608" s="6"/>
      <c r="C608" s="6"/>
      <c r="D608" s="6"/>
      <c r="E608" s="6"/>
      <c r="F608" s="6"/>
      <c r="G608" s="6"/>
      <c r="H608" s="6"/>
      <c r="I608" s="6"/>
      <c r="J608" s="6"/>
      <c r="K608" s="6"/>
      <c r="L608" s="6"/>
      <c r="M608" s="6"/>
      <c r="N608" s="6"/>
    </row>
    <row r="609">
      <c r="A609" s="6"/>
      <c r="B609" s="6"/>
      <c r="C609" s="6"/>
      <c r="D609" s="6"/>
      <c r="E609" s="6"/>
      <c r="F609" s="6"/>
      <c r="G609" s="6"/>
      <c r="H609" s="6"/>
      <c r="I609" s="6"/>
      <c r="J609" s="6"/>
      <c r="K609" s="6"/>
      <c r="L609" s="6"/>
      <c r="M609" s="6"/>
      <c r="N609" s="6"/>
    </row>
    <row r="610">
      <c r="A610" s="6"/>
      <c r="B610" s="6"/>
      <c r="C610" s="6"/>
      <c r="D610" s="6"/>
      <c r="E610" s="6"/>
      <c r="F610" s="6"/>
      <c r="G610" s="6"/>
      <c r="H610" s="6"/>
      <c r="I610" s="6"/>
      <c r="J610" s="6"/>
      <c r="K610" s="6"/>
      <c r="L610" s="6"/>
      <c r="M610" s="6"/>
      <c r="N610" s="6"/>
    </row>
    <row r="611">
      <c r="A611" s="6"/>
      <c r="B611" s="6"/>
      <c r="C611" s="6"/>
      <c r="D611" s="6"/>
      <c r="E611" s="6"/>
      <c r="F611" s="6"/>
      <c r="G611" s="6"/>
      <c r="H611" s="6"/>
      <c r="I611" s="6"/>
      <c r="J611" s="6"/>
      <c r="K611" s="6"/>
      <c r="L611" s="6"/>
      <c r="M611" s="6"/>
      <c r="N611" s="6"/>
    </row>
    <row r="612">
      <c r="A612" s="6"/>
      <c r="B612" s="6"/>
      <c r="C612" s="6"/>
      <c r="D612" s="6"/>
      <c r="E612" s="6"/>
      <c r="F612" s="6"/>
      <c r="G612" s="6"/>
      <c r="H612" s="6"/>
      <c r="I612" s="6"/>
      <c r="J612" s="6"/>
      <c r="K612" s="6"/>
      <c r="L612" s="6"/>
      <c r="M612" s="6"/>
      <c r="N612" s="6"/>
    </row>
    <row r="613">
      <c r="A613" s="6"/>
      <c r="B613" s="6"/>
      <c r="C613" s="6"/>
      <c r="D613" s="6"/>
      <c r="E613" s="6"/>
      <c r="F613" s="6"/>
      <c r="G613" s="6"/>
      <c r="H613" s="6"/>
      <c r="I613" s="6"/>
      <c r="J613" s="6"/>
      <c r="K613" s="6"/>
      <c r="L613" s="6"/>
      <c r="M613" s="6"/>
      <c r="N613" s="6"/>
    </row>
    <row r="614">
      <c r="A614" s="6"/>
      <c r="B614" s="6"/>
      <c r="C614" s="6"/>
      <c r="D614" s="6"/>
      <c r="E614" s="6"/>
      <c r="F614" s="6"/>
      <c r="G614" s="6"/>
      <c r="H614" s="6"/>
      <c r="I614" s="6"/>
      <c r="J614" s="6"/>
      <c r="K614" s="6"/>
      <c r="L614" s="6"/>
      <c r="M614" s="6"/>
      <c r="N614" s="6"/>
    </row>
    <row r="615">
      <c r="A615" s="6"/>
      <c r="B615" s="6"/>
      <c r="C615" s="6"/>
      <c r="D615" s="6"/>
      <c r="E615" s="6"/>
      <c r="F615" s="6"/>
      <c r="G615" s="6"/>
      <c r="H615" s="6"/>
      <c r="I615" s="6"/>
      <c r="J615" s="6"/>
      <c r="K615" s="6"/>
      <c r="L615" s="6"/>
      <c r="M615" s="6"/>
      <c r="N615" s="6"/>
    </row>
    <row r="616">
      <c r="A616" s="6"/>
      <c r="B616" s="6"/>
      <c r="C616" s="6"/>
      <c r="D616" s="6"/>
      <c r="E616" s="6"/>
      <c r="F616" s="6"/>
      <c r="G616" s="6"/>
      <c r="H616" s="6"/>
      <c r="I616" s="6"/>
      <c r="J616" s="6"/>
      <c r="K616" s="6"/>
      <c r="L616" s="6"/>
      <c r="M616" s="6"/>
      <c r="N616" s="6"/>
    </row>
    <row r="617">
      <c r="A617" s="6"/>
      <c r="B617" s="6"/>
      <c r="C617" s="6"/>
      <c r="D617" s="6"/>
      <c r="E617" s="6"/>
      <c r="F617" s="6"/>
      <c r="G617" s="6"/>
      <c r="H617" s="6"/>
      <c r="I617" s="6"/>
      <c r="J617" s="6"/>
      <c r="K617" s="6"/>
      <c r="L617" s="6"/>
      <c r="M617" s="6"/>
      <c r="N617" s="6"/>
    </row>
    <row r="618">
      <c r="A618" s="6"/>
      <c r="B618" s="6"/>
      <c r="C618" s="6"/>
      <c r="D618" s="6"/>
      <c r="E618" s="6"/>
      <c r="F618" s="6"/>
      <c r="G618" s="6"/>
      <c r="H618" s="6"/>
      <c r="I618" s="6"/>
      <c r="J618" s="6"/>
      <c r="K618" s="6"/>
      <c r="L618" s="6"/>
      <c r="M618" s="6"/>
      <c r="N618" s="6"/>
    </row>
    <row r="619">
      <c r="A619" s="6"/>
      <c r="B619" s="6"/>
      <c r="C619" s="6"/>
      <c r="D619" s="6"/>
      <c r="E619" s="6"/>
      <c r="F619" s="6"/>
      <c r="G619" s="6"/>
      <c r="H619" s="6"/>
      <c r="I619" s="6"/>
      <c r="J619" s="6"/>
      <c r="K619" s="6"/>
      <c r="L619" s="6"/>
      <c r="M619" s="6"/>
      <c r="N619" s="6"/>
    </row>
    <row r="620">
      <c r="A620" s="6"/>
      <c r="B620" s="6"/>
      <c r="C620" s="6"/>
      <c r="D620" s="6"/>
      <c r="E620" s="6"/>
      <c r="F620" s="6"/>
      <c r="G620" s="6"/>
      <c r="H620" s="6"/>
      <c r="I620" s="6"/>
      <c r="J620" s="6"/>
      <c r="K620" s="6"/>
      <c r="L620" s="6"/>
      <c r="M620" s="6"/>
      <c r="N620" s="6"/>
    </row>
    <row r="621">
      <c r="A621" s="6"/>
      <c r="B621" s="6"/>
      <c r="C621" s="6"/>
      <c r="D621" s="6"/>
      <c r="E621" s="6"/>
      <c r="F621" s="6"/>
      <c r="G621" s="6"/>
      <c r="H621" s="6"/>
      <c r="I621" s="6"/>
      <c r="J621" s="6"/>
      <c r="K621" s="6"/>
      <c r="L621" s="6"/>
      <c r="M621" s="6"/>
      <c r="N621" s="6"/>
    </row>
    <row r="622">
      <c r="A622" s="6"/>
      <c r="B622" s="6"/>
      <c r="C622" s="6"/>
      <c r="D622" s="6"/>
      <c r="E622" s="6"/>
      <c r="F622" s="6"/>
      <c r="G622" s="6"/>
      <c r="H622" s="6"/>
      <c r="I622" s="6"/>
      <c r="J622" s="6"/>
      <c r="K622" s="6"/>
      <c r="L622" s="6"/>
      <c r="M622" s="6"/>
      <c r="N622" s="6"/>
    </row>
    <row r="623">
      <c r="A623" s="6"/>
      <c r="B623" s="6"/>
      <c r="C623" s="6"/>
      <c r="D623" s="6"/>
      <c r="E623" s="6"/>
      <c r="F623" s="6"/>
      <c r="G623" s="6"/>
      <c r="H623" s="6"/>
      <c r="I623" s="6"/>
      <c r="J623" s="6"/>
      <c r="K623" s="6"/>
      <c r="L623" s="6"/>
      <c r="M623" s="6"/>
      <c r="N623" s="6"/>
    </row>
    <row r="624">
      <c r="A624" s="6"/>
      <c r="B624" s="6"/>
      <c r="C624" s="6"/>
      <c r="D624" s="6"/>
      <c r="E624" s="6"/>
      <c r="F624" s="6"/>
      <c r="G624" s="6"/>
      <c r="H624" s="6"/>
      <c r="I624" s="6"/>
      <c r="J624" s="6"/>
      <c r="K624" s="6"/>
      <c r="L624" s="6"/>
      <c r="M624" s="6"/>
      <c r="N624" s="6"/>
    </row>
    <row r="625">
      <c r="A625" s="6"/>
      <c r="B625" s="6"/>
      <c r="C625" s="6"/>
      <c r="D625" s="6"/>
      <c r="E625" s="6"/>
      <c r="F625" s="6"/>
      <c r="G625" s="6"/>
      <c r="H625" s="6"/>
      <c r="I625" s="6"/>
      <c r="J625" s="6"/>
      <c r="K625" s="6"/>
      <c r="L625" s="6"/>
      <c r="M625" s="6"/>
      <c r="N625" s="6"/>
    </row>
    <row r="626">
      <c r="A626" s="6"/>
      <c r="B626" s="6"/>
      <c r="C626" s="6"/>
      <c r="D626" s="6"/>
      <c r="E626" s="6"/>
      <c r="F626" s="6"/>
      <c r="G626" s="6"/>
      <c r="H626" s="6"/>
      <c r="I626" s="6"/>
      <c r="J626" s="6"/>
      <c r="K626" s="6"/>
      <c r="L626" s="6"/>
      <c r="M626" s="6"/>
      <c r="N626" s="6"/>
    </row>
    <row r="627">
      <c r="A627" s="6"/>
      <c r="B627" s="6"/>
      <c r="C627" s="6"/>
      <c r="D627" s="6"/>
      <c r="E627" s="6"/>
      <c r="F627" s="6"/>
      <c r="G627" s="6"/>
      <c r="H627" s="6"/>
      <c r="I627" s="6"/>
      <c r="J627" s="6"/>
      <c r="K627" s="6"/>
      <c r="L627" s="6"/>
      <c r="M627" s="6"/>
      <c r="N627" s="6"/>
    </row>
    <row r="628">
      <c r="A628" s="6"/>
      <c r="B628" s="6"/>
      <c r="C628" s="6"/>
      <c r="D628" s="6"/>
      <c r="E628" s="6"/>
      <c r="F628" s="6"/>
      <c r="G628" s="6"/>
      <c r="H628" s="6"/>
      <c r="I628" s="6"/>
      <c r="J628" s="6"/>
      <c r="K628" s="6"/>
      <c r="L628" s="6"/>
      <c r="M628" s="6"/>
      <c r="N628" s="6"/>
    </row>
    <row r="629">
      <c r="A629" s="6"/>
      <c r="B629" s="6"/>
      <c r="C629" s="6"/>
      <c r="D629" s="6"/>
      <c r="E629" s="6"/>
      <c r="F629" s="6"/>
      <c r="G629" s="6"/>
      <c r="H629" s="6"/>
      <c r="I629" s="6"/>
      <c r="J629" s="6"/>
      <c r="K629" s="6"/>
      <c r="L629" s="6"/>
      <c r="M629" s="6"/>
      <c r="N629" s="6"/>
    </row>
    <row r="630">
      <c r="A630" s="6"/>
      <c r="B630" s="6"/>
      <c r="C630" s="6"/>
      <c r="D630" s="6"/>
      <c r="E630" s="6"/>
      <c r="F630" s="6"/>
      <c r="G630" s="6"/>
      <c r="H630" s="6"/>
      <c r="I630" s="6"/>
      <c r="J630" s="6"/>
      <c r="K630" s="6"/>
      <c r="L630" s="6"/>
      <c r="M630" s="6"/>
      <c r="N630" s="6"/>
    </row>
    <row r="631">
      <c r="A631" s="6"/>
      <c r="B631" s="6"/>
      <c r="C631" s="6"/>
      <c r="D631" s="6"/>
      <c r="E631" s="6"/>
      <c r="F631" s="6"/>
      <c r="G631" s="6"/>
      <c r="H631" s="6"/>
      <c r="I631" s="6"/>
      <c r="J631" s="6"/>
      <c r="K631" s="6"/>
      <c r="L631" s="6"/>
      <c r="M631" s="6"/>
      <c r="N631" s="6"/>
    </row>
    <row r="632">
      <c r="A632" s="6"/>
      <c r="B632" s="6"/>
      <c r="C632" s="6"/>
      <c r="D632" s="6"/>
      <c r="E632" s="6"/>
      <c r="F632" s="6"/>
      <c r="G632" s="6"/>
      <c r="H632" s="6"/>
      <c r="I632" s="6"/>
      <c r="J632" s="6"/>
      <c r="K632" s="6"/>
      <c r="L632" s="6"/>
      <c r="M632" s="6"/>
      <c r="N632" s="6"/>
    </row>
    <row r="633">
      <c r="A633" s="6"/>
      <c r="B633" s="6"/>
      <c r="C633" s="6"/>
      <c r="D633" s="6"/>
      <c r="E633" s="6"/>
      <c r="F633" s="6"/>
      <c r="G633" s="6"/>
      <c r="H633" s="6"/>
      <c r="I633" s="6"/>
      <c r="J633" s="6"/>
      <c r="K633" s="6"/>
      <c r="L633" s="6"/>
      <c r="M633" s="6"/>
      <c r="N633" s="6"/>
    </row>
    <row r="634">
      <c r="A634" s="6"/>
      <c r="B634" s="6"/>
      <c r="C634" s="6"/>
      <c r="D634" s="6"/>
      <c r="E634" s="6"/>
      <c r="F634" s="6"/>
      <c r="G634" s="6"/>
      <c r="H634" s="6"/>
      <c r="I634" s="6"/>
      <c r="J634" s="6"/>
      <c r="K634" s="6"/>
      <c r="L634" s="6"/>
      <c r="M634" s="6"/>
      <c r="N634" s="6"/>
    </row>
    <row r="635">
      <c r="A635" s="6"/>
      <c r="B635" s="6"/>
      <c r="C635" s="6"/>
      <c r="D635" s="6"/>
      <c r="E635" s="6"/>
      <c r="F635" s="6"/>
      <c r="G635" s="6"/>
      <c r="H635" s="6"/>
      <c r="I635" s="6"/>
      <c r="J635" s="6"/>
      <c r="K635" s="6"/>
      <c r="L635" s="6"/>
      <c r="M635" s="6"/>
      <c r="N635" s="6"/>
    </row>
    <row r="636">
      <c r="A636" s="6"/>
      <c r="B636" s="6"/>
      <c r="C636" s="6"/>
      <c r="D636" s="6"/>
      <c r="E636" s="6"/>
      <c r="F636" s="6"/>
      <c r="G636" s="6"/>
      <c r="H636" s="6"/>
      <c r="I636" s="6"/>
      <c r="J636" s="6"/>
      <c r="K636" s="6"/>
      <c r="L636" s="6"/>
      <c r="M636" s="6"/>
      <c r="N636" s="6"/>
    </row>
    <row r="637">
      <c r="A637" s="6"/>
      <c r="B637" s="6"/>
      <c r="C637" s="6"/>
      <c r="D637" s="6"/>
      <c r="E637" s="6"/>
      <c r="F637" s="6"/>
      <c r="G637" s="6"/>
      <c r="H637" s="6"/>
      <c r="I637" s="6"/>
      <c r="J637" s="6"/>
      <c r="K637" s="6"/>
      <c r="L637" s="6"/>
      <c r="M637" s="6"/>
      <c r="N637" s="6"/>
    </row>
    <row r="638">
      <c r="A638" s="6"/>
      <c r="B638" s="6"/>
      <c r="C638" s="6"/>
      <c r="D638" s="6"/>
      <c r="E638" s="6"/>
      <c r="F638" s="6"/>
      <c r="G638" s="6"/>
      <c r="H638" s="6"/>
      <c r="I638" s="6"/>
      <c r="J638" s="6"/>
      <c r="K638" s="6"/>
      <c r="L638" s="6"/>
      <c r="M638" s="6"/>
      <c r="N638" s="6"/>
    </row>
    <row r="639">
      <c r="A639" s="6"/>
      <c r="B639" s="6"/>
      <c r="C639" s="6"/>
      <c r="D639" s="6"/>
      <c r="E639" s="6"/>
      <c r="F639" s="6"/>
      <c r="G639" s="6"/>
      <c r="H639" s="6"/>
      <c r="I639" s="6"/>
      <c r="J639" s="6"/>
      <c r="K639" s="6"/>
      <c r="L639" s="6"/>
      <c r="M639" s="6"/>
      <c r="N639" s="6"/>
    </row>
    <row r="640">
      <c r="A640" s="6"/>
      <c r="B640" s="6"/>
      <c r="C640" s="6"/>
      <c r="D640" s="6"/>
      <c r="E640" s="6"/>
      <c r="F640" s="6"/>
      <c r="G640" s="6"/>
      <c r="H640" s="6"/>
      <c r="I640" s="6"/>
      <c r="J640" s="6"/>
      <c r="K640" s="6"/>
      <c r="L640" s="6"/>
      <c r="M640" s="6"/>
      <c r="N640" s="6"/>
    </row>
    <row r="641">
      <c r="A641" s="6"/>
      <c r="B641" s="6"/>
      <c r="C641" s="6"/>
      <c r="D641" s="6"/>
      <c r="E641" s="6"/>
      <c r="F641" s="6"/>
      <c r="G641" s="6"/>
      <c r="H641" s="6"/>
      <c r="I641" s="6"/>
      <c r="J641" s="6"/>
      <c r="K641" s="6"/>
      <c r="L641" s="6"/>
      <c r="M641" s="6"/>
      <c r="N641" s="6"/>
    </row>
    <row r="642">
      <c r="A642" s="6"/>
      <c r="B642" s="6"/>
      <c r="C642" s="6"/>
      <c r="D642" s="6"/>
      <c r="E642" s="6"/>
      <c r="F642" s="6"/>
      <c r="G642" s="6"/>
      <c r="H642" s="6"/>
      <c r="I642" s="6"/>
      <c r="J642" s="6"/>
      <c r="K642" s="6"/>
      <c r="L642" s="6"/>
      <c r="M642" s="6"/>
      <c r="N642" s="6"/>
    </row>
    <row r="643">
      <c r="A643" s="6"/>
      <c r="B643" s="6"/>
      <c r="C643" s="6"/>
      <c r="D643" s="6"/>
      <c r="E643" s="6"/>
      <c r="F643" s="6"/>
      <c r="G643" s="6"/>
      <c r="H643" s="6"/>
      <c r="I643" s="6"/>
      <c r="J643" s="6"/>
      <c r="K643" s="6"/>
      <c r="L643" s="6"/>
      <c r="M643" s="6"/>
      <c r="N643" s="6"/>
    </row>
    <row r="644">
      <c r="A644" s="6"/>
      <c r="B644" s="6"/>
      <c r="C644" s="6"/>
      <c r="D644" s="6"/>
      <c r="E644" s="6"/>
      <c r="F644" s="6"/>
      <c r="G644" s="6"/>
      <c r="H644" s="6"/>
      <c r="I644" s="6"/>
      <c r="J644" s="6"/>
      <c r="K644" s="6"/>
      <c r="L644" s="6"/>
      <c r="M644" s="6"/>
      <c r="N644" s="6"/>
    </row>
    <row r="645">
      <c r="A645" s="6"/>
      <c r="B645" s="6"/>
      <c r="C645" s="6"/>
      <c r="D645" s="6"/>
      <c r="E645" s="6"/>
      <c r="F645" s="6"/>
      <c r="G645" s="6"/>
      <c r="H645" s="6"/>
      <c r="I645" s="6"/>
      <c r="J645" s="6"/>
      <c r="K645" s="6"/>
      <c r="L645" s="6"/>
      <c r="M645" s="6"/>
      <c r="N645" s="6"/>
    </row>
    <row r="646">
      <c r="A646" s="6"/>
      <c r="B646" s="6"/>
      <c r="C646" s="6"/>
      <c r="D646" s="6"/>
      <c r="E646" s="6"/>
      <c r="F646" s="6"/>
      <c r="G646" s="6"/>
      <c r="H646" s="6"/>
      <c r="I646" s="6"/>
      <c r="J646" s="6"/>
      <c r="K646" s="6"/>
      <c r="L646" s="6"/>
      <c r="M646" s="6"/>
      <c r="N646" s="6"/>
    </row>
    <row r="647">
      <c r="A647" s="6"/>
      <c r="B647" s="6"/>
      <c r="C647" s="6"/>
      <c r="D647" s="6"/>
      <c r="E647" s="6"/>
      <c r="F647" s="6"/>
      <c r="G647" s="6"/>
      <c r="H647" s="6"/>
      <c r="I647" s="6"/>
      <c r="J647" s="6"/>
      <c r="K647" s="6"/>
      <c r="L647" s="6"/>
      <c r="M647" s="6"/>
      <c r="N647" s="6"/>
    </row>
    <row r="648">
      <c r="A648" s="6"/>
      <c r="B648" s="6"/>
      <c r="C648" s="6"/>
      <c r="D648" s="6"/>
      <c r="E648" s="6"/>
      <c r="F648" s="6"/>
      <c r="G648" s="6"/>
      <c r="H648" s="6"/>
      <c r="I648" s="6"/>
      <c r="J648" s="6"/>
      <c r="K648" s="6"/>
      <c r="L648" s="6"/>
      <c r="M648" s="6"/>
      <c r="N648" s="6"/>
    </row>
    <row r="649">
      <c r="A649" s="6"/>
      <c r="B649" s="6"/>
      <c r="C649" s="6"/>
      <c r="D649" s="6"/>
      <c r="E649" s="6"/>
      <c r="F649" s="6"/>
      <c r="G649" s="6"/>
      <c r="H649" s="6"/>
      <c r="I649" s="6"/>
      <c r="J649" s="6"/>
      <c r="K649" s="6"/>
      <c r="L649" s="6"/>
      <c r="M649" s="6"/>
      <c r="N649" s="6"/>
    </row>
    <row r="650">
      <c r="A650" s="6"/>
      <c r="B650" s="6"/>
      <c r="C650" s="6"/>
      <c r="D650" s="6"/>
      <c r="E650" s="6"/>
      <c r="F650" s="6"/>
      <c r="G650" s="6"/>
      <c r="H650" s="6"/>
      <c r="I650" s="6"/>
      <c r="J650" s="6"/>
      <c r="K650" s="6"/>
      <c r="L650" s="6"/>
      <c r="M650" s="6"/>
      <c r="N650" s="6"/>
    </row>
    <row r="651">
      <c r="A651" s="6"/>
      <c r="B651" s="6"/>
      <c r="C651" s="6"/>
      <c r="D651" s="6"/>
      <c r="E651" s="6"/>
      <c r="F651" s="6"/>
      <c r="G651" s="6"/>
      <c r="H651" s="6"/>
      <c r="I651" s="6"/>
      <c r="J651" s="6"/>
      <c r="K651" s="6"/>
      <c r="L651" s="6"/>
      <c r="M651" s="6"/>
      <c r="N651" s="6"/>
    </row>
    <row r="652">
      <c r="A652" s="6"/>
      <c r="B652" s="6"/>
      <c r="C652" s="6"/>
      <c r="D652" s="6"/>
      <c r="E652" s="6"/>
      <c r="F652" s="6"/>
      <c r="G652" s="6"/>
      <c r="H652" s="6"/>
      <c r="I652" s="6"/>
      <c r="J652" s="6"/>
      <c r="K652" s="6"/>
      <c r="L652" s="6"/>
      <c r="M652" s="6"/>
      <c r="N652" s="6"/>
    </row>
    <row r="653">
      <c r="A653" s="6"/>
      <c r="B653" s="6"/>
      <c r="C653" s="6"/>
      <c r="D653" s="6"/>
      <c r="E653" s="6"/>
      <c r="F653" s="6"/>
      <c r="G653" s="6"/>
      <c r="H653" s="6"/>
      <c r="I653" s="6"/>
      <c r="J653" s="6"/>
      <c r="K653" s="6"/>
      <c r="L653" s="6"/>
      <c r="M653" s="6"/>
      <c r="N653" s="6"/>
    </row>
    <row r="654">
      <c r="A654" s="6"/>
      <c r="B654" s="6"/>
      <c r="C654" s="6"/>
      <c r="D654" s="6"/>
      <c r="E654" s="6"/>
      <c r="F654" s="6"/>
      <c r="G654" s="6"/>
      <c r="H654" s="6"/>
      <c r="I654" s="6"/>
      <c r="J654" s="6"/>
      <c r="K654" s="6"/>
      <c r="L654" s="6"/>
      <c r="M654" s="6"/>
      <c r="N654" s="6"/>
    </row>
    <row r="655">
      <c r="A655" s="6"/>
      <c r="B655" s="6"/>
      <c r="C655" s="6"/>
      <c r="D655" s="6"/>
      <c r="E655" s="6"/>
      <c r="F655" s="6"/>
      <c r="G655" s="6"/>
      <c r="H655" s="6"/>
      <c r="I655" s="6"/>
      <c r="J655" s="6"/>
      <c r="K655" s="6"/>
      <c r="L655" s="6"/>
      <c r="M655" s="6"/>
      <c r="N655" s="6"/>
    </row>
    <row r="656">
      <c r="A656" s="6"/>
      <c r="B656" s="6"/>
      <c r="C656" s="6"/>
      <c r="D656" s="6"/>
      <c r="E656" s="6"/>
      <c r="F656" s="6"/>
      <c r="G656" s="6"/>
      <c r="H656" s="6"/>
      <c r="I656" s="6"/>
      <c r="J656" s="6"/>
      <c r="K656" s="6"/>
      <c r="L656" s="6"/>
      <c r="M656" s="6"/>
      <c r="N656" s="6"/>
    </row>
    <row r="657">
      <c r="A657" s="6"/>
      <c r="B657" s="6"/>
      <c r="C657" s="6"/>
      <c r="D657" s="6"/>
      <c r="E657" s="6"/>
      <c r="F657" s="6"/>
      <c r="G657" s="6"/>
      <c r="H657" s="6"/>
      <c r="I657" s="6"/>
      <c r="J657" s="6"/>
      <c r="K657" s="6"/>
      <c r="L657" s="6"/>
      <c r="M657" s="6"/>
      <c r="N657" s="6"/>
    </row>
    <row r="658">
      <c r="A658" s="6"/>
      <c r="B658" s="6"/>
      <c r="C658" s="6"/>
      <c r="D658" s="6"/>
      <c r="E658" s="6"/>
      <c r="F658" s="6"/>
      <c r="G658" s="6"/>
      <c r="H658" s="6"/>
      <c r="I658" s="6"/>
      <c r="J658" s="6"/>
      <c r="K658" s="6"/>
      <c r="L658" s="6"/>
      <c r="M658" s="6"/>
      <c r="N658" s="6"/>
    </row>
    <row r="659">
      <c r="A659" s="6"/>
      <c r="B659" s="6"/>
      <c r="C659" s="6"/>
      <c r="D659" s="6"/>
      <c r="E659" s="6"/>
      <c r="F659" s="6"/>
      <c r="G659" s="6"/>
      <c r="H659" s="6"/>
      <c r="I659" s="6"/>
      <c r="J659" s="6"/>
      <c r="K659" s="6"/>
      <c r="L659" s="6"/>
      <c r="M659" s="6"/>
      <c r="N659" s="6"/>
    </row>
    <row r="660">
      <c r="A660" s="6"/>
      <c r="B660" s="6"/>
      <c r="C660" s="6"/>
      <c r="D660" s="6"/>
      <c r="E660" s="6"/>
      <c r="F660" s="6"/>
      <c r="G660" s="6"/>
      <c r="H660" s="6"/>
      <c r="I660" s="6"/>
      <c r="J660" s="6"/>
      <c r="K660" s="6"/>
      <c r="L660" s="6"/>
      <c r="M660" s="6"/>
      <c r="N660" s="6"/>
    </row>
    <row r="661">
      <c r="A661" s="6"/>
      <c r="B661" s="6"/>
      <c r="C661" s="6"/>
      <c r="D661" s="6"/>
      <c r="E661" s="6"/>
      <c r="F661" s="6"/>
      <c r="G661" s="6"/>
      <c r="H661" s="6"/>
      <c r="I661" s="6"/>
      <c r="J661" s="6"/>
      <c r="K661" s="6"/>
      <c r="L661" s="6"/>
      <c r="M661" s="6"/>
      <c r="N661" s="6"/>
    </row>
    <row r="662">
      <c r="A662" s="6"/>
      <c r="B662" s="6"/>
      <c r="C662" s="6"/>
      <c r="D662" s="6"/>
      <c r="E662" s="6"/>
      <c r="F662" s="6"/>
      <c r="G662" s="6"/>
      <c r="H662" s="6"/>
      <c r="I662" s="6"/>
      <c r="J662" s="6"/>
      <c r="K662" s="6"/>
      <c r="L662" s="6"/>
      <c r="M662" s="6"/>
      <c r="N662" s="6"/>
    </row>
    <row r="663">
      <c r="A663" s="6"/>
      <c r="B663" s="6"/>
      <c r="C663" s="6"/>
      <c r="D663" s="6"/>
      <c r="E663" s="6"/>
      <c r="F663" s="6"/>
      <c r="G663" s="6"/>
      <c r="H663" s="6"/>
      <c r="I663" s="6"/>
      <c r="J663" s="6"/>
      <c r="K663" s="6"/>
      <c r="L663" s="6"/>
      <c r="M663" s="6"/>
      <c r="N663" s="6"/>
    </row>
    <row r="664">
      <c r="A664" s="6"/>
      <c r="B664" s="6"/>
      <c r="C664" s="6"/>
      <c r="D664" s="6"/>
      <c r="E664" s="6"/>
      <c r="F664" s="6"/>
      <c r="G664" s="6"/>
      <c r="H664" s="6"/>
      <c r="I664" s="6"/>
      <c r="J664" s="6"/>
      <c r="K664" s="6"/>
      <c r="L664" s="6"/>
      <c r="M664" s="6"/>
      <c r="N664" s="6"/>
    </row>
    <row r="665">
      <c r="A665" s="6"/>
      <c r="B665" s="6"/>
      <c r="C665" s="6"/>
      <c r="D665" s="6"/>
      <c r="E665" s="6"/>
      <c r="F665" s="6"/>
      <c r="G665" s="6"/>
      <c r="H665" s="6"/>
      <c r="I665" s="6"/>
      <c r="J665" s="6"/>
      <c r="K665" s="6"/>
      <c r="L665" s="6"/>
      <c r="M665" s="6"/>
      <c r="N665" s="6"/>
    </row>
    <row r="666">
      <c r="A666" s="6"/>
      <c r="B666" s="6"/>
      <c r="C666" s="6"/>
      <c r="D666" s="6"/>
      <c r="E666" s="6"/>
      <c r="F666" s="6"/>
      <c r="G666" s="6"/>
      <c r="H666" s="6"/>
      <c r="I666" s="6"/>
      <c r="J666" s="6"/>
      <c r="K666" s="6"/>
      <c r="L666" s="6"/>
      <c r="M666" s="6"/>
      <c r="N666" s="6"/>
    </row>
    <row r="667">
      <c r="A667" s="6"/>
      <c r="B667" s="6"/>
      <c r="C667" s="6"/>
      <c r="D667" s="6"/>
      <c r="E667" s="6"/>
      <c r="F667" s="6"/>
      <c r="G667" s="6"/>
      <c r="H667" s="6"/>
      <c r="I667" s="6"/>
      <c r="J667" s="6"/>
      <c r="K667" s="6"/>
      <c r="L667" s="6"/>
      <c r="M667" s="6"/>
      <c r="N667" s="6"/>
    </row>
    <row r="668">
      <c r="A668" s="6"/>
      <c r="B668" s="6"/>
      <c r="C668" s="6"/>
      <c r="D668" s="6"/>
      <c r="E668" s="6"/>
      <c r="F668" s="6"/>
      <c r="G668" s="6"/>
      <c r="H668" s="6"/>
      <c r="I668" s="6"/>
      <c r="J668" s="6"/>
      <c r="K668" s="6"/>
      <c r="L668" s="6"/>
      <c r="M668" s="6"/>
      <c r="N668" s="6"/>
    </row>
    <row r="669">
      <c r="A669" s="6"/>
      <c r="B669" s="6"/>
      <c r="C669" s="6"/>
      <c r="D669" s="6"/>
      <c r="E669" s="6"/>
      <c r="F669" s="6"/>
      <c r="G669" s="6"/>
      <c r="H669" s="6"/>
      <c r="I669" s="6"/>
      <c r="J669" s="6"/>
      <c r="K669" s="6"/>
      <c r="L669" s="6"/>
      <c r="M669" s="6"/>
      <c r="N669" s="6"/>
    </row>
    <row r="670">
      <c r="A670" s="6"/>
      <c r="B670" s="6"/>
      <c r="C670" s="6"/>
      <c r="D670" s="6"/>
      <c r="E670" s="6"/>
      <c r="F670" s="6"/>
      <c r="G670" s="6"/>
      <c r="H670" s="6"/>
      <c r="I670" s="6"/>
      <c r="J670" s="6"/>
      <c r="K670" s="6"/>
      <c r="L670" s="6"/>
      <c r="M670" s="6"/>
      <c r="N670" s="6"/>
    </row>
    <row r="671">
      <c r="A671" s="6"/>
      <c r="B671" s="6"/>
      <c r="C671" s="6"/>
      <c r="D671" s="6"/>
      <c r="E671" s="6"/>
      <c r="F671" s="6"/>
      <c r="G671" s="6"/>
      <c r="H671" s="6"/>
      <c r="I671" s="6"/>
      <c r="J671" s="6"/>
      <c r="K671" s="6"/>
      <c r="L671" s="6"/>
      <c r="M671" s="6"/>
      <c r="N671" s="6"/>
    </row>
    <row r="672">
      <c r="A672" s="6"/>
      <c r="B672" s="6"/>
      <c r="C672" s="6"/>
      <c r="D672" s="6"/>
      <c r="E672" s="6"/>
      <c r="F672" s="6"/>
      <c r="G672" s="6"/>
      <c r="H672" s="6"/>
      <c r="I672" s="6"/>
      <c r="J672" s="6"/>
      <c r="K672" s="6"/>
      <c r="L672" s="6"/>
      <c r="M672" s="6"/>
      <c r="N672" s="6"/>
    </row>
    <row r="673">
      <c r="A673" s="6"/>
      <c r="B673" s="6"/>
      <c r="C673" s="6"/>
      <c r="D673" s="6"/>
      <c r="E673" s="6"/>
      <c r="F673" s="6"/>
      <c r="G673" s="6"/>
      <c r="H673" s="6"/>
      <c r="I673" s="6"/>
      <c r="J673" s="6"/>
      <c r="K673" s="6"/>
      <c r="L673" s="6"/>
      <c r="M673" s="6"/>
      <c r="N673" s="6"/>
    </row>
    <row r="674">
      <c r="A674" s="6"/>
      <c r="B674" s="6"/>
      <c r="C674" s="6"/>
      <c r="D674" s="6"/>
      <c r="E674" s="6"/>
      <c r="F674" s="6"/>
      <c r="G674" s="6"/>
      <c r="H674" s="6"/>
      <c r="I674" s="6"/>
      <c r="J674" s="6"/>
      <c r="K674" s="6"/>
      <c r="L674" s="6"/>
      <c r="M674" s="6"/>
      <c r="N674" s="6"/>
    </row>
    <row r="675">
      <c r="A675" s="6"/>
      <c r="B675" s="6"/>
      <c r="C675" s="6"/>
      <c r="D675" s="6"/>
      <c r="E675" s="6"/>
      <c r="F675" s="6"/>
      <c r="G675" s="6"/>
      <c r="H675" s="6"/>
      <c r="I675" s="6"/>
      <c r="J675" s="6"/>
      <c r="K675" s="6"/>
      <c r="L675" s="6"/>
      <c r="M675" s="6"/>
      <c r="N675" s="6"/>
    </row>
    <row r="676">
      <c r="A676" s="6"/>
      <c r="B676" s="6"/>
      <c r="C676" s="6"/>
      <c r="D676" s="6"/>
      <c r="E676" s="6"/>
      <c r="F676" s="6"/>
      <c r="G676" s="6"/>
      <c r="H676" s="6"/>
      <c r="I676" s="6"/>
      <c r="J676" s="6"/>
      <c r="K676" s="6"/>
      <c r="L676" s="6"/>
      <c r="M676" s="6"/>
      <c r="N676" s="6"/>
    </row>
    <row r="677">
      <c r="A677" s="6"/>
      <c r="B677" s="6"/>
      <c r="C677" s="6"/>
      <c r="D677" s="6"/>
      <c r="E677" s="6"/>
      <c r="F677" s="6"/>
      <c r="G677" s="6"/>
      <c r="H677" s="6"/>
      <c r="I677" s="6"/>
      <c r="J677" s="6"/>
      <c r="K677" s="6"/>
      <c r="L677" s="6"/>
      <c r="M677" s="6"/>
      <c r="N677" s="6"/>
    </row>
    <row r="678">
      <c r="A678" s="6"/>
      <c r="B678" s="6"/>
      <c r="C678" s="6"/>
      <c r="D678" s="6"/>
      <c r="E678" s="6"/>
      <c r="F678" s="6"/>
      <c r="G678" s="6"/>
      <c r="H678" s="6"/>
      <c r="I678" s="6"/>
      <c r="J678" s="6"/>
      <c r="K678" s="6"/>
      <c r="L678" s="6"/>
      <c r="M678" s="6"/>
      <c r="N678" s="6"/>
    </row>
    <row r="679">
      <c r="A679" s="6"/>
      <c r="B679" s="6"/>
      <c r="C679" s="6"/>
      <c r="D679" s="6"/>
      <c r="E679" s="6"/>
      <c r="F679" s="6"/>
      <c r="G679" s="6"/>
      <c r="H679" s="6"/>
      <c r="I679" s="6"/>
      <c r="J679" s="6"/>
      <c r="K679" s="6"/>
      <c r="L679" s="6"/>
      <c r="M679" s="6"/>
      <c r="N679" s="6"/>
    </row>
    <row r="680">
      <c r="A680" s="6"/>
      <c r="B680" s="6"/>
      <c r="C680" s="6"/>
      <c r="D680" s="6"/>
      <c r="E680" s="6"/>
      <c r="F680" s="6"/>
      <c r="G680" s="6"/>
      <c r="H680" s="6"/>
      <c r="I680" s="6"/>
      <c r="J680" s="6"/>
      <c r="K680" s="6"/>
      <c r="L680" s="6"/>
      <c r="M680" s="6"/>
      <c r="N680" s="6"/>
    </row>
    <row r="681">
      <c r="A681" s="6"/>
      <c r="B681" s="6"/>
      <c r="C681" s="6"/>
      <c r="D681" s="6"/>
      <c r="E681" s="6"/>
      <c r="F681" s="6"/>
      <c r="G681" s="6"/>
      <c r="H681" s="6"/>
      <c r="I681" s="6"/>
      <c r="J681" s="6"/>
      <c r="K681" s="6"/>
      <c r="L681" s="6"/>
      <c r="M681" s="6"/>
      <c r="N681" s="6"/>
    </row>
    <row r="682">
      <c r="A682" s="6"/>
      <c r="B682" s="6"/>
      <c r="C682" s="6"/>
      <c r="D682" s="6"/>
      <c r="E682" s="6"/>
      <c r="F682" s="6"/>
      <c r="G682" s="6"/>
      <c r="H682" s="6"/>
      <c r="I682" s="6"/>
      <c r="J682" s="6"/>
      <c r="K682" s="6"/>
      <c r="L682" s="6"/>
      <c r="M682" s="6"/>
      <c r="N682" s="6"/>
    </row>
    <row r="683">
      <c r="A683" s="6"/>
      <c r="B683" s="6"/>
      <c r="C683" s="6"/>
      <c r="D683" s="6"/>
      <c r="E683" s="6"/>
      <c r="F683" s="6"/>
      <c r="G683" s="6"/>
      <c r="H683" s="6"/>
      <c r="I683" s="6"/>
      <c r="J683" s="6"/>
      <c r="K683" s="6"/>
      <c r="L683" s="6"/>
      <c r="M683" s="6"/>
      <c r="N683" s="6"/>
    </row>
    <row r="684">
      <c r="A684" s="6"/>
      <c r="B684" s="6"/>
      <c r="C684" s="6"/>
      <c r="D684" s="6"/>
      <c r="E684" s="6"/>
      <c r="F684" s="6"/>
      <c r="G684" s="6"/>
      <c r="H684" s="6"/>
      <c r="I684" s="6"/>
      <c r="J684" s="6"/>
      <c r="K684" s="6"/>
      <c r="L684" s="6"/>
      <c r="M684" s="6"/>
      <c r="N684" s="6"/>
    </row>
    <row r="685">
      <c r="A685" s="6"/>
      <c r="B685" s="6"/>
      <c r="C685" s="6"/>
      <c r="D685" s="6"/>
      <c r="E685" s="6"/>
      <c r="F685" s="6"/>
      <c r="G685" s="6"/>
      <c r="H685" s="6"/>
      <c r="I685" s="6"/>
      <c r="J685" s="6"/>
      <c r="K685" s="6"/>
      <c r="L685" s="6"/>
      <c r="M685" s="6"/>
      <c r="N685" s="6"/>
    </row>
    <row r="686">
      <c r="A686" s="6"/>
      <c r="B686" s="6"/>
      <c r="C686" s="6"/>
      <c r="D686" s="6"/>
      <c r="E686" s="6"/>
      <c r="F686" s="6"/>
      <c r="G686" s="6"/>
      <c r="H686" s="6"/>
      <c r="I686" s="6"/>
      <c r="J686" s="6"/>
      <c r="K686" s="6"/>
      <c r="L686" s="6"/>
      <c r="M686" s="6"/>
      <c r="N686" s="6"/>
    </row>
    <row r="687">
      <c r="A687" s="6"/>
      <c r="B687" s="6"/>
      <c r="C687" s="6"/>
      <c r="D687" s="6"/>
      <c r="E687" s="6"/>
      <c r="F687" s="6"/>
      <c r="G687" s="6"/>
      <c r="H687" s="6"/>
      <c r="I687" s="6"/>
      <c r="J687" s="6"/>
      <c r="K687" s="6"/>
      <c r="L687" s="6"/>
      <c r="M687" s="6"/>
      <c r="N687" s="6"/>
    </row>
    <row r="688">
      <c r="A688" s="6"/>
      <c r="B688" s="6"/>
      <c r="C688" s="6"/>
      <c r="D688" s="6"/>
      <c r="E688" s="6"/>
      <c r="F688" s="6"/>
      <c r="G688" s="6"/>
      <c r="H688" s="6"/>
      <c r="I688" s="6"/>
      <c r="J688" s="6"/>
      <c r="K688" s="6"/>
      <c r="L688" s="6"/>
      <c r="M688" s="6"/>
      <c r="N688" s="6"/>
    </row>
    <row r="689">
      <c r="A689" s="6"/>
      <c r="B689" s="6"/>
      <c r="C689" s="6"/>
      <c r="D689" s="6"/>
      <c r="E689" s="6"/>
      <c r="F689" s="6"/>
      <c r="G689" s="6"/>
      <c r="H689" s="6"/>
      <c r="I689" s="6"/>
      <c r="J689" s="6"/>
      <c r="K689" s="6"/>
      <c r="L689" s="6"/>
      <c r="M689" s="6"/>
      <c r="N689" s="6"/>
    </row>
    <row r="690">
      <c r="A690" s="6"/>
      <c r="B690" s="6"/>
      <c r="C690" s="6"/>
      <c r="D690" s="6"/>
      <c r="E690" s="6"/>
      <c r="F690" s="6"/>
      <c r="G690" s="6"/>
      <c r="H690" s="6"/>
      <c r="I690" s="6"/>
      <c r="J690" s="6"/>
      <c r="K690" s="6"/>
      <c r="L690" s="6"/>
      <c r="M690" s="6"/>
      <c r="N690" s="6"/>
    </row>
    <row r="691">
      <c r="A691" s="6"/>
      <c r="B691" s="6"/>
      <c r="C691" s="6"/>
      <c r="D691" s="6"/>
      <c r="E691" s="6"/>
      <c r="F691" s="6"/>
      <c r="G691" s="6"/>
      <c r="H691" s="6"/>
      <c r="I691" s="6"/>
      <c r="J691" s="6"/>
      <c r="K691" s="6"/>
      <c r="L691" s="6"/>
      <c r="M691" s="6"/>
      <c r="N691" s="6"/>
    </row>
    <row r="692">
      <c r="A692" s="6"/>
      <c r="B692" s="6"/>
      <c r="C692" s="6"/>
      <c r="D692" s="6"/>
      <c r="E692" s="6"/>
      <c r="F692" s="6"/>
      <c r="G692" s="6"/>
      <c r="H692" s="6"/>
      <c r="I692" s="6"/>
      <c r="J692" s="6"/>
      <c r="K692" s="6"/>
      <c r="L692" s="6"/>
      <c r="M692" s="6"/>
      <c r="N692" s="6"/>
    </row>
    <row r="693">
      <c r="A693" s="6"/>
      <c r="B693" s="6"/>
      <c r="C693" s="6"/>
      <c r="D693" s="6"/>
      <c r="E693" s="6"/>
      <c r="F693" s="6"/>
      <c r="G693" s="6"/>
      <c r="H693" s="6"/>
      <c r="I693" s="6"/>
      <c r="J693" s="6"/>
      <c r="K693" s="6"/>
      <c r="L693" s="6"/>
      <c r="M693" s="6"/>
      <c r="N693" s="6"/>
    </row>
    <row r="694">
      <c r="A694" s="6"/>
      <c r="B694" s="6"/>
      <c r="C694" s="6"/>
      <c r="D694" s="6"/>
      <c r="E694" s="6"/>
      <c r="F694" s="6"/>
      <c r="G694" s="6"/>
      <c r="H694" s="6"/>
      <c r="I694" s="6"/>
      <c r="J694" s="6"/>
      <c r="K694" s="6"/>
      <c r="L694" s="6"/>
      <c r="M694" s="6"/>
      <c r="N694" s="6"/>
    </row>
    <row r="695">
      <c r="A695" s="6"/>
      <c r="B695" s="6"/>
      <c r="C695" s="6"/>
      <c r="D695" s="6"/>
      <c r="E695" s="6"/>
      <c r="F695" s="6"/>
      <c r="G695" s="6"/>
      <c r="H695" s="6"/>
      <c r="I695" s="6"/>
      <c r="J695" s="6"/>
      <c r="K695" s="6"/>
      <c r="L695" s="6"/>
      <c r="M695" s="6"/>
      <c r="N695" s="6"/>
    </row>
    <row r="696">
      <c r="A696" s="6"/>
      <c r="B696" s="6"/>
      <c r="C696" s="6"/>
      <c r="D696" s="6"/>
      <c r="E696" s="6"/>
      <c r="F696" s="6"/>
      <c r="G696" s="6"/>
      <c r="H696" s="6"/>
      <c r="I696" s="6"/>
      <c r="J696" s="6"/>
      <c r="K696" s="6"/>
      <c r="L696" s="6"/>
      <c r="M696" s="6"/>
      <c r="N696" s="6"/>
    </row>
    <row r="697">
      <c r="A697" s="6"/>
      <c r="B697" s="6"/>
      <c r="C697" s="6"/>
      <c r="D697" s="6"/>
      <c r="E697" s="6"/>
      <c r="F697" s="6"/>
      <c r="G697" s="6"/>
      <c r="H697" s="6"/>
      <c r="I697" s="6"/>
      <c r="J697" s="6"/>
      <c r="K697" s="6"/>
      <c r="L697" s="6"/>
      <c r="M697" s="6"/>
      <c r="N697" s="6"/>
    </row>
    <row r="698">
      <c r="A698" s="6"/>
      <c r="B698" s="6"/>
      <c r="C698" s="6"/>
      <c r="D698" s="6"/>
      <c r="E698" s="6"/>
      <c r="F698" s="6"/>
      <c r="G698" s="6"/>
      <c r="H698" s="6"/>
      <c r="I698" s="6"/>
      <c r="J698" s="6"/>
      <c r="K698" s="6"/>
      <c r="L698" s="6"/>
      <c r="M698" s="6"/>
      <c r="N698" s="6"/>
    </row>
    <row r="699">
      <c r="A699" s="6"/>
      <c r="B699" s="6"/>
      <c r="C699" s="6"/>
      <c r="D699" s="6"/>
      <c r="E699" s="6"/>
      <c r="F699" s="6"/>
      <c r="G699" s="6"/>
      <c r="H699" s="6"/>
      <c r="I699" s="6"/>
      <c r="J699" s="6"/>
      <c r="K699" s="6"/>
      <c r="L699" s="6"/>
      <c r="M699" s="6"/>
      <c r="N699" s="6"/>
    </row>
    <row r="700">
      <c r="A700" s="6"/>
      <c r="B700" s="6"/>
      <c r="C700" s="6"/>
      <c r="D700" s="6"/>
      <c r="E700" s="6"/>
      <c r="F700" s="6"/>
      <c r="G700" s="6"/>
      <c r="H700" s="6"/>
      <c r="I700" s="6"/>
      <c r="J700" s="6"/>
      <c r="K700" s="6"/>
      <c r="L700" s="6"/>
      <c r="M700" s="6"/>
      <c r="N700" s="6"/>
    </row>
    <row r="701">
      <c r="A701" s="6"/>
      <c r="B701" s="6"/>
      <c r="C701" s="6"/>
      <c r="D701" s="6"/>
      <c r="E701" s="6"/>
      <c r="F701" s="6"/>
      <c r="G701" s="6"/>
      <c r="H701" s="6"/>
      <c r="I701" s="6"/>
      <c r="J701" s="6"/>
      <c r="K701" s="6"/>
      <c r="L701" s="6"/>
      <c r="M701" s="6"/>
      <c r="N701" s="6"/>
    </row>
    <row r="702">
      <c r="A702" s="6"/>
      <c r="B702" s="6"/>
      <c r="C702" s="6"/>
      <c r="D702" s="6"/>
      <c r="E702" s="6"/>
      <c r="F702" s="6"/>
      <c r="G702" s="6"/>
      <c r="H702" s="6"/>
      <c r="I702" s="6"/>
      <c r="J702" s="6"/>
      <c r="K702" s="6"/>
      <c r="L702" s="6"/>
      <c r="M702" s="6"/>
      <c r="N702" s="6"/>
    </row>
    <row r="703">
      <c r="A703" s="6"/>
      <c r="B703" s="6"/>
      <c r="C703" s="6"/>
      <c r="D703" s="6"/>
      <c r="E703" s="6"/>
      <c r="F703" s="6"/>
      <c r="G703" s="6"/>
      <c r="H703" s="6"/>
      <c r="I703" s="6"/>
      <c r="J703" s="6"/>
      <c r="K703" s="6"/>
      <c r="L703" s="6"/>
      <c r="M703" s="6"/>
      <c r="N703" s="6"/>
    </row>
    <row r="704">
      <c r="A704" s="6"/>
      <c r="B704" s="6"/>
      <c r="C704" s="6"/>
      <c r="D704" s="6"/>
      <c r="E704" s="6"/>
      <c r="F704" s="6"/>
      <c r="G704" s="6"/>
      <c r="H704" s="6"/>
      <c r="I704" s="6"/>
      <c r="J704" s="6"/>
      <c r="K704" s="6"/>
      <c r="L704" s="6"/>
      <c r="M704" s="6"/>
      <c r="N704" s="6"/>
    </row>
    <row r="705">
      <c r="A705" s="6"/>
      <c r="B705" s="6"/>
      <c r="C705" s="6"/>
      <c r="D705" s="6"/>
      <c r="E705" s="6"/>
      <c r="F705" s="6"/>
      <c r="G705" s="6"/>
      <c r="H705" s="6"/>
      <c r="I705" s="6"/>
      <c r="J705" s="6"/>
      <c r="K705" s="6"/>
      <c r="L705" s="6"/>
      <c r="M705" s="6"/>
      <c r="N705" s="6"/>
    </row>
    <row r="706">
      <c r="A706" s="6"/>
      <c r="B706" s="6"/>
      <c r="C706" s="6"/>
      <c r="D706" s="6"/>
      <c r="E706" s="6"/>
      <c r="F706" s="6"/>
      <c r="G706" s="6"/>
      <c r="H706" s="6"/>
      <c r="I706" s="6"/>
      <c r="J706" s="6"/>
      <c r="K706" s="6"/>
      <c r="L706" s="6"/>
      <c r="M706" s="6"/>
      <c r="N706" s="6"/>
    </row>
    <row r="707">
      <c r="A707" s="6"/>
      <c r="B707" s="6"/>
      <c r="C707" s="6"/>
      <c r="D707" s="6"/>
      <c r="E707" s="6"/>
      <c r="F707" s="6"/>
      <c r="G707" s="6"/>
      <c r="H707" s="6"/>
      <c r="I707" s="6"/>
      <c r="J707" s="6"/>
      <c r="K707" s="6"/>
      <c r="L707" s="6"/>
      <c r="M707" s="6"/>
      <c r="N707" s="6"/>
    </row>
    <row r="708">
      <c r="A708" s="6"/>
      <c r="B708" s="6"/>
      <c r="C708" s="6"/>
      <c r="D708" s="6"/>
      <c r="E708" s="6"/>
      <c r="F708" s="6"/>
      <c r="G708" s="6"/>
      <c r="H708" s="6"/>
      <c r="I708" s="6"/>
      <c r="J708" s="6"/>
      <c r="K708" s="6"/>
      <c r="L708" s="6"/>
      <c r="M708" s="6"/>
      <c r="N708" s="6"/>
    </row>
    <row r="709">
      <c r="A709" s="6"/>
      <c r="B709" s="6"/>
      <c r="C709" s="6"/>
      <c r="D709" s="6"/>
      <c r="E709" s="6"/>
      <c r="F709" s="6"/>
      <c r="G709" s="6"/>
      <c r="H709" s="6"/>
      <c r="I709" s="6"/>
      <c r="J709" s="6"/>
      <c r="K709" s="6"/>
      <c r="L709" s="6"/>
      <c r="M709" s="6"/>
      <c r="N709" s="6"/>
    </row>
    <row r="710">
      <c r="A710" s="6"/>
      <c r="B710" s="6"/>
      <c r="C710" s="6"/>
      <c r="D710" s="6"/>
      <c r="E710" s="6"/>
      <c r="F710" s="6"/>
      <c r="G710" s="6"/>
      <c r="H710" s="6"/>
      <c r="I710" s="6"/>
      <c r="J710" s="6"/>
      <c r="K710" s="6"/>
      <c r="L710" s="6"/>
      <c r="M710" s="6"/>
      <c r="N710" s="6"/>
    </row>
    <row r="711">
      <c r="A711" s="6"/>
      <c r="B711" s="6"/>
      <c r="C711" s="6"/>
      <c r="D711" s="6"/>
      <c r="E711" s="6"/>
      <c r="F711" s="6"/>
      <c r="G711" s="6"/>
      <c r="H711" s="6"/>
      <c r="I711" s="6"/>
      <c r="J711" s="6"/>
      <c r="K711" s="6"/>
      <c r="L711" s="6"/>
      <c r="M711" s="6"/>
      <c r="N711" s="6"/>
    </row>
    <row r="712">
      <c r="A712" s="6"/>
      <c r="B712" s="6"/>
      <c r="C712" s="6"/>
      <c r="D712" s="6"/>
      <c r="E712" s="6"/>
      <c r="F712" s="6"/>
      <c r="G712" s="6"/>
      <c r="H712" s="6"/>
      <c r="I712" s="6"/>
      <c r="J712" s="6"/>
      <c r="K712" s="6"/>
      <c r="L712" s="6"/>
      <c r="M712" s="6"/>
      <c r="N712" s="6"/>
    </row>
    <row r="713">
      <c r="A713" s="6"/>
      <c r="B713" s="6"/>
      <c r="C713" s="6"/>
      <c r="D713" s="6"/>
      <c r="E713" s="6"/>
      <c r="F713" s="6"/>
      <c r="G713" s="6"/>
      <c r="H713" s="6"/>
      <c r="I713" s="6"/>
      <c r="J713" s="6"/>
      <c r="K713" s="6"/>
      <c r="L713" s="6"/>
      <c r="M713" s="6"/>
      <c r="N713" s="6"/>
    </row>
    <row r="714">
      <c r="A714" s="6"/>
      <c r="B714" s="6"/>
      <c r="C714" s="6"/>
      <c r="D714" s="6"/>
      <c r="E714" s="6"/>
      <c r="F714" s="6"/>
      <c r="G714" s="6"/>
      <c r="H714" s="6"/>
      <c r="I714" s="6"/>
      <c r="J714" s="6"/>
      <c r="K714" s="6"/>
      <c r="L714" s="6"/>
      <c r="M714" s="6"/>
      <c r="N714" s="6"/>
    </row>
    <row r="715">
      <c r="A715" s="6"/>
      <c r="B715" s="6"/>
      <c r="C715" s="6"/>
      <c r="D715" s="6"/>
      <c r="E715" s="6"/>
      <c r="F715" s="6"/>
      <c r="G715" s="6"/>
      <c r="H715" s="6"/>
      <c r="I715" s="6"/>
      <c r="J715" s="6"/>
      <c r="K715" s="6"/>
      <c r="L715" s="6"/>
      <c r="M715" s="6"/>
      <c r="N715" s="6"/>
    </row>
    <row r="716">
      <c r="A716" s="6"/>
      <c r="B716" s="6"/>
      <c r="C716" s="6"/>
      <c r="D716" s="6"/>
      <c r="E716" s="6"/>
      <c r="F716" s="6"/>
      <c r="G716" s="6"/>
      <c r="H716" s="6"/>
      <c r="I716" s="6"/>
      <c r="J716" s="6"/>
      <c r="K716" s="6"/>
      <c r="L716" s="6"/>
      <c r="M716" s="6"/>
      <c r="N716" s="6"/>
    </row>
    <row r="717">
      <c r="A717" s="6"/>
      <c r="B717" s="6"/>
      <c r="C717" s="6"/>
      <c r="D717" s="6"/>
      <c r="E717" s="6"/>
      <c r="F717" s="6"/>
      <c r="G717" s="6"/>
      <c r="H717" s="6"/>
      <c r="I717" s="6"/>
      <c r="J717" s="6"/>
      <c r="K717" s="6"/>
      <c r="L717" s="6"/>
      <c r="M717" s="6"/>
      <c r="N717" s="6"/>
    </row>
    <row r="718">
      <c r="A718" s="6"/>
      <c r="B718" s="6"/>
      <c r="C718" s="6"/>
      <c r="D718" s="6"/>
      <c r="E718" s="6"/>
      <c r="F718" s="6"/>
      <c r="G718" s="6"/>
      <c r="H718" s="6"/>
      <c r="I718" s="6"/>
      <c r="J718" s="6"/>
      <c r="K718" s="6"/>
      <c r="L718" s="6"/>
      <c r="M718" s="6"/>
      <c r="N718" s="6"/>
    </row>
    <row r="719">
      <c r="A719" s="6"/>
      <c r="B719" s="6"/>
      <c r="C719" s="6"/>
      <c r="D719" s="6"/>
      <c r="E719" s="6"/>
      <c r="F719" s="6"/>
      <c r="G719" s="6"/>
      <c r="H719" s="6"/>
      <c r="I719" s="6"/>
      <c r="J719" s="6"/>
      <c r="K719" s="6"/>
      <c r="L719" s="6"/>
      <c r="M719" s="6"/>
      <c r="N719" s="6"/>
    </row>
    <row r="720">
      <c r="A720" s="6"/>
      <c r="B720" s="6"/>
      <c r="C720" s="6"/>
      <c r="D720" s="6"/>
      <c r="E720" s="6"/>
      <c r="F720" s="6"/>
      <c r="G720" s="6"/>
      <c r="H720" s="6"/>
      <c r="I720" s="6"/>
      <c r="J720" s="6"/>
      <c r="K720" s="6"/>
      <c r="L720" s="6"/>
      <c r="M720" s="6"/>
      <c r="N720" s="6"/>
    </row>
    <row r="721">
      <c r="A721" s="6"/>
      <c r="B721" s="6"/>
      <c r="C721" s="6"/>
      <c r="D721" s="6"/>
      <c r="E721" s="6"/>
      <c r="F721" s="6"/>
      <c r="G721" s="6"/>
      <c r="H721" s="6"/>
      <c r="I721" s="6"/>
      <c r="J721" s="6"/>
      <c r="K721" s="6"/>
      <c r="L721" s="6"/>
      <c r="M721" s="6"/>
      <c r="N721" s="6"/>
    </row>
    <row r="722">
      <c r="A722" s="6"/>
      <c r="B722" s="6"/>
      <c r="C722" s="6"/>
      <c r="D722" s="6"/>
      <c r="E722" s="6"/>
      <c r="F722" s="6"/>
      <c r="G722" s="6"/>
      <c r="H722" s="6"/>
      <c r="I722" s="6"/>
      <c r="J722" s="6"/>
      <c r="K722" s="6"/>
      <c r="L722" s="6"/>
      <c r="M722" s="6"/>
      <c r="N722" s="6"/>
    </row>
    <row r="723">
      <c r="A723" s="6"/>
      <c r="B723" s="6"/>
      <c r="C723" s="6"/>
      <c r="D723" s="6"/>
      <c r="E723" s="6"/>
      <c r="F723" s="6"/>
      <c r="G723" s="6"/>
      <c r="H723" s="6"/>
      <c r="I723" s="6"/>
      <c r="J723" s="6"/>
      <c r="K723" s="6"/>
      <c r="L723" s="6"/>
      <c r="M723" s="6"/>
      <c r="N723" s="6"/>
    </row>
    <row r="724">
      <c r="A724" s="6"/>
      <c r="B724" s="6"/>
      <c r="C724" s="6"/>
      <c r="D724" s="6"/>
      <c r="E724" s="6"/>
      <c r="F724" s="6"/>
      <c r="G724" s="6"/>
      <c r="H724" s="6"/>
      <c r="I724" s="6"/>
      <c r="J724" s="6"/>
      <c r="K724" s="6"/>
      <c r="L724" s="6"/>
      <c r="M724" s="6"/>
      <c r="N724" s="6"/>
    </row>
    <row r="725">
      <c r="A725" s="6"/>
      <c r="B725" s="6"/>
      <c r="C725" s="6"/>
      <c r="D725" s="6"/>
      <c r="E725" s="6"/>
      <c r="F725" s="6"/>
      <c r="G725" s="6"/>
      <c r="H725" s="6"/>
      <c r="I725" s="6"/>
      <c r="J725" s="6"/>
      <c r="K725" s="6"/>
      <c r="L725" s="6"/>
      <c r="M725" s="6"/>
      <c r="N725" s="6"/>
    </row>
    <row r="726">
      <c r="A726" s="6"/>
      <c r="B726" s="6"/>
      <c r="C726" s="6"/>
      <c r="D726" s="6"/>
      <c r="E726" s="6"/>
      <c r="F726" s="6"/>
      <c r="G726" s="6"/>
      <c r="H726" s="6"/>
      <c r="I726" s="6"/>
      <c r="J726" s="6"/>
      <c r="K726" s="6"/>
      <c r="L726" s="6"/>
      <c r="M726" s="6"/>
      <c r="N726" s="6"/>
    </row>
    <row r="727">
      <c r="A727" s="6"/>
      <c r="B727" s="6"/>
      <c r="C727" s="6"/>
      <c r="D727" s="6"/>
      <c r="E727" s="6"/>
      <c r="F727" s="6"/>
      <c r="G727" s="6"/>
      <c r="H727" s="6"/>
      <c r="I727" s="6"/>
      <c r="J727" s="6"/>
      <c r="K727" s="6"/>
      <c r="L727" s="6"/>
      <c r="M727" s="6"/>
      <c r="N727" s="6"/>
    </row>
    <row r="728">
      <c r="A728" s="6"/>
      <c r="B728" s="6"/>
      <c r="C728" s="6"/>
      <c r="D728" s="6"/>
      <c r="E728" s="6"/>
      <c r="F728" s="6"/>
      <c r="G728" s="6"/>
      <c r="H728" s="6"/>
      <c r="I728" s="6"/>
      <c r="J728" s="6"/>
      <c r="K728" s="6"/>
      <c r="L728" s="6"/>
      <c r="M728" s="6"/>
      <c r="N728" s="6"/>
    </row>
    <row r="729">
      <c r="A729" s="6"/>
      <c r="B729" s="6"/>
      <c r="C729" s="6"/>
      <c r="D729" s="6"/>
      <c r="E729" s="6"/>
      <c r="F729" s="6"/>
      <c r="G729" s="6"/>
      <c r="H729" s="6"/>
      <c r="I729" s="6"/>
      <c r="J729" s="6"/>
      <c r="K729" s="6"/>
      <c r="L729" s="6"/>
      <c r="M729" s="6"/>
      <c r="N729" s="6"/>
    </row>
    <row r="730">
      <c r="A730" s="6"/>
      <c r="B730" s="6"/>
      <c r="C730" s="6"/>
      <c r="D730" s="6"/>
      <c r="E730" s="6"/>
      <c r="F730" s="6"/>
      <c r="G730" s="6"/>
      <c r="H730" s="6"/>
      <c r="I730" s="6"/>
      <c r="J730" s="6"/>
      <c r="K730" s="6"/>
      <c r="L730" s="6"/>
      <c r="M730" s="6"/>
      <c r="N730" s="6"/>
    </row>
    <row r="731">
      <c r="A731" s="6"/>
      <c r="B731" s="6"/>
      <c r="C731" s="6"/>
      <c r="D731" s="6"/>
      <c r="E731" s="6"/>
      <c r="F731" s="6"/>
      <c r="G731" s="6"/>
      <c r="H731" s="6"/>
      <c r="I731" s="6"/>
      <c r="J731" s="6"/>
      <c r="K731" s="6"/>
      <c r="L731" s="6"/>
      <c r="M731" s="6"/>
      <c r="N731" s="6"/>
    </row>
    <row r="732">
      <c r="A732" s="6"/>
      <c r="B732" s="6"/>
      <c r="C732" s="6"/>
      <c r="D732" s="6"/>
      <c r="E732" s="6"/>
      <c r="F732" s="6"/>
      <c r="G732" s="6"/>
      <c r="H732" s="6"/>
      <c r="I732" s="6"/>
      <c r="J732" s="6"/>
      <c r="K732" s="6"/>
      <c r="L732" s="6"/>
      <c r="M732" s="6"/>
      <c r="N732" s="6"/>
    </row>
    <row r="733">
      <c r="A733" s="6"/>
      <c r="B733" s="6"/>
      <c r="C733" s="6"/>
      <c r="D733" s="6"/>
      <c r="E733" s="6"/>
      <c r="F733" s="6"/>
      <c r="G733" s="6"/>
      <c r="H733" s="6"/>
      <c r="I733" s="6"/>
      <c r="J733" s="6"/>
      <c r="K733" s="6"/>
      <c r="L733" s="6"/>
      <c r="M733" s="6"/>
      <c r="N733" s="6"/>
    </row>
    <row r="734">
      <c r="A734" s="6"/>
      <c r="B734" s="6"/>
      <c r="C734" s="6"/>
      <c r="D734" s="6"/>
      <c r="E734" s="6"/>
      <c r="F734" s="6"/>
      <c r="G734" s="6"/>
      <c r="H734" s="6"/>
      <c r="I734" s="6"/>
      <c r="J734" s="6"/>
      <c r="K734" s="6"/>
      <c r="L734" s="6"/>
      <c r="M734" s="6"/>
      <c r="N734" s="6"/>
    </row>
    <row r="735">
      <c r="A735" s="6"/>
      <c r="B735" s="6"/>
      <c r="C735" s="6"/>
      <c r="D735" s="6"/>
      <c r="E735" s="6"/>
      <c r="F735" s="6"/>
      <c r="G735" s="6"/>
      <c r="H735" s="6"/>
      <c r="I735" s="6"/>
      <c r="J735" s="6"/>
      <c r="K735" s="6"/>
      <c r="L735" s="6"/>
      <c r="M735" s="6"/>
      <c r="N735" s="6"/>
    </row>
    <row r="736">
      <c r="A736" s="6"/>
      <c r="B736" s="6"/>
      <c r="C736" s="6"/>
      <c r="D736" s="6"/>
      <c r="E736" s="6"/>
      <c r="F736" s="6"/>
      <c r="G736" s="6"/>
      <c r="H736" s="6"/>
      <c r="I736" s="6"/>
      <c r="J736" s="6"/>
      <c r="K736" s="6"/>
      <c r="L736" s="6"/>
      <c r="M736" s="6"/>
      <c r="N736" s="6"/>
    </row>
    <row r="737">
      <c r="A737" s="6"/>
      <c r="B737" s="6"/>
      <c r="C737" s="6"/>
      <c r="D737" s="6"/>
      <c r="E737" s="6"/>
      <c r="F737" s="6"/>
      <c r="G737" s="6"/>
      <c r="H737" s="6"/>
      <c r="I737" s="6"/>
      <c r="J737" s="6"/>
      <c r="K737" s="6"/>
      <c r="L737" s="6"/>
      <c r="M737" s="6"/>
      <c r="N737" s="6"/>
    </row>
    <row r="738">
      <c r="A738" s="6"/>
      <c r="B738" s="6"/>
      <c r="C738" s="6"/>
      <c r="D738" s="6"/>
      <c r="E738" s="6"/>
      <c r="F738" s="6"/>
      <c r="G738" s="6"/>
      <c r="H738" s="6"/>
      <c r="I738" s="6"/>
      <c r="J738" s="6"/>
      <c r="K738" s="6"/>
      <c r="L738" s="6"/>
      <c r="M738" s="6"/>
      <c r="N738" s="6"/>
    </row>
    <row r="739">
      <c r="A739" s="6"/>
      <c r="B739" s="6"/>
      <c r="C739" s="6"/>
      <c r="D739" s="6"/>
      <c r="E739" s="6"/>
      <c r="F739" s="6"/>
      <c r="G739" s="6"/>
      <c r="H739" s="6"/>
      <c r="I739" s="6"/>
      <c r="J739" s="6"/>
      <c r="K739" s="6"/>
      <c r="L739" s="6"/>
      <c r="M739" s="6"/>
      <c r="N739" s="6"/>
    </row>
    <row r="740">
      <c r="A740" s="6"/>
      <c r="B740" s="6"/>
      <c r="C740" s="6"/>
      <c r="D740" s="6"/>
      <c r="E740" s="6"/>
      <c r="F740" s="6"/>
      <c r="G740" s="6"/>
      <c r="H740" s="6"/>
      <c r="I740" s="6"/>
      <c r="J740" s="6"/>
      <c r="K740" s="6"/>
      <c r="L740" s="6"/>
      <c r="M740" s="6"/>
      <c r="N740" s="6"/>
    </row>
    <row r="741">
      <c r="A741" s="6"/>
      <c r="B741" s="6"/>
      <c r="C741" s="6"/>
      <c r="D741" s="6"/>
      <c r="E741" s="6"/>
      <c r="F741" s="6"/>
      <c r="G741" s="6"/>
      <c r="H741" s="6"/>
      <c r="I741" s="6"/>
      <c r="J741" s="6"/>
      <c r="K741" s="6"/>
      <c r="L741" s="6"/>
      <c r="M741" s="6"/>
      <c r="N741" s="6"/>
    </row>
    <row r="742">
      <c r="A742" s="6"/>
      <c r="B742" s="6"/>
      <c r="C742" s="6"/>
      <c r="D742" s="6"/>
      <c r="E742" s="6"/>
      <c r="F742" s="6"/>
      <c r="G742" s="6"/>
      <c r="H742" s="6"/>
      <c r="I742" s="6"/>
      <c r="J742" s="6"/>
      <c r="K742" s="6"/>
      <c r="L742" s="6"/>
      <c r="M742" s="6"/>
      <c r="N742" s="6"/>
    </row>
    <row r="743">
      <c r="A743" s="6"/>
      <c r="B743" s="6"/>
      <c r="C743" s="6"/>
      <c r="D743" s="6"/>
      <c r="E743" s="6"/>
      <c r="F743" s="6"/>
      <c r="G743" s="6"/>
      <c r="H743" s="6"/>
      <c r="I743" s="6"/>
      <c r="J743" s="6"/>
      <c r="K743" s="6"/>
      <c r="L743" s="6"/>
      <c r="M743" s="6"/>
      <c r="N743" s="6"/>
    </row>
    <row r="744">
      <c r="A744" s="6"/>
      <c r="B744" s="6"/>
      <c r="C744" s="6"/>
      <c r="D744" s="6"/>
      <c r="E744" s="6"/>
      <c r="F744" s="6"/>
      <c r="G744" s="6"/>
      <c r="H744" s="6"/>
      <c r="I744" s="6"/>
      <c r="J744" s="6"/>
      <c r="K744" s="6"/>
      <c r="L744" s="6"/>
      <c r="M744" s="6"/>
      <c r="N744" s="6"/>
    </row>
    <row r="745">
      <c r="A745" s="6"/>
      <c r="B745" s="6"/>
      <c r="C745" s="6"/>
      <c r="D745" s="6"/>
      <c r="E745" s="6"/>
      <c r="F745" s="6"/>
      <c r="G745" s="6"/>
      <c r="H745" s="6"/>
      <c r="I745" s="6"/>
      <c r="J745" s="6"/>
      <c r="K745" s="6"/>
      <c r="L745" s="6"/>
      <c r="M745" s="6"/>
      <c r="N745" s="6"/>
    </row>
    <row r="746">
      <c r="A746" s="6"/>
      <c r="B746" s="6"/>
      <c r="C746" s="6"/>
      <c r="D746" s="6"/>
      <c r="E746" s="6"/>
      <c r="F746" s="6"/>
      <c r="G746" s="6"/>
      <c r="H746" s="6"/>
      <c r="I746" s="6"/>
      <c r="J746" s="6"/>
      <c r="K746" s="6"/>
      <c r="L746" s="6"/>
      <c r="M746" s="6"/>
      <c r="N746" s="6"/>
    </row>
    <row r="747">
      <c r="A747" s="6"/>
      <c r="B747" s="6"/>
      <c r="C747" s="6"/>
      <c r="D747" s="6"/>
      <c r="E747" s="6"/>
      <c r="F747" s="6"/>
      <c r="G747" s="6"/>
      <c r="H747" s="6"/>
      <c r="I747" s="6"/>
      <c r="J747" s="6"/>
      <c r="K747" s="6"/>
      <c r="L747" s="6"/>
      <c r="M747" s="6"/>
      <c r="N747" s="6"/>
    </row>
    <row r="748">
      <c r="A748" s="6"/>
      <c r="B748" s="6"/>
      <c r="C748" s="6"/>
      <c r="D748" s="6"/>
      <c r="E748" s="6"/>
      <c r="F748" s="6"/>
      <c r="G748" s="6"/>
      <c r="H748" s="6"/>
      <c r="I748" s="6"/>
      <c r="J748" s="6"/>
      <c r="K748" s="6"/>
      <c r="L748" s="6"/>
      <c r="M748" s="6"/>
      <c r="N748" s="6"/>
    </row>
    <row r="749">
      <c r="A749" s="6"/>
      <c r="B749" s="6"/>
      <c r="C749" s="6"/>
      <c r="D749" s="6"/>
      <c r="E749" s="6"/>
      <c r="F749" s="6"/>
      <c r="G749" s="6"/>
      <c r="H749" s="6"/>
      <c r="I749" s="6"/>
      <c r="J749" s="6"/>
      <c r="K749" s="6"/>
      <c r="L749" s="6"/>
      <c r="M749" s="6"/>
      <c r="N749" s="6"/>
    </row>
    <row r="750">
      <c r="A750" s="6"/>
      <c r="B750" s="6"/>
      <c r="C750" s="6"/>
      <c r="D750" s="6"/>
      <c r="E750" s="6"/>
      <c r="F750" s="6"/>
      <c r="G750" s="6"/>
      <c r="H750" s="6"/>
      <c r="I750" s="6"/>
      <c r="J750" s="6"/>
      <c r="K750" s="6"/>
      <c r="L750" s="6"/>
      <c r="M750" s="6"/>
      <c r="N750" s="6"/>
    </row>
    <row r="751">
      <c r="A751" s="6"/>
      <c r="B751" s="6"/>
      <c r="C751" s="6"/>
      <c r="D751" s="6"/>
      <c r="E751" s="6"/>
      <c r="F751" s="6"/>
      <c r="G751" s="6"/>
      <c r="H751" s="6"/>
      <c r="I751" s="6"/>
      <c r="J751" s="6"/>
      <c r="K751" s="6"/>
      <c r="L751" s="6"/>
      <c r="M751" s="6"/>
      <c r="N751" s="6"/>
    </row>
    <row r="752">
      <c r="A752" s="6"/>
      <c r="B752" s="6"/>
      <c r="C752" s="6"/>
      <c r="D752" s="6"/>
      <c r="E752" s="6"/>
      <c r="F752" s="6"/>
      <c r="G752" s="6"/>
      <c r="H752" s="6"/>
      <c r="I752" s="6"/>
      <c r="J752" s="6"/>
      <c r="K752" s="6"/>
      <c r="L752" s="6"/>
      <c r="M752" s="6"/>
      <c r="N752" s="6"/>
    </row>
    <row r="753">
      <c r="A753" s="6"/>
      <c r="B753" s="6"/>
      <c r="C753" s="6"/>
      <c r="D753" s="6"/>
      <c r="E753" s="6"/>
      <c r="F753" s="6"/>
      <c r="G753" s="6"/>
      <c r="H753" s="6"/>
      <c r="I753" s="6"/>
      <c r="J753" s="6"/>
      <c r="K753" s="6"/>
      <c r="L753" s="6"/>
      <c r="M753" s="6"/>
      <c r="N753" s="6"/>
    </row>
    <row r="754">
      <c r="A754" s="6"/>
      <c r="B754" s="6"/>
      <c r="C754" s="6"/>
      <c r="D754" s="6"/>
      <c r="E754" s="6"/>
      <c r="F754" s="6"/>
      <c r="G754" s="6"/>
      <c r="H754" s="6"/>
      <c r="I754" s="6"/>
      <c r="J754" s="6"/>
      <c r="K754" s="6"/>
      <c r="L754" s="6"/>
      <c r="M754" s="6"/>
      <c r="N754" s="6"/>
    </row>
    <row r="755">
      <c r="A755" s="6"/>
      <c r="B755" s="6"/>
      <c r="C755" s="6"/>
      <c r="D755" s="6"/>
      <c r="E755" s="6"/>
      <c r="F755" s="6"/>
      <c r="G755" s="6"/>
      <c r="H755" s="6"/>
      <c r="I755" s="6"/>
      <c r="J755" s="6"/>
      <c r="K755" s="6"/>
      <c r="L755" s="6"/>
      <c r="M755" s="6"/>
      <c r="N755" s="6"/>
    </row>
    <row r="756">
      <c r="A756" s="6"/>
      <c r="B756" s="6"/>
      <c r="C756" s="6"/>
      <c r="D756" s="6"/>
      <c r="E756" s="6"/>
      <c r="F756" s="6"/>
      <c r="G756" s="6"/>
      <c r="H756" s="6"/>
      <c r="I756" s="6"/>
      <c r="J756" s="6"/>
      <c r="K756" s="6"/>
      <c r="L756" s="6"/>
      <c r="M756" s="6"/>
      <c r="N756" s="6"/>
    </row>
    <row r="757">
      <c r="A757" s="6"/>
      <c r="B757" s="6"/>
      <c r="C757" s="6"/>
      <c r="D757" s="6"/>
      <c r="E757" s="6"/>
      <c r="F757" s="6"/>
      <c r="G757" s="6"/>
      <c r="H757" s="6"/>
      <c r="I757" s="6"/>
      <c r="J757" s="6"/>
      <c r="K757" s="6"/>
      <c r="L757" s="6"/>
      <c r="M757" s="6"/>
      <c r="N757" s="6"/>
    </row>
    <row r="758">
      <c r="A758" s="6"/>
      <c r="B758" s="6"/>
      <c r="C758" s="6"/>
      <c r="D758" s="6"/>
      <c r="E758" s="6"/>
      <c r="F758" s="6"/>
      <c r="G758" s="6"/>
      <c r="H758" s="6"/>
      <c r="I758" s="6"/>
      <c r="J758" s="6"/>
      <c r="K758" s="6"/>
      <c r="L758" s="6"/>
      <c r="M758" s="6"/>
      <c r="N758" s="6"/>
    </row>
    <row r="759">
      <c r="A759" s="6"/>
      <c r="B759" s="6"/>
      <c r="C759" s="6"/>
      <c r="D759" s="6"/>
      <c r="E759" s="6"/>
      <c r="F759" s="6"/>
      <c r="G759" s="6"/>
      <c r="H759" s="6"/>
      <c r="I759" s="6"/>
      <c r="J759" s="6"/>
      <c r="K759" s="6"/>
      <c r="L759" s="6"/>
      <c r="M759" s="6"/>
      <c r="N759" s="6"/>
    </row>
    <row r="760">
      <c r="A760" s="6"/>
      <c r="B760" s="6"/>
      <c r="C760" s="6"/>
      <c r="D760" s="6"/>
      <c r="E760" s="6"/>
      <c r="F760" s="6"/>
      <c r="G760" s="6"/>
      <c r="H760" s="6"/>
      <c r="I760" s="6"/>
      <c r="J760" s="6"/>
      <c r="K760" s="6"/>
      <c r="L760" s="6"/>
      <c r="M760" s="6"/>
      <c r="N760" s="6"/>
    </row>
    <row r="761">
      <c r="A761" s="6"/>
      <c r="B761" s="6"/>
      <c r="C761" s="6"/>
      <c r="D761" s="6"/>
      <c r="E761" s="6"/>
      <c r="F761" s="6"/>
      <c r="G761" s="6"/>
      <c r="H761" s="6"/>
      <c r="I761" s="6"/>
      <c r="J761" s="6"/>
      <c r="K761" s="6"/>
      <c r="L761" s="6"/>
      <c r="M761" s="6"/>
      <c r="N761" s="6"/>
    </row>
    <row r="762">
      <c r="A762" s="6"/>
      <c r="B762" s="6"/>
      <c r="C762" s="6"/>
      <c r="D762" s="6"/>
      <c r="E762" s="6"/>
      <c r="F762" s="6"/>
      <c r="G762" s="6"/>
      <c r="H762" s="6"/>
      <c r="I762" s="6"/>
      <c r="J762" s="6"/>
      <c r="K762" s="6"/>
      <c r="L762" s="6"/>
      <c r="M762" s="6"/>
      <c r="N762" s="6"/>
    </row>
    <row r="763">
      <c r="A763" s="6"/>
      <c r="B763" s="6"/>
      <c r="C763" s="6"/>
      <c r="D763" s="6"/>
      <c r="E763" s="6"/>
      <c r="F763" s="6"/>
      <c r="G763" s="6"/>
      <c r="H763" s="6"/>
      <c r="I763" s="6"/>
      <c r="J763" s="6"/>
      <c r="K763" s="6"/>
      <c r="L763" s="6"/>
      <c r="M763" s="6"/>
      <c r="N763" s="6"/>
    </row>
    <row r="764">
      <c r="A764" s="6"/>
      <c r="B764" s="6"/>
      <c r="C764" s="6"/>
      <c r="D764" s="6"/>
      <c r="E764" s="6"/>
      <c r="F764" s="6"/>
      <c r="G764" s="6"/>
      <c r="H764" s="6"/>
      <c r="I764" s="6"/>
      <c r="J764" s="6"/>
      <c r="K764" s="6"/>
      <c r="L764" s="6"/>
      <c r="M764" s="6"/>
      <c r="N764" s="6"/>
    </row>
    <row r="765">
      <c r="A765" s="6"/>
      <c r="B765" s="6"/>
      <c r="C765" s="6"/>
      <c r="D765" s="6"/>
      <c r="E765" s="6"/>
      <c r="F765" s="6"/>
      <c r="G765" s="6"/>
      <c r="H765" s="6"/>
      <c r="I765" s="6"/>
      <c r="J765" s="6"/>
      <c r="K765" s="6"/>
      <c r="L765" s="6"/>
      <c r="M765" s="6"/>
      <c r="N765" s="6"/>
    </row>
    <row r="766">
      <c r="A766" s="6"/>
      <c r="B766" s="6"/>
      <c r="C766" s="6"/>
      <c r="D766" s="6"/>
      <c r="E766" s="6"/>
      <c r="F766" s="6"/>
      <c r="G766" s="6"/>
      <c r="H766" s="6"/>
      <c r="I766" s="6"/>
      <c r="J766" s="6"/>
      <c r="K766" s="6"/>
      <c r="L766" s="6"/>
      <c r="M766" s="6"/>
      <c r="N766" s="6"/>
    </row>
    <row r="767">
      <c r="A767" s="6"/>
      <c r="B767" s="6"/>
      <c r="C767" s="6"/>
      <c r="D767" s="6"/>
      <c r="E767" s="6"/>
      <c r="F767" s="6"/>
      <c r="G767" s="6"/>
      <c r="H767" s="6"/>
      <c r="I767" s="6"/>
      <c r="J767" s="6"/>
      <c r="K767" s="6"/>
      <c r="L767" s="6"/>
      <c r="M767" s="6"/>
      <c r="N767" s="6"/>
    </row>
    <row r="768">
      <c r="A768" s="6"/>
      <c r="B768" s="6"/>
      <c r="C768" s="6"/>
      <c r="D768" s="6"/>
      <c r="E768" s="6"/>
      <c r="F768" s="6"/>
      <c r="G768" s="6"/>
      <c r="H768" s="6"/>
      <c r="I768" s="6"/>
      <c r="J768" s="6"/>
      <c r="K768" s="6"/>
      <c r="L768" s="6"/>
      <c r="M768" s="6"/>
      <c r="N768" s="6"/>
    </row>
    <row r="769">
      <c r="A769" s="6"/>
      <c r="B769" s="6"/>
      <c r="C769" s="6"/>
      <c r="D769" s="6"/>
      <c r="E769" s="6"/>
      <c r="F769" s="6"/>
      <c r="G769" s="6"/>
      <c r="H769" s="6"/>
      <c r="I769" s="6"/>
      <c r="J769" s="6"/>
      <c r="K769" s="6"/>
      <c r="L769" s="6"/>
      <c r="M769" s="6"/>
      <c r="N769" s="6"/>
    </row>
    <row r="770">
      <c r="A770" s="6"/>
      <c r="B770" s="6"/>
      <c r="C770" s="6"/>
      <c r="D770" s="6"/>
      <c r="E770" s="6"/>
      <c r="F770" s="6"/>
      <c r="G770" s="6"/>
      <c r="H770" s="6"/>
      <c r="I770" s="6"/>
      <c r="J770" s="6"/>
      <c r="K770" s="6"/>
      <c r="L770" s="6"/>
      <c r="M770" s="6"/>
      <c r="N770" s="6"/>
    </row>
    <row r="771">
      <c r="A771" s="6"/>
      <c r="B771" s="6"/>
      <c r="C771" s="6"/>
      <c r="D771" s="6"/>
      <c r="E771" s="6"/>
      <c r="F771" s="6"/>
      <c r="G771" s="6"/>
      <c r="H771" s="6"/>
      <c r="I771" s="6"/>
      <c r="J771" s="6"/>
      <c r="K771" s="6"/>
      <c r="L771" s="6"/>
      <c r="M771" s="6"/>
      <c r="N771" s="6"/>
    </row>
    <row r="772">
      <c r="A772" s="6"/>
      <c r="B772" s="6"/>
      <c r="C772" s="6"/>
      <c r="D772" s="6"/>
      <c r="E772" s="6"/>
      <c r="F772" s="6"/>
      <c r="G772" s="6"/>
      <c r="H772" s="6"/>
      <c r="I772" s="6"/>
      <c r="J772" s="6"/>
      <c r="K772" s="6"/>
      <c r="L772" s="6"/>
      <c r="M772" s="6"/>
      <c r="N772" s="6"/>
    </row>
    <row r="773">
      <c r="A773" s="6"/>
      <c r="B773" s="6"/>
      <c r="C773" s="6"/>
      <c r="D773" s="6"/>
      <c r="E773" s="6"/>
      <c r="F773" s="6"/>
      <c r="G773" s="6"/>
      <c r="H773" s="6"/>
      <c r="I773" s="6"/>
      <c r="J773" s="6"/>
      <c r="K773" s="6"/>
      <c r="L773" s="6"/>
      <c r="M773" s="6"/>
      <c r="N773" s="6"/>
    </row>
    <row r="774">
      <c r="A774" s="6"/>
      <c r="B774" s="6"/>
      <c r="C774" s="6"/>
      <c r="D774" s="6"/>
      <c r="E774" s="6"/>
      <c r="F774" s="6"/>
      <c r="G774" s="6"/>
      <c r="H774" s="6"/>
      <c r="I774" s="6"/>
      <c r="J774" s="6"/>
      <c r="K774" s="6"/>
      <c r="L774" s="6"/>
      <c r="M774" s="6"/>
      <c r="N774" s="6"/>
    </row>
    <row r="775">
      <c r="A775" s="6"/>
      <c r="B775" s="6"/>
      <c r="C775" s="6"/>
      <c r="D775" s="6"/>
      <c r="E775" s="6"/>
      <c r="F775" s="6"/>
      <c r="G775" s="6"/>
      <c r="H775" s="6"/>
      <c r="I775" s="6"/>
      <c r="J775" s="6"/>
      <c r="K775" s="6"/>
      <c r="L775" s="6"/>
      <c r="M775" s="6"/>
      <c r="N775" s="6"/>
    </row>
    <row r="776">
      <c r="A776" s="6"/>
      <c r="B776" s="6"/>
      <c r="C776" s="6"/>
      <c r="D776" s="6"/>
      <c r="E776" s="6"/>
      <c r="F776" s="6"/>
      <c r="G776" s="6"/>
      <c r="H776" s="6"/>
      <c r="I776" s="6"/>
      <c r="J776" s="6"/>
      <c r="K776" s="6"/>
      <c r="L776" s="6"/>
      <c r="M776" s="6"/>
      <c r="N776" s="6"/>
    </row>
    <row r="777">
      <c r="A777" s="6"/>
      <c r="B777" s="6"/>
      <c r="C777" s="6"/>
      <c r="D777" s="6"/>
      <c r="E777" s="6"/>
      <c r="F777" s="6"/>
      <c r="G777" s="6"/>
      <c r="H777" s="6"/>
      <c r="I777" s="6"/>
      <c r="J777" s="6"/>
      <c r="K777" s="6"/>
      <c r="L777" s="6"/>
      <c r="M777" s="6"/>
      <c r="N777" s="6"/>
    </row>
    <row r="778">
      <c r="A778" s="6"/>
      <c r="B778" s="6"/>
      <c r="C778" s="6"/>
      <c r="D778" s="6"/>
      <c r="E778" s="6"/>
      <c r="F778" s="6"/>
      <c r="G778" s="6"/>
      <c r="H778" s="6"/>
      <c r="I778" s="6"/>
      <c r="J778" s="6"/>
      <c r="K778" s="6"/>
      <c r="L778" s="6"/>
      <c r="M778" s="6"/>
      <c r="N778" s="6"/>
    </row>
    <row r="779">
      <c r="A779" s="6"/>
      <c r="B779" s="6"/>
      <c r="C779" s="6"/>
      <c r="D779" s="6"/>
      <c r="E779" s="6"/>
      <c r="F779" s="6"/>
      <c r="G779" s="6"/>
      <c r="H779" s="6"/>
      <c r="I779" s="6"/>
      <c r="J779" s="6"/>
      <c r="K779" s="6"/>
      <c r="L779" s="6"/>
      <c r="M779" s="6"/>
      <c r="N779" s="6"/>
    </row>
    <row r="780">
      <c r="A780" s="6"/>
      <c r="B780" s="6"/>
      <c r="C780" s="6"/>
      <c r="D780" s="6"/>
      <c r="E780" s="6"/>
      <c r="F780" s="6"/>
      <c r="G780" s="6"/>
      <c r="H780" s="6"/>
      <c r="I780" s="6"/>
      <c r="J780" s="6"/>
      <c r="K780" s="6"/>
      <c r="L780" s="6"/>
      <c r="M780" s="6"/>
      <c r="N780" s="6"/>
    </row>
    <row r="781">
      <c r="A781" s="6"/>
      <c r="B781" s="6"/>
      <c r="C781" s="6"/>
      <c r="D781" s="6"/>
      <c r="E781" s="6"/>
      <c r="F781" s="6"/>
      <c r="G781" s="6"/>
      <c r="H781" s="6"/>
      <c r="I781" s="6"/>
      <c r="J781" s="6"/>
      <c r="K781" s="6"/>
      <c r="L781" s="6"/>
      <c r="M781" s="6"/>
      <c r="N781" s="6"/>
    </row>
    <row r="782">
      <c r="A782" s="6"/>
      <c r="B782" s="6"/>
      <c r="C782" s="6"/>
      <c r="D782" s="6"/>
      <c r="E782" s="6"/>
      <c r="F782" s="6"/>
      <c r="G782" s="6"/>
      <c r="H782" s="6"/>
      <c r="I782" s="6"/>
      <c r="J782" s="6"/>
      <c r="K782" s="6"/>
      <c r="L782" s="6"/>
      <c r="M782" s="6"/>
      <c r="N782" s="6"/>
    </row>
    <row r="783">
      <c r="A783" s="6"/>
      <c r="B783" s="6"/>
      <c r="C783" s="6"/>
      <c r="D783" s="6"/>
      <c r="E783" s="6"/>
      <c r="F783" s="6"/>
      <c r="G783" s="6"/>
      <c r="H783" s="6"/>
      <c r="I783" s="6"/>
      <c r="J783" s="6"/>
      <c r="K783" s="6"/>
      <c r="L783" s="6"/>
      <c r="M783" s="6"/>
      <c r="N783" s="6"/>
    </row>
    <row r="784">
      <c r="A784" s="6"/>
      <c r="B784" s="6"/>
      <c r="C784" s="6"/>
      <c r="D784" s="6"/>
      <c r="E784" s="6"/>
      <c r="F784" s="6"/>
      <c r="G784" s="6"/>
      <c r="H784" s="6"/>
      <c r="I784" s="6"/>
      <c r="J784" s="6"/>
      <c r="K784" s="6"/>
      <c r="L784" s="6"/>
      <c r="M784" s="6"/>
      <c r="N784" s="6"/>
    </row>
    <row r="785">
      <c r="A785" s="6"/>
      <c r="B785" s="6"/>
      <c r="C785" s="6"/>
      <c r="D785" s="6"/>
      <c r="E785" s="6"/>
      <c r="F785" s="6"/>
      <c r="G785" s="6"/>
      <c r="H785" s="6"/>
      <c r="I785" s="6"/>
      <c r="J785" s="6"/>
      <c r="K785" s="6"/>
      <c r="L785" s="6"/>
      <c r="M785" s="6"/>
      <c r="N785" s="6"/>
    </row>
    <row r="786">
      <c r="A786" s="6"/>
      <c r="B786" s="6"/>
      <c r="C786" s="6"/>
      <c r="D786" s="6"/>
      <c r="E786" s="6"/>
      <c r="F786" s="6"/>
      <c r="G786" s="6"/>
      <c r="H786" s="6"/>
      <c r="I786" s="6"/>
      <c r="J786" s="6"/>
      <c r="K786" s="6"/>
      <c r="L786" s="6"/>
      <c r="M786" s="6"/>
      <c r="N786" s="6"/>
    </row>
    <row r="787">
      <c r="A787" s="6"/>
      <c r="B787" s="6"/>
      <c r="C787" s="6"/>
      <c r="D787" s="6"/>
      <c r="E787" s="6"/>
      <c r="F787" s="6"/>
      <c r="G787" s="6"/>
      <c r="H787" s="6"/>
      <c r="I787" s="6"/>
      <c r="J787" s="6"/>
      <c r="K787" s="6"/>
      <c r="L787" s="6"/>
      <c r="M787" s="6"/>
      <c r="N787" s="6"/>
    </row>
    <row r="788">
      <c r="A788" s="6"/>
      <c r="B788" s="6"/>
      <c r="C788" s="6"/>
      <c r="D788" s="6"/>
      <c r="E788" s="6"/>
      <c r="F788" s="6"/>
      <c r="G788" s="6"/>
      <c r="H788" s="6"/>
      <c r="I788" s="6"/>
      <c r="J788" s="6"/>
      <c r="K788" s="6"/>
      <c r="L788" s="6"/>
      <c r="M788" s="6"/>
      <c r="N788" s="6"/>
    </row>
    <row r="789">
      <c r="A789" s="6"/>
      <c r="B789" s="6"/>
      <c r="C789" s="6"/>
      <c r="D789" s="6"/>
      <c r="E789" s="6"/>
      <c r="F789" s="6"/>
      <c r="G789" s="6"/>
      <c r="H789" s="6"/>
      <c r="I789" s="6"/>
      <c r="J789" s="6"/>
      <c r="K789" s="6"/>
      <c r="L789" s="6"/>
      <c r="M789" s="6"/>
      <c r="N789" s="6"/>
    </row>
    <row r="790">
      <c r="A790" s="6"/>
      <c r="B790" s="6"/>
      <c r="C790" s="6"/>
      <c r="D790" s="6"/>
      <c r="E790" s="6"/>
      <c r="F790" s="6"/>
      <c r="G790" s="6"/>
      <c r="H790" s="6"/>
      <c r="I790" s="6"/>
      <c r="J790" s="6"/>
      <c r="K790" s="6"/>
      <c r="L790" s="6"/>
      <c r="M790" s="6"/>
      <c r="N790" s="6"/>
    </row>
    <row r="791">
      <c r="A791" s="6"/>
      <c r="B791" s="6"/>
      <c r="C791" s="6"/>
      <c r="D791" s="6"/>
      <c r="E791" s="6"/>
      <c r="F791" s="6"/>
      <c r="G791" s="6"/>
      <c r="H791" s="6"/>
      <c r="I791" s="6"/>
      <c r="J791" s="6"/>
      <c r="K791" s="6"/>
      <c r="L791" s="6"/>
      <c r="M791" s="6"/>
      <c r="N791" s="6"/>
    </row>
    <row r="792">
      <c r="A792" s="6"/>
      <c r="B792" s="6"/>
      <c r="C792" s="6"/>
      <c r="D792" s="6"/>
      <c r="E792" s="6"/>
      <c r="F792" s="6"/>
      <c r="G792" s="6"/>
      <c r="H792" s="6"/>
      <c r="I792" s="6"/>
      <c r="J792" s="6"/>
      <c r="K792" s="6"/>
      <c r="L792" s="6"/>
      <c r="M792" s="6"/>
      <c r="N792" s="6"/>
    </row>
    <row r="793">
      <c r="A793" s="6"/>
      <c r="B793" s="6"/>
      <c r="C793" s="6"/>
      <c r="D793" s="6"/>
      <c r="E793" s="6"/>
      <c r="F793" s="6"/>
      <c r="G793" s="6"/>
      <c r="H793" s="6"/>
      <c r="I793" s="6"/>
      <c r="J793" s="6"/>
      <c r="K793" s="6"/>
      <c r="L793" s="6"/>
      <c r="M793" s="6"/>
      <c r="N793" s="6"/>
    </row>
    <row r="794">
      <c r="A794" s="6"/>
      <c r="B794" s="6"/>
      <c r="C794" s="6"/>
      <c r="D794" s="6"/>
      <c r="E794" s="6"/>
      <c r="F794" s="6"/>
      <c r="G794" s="6"/>
      <c r="H794" s="6"/>
      <c r="I794" s="6"/>
      <c r="J794" s="6"/>
      <c r="K794" s="6"/>
      <c r="L794" s="6"/>
      <c r="M794" s="6"/>
      <c r="N794" s="6"/>
    </row>
    <row r="795">
      <c r="A795" s="6"/>
      <c r="B795" s="6"/>
      <c r="C795" s="6"/>
      <c r="D795" s="6"/>
      <c r="E795" s="6"/>
      <c r="F795" s="6"/>
      <c r="G795" s="6"/>
      <c r="H795" s="6"/>
      <c r="I795" s="6"/>
      <c r="J795" s="6"/>
      <c r="K795" s="6"/>
      <c r="L795" s="6"/>
      <c r="M795" s="6"/>
      <c r="N795" s="6"/>
    </row>
    <row r="796">
      <c r="A796" s="6"/>
      <c r="B796" s="6"/>
      <c r="C796" s="6"/>
      <c r="D796" s="6"/>
      <c r="E796" s="6"/>
      <c r="F796" s="6"/>
      <c r="G796" s="6"/>
      <c r="H796" s="6"/>
      <c r="I796" s="6"/>
      <c r="J796" s="6"/>
      <c r="K796" s="6"/>
      <c r="L796" s="6"/>
      <c r="M796" s="6"/>
      <c r="N796" s="6"/>
    </row>
    <row r="797">
      <c r="A797" s="6"/>
      <c r="B797" s="6"/>
      <c r="C797" s="6"/>
      <c r="D797" s="6"/>
      <c r="E797" s="6"/>
      <c r="F797" s="6"/>
      <c r="G797" s="6"/>
      <c r="H797" s="6"/>
      <c r="I797" s="6"/>
      <c r="J797" s="6"/>
      <c r="K797" s="6"/>
      <c r="L797" s="6"/>
      <c r="M797" s="6"/>
      <c r="N797" s="6"/>
    </row>
    <row r="798">
      <c r="A798" s="6"/>
      <c r="B798" s="6"/>
      <c r="C798" s="6"/>
      <c r="D798" s="6"/>
      <c r="E798" s="6"/>
      <c r="F798" s="6"/>
      <c r="G798" s="6"/>
      <c r="H798" s="6"/>
      <c r="I798" s="6"/>
      <c r="J798" s="6"/>
      <c r="K798" s="6"/>
      <c r="L798" s="6"/>
      <c r="M798" s="6"/>
      <c r="N798" s="6"/>
    </row>
    <row r="799">
      <c r="A799" s="6"/>
      <c r="B799" s="6"/>
      <c r="C799" s="6"/>
      <c r="D799" s="6"/>
      <c r="E799" s="6"/>
      <c r="F799" s="6"/>
      <c r="G799" s="6"/>
      <c r="H799" s="6"/>
      <c r="I799" s="6"/>
      <c r="J799" s="6"/>
      <c r="K799" s="6"/>
      <c r="L799" s="6"/>
      <c r="M799" s="6"/>
      <c r="N799" s="6"/>
    </row>
    <row r="800">
      <c r="A800" s="6"/>
      <c r="B800" s="6"/>
      <c r="C800" s="6"/>
      <c r="D800" s="6"/>
      <c r="E800" s="6"/>
      <c r="F800" s="6"/>
      <c r="G800" s="6"/>
      <c r="H800" s="6"/>
      <c r="I800" s="6"/>
      <c r="J800" s="6"/>
      <c r="K800" s="6"/>
      <c r="L800" s="6"/>
      <c r="M800" s="6"/>
      <c r="N800" s="6"/>
    </row>
    <row r="801">
      <c r="A801" s="6"/>
      <c r="B801" s="6"/>
      <c r="C801" s="6"/>
      <c r="D801" s="6"/>
      <c r="E801" s="6"/>
      <c r="F801" s="6"/>
      <c r="G801" s="6"/>
      <c r="H801" s="6"/>
      <c r="I801" s="6"/>
      <c r="J801" s="6"/>
      <c r="K801" s="6"/>
      <c r="L801" s="6"/>
      <c r="M801" s="6"/>
      <c r="N801" s="6"/>
    </row>
    <row r="802">
      <c r="A802" s="6"/>
      <c r="B802" s="6"/>
      <c r="C802" s="6"/>
      <c r="D802" s="6"/>
      <c r="E802" s="6"/>
      <c r="F802" s="6"/>
      <c r="G802" s="6"/>
      <c r="H802" s="6"/>
      <c r="I802" s="6"/>
      <c r="J802" s="6"/>
      <c r="K802" s="6"/>
      <c r="L802" s="6"/>
      <c r="M802" s="6"/>
      <c r="N802" s="6"/>
    </row>
    <row r="803">
      <c r="A803" s="6"/>
      <c r="B803" s="6"/>
      <c r="C803" s="6"/>
      <c r="D803" s="6"/>
      <c r="E803" s="6"/>
      <c r="F803" s="6"/>
      <c r="G803" s="6"/>
      <c r="H803" s="6"/>
      <c r="I803" s="6"/>
      <c r="J803" s="6"/>
      <c r="K803" s="6"/>
      <c r="L803" s="6"/>
      <c r="M803" s="6"/>
      <c r="N803" s="6"/>
    </row>
    <row r="804">
      <c r="A804" s="6"/>
      <c r="B804" s="6"/>
      <c r="C804" s="6"/>
      <c r="D804" s="6"/>
      <c r="E804" s="6"/>
      <c r="F804" s="6"/>
      <c r="G804" s="6"/>
      <c r="H804" s="6"/>
      <c r="I804" s="6"/>
      <c r="J804" s="6"/>
      <c r="K804" s="6"/>
      <c r="L804" s="6"/>
      <c r="M804" s="6"/>
      <c r="N804" s="6"/>
    </row>
    <row r="805">
      <c r="A805" s="6"/>
      <c r="B805" s="6"/>
      <c r="C805" s="6"/>
      <c r="D805" s="6"/>
      <c r="E805" s="6"/>
      <c r="F805" s="6"/>
      <c r="G805" s="6"/>
      <c r="H805" s="6"/>
      <c r="I805" s="6"/>
      <c r="J805" s="6"/>
      <c r="K805" s="6"/>
      <c r="L805" s="6"/>
      <c r="M805" s="6"/>
      <c r="N805" s="6"/>
    </row>
    <row r="806">
      <c r="A806" s="6"/>
      <c r="B806" s="6"/>
      <c r="C806" s="6"/>
      <c r="D806" s="6"/>
      <c r="E806" s="6"/>
      <c r="F806" s="6"/>
      <c r="G806" s="6"/>
      <c r="H806" s="6"/>
      <c r="I806" s="6"/>
      <c r="J806" s="6"/>
      <c r="K806" s="6"/>
      <c r="L806" s="6"/>
      <c r="M806" s="6"/>
      <c r="N806" s="6"/>
    </row>
    <row r="807">
      <c r="A807" s="6"/>
      <c r="B807" s="6"/>
      <c r="C807" s="6"/>
      <c r="D807" s="6"/>
      <c r="E807" s="6"/>
      <c r="F807" s="6"/>
      <c r="G807" s="6"/>
      <c r="H807" s="6"/>
      <c r="I807" s="6"/>
      <c r="J807" s="6"/>
      <c r="K807" s="6"/>
      <c r="L807" s="6"/>
      <c r="M807" s="6"/>
      <c r="N807" s="6"/>
    </row>
    <row r="808">
      <c r="A808" s="6"/>
      <c r="B808" s="6"/>
      <c r="C808" s="6"/>
      <c r="D808" s="6"/>
      <c r="E808" s="6"/>
      <c r="F808" s="6"/>
      <c r="G808" s="6"/>
      <c r="H808" s="6"/>
      <c r="I808" s="6"/>
      <c r="J808" s="6"/>
      <c r="K808" s="6"/>
      <c r="L808" s="6"/>
      <c r="M808" s="6"/>
      <c r="N808" s="6"/>
    </row>
    <row r="809">
      <c r="A809" s="6"/>
      <c r="B809" s="6"/>
      <c r="C809" s="6"/>
      <c r="D809" s="6"/>
      <c r="E809" s="6"/>
      <c r="F809" s="6"/>
      <c r="G809" s="6"/>
      <c r="H809" s="6"/>
      <c r="I809" s="6"/>
      <c r="J809" s="6"/>
      <c r="K809" s="6"/>
      <c r="L809" s="6"/>
      <c r="M809" s="6"/>
      <c r="N809" s="6"/>
    </row>
    <row r="810">
      <c r="A810" s="6"/>
      <c r="B810" s="6"/>
      <c r="C810" s="6"/>
      <c r="D810" s="6"/>
      <c r="E810" s="6"/>
      <c r="F810" s="6"/>
      <c r="G810" s="6"/>
      <c r="H810" s="6"/>
      <c r="I810" s="6"/>
      <c r="J810" s="6"/>
      <c r="K810" s="6"/>
      <c r="L810" s="6"/>
      <c r="M810" s="6"/>
      <c r="N810" s="6"/>
    </row>
    <row r="811">
      <c r="A811" s="6"/>
      <c r="B811" s="6"/>
      <c r="C811" s="6"/>
      <c r="D811" s="6"/>
      <c r="E811" s="6"/>
      <c r="F811" s="6"/>
      <c r="G811" s="6"/>
      <c r="H811" s="6"/>
      <c r="I811" s="6"/>
      <c r="J811" s="6"/>
      <c r="K811" s="6"/>
      <c r="L811" s="6"/>
      <c r="M811" s="6"/>
      <c r="N811" s="6"/>
    </row>
    <row r="812">
      <c r="A812" s="6"/>
      <c r="B812" s="6"/>
      <c r="C812" s="6"/>
      <c r="D812" s="6"/>
      <c r="E812" s="6"/>
      <c r="F812" s="6"/>
      <c r="G812" s="6"/>
      <c r="H812" s="6"/>
      <c r="I812" s="6"/>
      <c r="J812" s="6"/>
      <c r="K812" s="6"/>
      <c r="L812" s="6"/>
      <c r="M812" s="6"/>
      <c r="N812" s="6"/>
    </row>
    <row r="813">
      <c r="A813" s="6"/>
      <c r="B813" s="6"/>
      <c r="C813" s="6"/>
      <c r="D813" s="6"/>
      <c r="E813" s="6"/>
      <c r="F813" s="6"/>
      <c r="G813" s="6"/>
      <c r="H813" s="6"/>
      <c r="I813" s="6"/>
      <c r="J813" s="6"/>
      <c r="K813" s="6"/>
      <c r="L813" s="6"/>
      <c r="M813" s="6"/>
      <c r="N813" s="6"/>
    </row>
    <row r="814">
      <c r="A814" s="6"/>
      <c r="B814" s="6"/>
      <c r="C814" s="6"/>
      <c r="D814" s="6"/>
      <c r="E814" s="6"/>
      <c r="F814" s="6"/>
      <c r="G814" s="6"/>
      <c r="H814" s="6"/>
      <c r="I814" s="6"/>
      <c r="J814" s="6"/>
      <c r="K814" s="6"/>
      <c r="L814" s="6"/>
      <c r="M814" s="6"/>
      <c r="N814" s="6"/>
    </row>
    <row r="815">
      <c r="A815" s="6"/>
      <c r="B815" s="6"/>
      <c r="C815" s="6"/>
      <c r="D815" s="6"/>
      <c r="E815" s="6"/>
      <c r="F815" s="6"/>
      <c r="G815" s="6"/>
      <c r="H815" s="6"/>
      <c r="I815" s="6"/>
      <c r="J815" s="6"/>
      <c r="K815" s="6"/>
      <c r="L815" s="6"/>
      <c r="M815" s="6"/>
      <c r="N815" s="6"/>
    </row>
    <row r="816">
      <c r="A816" s="6"/>
      <c r="B816" s="6"/>
      <c r="C816" s="6"/>
      <c r="D816" s="6"/>
      <c r="E816" s="6"/>
      <c r="F816" s="6"/>
      <c r="G816" s="6"/>
      <c r="H816" s="6"/>
      <c r="I816" s="6"/>
      <c r="J816" s="6"/>
      <c r="K816" s="6"/>
      <c r="L816" s="6"/>
      <c r="M816" s="6"/>
      <c r="N816" s="6"/>
    </row>
    <row r="817">
      <c r="A817" s="6"/>
      <c r="B817" s="6"/>
      <c r="C817" s="6"/>
      <c r="D817" s="6"/>
      <c r="E817" s="6"/>
      <c r="F817" s="6"/>
      <c r="G817" s="6"/>
      <c r="H817" s="6"/>
      <c r="I817" s="6"/>
      <c r="J817" s="6"/>
      <c r="K817" s="6"/>
      <c r="L817" s="6"/>
      <c r="M817" s="6"/>
      <c r="N817" s="6"/>
    </row>
    <row r="818">
      <c r="A818" s="6"/>
      <c r="B818" s="6"/>
      <c r="C818" s="6"/>
      <c r="D818" s="6"/>
      <c r="E818" s="6"/>
      <c r="F818" s="6"/>
      <c r="G818" s="6"/>
      <c r="H818" s="6"/>
      <c r="I818" s="6"/>
      <c r="J818" s="6"/>
      <c r="K818" s="6"/>
      <c r="L818" s="6"/>
      <c r="M818" s="6"/>
      <c r="N818" s="6"/>
    </row>
    <row r="819">
      <c r="A819" s="6"/>
      <c r="B819" s="6"/>
      <c r="C819" s="6"/>
      <c r="D819" s="6"/>
      <c r="E819" s="6"/>
      <c r="F819" s="6"/>
      <c r="G819" s="6"/>
      <c r="H819" s="6"/>
      <c r="I819" s="6"/>
      <c r="J819" s="6"/>
      <c r="K819" s="6"/>
      <c r="L819" s="6"/>
      <c r="M819" s="6"/>
      <c r="N819" s="6"/>
    </row>
    <row r="820">
      <c r="A820" s="6"/>
      <c r="B820" s="6"/>
      <c r="C820" s="6"/>
      <c r="D820" s="6"/>
      <c r="E820" s="6"/>
      <c r="F820" s="6"/>
      <c r="G820" s="6"/>
      <c r="H820" s="6"/>
      <c r="I820" s="6"/>
      <c r="J820" s="6"/>
      <c r="K820" s="6"/>
      <c r="L820" s="6"/>
      <c r="M820" s="6"/>
      <c r="N820" s="6"/>
    </row>
    <row r="821">
      <c r="A821" s="6"/>
      <c r="B821" s="6"/>
      <c r="C821" s="6"/>
      <c r="D821" s="6"/>
      <c r="E821" s="6"/>
      <c r="F821" s="6"/>
      <c r="G821" s="6"/>
      <c r="H821" s="6"/>
      <c r="I821" s="6"/>
      <c r="J821" s="6"/>
      <c r="K821" s="6"/>
      <c r="L821" s="6"/>
      <c r="M821" s="6"/>
      <c r="N821" s="6"/>
    </row>
    <row r="822">
      <c r="A822" s="6"/>
      <c r="B822" s="6"/>
      <c r="C822" s="6"/>
      <c r="D822" s="6"/>
      <c r="E822" s="6"/>
      <c r="F822" s="6"/>
      <c r="G822" s="6"/>
      <c r="H822" s="6"/>
      <c r="I822" s="6"/>
      <c r="J822" s="6"/>
      <c r="K822" s="6"/>
      <c r="L822" s="6"/>
      <c r="M822" s="6"/>
      <c r="N822" s="6"/>
    </row>
    <row r="823">
      <c r="A823" s="6"/>
      <c r="B823" s="6"/>
      <c r="C823" s="6"/>
      <c r="D823" s="6"/>
      <c r="E823" s="6"/>
      <c r="F823" s="6"/>
      <c r="G823" s="6"/>
      <c r="H823" s="6"/>
      <c r="I823" s="6"/>
      <c r="J823" s="6"/>
      <c r="K823" s="6"/>
      <c r="L823" s="6"/>
      <c r="M823" s="6"/>
      <c r="N823" s="6"/>
    </row>
    <row r="824">
      <c r="A824" s="6"/>
      <c r="B824" s="6"/>
      <c r="C824" s="6"/>
      <c r="D824" s="6"/>
      <c r="E824" s="6"/>
      <c r="F824" s="6"/>
      <c r="G824" s="6"/>
      <c r="H824" s="6"/>
      <c r="I824" s="6"/>
      <c r="J824" s="6"/>
      <c r="K824" s="6"/>
      <c r="L824" s="6"/>
      <c r="M824" s="6"/>
      <c r="N824" s="6"/>
    </row>
    <row r="825">
      <c r="A825" s="6"/>
      <c r="B825" s="6"/>
      <c r="C825" s="6"/>
      <c r="D825" s="6"/>
      <c r="E825" s="6"/>
      <c r="F825" s="6"/>
      <c r="G825" s="6"/>
      <c r="H825" s="6"/>
      <c r="I825" s="6"/>
      <c r="J825" s="6"/>
      <c r="K825" s="6"/>
      <c r="L825" s="6"/>
      <c r="M825" s="6"/>
      <c r="N825" s="6"/>
    </row>
    <row r="826">
      <c r="A826" s="6"/>
      <c r="B826" s="6"/>
      <c r="C826" s="6"/>
      <c r="D826" s="6"/>
      <c r="E826" s="6"/>
      <c r="F826" s="6"/>
      <c r="G826" s="6"/>
      <c r="H826" s="6"/>
      <c r="I826" s="6"/>
      <c r="J826" s="6"/>
      <c r="K826" s="6"/>
      <c r="L826" s="6"/>
      <c r="M826" s="6"/>
      <c r="N826" s="6"/>
    </row>
    <row r="827">
      <c r="A827" s="6"/>
      <c r="B827" s="6"/>
      <c r="C827" s="6"/>
      <c r="D827" s="6"/>
      <c r="E827" s="6"/>
      <c r="F827" s="6"/>
      <c r="G827" s="6"/>
      <c r="H827" s="6"/>
      <c r="I827" s="6"/>
      <c r="J827" s="6"/>
      <c r="K827" s="6"/>
      <c r="L827" s="6"/>
      <c r="M827" s="6"/>
      <c r="N827" s="6"/>
    </row>
    <row r="828">
      <c r="A828" s="6"/>
      <c r="B828" s="6"/>
      <c r="C828" s="6"/>
      <c r="D828" s="6"/>
      <c r="E828" s="6"/>
      <c r="F828" s="6"/>
      <c r="G828" s="6"/>
      <c r="H828" s="6"/>
      <c r="I828" s="6"/>
      <c r="J828" s="6"/>
      <c r="K828" s="6"/>
      <c r="L828" s="6"/>
      <c r="M828" s="6"/>
      <c r="N828" s="6"/>
    </row>
    <row r="829">
      <c r="A829" s="6"/>
      <c r="B829" s="6"/>
      <c r="C829" s="6"/>
      <c r="D829" s="6"/>
      <c r="E829" s="6"/>
      <c r="F829" s="6"/>
      <c r="G829" s="6"/>
      <c r="H829" s="6"/>
      <c r="I829" s="6"/>
      <c r="J829" s="6"/>
      <c r="K829" s="6"/>
      <c r="L829" s="6"/>
      <c r="M829" s="6"/>
      <c r="N829" s="6"/>
    </row>
    <row r="830">
      <c r="A830" s="6"/>
      <c r="B830" s="6"/>
      <c r="C830" s="6"/>
      <c r="D830" s="6"/>
      <c r="E830" s="6"/>
      <c r="F830" s="6"/>
      <c r="G830" s="6"/>
      <c r="H830" s="6"/>
      <c r="I830" s="6"/>
      <c r="J830" s="6"/>
      <c r="K830" s="6"/>
      <c r="L830" s="6"/>
      <c r="M830" s="6"/>
      <c r="N830" s="6"/>
    </row>
    <row r="831">
      <c r="A831" s="6"/>
      <c r="B831" s="6"/>
      <c r="C831" s="6"/>
      <c r="D831" s="6"/>
      <c r="E831" s="6"/>
      <c r="F831" s="6"/>
      <c r="G831" s="6"/>
      <c r="H831" s="6"/>
      <c r="I831" s="6"/>
      <c r="J831" s="6"/>
      <c r="K831" s="6"/>
      <c r="L831" s="6"/>
      <c r="M831" s="6"/>
      <c r="N831" s="6"/>
    </row>
    <row r="832">
      <c r="A832" s="6"/>
      <c r="B832" s="6"/>
      <c r="C832" s="6"/>
      <c r="D832" s="6"/>
      <c r="E832" s="6"/>
      <c r="F832" s="6"/>
      <c r="G832" s="6"/>
      <c r="H832" s="6"/>
      <c r="I832" s="6"/>
      <c r="J832" s="6"/>
      <c r="K832" s="6"/>
      <c r="L832" s="6"/>
      <c r="M832" s="6"/>
      <c r="N832" s="6"/>
    </row>
    <row r="833">
      <c r="A833" s="6"/>
      <c r="B833" s="6"/>
      <c r="C833" s="6"/>
      <c r="D833" s="6"/>
      <c r="E833" s="6"/>
      <c r="F833" s="6"/>
      <c r="G833" s="6"/>
      <c r="H833" s="6"/>
      <c r="I833" s="6"/>
      <c r="J833" s="6"/>
      <c r="K833" s="6"/>
      <c r="L833" s="6"/>
      <c r="M833" s="6"/>
      <c r="N833" s="6"/>
    </row>
    <row r="834">
      <c r="A834" s="6"/>
      <c r="B834" s="6"/>
      <c r="C834" s="6"/>
      <c r="D834" s="6"/>
      <c r="E834" s="6"/>
      <c r="F834" s="6"/>
      <c r="G834" s="6"/>
      <c r="H834" s="6"/>
      <c r="I834" s="6"/>
      <c r="J834" s="6"/>
      <c r="K834" s="6"/>
      <c r="L834" s="6"/>
      <c r="M834" s="6"/>
      <c r="N834" s="6"/>
    </row>
    <row r="835">
      <c r="A835" s="6"/>
      <c r="B835" s="6"/>
      <c r="C835" s="6"/>
      <c r="D835" s="6"/>
      <c r="E835" s="6"/>
      <c r="F835" s="6"/>
      <c r="G835" s="6"/>
      <c r="H835" s="6"/>
      <c r="I835" s="6"/>
      <c r="J835" s="6"/>
      <c r="K835" s="6"/>
      <c r="L835" s="6"/>
      <c r="M835" s="6"/>
      <c r="N835" s="6"/>
    </row>
    <row r="836">
      <c r="A836" s="6"/>
      <c r="B836" s="6"/>
      <c r="C836" s="6"/>
      <c r="D836" s="6"/>
      <c r="E836" s="6"/>
      <c r="F836" s="6"/>
      <c r="G836" s="6"/>
      <c r="H836" s="6"/>
      <c r="I836" s="6"/>
      <c r="J836" s="6"/>
      <c r="K836" s="6"/>
      <c r="L836" s="6"/>
      <c r="M836" s="6"/>
      <c r="N836" s="6"/>
    </row>
    <row r="837">
      <c r="A837" s="6"/>
      <c r="B837" s="6"/>
      <c r="C837" s="6"/>
      <c r="D837" s="6"/>
      <c r="E837" s="6"/>
      <c r="F837" s="6"/>
      <c r="G837" s="6"/>
      <c r="H837" s="6"/>
      <c r="I837" s="6"/>
      <c r="J837" s="6"/>
      <c r="K837" s="6"/>
      <c r="L837" s="6"/>
      <c r="M837" s="6"/>
      <c r="N837" s="6"/>
    </row>
    <row r="838">
      <c r="A838" s="6"/>
      <c r="B838" s="6"/>
      <c r="C838" s="6"/>
      <c r="D838" s="6"/>
      <c r="E838" s="6"/>
      <c r="F838" s="6"/>
      <c r="G838" s="6"/>
      <c r="H838" s="6"/>
      <c r="I838" s="6"/>
      <c r="J838" s="6"/>
      <c r="K838" s="6"/>
      <c r="L838" s="6"/>
      <c r="M838" s="6"/>
      <c r="N838" s="6"/>
    </row>
    <row r="839">
      <c r="A839" s="6"/>
      <c r="B839" s="6"/>
      <c r="C839" s="6"/>
      <c r="D839" s="6"/>
      <c r="E839" s="6"/>
      <c r="F839" s="6"/>
      <c r="G839" s="6"/>
      <c r="H839" s="6"/>
      <c r="I839" s="6"/>
      <c r="J839" s="6"/>
      <c r="K839" s="6"/>
      <c r="L839" s="6"/>
      <c r="M839" s="6"/>
      <c r="N839" s="6"/>
    </row>
    <row r="840">
      <c r="A840" s="6"/>
      <c r="B840" s="6"/>
      <c r="C840" s="6"/>
      <c r="D840" s="6"/>
      <c r="E840" s="6"/>
      <c r="F840" s="6"/>
      <c r="G840" s="6"/>
      <c r="H840" s="6"/>
      <c r="I840" s="6"/>
      <c r="J840" s="6"/>
      <c r="K840" s="6"/>
      <c r="L840" s="6"/>
      <c r="M840" s="6"/>
      <c r="N840" s="6"/>
    </row>
    <row r="841">
      <c r="A841" s="6"/>
      <c r="B841" s="6"/>
      <c r="C841" s="6"/>
      <c r="D841" s="6"/>
      <c r="E841" s="6"/>
      <c r="F841" s="6"/>
      <c r="G841" s="6"/>
      <c r="H841" s="6"/>
      <c r="I841" s="6"/>
      <c r="J841" s="6"/>
      <c r="K841" s="6"/>
      <c r="L841" s="6"/>
      <c r="M841" s="6"/>
      <c r="N841" s="6"/>
    </row>
    <row r="842">
      <c r="A842" s="6"/>
      <c r="B842" s="6"/>
      <c r="C842" s="6"/>
      <c r="D842" s="6"/>
      <c r="E842" s="6"/>
      <c r="F842" s="6"/>
      <c r="G842" s="6"/>
      <c r="H842" s="6"/>
      <c r="I842" s="6"/>
      <c r="J842" s="6"/>
      <c r="K842" s="6"/>
      <c r="L842" s="6"/>
      <c r="M842" s="6"/>
      <c r="N842" s="6"/>
    </row>
    <row r="843">
      <c r="A843" s="6"/>
      <c r="B843" s="6"/>
      <c r="C843" s="6"/>
      <c r="D843" s="6"/>
      <c r="E843" s="6"/>
      <c r="F843" s="6"/>
      <c r="G843" s="6"/>
      <c r="H843" s="6"/>
      <c r="I843" s="6"/>
      <c r="J843" s="6"/>
      <c r="K843" s="6"/>
      <c r="L843" s="6"/>
      <c r="M843" s="6"/>
      <c r="N843" s="6"/>
    </row>
    <row r="844">
      <c r="A844" s="6"/>
      <c r="B844" s="6"/>
      <c r="C844" s="6"/>
      <c r="D844" s="6"/>
      <c r="E844" s="6"/>
      <c r="F844" s="6"/>
      <c r="G844" s="6"/>
      <c r="H844" s="6"/>
      <c r="I844" s="6"/>
      <c r="J844" s="6"/>
      <c r="K844" s="6"/>
      <c r="L844" s="6"/>
      <c r="M844" s="6"/>
      <c r="N844" s="6"/>
    </row>
    <row r="845">
      <c r="A845" s="6"/>
      <c r="B845" s="6"/>
      <c r="C845" s="6"/>
      <c r="D845" s="6"/>
      <c r="E845" s="6"/>
      <c r="F845" s="6"/>
      <c r="G845" s="6"/>
      <c r="H845" s="6"/>
      <c r="I845" s="6"/>
      <c r="J845" s="6"/>
      <c r="K845" s="6"/>
      <c r="L845" s="6"/>
      <c r="M845" s="6"/>
      <c r="N845" s="6"/>
    </row>
    <row r="846">
      <c r="A846" s="6"/>
      <c r="B846" s="6"/>
      <c r="C846" s="6"/>
      <c r="D846" s="6"/>
      <c r="E846" s="6"/>
      <c r="F846" s="6"/>
      <c r="G846" s="6"/>
      <c r="H846" s="6"/>
      <c r="I846" s="6"/>
      <c r="J846" s="6"/>
      <c r="K846" s="6"/>
      <c r="L846" s="6"/>
      <c r="M846" s="6"/>
      <c r="N846" s="6"/>
    </row>
    <row r="847">
      <c r="A847" s="6"/>
      <c r="B847" s="6"/>
      <c r="C847" s="6"/>
      <c r="D847" s="6"/>
      <c r="E847" s="6"/>
      <c r="F847" s="6"/>
      <c r="G847" s="6"/>
      <c r="H847" s="6"/>
      <c r="I847" s="6"/>
      <c r="J847" s="6"/>
      <c r="K847" s="6"/>
      <c r="L847" s="6"/>
      <c r="M847" s="6"/>
      <c r="N847" s="6"/>
    </row>
    <row r="848">
      <c r="A848" s="6"/>
      <c r="B848" s="6"/>
      <c r="C848" s="6"/>
      <c r="D848" s="6"/>
      <c r="E848" s="6"/>
      <c r="F848" s="6"/>
      <c r="G848" s="6"/>
      <c r="H848" s="6"/>
      <c r="I848" s="6"/>
      <c r="J848" s="6"/>
      <c r="K848" s="6"/>
      <c r="L848" s="6"/>
      <c r="M848" s="6"/>
      <c r="N848" s="6"/>
    </row>
    <row r="849">
      <c r="A849" s="6"/>
      <c r="B849" s="6"/>
      <c r="C849" s="6"/>
      <c r="D849" s="6"/>
      <c r="E849" s="6"/>
      <c r="F849" s="6"/>
      <c r="G849" s="6"/>
      <c r="H849" s="6"/>
      <c r="I849" s="6"/>
      <c r="J849" s="6"/>
      <c r="K849" s="6"/>
      <c r="L849" s="6"/>
      <c r="M849" s="6"/>
      <c r="N849" s="6"/>
    </row>
    <row r="850">
      <c r="A850" s="6"/>
      <c r="B850" s="6"/>
      <c r="C850" s="6"/>
      <c r="D850" s="6"/>
      <c r="E850" s="6"/>
      <c r="F850" s="6"/>
      <c r="G850" s="6"/>
      <c r="H850" s="6"/>
      <c r="I850" s="6"/>
      <c r="J850" s="6"/>
      <c r="K850" s="6"/>
      <c r="L850" s="6"/>
      <c r="M850" s="6"/>
      <c r="N850" s="6"/>
    </row>
    <row r="851">
      <c r="A851" s="6"/>
      <c r="B851" s="6"/>
      <c r="C851" s="6"/>
      <c r="D851" s="6"/>
      <c r="E851" s="6"/>
      <c r="F851" s="6"/>
      <c r="G851" s="6"/>
      <c r="H851" s="6"/>
      <c r="I851" s="6"/>
      <c r="J851" s="6"/>
      <c r="K851" s="6"/>
      <c r="L851" s="6"/>
      <c r="M851" s="6"/>
      <c r="N851" s="6"/>
    </row>
    <row r="852">
      <c r="A852" s="6"/>
      <c r="B852" s="6"/>
      <c r="C852" s="6"/>
      <c r="D852" s="6"/>
      <c r="E852" s="6"/>
      <c r="F852" s="6"/>
      <c r="G852" s="6"/>
      <c r="H852" s="6"/>
      <c r="I852" s="6"/>
      <c r="J852" s="6"/>
      <c r="K852" s="6"/>
      <c r="L852" s="6"/>
      <c r="M852" s="6"/>
      <c r="N852" s="6"/>
    </row>
    <row r="853">
      <c r="A853" s="6"/>
      <c r="B853" s="6"/>
      <c r="C853" s="6"/>
      <c r="D853" s="6"/>
      <c r="E853" s="6"/>
      <c r="F853" s="6"/>
      <c r="G853" s="6"/>
      <c r="H853" s="6"/>
      <c r="I853" s="6"/>
      <c r="J853" s="6"/>
      <c r="K853" s="6"/>
      <c r="L853" s="6"/>
      <c r="M853" s="6"/>
      <c r="N853" s="6"/>
    </row>
    <row r="854">
      <c r="A854" s="6"/>
      <c r="B854" s="6"/>
      <c r="C854" s="6"/>
      <c r="D854" s="6"/>
      <c r="E854" s="6"/>
      <c r="F854" s="6"/>
      <c r="G854" s="6"/>
      <c r="H854" s="6"/>
      <c r="I854" s="6"/>
      <c r="J854" s="6"/>
      <c r="K854" s="6"/>
      <c r="L854" s="6"/>
      <c r="M854" s="6"/>
      <c r="N854" s="6"/>
    </row>
    <row r="855">
      <c r="A855" s="6"/>
      <c r="B855" s="6"/>
      <c r="C855" s="6"/>
      <c r="D855" s="6"/>
      <c r="E855" s="6"/>
      <c r="F855" s="6"/>
      <c r="G855" s="6"/>
      <c r="H855" s="6"/>
      <c r="I855" s="6"/>
      <c r="J855" s="6"/>
      <c r="K855" s="6"/>
      <c r="L855" s="6"/>
      <c r="M855" s="6"/>
      <c r="N855" s="6"/>
    </row>
    <row r="856">
      <c r="A856" s="6"/>
      <c r="B856" s="6"/>
      <c r="C856" s="6"/>
      <c r="D856" s="6"/>
      <c r="E856" s="6"/>
      <c r="F856" s="6"/>
      <c r="G856" s="6"/>
      <c r="H856" s="6"/>
      <c r="I856" s="6"/>
      <c r="J856" s="6"/>
      <c r="K856" s="6"/>
      <c r="L856" s="6"/>
      <c r="M856" s="6"/>
      <c r="N856" s="6"/>
    </row>
    <row r="857">
      <c r="A857" s="6"/>
      <c r="B857" s="6"/>
      <c r="C857" s="6"/>
      <c r="D857" s="6"/>
      <c r="E857" s="6"/>
      <c r="F857" s="6"/>
      <c r="G857" s="6"/>
      <c r="H857" s="6"/>
      <c r="I857" s="6"/>
      <c r="J857" s="6"/>
      <c r="K857" s="6"/>
      <c r="L857" s="6"/>
      <c r="M857" s="6"/>
      <c r="N857" s="6"/>
    </row>
    <row r="858">
      <c r="A858" s="6"/>
      <c r="B858" s="6"/>
      <c r="C858" s="6"/>
      <c r="D858" s="6"/>
      <c r="E858" s="6"/>
      <c r="F858" s="6"/>
      <c r="G858" s="6"/>
      <c r="H858" s="6"/>
      <c r="I858" s="6"/>
      <c r="J858" s="6"/>
      <c r="K858" s="6"/>
      <c r="L858" s="6"/>
      <c r="M858" s="6"/>
      <c r="N858" s="6"/>
    </row>
    <row r="859">
      <c r="A859" s="6"/>
      <c r="B859" s="6"/>
      <c r="C859" s="6"/>
      <c r="D859" s="6"/>
      <c r="E859" s="6"/>
      <c r="F859" s="6"/>
      <c r="G859" s="6"/>
      <c r="H859" s="6"/>
      <c r="I859" s="6"/>
      <c r="J859" s="6"/>
      <c r="K859" s="6"/>
      <c r="L859" s="6"/>
      <c r="M859" s="6"/>
      <c r="N859" s="6"/>
    </row>
    <row r="860">
      <c r="A860" s="6"/>
      <c r="B860" s="6"/>
      <c r="C860" s="6"/>
      <c r="D860" s="6"/>
      <c r="E860" s="6"/>
      <c r="F860" s="6"/>
      <c r="G860" s="6"/>
      <c r="H860" s="6"/>
      <c r="I860" s="6"/>
      <c r="J860" s="6"/>
      <c r="K860" s="6"/>
      <c r="L860" s="6"/>
      <c r="M860" s="6"/>
      <c r="N860" s="6"/>
    </row>
    <row r="861">
      <c r="A861" s="6"/>
      <c r="B861" s="6"/>
      <c r="C861" s="6"/>
      <c r="D861" s="6"/>
      <c r="E861" s="6"/>
      <c r="F861" s="6"/>
      <c r="G861" s="6"/>
      <c r="H861" s="6"/>
      <c r="I861" s="6"/>
      <c r="J861" s="6"/>
      <c r="K861" s="6"/>
      <c r="L861" s="6"/>
      <c r="M861" s="6"/>
      <c r="N861" s="6"/>
    </row>
    <row r="862">
      <c r="A862" s="6"/>
      <c r="B862" s="6"/>
      <c r="C862" s="6"/>
      <c r="D862" s="6"/>
      <c r="E862" s="6"/>
      <c r="F862" s="6"/>
      <c r="G862" s="6"/>
      <c r="H862" s="6"/>
      <c r="I862" s="6"/>
      <c r="J862" s="6"/>
      <c r="K862" s="6"/>
      <c r="L862" s="6"/>
      <c r="M862" s="6"/>
      <c r="N862" s="6"/>
    </row>
    <row r="863">
      <c r="A863" s="6"/>
      <c r="B863" s="6"/>
      <c r="C863" s="6"/>
      <c r="D863" s="6"/>
      <c r="E863" s="6"/>
      <c r="F863" s="6"/>
      <c r="G863" s="6"/>
      <c r="H863" s="6"/>
      <c r="I863" s="6"/>
      <c r="J863" s="6"/>
      <c r="K863" s="6"/>
      <c r="L863" s="6"/>
      <c r="M863" s="6"/>
      <c r="N863" s="6"/>
    </row>
    <row r="864">
      <c r="A864" s="6"/>
      <c r="B864" s="6"/>
      <c r="C864" s="6"/>
      <c r="D864" s="6"/>
      <c r="E864" s="6"/>
      <c r="F864" s="6"/>
      <c r="G864" s="6"/>
      <c r="H864" s="6"/>
      <c r="I864" s="6"/>
      <c r="J864" s="6"/>
      <c r="K864" s="6"/>
      <c r="L864" s="6"/>
      <c r="M864" s="6"/>
      <c r="N864" s="6"/>
    </row>
    <row r="865">
      <c r="A865" s="6"/>
      <c r="B865" s="6"/>
      <c r="C865" s="6"/>
      <c r="D865" s="6"/>
      <c r="E865" s="6"/>
      <c r="F865" s="6"/>
      <c r="G865" s="6"/>
      <c r="H865" s="6"/>
      <c r="I865" s="6"/>
      <c r="J865" s="6"/>
      <c r="K865" s="6"/>
      <c r="L865" s="6"/>
      <c r="M865" s="6"/>
      <c r="N865" s="6"/>
    </row>
    <row r="866">
      <c r="A866" s="6"/>
      <c r="B866" s="6"/>
      <c r="C866" s="6"/>
      <c r="D866" s="6"/>
      <c r="E866" s="6"/>
      <c r="F866" s="6"/>
      <c r="G866" s="6"/>
      <c r="H866" s="6"/>
      <c r="I866" s="6"/>
      <c r="J866" s="6"/>
      <c r="K866" s="6"/>
      <c r="L866" s="6"/>
      <c r="M866" s="6"/>
      <c r="N866" s="6"/>
    </row>
    <row r="867">
      <c r="A867" s="6"/>
      <c r="B867" s="6"/>
      <c r="C867" s="6"/>
      <c r="D867" s="6"/>
      <c r="E867" s="6"/>
      <c r="F867" s="6"/>
      <c r="G867" s="6"/>
      <c r="H867" s="6"/>
      <c r="I867" s="6"/>
      <c r="J867" s="6"/>
      <c r="K867" s="6"/>
      <c r="L867" s="6"/>
      <c r="M867" s="6"/>
      <c r="N867" s="6"/>
    </row>
    <row r="868">
      <c r="A868" s="6"/>
      <c r="B868" s="6"/>
      <c r="C868" s="6"/>
      <c r="D868" s="6"/>
      <c r="E868" s="6"/>
      <c r="F868" s="6"/>
      <c r="G868" s="6"/>
      <c r="H868" s="6"/>
      <c r="I868" s="6"/>
      <c r="J868" s="6"/>
      <c r="K868" s="6"/>
      <c r="L868" s="6"/>
      <c r="M868" s="6"/>
      <c r="N868" s="6"/>
    </row>
    <row r="869">
      <c r="A869" s="6"/>
      <c r="B869" s="6"/>
      <c r="C869" s="6"/>
      <c r="D869" s="6"/>
      <c r="E869" s="6"/>
      <c r="F869" s="6"/>
      <c r="G869" s="6"/>
      <c r="H869" s="6"/>
      <c r="I869" s="6"/>
      <c r="J869" s="6"/>
      <c r="K869" s="6"/>
      <c r="L869" s="6"/>
      <c r="M869" s="6"/>
      <c r="N869" s="6"/>
    </row>
    <row r="870">
      <c r="A870" s="6"/>
      <c r="B870" s="6"/>
      <c r="C870" s="6"/>
      <c r="D870" s="6"/>
      <c r="E870" s="6"/>
      <c r="F870" s="6"/>
      <c r="G870" s="6"/>
      <c r="H870" s="6"/>
      <c r="I870" s="6"/>
      <c r="J870" s="6"/>
      <c r="K870" s="6"/>
      <c r="L870" s="6"/>
      <c r="M870" s="6"/>
      <c r="N870" s="6"/>
    </row>
    <row r="871">
      <c r="A871" s="6"/>
      <c r="B871" s="6"/>
      <c r="C871" s="6"/>
      <c r="D871" s="6"/>
      <c r="E871" s="6"/>
      <c r="F871" s="6"/>
      <c r="G871" s="6"/>
      <c r="H871" s="6"/>
      <c r="I871" s="6"/>
      <c r="J871" s="6"/>
      <c r="K871" s="6"/>
      <c r="L871" s="6"/>
      <c r="M871" s="6"/>
      <c r="N871" s="6"/>
    </row>
    <row r="872">
      <c r="A872" s="6"/>
      <c r="B872" s="6"/>
      <c r="C872" s="6"/>
      <c r="D872" s="6"/>
      <c r="E872" s="6"/>
      <c r="F872" s="6"/>
      <c r="G872" s="6"/>
      <c r="H872" s="6"/>
      <c r="I872" s="6"/>
      <c r="J872" s="6"/>
      <c r="K872" s="6"/>
      <c r="L872" s="6"/>
      <c r="M872" s="6"/>
      <c r="N872" s="6"/>
    </row>
    <row r="873">
      <c r="A873" s="6"/>
      <c r="B873" s="6"/>
      <c r="C873" s="6"/>
      <c r="D873" s="6"/>
      <c r="E873" s="6"/>
      <c r="F873" s="6"/>
      <c r="G873" s="6"/>
      <c r="H873" s="6"/>
      <c r="I873" s="6"/>
      <c r="J873" s="6"/>
      <c r="K873" s="6"/>
      <c r="L873" s="6"/>
      <c r="M873" s="6"/>
      <c r="N873" s="6"/>
    </row>
    <row r="874">
      <c r="A874" s="6"/>
      <c r="B874" s="6"/>
      <c r="C874" s="6"/>
      <c r="D874" s="6"/>
      <c r="E874" s="6"/>
      <c r="F874" s="6"/>
      <c r="G874" s="6"/>
      <c r="H874" s="6"/>
      <c r="I874" s="6"/>
      <c r="J874" s="6"/>
      <c r="K874" s="6"/>
      <c r="L874" s="6"/>
      <c r="M874" s="6"/>
      <c r="N874" s="6"/>
    </row>
    <row r="875">
      <c r="A875" s="6"/>
      <c r="B875" s="6"/>
      <c r="C875" s="6"/>
      <c r="D875" s="6"/>
      <c r="E875" s="6"/>
      <c r="F875" s="6"/>
      <c r="G875" s="6"/>
      <c r="H875" s="6"/>
      <c r="I875" s="6"/>
      <c r="J875" s="6"/>
      <c r="K875" s="6"/>
      <c r="L875" s="6"/>
      <c r="M875" s="6"/>
      <c r="N875" s="6"/>
    </row>
    <row r="876">
      <c r="A876" s="6"/>
      <c r="B876" s="6"/>
      <c r="C876" s="6"/>
      <c r="D876" s="6"/>
      <c r="E876" s="6"/>
      <c r="F876" s="6"/>
      <c r="G876" s="6"/>
      <c r="H876" s="6"/>
      <c r="I876" s="6"/>
      <c r="J876" s="6"/>
      <c r="K876" s="6"/>
      <c r="L876" s="6"/>
      <c r="M876" s="6"/>
      <c r="N876" s="6"/>
    </row>
    <row r="877">
      <c r="A877" s="6"/>
      <c r="B877" s="6"/>
      <c r="C877" s="6"/>
      <c r="D877" s="6"/>
      <c r="E877" s="6"/>
      <c r="F877" s="6"/>
      <c r="G877" s="6"/>
      <c r="H877" s="6"/>
      <c r="I877" s="6"/>
      <c r="J877" s="6"/>
      <c r="K877" s="6"/>
      <c r="L877" s="6"/>
      <c r="M877" s="6"/>
      <c r="N877" s="6"/>
    </row>
    <row r="878">
      <c r="A878" s="6"/>
      <c r="B878" s="6"/>
      <c r="C878" s="6"/>
      <c r="D878" s="6"/>
      <c r="E878" s="6"/>
      <c r="F878" s="6"/>
      <c r="G878" s="6"/>
      <c r="H878" s="6"/>
      <c r="I878" s="6"/>
      <c r="J878" s="6"/>
      <c r="K878" s="6"/>
      <c r="L878" s="6"/>
      <c r="M878" s="6"/>
      <c r="N878" s="6"/>
    </row>
    <row r="879">
      <c r="A879" s="6"/>
      <c r="B879" s="6"/>
      <c r="C879" s="6"/>
      <c r="D879" s="6"/>
      <c r="E879" s="6"/>
      <c r="F879" s="6"/>
      <c r="G879" s="6"/>
      <c r="H879" s="6"/>
      <c r="I879" s="6"/>
      <c r="J879" s="6"/>
      <c r="K879" s="6"/>
      <c r="L879" s="6"/>
      <c r="M879" s="6"/>
      <c r="N879" s="6"/>
    </row>
    <row r="880">
      <c r="A880" s="6"/>
      <c r="B880" s="6"/>
      <c r="C880" s="6"/>
      <c r="D880" s="6"/>
      <c r="E880" s="6"/>
      <c r="F880" s="6"/>
      <c r="G880" s="6"/>
      <c r="H880" s="6"/>
      <c r="I880" s="6"/>
      <c r="J880" s="6"/>
      <c r="K880" s="6"/>
      <c r="L880" s="6"/>
      <c r="M880" s="6"/>
      <c r="N880" s="6"/>
    </row>
    <row r="881">
      <c r="A881" s="6"/>
      <c r="B881" s="6"/>
      <c r="C881" s="6"/>
      <c r="D881" s="6"/>
      <c r="E881" s="6"/>
      <c r="F881" s="6"/>
      <c r="G881" s="6"/>
      <c r="H881" s="6"/>
      <c r="I881" s="6"/>
      <c r="J881" s="6"/>
      <c r="K881" s="6"/>
      <c r="L881" s="6"/>
      <c r="M881" s="6"/>
      <c r="N881" s="6"/>
    </row>
    <row r="882">
      <c r="A882" s="6"/>
      <c r="B882" s="6"/>
      <c r="C882" s="6"/>
      <c r="D882" s="6"/>
      <c r="E882" s="6"/>
      <c r="F882" s="6"/>
      <c r="G882" s="6"/>
      <c r="H882" s="6"/>
      <c r="I882" s="6"/>
      <c r="J882" s="6"/>
      <c r="K882" s="6"/>
      <c r="L882" s="6"/>
      <c r="M882" s="6"/>
      <c r="N882" s="6"/>
    </row>
    <row r="883">
      <c r="A883" s="6"/>
      <c r="B883" s="6"/>
      <c r="C883" s="6"/>
      <c r="D883" s="6"/>
      <c r="E883" s="6"/>
      <c r="F883" s="6"/>
      <c r="G883" s="6"/>
      <c r="H883" s="6"/>
      <c r="I883" s="6"/>
      <c r="J883" s="6"/>
      <c r="K883" s="6"/>
      <c r="L883" s="6"/>
      <c r="M883" s="6"/>
      <c r="N883" s="6"/>
    </row>
    <row r="884">
      <c r="A884" s="6"/>
      <c r="B884" s="6"/>
      <c r="C884" s="6"/>
      <c r="D884" s="6"/>
      <c r="E884" s="6"/>
      <c r="F884" s="6"/>
      <c r="G884" s="6"/>
      <c r="H884" s="6"/>
      <c r="I884" s="6"/>
      <c r="J884" s="6"/>
      <c r="K884" s="6"/>
      <c r="L884" s="6"/>
      <c r="M884" s="6"/>
      <c r="N884" s="6"/>
    </row>
    <row r="885">
      <c r="A885" s="6"/>
      <c r="B885" s="6"/>
      <c r="C885" s="6"/>
      <c r="D885" s="6"/>
      <c r="E885" s="6"/>
      <c r="F885" s="6"/>
      <c r="G885" s="6"/>
      <c r="H885" s="6"/>
      <c r="I885" s="6"/>
      <c r="J885" s="6"/>
      <c r="K885" s="6"/>
      <c r="L885" s="6"/>
      <c r="M885" s="6"/>
      <c r="N885" s="6"/>
    </row>
    <row r="886">
      <c r="A886" s="6"/>
      <c r="B886" s="6"/>
      <c r="C886" s="6"/>
      <c r="D886" s="6"/>
      <c r="E886" s="6"/>
      <c r="F886" s="6"/>
      <c r="G886" s="6"/>
      <c r="H886" s="6"/>
      <c r="I886" s="6"/>
      <c r="J886" s="6"/>
      <c r="K886" s="6"/>
      <c r="L886" s="6"/>
      <c r="M886" s="6"/>
      <c r="N886" s="6"/>
    </row>
    <row r="887">
      <c r="A887" s="6"/>
      <c r="B887" s="6"/>
      <c r="C887" s="6"/>
      <c r="D887" s="6"/>
      <c r="E887" s="6"/>
      <c r="F887" s="6"/>
      <c r="G887" s="6"/>
      <c r="H887" s="6"/>
      <c r="I887" s="6"/>
      <c r="J887" s="6"/>
      <c r="K887" s="6"/>
      <c r="L887" s="6"/>
      <c r="M887" s="6"/>
      <c r="N887" s="6"/>
    </row>
    <row r="888">
      <c r="A888" s="6"/>
      <c r="B888" s="6"/>
      <c r="C888" s="6"/>
      <c r="D888" s="6"/>
      <c r="E888" s="6"/>
      <c r="F888" s="6"/>
      <c r="G888" s="6"/>
      <c r="H888" s="6"/>
      <c r="I888" s="6"/>
      <c r="J888" s="6"/>
      <c r="K888" s="6"/>
      <c r="L888" s="6"/>
      <c r="M888" s="6"/>
      <c r="N888" s="6"/>
    </row>
    <row r="889">
      <c r="A889" s="6"/>
      <c r="B889" s="6"/>
      <c r="C889" s="6"/>
      <c r="D889" s="6"/>
      <c r="E889" s="6"/>
      <c r="F889" s="6"/>
      <c r="G889" s="6"/>
      <c r="H889" s="6"/>
      <c r="I889" s="6"/>
      <c r="J889" s="6"/>
      <c r="K889" s="6"/>
      <c r="L889" s="6"/>
      <c r="M889" s="6"/>
      <c r="N889" s="6"/>
    </row>
    <row r="890">
      <c r="A890" s="6"/>
      <c r="B890" s="6"/>
      <c r="C890" s="6"/>
      <c r="D890" s="6"/>
      <c r="E890" s="6"/>
      <c r="F890" s="6"/>
      <c r="G890" s="6"/>
      <c r="H890" s="6"/>
      <c r="I890" s="6"/>
      <c r="J890" s="6"/>
      <c r="K890" s="6"/>
      <c r="L890" s="6"/>
      <c r="M890" s="6"/>
      <c r="N890" s="6"/>
    </row>
    <row r="891">
      <c r="A891" s="6"/>
      <c r="B891" s="6"/>
      <c r="C891" s="6"/>
      <c r="D891" s="6"/>
      <c r="E891" s="6"/>
      <c r="F891" s="6"/>
      <c r="G891" s="6"/>
      <c r="H891" s="6"/>
      <c r="I891" s="6"/>
      <c r="J891" s="6"/>
      <c r="K891" s="6"/>
      <c r="L891" s="6"/>
      <c r="M891" s="6"/>
      <c r="N891" s="6"/>
    </row>
    <row r="892">
      <c r="A892" s="6"/>
      <c r="B892" s="6"/>
      <c r="C892" s="6"/>
      <c r="D892" s="6"/>
      <c r="E892" s="6"/>
      <c r="F892" s="6"/>
      <c r="G892" s="6"/>
      <c r="H892" s="6"/>
      <c r="I892" s="6"/>
      <c r="J892" s="6"/>
      <c r="K892" s="6"/>
      <c r="L892" s="6"/>
      <c r="M892" s="6"/>
      <c r="N892" s="6"/>
    </row>
    <row r="893">
      <c r="A893" s="6"/>
      <c r="B893" s="6"/>
      <c r="C893" s="6"/>
      <c r="D893" s="6"/>
      <c r="E893" s="6"/>
      <c r="F893" s="6"/>
      <c r="G893" s="6"/>
      <c r="H893" s="6"/>
      <c r="I893" s="6"/>
      <c r="J893" s="6"/>
      <c r="K893" s="6"/>
      <c r="L893" s="6"/>
      <c r="M893" s="6"/>
      <c r="N893" s="6"/>
    </row>
    <row r="894">
      <c r="A894" s="6"/>
      <c r="B894" s="6"/>
      <c r="C894" s="6"/>
      <c r="D894" s="6"/>
      <c r="E894" s="6"/>
      <c r="F894" s="6"/>
      <c r="G894" s="6"/>
      <c r="H894" s="6"/>
      <c r="I894" s="6"/>
      <c r="J894" s="6"/>
      <c r="K894" s="6"/>
      <c r="L894" s="6"/>
      <c r="M894" s="6"/>
      <c r="N894" s="6"/>
    </row>
    <row r="895">
      <c r="A895" s="6"/>
      <c r="B895" s="6"/>
      <c r="C895" s="6"/>
      <c r="D895" s="6"/>
      <c r="E895" s="6"/>
      <c r="F895" s="6"/>
      <c r="G895" s="6"/>
      <c r="H895" s="6"/>
      <c r="I895" s="6"/>
      <c r="J895" s="6"/>
      <c r="K895" s="6"/>
      <c r="L895" s="6"/>
      <c r="M895" s="6"/>
      <c r="N895" s="6"/>
    </row>
    <row r="896">
      <c r="A896" s="6"/>
      <c r="B896" s="6"/>
      <c r="C896" s="6"/>
      <c r="D896" s="6"/>
      <c r="E896" s="6"/>
      <c r="F896" s="6"/>
      <c r="G896" s="6"/>
      <c r="H896" s="6"/>
      <c r="I896" s="6"/>
      <c r="J896" s="6"/>
      <c r="K896" s="6"/>
      <c r="L896" s="6"/>
      <c r="M896" s="6"/>
      <c r="N896" s="6"/>
    </row>
    <row r="897">
      <c r="A897" s="6"/>
      <c r="B897" s="6"/>
      <c r="C897" s="6"/>
      <c r="D897" s="6"/>
      <c r="E897" s="6"/>
      <c r="F897" s="6"/>
      <c r="G897" s="6"/>
      <c r="H897" s="6"/>
      <c r="I897" s="6"/>
      <c r="J897" s="6"/>
      <c r="K897" s="6"/>
      <c r="L897" s="6"/>
      <c r="M897" s="6"/>
      <c r="N897" s="6"/>
    </row>
    <row r="898">
      <c r="A898" s="6"/>
      <c r="B898" s="6"/>
      <c r="C898" s="6"/>
      <c r="D898" s="6"/>
      <c r="E898" s="6"/>
      <c r="F898" s="6"/>
      <c r="G898" s="6"/>
      <c r="H898" s="6"/>
      <c r="I898" s="6"/>
      <c r="J898" s="6"/>
      <c r="K898" s="6"/>
      <c r="L898" s="6"/>
      <c r="M898" s="6"/>
      <c r="N898" s="6"/>
    </row>
    <row r="899">
      <c r="A899" s="6"/>
      <c r="B899" s="6"/>
      <c r="C899" s="6"/>
      <c r="D899" s="6"/>
      <c r="E899" s="6"/>
      <c r="F899" s="6"/>
      <c r="G899" s="6"/>
      <c r="H899" s="6"/>
      <c r="I899" s="6"/>
      <c r="J899" s="6"/>
      <c r="K899" s="6"/>
      <c r="L899" s="6"/>
      <c r="M899" s="6"/>
      <c r="N899" s="6"/>
    </row>
    <row r="900">
      <c r="A900" s="6"/>
      <c r="B900" s="6"/>
      <c r="C900" s="6"/>
      <c r="D900" s="6"/>
      <c r="E900" s="6"/>
      <c r="F900" s="6"/>
      <c r="G900" s="6"/>
      <c r="H900" s="6"/>
      <c r="I900" s="6"/>
      <c r="J900" s="6"/>
      <c r="K900" s="6"/>
      <c r="L900" s="6"/>
      <c r="M900" s="6"/>
      <c r="N900" s="6"/>
    </row>
    <row r="901">
      <c r="A901" s="6"/>
      <c r="B901" s="6"/>
      <c r="C901" s="6"/>
      <c r="D901" s="6"/>
      <c r="E901" s="6"/>
      <c r="F901" s="6"/>
      <c r="G901" s="6"/>
      <c r="H901" s="6"/>
      <c r="I901" s="6"/>
      <c r="J901" s="6"/>
      <c r="K901" s="6"/>
      <c r="L901" s="6"/>
      <c r="M901" s="6"/>
      <c r="N901" s="6"/>
    </row>
    <row r="902">
      <c r="A902" s="6"/>
      <c r="B902" s="6"/>
      <c r="C902" s="6"/>
      <c r="D902" s="6"/>
      <c r="E902" s="6"/>
      <c r="F902" s="6"/>
      <c r="G902" s="6"/>
      <c r="H902" s="6"/>
      <c r="I902" s="6"/>
      <c r="J902" s="6"/>
      <c r="K902" s="6"/>
      <c r="L902" s="6"/>
      <c r="M902" s="6"/>
      <c r="N902" s="6"/>
    </row>
    <row r="903">
      <c r="A903" s="6"/>
      <c r="B903" s="6"/>
      <c r="C903" s="6"/>
      <c r="D903" s="6"/>
      <c r="E903" s="6"/>
      <c r="F903" s="6"/>
      <c r="G903" s="6"/>
      <c r="H903" s="6"/>
      <c r="I903" s="6"/>
      <c r="J903" s="6"/>
      <c r="K903" s="6"/>
      <c r="L903" s="6"/>
      <c r="M903" s="6"/>
      <c r="N903" s="6"/>
    </row>
    <row r="904">
      <c r="A904" s="6"/>
      <c r="B904" s="6"/>
      <c r="C904" s="6"/>
      <c r="D904" s="6"/>
      <c r="E904" s="6"/>
      <c r="F904" s="6"/>
      <c r="G904" s="6"/>
      <c r="H904" s="6"/>
      <c r="I904" s="6"/>
      <c r="J904" s="6"/>
      <c r="K904" s="6"/>
      <c r="L904" s="6"/>
      <c r="M904" s="6"/>
      <c r="N904" s="6"/>
    </row>
    <row r="905">
      <c r="A905" s="6"/>
      <c r="B905" s="6"/>
      <c r="C905" s="6"/>
      <c r="D905" s="6"/>
      <c r="E905" s="6"/>
      <c r="F905" s="6"/>
      <c r="G905" s="6"/>
      <c r="H905" s="6"/>
      <c r="I905" s="6"/>
      <c r="J905" s="6"/>
      <c r="K905" s="6"/>
      <c r="L905" s="6"/>
      <c r="M905" s="6"/>
      <c r="N905" s="6"/>
    </row>
    <row r="906">
      <c r="A906" s="6"/>
      <c r="B906" s="6"/>
      <c r="C906" s="6"/>
      <c r="D906" s="6"/>
      <c r="E906" s="6"/>
      <c r="F906" s="6"/>
      <c r="G906" s="6"/>
      <c r="H906" s="6"/>
      <c r="I906" s="6"/>
      <c r="J906" s="6"/>
      <c r="K906" s="6"/>
      <c r="L906" s="6"/>
      <c r="M906" s="6"/>
      <c r="N906" s="6"/>
    </row>
    <row r="907">
      <c r="A907" s="6"/>
      <c r="B907" s="6"/>
      <c r="C907" s="6"/>
      <c r="D907" s="6"/>
      <c r="E907" s="6"/>
      <c r="F907" s="6"/>
      <c r="G907" s="6"/>
      <c r="H907" s="6"/>
      <c r="I907" s="6"/>
      <c r="J907" s="6"/>
      <c r="K907" s="6"/>
      <c r="L907" s="6"/>
      <c r="M907" s="6"/>
      <c r="N907" s="6"/>
    </row>
    <row r="908">
      <c r="A908" s="6"/>
      <c r="B908" s="6"/>
      <c r="C908" s="6"/>
      <c r="D908" s="6"/>
      <c r="E908" s="6"/>
      <c r="F908" s="6"/>
      <c r="G908" s="6"/>
      <c r="H908" s="6"/>
      <c r="I908" s="6"/>
      <c r="J908" s="6"/>
      <c r="K908" s="6"/>
      <c r="L908" s="6"/>
      <c r="M908" s="6"/>
      <c r="N908" s="6"/>
    </row>
    <row r="909">
      <c r="A909" s="6"/>
      <c r="B909" s="6"/>
      <c r="C909" s="6"/>
      <c r="D909" s="6"/>
      <c r="E909" s="6"/>
      <c r="F909" s="6"/>
      <c r="G909" s="6"/>
      <c r="H909" s="6"/>
      <c r="I909" s="6"/>
      <c r="J909" s="6"/>
      <c r="K909" s="6"/>
      <c r="L909" s="6"/>
      <c r="M909" s="6"/>
      <c r="N909" s="6"/>
    </row>
    <row r="910">
      <c r="A910" s="6"/>
      <c r="B910" s="6"/>
      <c r="C910" s="6"/>
      <c r="D910" s="6"/>
      <c r="E910" s="6"/>
      <c r="F910" s="6"/>
      <c r="G910" s="6"/>
      <c r="H910" s="6"/>
      <c r="I910" s="6"/>
      <c r="J910" s="6"/>
      <c r="K910" s="6"/>
      <c r="L910" s="6"/>
      <c r="M910" s="6"/>
      <c r="N910" s="6"/>
    </row>
    <row r="911">
      <c r="A911" s="6"/>
      <c r="B911" s="6"/>
      <c r="C911" s="6"/>
      <c r="D911" s="6"/>
      <c r="E911" s="6"/>
      <c r="F911" s="6"/>
      <c r="G911" s="6"/>
      <c r="H911" s="6"/>
      <c r="I911" s="6"/>
      <c r="J911" s="6"/>
      <c r="K911" s="6"/>
      <c r="L911" s="6"/>
      <c r="M911" s="6"/>
      <c r="N911" s="6"/>
    </row>
    <row r="912">
      <c r="A912" s="6"/>
      <c r="B912" s="6"/>
      <c r="C912" s="6"/>
      <c r="D912" s="6"/>
      <c r="E912" s="6"/>
      <c r="F912" s="6"/>
      <c r="G912" s="6"/>
      <c r="H912" s="6"/>
      <c r="I912" s="6"/>
      <c r="J912" s="6"/>
      <c r="K912" s="6"/>
      <c r="L912" s="6"/>
      <c r="M912" s="6"/>
      <c r="N912" s="6"/>
    </row>
    <row r="913">
      <c r="A913" s="6"/>
      <c r="B913" s="6"/>
      <c r="C913" s="6"/>
      <c r="D913" s="6"/>
      <c r="E913" s="6"/>
      <c r="F913" s="6"/>
      <c r="G913" s="6"/>
      <c r="H913" s="6"/>
      <c r="I913" s="6"/>
      <c r="J913" s="6"/>
      <c r="K913" s="6"/>
      <c r="L913" s="6"/>
      <c r="M913" s="6"/>
      <c r="N913" s="6"/>
    </row>
    <row r="914">
      <c r="A914" s="6"/>
      <c r="B914" s="6"/>
      <c r="C914" s="6"/>
      <c r="D914" s="6"/>
      <c r="E914" s="6"/>
      <c r="F914" s="6"/>
      <c r="G914" s="6"/>
      <c r="H914" s="6"/>
      <c r="I914" s="6"/>
      <c r="J914" s="6"/>
      <c r="K914" s="6"/>
      <c r="L914" s="6"/>
      <c r="M914" s="6"/>
      <c r="N914" s="6"/>
    </row>
    <row r="915">
      <c r="A915" s="6"/>
      <c r="B915" s="6"/>
      <c r="C915" s="6"/>
      <c r="D915" s="6"/>
      <c r="E915" s="6"/>
      <c r="F915" s="6"/>
      <c r="G915" s="6"/>
      <c r="H915" s="6"/>
      <c r="I915" s="6"/>
      <c r="J915" s="6"/>
      <c r="K915" s="6"/>
      <c r="L915" s="6"/>
      <c r="M915" s="6"/>
      <c r="N915" s="6"/>
    </row>
    <row r="916">
      <c r="A916" s="6"/>
      <c r="B916" s="6"/>
      <c r="C916" s="6"/>
      <c r="D916" s="6"/>
      <c r="E916" s="6"/>
      <c r="F916" s="6"/>
      <c r="G916" s="6"/>
      <c r="H916" s="6"/>
      <c r="I916" s="6"/>
      <c r="J916" s="6"/>
      <c r="K916" s="6"/>
      <c r="L916" s="6"/>
      <c r="M916" s="6"/>
      <c r="N916" s="6"/>
    </row>
    <row r="917">
      <c r="A917" s="6"/>
      <c r="B917" s="6"/>
      <c r="C917" s="6"/>
      <c r="D917" s="6"/>
      <c r="E917" s="6"/>
      <c r="F917" s="6"/>
      <c r="G917" s="6"/>
      <c r="H917" s="6"/>
      <c r="I917" s="6"/>
      <c r="J917" s="6"/>
      <c r="K917" s="6"/>
      <c r="L917" s="6"/>
      <c r="M917" s="6"/>
      <c r="N917" s="6"/>
    </row>
    <row r="918">
      <c r="A918" s="6"/>
      <c r="B918" s="6"/>
      <c r="C918" s="6"/>
      <c r="D918" s="6"/>
      <c r="E918" s="6"/>
      <c r="F918" s="6"/>
      <c r="G918" s="6"/>
      <c r="H918" s="6"/>
      <c r="I918" s="6"/>
      <c r="J918" s="6"/>
      <c r="K918" s="6"/>
      <c r="L918" s="6"/>
      <c r="M918" s="6"/>
      <c r="N918" s="6"/>
    </row>
    <row r="919">
      <c r="A919" s="6"/>
      <c r="B919" s="6"/>
      <c r="C919" s="6"/>
      <c r="D919" s="6"/>
      <c r="E919" s="6"/>
      <c r="F919" s="6"/>
      <c r="G919" s="6"/>
      <c r="H919" s="6"/>
      <c r="I919" s="6"/>
      <c r="J919" s="6"/>
      <c r="K919" s="6"/>
      <c r="L919" s="6"/>
      <c r="M919" s="6"/>
      <c r="N919" s="6"/>
    </row>
    <row r="920">
      <c r="A920" s="6"/>
      <c r="B920" s="6"/>
      <c r="C920" s="6"/>
      <c r="D920" s="6"/>
      <c r="E920" s="6"/>
      <c r="F920" s="6"/>
      <c r="G920" s="6"/>
      <c r="H920" s="6"/>
      <c r="I920" s="6"/>
      <c r="J920" s="6"/>
      <c r="K920" s="6"/>
      <c r="L920" s="6"/>
      <c r="M920" s="6"/>
      <c r="N920" s="6"/>
    </row>
    <row r="921">
      <c r="A921" s="6"/>
      <c r="B921" s="6"/>
      <c r="C921" s="6"/>
      <c r="D921" s="6"/>
      <c r="E921" s="6"/>
      <c r="F921" s="6"/>
      <c r="G921" s="6"/>
      <c r="H921" s="6"/>
      <c r="I921" s="6"/>
      <c r="J921" s="6"/>
      <c r="K921" s="6"/>
      <c r="L921" s="6"/>
      <c r="M921" s="6"/>
      <c r="N921" s="6"/>
    </row>
    <row r="922">
      <c r="A922" s="6"/>
      <c r="B922" s="6"/>
      <c r="C922" s="6"/>
      <c r="D922" s="6"/>
      <c r="E922" s="6"/>
      <c r="F922" s="6"/>
      <c r="G922" s="6"/>
      <c r="H922" s="6"/>
      <c r="I922" s="6"/>
      <c r="J922" s="6"/>
      <c r="K922" s="6"/>
      <c r="L922" s="6"/>
      <c r="M922" s="6"/>
      <c r="N922" s="6"/>
    </row>
    <row r="923">
      <c r="A923" s="6"/>
      <c r="B923" s="6"/>
      <c r="C923" s="6"/>
      <c r="D923" s="6"/>
      <c r="E923" s="6"/>
      <c r="F923" s="6"/>
      <c r="G923" s="6"/>
      <c r="H923" s="6"/>
      <c r="I923" s="6"/>
      <c r="J923" s="6"/>
      <c r="K923" s="6"/>
      <c r="L923" s="6"/>
      <c r="M923" s="6"/>
      <c r="N923" s="6"/>
    </row>
    <row r="924">
      <c r="A924" s="6"/>
      <c r="B924" s="6"/>
      <c r="C924" s="6"/>
      <c r="D924" s="6"/>
      <c r="E924" s="6"/>
      <c r="F924" s="6"/>
      <c r="G924" s="6"/>
      <c r="H924" s="6"/>
      <c r="I924" s="6"/>
      <c r="J924" s="6"/>
      <c r="K924" s="6"/>
      <c r="L924" s="6"/>
      <c r="M924" s="6"/>
      <c r="N924" s="6"/>
    </row>
    <row r="925">
      <c r="A925" s="6"/>
      <c r="B925" s="6"/>
      <c r="C925" s="6"/>
      <c r="D925" s="6"/>
      <c r="E925" s="6"/>
      <c r="F925" s="6"/>
      <c r="G925" s="6"/>
      <c r="H925" s="6"/>
      <c r="I925" s="6"/>
      <c r="J925" s="6"/>
      <c r="K925" s="6"/>
      <c r="L925" s="6"/>
      <c r="M925" s="6"/>
      <c r="N925" s="6"/>
    </row>
    <row r="926">
      <c r="A926" s="6"/>
      <c r="B926" s="6"/>
      <c r="C926" s="6"/>
      <c r="D926" s="6"/>
      <c r="E926" s="6"/>
      <c r="F926" s="6"/>
      <c r="G926" s="6"/>
      <c r="H926" s="6"/>
      <c r="I926" s="6"/>
      <c r="J926" s="6"/>
      <c r="K926" s="6"/>
      <c r="L926" s="6"/>
      <c r="M926" s="6"/>
      <c r="N926" s="6"/>
    </row>
    <row r="927">
      <c r="A927" s="6"/>
      <c r="B927" s="6"/>
      <c r="C927" s="6"/>
      <c r="D927" s="6"/>
      <c r="E927" s="6"/>
      <c r="F927" s="6"/>
      <c r="G927" s="6"/>
      <c r="H927" s="6"/>
      <c r="I927" s="6"/>
      <c r="J927" s="6"/>
      <c r="K927" s="6"/>
      <c r="L927" s="6"/>
      <c r="M927" s="6"/>
      <c r="N927" s="6"/>
    </row>
    <row r="928">
      <c r="A928" s="6"/>
      <c r="B928" s="6"/>
      <c r="C928" s="6"/>
      <c r="D928" s="6"/>
      <c r="E928" s="6"/>
      <c r="F928" s="6"/>
      <c r="G928" s="6"/>
      <c r="H928" s="6"/>
      <c r="I928" s="6"/>
      <c r="J928" s="6"/>
      <c r="K928" s="6"/>
      <c r="L928" s="6"/>
      <c r="M928" s="6"/>
      <c r="N928" s="6"/>
    </row>
    <row r="929">
      <c r="A929" s="6"/>
      <c r="B929" s="6"/>
      <c r="C929" s="6"/>
      <c r="D929" s="6"/>
      <c r="E929" s="6"/>
      <c r="F929" s="6"/>
      <c r="G929" s="6"/>
      <c r="H929" s="6"/>
      <c r="I929" s="6"/>
      <c r="J929" s="6"/>
      <c r="K929" s="6"/>
      <c r="L929" s="6"/>
      <c r="M929" s="6"/>
      <c r="N929" s="6"/>
    </row>
    <row r="930">
      <c r="A930" s="6"/>
      <c r="B930" s="6"/>
      <c r="C930" s="6"/>
      <c r="D930" s="6"/>
      <c r="E930" s="6"/>
      <c r="F930" s="6"/>
      <c r="G930" s="6"/>
      <c r="H930" s="6"/>
      <c r="I930" s="6"/>
      <c r="J930" s="6"/>
      <c r="K930" s="6"/>
      <c r="L930" s="6"/>
      <c r="M930" s="6"/>
      <c r="N930" s="6"/>
    </row>
    <row r="931">
      <c r="A931" s="6"/>
      <c r="B931" s="6"/>
      <c r="C931" s="6"/>
      <c r="D931" s="6"/>
      <c r="E931" s="6"/>
      <c r="F931" s="6"/>
      <c r="G931" s="6"/>
      <c r="H931" s="6"/>
      <c r="I931" s="6"/>
      <c r="J931" s="6"/>
      <c r="K931" s="6"/>
      <c r="L931" s="6"/>
      <c r="M931" s="6"/>
      <c r="N931" s="6"/>
    </row>
    <row r="932">
      <c r="A932" s="6"/>
      <c r="B932" s="6"/>
      <c r="C932" s="6"/>
      <c r="D932" s="6"/>
      <c r="E932" s="6"/>
      <c r="F932" s="6"/>
      <c r="G932" s="6"/>
      <c r="H932" s="6"/>
      <c r="I932" s="6"/>
      <c r="J932" s="6"/>
      <c r="K932" s="6"/>
      <c r="L932" s="6"/>
      <c r="M932" s="6"/>
      <c r="N932" s="6"/>
    </row>
    <row r="933">
      <c r="A933" s="6"/>
      <c r="B933" s="6"/>
      <c r="C933" s="6"/>
      <c r="D933" s="6"/>
      <c r="E933" s="6"/>
      <c r="F933" s="6"/>
      <c r="G933" s="6"/>
      <c r="H933" s="6"/>
      <c r="I933" s="6"/>
      <c r="J933" s="6"/>
      <c r="K933" s="6"/>
      <c r="L933" s="6"/>
      <c r="M933" s="6"/>
      <c r="N933" s="6"/>
    </row>
    <row r="934">
      <c r="A934" s="6"/>
      <c r="B934" s="6"/>
      <c r="C934" s="6"/>
      <c r="D934" s="6"/>
      <c r="E934" s="6"/>
      <c r="F934" s="6"/>
      <c r="G934" s="6"/>
      <c r="H934" s="6"/>
      <c r="I934" s="6"/>
      <c r="J934" s="6"/>
      <c r="K934" s="6"/>
      <c r="L934" s="6"/>
      <c r="M934" s="6"/>
      <c r="N934" s="6"/>
    </row>
    <row r="935">
      <c r="A935" s="6"/>
      <c r="B935" s="6"/>
      <c r="C935" s="6"/>
      <c r="D935" s="6"/>
      <c r="E935" s="6"/>
      <c r="F935" s="6"/>
      <c r="G935" s="6"/>
      <c r="H935" s="6"/>
      <c r="I935" s="6"/>
      <c r="J935" s="6"/>
      <c r="K935" s="6"/>
      <c r="L935" s="6"/>
      <c r="M935" s="6"/>
      <c r="N935" s="6"/>
    </row>
    <row r="936">
      <c r="A936" s="6"/>
      <c r="B936" s="6"/>
      <c r="C936" s="6"/>
      <c r="D936" s="6"/>
      <c r="E936" s="6"/>
      <c r="F936" s="6"/>
      <c r="G936" s="6"/>
      <c r="H936" s="6"/>
      <c r="I936" s="6"/>
      <c r="J936" s="6"/>
      <c r="K936" s="6"/>
      <c r="L936" s="6"/>
      <c r="M936" s="6"/>
      <c r="N936" s="6"/>
    </row>
    <row r="937">
      <c r="A937" s="6"/>
      <c r="B937" s="6"/>
      <c r="C937" s="6"/>
      <c r="D937" s="6"/>
      <c r="E937" s="6"/>
      <c r="F937" s="6"/>
      <c r="G937" s="6"/>
      <c r="H937" s="6"/>
      <c r="I937" s="6"/>
      <c r="J937" s="6"/>
      <c r="K937" s="6"/>
      <c r="L937" s="6"/>
      <c r="M937" s="6"/>
      <c r="N937" s="6"/>
    </row>
    <row r="938">
      <c r="A938" s="6"/>
      <c r="B938" s="6"/>
      <c r="C938" s="6"/>
      <c r="D938" s="6"/>
      <c r="E938" s="6"/>
      <c r="F938" s="6"/>
      <c r="G938" s="6"/>
      <c r="H938" s="6"/>
      <c r="I938" s="6"/>
      <c r="J938" s="6"/>
      <c r="K938" s="6"/>
      <c r="L938" s="6"/>
      <c r="M938" s="6"/>
      <c r="N938" s="6"/>
    </row>
    <row r="939">
      <c r="A939" s="6"/>
      <c r="B939" s="6"/>
      <c r="C939" s="6"/>
      <c r="D939" s="6"/>
      <c r="E939" s="6"/>
      <c r="F939" s="6"/>
      <c r="G939" s="6"/>
      <c r="H939" s="6"/>
      <c r="I939" s="6"/>
      <c r="J939" s="6"/>
      <c r="K939" s="6"/>
      <c r="L939" s="6"/>
      <c r="M939" s="6"/>
      <c r="N939" s="6"/>
    </row>
    <row r="940">
      <c r="A940" s="6"/>
      <c r="B940" s="6"/>
      <c r="C940" s="6"/>
      <c r="D940" s="6"/>
      <c r="E940" s="6"/>
      <c r="F940" s="6"/>
      <c r="G940" s="6"/>
      <c r="H940" s="6"/>
      <c r="I940" s="6"/>
      <c r="J940" s="6"/>
      <c r="K940" s="6"/>
      <c r="L940" s="6"/>
      <c r="M940" s="6"/>
      <c r="N940" s="6"/>
    </row>
    <row r="941">
      <c r="A941" s="6"/>
      <c r="B941" s="6"/>
      <c r="C941" s="6"/>
      <c r="D941" s="6"/>
      <c r="E941" s="6"/>
      <c r="F941" s="6"/>
      <c r="G941" s="6"/>
      <c r="H941" s="6"/>
      <c r="I941" s="6"/>
      <c r="J941" s="6"/>
      <c r="K941" s="6"/>
      <c r="L941" s="6"/>
      <c r="M941" s="6"/>
      <c r="N941" s="6"/>
    </row>
    <row r="942">
      <c r="A942" s="6"/>
      <c r="B942" s="6"/>
      <c r="C942" s="6"/>
      <c r="D942" s="6"/>
      <c r="E942" s="6"/>
      <c r="F942" s="6"/>
      <c r="G942" s="6"/>
      <c r="H942" s="6"/>
      <c r="I942" s="6"/>
      <c r="J942" s="6"/>
      <c r="K942" s="6"/>
      <c r="L942" s="6"/>
      <c r="M942" s="6"/>
      <c r="N942" s="6"/>
    </row>
    <row r="943">
      <c r="A943" s="6"/>
      <c r="B943" s="6"/>
      <c r="C943" s="6"/>
      <c r="D943" s="6"/>
      <c r="E943" s="6"/>
      <c r="F943" s="6"/>
      <c r="G943" s="6"/>
      <c r="H943" s="6"/>
      <c r="I943" s="6"/>
      <c r="J943" s="6"/>
      <c r="K943" s="6"/>
      <c r="L943" s="6"/>
      <c r="M943" s="6"/>
      <c r="N943" s="6"/>
    </row>
    <row r="944">
      <c r="A944" s="6"/>
      <c r="B944" s="6"/>
      <c r="C944" s="6"/>
      <c r="D944" s="6"/>
      <c r="E944" s="6"/>
      <c r="F944" s="6"/>
      <c r="G944" s="6"/>
      <c r="H944" s="6"/>
      <c r="I944" s="6"/>
      <c r="J944" s="6"/>
      <c r="K944" s="6"/>
      <c r="L944" s="6"/>
      <c r="M944" s="6"/>
      <c r="N944" s="6"/>
    </row>
    <row r="945">
      <c r="A945" s="6"/>
      <c r="B945" s="6"/>
      <c r="C945" s="6"/>
      <c r="D945" s="6"/>
      <c r="E945" s="6"/>
      <c r="F945" s="6"/>
      <c r="G945" s="6"/>
      <c r="H945" s="6"/>
      <c r="I945" s="6"/>
      <c r="J945" s="6"/>
      <c r="K945" s="6"/>
      <c r="L945" s="6"/>
      <c r="M945" s="6"/>
      <c r="N945" s="6"/>
    </row>
    <row r="946">
      <c r="A946" s="6"/>
      <c r="B946" s="6"/>
      <c r="C946" s="6"/>
      <c r="D946" s="6"/>
      <c r="E946" s="6"/>
      <c r="F946" s="6"/>
      <c r="G946" s="6"/>
      <c r="H946" s="6"/>
      <c r="I946" s="6"/>
      <c r="J946" s="6"/>
      <c r="K946" s="6"/>
      <c r="L946" s="6"/>
      <c r="M946" s="6"/>
      <c r="N946" s="6"/>
    </row>
    <row r="947">
      <c r="A947" s="6"/>
      <c r="B947" s="6"/>
      <c r="C947" s="6"/>
      <c r="D947" s="6"/>
      <c r="E947" s="6"/>
      <c r="F947" s="6"/>
      <c r="G947" s="6"/>
      <c r="H947" s="6"/>
      <c r="I947" s="6"/>
      <c r="J947" s="6"/>
      <c r="K947" s="6"/>
      <c r="L947" s="6"/>
      <c r="M947" s="6"/>
      <c r="N947" s="6"/>
    </row>
    <row r="948">
      <c r="A948" s="6"/>
      <c r="B948" s="6"/>
      <c r="C948" s="6"/>
      <c r="D948" s="6"/>
      <c r="E948" s="6"/>
      <c r="F948" s="6"/>
      <c r="G948" s="6"/>
      <c r="H948" s="6"/>
      <c r="I948" s="6"/>
      <c r="J948" s="6"/>
      <c r="K948" s="6"/>
      <c r="L948" s="6"/>
      <c r="M948" s="6"/>
      <c r="N948" s="6"/>
    </row>
    <row r="949">
      <c r="A949" s="6"/>
      <c r="B949" s="6"/>
      <c r="C949" s="6"/>
      <c r="D949" s="6"/>
      <c r="E949" s="6"/>
      <c r="F949" s="6"/>
      <c r="G949" s="6"/>
      <c r="H949" s="6"/>
      <c r="I949" s="6"/>
      <c r="J949" s="6"/>
      <c r="K949" s="6"/>
      <c r="L949" s="6"/>
      <c r="M949" s="6"/>
      <c r="N949" s="6"/>
    </row>
    <row r="950">
      <c r="A950" s="6"/>
      <c r="B950" s="6"/>
      <c r="C950" s="6"/>
      <c r="D950" s="6"/>
      <c r="E950" s="6"/>
      <c r="F950" s="6"/>
      <c r="G950" s="6"/>
      <c r="H950" s="6"/>
      <c r="I950" s="6"/>
      <c r="J950" s="6"/>
      <c r="K950" s="6"/>
      <c r="L950" s="6"/>
      <c r="M950" s="6"/>
      <c r="N950" s="6"/>
    </row>
    <row r="951">
      <c r="A951" s="6"/>
      <c r="B951" s="6"/>
      <c r="C951" s="6"/>
      <c r="D951" s="6"/>
      <c r="E951" s="6"/>
      <c r="F951" s="6"/>
      <c r="G951" s="6"/>
      <c r="H951" s="6"/>
      <c r="I951" s="6"/>
      <c r="J951" s="6"/>
      <c r="K951" s="6"/>
      <c r="L951" s="6"/>
      <c r="M951" s="6"/>
      <c r="N951" s="6"/>
    </row>
    <row r="952">
      <c r="A952" s="6"/>
      <c r="B952" s="6"/>
      <c r="C952" s="6"/>
      <c r="D952" s="6"/>
      <c r="E952" s="6"/>
      <c r="F952" s="6"/>
      <c r="G952" s="6"/>
      <c r="H952" s="6"/>
      <c r="I952" s="6"/>
      <c r="J952" s="6"/>
      <c r="K952" s="6"/>
      <c r="L952" s="6"/>
      <c r="M952" s="6"/>
      <c r="N952" s="6"/>
    </row>
    <row r="953">
      <c r="A953" s="6"/>
      <c r="B953" s="6"/>
      <c r="C953" s="6"/>
      <c r="D953" s="6"/>
      <c r="E953" s="6"/>
      <c r="F953" s="6"/>
      <c r="G953" s="6"/>
      <c r="H953" s="6"/>
      <c r="I953" s="6"/>
      <c r="J953" s="6"/>
      <c r="K953" s="6"/>
      <c r="L953" s="6"/>
      <c r="M953" s="6"/>
      <c r="N953" s="6"/>
    </row>
    <row r="954">
      <c r="A954" s="6"/>
      <c r="B954" s="6"/>
      <c r="C954" s="6"/>
      <c r="D954" s="6"/>
      <c r="E954" s="6"/>
      <c r="F954" s="6"/>
      <c r="G954" s="6"/>
      <c r="H954" s="6"/>
      <c r="I954" s="6"/>
      <c r="J954" s="6"/>
      <c r="K954" s="6"/>
      <c r="L954" s="6"/>
      <c r="M954" s="6"/>
      <c r="N954" s="6"/>
    </row>
    <row r="955">
      <c r="A955" s="6"/>
      <c r="B955" s="6"/>
      <c r="C955" s="6"/>
      <c r="D955" s="6"/>
      <c r="E955" s="6"/>
      <c r="F955" s="6"/>
      <c r="G955" s="6"/>
      <c r="H955" s="6"/>
      <c r="I955" s="6"/>
      <c r="J955" s="6"/>
      <c r="K955" s="6"/>
      <c r="L955" s="6"/>
      <c r="M955" s="6"/>
      <c r="N955" s="6"/>
    </row>
    <row r="956">
      <c r="A956" s="6"/>
      <c r="B956" s="6"/>
      <c r="C956" s="6"/>
      <c r="D956" s="6"/>
      <c r="E956" s="6"/>
      <c r="F956" s="6"/>
      <c r="G956" s="6"/>
      <c r="H956" s="6"/>
      <c r="I956" s="6"/>
      <c r="J956" s="6"/>
      <c r="K956" s="6"/>
      <c r="L956" s="6"/>
      <c r="M956" s="6"/>
      <c r="N956" s="6"/>
    </row>
    <row r="957">
      <c r="A957" s="6"/>
      <c r="B957" s="6"/>
      <c r="C957" s="6"/>
      <c r="D957" s="6"/>
      <c r="E957" s="6"/>
      <c r="F957" s="6"/>
      <c r="G957" s="6"/>
      <c r="H957" s="6"/>
      <c r="I957" s="6"/>
      <c r="J957" s="6"/>
      <c r="K957" s="6"/>
      <c r="L957" s="6"/>
      <c r="M957" s="6"/>
      <c r="N957" s="6"/>
    </row>
    <row r="958">
      <c r="A958" s="6"/>
      <c r="B958" s="6"/>
      <c r="C958" s="6"/>
      <c r="D958" s="6"/>
      <c r="E958" s="6"/>
      <c r="F958" s="6"/>
      <c r="G958" s="6"/>
      <c r="H958" s="6"/>
      <c r="I958" s="6"/>
      <c r="J958" s="6"/>
      <c r="K958" s="6"/>
      <c r="L958" s="6"/>
      <c r="M958" s="6"/>
      <c r="N958" s="6"/>
    </row>
    <row r="959">
      <c r="A959" s="6"/>
      <c r="B959" s="6"/>
      <c r="C959" s="6"/>
      <c r="D959" s="6"/>
      <c r="E959" s="6"/>
      <c r="F959" s="6"/>
      <c r="G959" s="6"/>
      <c r="H959" s="6"/>
      <c r="I959" s="6"/>
      <c r="J959" s="6"/>
      <c r="K959" s="6"/>
      <c r="L959" s="6"/>
      <c r="M959" s="6"/>
      <c r="N959" s="6"/>
    </row>
    <row r="960">
      <c r="A960" s="6"/>
      <c r="B960" s="6"/>
      <c r="C960" s="6"/>
      <c r="D960" s="6"/>
      <c r="E960" s="6"/>
      <c r="F960" s="6"/>
      <c r="G960" s="6"/>
      <c r="H960" s="6"/>
      <c r="I960" s="6"/>
      <c r="J960" s="6"/>
      <c r="K960" s="6"/>
      <c r="L960" s="6"/>
      <c r="M960" s="6"/>
      <c r="N960" s="6"/>
    </row>
    <row r="961">
      <c r="A961" s="6"/>
      <c r="B961" s="6"/>
      <c r="C961" s="6"/>
      <c r="D961" s="6"/>
      <c r="E961" s="6"/>
      <c r="F961" s="6"/>
      <c r="G961" s="6"/>
      <c r="H961" s="6"/>
      <c r="I961" s="6"/>
      <c r="J961" s="6"/>
      <c r="K961" s="6"/>
      <c r="L961" s="6"/>
      <c r="M961" s="6"/>
      <c r="N961" s="6"/>
    </row>
    <row r="962">
      <c r="A962" s="6"/>
      <c r="B962" s="6"/>
      <c r="C962" s="6"/>
      <c r="D962" s="6"/>
      <c r="E962" s="6"/>
      <c r="F962" s="6"/>
      <c r="G962" s="6"/>
      <c r="H962" s="6"/>
      <c r="I962" s="6"/>
      <c r="J962" s="6"/>
      <c r="K962" s="6"/>
      <c r="L962" s="6"/>
      <c r="M962" s="6"/>
      <c r="N962" s="6"/>
    </row>
    <row r="963">
      <c r="A963" s="6"/>
      <c r="B963" s="6"/>
      <c r="C963" s="6"/>
      <c r="D963" s="6"/>
      <c r="E963" s="6"/>
      <c r="F963" s="6"/>
      <c r="G963" s="6"/>
      <c r="H963" s="6"/>
      <c r="I963" s="6"/>
      <c r="J963" s="6"/>
      <c r="K963" s="6"/>
      <c r="L963" s="6"/>
      <c r="M963" s="6"/>
      <c r="N963" s="6"/>
    </row>
    <row r="964">
      <c r="A964" s="6"/>
      <c r="B964" s="6"/>
      <c r="C964" s="6"/>
      <c r="D964" s="6"/>
      <c r="E964" s="6"/>
      <c r="F964" s="6"/>
      <c r="G964" s="6"/>
      <c r="H964" s="6"/>
      <c r="I964" s="6"/>
      <c r="J964" s="6"/>
      <c r="K964" s="6"/>
      <c r="L964" s="6"/>
      <c r="M964" s="6"/>
      <c r="N964" s="6"/>
    </row>
    <row r="965">
      <c r="A965" s="6"/>
      <c r="B965" s="6"/>
      <c r="C965" s="6"/>
      <c r="D965" s="6"/>
      <c r="E965" s="6"/>
      <c r="F965" s="6"/>
      <c r="G965" s="6"/>
      <c r="H965" s="6"/>
      <c r="I965" s="6"/>
      <c r="J965" s="6"/>
      <c r="K965" s="6"/>
      <c r="L965" s="6"/>
      <c r="M965" s="6"/>
      <c r="N965" s="6"/>
    </row>
    <row r="966">
      <c r="A966" s="6"/>
      <c r="B966" s="6"/>
      <c r="C966" s="6"/>
      <c r="D966" s="6"/>
      <c r="E966" s="6"/>
      <c r="F966" s="6"/>
      <c r="G966" s="6"/>
      <c r="H966" s="6"/>
      <c r="I966" s="6"/>
      <c r="J966" s="6"/>
      <c r="K966" s="6"/>
      <c r="L966" s="6"/>
      <c r="M966" s="6"/>
      <c r="N966" s="6"/>
    </row>
    <row r="967">
      <c r="A967" s="6"/>
      <c r="B967" s="6"/>
      <c r="C967" s="6"/>
      <c r="D967" s="6"/>
      <c r="E967" s="6"/>
      <c r="F967" s="6"/>
      <c r="G967" s="6"/>
      <c r="H967" s="6"/>
      <c r="I967" s="6"/>
      <c r="J967" s="6"/>
      <c r="K967" s="6"/>
      <c r="L967" s="6"/>
      <c r="M967" s="6"/>
      <c r="N967" s="6"/>
    </row>
    <row r="968">
      <c r="A968" s="6"/>
      <c r="B968" s="6"/>
      <c r="C968" s="6"/>
      <c r="D968" s="6"/>
      <c r="E968" s="6"/>
      <c r="F968" s="6"/>
      <c r="G968" s="6"/>
      <c r="H968" s="6"/>
      <c r="I968" s="6"/>
      <c r="J968" s="6"/>
      <c r="K968" s="6"/>
      <c r="L968" s="6"/>
      <c r="M968" s="6"/>
      <c r="N968" s="6"/>
    </row>
    <row r="969">
      <c r="A969" s="6"/>
      <c r="B969" s="6"/>
      <c r="C969" s="6"/>
      <c r="D969" s="6"/>
      <c r="E969" s="6"/>
      <c r="F969" s="6"/>
      <c r="G969" s="6"/>
      <c r="H969" s="6"/>
      <c r="I969" s="6"/>
      <c r="J969" s="6"/>
      <c r="K969" s="6"/>
      <c r="L969" s="6"/>
      <c r="M969" s="6"/>
      <c r="N969" s="6"/>
    </row>
    <row r="970">
      <c r="A970" s="6"/>
      <c r="B970" s="6"/>
      <c r="C970" s="6"/>
      <c r="D970" s="6"/>
      <c r="E970" s="6"/>
      <c r="F970" s="6"/>
      <c r="G970" s="6"/>
      <c r="H970" s="6"/>
      <c r="I970" s="6"/>
      <c r="J970" s="6"/>
      <c r="K970" s="6"/>
      <c r="L970" s="6"/>
      <c r="M970" s="6"/>
      <c r="N970" s="6"/>
    </row>
    <row r="971">
      <c r="A971" s="6"/>
      <c r="B971" s="6"/>
      <c r="C971" s="6"/>
      <c r="D971" s="6"/>
      <c r="E971" s="6"/>
      <c r="F971" s="6"/>
      <c r="G971" s="6"/>
      <c r="H971" s="6"/>
      <c r="I971" s="6"/>
      <c r="J971" s="6"/>
      <c r="K971" s="6"/>
      <c r="L971" s="6"/>
      <c r="M971" s="6"/>
      <c r="N971" s="6"/>
    </row>
    <row r="972">
      <c r="A972" s="6"/>
      <c r="B972" s="6"/>
      <c r="C972" s="6"/>
      <c r="D972" s="6"/>
      <c r="E972" s="6"/>
      <c r="F972" s="6"/>
      <c r="G972" s="6"/>
      <c r="H972" s="6"/>
      <c r="I972" s="6"/>
      <c r="J972" s="6"/>
      <c r="K972" s="6"/>
      <c r="L972" s="6"/>
      <c r="M972" s="6"/>
      <c r="N972" s="6"/>
    </row>
    <row r="973">
      <c r="A973" s="6"/>
      <c r="B973" s="6"/>
      <c r="C973" s="6"/>
      <c r="D973" s="6"/>
      <c r="E973" s="6"/>
      <c r="F973" s="6"/>
      <c r="G973" s="6"/>
      <c r="H973" s="6"/>
      <c r="I973" s="6"/>
      <c r="J973" s="6"/>
      <c r="K973" s="6"/>
      <c r="L973" s="6"/>
      <c r="M973" s="6"/>
      <c r="N973" s="6"/>
    </row>
    <row r="974">
      <c r="A974" s="6"/>
      <c r="B974" s="6"/>
      <c r="C974" s="6"/>
      <c r="D974" s="6"/>
      <c r="E974" s="6"/>
      <c r="F974" s="6"/>
      <c r="G974" s="6"/>
      <c r="H974" s="6"/>
      <c r="I974" s="6"/>
      <c r="J974" s="6"/>
      <c r="K974" s="6"/>
      <c r="L974" s="6"/>
      <c r="M974" s="6"/>
      <c r="N974" s="6"/>
    </row>
    <row r="975">
      <c r="A975" s="6"/>
      <c r="B975" s="6"/>
      <c r="C975" s="6"/>
      <c r="D975" s="6"/>
      <c r="E975" s="6"/>
      <c r="F975" s="6"/>
      <c r="G975" s="6"/>
      <c r="H975" s="6"/>
      <c r="I975" s="6"/>
      <c r="J975" s="6"/>
      <c r="K975" s="6"/>
      <c r="L975" s="6"/>
      <c r="M975" s="6"/>
      <c r="N975" s="6"/>
    </row>
    <row r="976">
      <c r="A976" s="6"/>
      <c r="B976" s="6"/>
      <c r="C976" s="6"/>
      <c r="D976" s="6"/>
      <c r="E976" s="6"/>
      <c r="F976" s="6"/>
      <c r="G976" s="6"/>
      <c r="H976" s="6"/>
      <c r="I976" s="6"/>
      <c r="J976" s="6"/>
      <c r="K976" s="6"/>
      <c r="L976" s="6"/>
      <c r="M976" s="6"/>
      <c r="N976" s="6"/>
    </row>
    <row r="977">
      <c r="A977" s="6"/>
      <c r="B977" s="6"/>
      <c r="C977" s="6"/>
      <c r="D977" s="6"/>
      <c r="E977" s="6"/>
      <c r="F977" s="6"/>
      <c r="G977" s="6"/>
      <c r="H977" s="6"/>
      <c r="I977" s="6"/>
      <c r="J977" s="6"/>
      <c r="K977" s="6"/>
      <c r="L977" s="6"/>
      <c r="M977" s="6"/>
      <c r="N977" s="6"/>
    </row>
    <row r="978">
      <c r="A978" s="6"/>
      <c r="B978" s="6"/>
      <c r="C978" s="6"/>
      <c r="D978" s="6"/>
      <c r="E978" s="6"/>
      <c r="F978" s="6"/>
      <c r="G978" s="6"/>
      <c r="H978" s="6"/>
      <c r="I978" s="6"/>
      <c r="J978" s="6"/>
      <c r="K978" s="6"/>
      <c r="L978" s="6"/>
      <c r="M978" s="6"/>
      <c r="N978" s="6"/>
    </row>
    <row r="979">
      <c r="A979" s="6"/>
      <c r="B979" s="6"/>
      <c r="C979" s="6"/>
      <c r="D979" s="6"/>
      <c r="E979" s="6"/>
      <c r="F979" s="6"/>
      <c r="G979" s="6"/>
      <c r="H979" s="6"/>
      <c r="I979" s="6"/>
      <c r="J979" s="6"/>
      <c r="K979" s="6"/>
      <c r="L979" s="6"/>
      <c r="M979" s="6"/>
      <c r="N979" s="6"/>
    </row>
    <row r="980">
      <c r="A980" s="6"/>
      <c r="B980" s="6"/>
      <c r="C980" s="6"/>
      <c r="D980" s="6"/>
      <c r="E980" s="6"/>
      <c r="F980" s="6"/>
      <c r="G980" s="6"/>
      <c r="H980" s="6"/>
      <c r="I980" s="6"/>
      <c r="J980" s="6"/>
      <c r="K980" s="6"/>
      <c r="L980" s="6"/>
      <c r="M980" s="6"/>
      <c r="N980" s="6"/>
    </row>
    <row r="981">
      <c r="A981" s="6"/>
      <c r="B981" s="6"/>
      <c r="C981" s="6"/>
      <c r="D981" s="6"/>
      <c r="E981" s="6"/>
      <c r="F981" s="6"/>
      <c r="G981" s="6"/>
      <c r="H981" s="6"/>
      <c r="I981" s="6"/>
      <c r="J981" s="6"/>
      <c r="K981" s="6"/>
      <c r="L981" s="6"/>
      <c r="M981" s="6"/>
      <c r="N981" s="6"/>
    </row>
    <row r="982">
      <c r="A982" s="6"/>
      <c r="B982" s="6"/>
      <c r="C982" s="6"/>
      <c r="D982" s="6"/>
      <c r="E982" s="6"/>
      <c r="F982" s="6"/>
      <c r="G982" s="6"/>
      <c r="H982" s="6"/>
      <c r="I982" s="6"/>
      <c r="J982" s="6"/>
      <c r="K982" s="6"/>
      <c r="L982" s="6"/>
      <c r="M982" s="6"/>
      <c r="N982" s="6"/>
    </row>
    <row r="983">
      <c r="A983" s="6"/>
      <c r="B983" s="6"/>
      <c r="C983" s="6"/>
      <c r="D983" s="6"/>
      <c r="E983" s="6"/>
      <c r="F983" s="6"/>
      <c r="G983" s="6"/>
      <c r="H983" s="6"/>
      <c r="I983" s="6"/>
      <c r="J983" s="6"/>
      <c r="K983" s="6"/>
      <c r="L983" s="6"/>
      <c r="M983" s="6"/>
      <c r="N983" s="6"/>
    </row>
    <row r="984">
      <c r="A984" s="6"/>
      <c r="B984" s="6"/>
      <c r="C984" s="6"/>
      <c r="D984" s="6"/>
      <c r="E984" s="6"/>
      <c r="F984" s="6"/>
      <c r="G984" s="6"/>
      <c r="H984" s="6"/>
      <c r="I984" s="6"/>
      <c r="J984" s="6"/>
      <c r="K984" s="6"/>
      <c r="L984" s="6"/>
      <c r="M984" s="6"/>
      <c r="N984" s="6"/>
    </row>
    <row r="985">
      <c r="A985" s="6"/>
      <c r="B985" s="6"/>
      <c r="C985" s="6"/>
      <c r="D985" s="6"/>
      <c r="E985" s="6"/>
      <c r="F985" s="6"/>
      <c r="G985" s="6"/>
      <c r="H985" s="6"/>
      <c r="I985" s="6"/>
      <c r="J985" s="6"/>
      <c r="K985" s="6"/>
      <c r="L985" s="6"/>
      <c r="M985" s="6"/>
      <c r="N985" s="6"/>
    </row>
    <row r="986">
      <c r="A986" s="6"/>
      <c r="B986" s="6"/>
      <c r="C986" s="6"/>
      <c r="D986" s="6"/>
      <c r="E986" s="6"/>
      <c r="F986" s="6"/>
      <c r="G986" s="6"/>
      <c r="H986" s="6"/>
      <c r="I986" s="6"/>
      <c r="J986" s="6"/>
      <c r="K986" s="6"/>
      <c r="L986" s="6"/>
      <c r="M986" s="6"/>
      <c r="N986" s="6"/>
    </row>
    <row r="987">
      <c r="A987" s="6"/>
      <c r="B987" s="6"/>
      <c r="C987" s="6"/>
      <c r="D987" s="6"/>
      <c r="E987" s="6"/>
      <c r="F987" s="6"/>
      <c r="G987" s="6"/>
      <c r="H987" s="6"/>
      <c r="I987" s="6"/>
      <c r="J987" s="6"/>
      <c r="K987" s="6"/>
      <c r="L987" s="6"/>
      <c r="M987" s="6"/>
      <c r="N987" s="6"/>
    </row>
    <row r="988">
      <c r="A988" s="6"/>
      <c r="B988" s="6"/>
      <c r="C988" s="6"/>
      <c r="D988" s="6"/>
      <c r="E988" s="6"/>
      <c r="F988" s="6"/>
      <c r="G988" s="6"/>
      <c r="H988" s="6"/>
      <c r="I988" s="6"/>
      <c r="J988" s="6"/>
      <c r="K988" s="6"/>
      <c r="L988" s="6"/>
      <c r="M988" s="6"/>
      <c r="N988" s="6"/>
    </row>
    <row r="989">
      <c r="A989" s="6"/>
      <c r="B989" s="6"/>
      <c r="C989" s="6"/>
      <c r="D989" s="6"/>
      <c r="E989" s="6"/>
      <c r="F989" s="6"/>
      <c r="G989" s="6"/>
      <c r="H989" s="6"/>
      <c r="I989" s="6"/>
      <c r="J989" s="6"/>
      <c r="K989" s="6"/>
      <c r="L989" s="6"/>
      <c r="M989" s="6"/>
      <c r="N989" s="6"/>
    </row>
    <row r="990">
      <c r="A990" s="6"/>
      <c r="B990" s="6"/>
      <c r="C990" s="6"/>
      <c r="D990" s="6"/>
      <c r="E990" s="6"/>
      <c r="F990" s="6"/>
      <c r="G990" s="6"/>
      <c r="H990" s="6"/>
      <c r="I990" s="6"/>
      <c r="J990" s="6"/>
      <c r="K990" s="6"/>
      <c r="L990" s="6"/>
      <c r="M990" s="6"/>
      <c r="N990" s="6"/>
    </row>
    <row r="991">
      <c r="A991" s="6"/>
      <c r="B991" s="6"/>
      <c r="C991" s="6"/>
      <c r="D991" s="6"/>
      <c r="E991" s="6"/>
      <c r="F991" s="6"/>
      <c r="G991" s="6"/>
      <c r="H991" s="6"/>
      <c r="I991" s="6"/>
      <c r="J991" s="6"/>
      <c r="K991" s="6"/>
      <c r="L991" s="6"/>
      <c r="M991" s="6"/>
      <c r="N991" s="6"/>
    </row>
    <row r="992">
      <c r="A992" s="6"/>
      <c r="B992" s="6"/>
      <c r="C992" s="6"/>
      <c r="D992" s="6"/>
      <c r="E992" s="6"/>
      <c r="F992" s="6"/>
      <c r="G992" s="6"/>
      <c r="H992" s="6"/>
      <c r="I992" s="6"/>
      <c r="J992" s="6"/>
      <c r="K992" s="6"/>
      <c r="L992" s="6"/>
      <c r="M992" s="6"/>
      <c r="N992" s="6"/>
    </row>
    <row r="993">
      <c r="A993" s="6"/>
      <c r="B993" s="6"/>
      <c r="C993" s="6"/>
      <c r="D993" s="6"/>
      <c r="E993" s="6"/>
      <c r="F993" s="6"/>
      <c r="G993" s="6"/>
      <c r="H993" s="6"/>
      <c r="I993" s="6"/>
      <c r="J993" s="6"/>
      <c r="K993" s="6"/>
      <c r="L993" s="6"/>
      <c r="M993" s="6"/>
      <c r="N993" s="6"/>
    </row>
    <row r="994">
      <c r="A994" s="6"/>
      <c r="B994" s="6"/>
      <c r="C994" s="6"/>
      <c r="D994" s="6"/>
      <c r="E994" s="6"/>
      <c r="F994" s="6"/>
      <c r="G994" s="6"/>
      <c r="H994" s="6"/>
      <c r="I994" s="6"/>
      <c r="J994" s="6"/>
      <c r="K994" s="6"/>
      <c r="L994" s="6"/>
      <c r="M994" s="6"/>
      <c r="N994" s="6"/>
    </row>
    <row r="995">
      <c r="A995" s="6"/>
      <c r="B995" s="6"/>
      <c r="C995" s="6"/>
      <c r="D995" s="6"/>
      <c r="E995" s="6"/>
      <c r="F995" s="6"/>
      <c r="G995" s="6"/>
      <c r="H995" s="6"/>
      <c r="I995" s="6"/>
      <c r="J995" s="6"/>
      <c r="K995" s="6"/>
      <c r="L995" s="6"/>
      <c r="M995" s="6"/>
      <c r="N995" s="6"/>
    </row>
    <row r="996">
      <c r="A996" s="6"/>
      <c r="B996" s="6"/>
      <c r="C996" s="6"/>
      <c r="D996" s="6"/>
      <c r="E996" s="6"/>
      <c r="F996" s="6"/>
      <c r="G996" s="6"/>
      <c r="H996" s="6"/>
      <c r="I996" s="6"/>
      <c r="J996" s="6"/>
      <c r="K996" s="6"/>
      <c r="L996" s="6"/>
      <c r="M996" s="6"/>
      <c r="N996" s="6"/>
    </row>
    <row r="997">
      <c r="A997" s="6"/>
      <c r="B997" s="6"/>
      <c r="C997" s="6"/>
      <c r="D997" s="6"/>
      <c r="E997" s="6"/>
      <c r="F997" s="6"/>
      <c r="G997" s="6"/>
      <c r="H997" s="6"/>
      <c r="I997" s="6"/>
      <c r="J997" s="6"/>
      <c r="K997" s="6"/>
      <c r="L997" s="6"/>
      <c r="M997" s="6"/>
      <c r="N997" s="6"/>
    </row>
    <row r="998">
      <c r="A998" s="6"/>
      <c r="B998" s="6"/>
      <c r="C998" s="6"/>
      <c r="D998" s="6"/>
      <c r="E998" s="6"/>
      <c r="F998" s="6"/>
      <c r="G998" s="6"/>
      <c r="H998" s="6"/>
      <c r="I998" s="6"/>
      <c r="J998" s="6"/>
      <c r="K998" s="6"/>
      <c r="L998" s="6"/>
      <c r="M998" s="6"/>
      <c r="N998" s="6"/>
    </row>
    <row r="999">
      <c r="A999" s="6"/>
      <c r="B999" s="6"/>
      <c r="C999" s="6"/>
      <c r="D999" s="6"/>
      <c r="E999" s="6"/>
      <c r="F999" s="6"/>
      <c r="G999" s="6"/>
      <c r="H999" s="6"/>
      <c r="I999" s="6"/>
      <c r="J999" s="6"/>
      <c r="K999" s="6"/>
      <c r="L999" s="6"/>
      <c r="M999" s="6"/>
      <c r="N999" s="6"/>
    </row>
    <row r="1000">
      <c r="A1000" s="6"/>
      <c r="B1000" s="6"/>
      <c r="C1000" s="6"/>
      <c r="D1000" s="6"/>
      <c r="E1000" s="6"/>
      <c r="F1000" s="6"/>
      <c r="G1000" s="6"/>
      <c r="H1000" s="6"/>
      <c r="I1000" s="6"/>
      <c r="J1000" s="6"/>
      <c r="K1000" s="6"/>
      <c r="L1000" s="6"/>
      <c r="M1000" s="6"/>
      <c r="N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sheetViews>
  <sheetFormatPr customHeight="1" defaultColWidth="12.63" defaultRowHeight="15.75"/>
  <cols>
    <col customWidth="1" min="1" max="1" width="4.88"/>
    <col customWidth="1" min="2" max="2" width="88.5"/>
    <col customWidth="1" min="3" max="3" width="65.63"/>
    <col customWidth="1" hidden="1" min="4" max="35" width="31.38"/>
    <col customWidth="1" min="36" max="38" width="31.38"/>
    <col customWidth="1" min="39" max="40" width="47.0"/>
    <col customWidth="1" min="42" max="42" width="37.63"/>
    <col customWidth="1" min="43" max="43" width="16.63"/>
    <col customWidth="1" min="44" max="44" width="17.63"/>
  </cols>
  <sheetData>
    <row r="1" ht="18.0" customHeight="1">
      <c r="A1" s="104">
        <v>45818.0</v>
      </c>
      <c r="B1" s="105">
        <f>AK22</f>
        <v>45968</v>
      </c>
      <c r="C1" s="106" t="s">
        <v>3373</v>
      </c>
      <c r="D1" s="107"/>
      <c r="E1" s="107"/>
      <c r="F1" s="107"/>
      <c r="G1" s="107"/>
      <c r="H1" s="107"/>
      <c r="I1" s="107"/>
      <c r="J1" s="107"/>
      <c r="K1" s="107"/>
      <c r="L1" s="107"/>
      <c r="M1" s="107"/>
      <c r="N1" s="107"/>
      <c r="O1" s="107"/>
      <c r="P1" s="107"/>
      <c r="Q1" s="107"/>
      <c r="R1" s="108"/>
      <c r="S1" s="108"/>
      <c r="T1" s="108"/>
      <c r="U1" s="108"/>
      <c r="V1" s="108"/>
      <c r="W1" s="108"/>
      <c r="X1" s="108"/>
      <c r="Y1" s="108"/>
      <c r="Z1" s="108"/>
      <c r="AA1" s="108"/>
      <c r="AB1" s="108"/>
      <c r="AC1" s="108"/>
      <c r="AD1" s="108"/>
      <c r="AE1" s="108"/>
      <c r="AF1" s="108"/>
      <c r="AG1" s="108"/>
      <c r="AH1" s="108"/>
      <c r="AI1" s="108"/>
      <c r="AJ1" s="109"/>
      <c r="AK1" s="109" t="s">
        <v>3374</v>
      </c>
      <c r="AL1" s="110" t="s">
        <v>3375</v>
      </c>
      <c r="AM1" s="111"/>
      <c r="AN1" s="112"/>
      <c r="AO1" s="112"/>
      <c r="AP1" s="113" t="s">
        <v>3376</v>
      </c>
      <c r="AQ1" s="113" t="s">
        <v>3377</v>
      </c>
      <c r="AR1" s="113" t="s">
        <v>3378</v>
      </c>
      <c r="AS1" s="112"/>
      <c r="AT1" s="112"/>
    </row>
    <row r="2">
      <c r="A2" s="4"/>
      <c r="B2" s="114" t="s">
        <v>3379</v>
      </c>
      <c r="C2" s="115" t="s">
        <v>3380</v>
      </c>
      <c r="R2" s="112"/>
      <c r="S2" s="112"/>
      <c r="T2" s="112"/>
      <c r="U2" s="112"/>
      <c r="V2" s="112"/>
      <c r="W2" s="112"/>
      <c r="X2" s="112"/>
      <c r="Y2" s="112"/>
      <c r="Z2" s="112"/>
      <c r="AA2" s="112"/>
      <c r="AB2" s="112"/>
      <c r="AC2" s="112"/>
      <c r="AD2" s="112"/>
      <c r="AE2" s="112"/>
      <c r="AF2" s="112"/>
      <c r="AG2" s="112"/>
      <c r="AH2" s="112"/>
      <c r="AI2" s="112"/>
      <c r="AJ2" s="112"/>
      <c r="AK2" s="112"/>
      <c r="AL2" s="112"/>
      <c r="AM2" s="111"/>
      <c r="AO2" s="112"/>
      <c r="AP2" s="112"/>
      <c r="AQ2" s="112"/>
      <c r="AR2" s="112"/>
      <c r="AS2" s="112"/>
      <c r="AT2" s="112"/>
    </row>
    <row r="3">
      <c r="A3" s="4"/>
      <c r="B3" s="116" t="s">
        <v>3381</v>
      </c>
      <c r="C3" s="116"/>
      <c r="R3" s="112"/>
      <c r="S3" s="112"/>
      <c r="T3" s="112"/>
      <c r="U3" s="112"/>
      <c r="V3" s="112"/>
      <c r="W3" s="112"/>
      <c r="X3" s="112"/>
      <c r="Y3" s="112"/>
      <c r="Z3" s="112"/>
      <c r="AA3" s="112"/>
      <c r="AB3" s="112"/>
      <c r="AC3" s="112"/>
      <c r="AD3" s="112"/>
      <c r="AE3" s="112"/>
      <c r="AF3" s="112"/>
      <c r="AG3" s="112"/>
      <c r="AH3" s="112"/>
      <c r="AI3" s="112"/>
      <c r="AJ3" s="112"/>
      <c r="AK3" s="112"/>
      <c r="AL3" s="112"/>
      <c r="AM3" s="111"/>
      <c r="AO3" s="112"/>
      <c r="AP3" s="112"/>
      <c r="AQ3" s="112"/>
      <c r="AR3" s="112"/>
      <c r="AS3" s="112"/>
      <c r="AT3" s="112"/>
    </row>
    <row r="4">
      <c r="A4" s="4"/>
      <c r="B4" s="117" t="s">
        <v>3382</v>
      </c>
      <c r="C4" s="118" t="s">
        <v>3383</v>
      </c>
      <c r="R4" s="112"/>
      <c r="S4" s="112"/>
      <c r="T4" s="112"/>
      <c r="U4" s="112"/>
      <c r="V4" s="112"/>
      <c r="W4" s="112"/>
      <c r="X4" s="112"/>
      <c r="Y4" s="112"/>
      <c r="Z4" s="112"/>
      <c r="AA4" s="112"/>
      <c r="AB4" s="112"/>
      <c r="AC4" s="112"/>
      <c r="AD4" s="112"/>
      <c r="AE4" s="112"/>
      <c r="AF4" s="112"/>
      <c r="AG4" s="112"/>
      <c r="AH4" s="112"/>
      <c r="AI4" s="112"/>
      <c r="AJ4" s="113" t="s">
        <v>3384</v>
      </c>
      <c r="AK4" s="112"/>
      <c r="AL4" s="112"/>
      <c r="AM4" s="111"/>
      <c r="AO4" s="112"/>
      <c r="AP4" s="112"/>
      <c r="AQ4" s="112"/>
      <c r="AR4" s="112"/>
      <c r="AS4" s="112"/>
      <c r="AT4" s="112"/>
    </row>
    <row r="5">
      <c r="A5" s="4"/>
      <c r="B5" s="119" t="s">
        <v>3385</v>
      </c>
      <c r="C5" s="118" t="s">
        <v>3386</v>
      </c>
      <c r="R5" s="112"/>
      <c r="S5" s="112"/>
      <c r="T5" s="112"/>
      <c r="U5" s="112"/>
      <c r="V5" s="112"/>
      <c r="W5" s="112"/>
      <c r="X5" s="112"/>
      <c r="Y5" s="112"/>
      <c r="Z5" s="112"/>
      <c r="AA5" s="112"/>
      <c r="AB5" s="112"/>
      <c r="AC5" s="112"/>
      <c r="AD5" s="112"/>
      <c r="AE5" s="112"/>
      <c r="AF5" s="112"/>
      <c r="AG5" s="112"/>
      <c r="AH5" s="112"/>
      <c r="AI5" s="112"/>
      <c r="AJ5" s="113" t="s">
        <v>3387</v>
      </c>
      <c r="AK5" s="112"/>
      <c r="AL5" s="112"/>
      <c r="AM5" s="111"/>
      <c r="AO5" s="112"/>
      <c r="AP5" s="112"/>
      <c r="AQ5" s="112"/>
      <c r="AR5" s="112"/>
      <c r="AS5" s="112"/>
      <c r="AT5" s="112"/>
    </row>
    <row r="6">
      <c r="A6" s="4"/>
      <c r="B6" s="119" t="s">
        <v>3388</v>
      </c>
      <c r="C6" s="120" t="s">
        <v>3389</v>
      </c>
      <c r="R6" s="112"/>
      <c r="S6" s="112"/>
      <c r="T6" s="112"/>
      <c r="U6" s="112"/>
      <c r="V6" s="112"/>
      <c r="W6" s="112"/>
      <c r="X6" s="112"/>
      <c r="Y6" s="112"/>
      <c r="Z6" s="112"/>
      <c r="AA6" s="112"/>
      <c r="AB6" s="112"/>
      <c r="AC6" s="112"/>
      <c r="AD6" s="112"/>
      <c r="AE6" s="112"/>
      <c r="AF6" s="112"/>
      <c r="AG6" s="112"/>
      <c r="AH6" s="112"/>
      <c r="AI6" s="112"/>
      <c r="AJ6" s="113" t="s">
        <v>3390</v>
      </c>
      <c r="AK6" s="112"/>
      <c r="AL6" s="112"/>
      <c r="AM6" s="111"/>
      <c r="AO6" s="112"/>
      <c r="AP6" s="112"/>
      <c r="AQ6" s="112"/>
      <c r="AR6" s="112"/>
      <c r="AS6" s="112"/>
      <c r="AT6" s="112"/>
    </row>
    <row r="7">
      <c r="A7" s="4"/>
      <c r="B7" s="117" t="s">
        <v>3391</v>
      </c>
      <c r="C7" s="121">
        <v>44347.0</v>
      </c>
      <c r="R7" s="112"/>
      <c r="S7" s="112"/>
      <c r="T7" s="112"/>
      <c r="U7" s="112"/>
      <c r="V7" s="112"/>
      <c r="W7" s="112"/>
      <c r="X7" s="112"/>
      <c r="Y7" s="112"/>
      <c r="Z7" s="112"/>
      <c r="AA7" s="112"/>
      <c r="AB7" s="112"/>
      <c r="AC7" s="112"/>
      <c r="AD7" s="112"/>
      <c r="AE7" s="112"/>
      <c r="AF7" s="112"/>
      <c r="AG7" s="112"/>
      <c r="AH7" s="112"/>
      <c r="AI7" s="112"/>
      <c r="AJ7" s="113" t="s">
        <v>3392</v>
      </c>
      <c r="AK7" s="112"/>
      <c r="AL7" s="112"/>
      <c r="AM7" s="111"/>
      <c r="AO7" s="112"/>
      <c r="AP7" s="112"/>
      <c r="AQ7" s="112"/>
      <c r="AR7" s="112"/>
      <c r="AS7" s="112"/>
      <c r="AT7" s="112"/>
    </row>
    <row r="8">
      <c r="A8" s="4"/>
      <c r="B8" s="122" t="s">
        <v>3393</v>
      </c>
      <c r="C8" s="120" t="s">
        <v>3394</v>
      </c>
      <c r="R8" s="112"/>
      <c r="S8" s="112"/>
      <c r="T8" s="112"/>
      <c r="U8" s="112"/>
      <c r="V8" s="112"/>
      <c r="W8" s="112"/>
      <c r="X8" s="112"/>
      <c r="Y8" s="112"/>
      <c r="Z8" s="112"/>
      <c r="AA8" s="112"/>
      <c r="AB8" s="112"/>
      <c r="AC8" s="112"/>
      <c r="AD8" s="112"/>
      <c r="AE8" s="112"/>
      <c r="AF8" s="112"/>
      <c r="AG8" s="112"/>
      <c r="AH8" s="112"/>
      <c r="AI8" s="112"/>
      <c r="AJ8" s="113" t="s">
        <v>3395</v>
      </c>
      <c r="AK8" s="112"/>
      <c r="AL8" s="112"/>
      <c r="AM8" s="111"/>
      <c r="AO8" s="112"/>
      <c r="AP8" s="112"/>
      <c r="AQ8" s="112"/>
      <c r="AR8" s="112"/>
      <c r="AS8" s="112"/>
      <c r="AT8" s="112"/>
    </row>
    <row r="9">
      <c r="A9" s="4"/>
      <c r="B9" s="117" t="s">
        <v>3396</v>
      </c>
      <c r="C9" s="120">
        <v>2028.0</v>
      </c>
      <c r="R9" s="112"/>
      <c r="S9" s="112"/>
      <c r="T9" s="112"/>
      <c r="U9" s="112"/>
      <c r="V9" s="112"/>
      <c r="W9" s="112"/>
      <c r="X9" s="112"/>
      <c r="Y9" s="112"/>
      <c r="Z9" s="112"/>
      <c r="AA9" s="112"/>
      <c r="AB9" s="112"/>
      <c r="AC9" s="112"/>
      <c r="AD9" s="112"/>
      <c r="AE9" s="112"/>
      <c r="AF9" s="112"/>
      <c r="AG9" s="112"/>
      <c r="AH9" s="112"/>
      <c r="AI9" s="112"/>
      <c r="AJ9" s="113" t="s">
        <v>3397</v>
      </c>
      <c r="AK9" s="112"/>
      <c r="AL9" s="112"/>
      <c r="AM9" s="111"/>
      <c r="AO9" s="112"/>
      <c r="AP9" s="112"/>
      <c r="AQ9" s="112"/>
      <c r="AR9" s="112"/>
      <c r="AS9" s="112"/>
      <c r="AT9" s="112"/>
    </row>
    <row r="10">
      <c r="A10" s="4"/>
      <c r="B10" s="123" t="s">
        <v>3398</v>
      </c>
      <c r="C10" s="121">
        <v>46173.0</v>
      </c>
      <c r="R10" s="124"/>
      <c r="S10" s="124"/>
      <c r="T10" s="124"/>
      <c r="U10" s="124"/>
      <c r="V10" s="124"/>
      <c r="W10" s="124"/>
      <c r="X10" s="124"/>
      <c r="Y10" s="124"/>
      <c r="Z10" s="124"/>
      <c r="AA10" s="124"/>
      <c r="AB10" s="124"/>
      <c r="AC10" s="124"/>
      <c r="AD10" s="124"/>
      <c r="AE10" s="124"/>
      <c r="AF10" s="124"/>
      <c r="AG10" s="124"/>
      <c r="AH10" s="124"/>
      <c r="AI10" s="124"/>
      <c r="AJ10" s="113" t="s">
        <v>3399</v>
      </c>
      <c r="AK10" s="124"/>
      <c r="AL10" s="124"/>
      <c r="AM10" s="111"/>
      <c r="AO10" s="112"/>
      <c r="AP10" s="112"/>
      <c r="AQ10" s="112"/>
      <c r="AR10" s="112"/>
      <c r="AS10" s="112"/>
      <c r="AT10" s="112"/>
    </row>
    <row r="11">
      <c r="A11" s="4"/>
      <c r="B11" s="123" t="s">
        <v>3400</v>
      </c>
      <c r="C11" s="125" t="s">
        <v>3401</v>
      </c>
      <c r="R11" s="126"/>
      <c r="S11" s="126"/>
      <c r="T11" s="126"/>
      <c r="U11" s="126"/>
      <c r="V11" s="126"/>
      <c r="W11" s="126"/>
      <c r="X11" s="126"/>
      <c r="Y11" s="126"/>
      <c r="Z11" s="126"/>
      <c r="AA11" s="126"/>
      <c r="AB11" s="126"/>
      <c r="AC11" s="126"/>
      <c r="AD11" s="126"/>
      <c r="AE11" s="126"/>
      <c r="AF11" s="126"/>
      <c r="AG11" s="126"/>
      <c r="AH11" s="126"/>
      <c r="AI11" s="126"/>
      <c r="AJ11" s="113" t="s">
        <v>3402</v>
      </c>
      <c r="AK11" s="127"/>
      <c r="AL11" s="128"/>
      <c r="AM11" s="111"/>
      <c r="AN11" s="112"/>
      <c r="AO11" s="112"/>
      <c r="AP11" s="112"/>
      <c r="AQ11" s="112"/>
      <c r="AR11" s="112"/>
      <c r="AS11" s="112"/>
      <c r="AT11" s="112"/>
    </row>
    <row r="12">
      <c r="A12" s="129"/>
      <c r="B12" s="119" t="s">
        <v>3403</v>
      </c>
      <c r="C12" s="125" t="s">
        <v>3404</v>
      </c>
      <c r="D12" s="107"/>
      <c r="E12" s="107"/>
      <c r="F12" s="107"/>
      <c r="G12" s="107"/>
      <c r="H12" s="107"/>
      <c r="I12" s="107"/>
      <c r="J12" s="107"/>
      <c r="K12" s="107"/>
      <c r="L12" s="107"/>
      <c r="M12" s="107"/>
      <c r="N12" s="107"/>
      <c r="O12" s="107"/>
      <c r="P12" s="107"/>
      <c r="Q12" s="107"/>
      <c r="R12" s="130"/>
      <c r="S12" s="130"/>
      <c r="T12" s="130"/>
      <c r="U12" s="130"/>
      <c r="V12" s="130"/>
      <c r="W12" s="130"/>
      <c r="X12" s="130"/>
      <c r="Y12" s="130"/>
      <c r="Z12" s="130"/>
      <c r="AA12" s="130"/>
      <c r="AB12" s="130"/>
      <c r="AC12" s="130"/>
      <c r="AD12" s="130"/>
      <c r="AE12" s="130"/>
      <c r="AF12" s="130"/>
      <c r="AG12" s="130"/>
      <c r="AH12" s="130"/>
      <c r="AI12" s="130"/>
      <c r="AJ12" s="113" t="s">
        <v>3405</v>
      </c>
      <c r="AK12" s="130"/>
      <c r="AL12" s="130"/>
      <c r="AM12" s="111"/>
      <c r="AN12" s="112"/>
      <c r="AO12" s="112"/>
      <c r="AP12" s="112"/>
      <c r="AQ12" s="112"/>
      <c r="AR12" s="112"/>
      <c r="AS12" s="112"/>
      <c r="AT12" s="112"/>
    </row>
    <row r="13">
      <c r="A13" s="129"/>
      <c r="B13" s="122" t="s">
        <v>3406</v>
      </c>
      <c r="C13" s="131" t="s">
        <v>3407</v>
      </c>
      <c r="D13" s="107"/>
      <c r="E13" s="107"/>
      <c r="F13" s="107"/>
      <c r="G13" s="107"/>
      <c r="H13" s="107"/>
      <c r="I13" s="107"/>
      <c r="J13" s="107"/>
      <c r="K13" s="107"/>
      <c r="L13" s="107"/>
      <c r="M13" s="107"/>
      <c r="N13" s="107"/>
      <c r="O13" s="107"/>
      <c r="P13" s="107"/>
      <c r="Q13" s="107"/>
      <c r="R13" s="132"/>
      <c r="S13" s="132"/>
      <c r="T13" s="132"/>
      <c r="U13" s="132"/>
      <c r="V13" s="132"/>
      <c r="W13" s="132"/>
      <c r="X13" s="132"/>
      <c r="Y13" s="132"/>
      <c r="Z13" s="132"/>
      <c r="AA13" s="132"/>
      <c r="AB13" s="132"/>
      <c r="AC13" s="132"/>
      <c r="AD13" s="132"/>
      <c r="AE13" s="132"/>
      <c r="AF13" s="132"/>
      <c r="AG13" s="132"/>
      <c r="AH13" s="132"/>
      <c r="AI13" s="132"/>
      <c r="AJ13" s="113" t="s">
        <v>3408</v>
      </c>
      <c r="AK13" s="132"/>
      <c r="AL13" s="132"/>
      <c r="AM13" s="111"/>
      <c r="AN13" s="112"/>
      <c r="AO13" s="112"/>
      <c r="AP13" s="112"/>
      <c r="AQ13" s="112"/>
      <c r="AR13" s="112"/>
      <c r="AS13" s="112"/>
      <c r="AT13" s="112"/>
    </row>
    <row r="14">
      <c r="A14" s="129"/>
      <c r="B14" s="117" t="s">
        <v>3409</v>
      </c>
      <c r="C14" s="131">
        <v>3420.0</v>
      </c>
      <c r="D14" s="58"/>
      <c r="E14" s="58"/>
      <c r="F14" s="58"/>
      <c r="G14" s="58"/>
      <c r="H14" s="58"/>
      <c r="I14" s="58"/>
      <c r="J14" s="58"/>
      <c r="K14" s="58"/>
      <c r="L14" s="58"/>
      <c r="M14" s="58"/>
      <c r="N14" s="58"/>
      <c r="O14" s="58"/>
      <c r="P14" s="58"/>
      <c r="Q14" s="58"/>
      <c r="R14" s="133"/>
      <c r="S14" s="133"/>
      <c r="T14" s="133"/>
      <c r="U14" s="133"/>
      <c r="V14" s="133"/>
      <c r="W14" s="133"/>
      <c r="X14" s="133"/>
      <c r="Y14" s="133"/>
      <c r="Z14" s="133"/>
      <c r="AA14" s="133"/>
      <c r="AB14" s="133"/>
      <c r="AC14" s="133"/>
      <c r="AD14" s="133"/>
      <c r="AE14" s="133"/>
      <c r="AF14" s="133"/>
      <c r="AG14" s="133"/>
      <c r="AH14" s="133"/>
      <c r="AI14" s="133"/>
      <c r="AJ14" s="113" t="s">
        <v>3410</v>
      </c>
      <c r="AK14" s="133"/>
      <c r="AL14" s="134" t="s">
        <v>3411</v>
      </c>
      <c r="AM14" s="135"/>
      <c r="AN14" s="112"/>
      <c r="AO14" s="112"/>
      <c r="AP14" s="112"/>
      <c r="AQ14" s="112"/>
      <c r="AR14" s="112"/>
      <c r="AS14" s="112"/>
      <c r="AT14" s="112"/>
    </row>
    <row r="15">
      <c r="A15" s="4"/>
      <c r="C15" s="136" t="s">
        <v>3412</v>
      </c>
      <c r="D15" s="107"/>
      <c r="E15" s="107"/>
      <c r="F15" s="107"/>
      <c r="G15" s="107"/>
      <c r="H15" s="107"/>
      <c r="I15" s="107"/>
      <c r="J15" s="107"/>
      <c r="K15" s="107"/>
      <c r="L15" s="137"/>
      <c r="M15" s="137"/>
      <c r="N15" s="137"/>
      <c r="O15" s="137"/>
      <c r="P15" s="137"/>
      <c r="Q15" s="137"/>
      <c r="R15" s="138"/>
      <c r="S15" s="138"/>
      <c r="T15" s="138"/>
      <c r="U15" s="138"/>
      <c r="V15" s="138"/>
      <c r="W15" s="138" t="s">
        <v>3413</v>
      </c>
      <c r="X15" s="138" t="s">
        <v>3413</v>
      </c>
      <c r="Y15" s="138"/>
      <c r="Z15" s="138" t="s">
        <v>3413</v>
      </c>
      <c r="AA15" s="138"/>
      <c r="AB15" s="138" t="s">
        <v>3413</v>
      </c>
      <c r="AC15" s="138" t="s">
        <v>3413</v>
      </c>
      <c r="AD15" s="138" t="s">
        <v>3414</v>
      </c>
      <c r="AE15" s="138"/>
      <c r="AF15" s="138"/>
      <c r="AG15" s="138"/>
      <c r="AH15" s="138"/>
      <c r="AI15" s="138"/>
      <c r="AJ15" s="139"/>
      <c r="AK15" s="139"/>
      <c r="AL15" s="139"/>
      <c r="AM15" s="140"/>
      <c r="AN15" s="113"/>
      <c r="AO15" s="112"/>
      <c r="AP15" s="112"/>
      <c r="AQ15" s="112"/>
      <c r="AR15" s="112"/>
      <c r="AS15" s="112"/>
      <c r="AT15" s="112"/>
    </row>
    <row r="16">
      <c r="A16" s="4"/>
      <c r="B16" s="117" t="s">
        <v>3415</v>
      </c>
      <c r="C16" s="141" t="s">
        <v>3416</v>
      </c>
      <c r="D16" s="107"/>
      <c r="E16" s="107"/>
      <c r="F16" s="107"/>
      <c r="G16" s="107"/>
      <c r="H16" s="107"/>
      <c r="I16" s="107"/>
      <c r="J16" s="107"/>
      <c r="K16" s="107"/>
      <c r="L16" s="142"/>
      <c r="M16" s="142"/>
      <c r="N16" s="142"/>
      <c r="O16" s="142"/>
      <c r="P16" s="142"/>
      <c r="Q16" s="142"/>
      <c r="R16" s="143"/>
      <c r="S16" s="143"/>
      <c r="T16" s="143"/>
      <c r="U16" s="143"/>
      <c r="V16" s="143"/>
      <c r="W16" s="143">
        <v>45845.0</v>
      </c>
      <c r="X16" s="143">
        <v>45874.0</v>
      </c>
      <c r="Y16" s="143"/>
      <c r="Z16" s="143">
        <v>45894.0</v>
      </c>
      <c r="AA16" s="143"/>
      <c r="AB16" s="143">
        <v>45904.0</v>
      </c>
      <c r="AC16" s="143">
        <v>45905.0</v>
      </c>
      <c r="AD16" s="143"/>
      <c r="AE16" s="143"/>
      <c r="AF16" s="143"/>
      <c r="AG16" s="143"/>
      <c r="AH16" s="143"/>
      <c r="AI16" s="143"/>
      <c r="AJ16" s="144"/>
      <c r="AK16" s="144"/>
      <c r="AL16" s="144"/>
      <c r="AM16" s="140"/>
      <c r="AN16" s="112"/>
      <c r="AO16" s="112"/>
      <c r="AP16" s="112"/>
      <c r="AQ16" s="112"/>
      <c r="AR16" s="112"/>
      <c r="AS16" s="112"/>
      <c r="AT16" s="112"/>
    </row>
    <row r="17">
      <c r="A17" s="4"/>
      <c r="B17" s="145" t="s">
        <v>3417</v>
      </c>
      <c r="C17" s="136" t="s">
        <v>3418</v>
      </c>
      <c r="D17" s="107"/>
      <c r="E17" s="107"/>
      <c r="F17" s="107"/>
      <c r="G17" s="107"/>
      <c r="H17" s="107"/>
      <c r="I17" s="107"/>
      <c r="J17" s="107"/>
      <c r="K17" s="107"/>
      <c r="L17" s="137"/>
      <c r="M17" s="137"/>
      <c r="N17" s="137"/>
      <c r="O17" s="137"/>
      <c r="P17" s="137"/>
      <c r="Q17" s="137"/>
      <c r="R17" s="138"/>
      <c r="S17" s="138"/>
      <c r="T17" s="138"/>
      <c r="U17" s="138"/>
      <c r="V17" s="138"/>
      <c r="W17" s="138" t="s">
        <v>3419</v>
      </c>
      <c r="X17" s="138" t="s">
        <v>3420</v>
      </c>
      <c r="Y17" s="138" t="s">
        <v>3421</v>
      </c>
      <c r="Z17" s="138"/>
      <c r="AA17" s="138" t="s">
        <v>3422</v>
      </c>
      <c r="AB17" s="138"/>
      <c r="AC17" s="138" t="s">
        <v>3423</v>
      </c>
      <c r="AD17" s="138"/>
      <c r="AE17" s="138"/>
      <c r="AF17" s="138" t="s">
        <v>3424</v>
      </c>
      <c r="AG17" s="138"/>
      <c r="AH17" s="138"/>
      <c r="AI17" s="138"/>
      <c r="AJ17" s="139"/>
      <c r="AK17" s="139"/>
      <c r="AL17" s="139"/>
      <c r="AM17" s="140"/>
      <c r="AN17" s="112"/>
      <c r="AO17" s="112"/>
      <c r="AP17" s="112"/>
      <c r="AQ17" s="112"/>
      <c r="AR17" s="112"/>
      <c r="AS17" s="112"/>
      <c r="AT17" s="112"/>
    </row>
    <row r="18">
      <c r="A18" s="4"/>
      <c r="B18" s="146"/>
      <c r="C18" s="141" t="s">
        <v>3425</v>
      </c>
      <c r="D18" s="137"/>
      <c r="E18" s="137"/>
      <c r="F18" s="137"/>
      <c r="G18" s="137"/>
      <c r="H18" s="137"/>
      <c r="I18" s="137"/>
      <c r="J18" s="137"/>
      <c r="K18" s="137"/>
      <c r="L18" s="142"/>
      <c r="M18" s="142"/>
      <c r="N18" s="142"/>
      <c r="O18" s="142"/>
      <c r="P18" s="142"/>
      <c r="Q18" s="142"/>
      <c r="R18" s="143"/>
      <c r="S18" s="143"/>
      <c r="T18" s="143"/>
      <c r="U18" s="143"/>
      <c r="V18" s="143"/>
      <c r="W18" s="143">
        <v>45845.0</v>
      </c>
      <c r="X18" s="143">
        <v>45854.0</v>
      </c>
      <c r="Y18" s="143">
        <v>45874.0</v>
      </c>
      <c r="Z18" s="143"/>
      <c r="AA18" s="143">
        <v>45891.0</v>
      </c>
      <c r="AB18" s="143"/>
      <c r="AC18" s="143">
        <v>45904.0</v>
      </c>
      <c r="AD18" s="143"/>
      <c r="AE18" s="143"/>
      <c r="AF18" s="143">
        <v>45923.0</v>
      </c>
      <c r="AG18" s="143"/>
      <c r="AH18" s="143"/>
      <c r="AI18" s="143"/>
      <c r="AJ18" s="144"/>
      <c r="AK18" s="144"/>
      <c r="AL18" s="144"/>
      <c r="AM18" s="147" t="str">
        <f>IF(AL18="мониторинг не начат",  "&lt;--- ЗАКОНЧИ МОНИТОРИНГ", "")</f>
        <v/>
      </c>
      <c r="AN18" s="112"/>
      <c r="AO18" s="112"/>
      <c r="AP18" s="112"/>
      <c r="AQ18" s="112"/>
      <c r="AR18" s="112"/>
      <c r="AS18" s="112"/>
      <c r="AT18" s="112"/>
    </row>
    <row r="19">
      <c r="A19" s="4"/>
      <c r="B19" s="148" t="s">
        <v>3426</v>
      </c>
      <c r="C19" s="149" t="s">
        <v>3427</v>
      </c>
      <c r="D19" s="137" t="s">
        <v>3428</v>
      </c>
      <c r="E19" s="137" t="s">
        <v>3428</v>
      </c>
      <c r="F19" s="137" t="s">
        <v>3428</v>
      </c>
      <c r="G19" s="137" t="s">
        <v>3428</v>
      </c>
      <c r="H19" s="137" t="s">
        <v>3428</v>
      </c>
      <c r="I19" s="137" t="s">
        <v>3429</v>
      </c>
      <c r="J19" s="137" t="s">
        <v>3428</v>
      </c>
      <c r="K19" s="137" t="s">
        <v>3430</v>
      </c>
      <c r="L19" s="137" t="s">
        <v>3431</v>
      </c>
      <c r="M19" s="137" t="s">
        <v>3430</v>
      </c>
      <c r="N19" s="137" t="s">
        <v>3431</v>
      </c>
      <c r="O19" s="137" t="s">
        <v>3431</v>
      </c>
      <c r="P19" s="137" t="s">
        <v>3431</v>
      </c>
      <c r="Q19" s="137" t="s">
        <v>3431</v>
      </c>
      <c r="R19" s="138" t="s">
        <v>3428</v>
      </c>
      <c r="S19" s="138" t="s">
        <v>3431</v>
      </c>
      <c r="T19" s="138" t="s">
        <v>3432</v>
      </c>
      <c r="U19" s="138" t="s">
        <v>3432</v>
      </c>
      <c r="V19" s="138" t="s">
        <v>3432</v>
      </c>
      <c r="W19" s="138" t="s">
        <v>3433</v>
      </c>
      <c r="X19" s="138" t="s">
        <v>3433</v>
      </c>
      <c r="Y19" s="138" t="s">
        <v>3433</v>
      </c>
      <c r="Z19" s="138" t="s">
        <v>3433</v>
      </c>
      <c r="AA19" s="138" t="s">
        <v>3433</v>
      </c>
      <c r="AB19" s="138" t="s">
        <v>3433</v>
      </c>
      <c r="AC19" s="138" t="s">
        <v>3433</v>
      </c>
      <c r="AD19" s="138" t="s">
        <v>3432</v>
      </c>
      <c r="AE19" s="138" t="s">
        <v>3433</v>
      </c>
      <c r="AF19" s="138" t="s">
        <v>3434</v>
      </c>
      <c r="AG19" s="138" t="s">
        <v>3433</v>
      </c>
      <c r="AH19" s="138" t="s">
        <v>3433</v>
      </c>
      <c r="AI19" s="138" t="s">
        <v>3433</v>
      </c>
      <c r="AJ19" s="139" t="s">
        <v>3433</v>
      </c>
      <c r="AK19" s="139" t="s">
        <v>3433</v>
      </c>
      <c r="AL19" s="150" t="s">
        <v>3435</v>
      </c>
      <c r="AM19" s="151" t="str">
        <f>IFERROR(__xludf.DUMMYFUNCTION("IF(OR(ISBLANK(AL19), NOT(REGEXMATCH(AL19, ""^[А-Яа-яЁёA-Za-z]+$""))), ""&lt;--- ОШИБКА!!! ЗАПОЛНИ ФИО!!! Без пробелов, цифр и любой пунктуации, пример: ИвановИИ"", """")"),"&lt;--- ОШИБКА!!! ЗАПОЛНИ ФИО!!! Без пробелов, цифр и любой пунктуации, пример: ИвановИИ")</f>
        <v>&lt;--- ОШИБКА!!! ЗАПОЛНИ ФИО!!! Без пробелов, цифр и любой пунктуации, пример: ИвановИИ</v>
      </c>
      <c r="AN19" s="113"/>
      <c r="AO19" s="112"/>
      <c r="AP19" s="112"/>
      <c r="AQ19" s="112"/>
      <c r="AR19" s="112"/>
      <c r="AS19" s="112"/>
      <c r="AT19" s="112"/>
    </row>
    <row r="20" ht="19.5" customHeight="1">
      <c r="A20" s="4"/>
      <c r="B20" s="152" t="s">
        <v>3436</v>
      </c>
      <c r="C20" s="141" t="s">
        <v>3437</v>
      </c>
      <c r="D20" s="153">
        <v>103.0</v>
      </c>
      <c r="E20" s="153">
        <v>104.0</v>
      </c>
      <c r="F20" s="153">
        <v>97.0</v>
      </c>
      <c r="G20" s="153">
        <v>111.0</v>
      </c>
      <c r="H20" s="153">
        <v>138.0</v>
      </c>
      <c r="I20" s="153">
        <v>138.0</v>
      </c>
      <c r="J20" s="153">
        <v>144.0</v>
      </c>
      <c r="K20" s="153">
        <v>50.0</v>
      </c>
      <c r="L20" s="153">
        <v>54.0</v>
      </c>
      <c r="M20" s="153">
        <v>38.0</v>
      </c>
      <c r="N20" s="153">
        <v>31.0</v>
      </c>
      <c r="O20" s="153">
        <v>24.0</v>
      </c>
      <c r="P20" s="153">
        <v>22.0</v>
      </c>
      <c r="Q20" s="153">
        <v>21.0</v>
      </c>
      <c r="R20" s="154">
        <v>8.0</v>
      </c>
      <c r="S20" s="154">
        <v>8.0</v>
      </c>
      <c r="T20" s="154">
        <v>40.0</v>
      </c>
      <c r="U20" s="154">
        <v>34.0</v>
      </c>
      <c r="V20" s="154">
        <v>35.0</v>
      </c>
      <c r="W20" s="154">
        <v>33.0</v>
      </c>
      <c r="X20" s="154">
        <v>24.0</v>
      </c>
      <c r="Y20" s="154">
        <v>19.0</v>
      </c>
      <c r="Z20" s="154">
        <v>10.0</v>
      </c>
      <c r="AA20" s="154">
        <v>6.0</v>
      </c>
      <c r="AB20" s="154">
        <v>6.0</v>
      </c>
      <c r="AC20" s="154">
        <v>6.0</v>
      </c>
      <c r="AD20" s="154">
        <v>8.0</v>
      </c>
      <c r="AE20" s="154">
        <v>6.0</v>
      </c>
      <c r="AF20" s="154">
        <v>6.0</v>
      </c>
      <c r="AG20" s="154">
        <v>0.0</v>
      </c>
      <c r="AH20" s="154">
        <v>0.0</v>
      </c>
      <c r="AI20" s="154">
        <v>0.0</v>
      </c>
      <c r="AJ20" s="155">
        <v>0.0</v>
      </c>
      <c r="AK20" s="155">
        <v>0.0</v>
      </c>
      <c r="AL20" s="155"/>
      <c r="AM20" s="156" t="str">
        <f t="array" ref="AM20">IF(SUMPRODUCT(--NOT(ISERROR(SEARCH(MID(AL20, ROW(INDIRECT("1:" &amp; LEN(AL20))), 1), "0123456789"))))=0, "&lt;---ЗАПОЛНИ ДАННЫЕ ПО КОЛИЧЕСТВУ ЛЮДЕЙ, ЕСЛИ НЕТ - ПИШИ 0", "")</f>
        <v>&lt;---ЗАПОЛНИ ДАННЫЕ ПО КОЛИЧЕСТВУ ЛЮДЕЙ, ЕСЛИ НЕТ - ПИШИ 0</v>
      </c>
      <c r="AO20" s="112"/>
      <c r="AP20" s="112"/>
      <c r="AQ20" s="113"/>
      <c r="AR20" s="113"/>
    </row>
    <row r="21" ht="53.25" customHeight="1">
      <c r="A21" s="157"/>
      <c r="B21" s="158" t="s">
        <v>3438</v>
      </c>
      <c r="C21" s="158" t="s">
        <v>3439</v>
      </c>
      <c r="D21" s="13" t="s">
        <v>3440</v>
      </c>
      <c r="E21" s="13" t="s">
        <v>3440</v>
      </c>
      <c r="F21" s="13" t="s">
        <v>3440</v>
      </c>
      <c r="G21" s="13" t="s">
        <v>3440</v>
      </c>
      <c r="H21" s="107" t="s">
        <v>3440</v>
      </c>
      <c r="I21" s="107" t="s">
        <v>3440</v>
      </c>
      <c r="J21" s="107" t="s">
        <v>3440</v>
      </c>
      <c r="K21" s="107" t="s">
        <v>3440</v>
      </c>
      <c r="L21" s="107" t="s">
        <v>3440</v>
      </c>
      <c r="M21" s="107" t="s">
        <v>3440</v>
      </c>
      <c r="N21" s="107" t="s">
        <v>3440</v>
      </c>
      <c r="O21" s="107" t="s">
        <v>3440</v>
      </c>
      <c r="P21" s="107" t="s">
        <v>3440</v>
      </c>
      <c r="Q21" s="107" t="s">
        <v>3440</v>
      </c>
      <c r="R21" s="159" t="s">
        <v>3440</v>
      </c>
      <c r="S21" s="159" t="s">
        <v>3440</v>
      </c>
      <c r="T21" s="159" t="s">
        <v>3440</v>
      </c>
      <c r="U21" s="159" t="s">
        <v>3440</v>
      </c>
      <c r="V21" s="159" t="s">
        <v>3440</v>
      </c>
      <c r="W21" s="159" t="s">
        <v>3440</v>
      </c>
      <c r="X21" s="159" t="s">
        <v>3440</v>
      </c>
      <c r="Y21" s="159" t="s">
        <v>3440</v>
      </c>
      <c r="Z21" s="159" t="s">
        <v>3440</v>
      </c>
      <c r="AA21" s="159" t="s">
        <v>3440</v>
      </c>
      <c r="AB21" s="159" t="s">
        <v>3440</v>
      </c>
      <c r="AC21" s="159" t="s">
        <v>3440</v>
      </c>
      <c r="AD21" s="159" t="s">
        <v>3440</v>
      </c>
      <c r="AE21" s="159" t="s">
        <v>3440</v>
      </c>
      <c r="AF21" s="159" t="s">
        <v>3440</v>
      </c>
      <c r="AG21" s="159" t="s">
        <v>3440</v>
      </c>
      <c r="AH21" s="159" t="s">
        <v>3440</v>
      </c>
      <c r="AI21" s="159" t="s">
        <v>3440</v>
      </c>
      <c r="AJ21" s="160" t="s">
        <v>3440</v>
      </c>
      <c r="AK21" s="160" t="s">
        <v>3440</v>
      </c>
      <c r="AL21" s="161" t="s">
        <v>3440</v>
      </c>
      <c r="AM21" s="111"/>
      <c r="AP21" s="162" t="s">
        <v>3438</v>
      </c>
      <c r="AQ21" s="163" t="s">
        <v>3440</v>
      </c>
      <c r="AR21" s="164" t="s">
        <v>3440</v>
      </c>
      <c r="AS21" s="112"/>
      <c r="AT21" s="112"/>
    </row>
    <row r="22">
      <c r="A22" s="157"/>
      <c r="B22" s="165"/>
      <c r="C22" s="166" t="s">
        <v>3441</v>
      </c>
      <c r="D22" s="167">
        <v>45685.0</v>
      </c>
      <c r="E22" s="142">
        <v>45700.0</v>
      </c>
      <c r="F22" s="142">
        <v>45709.0</v>
      </c>
      <c r="G22" s="142">
        <v>45715.0</v>
      </c>
      <c r="H22" s="142">
        <v>45726.0</v>
      </c>
      <c r="I22" s="142">
        <v>45734.0</v>
      </c>
      <c r="J22" s="142">
        <v>45740.0</v>
      </c>
      <c r="K22" s="142">
        <v>45755.0</v>
      </c>
      <c r="L22" s="142">
        <v>45763.0</v>
      </c>
      <c r="M22" s="142">
        <v>45769.0</v>
      </c>
      <c r="N22" s="142">
        <v>45777.0</v>
      </c>
      <c r="O22" s="142">
        <v>45783.0</v>
      </c>
      <c r="P22" s="142">
        <v>45793.0</v>
      </c>
      <c r="Q22" s="142">
        <v>45797.0</v>
      </c>
      <c r="R22" s="168">
        <v>45803.0</v>
      </c>
      <c r="S22" s="168">
        <v>45836.0</v>
      </c>
      <c r="T22" s="168">
        <v>45818.0</v>
      </c>
      <c r="U22" s="168">
        <v>45826.0</v>
      </c>
      <c r="V22" s="168">
        <v>45832.0</v>
      </c>
      <c r="W22" s="168">
        <v>45838.0</v>
      </c>
      <c r="X22" s="168">
        <v>45854.0</v>
      </c>
      <c r="Y22" s="168">
        <v>45874.0</v>
      </c>
      <c r="Z22" s="168">
        <v>45880.0</v>
      </c>
      <c r="AA22" s="168">
        <v>45889.0</v>
      </c>
      <c r="AB22" s="168">
        <v>45894.0</v>
      </c>
      <c r="AC22" s="168">
        <v>45901.0</v>
      </c>
      <c r="AD22" s="168">
        <v>45911.0</v>
      </c>
      <c r="AE22" s="168">
        <v>45916.0</v>
      </c>
      <c r="AF22" s="168">
        <v>45923.0</v>
      </c>
      <c r="AG22" s="168">
        <v>45930.0</v>
      </c>
      <c r="AH22" s="168">
        <v>45936.0</v>
      </c>
      <c r="AI22" s="168">
        <v>45944.0</v>
      </c>
      <c r="AJ22" s="169">
        <v>45951.0</v>
      </c>
      <c r="AK22" s="169">
        <v>45968.0</v>
      </c>
      <c r="AL22" s="170" t="s">
        <v>3442</v>
      </c>
      <c r="AM22" s="171" t="str">
        <f>IFERROR(__xludf.DUMMYFUNCTION("IF(NOT(REGEXMATCH(TO_TEXT(AL22), ""^\d{1,2}[./-]\d{1,2}[./-]\d{2,4}$"")), ""&lt;--- ОШИБКА, ЗАПОЛНИ ДАТУ!!!"", """")"),"&lt;--- ОШИБКА, ЗАПОЛНИ ДАТУ!!!")</f>
        <v>&lt;--- ОШИБКА, ЗАПОЛНИ ДАТУ!!!</v>
      </c>
      <c r="AN22" s="172" t="s">
        <v>3443</v>
      </c>
      <c r="AP22" s="173" t="s">
        <v>3444</v>
      </c>
      <c r="AQ22" s="174">
        <f t="shared" ref="AQ22:AR22" si="1">AJ22</f>
        <v>45951</v>
      </c>
      <c r="AR22" s="174">
        <f t="shared" si="1"/>
        <v>45968</v>
      </c>
      <c r="AS22" s="112"/>
      <c r="AT22" s="112"/>
    </row>
    <row r="23">
      <c r="A23" s="157"/>
      <c r="B23" s="175" t="s">
        <v>3445</v>
      </c>
      <c r="C23" s="176"/>
      <c r="D23" s="177">
        <v>33.28285</v>
      </c>
      <c r="E23" s="177">
        <v>32.5047</v>
      </c>
      <c r="F23" s="177">
        <v>32.7091</v>
      </c>
      <c r="G23" s="177">
        <v>32.9764</v>
      </c>
      <c r="H23" s="177">
        <v>33.345299999999995</v>
      </c>
      <c r="I23" s="177">
        <v>33.7161</v>
      </c>
      <c r="J23" s="177">
        <v>33.893</v>
      </c>
      <c r="K23" s="177">
        <v>35.029399999999995</v>
      </c>
      <c r="L23" s="177">
        <v>35.4062</v>
      </c>
      <c r="M23" s="177">
        <v>35.555099999999996</v>
      </c>
      <c r="N23" s="177">
        <v>35.9052</v>
      </c>
      <c r="O23" s="177">
        <v>36.0744</v>
      </c>
      <c r="P23" s="177">
        <v>36.2983</v>
      </c>
      <c r="Q23" s="177">
        <v>36.3625</v>
      </c>
      <c r="R23" s="178">
        <v>36.80729999999999</v>
      </c>
      <c r="S23" s="178">
        <v>36.80729999999999</v>
      </c>
      <c r="T23" s="178">
        <v>40.2556</v>
      </c>
      <c r="U23" s="178">
        <v>40.4431</v>
      </c>
      <c r="V23" s="178">
        <v>40.6681</v>
      </c>
      <c r="W23" s="178">
        <v>40.8753</v>
      </c>
      <c r="X23" s="178">
        <v>41.1053</v>
      </c>
      <c r="Y23" s="178">
        <v>43.3103</v>
      </c>
      <c r="Z23" s="178">
        <v>43.3103</v>
      </c>
      <c r="AA23" s="178">
        <v>43.3103</v>
      </c>
      <c r="AB23" s="178">
        <v>43.3103</v>
      </c>
      <c r="AC23" s="178">
        <v>43.3103</v>
      </c>
      <c r="AD23" s="179">
        <v>43.4603</v>
      </c>
      <c r="AE23" s="179">
        <v>43.4603</v>
      </c>
      <c r="AF23" s="179">
        <v>43.4603</v>
      </c>
      <c r="AG23" s="179">
        <v>43.4603</v>
      </c>
      <c r="AH23" s="179">
        <v>43.4603</v>
      </c>
      <c r="AI23" s="179">
        <v>43.4603</v>
      </c>
      <c r="AJ23" s="180">
        <v>43.4603</v>
      </c>
      <c r="AK23" s="180">
        <v>43.4603</v>
      </c>
      <c r="AL23" s="181">
        <f>AL24*$C$24+AL28*$C$28+AL31*$C$31+AL36*$C$36+AL48*$C$48+AL74*$C$74+AL99*$C$99+AL104*$C$104+AL107*$C$107</f>
        <v>43.4603</v>
      </c>
      <c r="AM23" s="171" t="str">
        <f>IF($AL$23&lt;$AJ$23, "&lt;--- ОШИБКА, данные по строительной готовности снизились","")</f>
        <v/>
      </c>
      <c r="AN23" s="182" t="s">
        <v>3446</v>
      </c>
      <c r="AP23" s="183" t="s">
        <v>3445</v>
      </c>
      <c r="AQ23" s="184">
        <f t="shared" ref="AQ23:AR23" si="2">AJ23</f>
        <v>43.4603</v>
      </c>
      <c r="AR23" s="184">
        <f t="shared" si="2"/>
        <v>43.4603</v>
      </c>
      <c r="AS23" s="185" t="s">
        <v>3447</v>
      </c>
      <c r="AT23" s="186">
        <f>AK20</f>
        <v>0</v>
      </c>
    </row>
    <row r="24">
      <c r="A24" s="157"/>
      <c r="B24" s="175" t="s">
        <v>3448</v>
      </c>
      <c r="C24" s="187">
        <v>0.25</v>
      </c>
      <c r="D24" s="177">
        <v>97.60000000000001</v>
      </c>
      <c r="E24" s="177">
        <v>98.4</v>
      </c>
      <c r="F24" s="177">
        <v>98.4</v>
      </c>
      <c r="G24" s="177">
        <v>98.4</v>
      </c>
      <c r="H24" s="177">
        <v>98.4</v>
      </c>
      <c r="I24" s="177">
        <v>98.4</v>
      </c>
      <c r="J24" s="177">
        <v>98.4</v>
      </c>
      <c r="K24" s="177">
        <v>100.0</v>
      </c>
      <c r="L24" s="177">
        <v>100.0</v>
      </c>
      <c r="M24" s="177">
        <v>100.0</v>
      </c>
      <c r="N24" s="177">
        <v>100.0</v>
      </c>
      <c r="O24" s="177">
        <v>100.0</v>
      </c>
      <c r="P24" s="177">
        <v>100.0</v>
      </c>
      <c r="Q24" s="177">
        <v>100.0</v>
      </c>
      <c r="R24" s="188">
        <v>100.0</v>
      </c>
      <c r="S24" s="188">
        <v>100.0</v>
      </c>
      <c r="T24" s="188">
        <v>100.0</v>
      </c>
      <c r="U24" s="188">
        <v>100.0</v>
      </c>
      <c r="V24" s="188">
        <v>100.0</v>
      </c>
      <c r="W24" s="188">
        <v>100.0</v>
      </c>
      <c r="X24" s="188">
        <v>100.0</v>
      </c>
      <c r="Y24" s="188">
        <v>100.0</v>
      </c>
      <c r="Z24" s="188">
        <v>100.0</v>
      </c>
      <c r="AA24" s="188">
        <v>100.0</v>
      </c>
      <c r="AB24" s="188">
        <v>100.0</v>
      </c>
      <c r="AC24" s="188">
        <v>100.0</v>
      </c>
      <c r="AD24" s="189">
        <v>100.0</v>
      </c>
      <c r="AE24" s="189">
        <v>100.0</v>
      </c>
      <c r="AF24" s="189">
        <v>100.0</v>
      </c>
      <c r="AG24" s="189">
        <v>100.0</v>
      </c>
      <c r="AH24" s="189">
        <v>100.0</v>
      </c>
      <c r="AI24" s="189">
        <v>100.0</v>
      </c>
      <c r="AJ24" s="190">
        <v>100.0</v>
      </c>
      <c r="AK24" s="190">
        <v>100.0</v>
      </c>
      <c r="AL24" s="191">
        <f>AL25*$C$25+AL26*$C$26+AL27*$C$27</f>
        <v>100</v>
      </c>
      <c r="AM24" s="171" t="str">
        <f>IF($AL$24&lt;$AJ$24, "&lt;--- ОШИБКА, данные по строительной готовности снизились","")</f>
        <v/>
      </c>
      <c r="AN24" s="192"/>
      <c r="AP24" s="193" t="s">
        <v>3448</v>
      </c>
      <c r="AQ24" s="194">
        <f t="shared" ref="AQ24:AR24" si="3">AJ24</f>
        <v>100</v>
      </c>
      <c r="AR24" s="194">
        <f t="shared" si="3"/>
        <v>100</v>
      </c>
      <c r="AS24" s="195"/>
      <c r="AT24" s="195"/>
    </row>
    <row r="25">
      <c r="A25" s="157"/>
      <c r="B25" s="196" t="s">
        <v>3449</v>
      </c>
      <c r="C25" s="197">
        <v>0.005</v>
      </c>
      <c r="D25" s="198">
        <v>100.0</v>
      </c>
      <c r="E25" s="198">
        <v>100.0</v>
      </c>
      <c r="F25" s="198">
        <v>100.0</v>
      </c>
      <c r="G25" s="198">
        <v>100.0</v>
      </c>
      <c r="H25" s="198">
        <v>100.0</v>
      </c>
      <c r="I25" s="198">
        <v>100.0</v>
      </c>
      <c r="J25" s="198">
        <v>100.0</v>
      </c>
      <c r="K25" s="198">
        <v>100.0</v>
      </c>
      <c r="L25" s="198">
        <v>100.0</v>
      </c>
      <c r="M25" s="198">
        <v>100.0</v>
      </c>
      <c r="N25" s="198">
        <v>100.0</v>
      </c>
      <c r="O25" s="198">
        <v>100.0</v>
      </c>
      <c r="P25" s="198">
        <v>100.0</v>
      </c>
      <c r="Q25" s="198">
        <v>100.0</v>
      </c>
      <c r="R25" s="199">
        <v>100.0</v>
      </c>
      <c r="S25" s="199">
        <v>100.0</v>
      </c>
      <c r="T25" s="199">
        <v>100.0</v>
      </c>
      <c r="U25" s="199">
        <v>100.0</v>
      </c>
      <c r="V25" s="199">
        <v>100.0</v>
      </c>
      <c r="W25" s="199">
        <v>100.0</v>
      </c>
      <c r="X25" s="199">
        <v>100.0</v>
      </c>
      <c r="Y25" s="199">
        <v>100.0</v>
      </c>
      <c r="Z25" s="199">
        <v>100.0</v>
      </c>
      <c r="AA25" s="199">
        <v>100.0</v>
      </c>
      <c r="AB25" s="199">
        <v>100.0</v>
      </c>
      <c r="AC25" s="199">
        <v>100.0</v>
      </c>
      <c r="AD25" s="199">
        <v>100.0</v>
      </c>
      <c r="AE25" s="199">
        <v>100.0</v>
      </c>
      <c r="AF25" s="199">
        <v>100.0</v>
      </c>
      <c r="AG25" s="199">
        <v>100.0</v>
      </c>
      <c r="AH25" s="199">
        <v>100.0</v>
      </c>
      <c r="AI25" s="199">
        <v>100.0</v>
      </c>
      <c r="AJ25" s="200">
        <v>100.0</v>
      </c>
      <c r="AK25" s="200">
        <v>100.0</v>
      </c>
      <c r="AL25" s="200">
        <v>100.0</v>
      </c>
      <c r="AM25" s="171" t="str">
        <f>IF($AL$25&lt;$AJ$25, "&lt;--- ОШИБКА, данные по строительной готовности снизились","")</f>
        <v/>
      </c>
      <c r="AN25" s="192"/>
      <c r="AP25" s="193" t="s">
        <v>3450</v>
      </c>
      <c r="AQ25" s="194">
        <f t="shared" ref="AQ25:AR25" si="4">AJ28</f>
        <v>90.8</v>
      </c>
      <c r="AR25" s="194">
        <f t="shared" si="4"/>
        <v>90.8</v>
      </c>
      <c r="AS25" s="195"/>
      <c r="AT25" s="195"/>
    </row>
    <row r="26">
      <c r="A26" s="157"/>
      <c r="B26" s="196" t="s">
        <v>3451</v>
      </c>
      <c r="C26" s="197">
        <v>0.005</v>
      </c>
      <c r="D26" s="198">
        <v>100.0</v>
      </c>
      <c r="E26" s="198">
        <v>100.0</v>
      </c>
      <c r="F26" s="198">
        <v>100.0</v>
      </c>
      <c r="G26" s="198">
        <v>100.0</v>
      </c>
      <c r="H26" s="198">
        <v>100.0</v>
      </c>
      <c r="I26" s="198">
        <v>100.0</v>
      </c>
      <c r="J26" s="198">
        <v>100.0</v>
      </c>
      <c r="K26" s="198">
        <v>100.0</v>
      </c>
      <c r="L26" s="198">
        <v>100.0</v>
      </c>
      <c r="M26" s="198">
        <v>100.0</v>
      </c>
      <c r="N26" s="198">
        <v>100.0</v>
      </c>
      <c r="O26" s="198">
        <v>100.0</v>
      </c>
      <c r="P26" s="198">
        <v>100.0</v>
      </c>
      <c r="Q26" s="198">
        <v>100.0</v>
      </c>
      <c r="R26" s="199">
        <v>100.0</v>
      </c>
      <c r="S26" s="199">
        <v>100.0</v>
      </c>
      <c r="T26" s="199">
        <v>100.0</v>
      </c>
      <c r="U26" s="199">
        <v>100.0</v>
      </c>
      <c r="V26" s="199">
        <v>100.0</v>
      </c>
      <c r="W26" s="199">
        <v>100.0</v>
      </c>
      <c r="X26" s="199">
        <v>100.0</v>
      </c>
      <c r="Y26" s="199">
        <v>100.0</v>
      </c>
      <c r="Z26" s="199">
        <v>100.0</v>
      </c>
      <c r="AA26" s="199">
        <v>100.0</v>
      </c>
      <c r="AB26" s="199">
        <v>100.0</v>
      </c>
      <c r="AC26" s="199">
        <v>100.0</v>
      </c>
      <c r="AD26" s="199">
        <v>100.0</v>
      </c>
      <c r="AE26" s="199">
        <v>100.0</v>
      </c>
      <c r="AF26" s="199">
        <v>100.0</v>
      </c>
      <c r="AG26" s="199">
        <v>100.0</v>
      </c>
      <c r="AH26" s="199">
        <v>100.0</v>
      </c>
      <c r="AI26" s="199">
        <v>100.0</v>
      </c>
      <c r="AJ26" s="200">
        <v>100.0</v>
      </c>
      <c r="AK26" s="200">
        <v>100.0</v>
      </c>
      <c r="AL26" s="200">
        <v>100.0</v>
      </c>
      <c r="AM26" s="171" t="str">
        <f>IF($AL$26&lt;$AJ$26, "&lt;--- ОШИБКА, данные по строительной готовности снизились","")</f>
        <v/>
      </c>
      <c r="AN26" s="192"/>
      <c r="AP26" s="201" t="s">
        <v>3452</v>
      </c>
      <c r="AQ26" s="194">
        <f t="shared" ref="AQ26:AR26" si="5">AJ31</f>
        <v>58.45</v>
      </c>
      <c r="AR26" s="194">
        <f t="shared" si="5"/>
        <v>58.45</v>
      </c>
      <c r="AS26" s="195"/>
      <c r="AT26" s="195"/>
    </row>
    <row r="27">
      <c r="A27" s="157"/>
      <c r="B27" s="196" t="s">
        <v>3453</v>
      </c>
      <c r="C27" s="197">
        <v>0.99</v>
      </c>
      <c r="D27" s="198">
        <v>97.0</v>
      </c>
      <c r="E27" s="198">
        <v>98.0</v>
      </c>
      <c r="F27" s="198">
        <v>98.0</v>
      </c>
      <c r="G27" s="198">
        <v>98.0</v>
      </c>
      <c r="H27" s="198">
        <v>98.0</v>
      </c>
      <c r="I27" s="198">
        <v>98.0</v>
      </c>
      <c r="J27" s="198">
        <v>98.0</v>
      </c>
      <c r="K27" s="198">
        <v>100.0</v>
      </c>
      <c r="L27" s="198">
        <v>100.0</v>
      </c>
      <c r="M27" s="198">
        <v>100.0</v>
      </c>
      <c r="N27" s="198">
        <v>100.0</v>
      </c>
      <c r="O27" s="198">
        <v>100.0</v>
      </c>
      <c r="P27" s="198">
        <v>100.0</v>
      </c>
      <c r="Q27" s="198">
        <v>100.0</v>
      </c>
      <c r="R27" s="199">
        <v>100.0</v>
      </c>
      <c r="S27" s="199">
        <v>100.0</v>
      </c>
      <c r="T27" s="199">
        <v>100.0</v>
      </c>
      <c r="U27" s="199">
        <v>100.0</v>
      </c>
      <c r="V27" s="199">
        <v>100.0</v>
      </c>
      <c r="W27" s="199">
        <v>100.0</v>
      </c>
      <c r="X27" s="199">
        <v>100.0</v>
      </c>
      <c r="Y27" s="199">
        <v>100.0</v>
      </c>
      <c r="Z27" s="199">
        <v>100.0</v>
      </c>
      <c r="AA27" s="199">
        <v>100.0</v>
      </c>
      <c r="AB27" s="199">
        <v>100.0</v>
      </c>
      <c r="AC27" s="199">
        <v>100.0</v>
      </c>
      <c r="AD27" s="199">
        <v>100.0</v>
      </c>
      <c r="AE27" s="199">
        <v>100.0</v>
      </c>
      <c r="AF27" s="199">
        <v>100.0</v>
      </c>
      <c r="AG27" s="199">
        <v>100.0</v>
      </c>
      <c r="AH27" s="199">
        <v>100.0</v>
      </c>
      <c r="AI27" s="199">
        <v>100.0</v>
      </c>
      <c r="AJ27" s="200">
        <v>100.0</v>
      </c>
      <c r="AK27" s="200">
        <v>100.0</v>
      </c>
      <c r="AL27" s="200">
        <v>100.0</v>
      </c>
      <c r="AM27" s="171" t="str">
        <f>IF($AL$27&lt;$AJ$27, "&lt;--- ОШИБКА, данные по строительной готовности снизились","")</f>
        <v/>
      </c>
      <c r="AN27" s="192"/>
      <c r="AP27" s="201" t="s">
        <v>3454</v>
      </c>
      <c r="AQ27" s="194">
        <f t="shared" ref="AQ27:AR27" si="6">AJ36</f>
        <v>0</v>
      </c>
      <c r="AR27" s="194">
        <f t="shared" si="6"/>
        <v>0</v>
      </c>
      <c r="AS27" s="195"/>
      <c r="AT27" s="195"/>
    </row>
    <row r="28">
      <c r="A28" s="157"/>
      <c r="B28" s="175" t="s">
        <v>3450</v>
      </c>
      <c r="C28" s="202">
        <v>0.05</v>
      </c>
      <c r="D28" s="177">
        <v>85.0</v>
      </c>
      <c r="E28" s="177">
        <v>86.4</v>
      </c>
      <c r="F28" s="177">
        <v>87.2</v>
      </c>
      <c r="G28" s="177">
        <v>88.2</v>
      </c>
      <c r="H28" s="177">
        <v>88.6</v>
      </c>
      <c r="I28" s="177">
        <v>89.0</v>
      </c>
      <c r="J28" s="177">
        <v>89.4</v>
      </c>
      <c r="K28" s="177">
        <v>90.8</v>
      </c>
      <c r="L28" s="177">
        <v>90.8</v>
      </c>
      <c r="M28" s="177">
        <v>90.8</v>
      </c>
      <c r="N28" s="177">
        <v>90.8</v>
      </c>
      <c r="O28" s="177">
        <v>90.8</v>
      </c>
      <c r="P28" s="177">
        <v>90.8</v>
      </c>
      <c r="Q28" s="177">
        <v>90.8</v>
      </c>
      <c r="R28" s="188">
        <v>90.8</v>
      </c>
      <c r="S28" s="188">
        <v>90.8</v>
      </c>
      <c r="T28" s="188">
        <v>90.8</v>
      </c>
      <c r="U28" s="188">
        <v>90.8</v>
      </c>
      <c r="V28" s="188">
        <v>90.8</v>
      </c>
      <c r="W28" s="188">
        <v>90.8</v>
      </c>
      <c r="X28" s="188">
        <v>90.8</v>
      </c>
      <c r="Y28" s="188">
        <v>90.8</v>
      </c>
      <c r="Z28" s="188">
        <v>90.8</v>
      </c>
      <c r="AA28" s="188">
        <v>90.8</v>
      </c>
      <c r="AB28" s="188">
        <v>90.8</v>
      </c>
      <c r="AC28" s="188">
        <v>90.8</v>
      </c>
      <c r="AD28" s="189">
        <v>90.8</v>
      </c>
      <c r="AE28" s="189">
        <v>90.8</v>
      </c>
      <c r="AF28" s="189">
        <v>90.8</v>
      </c>
      <c r="AG28" s="189">
        <v>90.8</v>
      </c>
      <c r="AH28" s="189">
        <v>90.8</v>
      </c>
      <c r="AI28" s="189">
        <v>90.8</v>
      </c>
      <c r="AJ28" s="190">
        <v>90.8</v>
      </c>
      <c r="AK28" s="190">
        <v>90.8</v>
      </c>
      <c r="AL28" s="191">
        <f>AL29*$C$29+AL30*$C$30</f>
        <v>90.8</v>
      </c>
      <c r="AM28" s="171" t="str">
        <f>IF($AL$28&lt;$AJ$28, "&lt;--- ОШИБКА, данные по строительной готовности снизились","")</f>
        <v/>
      </c>
      <c r="AN28" s="192"/>
      <c r="AP28" s="203" t="s">
        <v>3455</v>
      </c>
      <c r="AQ28" s="204">
        <f t="shared" ref="AQ28:AR28" si="7">AJ37</f>
        <v>0</v>
      </c>
      <c r="AR28" s="204">
        <f t="shared" si="7"/>
        <v>0</v>
      </c>
      <c r="AS28" s="205"/>
      <c r="AT28" s="205"/>
    </row>
    <row r="29">
      <c r="A29" s="157"/>
      <c r="B29" s="206" t="s">
        <v>3456</v>
      </c>
      <c r="C29" s="207">
        <v>0.6</v>
      </c>
      <c r="D29" s="198">
        <v>97.0</v>
      </c>
      <c r="E29" s="198">
        <v>98.0</v>
      </c>
      <c r="F29" s="198">
        <v>98.0</v>
      </c>
      <c r="G29" s="198">
        <v>99.0</v>
      </c>
      <c r="H29" s="198">
        <v>99.0</v>
      </c>
      <c r="I29" s="198">
        <v>99.0</v>
      </c>
      <c r="J29" s="198">
        <v>99.0</v>
      </c>
      <c r="K29" s="198">
        <v>100.0</v>
      </c>
      <c r="L29" s="198">
        <v>100.0</v>
      </c>
      <c r="M29" s="198">
        <v>100.0</v>
      </c>
      <c r="N29" s="198">
        <v>100.0</v>
      </c>
      <c r="O29" s="198">
        <v>100.0</v>
      </c>
      <c r="P29" s="198">
        <v>100.0</v>
      </c>
      <c r="Q29" s="198">
        <v>100.0</v>
      </c>
      <c r="R29" s="199">
        <v>100.0</v>
      </c>
      <c r="S29" s="199">
        <v>100.0</v>
      </c>
      <c r="T29" s="199">
        <v>100.0</v>
      </c>
      <c r="U29" s="199">
        <v>100.0</v>
      </c>
      <c r="V29" s="199">
        <v>100.0</v>
      </c>
      <c r="W29" s="199">
        <v>100.0</v>
      </c>
      <c r="X29" s="199">
        <v>100.0</v>
      </c>
      <c r="Y29" s="199">
        <v>100.0</v>
      </c>
      <c r="Z29" s="199">
        <v>100.0</v>
      </c>
      <c r="AA29" s="199">
        <v>100.0</v>
      </c>
      <c r="AB29" s="199">
        <v>100.0</v>
      </c>
      <c r="AC29" s="199">
        <v>100.0</v>
      </c>
      <c r="AD29" s="199">
        <v>100.0</v>
      </c>
      <c r="AE29" s="199">
        <v>100.0</v>
      </c>
      <c r="AF29" s="199">
        <v>100.0</v>
      </c>
      <c r="AG29" s="199">
        <v>100.0</v>
      </c>
      <c r="AH29" s="199">
        <v>100.0</v>
      </c>
      <c r="AI29" s="199">
        <v>100.0</v>
      </c>
      <c r="AJ29" s="200">
        <v>100.0</v>
      </c>
      <c r="AK29" s="200">
        <v>100.0</v>
      </c>
      <c r="AL29" s="200">
        <v>100.0</v>
      </c>
      <c r="AM29" s="171" t="str">
        <f>IF($AL$29&lt;$AJ$29, "&lt;--- ОШИБКА, данные по строительной готовности снизились","")</f>
        <v/>
      </c>
      <c r="AN29" s="192"/>
      <c r="AP29" s="203" t="s">
        <v>3457</v>
      </c>
      <c r="AQ29" s="204">
        <f t="shared" ref="AQ29:AR29" si="8">AJ42</f>
        <v>0</v>
      </c>
      <c r="AR29" s="204">
        <f t="shared" si="8"/>
        <v>0</v>
      </c>
      <c r="AS29" s="205"/>
      <c r="AT29" s="205"/>
    </row>
    <row r="30">
      <c r="A30" s="157"/>
      <c r="B30" s="206" t="s">
        <v>3458</v>
      </c>
      <c r="C30" s="207">
        <v>0.4</v>
      </c>
      <c r="D30" s="198">
        <v>67.0</v>
      </c>
      <c r="E30" s="198">
        <v>69.0</v>
      </c>
      <c r="F30" s="198">
        <v>71.0</v>
      </c>
      <c r="G30" s="198">
        <v>72.0</v>
      </c>
      <c r="H30" s="198">
        <v>73.0</v>
      </c>
      <c r="I30" s="198">
        <v>74.0</v>
      </c>
      <c r="J30" s="198">
        <v>75.0</v>
      </c>
      <c r="K30" s="198">
        <v>77.0</v>
      </c>
      <c r="L30" s="198">
        <v>77.0</v>
      </c>
      <c r="M30" s="198">
        <v>77.0</v>
      </c>
      <c r="N30" s="198">
        <v>77.0</v>
      </c>
      <c r="O30" s="198">
        <v>77.0</v>
      </c>
      <c r="P30" s="198">
        <v>77.0</v>
      </c>
      <c r="Q30" s="198">
        <v>77.0</v>
      </c>
      <c r="R30" s="199">
        <v>77.0</v>
      </c>
      <c r="S30" s="199">
        <v>77.0</v>
      </c>
      <c r="T30" s="199">
        <v>77.0</v>
      </c>
      <c r="U30" s="199">
        <v>77.0</v>
      </c>
      <c r="V30" s="199">
        <v>77.0</v>
      </c>
      <c r="W30" s="199">
        <v>77.0</v>
      </c>
      <c r="X30" s="199">
        <v>77.0</v>
      </c>
      <c r="Y30" s="199">
        <v>77.0</v>
      </c>
      <c r="Z30" s="199">
        <v>77.0</v>
      </c>
      <c r="AA30" s="199">
        <v>77.0</v>
      </c>
      <c r="AB30" s="199">
        <v>77.0</v>
      </c>
      <c r="AC30" s="199">
        <v>77.0</v>
      </c>
      <c r="AD30" s="199">
        <v>77.0</v>
      </c>
      <c r="AE30" s="199">
        <v>77.0</v>
      </c>
      <c r="AF30" s="199">
        <v>77.0</v>
      </c>
      <c r="AG30" s="199">
        <v>77.0</v>
      </c>
      <c r="AH30" s="199">
        <v>77.0</v>
      </c>
      <c r="AI30" s="199">
        <v>77.0</v>
      </c>
      <c r="AJ30" s="200">
        <v>77.0</v>
      </c>
      <c r="AK30" s="200">
        <v>77.0</v>
      </c>
      <c r="AL30" s="200">
        <v>77.0</v>
      </c>
      <c r="AM30" s="171" t="str">
        <f>IF(AL30&lt;AJ30, "&lt;--- ОШИБКА, данные по строительной готовности снизились","")</f>
        <v/>
      </c>
      <c r="AN30" s="192"/>
      <c r="AP30" s="201" t="s">
        <v>3459</v>
      </c>
      <c r="AQ30" s="194">
        <f t="shared" ref="AQ30:AR30" si="9">AJ48</f>
        <v>0.552</v>
      </c>
      <c r="AR30" s="194">
        <f t="shared" si="9"/>
        <v>0.552</v>
      </c>
      <c r="AS30" s="195"/>
      <c r="AT30" s="195"/>
    </row>
    <row r="31">
      <c r="A31" s="157"/>
      <c r="B31" s="208" t="s">
        <v>3452</v>
      </c>
      <c r="C31" s="187">
        <v>0.15</v>
      </c>
      <c r="D31" s="177">
        <v>24.1</v>
      </c>
      <c r="E31" s="177">
        <v>16.650000000000002</v>
      </c>
      <c r="F31" s="177">
        <v>17.450000000000003</v>
      </c>
      <c r="G31" s="177">
        <v>18.6</v>
      </c>
      <c r="H31" s="177">
        <v>19.75</v>
      </c>
      <c r="I31" s="177">
        <v>21.750000000000004</v>
      </c>
      <c r="J31" s="177">
        <v>22.500000000000004</v>
      </c>
      <c r="K31" s="177">
        <v>26.9</v>
      </c>
      <c r="L31" s="177">
        <v>28.9</v>
      </c>
      <c r="M31" s="177">
        <v>29.85</v>
      </c>
      <c r="N31" s="177">
        <v>31.8</v>
      </c>
      <c r="O31" s="177">
        <v>32.8</v>
      </c>
      <c r="P31" s="177">
        <v>34.25</v>
      </c>
      <c r="Q31" s="177">
        <v>34.55</v>
      </c>
      <c r="R31" s="188">
        <v>34.55</v>
      </c>
      <c r="S31" s="188">
        <v>34.55</v>
      </c>
      <c r="T31" s="188">
        <v>37.8</v>
      </c>
      <c r="U31" s="188">
        <v>39.050000000000004</v>
      </c>
      <c r="V31" s="188">
        <v>40.550000000000004</v>
      </c>
      <c r="W31" s="188">
        <v>41.75</v>
      </c>
      <c r="X31" s="188">
        <v>42.75</v>
      </c>
      <c r="Y31" s="188">
        <v>57.45</v>
      </c>
      <c r="Z31" s="188">
        <v>57.45</v>
      </c>
      <c r="AA31" s="188">
        <v>57.45</v>
      </c>
      <c r="AB31" s="188">
        <v>57.45</v>
      </c>
      <c r="AC31" s="188">
        <v>57.45</v>
      </c>
      <c r="AD31" s="189">
        <v>58.45</v>
      </c>
      <c r="AE31" s="189">
        <v>58.45</v>
      </c>
      <c r="AF31" s="189">
        <v>58.45</v>
      </c>
      <c r="AG31" s="189">
        <v>58.45</v>
      </c>
      <c r="AH31" s="189">
        <v>58.45</v>
      </c>
      <c r="AI31" s="189">
        <v>58.45</v>
      </c>
      <c r="AJ31" s="190">
        <v>58.45</v>
      </c>
      <c r="AK31" s="190">
        <v>58.45</v>
      </c>
      <c r="AL31" s="191">
        <f>AL32*$C$32+AL33*$C$33+AL34*$C$34+AL35*$C$35</f>
        <v>58.45</v>
      </c>
      <c r="AM31" s="171" t="str">
        <f>IF($AL$31&lt;$AJ$31, "&lt;--- ОШИБКА, данные по строительной готовности снизились","")</f>
        <v/>
      </c>
      <c r="AN31" s="192"/>
      <c r="AP31" s="203" t="s">
        <v>3460</v>
      </c>
      <c r="AQ31" s="204">
        <f t="shared" ref="AQ31:AR31" si="10">AJ49</f>
        <v>0</v>
      </c>
      <c r="AR31" s="204">
        <f t="shared" si="10"/>
        <v>0</v>
      </c>
      <c r="AS31" s="205"/>
      <c r="AT31" s="205"/>
    </row>
    <row r="32">
      <c r="A32" s="157"/>
      <c r="B32" s="209" t="s">
        <v>3461</v>
      </c>
      <c r="C32" s="197">
        <v>0.15</v>
      </c>
      <c r="D32" s="198">
        <v>32.0</v>
      </c>
      <c r="E32" s="198">
        <v>33.0</v>
      </c>
      <c r="F32" s="198">
        <v>34.0</v>
      </c>
      <c r="G32" s="198">
        <v>35.0</v>
      </c>
      <c r="H32" s="198">
        <v>37.0</v>
      </c>
      <c r="I32" s="198">
        <v>38.0</v>
      </c>
      <c r="J32" s="198">
        <v>39.0</v>
      </c>
      <c r="K32" s="198">
        <v>40.0</v>
      </c>
      <c r="L32" s="198">
        <v>42.0</v>
      </c>
      <c r="M32" s="198">
        <v>43.0</v>
      </c>
      <c r="N32" s="198">
        <v>45.0</v>
      </c>
      <c r="O32" s="198">
        <v>46.0</v>
      </c>
      <c r="P32" s="198">
        <v>47.0</v>
      </c>
      <c r="Q32" s="198">
        <v>49.0</v>
      </c>
      <c r="R32" s="199">
        <v>49.0</v>
      </c>
      <c r="S32" s="199">
        <v>49.0</v>
      </c>
      <c r="T32" s="199">
        <v>51.0</v>
      </c>
      <c r="U32" s="199">
        <v>52.0</v>
      </c>
      <c r="V32" s="199">
        <v>53.0</v>
      </c>
      <c r="W32" s="199">
        <v>54.0</v>
      </c>
      <c r="X32" s="199">
        <v>55.0</v>
      </c>
      <c r="Y32" s="199">
        <v>65.0</v>
      </c>
      <c r="Z32" s="199">
        <v>65.0</v>
      </c>
      <c r="AA32" s="199">
        <v>65.0</v>
      </c>
      <c r="AB32" s="199">
        <v>65.0</v>
      </c>
      <c r="AC32" s="199">
        <v>65.0</v>
      </c>
      <c r="AD32" s="199">
        <v>65.0</v>
      </c>
      <c r="AE32" s="199">
        <v>65.0</v>
      </c>
      <c r="AF32" s="199">
        <v>65.0</v>
      </c>
      <c r="AG32" s="199">
        <v>65.0</v>
      </c>
      <c r="AH32" s="199">
        <v>65.0</v>
      </c>
      <c r="AI32" s="199">
        <v>65.0</v>
      </c>
      <c r="AJ32" s="200">
        <v>65.0</v>
      </c>
      <c r="AK32" s="200">
        <v>65.0</v>
      </c>
      <c r="AL32" s="200">
        <v>65.0</v>
      </c>
      <c r="AM32" s="171" t="str">
        <f>IF($AL$32&lt;$AJ$32, "&lt;--- ОШИБКА, данные по строительной готовности снизились","")</f>
        <v/>
      </c>
      <c r="AN32" s="192"/>
      <c r="AP32" s="210" t="s">
        <v>3462</v>
      </c>
      <c r="AQ32" s="204">
        <f t="shared" ref="AQ32:AR32" si="11">AJ56</f>
        <v>0</v>
      </c>
      <c r="AR32" s="204">
        <f t="shared" si="11"/>
        <v>0</v>
      </c>
      <c r="AS32" s="205"/>
      <c r="AT32" s="205"/>
    </row>
    <row r="33">
      <c r="A33" s="157"/>
      <c r="B33" s="209" t="s">
        <v>3463</v>
      </c>
      <c r="C33" s="197">
        <v>0.4</v>
      </c>
      <c r="D33" s="198">
        <v>27.0</v>
      </c>
      <c r="E33" s="198">
        <v>28.0</v>
      </c>
      <c r="F33" s="198">
        <v>29.0</v>
      </c>
      <c r="G33" s="198">
        <v>29.0</v>
      </c>
      <c r="H33" s="198">
        <v>30.0</v>
      </c>
      <c r="I33" s="198">
        <v>33.0</v>
      </c>
      <c r="J33" s="198">
        <v>34.0</v>
      </c>
      <c r="K33" s="198">
        <v>36.0</v>
      </c>
      <c r="L33" s="198">
        <v>38.0</v>
      </c>
      <c r="M33" s="198">
        <v>39.0</v>
      </c>
      <c r="N33" s="198">
        <v>40.0</v>
      </c>
      <c r="O33" s="198">
        <v>41.0</v>
      </c>
      <c r="P33" s="198">
        <v>42.0</v>
      </c>
      <c r="Q33" s="198">
        <v>42.0</v>
      </c>
      <c r="R33" s="199">
        <v>42.0</v>
      </c>
      <c r="S33" s="199">
        <v>42.0</v>
      </c>
      <c r="T33" s="199">
        <v>46.0</v>
      </c>
      <c r="U33" s="199">
        <v>47.0</v>
      </c>
      <c r="V33" s="199">
        <v>48.0</v>
      </c>
      <c r="W33" s="199">
        <v>49.0</v>
      </c>
      <c r="X33" s="199">
        <v>50.0</v>
      </c>
      <c r="Y33" s="199">
        <v>63.0</v>
      </c>
      <c r="Z33" s="199">
        <v>63.0</v>
      </c>
      <c r="AA33" s="199">
        <v>63.0</v>
      </c>
      <c r="AB33" s="199">
        <v>63.0</v>
      </c>
      <c r="AC33" s="199">
        <v>63.0</v>
      </c>
      <c r="AD33" s="199">
        <v>63.0</v>
      </c>
      <c r="AE33" s="199">
        <v>63.0</v>
      </c>
      <c r="AF33" s="199">
        <v>63.0</v>
      </c>
      <c r="AG33" s="199">
        <v>63.0</v>
      </c>
      <c r="AH33" s="199">
        <v>63.0</v>
      </c>
      <c r="AI33" s="199">
        <v>63.0</v>
      </c>
      <c r="AJ33" s="200">
        <v>63.0</v>
      </c>
      <c r="AK33" s="200">
        <v>63.0</v>
      </c>
      <c r="AL33" s="200">
        <v>63.0</v>
      </c>
      <c r="AM33" s="171" t="str">
        <f>IF($AL$33&lt;$AJ$33, "&lt;--- ОШИБКА, данные по строительной готовности снизились","")</f>
        <v/>
      </c>
      <c r="AN33" s="192"/>
      <c r="AP33" s="210" t="s">
        <v>3464</v>
      </c>
      <c r="AQ33" s="204">
        <f t="shared" ref="AQ33:AR33" si="12">AJ62</f>
        <v>0</v>
      </c>
      <c r="AR33" s="204">
        <f t="shared" si="12"/>
        <v>0</v>
      </c>
      <c r="AS33" s="205"/>
      <c r="AT33" s="205"/>
    </row>
    <row r="34">
      <c r="A34" s="157"/>
      <c r="B34" s="209" t="s">
        <v>3465</v>
      </c>
      <c r="C34" s="197">
        <v>0.25</v>
      </c>
      <c r="D34" s="198">
        <v>2.0</v>
      </c>
      <c r="E34" s="198">
        <v>2.0</v>
      </c>
      <c r="F34" s="198">
        <v>3.0</v>
      </c>
      <c r="G34" s="198">
        <v>3.0</v>
      </c>
      <c r="H34" s="198">
        <v>4.0</v>
      </c>
      <c r="I34" s="198">
        <v>5.0</v>
      </c>
      <c r="J34" s="198">
        <v>5.0</v>
      </c>
      <c r="K34" s="198">
        <v>6.0</v>
      </c>
      <c r="L34" s="198">
        <v>8.0</v>
      </c>
      <c r="M34" s="198">
        <v>8.0</v>
      </c>
      <c r="N34" s="198">
        <v>9.0</v>
      </c>
      <c r="O34" s="198">
        <v>10.0</v>
      </c>
      <c r="P34" s="198">
        <v>12.0</v>
      </c>
      <c r="Q34" s="198">
        <v>12.0</v>
      </c>
      <c r="R34" s="199">
        <v>12.0</v>
      </c>
      <c r="S34" s="199">
        <v>12.0</v>
      </c>
      <c r="T34" s="199">
        <v>15.0</v>
      </c>
      <c r="U34" s="199">
        <v>17.0</v>
      </c>
      <c r="V34" s="199">
        <v>20.0</v>
      </c>
      <c r="W34" s="199">
        <v>21.0</v>
      </c>
      <c r="X34" s="199">
        <v>22.0</v>
      </c>
      <c r="Y34" s="199">
        <v>30.0</v>
      </c>
      <c r="Z34" s="199">
        <v>30.0</v>
      </c>
      <c r="AA34" s="199">
        <v>30.0</v>
      </c>
      <c r="AB34" s="199">
        <v>30.0</v>
      </c>
      <c r="AC34" s="199">
        <v>30.0</v>
      </c>
      <c r="AD34" s="199">
        <v>30.0</v>
      </c>
      <c r="AE34" s="199">
        <v>30.0</v>
      </c>
      <c r="AF34" s="199">
        <v>30.0</v>
      </c>
      <c r="AG34" s="199">
        <v>30.0</v>
      </c>
      <c r="AH34" s="199">
        <v>30.0</v>
      </c>
      <c r="AI34" s="199">
        <v>30.0</v>
      </c>
      <c r="AJ34" s="200">
        <v>30.0</v>
      </c>
      <c r="AK34" s="200">
        <v>30.0</v>
      </c>
      <c r="AL34" s="200">
        <v>30.0</v>
      </c>
      <c r="AM34" s="171" t="str">
        <f>IF($AL$34&lt;$AJ$34, "&lt;--- ОШИБКА, данные по строительной готовности снизились","")</f>
        <v/>
      </c>
      <c r="AN34" s="192"/>
      <c r="AP34" s="210" t="s">
        <v>3466</v>
      </c>
      <c r="AQ34" s="204">
        <f t="shared" ref="AQ34:AR34" si="13">AJ68</f>
        <v>2.4</v>
      </c>
      <c r="AR34" s="204">
        <f t="shared" si="13"/>
        <v>2.4</v>
      </c>
      <c r="AS34" s="195"/>
      <c r="AT34" s="195"/>
    </row>
    <row r="35">
      <c r="A35" s="157"/>
      <c r="B35" s="211" t="s">
        <v>3467</v>
      </c>
      <c r="C35" s="207">
        <v>0.2</v>
      </c>
      <c r="D35" s="198">
        <v>40.0</v>
      </c>
      <c r="E35" s="198">
        <v>0.0</v>
      </c>
      <c r="F35" s="198">
        <v>0.0</v>
      </c>
      <c r="G35" s="198">
        <v>5.0</v>
      </c>
      <c r="H35" s="198">
        <v>6.0</v>
      </c>
      <c r="I35" s="198">
        <v>8.0</v>
      </c>
      <c r="J35" s="198">
        <v>9.0</v>
      </c>
      <c r="K35" s="198">
        <v>25.0</v>
      </c>
      <c r="L35" s="198">
        <v>27.0</v>
      </c>
      <c r="M35" s="198">
        <v>29.0</v>
      </c>
      <c r="N35" s="198">
        <v>34.0</v>
      </c>
      <c r="O35" s="198">
        <v>35.0</v>
      </c>
      <c r="P35" s="198">
        <v>37.0</v>
      </c>
      <c r="Q35" s="198">
        <v>37.0</v>
      </c>
      <c r="R35" s="199">
        <v>37.0</v>
      </c>
      <c r="S35" s="199">
        <v>37.0</v>
      </c>
      <c r="T35" s="199">
        <v>40.0</v>
      </c>
      <c r="U35" s="199">
        <v>41.0</v>
      </c>
      <c r="V35" s="199">
        <v>42.0</v>
      </c>
      <c r="W35" s="199">
        <v>44.0</v>
      </c>
      <c r="X35" s="199">
        <v>45.0</v>
      </c>
      <c r="Y35" s="199">
        <v>75.0</v>
      </c>
      <c r="Z35" s="199">
        <v>75.0</v>
      </c>
      <c r="AA35" s="199">
        <v>75.0</v>
      </c>
      <c r="AB35" s="199">
        <v>75.0</v>
      </c>
      <c r="AC35" s="199">
        <v>75.0</v>
      </c>
      <c r="AD35" s="199">
        <v>80.0</v>
      </c>
      <c r="AE35" s="199">
        <v>80.0</v>
      </c>
      <c r="AF35" s="199">
        <v>80.0</v>
      </c>
      <c r="AG35" s="199">
        <v>80.0</v>
      </c>
      <c r="AH35" s="199">
        <v>80.0</v>
      </c>
      <c r="AI35" s="199">
        <v>80.0</v>
      </c>
      <c r="AJ35" s="200">
        <v>80.0</v>
      </c>
      <c r="AK35" s="200">
        <v>80.0</v>
      </c>
      <c r="AL35" s="200">
        <v>80.0</v>
      </c>
      <c r="AM35" s="171" t="str">
        <f>IF($AL$35&lt;$AJ$35, "&lt;--- ОШИБКА, данные по строительной готовности снизились","")</f>
        <v/>
      </c>
      <c r="AN35" s="192"/>
      <c r="AP35" s="201" t="s">
        <v>3468</v>
      </c>
      <c r="AQ35" s="194">
        <f t="shared" ref="AQ35:AR35" si="14">AJ74</f>
        <v>25.22</v>
      </c>
      <c r="AR35" s="194">
        <f t="shared" si="14"/>
        <v>25.22</v>
      </c>
      <c r="AS35" s="195"/>
      <c r="AT35" s="195"/>
    </row>
    <row r="36">
      <c r="A36" s="157"/>
      <c r="B36" s="175" t="s">
        <v>3454</v>
      </c>
      <c r="C36" s="187">
        <v>0.15</v>
      </c>
      <c r="D36" s="177">
        <v>0.0</v>
      </c>
      <c r="E36" s="177">
        <v>0.0</v>
      </c>
      <c r="F36" s="177">
        <v>0.0</v>
      </c>
      <c r="G36" s="177">
        <v>0.0</v>
      </c>
      <c r="H36" s="177">
        <v>0.0</v>
      </c>
      <c r="I36" s="177">
        <v>0.0</v>
      </c>
      <c r="J36" s="177">
        <v>0.0</v>
      </c>
      <c r="K36" s="177">
        <v>0.0</v>
      </c>
      <c r="L36" s="177">
        <v>0.0</v>
      </c>
      <c r="M36" s="177">
        <v>0.0</v>
      </c>
      <c r="N36" s="177">
        <v>0.0</v>
      </c>
      <c r="O36" s="177">
        <v>0.0</v>
      </c>
      <c r="P36" s="177">
        <v>0.0</v>
      </c>
      <c r="Q36" s="177">
        <v>0.0</v>
      </c>
      <c r="R36" s="188">
        <v>0.0</v>
      </c>
      <c r="S36" s="188">
        <v>0.0</v>
      </c>
      <c r="T36" s="188">
        <v>0.0</v>
      </c>
      <c r="U36" s="188">
        <v>0.0</v>
      </c>
      <c r="V36" s="188">
        <v>0.0</v>
      </c>
      <c r="W36" s="188">
        <v>0.0</v>
      </c>
      <c r="X36" s="188">
        <v>0.0</v>
      </c>
      <c r="Y36" s="188">
        <v>0.0</v>
      </c>
      <c r="Z36" s="188">
        <v>0.0</v>
      </c>
      <c r="AA36" s="188">
        <v>0.0</v>
      </c>
      <c r="AB36" s="188">
        <v>0.0</v>
      </c>
      <c r="AC36" s="188">
        <v>0.0</v>
      </c>
      <c r="AD36" s="189">
        <v>0.0</v>
      </c>
      <c r="AE36" s="189">
        <v>0.0</v>
      </c>
      <c r="AF36" s="189">
        <v>0.0</v>
      </c>
      <c r="AG36" s="189">
        <v>0.0</v>
      </c>
      <c r="AH36" s="189">
        <v>0.0</v>
      </c>
      <c r="AI36" s="189">
        <v>0.0</v>
      </c>
      <c r="AJ36" s="190">
        <v>0.0</v>
      </c>
      <c r="AK36" s="190">
        <v>0.0</v>
      </c>
      <c r="AL36" s="191">
        <f>AL37*$C$37+AL42*$C$42</f>
        <v>0</v>
      </c>
      <c r="AM36" s="171" t="str">
        <f>IF($AL$36&lt;$AJ$36, "&lt;--- ОШИБКА, данные по строительной готовности снизились","")</f>
        <v/>
      </c>
      <c r="AN36" s="192"/>
      <c r="AP36" s="193" t="s">
        <v>3469</v>
      </c>
      <c r="AQ36" s="194">
        <f t="shared" ref="AQ36:AR36" si="15">AJ99</f>
        <v>30.8</v>
      </c>
      <c r="AR36" s="194">
        <f t="shared" si="15"/>
        <v>30.8</v>
      </c>
      <c r="AS36" s="195"/>
      <c r="AT36" s="195"/>
    </row>
    <row r="37">
      <c r="A37" s="157"/>
      <c r="B37" s="212" t="s">
        <v>3470</v>
      </c>
      <c r="C37" s="213">
        <v>0.4</v>
      </c>
      <c r="D37" s="177">
        <v>0.0</v>
      </c>
      <c r="E37" s="177">
        <v>0.0</v>
      </c>
      <c r="F37" s="177">
        <v>0.0</v>
      </c>
      <c r="G37" s="177">
        <v>0.0</v>
      </c>
      <c r="H37" s="177">
        <v>0.0</v>
      </c>
      <c r="I37" s="177">
        <v>0.0</v>
      </c>
      <c r="J37" s="177">
        <v>0.0</v>
      </c>
      <c r="K37" s="177">
        <v>0.0</v>
      </c>
      <c r="L37" s="177">
        <v>0.0</v>
      </c>
      <c r="M37" s="177">
        <v>0.0</v>
      </c>
      <c r="N37" s="177">
        <v>0.0</v>
      </c>
      <c r="O37" s="177">
        <v>0.0</v>
      </c>
      <c r="P37" s="177">
        <v>0.0</v>
      </c>
      <c r="Q37" s="177">
        <v>0.0</v>
      </c>
      <c r="R37" s="214">
        <v>0.0</v>
      </c>
      <c r="S37" s="214">
        <v>0.0</v>
      </c>
      <c r="T37" s="214">
        <v>0.0</v>
      </c>
      <c r="U37" s="214">
        <v>0.0</v>
      </c>
      <c r="V37" s="214">
        <v>0.0</v>
      </c>
      <c r="W37" s="214">
        <v>0.0</v>
      </c>
      <c r="X37" s="214">
        <v>0.0</v>
      </c>
      <c r="Y37" s="214">
        <v>0.0</v>
      </c>
      <c r="Z37" s="214">
        <v>0.0</v>
      </c>
      <c r="AA37" s="214">
        <v>0.0</v>
      </c>
      <c r="AB37" s="214">
        <v>0.0</v>
      </c>
      <c r="AC37" s="214">
        <v>0.0</v>
      </c>
      <c r="AD37" s="214">
        <v>0.0</v>
      </c>
      <c r="AE37" s="214">
        <v>0.0</v>
      </c>
      <c r="AF37" s="214">
        <v>0.0</v>
      </c>
      <c r="AG37" s="214">
        <v>0.0</v>
      </c>
      <c r="AH37" s="214">
        <v>0.0</v>
      </c>
      <c r="AI37" s="214">
        <v>0.0</v>
      </c>
      <c r="AJ37" s="215">
        <v>0.0</v>
      </c>
      <c r="AK37" s="215">
        <v>0.0</v>
      </c>
      <c r="AL37" s="216">
        <f>AL38*$C$38+AL39*$C$39+AL40*$C$40+AL41*$C$41</f>
        <v>0</v>
      </c>
      <c r="AM37" s="171" t="str">
        <f>IF($AL$37&lt;$AJ$37, "&lt;--- ОШИБКА, данные по строительной готовности снизились","")</f>
        <v/>
      </c>
      <c r="AN37" s="192"/>
      <c r="AP37" s="203" t="s">
        <v>3471</v>
      </c>
      <c r="AQ37" s="217">
        <f t="shared" ref="AQ37:AR37" si="16">AJ100</f>
        <v>100</v>
      </c>
      <c r="AR37" s="217">
        <f t="shared" si="16"/>
        <v>100</v>
      </c>
      <c r="AS37" s="195"/>
      <c r="AT37" s="195"/>
    </row>
    <row r="38">
      <c r="A38" s="157"/>
      <c r="B38" s="206" t="s">
        <v>3472</v>
      </c>
      <c r="C38" s="207">
        <v>0.2</v>
      </c>
      <c r="D38" s="198">
        <v>0.0</v>
      </c>
      <c r="E38" s="198">
        <v>0.0</v>
      </c>
      <c r="F38" s="198">
        <v>0.0</v>
      </c>
      <c r="G38" s="198">
        <v>0.0</v>
      </c>
      <c r="H38" s="198">
        <v>0.0</v>
      </c>
      <c r="I38" s="198">
        <v>0.0</v>
      </c>
      <c r="J38" s="198">
        <v>0.0</v>
      </c>
      <c r="K38" s="198">
        <v>0.0</v>
      </c>
      <c r="L38" s="198">
        <v>0.0</v>
      </c>
      <c r="M38" s="198">
        <v>0.0</v>
      </c>
      <c r="N38" s="198">
        <v>0.0</v>
      </c>
      <c r="O38" s="198">
        <v>0.0</v>
      </c>
      <c r="P38" s="198">
        <v>0.0</v>
      </c>
      <c r="Q38" s="198">
        <v>0.0</v>
      </c>
      <c r="R38" s="199">
        <v>0.0</v>
      </c>
      <c r="S38" s="199">
        <v>0.0</v>
      </c>
      <c r="T38" s="199">
        <v>0.0</v>
      </c>
      <c r="U38" s="199">
        <v>0.0</v>
      </c>
      <c r="V38" s="199">
        <v>0.0</v>
      </c>
      <c r="W38" s="199">
        <v>0.0</v>
      </c>
      <c r="X38" s="199">
        <v>0.0</v>
      </c>
      <c r="Y38" s="199">
        <v>0.0</v>
      </c>
      <c r="Z38" s="199">
        <v>0.0</v>
      </c>
      <c r="AA38" s="199">
        <v>0.0</v>
      </c>
      <c r="AB38" s="199">
        <v>0.0</v>
      </c>
      <c r="AC38" s="199">
        <v>0.0</v>
      </c>
      <c r="AD38" s="199">
        <v>0.0</v>
      </c>
      <c r="AE38" s="199">
        <v>0.0</v>
      </c>
      <c r="AF38" s="199">
        <v>0.0</v>
      </c>
      <c r="AG38" s="199">
        <v>0.0</v>
      </c>
      <c r="AH38" s="199">
        <v>0.0</v>
      </c>
      <c r="AI38" s="199">
        <v>0.0</v>
      </c>
      <c r="AJ38" s="200">
        <v>0.0</v>
      </c>
      <c r="AK38" s="200">
        <v>0.0</v>
      </c>
      <c r="AL38" s="200">
        <v>0.0</v>
      </c>
      <c r="AM38" s="171" t="str">
        <f>IF($AL$38&lt;$AJ$38, "&lt;--- ОШИБКА, данные по строительной готовности снизились","")</f>
        <v/>
      </c>
      <c r="AN38" s="192"/>
      <c r="AP38" s="203" t="s">
        <v>3473</v>
      </c>
      <c r="AQ38" s="217">
        <f t="shared" ref="AQ38:AR38" si="17">AJ102</f>
        <v>15</v>
      </c>
      <c r="AR38" s="217">
        <f t="shared" si="17"/>
        <v>15</v>
      </c>
      <c r="AS38" s="195"/>
      <c r="AT38" s="195"/>
    </row>
    <row r="39">
      <c r="A39" s="157"/>
      <c r="B39" s="206" t="s">
        <v>3474</v>
      </c>
      <c r="C39" s="197">
        <v>0.4</v>
      </c>
      <c r="D39" s="198">
        <v>0.0</v>
      </c>
      <c r="E39" s="198">
        <v>0.0</v>
      </c>
      <c r="F39" s="198">
        <v>0.0</v>
      </c>
      <c r="G39" s="198">
        <v>0.0</v>
      </c>
      <c r="H39" s="198">
        <v>0.0</v>
      </c>
      <c r="I39" s="198">
        <v>0.0</v>
      </c>
      <c r="J39" s="198">
        <v>0.0</v>
      </c>
      <c r="K39" s="198">
        <v>0.0</v>
      </c>
      <c r="L39" s="198">
        <v>0.0</v>
      </c>
      <c r="M39" s="198">
        <v>0.0</v>
      </c>
      <c r="N39" s="198">
        <v>0.0</v>
      </c>
      <c r="O39" s="198">
        <v>0.0</v>
      </c>
      <c r="P39" s="198">
        <v>0.0</v>
      </c>
      <c r="Q39" s="198">
        <v>0.0</v>
      </c>
      <c r="R39" s="199">
        <v>0.0</v>
      </c>
      <c r="S39" s="199">
        <v>0.0</v>
      </c>
      <c r="T39" s="199">
        <v>0.0</v>
      </c>
      <c r="U39" s="199">
        <v>0.0</v>
      </c>
      <c r="V39" s="199">
        <v>0.0</v>
      </c>
      <c r="W39" s="199">
        <v>0.0</v>
      </c>
      <c r="X39" s="199">
        <v>0.0</v>
      </c>
      <c r="Y39" s="199">
        <v>0.0</v>
      </c>
      <c r="Z39" s="199">
        <v>0.0</v>
      </c>
      <c r="AA39" s="199">
        <v>0.0</v>
      </c>
      <c r="AB39" s="199">
        <v>0.0</v>
      </c>
      <c r="AC39" s="199">
        <v>0.0</v>
      </c>
      <c r="AD39" s="199">
        <v>0.0</v>
      </c>
      <c r="AE39" s="199">
        <v>0.0</v>
      </c>
      <c r="AF39" s="199">
        <v>0.0</v>
      </c>
      <c r="AG39" s="199">
        <v>0.0</v>
      </c>
      <c r="AH39" s="199">
        <v>0.0</v>
      </c>
      <c r="AI39" s="199">
        <v>0.0</v>
      </c>
      <c r="AJ39" s="200">
        <v>0.0</v>
      </c>
      <c r="AK39" s="200">
        <v>0.0</v>
      </c>
      <c r="AL39" s="200">
        <v>0.0</v>
      </c>
      <c r="AM39" s="171" t="str">
        <f>IF($AL$39&lt;$AJ$39, "&lt;--- ОШИБКА, данные по строительной готовности снизились","")</f>
        <v/>
      </c>
      <c r="AN39" s="192"/>
      <c r="AP39" s="210" t="s">
        <v>3475</v>
      </c>
      <c r="AQ39" s="217">
        <f t="shared" ref="AQ39:AR39" si="18">AJ103</f>
        <v>0</v>
      </c>
      <c r="AR39" s="217">
        <f t="shared" si="18"/>
        <v>0</v>
      </c>
      <c r="AS39" s="195"/>
      <c r="AT39" s="195"/>
    </row>
    <row r="40">
      <c r="A40" s="157"/>
      <c r="B40" s="206" t="s">
        <v>3476</v>
      </c>
      <c r="C40" s="197">
        <v>0.35</v>
      </c>
      <c r="D40" s="198">
        <v>0.0</v>
      </c>
      <c r="E40" s="198">
        <v>0.0</v>
      </c>
      <c r="F40" s="198">
        <v>0.0</v>
      </c>
      <c r="G40" s="198">
        <v>0.0</v>
      </c>
      <c r="H40" s="198">
        <v>0.0</v>
      </c>
      <c r="I40" s="198">
        <v>0.0</v>
      </c>
      <c r="J40" s="198">
        <v>0.0</v>
      </c>
      <c r="K40" s="198">
        <v>0.0</v>
      </c>
      <c r="L40" s="198">
        <v>0.0</v>
      </c>
      <c r="M40" s="198">
        <v>0.0</v>
      </c>
      <c r="N40" s="198">
        <v>0.0</v>
      </c>
      <c r="O40" s="198">
        <v>0.0</v>
      </c>
      <c r="P40" s="198">
        <v>0.0</v>
      </c>
      <c r="Q40" s="198">
        <v>0.0</v>
      </c>
      <c r="R40" s="199">
        <v>0.0</v>
      </c>
      <c r="S40" s="199">
        <v>0.0</v>
      </c>
      <c r="T40" s="199">
        <v>0.0</v>
      </c>
      <c r="U40" s="199">
        <v>0.0</v>
      </c>
      <c r="V40" s="199">
        <v>0.0</v>
      </c>
      <c r="W40" s="199">
        <v>0.0</v>
      </c>
      <c r="X40" s="199">
        <v>0.0</v>
      </c>
      <c r="Y40" s="199">
        <v>0.0</v>
      </c>
      <c r="Z40" s="199">
        <v>0.0</v>
      </c>
      <c r="AA40" s="199">
        <v>0.0</v>
      </c>
      <c r="AB40" s="199">
        <v>0.0</v>
      </c>
      <c r="AC40" s="199">
        <v>0.0</v>
      </c>
      <c r="AD40" s="199">
        <v>0.0</v>
      </c>
      <c r="AE40" s="199">
        <v>0.0</v>
      </c>
      <c r="AF40" s="199">
        <v>0.0</v>
      </c>
      <c r="AG40" s="199">
        <v>0.0</v>
      </c>
      <c r="AH40" s="199">
        <v>0.0</v>
      </c>
      <c r="AI40" s="199">
        <v>0.0</v>
      </c>
      <c r="AJ40" s="200">
        <v>0.0</v>
      </c>
      <c r="AK40" s="200">
        <v>0.0</v>
      </c>
      <c r="AL40" s="200">
        <v>0.0</v>
      </c>
      <c r="AM40" s="171" t="str">
        <f>IF($AL$40&lt;$AJ$40, "&lt;--- ОШИБКА, данные по строительной готовности снизились","")</f>
        <v/>
      </c>
      <c r="AN40" s="192"/>
      <c r="AP40" s="193" t="s">
        <v>3477</v>
      </c>
      <c r="AQ40" s="194">
        <f t="shared" ref="AQ40:AR40" si="19">AJ104</f>
        <v>0</v>
      </c>
      <c r="AR40" s="194">
        <f t="shared" si="19"/>
        <v>0</v>
      </c>
      <c r="AS40" s="195"/>
      <c r="AT40" s="195"/>
    </row>
    <row r="41">
      <c r="A41" s="157"/>
      <c r="B41" s="206" t="s">
        <v>3478</v>
      </c>
      <c r="C41" s="197">
        <v>0.05</v>
      </c>
      <c r="D41" s="198">
        <v>0.0</v>
      </c>
      <c r="E41" s="198">
        <v>0.0</v>
      </c>
      <c r="F41" s="198">
        <v>0.0</v>
      </c>
      <c r="G41" s="198">
        <v>0.0</v>
      </c>
      <c r="H41" s="198">
        <v>0.0</v>
      </c>
      <c r="I41" s="198">
        <v>0.0</v>
      </c>
      <c r="J41" s="198">
        <v>0.0</v>
      </c>
      <c r="K41" s="198">
        <v>0.0</v>
      </c>
      <c r="L41" s="198">
        <v>0.0</v>
      </c>
      <c r="M41" s="198">
        <v>0.0</v>
      </c>
      <c r="N41" s="198">
        <v>0.0</v>
      </c>
      <c r="O41" s="198">
        <v>0.0</v>
      </c>
      <c r="P41" s="198">
        <v>0.0</v>
      </c>
      <c r="Q41" s="198">
        <v>0.0</v>
      </c>
      <c r="R41" s="199">
        <v>0.0</v>
      </c>
      <c r="S41" s="199">
        <v>0.0</v>
      </c>
      <c r="T41" s="199">
        <v>0.0</v>
      </c>
      <c r="U41" s="199">
        <v>0.0</v>
      </c>
      <c r="V41" s="199">
        <v>0.0</v>
      </c>
      <c r="W41" s="199">
        <v>0.0</v>
      </c>
      <c r="X41" s="199">
        <v>0.0</v>
      </c>
      <c r="Y41" s="199">
        <v>0.0</v>
      </c>
      <c r="Z41" s="199">
        <v>0.0</v>
      </c>
      <c r="AA41" s="199">
        <v>0.0</v>
      </c>
      <c r="AB41" s="199">
        <v>0.0</v>
      </c>
      <c r="AC41" s="199">
        <v>0.0</v>
      </c>
      <c r="AD41" s="199">
        <v>0.0</v>
      </c>
      <c r="AE41" s="199">
        <v>0.0</v>
      </c>
      <c r="AF41" s="199">
        <v>0.0</v>
      </c>
      <c r="AG41" s="199">
        <v>0.0</v>
      </c>
      <c r="AH41" s="199">
        <v>0.0</v>
      </c>
      <c r="AI41" s="199">
        <v>0.0</v>
      </c>
      <c r="AJ41" s="200">
        <v>0.0</v>
      </c>
      <c r="AK41" s="200">
        <v>0.0</v>
      </c>
      <c r="AL41" s="200">
        <v>0.0</v>
      </c>
      <c r="AM41" s="171" t="str">
        <f>IF($AL$41&lt;$AJ$41, "&lt;--- ОШИБКА, данные по строительной готовности снизились","")</f>
        <v/>
      </c>
      <c r="AN41" s="192"/>
      <c r="AP41" s="201" t="s">
        <v>3479</v>
      </c>
      <c r="AQ41" s="194">
        <f t="shared" ref="AQ41:AR41" si="20">AJ107</f>
        <v>0</v>
      </c>
      <c r="AR41" s="194">
        <f t="shared" si="20"/>
        <v>0</v>
      </c>
      <c r="AS41" s="218"/>
      <c r="AT41" s="218"/>
    </row>
    <row r="42">
      <c r="A42" s="157"/>
      <c r="B42" s="212" t="s">
        <v>3480</v>
      </c>
      <c r="C42" s="213">
        <v>0.6</v>
      </c>
      <c r="D42" s="177">
        <v>0.0</v>
      </c>
      <c r="E42" s="177">
        <v>0.0</v>
      </c>
      <c r="F42" s="177">
        <v>0.0</v>
      </c>
      <c r="G42" s="177">
        <v>0.0</v>
      </c>
      <c r="H42" s="177">
        <v>0.0</v>
      </c>
      <c r="I42" s="177">
        <v>0.0</v>
      </c>
      <c r="J42" s="177">
        <v>0.0</v>
      </c>
      <c r="K42" s="177">
        <v>0.0</v>
      </c>
      <c r="L42" s="177">
        <v>0.0</v>
      </c>
      <c r="M42" s="177">
        <v>0.0</v>
      </c>
      <c r="N42" s="177">
        <v>0.0</v>
      </c>
      <c r="O42" s="177">
        <v>0.0</v>
      </c>
      <c r="P42" s="177">
        <v>0.0</v>
      </c>
      <c r="Q42" s="177">
        <v>0.0</v>
      </c>
      <c r="R42" s="214">
        <v>0.0</v>
      </c>
      <c r="S42" s="214">
        <v>0.0</v>
      </c>
      <c r="T42" s="214">
        <v>0.0</v>
      </c>
      <c r="U42" s="214">
        <v>0.0</v>
      </c>
      <c r="V42" s="214">
        <v>0.0</v>
      </c>
      <c r="W42" s="214">
        <v>0.0</v>
      </c>
      <c r="X42" s="214">
        <v>0.0</v>
      </c>
      <c r="Y42" s="214">
        <v>0.0</v>
      </c>
      <c r="Z42" s="214">
        <v>0.0</v>
      </c>
      <c r="AA42" s="214">
        <v>0.0</v>
      </c>
      <c r="AB42" s="214">
        <v>0.0</v>
      </c>
      <c r="AC42" s="214">
        <v>0.0</v>
      </c>
      <c r="AD42" s="214">
        <v>0.0</v>
      </c>
      <c r="AE42" s="214">
        <v>0.0</v>
      </c>
      <c r="AF42" s="214">
        <v>0.0</v>
      </c>
      <c r="AG42" s="214">
        <v>0.0</v>
      </c>
      <c r="AH42" s="214">
        <v>0.0</v>
      </c>
      <c r="AI42" s="214">
        <v>0.0</v>
      </c>
      <c r="AJ42" s="215">
        <v>0.0</v>
      </c>
      <c r="AK42" s="215">
        <v>0.0</v>
      </c>
      <c r="AL42" s="216">
        <f>AL43*$C$43+AL44*$C$44+AL45*$C$45+AL46*$C$46+AL47*$C$47</f>
        <v>0</v>
      </c>
      <c r="AM42" s="171" t="str">
        <f>IF($AL$42&lt;$AJ$42, "&lt;--- ОШИБКА, данные по строительной готовности снизились","")</f>
        <v/>
      </c>
      <c r="AN42" s="192"/>
      <c r="AP42" s="203" t="s">
        <v>3481</v>
      </c>
      <c r="AQ42" s="217">
        <f t="shared" ref="AQ42:AR42" si="21">AJ108</f>
        <v>0</v>
      </c>
      <c r="AR42" s="217">
        <f t="shared" si="21"/>
        <v>0</v>
      </c>
      <c r="AS42" s="218"/>
      <c r="AT42" s="218"/>
    </row>
    <row r="43">
      <c r="A43" s="157"/>
      <c r="B43" s="206" t="s">
        <v>3472</v>
      </c>
      <c r="C43" s="197">
        <v>0.3</v>
      </c>
      <c r="D43" s="198">
        <v>0.0</v>
      </c>
      <c r="E43" s="198">
        <v>0.0</v>
      </c>
      <c r="F43" s="198">
        <v>0.0</v>
      </c>
      <c r="G43" s="198">
        <v>0.0</v>
      </c>
      <c r="H43" s="198">
        <v>0.0</v>
      </c>
      <c r="I43" s="198">
        <v>0.0</v>
      </c>
      <c r="J43" s="198">
        <v>0.0</v>
      </c>
      <c r="K43" s="198">
        <v>0.0</v>
      </c>
      <c r="L43" s="198">
        <v>0.0</v>
      </c>
      <c r="M43" s="198">
        <v>0.0</v>
      </c>
      <c r="N43" s="198">
        <v>0.0</v>
      </c>
      <c r="O43" s="198">
        <v>0.0</v>
      </c>
      <c r="P43" s="198">
        <v>0.0</v>
      </c>
      <c r="Q43" s="198">
        <v>0.0</v>
      </c>
      <c r="R43" s="199">
        <v>0.0</v>
      </c>
      <c r="S43" s="199">
        <v>0.0</v>
      </c>
      <c r="T43" s="199">
        <v>0.0</v>
      </c>
      <c r="U43" s="199">
        <v>0.0</v>
      </c>
      <c r="V43" s="199">
        <v>0.0</v>
      </c>
      <c r="W43" s="199">
        <v>0.0</v>
      </c>
      <c r="X43" s="199">
        <v>0.0</v>
      </c>
      <c r="Y43" s="199">
        <v>0.0</v>
      </c>
      <c r="Z43" s="199">
        <v>0.0</v>
      </c>
      <c r="AA43" s="199">
        <v>0.0</v>
      </c>
      <c r="AB43" s="199">
        <v>0.0</v>
      </c>
      <c r="AC43" s="199">
        <v>0.0</v>
      </c>
      <c r="AD43" s="199">
        <v>0.0</v>
      </c>
      <c r="AE43" s="199">
        <v>0.0</v>
      </c>
      <c r="AF43" s="199">
        <v>0.0</v>
      </c>
      <c r="AG43" s="199">
        <v>0.0</v>
      </c>
      <c r="AH43" s="199">
        <v>0.0</v>
      </c>
      <c r="AI43" s="199">
        <v>0.0</v>
      </c>
      <c r="AJ43" s="200">
        <v>0.0</v>
      </c>
      <c r="AK43" s="200">
        <v>0.0</v>
      </c>
      <c r="AL43" s="200">
        <v>0.0</v>
      </c>
      <c r="AM43" s="171" t="str">
        <f>IF($AL$43&lt;$AJ$43, "&lt;--- ОШИБКА, данные по строительной готовности снизились","")</f>
        <v/>
      </c>
      <c r="AN43" s="192"/>
      <c r="AP43" s="203" t="s">
        <v>3482</v>
      </c>
      <c r="AQ43" s="217">
        <f t="shared" ref="AQ43:AR43" si="22">AJ109</f>
        <v>0</v>
      </c>
      <c r="AR43" s="217">
        <f t="shared" si="22"/>
        <v>0</v>
      </c>
      <c r="AS43" s="218"/>
      <c r="AT43" s="218"/>
    </row>
    <row r="44">
      <c r="A44" s="157"/>
      <c r="B44" s="206" t="s">
        <v>3474</v>
      </c>
      <c r="C44" s="197">
        <v>0.25</v>
      </c>
      <c r="D44" s="198">
        <v>0.0</v>
      </c>
      <c r="E44" s="198">
        <v>0.0</v>
      </c>
      <c r="F44" s="198">
        <v>0.0</v>
      </c>
      <c r="G44" s="198">
        <v>0.0</v>
      </c>
      <c r="H44" s="198">
        <v>0.0</v>
      </c>
      <c r="I44" s="198">
        <v>0.0</v>
      </c>
      <c r="J44" s="198">
        <v>0.0</v>
      </c>
      <c r="K44" s="198">
        <v>0.0</v>
      </c>
      <c r="L44" s="198">
        <v>0.0</v>
      </c>
      <c r="M44" s="198">
        <v>0.0</v>
      </c>
      <c r="N44" s="198">
        <v>0.0</v>
      </c>
      <c r="O44" s="198">
        <v>0.0</v>
      </c>
      <c r="P44" s="198">
        <v>0.0</v>
      </c>
      <c r="Q44" s="198">
        <v>0.0</v>
      </c>
      <c r="R44" s="199">
        <v>0.0</v>
      </c>
      <c r="S44" s="199">
        <v>0.0</v>
      </c>
      <c r="T44" s="199">
        <v>0.0</v>
      </c>
      <c r="U44" s="199">
        <v>0.0</v>
      </c>
      <c r="V44" s="199">
        <v>0.0</v>
      </c>
      <c r="W44" s="199">
        <v>0.0</v>
      </c>
      <c r="X44" s="199">
        <v>0.0</v>
      </c>
      <c r="Y44" s="199">
        <v>0.0</v>
      </c>
      <c r="Z44" s="199">
        <v>0.0</v>
      </c>
      <c r="AA44" s="199">
        <v>0.0</v>
      </c>
      <c r="AB44" s="199">
        <v>0.0</v>
      </c>
      <c r="AC44" s="199">
        <v>0.0</v>
      </c>
      <c r="AD44" s="199">
        <v>0.0</v>
      </c>
      <c r="AE44" s="199">
        <v>0.0</v>
      </c>
      <c r="AF44" s="199">
        <v>0.0</v>
      </c>
      <c r="AG44" s="199">
        <v>0.0</v>
      </c>
      <c r="AH44" s="199">
        <v>0.0</v>
      </c>
      <c r="AI44" s="199">
        <v>0.0</v>
      </c>
      <c r="AJ44" s="200">
        <v>0.0</v>
      </c>
      <c r="AK44" s="200">
        <v>0.0</v>
      </c>
      <c r="AL44" s="200">
        <v>0.0</v>
      </c>
      <c r="AM44" s="171" t="str">
        <f>IF($AL$44&lt;$AJ$44, "&lt;--- ОШИБКА, данные по строительной готовности снизились","")</f>
        <v/>
      </c>
      <c r="AN44" s="192"/>
      <c r="AP44" s="203" t="s">
        <v>3483</v>
      </c>
      <c r="AQ44" s="217">
        <f t="shared" ref="AQ44:AR44" si="23">AJ110</f>
        <v>0</v>
      </c>
      <c r="AR44" s="217">
        <f t="shared" si="23"/>
        <v>0</v>
      </c>
      <c r="AS44" s="112"/>
      <c r="AT44" s="112"/>
    </row>
    <row r="45">
      <c r="A45" s="157"/>
      <c r="B45" s="206" t="s">
        <v>3484</v>
      </c>
      <c r="C45" s="207">
        <v>0.3</v>
      </c>
      <c r="D45" s="198">
        <v>0.0</v>
      </c>
      <c r="E45" s="198">
        <v>0.0</v>
      </c>
      <c r="F45" s="198">
        <v>0.0</v>
      </c>
      <c r="G45" s="198">
        <v>0.0</v>
      </c>
      <c r="H45" s="198">
        <v>0.0</v>
      </c>
      <c r="I45" s="198">
        <v>0.0</v>
      </c>
      <c r="J45" s="198">
        <v>0.0</v>
      </c>
      <c r="K45" s="198">
        <v>0.0</v>
      </c>
      <c r="L45" s="198">
        <v>0.0</v>
      </c>
      <c r="M45" s="198">
        <v>0.0</v>
      </c>
      <c r="N45" s="198">
        <v>0.0</v>
      </c>
      <c r="O45" s="198">
        <v>0.0</v>
      </c>
      <c r="P45" s="198">
        <v>0.0</v>
      </c>
      <c r="Q45" s="198">
        <v>0.0</v>
      </c>
      <c r="R45" s="199">
        <v>0.0</v>
      </c>
      <c r="S45" s="199">
        <v>0.0</v>
      </c>
      <c r="T45" s="199">
        <v>0.0</v>
      </c>
      <c r="U45" s="199">
        <v>0.0</v>
      </c>
      <c r="V45" s="199">
        <v>0.0</v>
      </c>
      <c r="W45" s="199">
        <v>0.0</v>
      </c>
      <c r="X45" s="199">
        <v>0.0</v>
      </c>
      <c r="Y45" s="199">
        <v>0.0</v>
      </c>
      <c r="Z45" s="199">
        <v>0.0</v>
      </c>
      <c r="AA45" s="199">
        <v>0.0</v>
      </c>
      <c r="AB45" s="199">
        <v>0.0</v>
      </c>
      <c r="AC45" s="199">
        <v>0.0</v>
      </c>
      <c r="AD45" s="199">
        <v>0.0</v>
      </c>
      <c r="AE45" s="199">
        <v>0.0</v>
      </c>
      <c r="AF45" s="199">
        <v>0.0</v>
      </c>
      <c r="AG45" s="199">
        <v>0.0</v>
      </c>
      <c r="AH45" s="199">
        <v>0.0</v>
      </c>
      <c r="AI45" s="199">
        <v>0.0</v>
      </c>
      <c r="AJ45" s="200">
        <v>0.0</v>
      </c>
      <c r="AK45" s="200">
        <v>0.0</v>
      </c>
      <c r="AL45" s="200">
        <v>0.0</v>
      </c>
      <c r="AM45" s="171" t="str">
        <f>IF($AL$45&lt;$AJ$45, "&lt;--- ОШИБКА, данные по строительной готовности снизились","")</f>
        <v/>
      </c>
      <c r="AN45" s="192"/>
      <c r="AP45" s="219" t="s">
        <v>3485</v>
      </c>
      <c r="AQ45" s="219" t="s">
        <v>3485</v>
      </c>
      <c r="AR45" s="219" t="s">
        <v>3485</v>
      </c>
      <c r="AS45" s="112"/>
      <c r="AT45" s="112"/>
    </row>
    <row r="46">
      <c r="A46" s="157"/>
      <c r="B46" s="206" t="s">
        <v>3486</v>
      </c>
      <c r="C46" s="207">
        <v>0.1</v>
      </c>
      <c r="D46" s="198">
        <v>0.0</v>
      </c>
      <c r="E46" s="198">
        <v>0.0</v>
      </c>
      <c r="F46" s="198">
        <v>0.0</v>
      </c>
      <c r="G46" s="198">
        <v>0.0</v>
      </c>
      <c r="H46" s="198">
        <v>0.0</v>
      </c>
      <c r="I46" s="198">
        <v>0.0</v>
      </c>
      <c r="J46" s="198">
        <v>0.0</v>
      </c>
      <c r="K46" s="198">
        <v>0.0</v>
      </c>
      <c r="L46" s="198">
        <v>0.0</v>
      </c>
      <c r="M46" s="198">
        <v>0.0</v>
      </c>
      <c r="N46" s="198">
        <v>0.0</v>
      </c>
      <c r="O46" s="198">
        <v>0.0</v>
      </c>
      <c r="P46" s="198">
        <v>0.0</v>
      </c>
      <c r="Q46" s="198">
        <v>0.0</v>
      </c>
      <c r="R46" s="199">
        <v>0.0</v>
      </c>
      <c r="S46" s="199">
        <v>0.0</v>
      </c>
      <c r="T46" s="199">
        <v>0.0</v>
      </c>
      <c r="U46" s="199">
        <v>0.0</v>
      </c>
      <c r="V46" s="199">
        <v>0.0</v>
      </c>
      <c r="W46" s="199">
        <v>0.0</v>
      </c>
      <c r="X46" s="199">
        <v>0.0</v>
      </c>
      <c r="Y46" s="199">
        <v>0.0</v>
      </c>
      <c r="Z46" s="199">
        <v>0.0</v>
      </c>
      <c r="AA46" s="199">
        <v>0.0</v>
      </c>
      <c r="AB46" s="199">
        <v>0.0</v>
      </c>
      <c r="AC46" s="199">
        <v>0.0</v>
      </c>
      <c r="AD46" s="199">
        <v>0.0</v>
      </c>
      <c r="AE46" s="199">
        <v>0.0</v>
      </c>
      <c r="AF46" s="199">
        <v>0.0</v>
      </c>
      <c r="AG46" s="199">
        <v>0.0</v>
      </c>
      <c r="AH46" s="199">
        <v>0.0</v>
      </c>
      <c r="AI46" s="199">
        <v>0.0</v>
      </c>
      <c r="AJ46" s="200">
        <v>0.0</v>
      </c>
      <c r="AK46" s="200">
        <v>0.0</v>
      </c>
      <c r="AL46" s="200">
        <v>0.0</v>
      </c>
      <c r="AM46" s="171" t="str">
        <f>IF($AL$46&lt;$AJ$46, "&lt;--- ОШИБКА, данные по строительной готовности снизились","")</f>
        <v/>
      </c>
      <c r="AR46" s="112"/>
      <c r="AS46" s="112"/>
      <c r="AT46" s="112"/>
    </row>
    <row r="47">
      <c r="A47" s="157"/>
      <c r="B47" s="196" t="s">
        <v>3487</v>
      </c>
      <c r="C47" s="197">
        <v>0.05</v>
      </c>
      <c r="D47" s="198">
        <v>0.0</v>
      </c>
      <c r="E47" s="198">
        <v>0.0</v>
      </c>
      <c r="F47" s="198">
        <v>0.0</v>
      </c>
      <c r="G47" s="198">
        <v>0.0</v>
      </c>
      <c r="H47" s="198">
        <v>0.0</v>
      </c>
      <c r="I47" s="198">
        <v>0.0</v>
      </c>
      <c r="J47" s="198">
        <v>0.0</v>
      </c>
      <c r="K47" s="198">
        <v>0.0</v>
      </c>
      <c r="L47" s="198">
        <v>0.0</v>
      </c>
      <c r="M47" s="198">
        <v>0.0</v>
      </c>
      <c r="N47" s="198">
        <v>0.0</v>
      </c>
      <c r="O47" s="198">
        <v>0.0</v>
      </c>
      <c r="P47" s="198">
        <v>0.0</v>
      </c>
      <c r="Q47" s="198">
        <v>0.0</v>
      </c>
      <c r="R47" s="199">
        <v>0.0</v>
      </c>
      <c r="S47" s="199">
        <v>0.0</v>
      </c>
      <c r="T47" s="199">
        <v>0.0</v>
      </c>
      <c r="U47" s="199">
        <v>0.0</v>
      </c>
      <c r="V47" s="199">
        <v>0.0</v>
      </c>
      <c r="W47" s="199">
        <v>0.0</v>
      </c>
      <c r="X47" s="199">
        <v>0.0</v>
      </c>
      <c r="Y47" s="199">
        <v>0.0</v>
      </c>
      <c r="Z47" s="199">
        <v>0.0</v>
      </c>
      <c r="AA47" s="199">
        <v>0.0</v>
      </c>
      <c r="AB47" s="199">
        <v>0.0</v>
      </c>
      <c r="AC47" s="199">
        <v>0.0</v>
      </c>
      <c r="AD47" s="199">
        <v>0.0</v>
      </c>
      <c r="AE47" s="199">
        <v>0.0</v>
      </c>
      <c r="AF47" s="199">
        <v>0.0</v>
      </c>
      <c r="AG47" s="199">
        <v>0.0</v>
      </c>
      <c r="AH47" s="199">
        <v>0.0</v>
      </c>
      <c r="AI47" s="199">
        <v>0.0</v>
      </c>
      <c r="AJ47" s="200">
        <v>0.0</v>
      </c>
      <c r="AK47" s="200">
        <v>0.0</v>
      </c>
      <c r="AL47" s="200">
        <v>0.0</v>
      </c>
      <c r="AM47" s="171" t="str">
        <f>IF($AL$47&lt;$AJ$47, "&lt;--- ОШИБКА, данные по строительной готовности снизились","")</f>
        <v/>
      </c>
      <c r="AN47" s="112"/>
      <c r="AO47" s="220"/>
      <c r="AP47" s="220"/>
      <c r="AQ47" s="220"/>
      <c r="AR47" s="112"/>
      <c r="AS47" s="112"/>
      <c r="AT47" s="112"/>
    </row>
    <row r="48">
      <c r="A48" s="157"/>
      <c r="B48" s="208" t="s">
        <v>3459</v>
      </c>
      <c r="C48" s="187">
        <v>0.1</v>
      </c>
      <c r="D48" s="177">
        <v>0.0345</v>
      </c>
      <c r="E48" s="177">
        <v>0.18400000000000002</v>
      </c>
      <c r="F48" s="177">
        <v>0.2760000000000001</v>
      </c>
      <c r="G48" s="177">
        <v>0.2760000000000001</v>
      </c>
      <c r="H48" s="177">
        <v>0.36800000000000005</v>
      </c>
      <c r="I48" s="177">
        <v>0.46</v>
      </c>
      <c r="J48" s="177">
        <v>0.5520000000000002</v>
      </c>
      <c r="K48" s="177">
        <v>0.5520000000000002</v>
      </c>
      <c r="L48" s="177">
        <v>0.5520000000000002</v>
      </c>
      <c r="M48" s="177">
        <v>0.5520000000000002</v>
      </c>
      <c r="N48" s="177">
        <v>0.5520000000000002</v>
      </c>
      <c r="O48" s="177">
        <v>0.5520000000000002</v>
      </c>
      <c r="P48" s="177">
        <v>0.5520000000000002</v>
      </c>
      <c r="Q48" s="177">
        <v>0.5520000000000002</v>
      </c>
      <c r="R48" s="188">
        <v>0.5520000000000002</v>
      </c>
      <c r="S48" s="188">
        <v>0.5520000000000002</v>
      </c>
      <c r="T48" s="188">
        <v>0.5520000000000002</v>
      </c>
      <c r="U48" s="188">
        <v>0.5520000000000002</v>
      </c>
      <c r="V48" s="188">
        <v>0.5520000000000002</v>
      </c>
      <c r="W48" s="188">
        <v>0.5520000000000002</v>
      </c>
      <c r="X48" s="188">
        <v>0.5520000000000002</v>
      </c>
      <c r="Y48" s="188">
        <v>0.5520000000000002</v>
      </c>
      <c r="Z48" s="188">
        <v>0.5520000000000002</v>
      </c>
      <c r="AA48" s="188">
        <v>0.5520000000000002</v>
      </c>
      <c r="AB48" s="188">
        <v>0.5520000000000002</v>
      </c>
      <c r="AC48" s="188">
        <v>0.5520000000000002</v>
      </c>
      <c r="AD48" s="189">
        <v>0.5520000000000002</v>
      </c>
      <c r="AE48" s="189">
        <v>0.5520000000000002</v>
      </c>
      <c r="AF48" s="189">
        <v>0.5520000000000002</v>
      </c>
      <c r="AG48" s="189">
        <v>0.5520000000000002</v>
      </c>
      <c r="AH48" s="189">
        <v>0.5520000000000002</v>
      </c>
      <c r="AI48" s="189">
        <v>0.5520000000000002</v>
      </c>
      <c r="AJ48" s="190">
        <v>0.5520000000000002</v>
      </c>
      <c r="AK48" s="190">
        <v>0.5520000000000002</v>
      </c>
      <c r="AL48" s="191">
        <f>AL49*$C$49+AL56*$C$56+AL62*$C$62+AL68*$C$68+AL73*$C$73</f>
        <v>0.552</v>
      </c>
      <c r="AM48" s="171" t="str">
        <f>IF($AL$48&lt;$AJ$48, "&lt;--- ОШИБКА, данные по строительной готовности снизились","")</f>
        <v/>
      </c>
      <c r="AN48" s="112"/>
      <c r="AO48" s="220"/>
      <c r="AQ48" s="220"/>
      <c r="AR48" s="112"/>
      <c r="AS48" s="112"/>
      <c r="AT48" s="112"/>
    </row>
    <row r="49">
      <c r="A49" s="157"/>
      <c r="B49" s="212" t="s">
        <v>3488</v>
      </c>
      <c r="C49" s="221">
        <v>0.23</v>
      </c>
      <c r="D49" s="222">
        <v>0.0</v>
      </c>
      <c r="E49" s="222">
        <v>0.0</v>
      </c>
      <c r="F49" s="222">
        <v>0.0</v>
      </c>
      <c r="G49" s="222">
        <v>0.0</v>
      </c>
      <c r="H49" s="222">
        <v>0.0</v>
      </c>
      <c r="I49" s="222">
        <v>0.0</v>
      </c>
      <c r="J49" s="222">
        <v>0.0</v>
      </c>
      <c r="K49" s="222">
        <v>0.0</v>
      </c>
      <c r="L49" s="222">
        <v>0.0</v>
      </c>
      <c r="M49" s="222">
        <v>0.0</v>
      </c>
      <c r="N49" s="222">
        <v>0.0</v>
      </c>
      <c r="O49" s="222">
        <v>0.0</v>
      </c>
      <c r="P49" s="222">
        <v>0.0</v>
      </c>
      <c r="Q49" s="222">
        <v>0.0</v>
      </c>
      <c r="R49" s="223">
        <v>0.0</v>
      </c>
      <c r="S49" s="223">
        <v>0.0</v>
      </c>
      <c r="T49" s="223">
        <v>0.0</v>
      </c>
      <c r="U49" s="223">
        <v>0.0</v>
      </c>
      <c r="V49" s="223">
        <v>0.0</v>
      </c>
      <c r="W49" s="223">
        <v>0.0</v>
      </c>
      <c r="X49" s="223">
        <v>0.0</v>
      </c>
      <c r="Y49" s="223">
        <v>0.0</v>
      </c>
      <c r="Z49" s="223">
        <v>0.0</v>
      </c>
      <c r="AA49" s="223">
        <v>0.0</v>
      </c>
      <c r="AB49" s="223">
        <v>0.0</v>
      </c>
      <c r="AC49" s="223">
        <v>0.0</v>
      </c>
      <c r="AD49" s="224">
        <v>0.0</v>
      </c>
      <c r="AE49" s="224">
        <v>0.0</v>
      </c>
      <c r="AF49" s="224">
        <v>0.0</v>
      </c>
      <c r="AG49" s="224">
        <v>0.0</v>
      </c>
      <c r="AH49" s="224">
        <v>0.0</v>
      </c>
      <c r="AI49" s="224">
        <v>0.0</v>
      </c>
      <c r="AJ49" s="225">
        <v>0.0</v>
      </c>
      <c r="AK49" s="225">
        <v>0.0</v>
      </c>
      <c r="AL49" s="226">
        <f>AL50*$C$50+AL53*$C$53</f>
        <v>0</v>
      </c>
      <c r="AM49" s="171" t="str">
        <f>IF($AL$49&lt;$AJ$49, "&lt;--- ОШИБКА, данные по строительной готовности снизились","")</f>
        <v/>
      </c>
      <c r="AN49" s="112"/>
      <c r="AO49" s="220"/>
      <c r="AQ49" s="220"/>
      <c r="AR49" s="112"/>
      <c r="AS49" s="112"/>
      <c r="AT49" s="112"/>
    </row>
    <row r="50">
      <c r="A50" s="157"/>
      <c r="B50" s="227" t="s">
        <v>3489</v>
      </c>
      <c r="C50" s="228">
        <v>0.35</v>
      </c>
      <c r="D50" s="177">
        <v>0.0</v>
      </c>
      <c r="E50" s="177">
        <v>0.0</v>
      </c>
      <c r="F50" s="177">
        <v>0.0</v>
      </c>
      <c r="G50" s="177">
        <v>0.0</v>
      </c>
      <c r="H50" s="177">
        <v>0.0</v>
      </c>
      <c r="I50" s="177">
        <v>0.0</v>
      </c>
      <c r="J50" s="177">
        <v>0.0</v>
      </c>
      <c r="K50" s="177">
        <v>0.0</v>
      </c>
      <c r="L50" s="177">
        <v>0.0</v>
      </c>
      <c r="M50" s="177">
        <v>0.0</v>
      </c>
      <c r="N50" s="177">
        <v>0.0</v>
      </c>
      <c r="O50" s="177">
        <v>0.0</v>
      </c>
      <c r="P50" s="177">
        <v>0.0</v>
      </c>
      <c r="Q50" s="177">
        <v>0.0</v>
      </c>
      <c r="R50" s="229">
        <v>0.0</v>
      </c>
      <c r="S50" s="229">
        <v>0.0</v>
      </c>
      <c r="T50" s="229">
        <v>0.0</v>
      </c>
      <c r="U50" s="229">
        <v>0.0</v>
      </c>
      <c r="V50" s="229">
        <v>0.0</v>
      </c>
      <c r="W50" s="229">
        <v>0.0</v>
      </c>
      <c r="X50" s="229">
        <v>0.0</v>
      </c>
      <c r="Y50" s="229">
        <v>0.0</v>
      </c>
      <c r="Z50" s="229">
        <v>0.0</v>
      </c>
      <c r="AA50" s="229">
        <v>0.0</v>
      </c>
      <c r="AB50" s="229">
        <v>0.0</v>
      </c>
      <c r="AC50" s="229">
        <v>0.0</v>
      </c>
      <c r="AD50" s="229">
        <v>0.0</v>
      </c>
      <c r="AE50" s="229">
        <v>0.0</v>
      </c>
      <c r="AF50" s="229">
        <v>0.0</v>
      </c>
      <c r="AG50" s="229">
        <v>0.0</v>
      </c>
      <c r="AH50" s="229">
        <v>0.0</v>
      </c>
      <c r="AI50" s="229">
        <v>0.0</v>
      </c>
      <c r="AJ50" s="230">
        <v>0.0</v>
      </c>
      <c r="AK50" s="230">
        <v>0.0</v>
      </c>
      <c r="AL50" s="231">
        <f>AL51*$C$51+AL52*$C$52</f>
        <v>0</v>
      </c>
      <c r="AM50" s="171" t="str">
        <f>IF($AL$50&lt;$AJ$50, "&lt;--- ОШИБКА, данные по строительной готовности снизились","")</f>
        <v/>
      </c>
      <c r="AN50" s="112"/>
      <c r="AO50" s="220"/>
      <c r="AQ50" s="220"/>
      <c r="AR50" s="112"/>
      <c r="AS50" s="112"/>
      <c r="AT50" s="112"/>
    </row>
    <row r="51">
      <c r="A51" s="157"/>
      <c r="B51" s="206" t="s">
        <v>3490</v>
      </c>
      <c r="C51" s="197">
        <v>0.7</v>
      </c>
      <c r="D51" s="198">
        <v>0.0</v>
      </c>
      <c r="E51" s="198">
        <v>0.0</v>
      </c>
      <c r="F51" s="198">
        <v>0.0</v>
      </c>
      <c r="G51" s="198">
        <v>0.0</v>
      </c>
      <c r="H51" s="198">
        <v>0.0</v>
      </c>
      <c r="I51" s="198">
        <v>0.0</v>
      </c>
      <c r="J51" s="198">
        <v>0.0</v>
      </c>
      <c r="K51" s="198">
        <v>0.0</v>
      </c>
      <c r="L51" s="198">
        <v>0.0</v>
      </c>
      <c r="M51" s="198">
        <v>0.0</v>
      </c>
      <c r="N51" s="198">
        <v>0.0</v>
      </c>
      <c r="O51" s="198">
        <v>0.0</v>
      </c>
      <c r="P51" s="198">
        <v>0.0</v>
      </c>
      <c r="Q51" s="198">
        <v>0.0</v>
      </c>
      <c r="R51" s="199">
        <v>0.0</v>
      </c>
      <c r="S51" s="199">
        <v>0.0</v>
      </c>
      <c r="T51" s="199">
        <v>0.0</v>
      </c>
      <c r="U51" s="199">
        <v>0.0</v>
      </c>
      <c r="V51" s="199">
        <v>0.0</v>
      </c>
      <c r="W51" s="199">
        <v>0.0</v>
      </c>
      <c r="X51" s="199">
        <v>0.0</v>
      </c>
      <c r="Y51" s="199">
        <v>0.0</v>
      </c>
      <c r="Z51" s="199">
        <v>0.0</v>
      </c>
      <c r="AA51" s="199">
        <v>0.0</v>
      </c>
      <c r="AB51" s="199">
        <v>0.0</v>
      </c>
      <c r="AC51" s="199">
        <v>0.0</v>
      </c>
      <c r="AD51" s="199">
        <v>0.0</v>
      </c>
      <c r="AE51" s="199">
        <v>0.0</v>
      </c>
      <c r="AF51" s="199">
        <v>0.0</v>
      </c>
      <c r="AG51" s="199">
        <v>0.0</v>
      </c>
      <c r="AH51" s="199">
        <v>0.0</v>
      </c>
      <c r="AI51" s="199">
        <v>0.0</v>
      </c>
      <c r="AJ51" s="200">
        <v>0.0</v>
      </c>
      <c r="AK51" s="200">
        <v>0.0</v>
      </c>
      <c r="AL51" s="200">
        <v>0.0</v>
      </c>
      <c r="AM51" s="171" t="str">
        <f>IF($AL$51&lt;$AJ$51, "&lt;--- ОШИБКА, данные по строительной готовности снизились","")</f>
        <v/>
      </c>
      <c r="AN51" s="112"/>
      <c r="AO51" s="112"/>
      <c r="AQ51" s="112"/>
      <c r="AR51" s="112"/>
      <c r="AS51" s="112"/>
      <c r="AT51" s="112"/>
    </row>
    <row r="52">
      <c r="A52" s="157"/>
      <c r="B52" s="206" t="s">
        <v>3491</v>
      </c>
      <c r="C52" s="197">
        <v>0.3</v>
      </c>
      <c r="D52" s="198">
        <v>0.0</v>
      </c>
      <c r="E52" s="198">
        <v>0.0</v>
      </c>
      <c r="F52" s="198">
        <v>0.0</v>
      </c>
      <c r="G52" s="198">
        <v>0.0</v>
      </c>
      <c r="H52" s="198">
        <v>0.0</v>
      </c>
      <c r="I52" s="198">
        <v>0.0</v>
      </c>
      <c r="J52" s="198">
        <v>0.0</v>
      </c>
      <c r="K52" s="198">
        <v>0.0</v>
      </c>
      <c r="L52" s="198">
        <v>0.0</v>
      </c>
      <c r="M52" s="198">
        <v>0.0</v>
      </c>
      <c r="N52" s="198">
        <v>0.0</v>
      </c>
      <c r="O52" s="198">
        <v>0.0</v>
      </c>
      <c r="P52" s="198">
        <v>0.0</v>
      </c>
      <c r="Q52" s="198">
        <v>0.0</v>
      </c>
      <c r="R52" s="199">
        <v>0.0</v>
      </c>
      <c r="S52" s="199">
        <v>0.0</v>
      </c>
      <c r="T52" s="199">
        <v>0.0</v>
      </c>
      <c r="U52" s="199">
        <v>0.0</v>
      </c>
      <c r="V52" s="199">
        <v>0.0</v>
      </c>
      <c r="W52" s="199">
        <v>0.0</v>
      </c>
      <c r="X52" s="199">
        <v>0.0</v>
      </c>
      <c r="Y52" s="199">
        <v>0.0</v>
      </c>
      <c r="Z52" s="199">
        <v>0.0</v>
      </c>
      <c r="AA52" s="199">
        <v>0.0</v>
      </c>
      <c r="AB52" s="199">
        <v>0.0</v>
      </c>
      <c r="AC52" s="199">
        <v>0.0</v>
      </c>
      <c r="AD52" s="199">
        <v>0.0</v>
      </c>
      <c r="AE52" s="199">
        <v>0.0</v>
      </c>
      <c r="AF52" s="199">
        <v>0.0</v>
      </c>
      <c r="AG52" s="199">
        <v>0.0</v>
      </c>
      <c r="AH52" s="199">
        <v>0.0</v>
      </c>
      <c r="AI52" s="199">
        <v>0.0</v>
      </c>
      <c r="AJ52" s="200">
        <v>0.0</v>
      </c>
      <c r="AK52" s="200">
        <v>0.0</v>
      </c>
      <c r="AL52" s="200">
        <v>0.0</v>
      </c>
      <c r="AM52" s="171" t="str">
        <f>IF($AL$52&lt;$AJ$52, "&lt;--- ОШИБКА, данные по строительной готовности снизились","")</f>
        <v/>
      </c>
      <c r="AN52" s="112"/>
      <c r="AO52" s="112"/>
      <c r="AP52" s="112"/>
      <c r="AQ52" s="112"/>
      <c r="AR52" s="112"/>
      <c r="AS52" s="112"/>
      <c r="AT52" s="112"/>
    </row>
    <row r="53">
      <c r="A53" s="157"/>
      <c r="B53" s="232" t="s">
        <v>3492</v>
      </c>
      <c r="C53" s="228">
        <v>0.65</v>
      </c>
      <c r="D53" s="177">
        <v>0.0</v>
      </c>
      <c r="E53" s="177">
        <v>0.0</v>
      </c>
      <c r="F53" s="177">
        <v>0.0</v>
      </c>
      <c r="G53" s="177">
        <v>0.0</v>
      </c>
      <c r="H53" s="177">
        <v>0.0</v>
      </c>
      <c r="I53" s="177">
        <v>0.0</v>
      </c>
      <c r="J53" s="177">
        <v>0.0</v>
      </c>
      <c r="K53" s="177">
        <v>0.0</v>
      </c>
      <c r="L53" s="177">
        <v>0.0</v>
      </c>
      <c r="M53" s="177">
        <v>0.0</v>
      </c>
      <c r="N53" s="177">
        <v>0.0</v>
      </c>
      <c r="O53" s="177">
        <v>0.0</v>
      </c>
      <c r="P53" s="177">
        <v>0.0</v>
      </c>
      <c r="Q53" s="177">
        <v>0.0</v>
      </c>
      <c r="R53" s="229">
        <v>0.0</v>
      </c>
      <c r="S53" s="229">
        <v>0.0</v>
      </c>
      <c r="T53" s="229">
        <v>0.0</v>
      </c>
      <c r="U53" s="229">
        <v>0.0</v>
      </c>
      <c r="V53" s="229">
        <v>0.0</v>
      </c>
      <c r="W53" s="229">
        <v>0.0</v>
      </c>
      <c r="X53" s="229">
        <v>0.0</v>
      </c>
      <c r="Y53" s="229">
        <v>0.0</v>
      </c>
      <c r="Z53" s="229">
        <v>0.0</v>
      </c>
      <c r="AA53" s="229">
        <v>0.0</v>
      </c>
      <c r="AB53" s="229">
        <v>0.0</v>
      </c>
      <c r="AC53" s="229">
        <v>0.0</v>
      </c>
      <c r="AD53" s="229">
        <v>0.0</v>
      </c>
      <c r="AE53" s="229">
        <v>0.0</v>
      </c>
      <c r="AF53" s="229">
        <v>0.0</v>
      </c>
      <c r="AG53" s="229">
        <v>0.0</v>
      </c>
      <c r="AH53" s="229">
        <v>0.0</v>
      </c>
      <c r="AI53" s="229">
        <v>0.0</v>
      </c>
      <c r="AJ53" s="230">
        <v>0.0</v>
      </c>
      <c r="AK53" s="230">
        <v>0.0</v>
      </c>
      <c r="AL53" s="231">
        <f>AL54*$C$54+AL55*$C$55</f>
        <v>0</v>
      </c>
      <c r="AM53" s="171" t="str">
        <f>IF($AL$53&lt;$AJ$53, "&lt;--- ОШИБКА, данные по строительной готовности снизились","")</f>
        <v/>
      </c>
      <c r="AN53" s="112"/>
      <c r="AO53" s="112"/>
      <c r="AP53" s="112"/>
      <c r="AQ53" s="112"/>
      <c r="AR53" s="112"/>
      <c r="AS53" s="112"/>
      <c r="AT53" s="112"/>
    </row>
    <row r="54">
      <c r="A54" s="157"/>
      <c r="B54" s="196" t="s">
        <v>3493</v>
      </c>
      <c r="C54" s="197">
        <v>0.55</v>
      </c>
      <c r="D54" s="198">
        <v>0.0</v>
      </c>
      <c r="E54" s="198">
        <v>0.0</v>
      </c>
      <c r="F54" s="198">
        <v>0.0</v>
      </c>
      <c r="G54" s="198">
        <v>0.0</v>
      </c>
      <c r="H54" s="198">
        <v>0.0</v>
      </c>
      <c r="I54" s="198">
        <v>0.0</v>
      </c>
      <c r="J54" s="198">
        <v>0.0</v>
      </c>
      <c r="K54" s="198">
        <v>0.0</v>
      </c>
      <c r="L54" s="198">
        <v>0.0</v>
      </c>
      <c r="M54" s="198">
        <v>0.0</v>
      </c>
      <c r="N54" s="198">
        <v>0.0</v>
      </c>
      <c r="O54" s="198">
        <v>0.0</v>
      </c>
      <c r="P54" s="198">
        <v>0.0</v>
      </c>
      <c r="Q54" s="198">
        <v>0.0</v>
      </c>
      <c r="R54" s="199">
        <v>0.0</v>
      </c>
      <c r="S54" s="199">
        <v>0.0</v>
      </c>
      <c r="T54" s="199">
        <v>0.0</v>
      </c>
      <c r="U54" s="199">
        <v>0.0</v>
      </c>
      <c r="V54" s="199">
        <v>0.0</v>
      </c>
      <c r="W54" s="199">
        <v>0.0</v>
      </c>
      <c r="X54" s="199">
        <v>0.0</v>
      </c>
      <c r="Y54" s="199">
        <v>0.0</v>
      </c>
      <c r="Z54" s="199">
        <v>0.0</v>
      </c>
      <c r="AA54" s="199">
        <v>0.0</v>
      </c>
      <c r="AB54" s="199">
        <v>0.0</v>
      </c>
      <c r="AC54" s="199">
        <v>0.0</v>
      </c>
      <c r="AD54" s="199">
        <v>0.0</v>
      </c>
      <c r="AE54" s="199">
        <v>0.0</v>
      </c>
      <c r="AF54" s="199">
        <v>0.0</v>
      </c>
      <c r="AG54" s="199">
        <v>0.0</v>
      </c>
      <c r="AH54" s="199">
        <v>0.0</v>
      </c>
      <c r="AI54" s="199">
        <v>0.0</v>
      </c>
      <c r="AJ54" s="200">
        <v>0.0</v>
      </c>
      <c r="AK54" s="200">
        <v>0.0</v>
      </c>
      <c r="AL54" s="200">
        <v>0.0</v>
      </c>
      <c r="AM54" s="171" t="str">
        <f>IF(AL54&lt;AJ54, "&lt;--- ОШИБКА, данные по строительной готовности снизились","")</f>
        <v/>
      </c>
      <c r="AN54" s="112"/>
      <c r="AO54" s="112"/>
      <c r="AP54" s="112"/>
      <c r="AQ54" s="112"/>
      <c r="AR54" s="112"/>
      <c r="AS54" s="112"/>
      <c r="AT54" s="112"/>
    </row>
    <row r="55">
      <c r="A55" s="157"/>
      <c r="B55" s="196" t="s">
        <v>3494</v>
      </c>
      <c r="C55" s="197">
        <v>0.45</v>
      </c>
      <c r="D55" s="198">
        <v>0.0</v>
      </c>
      <c r="E55" s="198">
        <v>0.0</v>
      </c>
      <c r="F55" s="198">
        <v>0.0</v>
      </c>
      <c r="G55" s="198">
        <v>0.0</v>
      </c>
      <c r="H55" s="198">
        <v>0.0</v>
      </c>
      <c r="I55" s="198">
        <v>0.0</v>
      </c>
      <c r="J55" s="198">
        <v>0.0</v>
      </c>
      <c r="K55" s="198">
        <v>0.0</v>
      </c>
      <c r="L55" s="198">
        <v>0.0</v>
      </c>
      <c r="M55" s="198">
        <v>0.0</v>
      </c>
      <c r="N55" s="198">
        <v>0.0</v>
      </c>
      <c r="O55" s="198">
        <v>0.0</v>
      </c>
      <c r="P55" s="198">
        <v>0.0</v>
      </c>
      <c r="Q55" s="198">
        <v>0.0</v>
      </c>
      <c r="R55" s="199">
        <v>0.0</v>
      </c>
      <c r="S55" s="199">
        <v>0.0</v>
      </c>
      <c r="T55" s="199">
        <v>0.0</v>
      </c>
      <c r="U55" s="199">
        <v>0.0</v>
      </c>
      <c r="V55" s="199">
        <v>0.0</v>
      </c>
      <c r="W55" s="199">
        <v>0.0</v>
      </c>
      <c r="X55" s="199">
        <v>0.0</v>
      </c>
      <c r="Y55" s="199">
        <v>0.0</v>
      </c>
      <c r="Z55" s="199">
        <v>0.0</v>
      </c>
      <c r="AA55" s="199">
        <v>0.0</v>
      </c>
      <c r="AB55" s="199">
        <v>0.0</v>
      </c>
      <c r="AC55" s="199">
        <v>0.0</v>
      </c>
      <c r="AD55" s="199">
        <v>0.0</v>
      </c>
      <c r="AE55" s="199">
        <v>0.0</v>
      </c>
      <c r="AF55" s="199">
        <v>0.0</v>
      </c>
      <c r="AG55" s="199">
        <v>0.0</v>
      </c>
      <c r="AH55" s="199">
        <v>0.0</v>
      </c>
      <c r="AI55" s="199">
        <v>0.0</v>
      </c>
      <c r="AJ55" s="200">
        <v>0.0</v>
      </c>
      <c r="AK55" s="200">
        <v>0.0</v>
      </c>
      <c r="AL55" s="200">
        <v>0.0</v>
      </c>
      <c r="AM55" s="171" t="str">
        <f>IF($AL$55&lt;$AJ$55, "&lt;--- ОШИБКА, данные по строительной готовности снизились","")</f>
        <v/>
      </c>
      <c r="AN55" s="112"/>
      <c r="AO55" s="112"/>
      <c r="AP55" s="112"/>
      <c r="AQ55" s="112"/>
      <c r="AR55" s="112"/>
      <c r="AS55" s="112"/>
      <c r="AT55" s="112"/>
    </row>
    <row r="56">
      <c r="A56" s="157"/>
      <c r="B56" s="212" t="s">
        <v>3495</v>
      </c>
      <c r="C56" s="221">
        <v>0.23</v>
      </c>
      <c r="D56" s="177">
        <v>0.15</v>
      </c>
      <c r="E56" s="177">
        <v>0.0</v>
      </c>
      <c r="F56" s="177">
        <v>0.0</v>
      </c>
      <c r="G56" s="177">
        <v>0.0</v>
      </c>
      <c r="H56" s="177">
        <v>0.0</v>
      </c>
      <c r="I56" s="177">
        <v>0.0</v>
      </c>
      <c r="J56" s="177">
        <v>0.0</v>
      </c>
      <c r="K56" s="177">
        <v>0.0</v>
      </c>
      <c r="L56" s="177">
        <v>0.0</v>
      </c>
      <c r="M56" s="177">
        <v>0.0</v>
      </c>
      <c r="N56" s="177">
        <v>0.0</v>
      </c>
      <c r="O56" s="177">
        <v>0.0</v>
      </c>
      <c r="P56" s="177">
        <v>0.0</v>
      </c>
      <c r="Q56" s="177">
        <v>0.0</v>
      </c>
      <c r="R56" s="214">
        <v>0.0</v>
      </c>
      <c r="S56" s="214">
        <v>0.0</v>
      </c>
      <c r="T56" s="214">
        <v>0.0</v>
      </c>
      <c r="U56" s="214">
        <v>0.0</v>
      </c>
      <c r="V56" s="214">
        <v>0.0</v>
      </c>
      <c r="W56" s="214">
        <v>0.0</v>
      </c>
      <c r="X56" s="214">
        <v>0.0</v>
      </c>
      <c r="Y56" s="214">
        <v>0.0</v>
      </c>
      <c r="Z56" s="214">
        <v>0.0</v>
      </c>
      <c r="AA56" s="214">
        <v>0.0</v>
      </c>
      <c r="AB56" s="214">
        <v>0.0</v>
      </c>
      <c r="AC56" s="214">
        <v>0.0</v>
      </c>
      <c r="AD56" s="233">
        <v>0.0</v>
      </c>
      <c r="AE56" s="233">
        <v>0.0</v>
      </c>
      <c r="AF56" s="233">
        <v>0.0</v>
      </c>
      <c r="AG56" s="233">
        <v>0.0</v>
      </c>
      <c r="AH56" s="233">
        <v>0.0</v>
      </c>
      <c r="AI56" s="233">
        <v>0.0</v>
      </c>
      <c r="AJ56" s="234">
        <v>0.0</v>
      </c>
      <c r="AK56" s="234">
        <v>0.0</v>
      </c>
      <c r="AL56" s="216">
        <f>AL57*$C$57+AL58*$C$58</f>
        <v>0</v>
      </c>
      <c r="AM56" s="171" t="str">
        <f>IF($AL$56&lt;$AJ$56, "&lt;--- ОШИБКА, данные по строительной готовности снизились","")</f>
        <v/>
      </c>
      <c r="AN56" s="112"/>
      <c r="AO56" s="112"/>
      <c r="AP56" s="112"/>
      <c r="AQ56" s="112"/>
      <c r="AR56" s="112"/>
      <c r="AS56" s="112"/>
      <c r="AT56" s="112"/>
    </row>
    <row r="57">
      <c r="A57" s="157"/>
      <c r="B57" s="235" t="s">
        <v>3496</v>
      </c>
      <c r="C57" s="236">
        <v>0.15</v>
      </c>
      <c r="D57" s="198">
        <v>1.0</v>
      </c>
      <c r="E57" s="198">
        <v>0.0</v>
      </c>
      <c r="F57" s="198">
        <v>0.0</v>
      </c>
      <c r="G57" s="198">
        <v>0.0</v>
      </c>
      <c r="H57" s="198">
        <v>0.0</v>
      </c>
      <c r="I57" s="198">
        <v>0.0</v>
      </c>
      <c r="J57" s="198">
        <v>0.0</v>
      </c>
      <c r="K57" s="198">
        <v>0.0</v>
      </c>
      <c r="L57" s="198">
        <v>0.0</v>
      </c>
      <c r="M57" s="198">
        <v>0.0</v>
      </c>
      <c r="N57" s="198">
        <v>0.0</v>
      </c>
      <c r="O57" s="198">
        <v>0.0</v>
      </c>
      <c r="P57" s="198">
        <v>0.0</v>
      </c>
      <c r="Q57" s="198">
        <v>0.0</v>
      </c>
      <c r="R57" s="199">
        <v>0.0</v>
      </c>
      <c r="S57" s="199">
        <v>0.0</v>
      </c>
      <c r="T57" s="199">
        <v>0.0</v>
      </c>
      <c r="U57" s="199">
        <v>0.0</v>
      </c>
      <c r="V57" s="199">
        <v>0.0</v>
      </c>
      <c r="W57" s="199">
        <v>0.0</v>
      </c>
      <c r="X57" s="199">
        <v>0.0</v>
      </c>
      <c r="Y57" s="199">
        <v>0.0</v>
      </c>
      <c r="Z57" s="199">
        <v>0.0</v>
      </c>
      <c r="AA57" s="199">
        <v>0.0</v>
      </c>
      <c r="AB57" s="199">
        <v>0.0</v>
      </c>
      <c r="AC57" s="199">
        <v>0.0</v>
      </c>
      <c r="AD57" s="199">
        <v>0.0</v>
      </c>
      <c r="AE57" s="199">
        <v>0.0</v>
      </c>
      <c r="AF57" s="199">
        <v>0.0</v>
      </c>
      <c r="AG57" s="199">
        <v>0.0</v>
      </c>
      <c r="AH57" s="199">
        <v>0.0</v>
      </c>
      <c r="AI57" s="199">
        <v>0.0</v>
      </c>
      <c r="AJ57" s="200">
        <v>0.0</v>
      </c>
      <c r="AK57" s="200">
        <v>0.0</v>
      </c>
      <c r="AL57" s="200">
        <v>0.0</v>
      </c>
      <c r="AM57" s="171" t="str">
        <f>IF($AL$57&lt;$AJ$57, "&lt;--- ОШИБКА, данные по строительной готовности снизились","")</f>
        <v/>
      </c>
      <c r="AN57" s="112"/>
      <c r="AO57" s="112"/>
      <c r="AP57" s="112"/>
      <c r="AQ57" s="112"/>
      <c r="AR57" s="112"/>
      <c r="AS57" s="112"/>
      <c r="AT57" s="112"/>
    </row>
    <row r="58">
      <c r="A58" s="157"/>
      <c r="B58" s="227" t="s">
        <v>3497</v>
      </c>
      <c r="C58" s="228">
        <v>0.85</v>
      </c>
      <c r="D58" s="177">
        <v>0.0</v>
      </c>
      <c r="E58" s="177">
        <v>0.0</v>
      </c>
      <c r="F58" s="177">
        <v>0.0</v>
      </c>
      <c r="G58" s="177">
        <v>0.0</v>
      </c>
      <c r="H58" s="177">
        <v>0.0</v>
      </c>
      <c r="I58" s="177">
        <v>0.0</v>
      </c>
      <c r="J58" s="177">
        <v>0.0</v>
      </c>
      <c r="K58" s="177">
        <v>0.0</v>
      </c>
      <c r="L58" s="177">
        <v>0.0</v>
      </c>
      <c r="M58" s="177">
        <v>0.0</v>
      </c>
      <c r="N58" s="177">
        <v>0.0</v>
      </c>
      <c r="O58" s="177">
        <v>0.0</v>
      </c>
      <c r="P58" s="177">
        <v>0.0</v>
      </c>
      <c r="Q58" s="177">
        <v>0.0</v>
      </c>
      <c r="R58" s="229">
        <v>0.0</v>
      </c>
      <c r="S58" s="229">
        <v>0.0</v>
      </c>
      <c r="T58" s="229">
        <v>0.0</v>
      </c>
      <c r="U58" s="229">
        <v>0.0</v>
      </c>
      <c r="V58" s="229">
        <v>0.0</v>
      </c>
      <c r="W58" s="229">
        <v>0.0</v>
      </c>
      <c r="X58" s="229">
        <v>0.0</v>
      </c>
      <c r="Y58" s="229">
        <v>0.0</v>
      </c>
      <c r="Z58" s="229">
        <v>0.0</v>
      </c>
      <c r="AA58" s="229">
        <v>0.0</v>
      </c>
      <c r="AB58" s="229">
        <v>0.0</v>
      </c>
      <c r="AC58" s="229">
        <v>0.0</v>
      </c>
      <c r="AD58" s="229">
        <v>0.0</v>
      </c>
      <c r="AE58" s="229">
        <v>0.0</v>
      </c>
      <c r="AF58" s="229">
        <v>0.0</v>
      </c>
      <c r="AG58" s="229">
        <v>0.0</v>
      </c>
      <c r="AH58" s="229">
        <v>0.0</v>
      </c>
      <c r="AI58" s="229">
        <v>0.0</v>
      </c>
      <c r="AJ58" s="230">
        <v>0.0</v>
      </c>
      <c r="AK58" s="230">
        <v>0.0</v>
      </c>
      <c r="AL58" s="231">
        <f>AL59*$C$59+AL60*$C$60+AL61*$C$61</f>
        <v>0</v>
      </c>
      <c r="AM58" s="171" t="str">
        <f>IF($AL$58&lt;$AJ$58, "&lt;--- ОШИБКА, данные по строительной готовности снизились","")</f>
        <v/>
      </c>
      <c r="AN58" s="112"/>
      <c r="AO58" s="112"/>
      <c r="AP58" s="112"/>
      <c r="AQ58" s="112"/>
      <c r="AR58" s="112"/>
      <c r="AS58" s="112"/>
      <c r="AT58" s="112"/>
    </row>
    <row r="59">
      <c r="A59" s="157"/>
      <c r="B59" s="206" t="s">
        <v>3498</v>
      </c>
      <c r="C59" s="197">
        <v>0.2</v>
      </c>
      <c r="D59" s="198">
        <v>0.0</v>
      </c>
      <c r="E59" s="198">
        <v>0.0</v>
      </c>
      <c r="F59" s="198">
        <v>0.0</v>
      </c>
      <c r="G59" s="198">
        <v>0.0</v>
      </c>
      <c r="H59" s="198">
        <v>0.0</v>
      </c>
      <c r="I59" s="198">
        <v>0.0</v>
      </c>
      <c r="J59" s="198">
        <v>0.0</v>
      </c>
      <c r="K59" s="198">
        <v>0.0</v>
      </c>
      <c r="L59" s="198">
        <v>0.0</v>
      </c>
      <c r="M59" s="198">
        <v>0.0</v>
      </c>
      <c r="N59" s="198">
        <v>0.0</v>
      </c>
      <c r="O59" s="198">
        <v>0.0</v>
      </c>
      <c r="P59" s="198">
        <v>0.0</v>
      </c>
      <c r="Q59" s="198">
        <v>0.0</v>
      </c>
      <c r="R59" s="199">
        <v>0.0</v>
      </c>
      <c r="S59" s="199">
        <v>0.0</v>
      </c>
      <c r="T59" s="199">
        <v>0.0</v>
      </c>
      <c r="U59" s="199">
        <v>0.0</v>
      </c>
      <c r="V59" s="199">
        <v>0.0</v>
      </c>
      <c r="W59" s="199">
        <v>0.0</v>
      </c>
      <c r="X59" s="199">
        <v>0.0</v>
      </c>
      <c r="Y59" s="199">
        <v>0.0</v>
      </c>
      <c r="Z59" s="199">
        <v>0.0</v>
      </c>
      <c r="AA59" s="199">
        <v>0.0</v>
      </c>
      <c r="AB59" s="199">
        <v>0.0</v>
      </c>
      <c r="AC59" s="199">
        <v>0.0</v>
      </c>
      <c r="AD59" s="199">
        <v>0.0</v>
      </c>
      <c r="AE59" s="199">
        <v>0.0</v>
      </c>
      <c r="AF59" s="199">
        <v>0.0</v>
      </c>
      <c r="AG59" s="199">
        <v>0.0</v>
      </c>
      <c r="AH59" s="199">
        <v>0.0</v>
      </c>
      <c r="AI59" s="199">
        <v>0.0</v>
      </c>
      <c r="AJ59" s="200">
        <v>0.0</v>
      </c>
      <c r="AK59" s="200">
        <v>0.0</v>
      </c>
      <c r="AL59" s="200">
        <v>0.0</v>
      </c>
      <c r="AM59" s="171" t="str">
        <f>IF($AL$59&lt;$AJ$59, "&lt;--- ОШИБКА, данные по строительной готовности снизились","")</f>
        <v/>
      </c>
      <c r="AN59" s="112"/>
      <c r="AO59" s="112"/>
      <c r="AP59" s="112"/>
      <c r="AQ59" s="112"/>
      <c r="AR59" s="112"/>
      <c r="AS59" s="112"/>
      <c r="AT59" s="112"/>
    </row>
    <row r="60">
      <c r="A60" s="157"/>
      <c r="B60" s="206" t="s">
        <v>3499</v>
      </c>
      <c r="C60" s="197">
        <v>0.5</v>
      </c>
      <c r="D60" s="198">
        <v>0.0</v>
      </c>
      <c r="E60" s="198">
        <v>0.0</v>
      </c>
      <c r="F60" s="198">
        <v>0.0</v>
      </c>
      <c r="G60" s="198">
        <v>0.0</v>
      </c>
      <c r="H60" s="198">
        <v>0.0</v>
      </c>
      <c r="I60" s="198">
        <v>0.0</v>
      </c>
      <c r="J60" s="198">
        <v>0.0</v>
      </c>
      <c r="K60" s="198">
        <v>0.0</v>
      </c>
      <c r="L60" s="198">
        <v>0.0</v>
      </c>
      <c r="M60" s="198">
        <v>0.0</v>
      </c>
      <c r="N60" s="198">
        <v>0.0</v>
      </c>
      <c r="O60" s="198">
        <v>0.0</v>
      </c>
      <c r="P60" s="198">
        <v>0.0</v>
      </c>
      <c r="Q60" s="198">
        <v>0.0</v>
      </c>
      <c r="R60" s="199">
        <v>0.0</v>
      </c>
      <c r="S60" s="199">
        <v>0.0</v>
      </c>
      <c r="T60" s="199">
        <v>0.0</v>
      </c>
      <c r="U60" s="199">
        <v>0.0</v>
      </c>
      <c r="V60" s="199">
        <v>0.0</v>
      </c>
      <c r="W60" s="199">
        <v>0.0</v>
      </c>
      <c r="X60" s="199">
        <v>0.0</v>
      </c>
      <c r="Y60" s="199">
        <v>0.0</v>
      </c>
      <c r="Z60" s="199">
        <v>0.0</v>
      </c>
      <c r="AA60" s="199">
        <v>0.0</v>
      </c>
      <c r="AB60" s="199">
        <v>0.0</v>
      </c>
      <c r="AC60" s="199">
        <v>0.0</v>
      </c>
      <c r="AD60" s="199">
        <v>0.0</v>
      </c>
      <c r="AE60" s="199">
        <v>0.0</v>
      </c>
      <c r="AF60" s="199">
        <v>0.0</v>
      </c>
      <c r="AG60" s="199">
        <v>0.0</v>
      </c>
      <c r="AH60" s="199">
        <v>0.0</v>
      </c>
      <c r="AI60" s="199">
        <v>0.0</v>
      </c>
      <c r="AJ60" s="200">
        <v>0.0</v>
      </c>
      <c r="AK60" s="200">
        <v>0.0</v>
      </c>
      <c r="AL60" s="200">
        <v>0.0</v>
      </c>
      <c r="AM60" s="171" t="str">
        <f>IF($AL$60&lt;$AJ$60, "&lt;--- ОШИБКА, данные по строительной готовности снизились","")</f>
        <v/>
      </c>
      <c r="AN60" s="112"/>
      <c r="AO60" s="112"/>
      <c r="AP60" s="112"/>
      <c r="AQ60" s="112"/>
      <c r="AR60" s="112"/>
      <c r="AS60" s="112"/>
      <c r="AT60" s="112"/>
    </row>
    <row r="61">
      <c r="A61" s="157"/>
      <c r="B61" s="206" t="s">
        <v>3500</v>
      </c>
      <c r="C61" s="197">
        <v>0.3</v>
      </c>
      <c r="D61" s="198">
        <v>0.0</v>
      </c>
      <c r="E61" s="198">
        <v>0.0</v>
      </c>
      <c r="F61" s="198">
        <v>0.0</v>
      </c>
      <c r="G61" s="198">
        <v>0.0</v>
      </c>
      <c r="H61" s="198">
        <v>0.0</v>
      </c>
      <c r="I61" s="198">
        <v>0.0</v>
      </c>
      <c r="J61" s="198">
        <v>0.0</v>
      </c>
      <c r="K61" s="198">
        <v>0.0</v>
      </c>
      <c r="L61" s="198">
        <v>0.0</v>
      </c>
      <c r="M61" s="198">
        <v>0.0</v>
      </c>
      <c r="N61" s="198">
        <v>0.0</v>
      </c>
      <c r="O61" s="198">
        <v>0.0</v>
      </c>
      <c r="P61" s="198">
        <v>0.0</v>
      </c>
      <c r="Q61" s="198">
        <v>0.0</v>
      </c>
      <c r="R61" s="199">
        <v>0.0</v>
      </c>
      <c r="S61" s="199">
        <v>0.0</v>
      </c>
      <c r="T61" s="199">
        <v>0.0</v>
      </c>
      <c r="U61" s="199">
        <v>0.0</v>
      </c>
      <c r="V61" s="199">
        <v>0.0</v>
      </c>
      <c r="W61" s="199">
        <v>0.0</v>
      </c>
      <c r="X61" s="199">
        <v>0.0</v>
      </c>
      <c r="Y61" s="199">
        <v>0.0</v>
      </c>
      <c r="Z61" s="199">
        <v>0.0</v>
      </c>
      <c r="AA61" s="199">
        <v>0.0</v>
      </c>
      <c r="AB61" s="199">
        <v>0.0</v>
      </c>
      <c r="AC61" s="199">
        <v>0.0</v>
      </c>
      <c r="AD61" s="199">
        <v>0.0</v>
      </c>
      <c r="AE61" s="199">
        <v>0.0</v>
      </c>
      <c r="AF61" s="199">
        <v>0.0</v>
      </c>
      <c r="AG61" s="199">
        <v>0.0</v>
      </c>
      <c r="AH61" s="199">
        <v>0.0</v>
      </c>
      <c r="AI61" s="199">
        <v>0.0</v>
      </c>
      <c r="AJ61" s="200">
        <v>0.0</v>
      </c>
      <c r="AK61" s="200">
        <v>0.0</v>
      </c>
      <c r="AL61" s="200">
        <v>0.0</v>
      </c>
      <c r="AM61" s="171" t="str">
        <f>IF($AL$61&lt;$AJ$61, "&lt;--- ОШИБКА, данные по строительной готовности снизились","")</f>
        <v/>
      </c>
      <c r="AN61" s="112"/>
      <c r="AO61" s="112"/>
      <c r="AP61" s="112"/>
      <c r="AQ61" s="112"/>
      <c r="AR61" s="112"/>
      <c r="AS61" s="112"/>
      <c r="AT61" s="112"/>
    </row>
    <row r="62">
      <c r="A62" s="157"/>
      <c r="B62" s="212" t="s">
        <v>3501</v>
      </c>
      <c r="C62" s="221">
        <v>0.23</v>
      </c>
      <c r="D62" s="177">
        <v>0.0</v>
      </c>
      <c r="E62" s="177">
        <v>0.0</v>
      </c>
      <c r="F62" s="177">
        <v>0.0</v>
      </c>
      <c r="G62" s="177">
        <v>0.0</v>
      </c>
      <c r="H62" s="177">
        <v>0.0</v>
      </c>
      <c r="I62" s="177">
        <v>0.0</v>
      </c>
      <c r="J62" s="177">
        <v>0.0</v>
      </c>
      <c r="K62" s="177">
        <v>0.0</v>
      </c>
      <c r="L62" s="177">
        <v>0.0</v>
      </c>
      <c r="M62" s="177">
        <v>0.0</v>
      </c>
      <c r="N62" s="177">
        <v>0.0</v>
      </c>
      <c r="O62" s="177">
        <v>0.0</v>
      </c>
      <c r="P62" s="177">
        <v>0.0</v>
      </c>
      <c r="Q62" s="177">
        <v>0.0</v>
      </c>
      <c r="R62" s="233">
        <v>0.0</v>
      </c>
      <c r="S62" s="233">
        <v>0.0</v>
      </c>
      <c r="T62" s="233">
        <v>0.0</v>
      </c>
      <c r="U62" s="233">
        <v>0.0</v>
      </c>
      <c r="V62" s="233">
        <v>0.0</v>
      </c>
      <c r="W62" s="233">
        <v>0.0</v>
      </c>
      <c r="X62" s="233">
        <v>0.0</v>
      </c>
      <c r="Y62" s="233">
        <v>0.0</v>
      </c>
      <c r="Z62" s="233">
        <v>0.0</v>
      </c>
      <c r="AA62" s="233">
        <v>0.0</v>
      </c>
      <c r="AB62" s="233">
        <v>0.0</v>
      </c>
      <c r="AC62" s="233">
        <v>0.0</v>
      </c>
      <c r="AD62" s="233">
        <v>0.0</v>
      </c>
      <c r="AE62" s="233">
        <v>0.0</v>
      </c>
      <c r="AF62" s="233">
        <v>0.0</v>
      </c>
      <c r="AG62" s="233">
        <v>0.0</v>
      </c>
      <c r="AH62" s="233">
        <v>0.0</v>
      </c>
      <c r="AI62" s="233">
        <v>0.0</v>
      </c>
      <c r="AJ62" s="234">
        <v>0.0</v>
      </c>
      <c r="AK62" s="234">
        <v>0.0</v>
      </c>
      <c r="AL62" s="216">
        <f>AL63*$C$63+AL64*$C$64</f>
        <v>0</v>
      </c>
      <c r="AM62" s="171" t="str">
        <f>IF($AL$62&lt;$AJ$62, "&lt;--- ОШИБКА, данные по строительной готовности снизились","")</f>
        <v/>
      </c>
      <c r="AN62" s="112"/>
      <c r="AO62" s="112"/>
      <c r="AP62" s="112"/>
      <c r="AQ62" s="112"/>
      <c r="AR62" s="112"/>
      <c r="AS62" s="112"/>
      <c r="AT62" s="112"/>
    </row>
    <row r="63">
      <c r="A63" s="157"/>
      <c r="B63" s="235" t="s">
        <v>3502</v>
      </c>
      <c r="C63" s="236">
        <v>0.2</v>
      </c>
      <c r="D63" s="198">
        <v>0.0</v>
      </c>
      <c r="E63" s="198">
        <v>0.0</v>
      </c>
      <c r="F63" s="198">
        <v>0.0</v>
      </c>
      <c r="G63" s="198">
        <v>0.0</v>
      </c>
      <c r="H63" s="198">
        <v>0.0</v>
      </c>
      <c r="I63" s="198">
        <v>0.0</v>
      </c>
      <c r="J63" s="198">
        <v>0.0</v>
      </c>
      <c r="K63" s="198">
        <v>0.0</v>
      </c>
      <c r="L63" s="198">
        <v>0.0</v>
      </c>
      <c r="M63" s="198">
        <v>0.0</v>
      </c>
      <c r="N63" s="198">
        <v>0.0</v>
      </c>
      <c r="O63" s="198">
        <v>0.0</v>
      </c>
      <c r="P63" s="198">
        <v>0.0</v>
      </c>
      <c r="Q63" s="198">
        <v>0.0</v>
      </c>
      <c r="R63" s="199">
        <v>0.0</v>
      </c>
      <c r="S63" s="199">
        <v>0.0</v>
      </c>
      <c r="T63" s="199">
        <v>0.0</v>
      </c>
      <c r="U63" s="199">
        <v>0.0</v>
      </c>
      <c r="V63" s="199">
        <v>0.0</v>
      </c>
      <c r="W63" s="199">
        <v>0.0</v>
      </c>
      <c r="X63" s="199">
        <v>0.0</v>
      </c>
      <c r="Y63" s="199">
        <v>0.0</v>
      </c>
      <c r="Z63" s="199">
        <v>0.0</v>
      </c>
      <c r="AA63" s="199">
        <v>0.0</v>
      </c>
      <c r="AB63" s="199">
        <v>0.0</v>
      </c>
      <c r="AC63" s="199">
        <v>0.0</v>
      </c>
      <c r="AD63" s="199">
        <v>0.0</v>
      </c>
      <c r="AE63" s="199">
        <v>0.0</v>
      </c>
      <c r="AF63" s="199">
        <v>0.0</v>
      </c>
      <c r="AG63" s="199">
        <v>0.0</v>
      </c>
      <c r="AH63" s="199">
        <v>0.0</v>
      </c>
      <c r="AI63" s="199">
        <v>0.0</v>
      </c>
      <c r="AJ63" s="200">
        <v>0.0</v>
      </c>
      <c r="AK63" s="200">
        <v>0.0</v>
      </c>
      <c r="AL63" s="200">
        <v>0.0</v>
      </c>
      <c r="AM63" s="171" t="str">
        <f>IF($AL$63&lt;$AJ$63, "&lt;--- ОШИБКА, данные по строительной готовности снизились","")</f>
        <v/>
      </c>
      <c r="AN63" s="112"/>
      <c r="AO63" s="112"/>
      <c r="AP63" s="112"/>
      <c r="AQ63" s="112"/>
      <c r="AR63" s="112"/>
      <c r="AS63" s="112"/>
      <c r="AT63" s="112"/>
    </row>
    <row r="64">
      <c r="A64" s="157"/>
      <c r="B64" s="227" t="s">
        <v>3497</v>
      </c>
      <c r="C64" s="228">
        <v>0.8</v>
      </c>
      <c r="D64" s="198">
        <v>0.0</v>
      </c>
      <c r="E64" s="198">
        <v>0.0</v>
      </c>
      <c r="F64" s="198">
        <v>0.0</v>
      </c>
      <c r="G64" s="198">
        <v>0.0</v>
      </c>
      <c r="H64" s="198">
        <v>0.0</v>
      </c>
      <c r="I64" s="198">
        <v>0.0</v>
      </c>
      <c r="J64" s="198">
        <v>0.0</v>
      </c>
      <c r="K64" s="198">
        <v>0.0</v>
      </c>
      <c r="L64" s="198">
        <v>0.0</v>
      </c>
      <c r="M64" s="198">
        <v>0.0</v>
      </c>
      <c r="N64" s="198">
        <v>0.0</v>
      </c>
      <c r="O64" s="198">
        <v>0.0</v>
      </c>
      <c r="P64" s="198">
        <v>0.0</v>
      </c>
      <c r="Q64" s="198">
        <v>0.0</v>
      </c>
      <c r="R64" s="237">
        <v>0.0</v>
      </c>
      <c r="S64" s="237">
        <v>0.0</v>
      </c>
      <c r="T64" s="237">
        <v>0.0</v>
      </c>
      <c r="U64" s="237">
        <v>0.0</v>
      </c>
      <c r="V64" s="237">
        <v>0.0</v>
      </c>
      <c r="W64" s="237">
        <v>0.0</v>
      </c>
      <c r="X64" s="237">
        <v>0.0</v>
      </c>
      <c r="Y64" s="237">
        <v>0.0</v>
      </c>
      <c r="Z64" s="237">
        <v>0.0</v>
      </c>
      <c r="AA64" s="237">
        <v>0.0</v>
      </c>
      <c r="AB64" s="237">
        <v>0.0</v>
      </c>
      <c r="AC64" s="237">
        <v>0.0</v>
      </c>
      <c r="AD64" s="237">
        <v>0.0</v>
      </c>
      <c r="AE64" s="237">
        <v>0.0</v>
      </c>
      <c r="AF64" s="237">
        <v>0.0</v>
      </c>
      <c r="AG64" s="237">
        <v>0.0</v>
      </c>
      <c r="AH64" s="237">
        <v>0.0</v>
      </c>
      <c r="AI64" s="237">
        <v>0.0</v>
      </c>
      <c r="AJ64" s="238">
        <v>0.0</v>
      </c>
      <c r="AK64" s="238">
        <v>0.0</v>
      </c>
      <c r="AL64" s="238">
        <f>AL65*$C$65+AL66*$C$66+AL67*$C$67</f>
        <v>0</v>
      </c>
      <c r="AM64" s="171" t="str">
        <f>IF($AL$64&lt;$AJ$64, "&lt;--- ОШИБКА, данные по строительной готовности снизились","")</f>
        <v/>
      </c>
      <c r="AN64" s="112"/>
      <c r="AO64" s="112"/>
      <c r="AP64" s="112"/>
      <c r="AQ64" s="112"/>
      <c r="AR64" s="112"/>
      <c r="AS64" s="112"/>
      <c r="AT64" s="112"/>
    </row>
    <row r="65">
      <c r="A65" s="157"/>
      <c r="B65" s="206" t="s">
        <v>3498</v>
      </c>
      <c r="C65" s="197">
        <v>0.2</v>
      </c>
      <c r="D65" s="198">
        <v>0.0</v>
      </c>
      <c r="E65" s="198">
        <v>0.0</v>
      </c>
      <c r="F65" s="198">
        <v>0.0</v>
      </c>
      <c r="G65" s="198">
        <v>0.0</v>
      </c>
      <c r="H65" s="198">
        <v>0.0</v>
      </c>
      <c r="I65" s="198">
        <v>0.0</v>
      </c>
      <c r="J65" s="198">
        <v>0.0</v>
      </c>
      <c r="K65" s="198">
        <v>0.0</v>
      </c>
      <c r="L65" s="198">
        <v>0.0</v>
      </c>
      <c r="M65" s="198">
        <v>0.0</v>
      </c>
      <c r="N65" s="198">
        <v>0.0</v>
      </c>
      <c r="O65" s="198">
        <v>0.0</v>
      </c>
      <c r="P65" s="198">
        <v>0.0</v>
      </c>
      <c r="Q65" s="198">
        <v>0.0</v>
      </c>
      <c r="R65" s="199">
        <v>0.0</v>
      </c>
      <c r="S65" s="199">
        <v>0.0</v>
      </c>
      <c r="T65" s="199">
        <v>0.0</v>
      </c>
      <c r="U65" s="199">
        <v>0.0</v>
      </c>
      <c r="V65" s="199">
        <v>0.0</v>
      </c>
      <c r="W65" s="199">
        <v>0.0</v>
      </c>
      <c r="X65" s="199">
        <v>0.0</v>
      </c>
      <c r="Y65" s="199">
        <v>0.0</v>
      </c>
      <c r="Z65" s="199">
        <v>0.0</v>
      </c>
      <c r="AA65" s="199">
        <v>0.0</v>
      </c>
      <c r="AB65" s="199">
        <v>0.0</v>
      </c>
      <c r="AC65" s="199">
        <v>0.0</v>
      </c>
      <c r="AD65" s="199">
        <v>0.0</v>
      </c>
      <c r="AE65" s="199">
        <v>0.0</v>
      </c>
      <c r="AF65" s="199">
        <v>0.0</v>
      </c>
      <c r="AG65" s="199">
        <v>0.0</v>
      </c>
      <c r="AH65" s="199">
        <v>0.0</v>
      </c>
      <c r="AI65" s="199">
        <v>0.0</v>
      </c>
      <c r="AJ65" s="200">
        <v>0.0</v>
      </c>
      <c r="AK65" s="200">
        <v>0.0</v>
      </c>
      <c r="AL65" s="200">
        <v>0.0</v>
      </c>
      <c r="AM65" s="171" t="str">
        <f>IF($AL$65&lt;$AJ$65, "&lt;--- ОШИБКА, данные по строительной готовности снизились","")</f>
        <v/>
      </c>
      <c r="AN65" s="112"/>
      <c r="AO65" s="112"/>
      <c r="AP65" s="112"/>
      <c r="AQ65" s="112"/>
      <c r="AR65" s="112"/>
      <c r="AS65" s="112"/>
      <c r="AT65" s="112"/>
    </row>
    <row r="66">
      <c r="A66" s="157"/>
      <c r="B66" s="196" t="s">
        <v>3503</v>
      </c>
      <c r="C66" s="197">
        <v>0.5</v>
      </c>
      <c r="D66" s="198">
        <v>0.0</v>
      </c>
      <c r="E66" s="198">
        <v>0.0</v>
      </c>
      <c r="F66" s="198">
        <v>0.0</v>
      </c>
      <c r="G66" s="198">
        <v>0.0</v>
      </c>
      <c r="H66" s="198">
        <v>0.0</v>
      </c>
      <c r="I66" s="198">
        <v>0.0</v>
      </c>
      <c r="J66" s="198">
        <v>0.0</v>
      </c>
      <c r="K66" s="198">
        <v>0.0</v>
      </c>
      <c r="L66" s="198">
        <v>0.0</v>
      </c>
      <c r="M66" s="198">
        <v>0.0</v>
      </c>
      <c r="N66" s="198">
        <v>0.0</v>
      </c>
      <c r="O66" s="198">
        <v>0.0</v>
      </c>
      <c r="P66" s="198">
        <v>0.0</v>
      </c>
      <c r="Q66" s="198">
        <v>0.0</v>
      </c>
      <c r="R66" s="199">
        <v>0.0</v>
      </c>
      <c r="S66" s="199">
        <v>0.0</v>
      </c>
      <c r="T66" s="199">
        <v>0.0</v>
      </c>
      <c r="U66" s="199">
        <v>0.0</v>
      </c>
      <c r="V66" s="199">
        <v>0.0</v>
      </c>
      <c r="W66" s="199">
        <v>0.0</v>
      </c>
      <c r="X66" s="199">
        <v>0.0</v>
      </c>
      <c r="Y66" s="199">
        <v>0.0</v>
      </c>
      <c r="Z66" s="199">
        <v>0.0</v>
      </c>
      <c r="AA66" s="199">
        <v>0.0</v>
      </c>
      <c r="AB66" s="199">
        <v>0.0</v>
      </c>
      <c r="AC66" s="199">
        <v>0.0</v>
      </c>
      <c r="AD66" s="199">
        <v>0.0</v>
      </c>
      <c r="AE66" s="199">
        <v>0.0</v>
      </c>
      <c r="AF66" s="199">
        <v>0.0</v>
      </c>
      <c r="AG66" s="199">
        <v>0.0</v>
      </c>
      <c r="AH66" s="199">
        <v>0.0</v>
      </c>
      <c r="AI66" s="199">
        <v>0.0</v>
      </c>
      <c r="AJ66" s="200">
        <v>0.0</v>
      </c>
      <c r="AK66" s="200">
        <v>0.0</v>
      </c>
      <c r="AL66" s="200">
        <v>0.0</v>
      </c>
      <c r="AM66" s="171" t="str">
        <f>IF($AL$66&lt;$AJ$66, "&lt;--- ОШИБКА, данные по строительной готовности снизились","")</f>
        <v/>
      </c>
      <c r="AN66" s="112"/>
      <c r="AO66" s="112"/>
      <c r="AP66" s="112"/>
      <c r="AQ66" s="112"/>
      <c r="AR66" s="112"/>
      <c r="AS66" s="112"/>
      <c r="AT66" s="112"/>
    </row>
    <row r="67">
      <c r="A67" s="157"/>
      <c r="B67" s="206" t="s">
        <v>3500</v>
      </c>
      <c r="C67" s="197">
        <v>0.3</v>
      </c>
      <c r="D67" s="198">
        <v>0.0</v>
      </c>
      <c r="E67" s="198">
        <v>0.0</v>
      </c>
      <c r="F67" s="198">
        <v>0.0</v>
      </c>
      <c r="G67" s="198">
        <v>0.0</v>
      </c>
      <c r="H67" s="198">
        <v>0.0</v>
      </c>
      <c r="I67" s="198">
        <v>0.0</v>
      </c>
      <c r="J67" s="198">
        <v>0.0</v>
      </c>
      <c r="K67" s="198">
        <v>0.0</v>
      </c>
      <c r="L67" s="198">
        <v>0.0</v>
      </c>
      <c r="M67" s="198">
        <v>0.0</v>
      </c>
      <c r="N67" s="198">
        <v>0.0</v>
      </c>
      <c r="O67" s="198">
        <v>0.0</v>
      </c>
      <c r="P67" s="198">
        <v>0.0</v>
      </c>
      <c r="Q67" s="198">
        <v>0.0</v>
      </c>
      <c r="R67" s="199">
        <v>0.0</v>
      </c>
      <c r="S67" s="199">
        <v>0.0</v>
      </c>
      <c r="T67" s="199">
        <v>0.0</v>
      </c>
      <c r="U67" s="199">
        <v>0.0</v>
      </c>
      <c r="V67" s="199">
        <v>0.0</v>
      </c>
      <c r="W67" s="199">
        <v>0.0</v>
      </c>
      <c r="X67" s="199">
        <v>0.0</v>
      </c>
      <c r="Y67" s="199">
        <v>0.0</v>
      </c>
      <c r="Z67" s="199">
        <v>0.0</v>
      </c>
      <c r="AA67" s="199">
        <v>0.0</v>
      </c>
      <c r="AB67" s="199">
        <v>0.0</v>
      </c>
      <c r="AC67" s="199">
        <v>0.0</v>
      </c>
      <c r="AD67" s="199">
        <v>0.0</v>
      </c>
      <c r="AE67" s="199">
        <v>0.0</v>
      </c>
      <c r="AF67" s="199">
        <v>0.0</v>
      </c>
      <c r="AG67" s="199">
        <v>0.0</v>
      </c>
      <c r="AH67" s="199">
        <v>0.0</v>
      </c>
      <c r="AI67" s="199">
        <v>0.0</v>
      </c>
      <c r="AJ67" s="200">
        <v>0.0</v>
      </c>
      <c r="AK67" s="200">
        <v>0.0</v>
      </c>
      <c r="AL67" s="200">
        <v>0.0</v>
      </c>
      <c r="AM67" s="171" t="str">
        <f>IF($AL$67&lt;$AJ$67, "&lt;--- ОШИБКА, данные по строительной готовности снизились","")</f>
        <v/>
      </c>
      <c r="AN67" s="112"/>
      <c r="AO67" s="112"/>
      <c r="AP67" s="112"/>
      <c r="AQ67" s="112"/>
      <c r="AR67" s="112"/>
      <c r="AS67" s="112"/>
      <c r="AT67" s="112"/>
    </row>
    <row r="68">
      <c r="A68" s="157"/>
      <c r="B68" s="212" t="s">
        <v>3504</v>
      </c>
      <c r="C68" s="221">
        <v>0.23</v>
      </c>
      <c r="D68" s="177">
        <v>0.0</v>
      </c>
      <c r="E68" s="177">
        <v>0.8</v>
      </c>
      <c r="F68" s="177">
        <v>1.2000000000000002</v>
      </c>
      <c r="G68" s="177">
        <v>1.2000000000000002</v>
      </c>
      <c r="H68" s="177">
        <v>1.6</v>
      </c>
      <c r="I68" s="177">
        <v>2.0</v>
      </c>
      <c r="J68" s="177">
        <v>2.4000000000000004</v>
      </c>
      <c r="K68" s="177">
        <v>2.4000000000000004</v>
      </c>
      <c r="L68" s="177">
        <v>2.4000000000000004</v>
      </c>
      <c r="M68" s="177">
        <v>2.4000000000000004</v>
      </c>
      <c r="N68" s="177">
        <v>2.4000000000000004</v>
      </c>
      <c r="O68" s="177">
        <v>2.4000000000000004</v>
      </c>
      <c r="P68" s="177">
        <v>2.4000000000000004</v>
      </c>
      <c r="Q68" s="177">
        <v>2.4000000000000004</v>
      </c>
      <c r="R68" s="214">
        <v>2.4000000000000004</v>
      </c>
      <c r="S68" s="214">
        <v>2.4000000000000004</v>
      </c>
      <c r="T68" s="214">
        <v>2.4000000000000004</v>
      </c>
      <c r="U68" s="214">
        <v>2.4000000000000004</v>
      </c>
      <c r="V68" s="214">
        <v>2.4000000000000004</v>
      </c>
      <c r="W68" s="214">
        <v>2.4000000000000004</v>
      </c>
      <c r="X68" s="214">
        <v>2.4000000000000004</v>
      </c>
      <c r="Y68" s="214">
        <v>2.4000000000000004</v>
      </c>
      <c r="Z68" s="214">
        <v>2.4000000000000004</v>
      </c>
      <c r="AA68" s="214">
        <v>2.4000000000000004</v>
      </c>
      <c r="AB68" s="214">
        <v>2.4000000000000004</v>
      </c>
      <c r="AC68" s="214">
        <v>2.4000000000000004</v>
      </c>
      <c r="AD68" s="233">
        <v>2.4000000000000004</v>
      </c>
      <c r="AE68" s="233">
        <v>2.4000000000000004</v>
      </c>
      <c r="AF68" s="233">
        <v>2.4000000000000004</v>
      </c>
      <c r="AG68" s="233">
        <v>2.4000000000000004</v>
      </c>
      <c r="AH68" s="233">
        <v>2.4000000000000004</v>
      </c>
      <c r="AI68" s="233">
        <v>2.4000000000000004</v>
      </c>
      <c r="AJ68" s="234">
        <v>2.4000000000000004</v>
      </c>
      <c r="AK68" s="234">
        <v>2.4000000000000004</v>
      </c>
      <c r="AL68" s="216">
        <f>AL69*$C$69+AL70*$C$70</f>
        <v>2.4</v>
      </c>
      <c r="AM68" s="171" t="str">
        <f>IF($AL$68&lt;$AJ$68, "&lt;--- ОШИБКА, данные по строительной готовности снизились","")</f>
        <v/>
      </c>
      <c r="AN68" s="112"/>
      <c r="AO68" s="112"/>
      <c r="AP68" s="112"/>
      <c r="AQ68" s="112"/>
      <c r="AR68" s="112"/>
      <c r="AS68" s="112"/>
      <c r="AT68" s="112"/>
    </row>
    <row r="69">
      <c r="A69" s="157"/>
      <c r="B69" s="235" t="s">
        <v>3505</v>
      </c>
      <c r="C69" s="236">
        <v>0.2</v>
      </c>
      <c r="D69" s="198">
        <v>0.0</v>
      </c>
      <c r="E69" s="198">
        <v>0.0</v>
      </c>
      <c r="F69" s="198">
        <v>0.0</v>
      </c>
      <c r="G69" s="198">
        <v>0.0</v>
      </c>
      <c r="H69" s="198">
        <v>0.0</v>
      </c>
      <c r="I69" s="198">
        <v>0.0</v>
      </c>
      <c r="J69" s="198">
        <v>0.0</v>
      </c>
      <c r="K69" s="198">
        <v>0.0</v>
      </c>
      <c r="L69" s="198">
        <v>0.0</v>
      </c>
      <c r="M69" s="198">
        <v>0.0</v>
      </c>
      <c r="N69" s="198">
        <v>0.0</v>
      </c>
      <c r="O69" s="198">
        <v>0.0</v>
      </c>
      <c r="P69" s="198">
        <v>0.0</v>
      </c>
      <c r="Q69" s="198">
        <v>0.0</v>
      </c>
      <c r="R69" s="199">
        <v>0.0</v>
      </c>
      <c r="S69" s="199">
        <v>0.0</v>
      </c>
      <c r="T69" s="199">
        <v>0.0</v>
      </c>
      <c r="U69" s="199">
        <v>0.0</v>
      </c>
      <c r="V69" s="199">
        <v>0.0</v>
      </c>
      <c r="W69" s="199">
        <v>0.0</v>
      </c>
      <c r="X69" s="199">
        <v>0.0</v>
      </c>
      <c r="Y69" s="199">
        <v>0.0</v>
      </c>
      <c r="Z69" s="199">
        <v>0.0</v>
      </c>
      <c r="AA69" s="199">
        <v>0.0</v>
      </c>
      <c r="AB69" s="199">
        <v>0.0</v>
      </c>
      <c r="AC69" s="199">
        <v>0.0</v>
      </c>
      <c r="AD69" s="199">
        <v>0.0</v>
      </c>
      <c r="AE69" s="199">
        <v>0.0</v>
      </c>
      <c r="AF69" s="199">
        <v>0.0</v>
      </c>
      <c r="AG69" s="199">
        <v>0.0</v>
      </c>
      <c r="AH69" s="199">
        <v>0.0</v>
      </c>
      <c r="AI69" s="199">
        <v>0.0</v>
      </c>
      <c r="AJ69" s="200">
        <v>0.0</v>
      </c>
      <c r="AK69" s="200">
        <v>0.0</v>
      </c>
      <c r="AL69" s="200">
        <v>0.0</v>
      </c>
      <c r="AM69" s="171" t="str">
        <f>IF($AL$69&lt;$AJ$69, "&lt;--- ОШИБКА, данные по строительной готовности снизились","")</f>
        <v/>
      </c>
      <c r="AN69" s="112"/>
      <c r="AO69" s="112"/>
      <c r="AP69" s="112"/>
      <c r="AQ69" s="112"/>
      <c r="AR69" s="112"/>
      <c r="AS69" s="112"/>
      <c r="AT69" s="112"/>
    </row>
    <row r="70">
      <c r="A70" s="157"/>
      <c r="B70" s="227" t="s">
        <v>3497</v>
      </c>
      <c r="C70" s="228">
        <v>0.8</v>
      </c>
      <c r="D70" s="177">
        <v>0.0</v>
      </c>
      <c r="E70" s="177">
        <v>1.0</v>
      </c>
      <c r="F70" s="177">
        <v>1.5</v>
      </c>
      <c r="G70" s="177">
        <v>1.5</v>
      </c>
      <c r="H70" s="177">
        <v>2.0</v>
      </c>
      <c r="I70" s="177">
        <v>2.5</v>
      </c>
      <c r="J70" s="177">
        <v>3.0</v>
      </c>
      <c r="K70" s="177">
        <v>3.0</v>
      </c>
      <c r="L70" s="177">
        <v>3.0</v>
      </c>
      <c r="M70" s="177">
        <v>3.0</v>
      </c>
      <c r="N70" s="177">
        <v>3.0</v>
      </c>
      <c r="O70" s="177">
        <v>3.0</v>
      </c>
      <c r="P70" s="177">
        <v>3.0</v>
      </c>
      <c r="Q70" s="177">
        <v>3.0</v>
      </c>
      <c r="R70" s="229">
        <v>3.0</v>
      </c>
      <c r="S70" s="229">
        <v>3.0</v>
      </c>
      <c r="T70" s="229">
        <v>3.0</v>
      </c>
      <c r="U70" s="229">
        <v>3.0</v>
      </c>
      <c r="V70" s="229">
        <v>3.0</v>
      </c>
      <c r="W70" s="229">
        <v>3.0</v>
      </c>
      <c r="X70" s="229">
        <v>3.0</v>
      </c>
      <c r="Y70" s="229">
        <v>3.0</v>
      </c>
      <c r="Z70" s="229">
        <v>3.0</v>
      </c>
      <c r="AA70" s="229">
        <v>3.0</v>
      </c>
      <c r="AB70" s="229">
        <v>3.0</v>
      </c>
      <c r="AC70" s="229">
        <v>3.0</v>
      </c>
      <c r="AD70" s="229">
        <v>3.0</v>
      </c>
      <c r="AE70" s="229">
        <v>3.0</v>
      </c>
      <c r="AF70" s="229">
        <v>3.0</v>
      </c>
      <c r="AG70" s="229">
        <v>3.0</v>
      </c>
      <c r="AH70" s="229">
        <v>3.0</v>
      </c>
      <c r="AI70" s="229">
        <v>3.0</v>
      </c>
      <c r="AJ70" s="230">
        <v>3.0</v>
      </c>
      <c r="AK70" s="230">
        <v>3.0</v>
      </c>
      <c r="AL70" s="231">
        <f>AL71*$C$71+AL72*$C$72</f>
        <v>3</v>
      </c>
      <c r="AM70" s="171" t="str">
        <f>IF($AL$70&lt;$AJ$70, "&lt;--- ОШИБКА, данные по строительной готовности снизились","")</f>
        <v/>
      </c>
      <c r="AN70" s="112"/>
      <c r="AO70" s="112"/>
      <c r="AP70" s="112"/>
      <c r="AQ70" s="112"/>
      <c r="AR70" s="112"/>
      <c r="AS70" s="112"/>
      <c r="AT70" s="112"/>
    </row>
    <row r="71">
      <c r="A71" s="157"/>
      <c r="B71" s="206" t="s">
        <v>3506</v>
      </c>
      <c r="C71" s="197">
        <v>0.5</v>
      </c>
      <c r="D71" s="198">
        <v>0.0</v>
      </c>
      <c r="E71" s="198">
        <v>2.0</v>
      </c>
      <c r="F71" s="198">
        <v>3.0</v>
      </c>
      <c r="G71" s="198">
        <v>3.0</v>
      </c>
      <c r="H71" s="198">
        <v>4.0</v>
      </c>
      <c r="I71" s="198">
        <v>5.0</v>
      </c>
      <c r="J71" s="198">
        <v>6.0</v>
      </c>
      <c r="K71" s="198">
        <v>6.0</v>
      </c>
      <c r="L71" s="198">
        <v>6.0</v>
      </c>
      <c r="M71" s="198">
        <v>6.0</v>
      </c>
      <c r="N71" s="198">
        <v>6.0</v>
      </c>
      <c r="O71" s="198">
        <v>6.0</v>
      </c>
      <c r="P71" s="198">
        <v>6.0</v>
      </c>
      <c r="Q71" s="198">
        <v>6.0</v>
      </c>
      <c r="R71" s="199">
        <v>6.0</v>
      </c>
      <c r="S71" s="199">
        <v>6.0</v>
      </c>
      <c r="T71" s="199">
        <v>6.0</v>
      </c>
      <c r="U71" s="199">
        <v>6.0</v>
      </c>
      <c r="V71" s="199">
        <v>6.0</v>
      </c>
      <c r="W71" s="199">
        <v>6.0</v>
      </c>
      <c r="X71" s="199">
        <v>6.0</v>
      </c>
      <c r="Y71" s="199">
        <v>6.0</v>
      </c>
      <c r="Z71" s="199">
        <v>6.0</v>
      </c>
      <c r="AA71" s="199">
        <v>6.0</v>
      </c>
      <c r="AB71" s="199">
        <v>6.0</v>
      </c>
      <c r="AC71" s="199">
        <v>6.0</v>
      </c>
      <c r="AD71" s="199">
        <v>6.0</v>
      </c>
      <c r="AE71" s="199">
        <v>6.0</v>
      </c>
      <c r="AF71" s="199">
        <v>6.0</v>
      </c>
      <c r="AG71" s="199">
        <v>6.0</v>
      </c>
      <c r="AH71" s="199">
        <v>6.0</v>
      </c>
      <c r="AI71" s="199">
        <v>6.0</v>
      </c>
      <c r="AJ71" s="200">
        <v>6.0</v>
      </c>
      <c r="AK71" s="200">
        <v>6.0</v>
      </c>
      <c r="AL71" s="200">
        <v>6.0</v>
      </c>
      <c r="AM71" s="171" t="str">
        <f>IF($AL$71&lt;$AJ$71, "&lt;--- ОШИБКА, данные по строительной готовности снизились","")</f>
        <v/>
      </c>
      <c r="AN71" s="112"/>
      <c r="AO71" s="112"/>
      <c r="AP71" s="112"/>
      <c r="AQ71" s="112"/>
      <c r="AR71" s="112"/>
      <c r="AS71" s="112"/>
      <c r="AT71" s="112"/>
    </row>
    <row r="72">
      <c r="A72" s="157"/>
      <c r="B72" s="206" t="s">
        <v>3507</v>
      </c>
      <c r="C72" s="197">
        <v>0.5</v>
      </c>
      <c r="D72" s="198">
        <v>0.0</v>
      </c>
      <c r="E72" s="198">
        <v>0.0</v>
      </c>
      <c r="F72" s="198">
        <v>0.0</v>
      </c>
      <c r="G72" s="198">
        <v>0.0</v>
      </c>
      <c r="H72" s="198">
        <v>0.0</v>
      </c>
      <c r="I72" s="198">
        <v>0.0</v>
      </c>
      <c r="J72" s="198">
        <v>0.0</v>
      </c>
      <c r="K72" s="198">
        <v>0.0</v>
      </c>
      <c r="L72" s="198">
        <v>0.0</v>
      </c>
      <c r="M72" s="198">
        <v>0.0</v>
      </c>
      <c r="N72" s="198">
        <v>0.0</v>
      </c>
      <c r="O72" s="198">
        <v>0.0</v>
      </c>
      <c r="P72" s="198">
        <v>0.0</v>
      </c>
      <c r="Q72" s="198">
        <v>0.0</v>
      </c>
      <c r="R72" s="199">
        <v>0.0</v>
      </c>
      <c r="S72" s="199">
        <v>0.0</v>
      </c>
      <c r="T72" s="199">
        <v>0.0</v>
      </c>
      <c r="U72" s="199">
        <v>0.0</v>
      </c>
      <c r="V72" s="199">
        <v>0.0</v>
      </c>
      <c r="W72" s="199">
        <v>0.0</v>
      </c>
      <c r="X72" s="199">
        <v>0.0</v>
      </c>
      <c r="Y72" s="199">
        <v>0.0</v>
      </c>
      <c r="Z72" s="199">
        <v>0.0</v>
      </c>
      <c r="AA72" s="199">
        <v>0.0</v>
      </c>
      <c r="AB72" s="199">
        <v>0.0</v>
      </c>
      <c r="AC72" s="199">
        <v>0.0</v>
      </c>
      <c r="AD72" s="199">
        <v>0.0</v>
      </c>
      <c r="AE72" s="199">
        <v>0.0</v>
      </c>
      <c r="AF72" s="199">
        <v>0.0</v>
      </c>
      <c r="AG72" s="199">
        <v>0.0</v>
      </c>
      <c r="AH72" s="199">
        <v>0.0</v>
      </c>
      <c r="AI72" s="199">
        <v>0.0</v>
      </c>
      <c r="AJ72" s="200">
        <v>0.0</v>
      </c>
      <c r="AK72" s="200">
        <v>0.0</v>
      </c>
      <c r="AL72" s="200">
        <v>0.0</v>
      </c>
      <c r="AM72" s="171" t="str">
        <f>IF($AL$72&lt;$AJ$72, "&lt;--- ОШИБКА, данные по строительной готовности снизились","")</f>
        <v/>
      </c>
      <c r="AN72" s="112"/>
      <c r="AO72" s="112"/>
      <c r="AP72" s="112"/>
      <c r="AQ72" s="112"/>
      <c r="AR72" s="112"/>
      <c r="AS72" s="112"/>
      <c r="AT72" s="112"/>
    </row>
    <row r="73">
      <c r="A73" s="157"/>
      <c r="B73" s="239" t="s">
        <v>3508</v>
      </c>
      <c r="C73" s="221">
        <v>0.08</v>
      </c>
      <c r="D73" s="198">
        <v>0.0</v>
      </c>
      <c r="E73" s="198">
        <v>0.0</v>
      </c>
      <c r="F73" s="198">
        <v>0.0</v>
      </c>
      <c r="G73" s="198">
        <v>0.0</v>
      </c>
      <c r="H73" s="198">
        <v>0.0</v>
      </c>
      <c r="I73" s="198">
        <v>0.0</v>
      </c>
      <c r="J73" s="198">
        <v>0.0</v>
      </c>
      <c r="K73" s="198">
        <v>0.0</v>
      </c>
      <c r="L73" s="198">
        <v>0.0</v>
      </c>
      <c r="M73" s="198">
        <v>0.0</v>
      </c>
      <c r="N73" s="198">
        <v>0.0</v>
      </c>
      <c r="O73" s="198">
        <v>0.0</v>
      </c>
      <c r="P73" s="198">
        <v>0.0</v>
      </c>
      <c r="Q73" s="198">
        <v>0.0</v>
      </c>
      <c r="R73" s="240">
        <v>0.0</v>
      </c>
      <c r="S73" s="240">
        <v>0.0</v>
      </c>
      <c r="T73" s="240">
        <v>0.0</v>
      </c>
      <c r="U73" s="240">
        <v>0.0</v>
      </c>
      <c r="V73" s="240">
        <v>0.0</v>
      </c>
      <c r="W73" s="240">
        <v>0.0</v>
      </c>
      <c r="X73" s="240">
        <v>0.0</v>
      </c>
      <c r="Y73" s="240">
        <v>0.0</v>
      </c>
      <c r="Z73" s="240">
        <v>0.0</v>
      </c>
      <c r="AA73" s="240">
        <v>0.0</v>
      </c>
      <c r="AB73" s="240">
        <v>0.0</v>
      </c>
      <c r="AC73" s="240">
        <v>0.0</v>
      </c>
      <c r="AD73" s="240">
        <v>0.0</v>
      </c>
      <c r="AE73" s="240">
        <v>0.0</v>
      </c>
      <c r="AF73" s="240">
        <v>0.0</v>
      </c>
      <c r="AG73" s="240">
        <v>0.0</v>
      </c>
      <c r="AH73" s="240">
        <v>0.0</v>
      </c>
      <c r="AI73" s="240">
        <v>0.0</v>
      </c>
      <c r="AJ73" s="241">
        <v>0.0</v>
      </c>
      <c r="AK73" s="241">
        <v>0.0</v>
      </c>
      <c r="AL73" s="242">
        <v>0.0</v>
      </c>
      <c r="AM73" s="171" t="str">
        <f>IF($AL$73&lt;$AJ$73, "&lt;--- ОШИБКА, данные по строительной готовности снизились","")</f>
        <v/>
      </c>
      <c r="AN73" s="112"/>
      <c r="AO73" s="112"/>
      <c r="AP73" s="112"/>
      <c r="AQ73" s="112"/>
      <c r="AR73" s="112"/>
      <c r="AS73" s="112"/>
      <c r="AT73" s="112"/>
    </row>
    <row r="74">
      <c r="A74" s="157"/>
      <c r="B74" s="208" t="s">
        <v>3468</v>
      </c>
      <c r="C74" s="187">
        <v>0.08</v>
      </c>
      <c r="D74" s="177">
        <v>12.68</v>
      </c>
      <c r="E74" s="177">
        <v>13.36</v>
      </c>
      <c r="F74" s="177">
        <v>13.8</v>
      </c>
      <c r="G74" s="177">
        <v>14.360000000000001</v>
      </c>
      <c r="H74" s="177">
        <v>14.799999999999999</v>
      </c>
      <c r="I74" s="177">
        <v>15.32</v>
      </c>
      <c r="J74" s="177">
        <v>15.76</v>
      </c>
      <c r="K74" s="177">
        <v>15.84</v>
      </c>
      <c r="L74" s="177">
        <v>16.8</v>
      </c>
      <c r="M74" s="177">
        <v>16.880000000000003</v>
      </c>
      <c r="N74" s="177">
        <v>17.6</v>
      </c>
      <c r="O74" s="177">
        <v>17.84</v>
      </c>
      <c r="P74" s="177">
        <v>17.92</v>
      </c>
      <c r="Q74" s="177">
        <v>18.160000000000004</v>
      </c>
      <c r="R74" s="188">
        <v>23.72</v>
      </c>
      <c r="S74" s="188">
        <v>23.72</v>
      </c>
      <c r="T74" s="188">
        <v>23.880000000000003</v>
      </c>
      <c r="U74" s="188">
        <v>23.880000000000003</v>
      </c>
      <c r="V74" s="188">
        <v>23.880000000000003</v>
      </c>
      <c r="W74" s="188">
        <v>24.22</v>
      </c>
      <c r="X74" s="188">
        <v>25.22</v>
      </c>
      <c r="Y74" s="188">
        <v>25.22</v>
      </c>
      <c r="Z74" s="188">
        <v>25.22</v>
      </c>
      <c r="AA74" s="188">
        <v>25.22</v>
      </c>
      <c r="AB74" s="188">
        <v>25.22</v>
      </c>
      <c r="AC74" s="188">
        <v>25.22</v>
      </c>
      <c r="AD74" s="189">
        <v>25.22</v>
      </c>
      <c r="AE74" s="189">
        <v>25.22</v>
      </c>
      <c r="AF74" s="189">
        <v>25.22</v>
      </c>
      <c r="AG74" s="189">
        <v>25.22</v>
      </c>
      <c r="AH74" s="189">
        <v>25.22</v>
      </c>
      <c r="AI74" s="189">
        <v>25.22</v>
      </c>
      <c r="AJ74" s="190">
        <v>25.22</v>
      </c>
      <c r="AK74" s="190">
        <v>25.22</v>
      </c>
      <c r="AL74" s="191">
        <f>AL75*$C$75+AL81*$C$81+AL85*$C$85+AL91*$C$91+AL95*$C$95</f>
        <v>25.22</v>
      </c>
      <c r="AM74" s="171" t="str">
        <f>IF($AL$74&lt;$AJ$74, "&lt;--- ОШИБКА, данные по строительной готовности снизились","")</f>
        <v/>
      </c>
      <c r="AN74" s="112"/>
      <c r="AO74" s="112"/>
      <c r="AP74" s="112"/>
      <c r="AQ74" s="112"/>
      <c r="AR74" s="112"/>
      <c r="AS74" s="112"/>
      <c r="AT74" s="112"/>
    </row>
    <row r="75">
      <c r="A75" s="157"/>
      <c r="B75" s="212" t="s">
        <v>3509</v>
      </c>
      <c r="C75" s="221">
        <v>0.2</v>
      </c>
      <c r="D75" s="177">
        <v>0.0</v>
      </c>
      <c r="E75" s="177">
        <v>0.0</v>
      </c>
      <c r="F75" s="177">
        <v>0.0</v>
      </c>
      <c r="G75" s="177">
        <v>0.0</v>
      </c>
      <c r="H75" s="177">
        <v>0.0</v>
      </c>
      <c r="I75" s="177">
        <v>0.0</v>
      </c>
      <c r="J75" s="177">
        <v>0.0</v>
      </c>
      <c r="K75" s="177">
        <v>0.0</v>
      </c>
      <c r="L75" s="177">
        <v>0.0</v>
      </c>
      <c r="M75" s="177">
        <v>0.0</v>
      </c>
      <c r="N75" s="177">
        <v>0.0</v>
      </c>
      <c r="O75" s="177">
        <v>0.0</v>
      </c>
      <c r="P75" s="177">
        <v>0.0</v>
      </c>
      <c r="Q75" s="177">
        <v>0.0</v>
      </c>
      <c r="R75" s="214">
        <v>0.0</v>
      </c>
      <c r="S75" s="214">
        <v>0.0</v>
      </c>
      <c r="T75" s="214">
        <v>0.0</v>
      </c>
      <c r="U75" s="214">
        <v>0.0</v>
      </c>
      <c r="V75" s="214">
        <v>0.0</v>
      </c>
      <c r="W75" s="214">
        <v>0.0</v>
      </c>
      <c r="X75" s="214">
        <v>0.0</v>
      </c>
      <c r="Y75" s="214">
        <v>0.0</v>
      </c>
      <c r="Z75" s="214">
        <v>0.0</v>
      </c>
      <c r="AA75" s="214">
        <v>0.0</v>
      </c>
      <c r="AB75" s="214">
        <v>0.0</v>
      </c>
      <c r="AC75" s="214">
        <v>0.0</v>
      </c>
      <c r="AD75" s="233">
        <v>0.0</v>
      </c>
      <c r="AE75" s="233">
        <v>0.0</v>
      </c>
      <c r="AF75" s="233">
        <v>0.0</v>
      </c>
      <c r="AG75" s="233">
        <v>0.0</v>
      </c>
      <c r="AH75" s="233">
        <v>0.0</v>
      </c>
      <c r="AI75" s="233">
        <v>0.0</v>
      </c>
      <c r="AJ75" s="234">
        <v>0.0</v>
      </c>
      <c r="AK75" s="234">
        <v>0.0</v>
      </c>
      <c r="AL75" s="216">
        <f>AL76*$C$76+AL77*$C$77+AL78*$C$78+AL79*$C$79+AL80*$C$80</f>
        <v>0</v>
      </c>
      <c r="AM75" s="171" t="str">
        <f>IF($AL$75&lt;$AJ$75, "&lt;--- ОШИБКА, данные по строительной готовности снизились","")</f>
        <v/>
      </c>
      <c r="AN75" s="112"/>
      <c r="AO75" s="112"/>
      <c r="AP75" s="112"/>
      <c r="AQ75" s="112"/>
      <c r="AR75" s="112"/>
      <c r="AS75" s="112"/>
      <c r="AT75" s="112"/>
    </row>
    <row r="76">
      <c r="A76" s="157"/>
      <c r="B76" s="206" t="s">
        <v>3510</v>
      </c>
      <c r="C76" s="243">
        <v>0.2</v>
      </c>
      <c r="D76" s="198">
        <v>0.0</v>
      </c>
      <c r="E76" s="198">
        <v>0.0</v>
      </c>
      <c r="F76" s="198">
        <v>0.0</v>
      </c>
      <c r="G76" s="198">
        <v>0.0</v>
      </c>
      <c r="H76" s="198">
        <v>0.0</v>
      </c>
      <c r="I76" s="198">
        <v>0.0</v>
      </c>
      <c r="J76" s="198">
        <v>0.0</v>
      </c>
      <c r="K76" s="198">
        <v>0.0</v>
      </c>
      <c r="L76" s="198">
        <v>0.0</v>
      </c>
      <c r="M76" s="198">
        <v>0.0</v>
      </c>
      <c r="N76" s="198">
        <v>0.0</v>
      </c>
      <c r="O76" s="198">
        <v>0.0</v>
      </c>
      <c r="P76" s="198">
        <v>0.0</v>
      </c>
      <c r="Q76" s="198">
        <v>0.0</v>
      </c>
      <c r="R76" s="199">
        <v>0.0</v>
      </c>
      <c r="S76" s="199">
        <v>0.0</v>
      </c>
      <c r="T76" s="199">
        <v>0.0</v>
      </c>
      <c r="U76" s="199">
        <v>0.0</v>
      </c>
      <c r="V76" s="199">
        <v>0.0</v>
      </c>
      <c r="W76" s="199">
        <v>0.0</v>
      </c>
      <c r="X76" s="199">
        <v>0.0</v>
      </c>
      <c r="Y76" s="199">
        <v>0.0</v>
      </c>
      <c r="Z76" s="199">
        <v>0.0</v>
      </c>
      <c r="AA76" s="199">
        <v>0.0</v>
      </c>
      <c r="AB76" s="199">
        <v>0.0</v>
      </c>
      <c r="AC76" s="199">
        <v>0.0</v>
      </c>
      <c r="AD76" s="199">
        <v>0.0</v>
      </c>
      <c r="AE76" s="199">
        <v>0.0</v>
      </c>
      <c r="AF76" s="199">
        <v>0.0</v>
      </c>
      <c r="AG76" s="199">
        <v>0.0</v>
      </c>
      <c r="AH76" s="199">
        <v>0.0</v>
      </c>
      <c r="AI76" s="199">
        <v>0.0</v>
      </c>
      <c r="AJ76" s="200">
        <v>0.0</v>
      </c>
      <c r="AK76" s="200">
        <v>0.0</v>
      </c>
      <c r="AL76" s="200">
        <v>0.0</v>
      </c>
      <c r="AM76" s="171" t="str">
        <f>IF($AL$76&lt;$AJ$76, "&lt;--- ОШИБКА, данные по строительной готовности снизились","")</f>
        <v/>
      </c>
      <c r="AN76" s="112"/>
      <c r="AO76" s="112"/>
      <c r="AP76" s="112"/>
      <c r="AQ76" s="112"/>
      <c r="AR76" s="112"/>
      <c r="AS76" s="112"/>
      <c r="AT76" s="112"/>
    </row>
    <row r="77">
      <c r="A77" s="157"/>
      <c r="B77" s="196" t="s">
        <v>3511</v>
      </c>
      <c r="C77" s="243">
        <v>0.2</v>
      </c>
      <c r="D77" s="198">
        <v>0.0</v>
      </c>
      <c r="E77" s="198">
        <v>0.0</v>
      </c>
      <c r="F77" s="198">
        <v>0.0</v>
      </c>
      <c r="G77" s="198">
        <v>0.0</v>
      </c>
      <c r="H77" s="198">
        <v>0.0</v>
      </c>
      <c r="I77" s="198">
        <v>0.0</v>
      </c>
      <c r="J77" s="198">
        <v>0.0</v>
      </c>
      <c r="K77" s="198">
        <v>0.0</v>
      </c>
      <c r="L77" s="198">
        <v>0.0</v>
      </c>
      <c r="M77" s="198">
        <v>0.0</v>
      </c>
      <c r="N77" s="198">
        <v>0.0</v>
      </c>
      <c r="O77" s="198">
        <v>0.0</v>
      </c>
      <c r="P77" s="198">
        <v>0.0</v>
      </c>
      <c r="Q77" s="198">
        <v>0.0</v>
      </c>
      <c r="R77" s="199">
        <v>0.0</v>
      </c>
      <c r="S77" s="199">
        <v>0.0</v>
      </c>
      <c r="T77" s="199">
        <v>0.0</v>
      </c>
      <c r="U77" s="199">
        <v>0.0</v>
      </c>
      <c r="V77" s="199">
        <v>0.0</v>
      </c>
      <c r="W77" s="199">
        <v>0.0</v>
      </c>
      <c r="X77" s="199">
        <v>0.0</v>
      </c>
      <c r="Y77" s="199">
        <v>0.0</v>
      </c>
      <c r="Z77" s="199">
        <v>0.0</v>
      </c>
      <c r="AA77" s="199">
        <v>0.0</v>
      </c>
      <c r="AB77" s="199">
        <v>0.0</v>
      </c>
      <c r="AC77" s="199">
        <v>0.0</v>
      </c>
      <c r="AD77" s="199">
        <v>0.0</v>
      </c>
      <c r="AE77" s="199">
        <v>0.0</v>
      </c>
      <c r="AF77" s="199">
        <v>0.0</v>
      </c>
      <c r="AG77" s="199">
        <v>0.0</v>
      </c>
      <c r="AH77" s="199">
        <v>0.0</v>
      </c>
      <c r="AI77" s="199">
        <v>0.0</v>
      </c>
      <c r="AJ77" s="200">
        <v>0.0</v>
      </c>
      <c r="AK77" s="200">
        <v>0.0</v>
      </c>
      <c r="AL77" s="200">
        <v>0.0</v>
      </c>
      <c r="AM77" s="171" t="str">
        <f>IF($AL$77&lt;$AJ$77, "&lt;--- ОШИБКА, данные по строительной готовности снизились","")</f>
        <v/>
      </c>
      <c r="AN77" s="112"/>
      <c r="AO77" s="112"/>
      <c r="AP77" s="112"/>
      <c r="AQ77" s="112"/>
      <c r="AR77" s="112"/>
      <c r="AS77" s="112"/>
      <c r="AT77" s="112"/>
    </row>
    <row r="78">
      <c r="A78" s="157"/>
      <c r="B78" s="206" t="s">
        <v>3512</v>
      </c>
      <c r="C78" s="243">
        <v>0.2</v>
      </c>
      <c r="D78" s="198">
        <v>0.0</v>
      </c>
      <c r="E78" s="198">
        <v>0.0</v>
      </c>
      <c r="F78" s="198">
        <v>0.0</v>
      </c>
      <c r="G78" s="198">
        <v>0.0</v>
      </c>
      <c r="H78" s="198">
        <v>0.0</v>
      </c>
      <c r="I78" s="198">
        <v>0.0</v>
      </c>
      <c r="J78" s="198">
        <v>0.0</v>
      </c>
      <c r="K78" s="198">
        <v>0.0</v>
      </c>
      <c r="L78" s="198">
        <v>0.0</v>
      </c>
      <c r="M78" s="198">
        <v>0.0</v>
      </c>
      <c r="N78" s="198">
        <v>0.0</v>
      </c>
      <c r="O78" s="198">
        <v>0.0</v>
      </c>
      <c r="P78" s="198">
        <v>0.0</v>
      </c>
      <c r="Q78" s="198">
        <v>0.0</v>
      </c>
      <c r="R78" s="199">
        <v>0.0</v>
      </c>
      <c r="S78" s="199">
        <v>0.0</v>
      </c>
      <c r="T78" s="199">
        <v>0.0</v>
      </c>
      <c r="U78" s="199">
        <v>0.0</v>
      </c>
      <c r="V78" s="199">
        <v>0.0</v>
      </c>
      <c r="W78" s="199">
        <v>0.0</v>
      </c>
      <c r="X78" s="199">
        <v>0.0</v>
      </c>
      <c r="Y78" s="199">
        <v>0.0</v>
      </c>
      <c r="Z78" s="199">
        <v>0.0</v>
      </c>
      <c r="AA78" s="199">
        <v>0.0</v>
      </c>
      <c r="AB78" s="199">
        <v>0.0</v>
      </c>
      <c r="AC78" s="199">
        <v>0.0</v>
      </c>
      <c r="AD78" s="199">
        <v>0.0</v>
      </c>
      <c r="AE78" s="199">
        <v>0.0</v>
      </c>
      <c r="AF78" s="199">
        <v>0.0</v>
      </c>
      <c r="AG78" s="199">
        <v>0.0</v>
      </c>
      <c r="AH78" s="199">
        <v>0.0</v>
      </c>
      <c r="AI78" s="199">
        <v>0.0</v>
      </c>
      <c r="AJ78" s="200">
        <v>0.0</v>
      </c>
      <c r="AK78" s="200">
        <v>0.0</v>
      </c>
      <c r="AL78" s="200">
        <v>0.0</v>
      </c>
      <c r="AM78" s="171" t="str">
        <f>IF($AL$78&lt;$AJ$78, "&lt;--- ОШИБКА, данные по строительной готовности снизились","")</f>
        <v/>
      </c>
      <c r="AN78" s="112"/>
      <c r="AO78" s="112"/>
      <c r="AP78" s="112"/>
      <c r="AQ78" s="112"/>
      <c r="AR78" s="112"/>
      <c r="AS78" s="112"/>
      <c r="AT78" s="112"/>
    </row>
    <row r="79">
      <c r="A79" s="157"/>
      <c r="B79" s="196" t="s">
        <v>3513</v>
      </c>
      <c r="C79" s="244">
        <v>0.2</v>
      </c>
      <c r="D79" s="198">
        <v>0.0</v>
      </c>
      <c r="E79" s="198">
        <v>0.0</v>
      </c>
      <c r="F79" s="198">
        <v>0.0</v>
      </c>
      <c r="G79" s="198">
        <v>0.0</v>
      </c>
      <c r="H79" s="198">
        <v>0.0</v>
      </c>
      <c r="I79" s="198">
        <v>0.0</v>
      </c>
      <c r="J79" s="198">
        <v>0.0</v>
      </c>
      <c r="K79" s="198">
        <v>0.0</v>
      </c>
      <c r="L79" s="198">
        <v>0.0</v>
      </c>
      <c r="M79" s="198">
        <v>0.0</v>
      </c>
      <c r="N79" s="198">
        <v>0.0</v>
      </c>
      <c r="O79" s="198">
        <v>0.0</v>
      </c>
      <c r="P79" s="198">
        <v>0.0</v>
      </c>
      <c r="Q79" s="198">
        <v>0.0</v>
      </c>
      <c r="R79" s="199">
        <v>0.0</v>
      </c>
      <c r="S79" s="199">
        <v>0.0</v>
      </c>
      <c r="T79" s="199">
        <v>0.0</v>
      </c>
      <c r="U79" s="199">
        <v>0.0</v>
      </c>
      <c r="V79" s="199">
        <v>0.0</v>
      </c>
      <c r="W79" s="199">
        <v>0.0</v>
      </c>
      <c r="X79" s="199">
        <v>0.0</v>
      </c>
      <c r="Y79" s="199">
        <v>0.0</v>
      </c>
      <c r="Z79" s="199">
        <v>0.0</v>
      </c>
      <c r="AA79" s="199">
        <v>0.0</v>
      </c>
      <c r="AB79" s="199">
        <v>0.0</v>
      </c>
      <c r="AC79" s="199">
        <v>0.0</v>
      </c>
      <c r="AD79" s="199">
        <v>0.0</v>
      </c>
      <c r="AE79" s="199">
        <v>0.0</v>
      </c>
      <c r="AF79" s="199">
        <v>0.0</v>
      </c>
      <c r="AG79" s="199">
        <v>0.0</v>
      </c>
      <c r="AH79" s="199">
        <v>0.0</v>
      </c>
      <c r="AI79" s="199">
        <v>0.0</v>
      </c>
      <c r="AJ79" s="200">
        <v>0.0</v>
      </c>
      <c r="AK79" s="200">
        <v>0.0</v>
      </c>
      <c r="AL79" s="200">
        <v>0.0</v>
      </c>
      <c r="AM79" s="171" t="str">
        <f>IF($AL$79&lt;$AJ$79, "&lt;--- ОШИБКА, данные по строительной готовности снизились","")</f>
        <v/>
      </c>
      <c r="AN79" s="112"/>
      <c r="AO79" s="112"/>
      <c r="AP79" s="112"/>
      <c r="AQ79" s="112"/>
      <c r="AR79" s="112"/>
      <c r="AS79" s="112"/>
      <c r="AT79" s="112"/>
    </row>
    <row r="80">
      <c r="A80" s="157"/>
      <c r="B80" s="196" t="s">
        <v>3514</v>
      </c>
      <c r="C80" s="244">
        <v>0.2</v>
      </c>
      <c r="D80" s="198">
        <v>0.0</v>
      </c>
      <c r="E80" s="198">
        <v>0.0</v>
      </c>
      <c r="F80" s="198">
        <v>0.0</v>
      </c>
      <c r="G80" s="198">
        <v>0.0</v>
      </c>
      <c r="H80" s="198">
        <v>0.0</v>
      </c>
      <c r="I80" s="198">
        <v>0.0</v>
      </c>
      <c r="J80" s="198">
        <v>0.0</v>
      </c>
      <c r="K80" s="198">
        <v>0.0</v>
      </c>
      <c r="L80" s="198">
        <v>0.0</v>
      </c>
      <c r="M80" s="198">
        <v>0.0</v>
      </c>
      <c r="N80" s="198">
        <v>0.0</v>
      </c>
      <c r="O80" s="198">
        <v>0.0</v>
      </c>
      <c r="P80" s="198">
        <v>0.0</v>
      </c>
      <c r="Q80" s="198">
        <v>0.0</v>
      </c>
      <c r="R80" s="199">
        <v>0.0</v>
      </c>
      <c r="S80" s="199">
        <v>0.0</v>
      </c>
      <c r="T80" s="199">
        <v>0.0</v>
      </c>
      <c r="U80" s="199">
        <v>0.0</v>
      </c>
      <c r="V80" s="199">
        <v>0.0</v>
      </c>
      <c r="W80" s="199">
        <v>0.0</v>
      </c>
      <c r="X80" s="199">
        <v>0.0</v>
      </c>
      <c r="Y80" s="199">
        <v>0.0</v>
      </c>
      <c r="Z80" s="199">
        <v>0.0</v>
      </c>
      <c r="AA80" s="199">
        <v>0.0</v>
      </c>
      <c r="AB80" s="199">
        <v>0.0</v>
      </c>
      <c r="AC80" s="199">
        <v>0.0</v>
      </c>
      <c r="AD80" s="199">
        <v>0.0</v>
      </c>
      <c r="AE80" s="199">
        <v>0.0</v>
      </c>
      <c r="AF80" s="199">
        <v>0.0</v>
      </c>
      <c r="AG80" s="199">
        <v>0.0</v>
      </c>
      <c r="AH80" s="199">
        <v>0.0</v>
      </c>
      <c r="AI80" s="199">
        <v>0.0</v>
      </c>
      <c r="AJ80" s="200">
        <v>0.0</v>
      </c>
      <c r="AK80" s="200">
        <v>0.0</v>
      </c>
      <c r="AL80" s="200">
        <v>0.0</v>
      </c>
      <c r="AM80" s="171" t="str">
        <f>IF($AL$80&lt;$AJ$80, "&lt;--- ОШИБКА, данные по строительной готовности снизились","")</f>
        <v/>
      </c>
      <c r="AN80" s="112"/>
      <c r="AO80" s="112"/>
      <c r="AP80" s="112"/>
      <c r="AQ80" s="112"/>
      <c r="AR80" s="112"/>
      <c r="AS80" s="112"/>
      <c r="AT80" s="112"/>
    </row>
    <row r="81">
      <c r="A81" s="157"/>
      <c r="B81" s="245" t="s">
        <v>3515</v>
      </c>
      <c r="C81" s="221">
        <v>0.2</v>
      </c>
      <c r="D81" s="177">
        <v>24.0</v>
      </c>
      <c r="E81" s="177">
        <v>25.8</v>
      </c>
      <c r="F81" s="177">
        <v>26.4</v>
      </c>
      <c r="G81" s="177">
        <v>28.2</v>
      </c>
      <c r="H81" s="177">
        <v>28.799999999999997</v>
      </c>
      <c r="I81" s="177">
        <v>29.4</v>
      </c>
      <c r="J81" s="177">
        <v>30.0</v>
      </c>
      <c r="K81" s="177">
        <v>30.0</v>
      </c>
      <c r="L81" s="177">
        <v>30.0</v>
      </c>
      <c r="M81" s="177">
        <v>30.0</v>
      </c>
      <c r="N81" s="177">
        <v>30.0</v>
      </c>
      <c r="O81" s="177">
        <v>30.0</v>
      </c>
      <c r="P81" s="177">
        <v>30.0</v>
      </c>
      <c r="Q81" s="177">
        <v>30.0</v>
      </c>
      <c r="R81" s="214">
        <v>48.0</v>
      </c>
      <c r="S81" s="214">
        <v>48.0</v>
      </c>
      <c r="T81" s="214">
        <v>48.0</v>
      </c>
      <c r="U81" s="214">
        <v>48.0</v>
      </c>
      <c r="V81" s="214">
        <v>48.0</v>
      </c>
      <c r="W81" s="214">
        <v>48.0</v>
      </c>
      <c r="X81" s="214">
        <v>48.0</v>
      </c>
      <c r="Y81" s="214">
        <v>48.0</v>
      </c>
      <c r="Z81" s="214">
        <v>48.0</v>
      </c>
      <c r="AA81" s="214">
        <v>48.0</v>
      </c>
      <c r="AB81" s="214">
        <v>48.0</v>
      </c>
      <c r="AC81" s="214">
        <v>48.0</v>
      </c>
      <c r="AD81" s="233">
        <v>48.0</v>
      </c>
      <c r="AE81" s="233">
        <v>48.0</v>
      </c>
      <c r="AF81" s="233">
        <v>48.0</v>
      </c>
      <c r="AG81" s="233">
        <v>48.0</v>
      </c>
      <c r="AH81" s="233">
        <v>48.0</v>
      </c>
      <c r="AI81" s="233">
        <v>48.0</v>
      </c>
      <c r="AJ81" s="234">
        <v>48.0</v>
      </c>
      <c r="AK81" s="234">
        <v>48.0</v>
      </c>
      <c r="AL81" s="216">
        <f>AL82*$C$82+AL83*$C$83+AL84*$C$84</f>
        <v>48</v>
      </c>
      <c r="AM81" s="171" t="str">
        <f>IF($AL$81&lt;$AJ$81, "&lt;--- ОШИБКА, данные по строительной готовности снизились","")</f>
        <v/>
      </c>
      <c r="AN81" s="112"/>
      <c r="AO81" s="112"/>
      <c r="AP81" s="112"/>
      <c r="AQ81" s="112"/>
      <c r="AR81" s="112"/>
      <c r="AS81" s="112"/>
      <c r="AT81" s="112"/>
    </row>
    <row r="82">
      <c r="A82" s="157"/>
      <c r="B82" s="196" t="s">
        <v>3516</v>
      </c>
      <c r="C82" s="244">
        <v>0.6</v>
      </c>
      <c r="D82" s="198">
        <v>40.0</v>
      </c>
      <c r="E82" s="198">
        <v>43.0</v>
      </c>
      <c r="F82" s="198">
        <v>44.0</v>
      </c>
      <c r="G82" s="198">
        <v>47.0</v>
      </c>
      <c r="H82" s="198">
        <v>48.0</v>
      </c>
      <c r="I82" s="198">
        <v>49.0</v>
      </c>
      <c r="J82" s="198">
        <v>50.0</v>
      </c>
      <c r="K82" s="198">
        <v>50.0</v>
      </c>
      <c r="L82" s="198">
        <v>50.0</v>
      </c>
      <c r="M82" s="198">
        <v>50.0</v>
      </c>
      <c r="N82" s="198">
        <v>50.0</v>
      </c>
      <c r="O82" s="198">
        <v>50.0</v>
      </c>
      <c r="P82" s="198">
        <v>50.0</v>
      </c>
      <c r="Q82" s="198">
        <v>50.0</v>
      </c>
      <c r="R82" s="199">
        <v>80.0</v>
      </c>
      <c r="S82" s="199">
        <v>80.0</v>
      </c>
      <c r="T82" s="199">
        <v>80.0</v>
      </c>
      <c r="U82" s="199">
        <v>80.0</v>
      </c>
      <c r="V82" s="199">
        <v>80.0</v>
      </c>
      <c r="W82" s="199">
        <v>80.0</v>
      </c>
      <c r="X82" s="199">
        <v>80.0</v>
      </c>
      <c r="Y82" s="199">
        <v>80.0</v>
      </c>
      <c r="Z82" s="199">
        <v>80.0</v>
      </c>
      <c r="AA82" s="199">
        <v>80.0</v>
      </c>
      <c r="AB82" s="199">
        <v>80.0</v>
      </c>
      <c r="AC82" s="199">
        <v>80.0</v>
      </c>
      <c r="AD82" s="199">
        <v>80.0</v>
      </c>
      <c r="AE82" s="199">
        <v>80.0</v>
      </c>
      <c r="AF82" s="199">
        <v>80.0</v>
      </c>
      <c r="AG82" s="199">
        <v>80.0</v>
      </c>
      <c r="AH82" s="199">
        <v>80.0</v>
      </c>
      <c r="AI82" s="199">
        <v>80.0</v>
      </c>
      <c r="AJ82" s="200">
        <v>80.0</v>
      </c>
      <c r="AK82" s="200">
        <v>80.0</v>
      </c>
      <c r="AL82" s="200">
        <v>80.0</v>
      </c>
      <c r="AM82" s="171" t="str">
        <f>IF($AL$82&lt;$AJ$82, "&lt;--- ОШИБКА, данные по строительной готовности снизились","")</f>
        <v/>
      </c>
      <c r="AN82" s="112"/>
      <c r="AO82" s="112"/>
      <c r="AP82" s="112"/>
      <c r="AQ82" s="112"/>
      <c r="AR82" s="112"/>
      <c r="AS82" s="112"/>
      <c r="AT82" s="112"/>
    </row>
    <row r="83">
      <c r="A83" s="157"/>
      <c r="B83" s="206" t="s">
        <v>3517</v>
      </c>
      <c r="C83" s="246">
        <v>0.2</v>
      </c>
      <c r="D83" s="198">
        <v>0.0</v>
      </c>
      <c r="E83" s="198">
        <v>0.0</v>
      </c>
      <c r="F83" s="198">
        <v>0.0</v>
      </c>
      <c r="G83" s="198">
        <v>0.0</v>
      </c>
      <c r="H83" s="198">
        <v>0.0</v>
      </c>
      <c r="I83" s="198">
        <v>0.0</v>
      </c>
      <c r="J83" s="198">
        <v>0.0</v>
      </c>
      <c r="K83" s="198">
        <v>0.0</v>
      </c>
      <c r="L83" s="198">
        <v>0.0</v>
      </c>
      <c r="M83" s="198">
        <v>0.0</v>
      </c>
      <c r="N83" s="198">
        <v>0.0</v>
      </c>
      <c r="O83" s="198">
        <v>0.0</v>
      </c>
      <c r="P83" s="198">
        <v>0.0</v>
      </c>
      <c r="Q83" s="198">
        <v>0.0</v>
      </c>
      <c r="R83" s="199">
        <v>0.0</v>
      </c>
      <c r="S83" s="199">
        <v>0.0</v>
      </c>
      <c r="T83" s="199">
        <v>0.0</v>
      </c>
      <c r="U83" s="199">
        <v>0.0</v>
      </c>
      <c r="V83" s="199">
        <v>0.0</v>
      </c>
      <c r="W83" s="199">
        <v>0.0</v>
      </c>
      <c r="X83" s="199">
        <v>0.0</v>
      </c>
      <c r="Y83" s="199">
        <v>0.0</v>
      </c>
      <c r="Z83" s="199">
        <v>0.0</v>
      </c>
      <c r="AA83" s="199">
        <v>0.0</v>
      </c>
      <c r="AB83" s="199">
        <v>0.0</v>
      </c>
      <c r="AC83" s="199">
        <v>0.0</v>
      </c>
      <c r="AD83" s="199">
        <v>0.0</v>
      </c>
      <c r="AE83" s="199">
        <v>0.0</v>
      </c>
      <c r="AF83" s="199">
        <v>0.0</v>
      </c>
      <c r="AG83" s="199">
        <v>0.0</v>
      </c>
      <c r="AH83" s="199">
        <v>0.0</v>
      </c>
      <c r="AI83" s="199">
        <v>0.0</v>
      </c>
      <c r="AJ83" s="200">
        <v>0.0</v>
      </c>
      <c r="AK83" s="200">
        <v>0.0</v>
      </c>
      <c r="AL83" s="200">
        <v>0.0</v>
      </c>
      <c r="AM83" s="171" t="str">
        <f>IF($AL$83&lt;$AJ$83, "&lt;--- ОШИБКА, данные по строительной готовности снизились","")</f>
        <v/>
      </c>
      <c r="AN83" s="112"/>
      <c r="AO83" s="112"/>
      <c r="AP83" s="112"/>
      <c r="AQ83" s="112"/>
      <c r="AR83" s="112"/>
      <c r="AS83" s="112"/>
      <c r="AT83" s="112"/>
    </row>
    <row r="84">
      <c r="A84" s="157"/>
      <c r="B84" s="196" t="s">
        <v>3518</v>
      </c>
      <c r="C84" s="247">
        <v>0.2</v>
      </c>
      <c r="D84" s="198">
        <v>0.0</v>
      </c>
      <c r="E84" s="198">
        <v>0.0</v>
      </c>
      <c r="F84" s="198">
        <v>0.0</v>
      </c>
      <c r="G84" s="198">
        <v>0.0</v>
      </c>
      <c r="H84" s="198">
        <v>0.0</v>
      </c>
      <c r="I84" s="198">
        <v>0.0</v>
      </c>
      <c r="J84" s="198">
        <v>0.0</v>
      </c>
      <c r="K84" s="198">
        <v>0.0</v>
      </c>
      <c r="L84" s="198">
        <v>0.0</v>
      </c>
      <c r="M84" s="198">
        <v>0.0</v>
      </c>
      <c r="N84" s="198">
        <v>0.0</v>
      </c>
      <c r="O84" s="198">
        <v>0.0</v>
      </c>
      <c r="P84" s="198">
        <v>0.0</v>
      </c>
      <c r="Q84" s="198">
        <v>0.0</v>
      </c>
      <c r="R84" s="199">
        <v>0.0</v>
      </c>
      <c r="S84" s="199">
        <v>0.0</v>
      </c>
      <c r="T84" s="199">
        <v>0.0</v>
      </c>
      <c r="U84" s="199">
        <v>0.0</v>
      </c>
      <c r="V84" s="199">
        <v>0.0</v>
      </c>
      <c r="W84" s="199">
        <v>0.0</v>
      </c>
      <c r="X84" s="199">
        <v>0.0</v>
      </c>
      <c r="Y84" s="199">
        <v>0.0</v>
      </c>
      <c r="Z84" s="199">
        <v>0.0</v>
      </c>
      <c r="AA84" s="199">
        <v>0.0</v>
      </c>
      <c r="AB84" s="199">
        <v>0.0</v>
      </c>
      <c r="AC84" s="199">
        <v>0.0</v>
      </c>
      <c r="AD84" s="199">
        <v>0.0</v>
      </c>
      <c r="AE84" s="199">
        <v>0.0</v>
      </c>
      <c r="AF84" s="199">
        <v>0.0</v>
      </c>
      <c r="AG84" s="199">
        <v>0.0</v>
      </c>
      <c r="AH84" s="199">
        <v>0.0</v>
      </c>
      <c r="AI84" s="199">
        <v>0.0</v>
      </c>
      <c r="AJ84" s="200">
        <v>0.0</v>
      </c>
      <c r="AK84" s="200">
        <v>0.0</v>
      </c>
      <c r="AL84" s="200">
        <v>0.0</v>
      </c>
      <c r="AM84" s="171" t="str">
        <f>IF($AL$84&lt;$AJ$84, "&lt;--- ОШИБКА, данные по строительной готовности снизились","")</f>
        <v/>
      </c>
      <c r="AN84" s="112"/>
      <c r="AO84" s="112"/>
      <c r="AP84" s="112"/>
      <c r="AQ84" s="112"/>
      <c r="AR84" s="112"/>
      <c r="AS84" s="112"/>
      <c r="AT84" s="112"/>
    </row>
    <row r="85">
      <c r="A85" s="157"/>
      <c r="B85" s="245" t="s">
        <v>3519</v>
      </c>
      <c r="C85" s="221">
        <v>0.2</v>
      </c>
      <c r="D85" s="177">
        <v>6.4</v>
      </c>
      <c r="E85" s="177">
        <v>6.800000000000001</v>
      </c>
      <c r="F85" s="177">
        <v>7.2</v>
      </c>
      <c r="G85" s="177">
        <v>7.6000000000000005</v>
      </c>
      <c r="H85" s="177">
        <v>8.0</v>
      </c>
      <c r="I85" s="177">
        <v>8.8</v>
      </c>
      <c r="J85" s="177">
        <v>9.200000000000001</v>
      </c>
      <c r="K85" s="177">
        <v>9.600000000000001</v>
      </c>
      <c r="L85" s="177">
        <v>14.4</v>
      </c>
      <c r="M85" s="177">
        <v>14.8</v>
      </c>
      <c r="N85" s="177">
        <v>18.400000000000002</v>
      </c>
      <c r="O85" s="177">
        <v>19.6</v>
      </c>
      <c r="P85" s="177">
        <v>20.0</v>
      </c>
      <c r="Q85" s="177">
        <v>21.200000000000003</v>
      </c>
      <c r="R85" s="214">
        <v>31.0</v>
      </c>
      <c r="S85" s="214">
        <v>31.0</v>
      </c>
      <c r="T85" s="214">
        <v>31.8</v>
      </c>
      <c r="U85" s="214">
        <v>31.8</v>
      </c>
      <c r="V85" s="214">
        <v>31.8</v>
      </c>
      <c r="W85" s="214">
        <v>33.5</v>
      </c>
      <c r="X85" s="214">
        <v>38.5</v>
      </c>
      <c r="Y85" s="214">
        <v>38.5</v>
      </c>
      <c r="Z85" s="214">
        <v>38.5</v>
      </c>
      <c r="AA85" s="214">
        <v>38.5</v>
      </c>
      <c r="AB85" s="214">
        <v>38.5</v>
      </c>
      <c r="AC85" s="214">
        <v>38.5</v>
      </c>
      <c r="AD85" s="233">
        <v>38.5</v>
      </c>
      <c r="AE85" s="233">
        <v>38.5</v>
      </c>
      <c r="AF85" s="233">
        <v>38.5</v>
      </c>
      <c r="AG85" s="233">
        <v>38.5</v>
      </c>
      <c r="AH85" s="233">
        <v>38.5</v>
      </c>
      <c r="AI85" s="233">
        <v>38.5</v>
      </c>
      <c r="AJ85" s="234">
        <v>38.5</v>
      </c>
      <c r="AK85" s="234">
        <v>38.5</v>
      </c>
      <c r="AL85" s="216">
        <f>AL86*$C$86+AL87*$C$87+AL88*$C$88+AL89*$C$89+AL90*$C$90</f>
        <v>38.5</v>
      </c>
      <c r="AM85" s="171" t="str">
        <f>IF($AL$85&lt;$AJ$85, "&lt;--- ОШИБКА, данные по строительной готовности снизились","")</f>
        <v/>
      </c>
      <c r="AN85" s="112"/>
      <c r="AO85" s="112"/>
      <c r="AP85" s="112"/>
      <c r="AQ85" s="112"/>
      <c r="AR85" s="112"/>
      <c r="AS85" s="112"/>
      <c r="AT85" s="112"/>
    </row>
    <row r="86">
      <c r="A86" s="157"/>
      <c r="B86" s="196" t="s">
        <v>3520</v>
      </c>
      <c r="C86" s="244">
        <v>0.1</v>
      </c>
      <c r="D86" s="198">
        <v>0.0</v>
      </c>
      <c r="E86" s="198">
        <v>0.0</v>
      </c>
      <c r="F86" s="198">
        <v>0.0</v>
      </c>
      <c r="G86" s="198">
        <v>0.0</v>
      </c>
      <c r="H86" s="198">
        <v>0.0</v>
      </c>
      <c r="I86" s="198">
        <v>0.0</v>
      </c>
      <c r="J86" s="198">
        <v>0.0</v>
      </c>
      <c r="K86" s="198">
        <v>0.0</v>
      </c>
      <c r="L86" s="198">
        <v>0.0</v>
      </c>
      <c r="M86" s="198">
        <v>0.0</v>
      </c>
      <c r="N86" s="198">
        <v>0.0</v>
      </c>
      <c r="O86" s="198">
        <v>0.0</v>
      </c>
      <c r="P86" s="198">
        <v>0.0</v>
      </c>
      <c r="Q86" s="198">
        <v>0.0</v>
      </c>
      <c r="R86" s="199">
        <v>30.0</v>
      </c>
      <c r="S86" s="199">
        <v>30.0</v>
      </c>
      <c r="T86" s="199">
        <v>30.0</v>
      </c>
      <c r="U86" s="199">
        <v>30.0</v>
      </c>
      <c r="V86" s="199">
        <v>30.0</v>
      </c>
      <c r="W86" s="199">
        <v>35.0</v>
      </c>
      <c r="X86" s="199">
        <v>65.0</v>
      </c>
      <c r="Y86" s="199">
        <v>65.0</v>
      </c>
      <c r="Z86" s="199">
        <v>65.0</v>
      </c>
      <c r="AA86" s="199">
        <v>65.0</v>
      </c>
      <c r="AB86" s="199">
        <v>65.0</v>
      </c>
      <c r="AC86" s="199">
        <v>65.0</v>
      </c>
      <c r="AD86" s="199">
        <v>65.0</v>
      </c>
      <c r="AE86" s="199">
        <v>65.0</v>
      </c>
      <c r="AF86" s="199">
        <v>65.0</v>
      </c>
      <c r="AG86" s="199">
        <v>65.0</v>
      </c>
      <c r="AH86" s="199">
        <v>65.0</v>
      </c>
      <c r="AI86" s="199">
        <v>65.0</v>
      </c>
      <c r="AJ86" s="200">
        <v>65.0</v>
      </c>
      <c r="AK86" s="200">
        <v>65.0</v>
      </c>
      <c r="AL86" s="200">
        <v>65.0</v>
      </c>
      <c r="AM86" s="171" t="str">
        <f>IF($AL$86&lt;$AJ$86, "&lt;--- ОШИБКА, данные по строительной готовности снизились","")</f>
        <v/>
      </c>
      <c r="AN86" s="112"/>
      <c r="AO86" s="112"/>
      <c r="AP86" s="112"/>
      <c r="AQ86" s="112"/>
      <c r="AR86" s="112"/>
      <c r="AS86" s="112"/>
      <c r="AT86" s="112"/>
    </row>
    <row r="87">
      <c r="A87" s="157"/>
      <c r="B87" s="196" t="s">
        <v>3521</v>
      </c>
      <c r="C87" s="244">
        <v>0.4</v>
      </c>
      <c r="D87" s="198">
        <v>16.0</v>
      </c>
      <c r="E87" s="198">
        <v>17.0</v>
      </c>
      <c r="F87" s="198">
        <v>18.0</v>
      </c>
      <c r="G87" s="198">
        <v>19.0</v>
      </c>
      <c r="H87" s="198">
        <v>20.0</v>
      </c>
      <c r="I87" s="198">
        <v>22.0</v>
      </c>
      <c r="J87" s="198">
        <v>23.0</v>
      </c>
      <c r="K87" s="198">
        <v>24.0</v>
      </c>
      <c r="L87" s="198">
        <v>36.0</v>
      </c>
      <c r="M87" s="198">
        <v>37.0</v>
      </c>
      <c r="N87" s="198">
        <v>46.0</v>
      </c>
      <c r="O87" s="198">
        <v>49.0</v>
      </c>
      <c r="P87" s="198">
        <v>50.0</v>
      </c>
      <c r="Q87" s="198">
        <v>53.0</v>
      </c>
      <c r="R87" s="199">
        <v>70.0</v>
      </c>
      <c r="S87" s="199">
        <v>70.0</v>
      </c>
      <c r="T87" s="199">
        <v>72.0</v>
      </c>
      <c r="U87" s="199">
        <v>72.0</v>
      </c>
      <c r="V87" s="199">
        <v>72.0</v>
      </c>
      <c r="W87" s="199">
        <v>75.0</v>
      </c>
      <c r="X87" s="199">
        <v>80.0</v>
      </c>
      <c r="Y87" s="199">
        <v>80.0</v>
      </c>
      <c r="Z87" s="199">
        <v>80.0</v>
      </c>
      <c r="AA87" s="199">
        <v>80.0</v>
      </c>
      <c r="AB87" s="199">
        <v>80.0</v>
      </c>
      <c r="AC87" s="199">
        <v>80.0</v>
      </c>
      <c r="AD87" s="199">
        <v>80.0</v>
      </c>
      <c r="AE87" s="199">
        <v>80.0</v>
      </c>
      <c r="AF87" s="199">
        <v>80.0</v>
      </c>
      <c r="AG87" s="199">
        <v>80.0</v>
      </c>
      <c r="AH87" s="199">
        <v>80.0</v>
      </c>
      <c r="AI87" s="199">
        <v>80.0</v>
      </c>
      <c r="AJ87" s="200">
        <v>80.0</v>
      </c>
      <c r="AK87" s="200">
        <v>80.0</v>
      </c>
      <c r="AL87" s="200">
        <v>80.0</v>
      </c>
      <c r="AM87" s="171" t="str">
        <f>IF($AL$87&lt;$AJ$87, "&lt;--- ОШИБКА, данные по строительной готовности снизились","")</f>
        <v/>
      </c>
      <c r="AN87" s="112"/>
      <c r="AO87" s="112"/>
      <c r="AP87" s="112"/>
      <c r="AQ87" s="112"/>
      <c r="AR87" s="112"/>
      <c r="AS87" s="112"/>
      <c r="AT87" s="112"/>
    </row>
    <row r="88">
      <c r="A88" s="157"/>
      <c r="B88" s="196" t="s">
        <v>3522</v>
      </c>
      <c r="C88" s="244">
        <v>0.3</v>
      </c>
      <c r="D88" s="198">
        <v>0.0</v>
      </c>
      <c r="E88" s="198">
        <v>0.0</v>
      </c>
      <c r="F88" s="198">
        <v>0.0</v>
      </c>
      <c r="G88" s="198">
        <v>0.0</v>
      </c>
      <c r="H88" s="198">
        <v>0.0</v>
      </c>
      <c r="I88" s="198">
        <v>0.0</v>
      </c>
      <c r="J88" s="198">
        <v>0.0</v>
      </c>
      <c r="K88" s="198">
        <v>0.0</v>
      </c>
      <c r="L88" s="198">
        <v>0.0</v>
      </c>
      <c r="M88" s="198">
        <v>0.0</v>
      </c>
      <c r="N88" s="198">
        <v>0.0</v>
      </c>
      <c r="O88" s="198">
        <v>0.0</v>
      </c>
      <c r="P88" s="198">
        <v>0.0</v>
      </c>
      <c r="Q88" s="198">
        <v>0.0</v>
      </c>
      <c r="R88" s="199">
        <v>0.0</v>
      </c>
      <c r="S88" s="199">
        <v>0.0</v>
      </c>
      <c r="T88" s="199">
        <v>0.0</v>
      </c>
      <c r="U88" s="199">
        <v>0.0</v>
      </c>
      <c r="V88" s="199">
        <v>0.0</v>
      </c>
      <c r="W88" s="199">
        <v>0.0</v>
      </c>
      <c r="X88" s="199">
        <v>0.0</v>
      </c>
      <c r="Y88" s="199">
        <v>0.0</v>
      </c>
      <c r="Z88" s="199">
        <v>0.0</v>
      </c>
      <c r="AA88" s="199">
        <v>0.0</v>
      </c>
      <c r="AB88" s="199">
        <v>0.0</v>
      </c>
      <c r="AC88" s="199">
        <v>0.0</v>
      </c>
      <c r="AD88" s="199">
        <v>0.0</v>
      </c>
      <c r="AE88" s="199">
        <v>0.0</v>
      </c>
      <c r="AF88" s="199">
        <v>0.0</v>
      </c>
      <c r="AG88" s="199">
        <v>0.0</v>
      </c>
      <c r="AH88" s="199">
        <v>0.0</v>
      </c>
      <c r="AI88" s="199">
        <v>0.0</v>
      </c>
      <c r="AJ88" s="200">
        <v>0.0</v>
      </c>
      <c r="AK88" s="200">
        <v>0.0</v>
      </c>
      <c r="AL88" s="200">
        <v>0.0</v>
      </c>
      <c r="AM88" s="171" t="str">
        <f>IF($AL$88&lt;$AJ$88, "&lt;--- ОШИБКА, данные по строительной готовности снизились","")</f>
        <v/>
      </c>
      <c r="AN88" s="112"/>
      <c r="AO88" s="112"/>
      <c r="AP88" s="112"/>
      <c r="AQ88" s="112"/>
      <c r="AR88" s="112"/>
      <c r="AS88" s="112"/>
      <c r="AT88" s="112"/>
    </row>
    <row r="89">
      <c r="A89" s="157"/>
      <c r="B89" s="196" t="s">
        <v>3523</v>
      </c>
      <c r="C89" s="244">
        <v>0.1</v>
      </c>
      <c r="D89" s="198">
        <v>0.0</v>
      </c>
      <c r="E89" s="198">
        <v>0.0</v>
      </c>
      <c r="F89" s="198">
        <v>0.0</v>
      </c>
      <c r="G89" s="198">
        <v>0.0</v>
      </c>
      <c r="H89" s="198">
        <v>0.0</v>
      </c>
      <c r="I89" s="198">
        <v>0.0</v>
      </c>
      <c r="J89" s="198">
        <v>0.0</v>
      </c>
      <c r="K89" s="198">
        <v>0.0</v>
      </c>
      <c r="L89" s="198">
        <v>0.0</v>
      </c>
      <c r="M89" s="198">
        <v>0.0</v>
      </c>
      <c r="N89" s="198">
        <v>0.0</v>
      </c>
      <c r="O89" s="198">
        <v>0.0</v>
      </c>
      <c r="P89" s="198">
        <v>0.0</v>
      </c>
      <c r="Q89" s="198">
        <v>0.0</v>
      </c>
      <c r="R89" s="199">
        <v>0.0</v>
      </c>
      <c r="S89" s="199">
        <v>0.0</v>
      </c>
      <c r="T89" s="199">
        <v>0.0</v>
      </c>
      <c r="U89" s="199">
        <v>0.0</v>
      </c>
      <c r="V89" s="199">
        <v>0.0</v>
      </c>
      <c r="W89" s="199">
        <v>0.0</v>
      </c>
      <c r="X89" s="199">
        <v>0.0</v>
      </c>
      <c r="Y89" s="199">
        <v>0.0</v>
      </c>
      <c r="Z89" s="199">
        <v>0.0</v>
      </c>
      <c r="AA89" s="199">
        <v>0.0</v>
      </c>
      <c r="AB89" s="199">
        <v>0.0</v>
      </c>
      <c r="AC89" s="199">
        <v>0.0</v>
      </c>
      <c r="AD89" s="199">
        <v>0.0</v>
      </c>
      <c r="AE89" s="199">
        <v>0.0</v>
      </c>
      <c r="AF89" s="199">
        <v>0.0</v>
      </c>
      <c r="AG89" s="199">
        <v>0.0</v>
      </c>
      <c r="AH89" s="199">
        <v>0.0</v>
      </c>
      <c r="AI89" s="199">
        <v>0.0</v>
      </c>
      <c r="AJ89" s="200">
        <v>0.0</v>
      </c>
      <c r="AK89" s="200">
        <v>0.0</v>
      </c>
      <c r="AL89" s="200">
        <v>0.0</v>
      </c>
      <c r="AM89" s="171" t="str">
        <f>IF($AL$89&lt;$AJ$89, "&lt;--- ОШИБКА, данные по строительной готовности снизились","")</f>
        <v/>
      </c>
      <c r="AN89" s="112"/>
      <c r="AO89" s="112"/>
      <c r="AP89" s="112"/>
      <c r="AQ89" s="112"/>
      <c r="AR89" s="112"/>
      <c r="AS89" s="112"/>
      <c r="AT89" s="112"/>
    </row>
    <row r="90">
      <c r="A90" s="157"/>
      <c r="B90" s="196" t="s">
        <v>3524</v>
      </c>
      <c r="C90" s="243">
        <v>0.1</v>
      </c>
      <c r="D90" s="198">
        <v>0.0</v>
      </c>
      <c r="E90" s="198">
        <v>0.0</v>
      </c>
      <c r="F90" s="198">
        <v>0.0</v>
      </c>
      <c r="G90" s="198">
        <v>0.0</v>
      </c>
      <c r="H90" s="198">
        <v>0.0</v>
      </c>
      <c r="I90" s="198">
        <v>0.0</v>
      </c>
      <c r="J90" s="198">
        <v>0.0</v>
      </c>
      <c r="K90" s="198">
        <v>0.0</v>
      </c>
      <c r="L90" s="198">
        <v>0.0</v>
      </c>
      <c r="M90" s="198">
        <v>0.0</v>
      </c>
      <c r="N90" s="198">
        <v>0.0</v>
      </c>
      <c r="O90" s="198">
        <v>0.0</v>
      </c>
      <c r="P90" s="198">
        <v>0.0</v>
      </c>
      <c r="Q90" s="198">
        <v>0.0</v>
      </c>
      <c r="R90" s="199">
        <v>0.0</v>
      </c>
      <c r="S90" s="199">
        <v>0.0</v>
      </c>
      <c r="T90" s="199">
        <v>0.0</v>
      </c>
      <c r="U90" s="199">
        <v>0.0</v>
      </c>
      <c r="V90" s="199">
        <v>0.0</v>
      </c>
      <c r="W90" s="199">
        <v>0.0</v>
      </c>
      <c r="X90" s="199">
        <v>0.0</v>
      </c>
      <c r="Y90" s="199">
        <v>0.0</v>
      </c>
      <c r="Z90" s="199">
        <v>0.0</v>
      </c>
      <c r="AA90" s="199">
        <v>0.0</v>
      </c>
      <c r="AB90" s="199">
        <v>0.0</v>
      </c>
      <c r="AC90" s="199">
        <v>0.0</v>
      </c>
      <c r="AD90" s="199">
        <v>0.0</v>
      </c>
      <c r="AE90" s="199">
        <v>0.0</v>
      </c>
      <c r="AF90" s="199">
        <v>0.0</v>
      </c>
      <c r="AG90" s="199">
        <v>0.0</v>
      </c>
      <c r="AH90" s="199">
        <v>0.0</v>
      </c>
      <c r="AI90" s="199">
        <v>0.0</v>
      </c>
      <c r="AJ90" s="200">
        <v>0.0</v>
      </c>
      <c r="AK90" s="200">
        <v>0.0</v>
      </c>
      <c r="AL90" s="200">
        <v>0.0</v>
      </c>
      <c r="AM90" s="171" t="str">
        <f>IF($AL$90&lt;$AJ$90, "&lt;--- ОШИБКА, данные по строительной готовности снизились","")</f>
        <v/>
      </c>
      <c r="AN90" s="112"/>
      <c r="AO90" s="112"/>
      <c r="AP90" s="112"/>
      <c r="AQ90" s="112"/>
      <c r="AR90" s="112"/>
      <c r="AS90" s="112"/>
      <c r="AT90" s="112"/>
    </row>
    <row r="91">
      <c r="A91" s="157"/>
      <c r="B91" s="245" t="s">
        <v>3525</v>
      </c>
      <c r="C91" s="221">
        <v>0.2</v>
      </c>
      <c r="D91" s="177">
        <v>12.0</v>
      </c>
      <c r="E91" s="177">
        <v>12.6</v>
      </c>
      <c r="F91" s="177">
        <v>13.2</v>
      </c>
      <c r="G91" s="177">
        <v>13.2</v>
      </c>
      <c r="H91" s="177">
        <v>13.799999999999999</v>
      </c>
      <c r="I91" s="177">
        <v>14.399999999999999</v>
      </c>
      <c r="J91" s="177">
        <v>15.0</v>
      </c>
      <c r="K91" s="177">
        <v>15.0</v>
      </c>
      <c r="L91" s="177">
        <v>15.0</v>
      </c>
      <c r="M91" s="177">
        <v>15.0</v>
      </c>
      <c r="N91" s="177">
        <v>15.0</v>
      </c>
      <c r="O91" s="177">
        <v>15.0</v>
      </c>
      <c r="P91" s="177">
        <v>15.0</v>
      </c>
      <c r="Q91" s="177">
        <v>15.0</v>
      </c>
      <c r="R91" s="214">
        <v>15.0</v>
      </c>
      <c r="S91" s="214">
        <v>15.0</v>
      </c>
      <c r="T91" s="214">
        <v>15.0</v>
      </c>
      <c r="U91" s="214">
        <v>15.0</v>
      </c>
      <c r="V91" s="214">
        <v>15.0</v>
      </c>
      <c r="W91" s="214">
        <v>15.0</v>
      </c>
      <c r="X91" s="214">
        <v>15.0</v>
      </c>
      <c r="Y91" s="214">
        <v>15.0</v>
      </c>
      <c r="Z91" s="214">
        <v>15.0</v>
      </c>
      <c r="AA91" s="214">
        <v>15.0</v>
      </c>
      <c r="AB91" s="214">
        <v>15.0</v>
      </c>
      <c r="AC91" s="214">
        <v>15.0</v>
      </c>
      <c r="AD91" s="233">
        <v>15.0</v>
      </c>
      <c r="AE91" s="233">
        <v>15.0</v>
      </c>
      <c r="AF91" s="233">
        <v>15.0</v>
      </c>
      <c r="AG91" s="233">
        <v>15.0</v>
      </c>
      <c r="AH91" s="233">
        <v>15.0</v>
      </c>
      <c r="AI91" s="233">
        <v>15.0</v>
      </c>
      <c r="AJ91" s="234">
        <v>15.0</v>
      </c>
      <c r="AK91" s="234">
        <v>15.0</v>
      </c>
      <c r="AL91" s="216">
        <f>AL92*$C$92+AL93*$C$93+AL94*$C$94</f>
        <v>15</v>
      </c>
      <c r="AM91" s="171" t="str">
        <f>IF($AL$91&lt;$AJ$91, "&lt;--- ОШИБКА, данные по строительной готовности снизились","")</f>
        <v/>
      </c>
      <c r="AN91" s="112"/>
      <c r="AO91" s="112"/>
      <c r="AP91" s="112"/>
      <c r="AQ91" s="112"/>
      <c r="AR91" s="112"/>
      <c r="AS91" s="112"/>
      <c r="AT91" s="112"/>
    </row>
    <row r="92">
      <c r="A92" s="157"/>
      <c r="B92" s="196" t="s">
        <v>3526</v>
      </c>
      <c r="C92" s="244">
        <v>0.6</v>
      </c>
      <c r="D92" s="198">
        <v>20.0</v>
      </c>
      <c r="E92" s="198">
        <v>21.0</v>
      </c>
      <c r="F92" s="198">
        <v>22.0</v>
      </c>
      <c r="G92" s="198">
        <v>22.0</v>
      </c>
      <c r="H92" s="198">
        <v>23.0</v>
      </c>
      <c r="I92" s="198">
        <v>24.0</v>
      </c>
      <c r="J92" s="198">
        <v>25.0</v>
      </c>
      <c r="K92" s="198">
        <v>25.0</v>
      </c>
      <c r="L92" s="198">
        <v>25.0</v>
      </c>
      <c r="M92" s="198">
        <v>25.0</v>
      </c>
      <c r="N92" s="198">
        <v>25.0</v>
      </c>
      <c r="O92" s="198">
        <v>25.0</v>
      </c>
      <c r="P92" s="198">
        <v>25.0</v>
      </c>
      <c r="Q92" s="198">
        <v>25.0</v>
      </c>
      <c r="R92" s="199">
        <v>25.0</v>
      </c>
      <c r="S92" s="199">
        <v>25.0</v>
      </c>
      <c r="T92" s="199">
        <v>25.0</v>
      </c>
      <c r="U92" s="199">
        <v>25.0</v>
      </c>
      <c r="V92" s="199">
        <v>25.0</v>
      </c>
      <c r="W92" s="199">
        <v>25.0</v>
      </c>
      <c r="X92" s="199">
        <v>25.0</v>
      </c>
      <c r="Y92" s="199">
        <v>25.0</v>
      </c>
      <c r="Z92" s="199">
        <v>25.0</v>
      </c>
      <c r="AA92" s="199">
        <v>25.0</v>
      </c>
      <c r="AB92" s="199">
        <v>25.0</v>
      </c>
      <c r="AC92" s="199">
        <v>25.0</v>
      </c>
      <c r="AD92" s="199">
        <v>25.0</v>
      </c>
      <c r="AE92" s="199">
        <v>25.0</v>
      </c>
      <c r="AF92" s="199">
        <v>25.0</v>
      </c>
      <c r="AG92" s="199">
        <v>25.0</v>
      </c>
      <c r="AH92" s="199">
        <v>25.0</v>
      </c>
      <c r="AI92" s="199">
        <v>25.0</v>
      </c>
      <c r="AJ92" s="200">
        <v>25.0</v>
      </c>
      <c r="AK92" s="200">
        <v>25.0</v>
      </c>
      <c r="AL92" s="200">
        <v>25.0</v>
      </c>
      <c r="AM92" s="171" t="str">
        <f>IF($AL$92&lt;$AJ$92, "&lt;--- ОШИБКА, данные по строительной готовности снизились","")</f>
        <v/>
      </c>
      <c r="AN92" s="112"/>
      <c r="AO92" s="112"/>
      <c r="AP92" s="112"/>
      <c r="AQ92" s="112"/>
      <c r="AR92" s="112"/>
      <c r="AS92" s="112"/>
      <c r="AT92" s="112"/>
    </row>
    <row r="93">
      <c r="A93" s="157"/>
      <c r="B93" s="196" t="s">
        <v>3527</v>
      </c>
      <c r="C93" s="244">
        <v>0.3</v>
      </c>
      <c r="D93" s="198">
        <v>0.0</v>
      </c>
      <c r="E93" s="198">
        <v>0.0</v>
      </c>
      <c r="F93" s="198">
        <v>0.0</v>
      </c>
      <c r="G93" s="198">
        <v>0.0</v>
      </c>
      <c r="H93" s="198">
        <v>0.0</v>
      </c>
      <c r="I93" s="198">
        <v>0.0</v>
      </c>
      <c r="J93" s="198">
        <v>0.0</v>
      </c>
      <c r="K93" s="198">
        <v>0.0</v>
      </c>
      <c r="L93" s="198">
        <v>0.0</v>
      </c>
      <c r="M93" s="198">
        <v>0.0</v>
      </c>
      <c r="N93" s="198">
        <v>0.0</v>
      </c>
      <c r="O93" s="198">
        <v>0.0</v>
      </c>
      <c r="P93" s="198">
        <v>0.0</v>
      </c>
      <c r="Q93" s="198">
        <v>0.0</v>
      </c>
      <c r="R93" s="199">
        <v>0.0</v>
      </c>
      <c r="S93" s="199">
        <v>0.0</v>
      </c>
      <c r="T93" s="199">
        <v>0.0</v>
      </c>
      <c r="U93" s="199">
        <v>0.0</v>
      </c>
      <c r="V93" s="199">
        <v>0.0</v>
      </c>
      <c r="W93" s="199">
        <v>0.0</v>
      </c>
      <c r="X93" s="199">
        <v>0.0</v>
      </c>
      <c r="Y93" s="199">
        <v>0.0</v>
      </c>
      <c r="Z93" s="199">
        <v>0.0</v>
      </c>
      <c r="AA93" s="199">
        <v>0.0</v>
      </c>
      <c r="AB93" s="199">
        <v>0.0</v>
      </c>
      <c r="AC93" s="199">
        <v>0.0</v>
      </c>
      <c r="AD93" s="199">
        <v>0.0</v>
      </c>
      <c r="AE93" s="199">
        <v>0.0</v>
      </c>
      <c r="AF93" s="199">
        <v>0.0</v>
      </c>
      <c r="AG93" s="199">
        <v>0.0</v>
      </c>
      <c r="AH93" s="199">
        <v>0.0</v>
      </c>
      <c r="AI93" s="199">
        <v>0.0</v>
      </c>
      <c r="AJ93" s="200">
        <v>0.0</v>
      </c>
      <c r="AK93" s="200">
        <v>0.0</v>
      </c>
      <c r="AL93" s="200">
        <v>0.0</v>
      </c>
      <c r="AM93" s="171" t="str">
        <f>IF($AL$93&lt;$AJ$93, "&lt;--- ОШИБКА, данные по строительной готовности снизились","")</f>
        <v/>
      </c>
      <c r="AN93" s="112"/>
      <c r="AO93" s="112"/>
      <c r="AP93" s="112"/>
      <c r="AQ93" s="112"/>
      <c r="AR93" s="112"/>
      <c r="AS93" s="112"/>
      <c r="AT93" s="112"/>
    </row>
    <row r="94">
      <c r="A94" s="157"/>
      <c r="B94" s="196" t="s">
        <v>3528</v>
      </c>
      <c r="C94" s="243">
        <v>0.1</v>
      </c>
      <c r="D94" s="198">
        <v>0.0</v>
      </c>
      <c r="E94" s="198">
        <v>0.0</v>
      </c>
      <c r="F94" s="198">
        <v>0.0</v>
      </c>
      <c r="G94" s="198">
        <v>0.0</v>
      </c>
      <c r="H94" s="198">
        <v>0.0</v>
      </c>
      <c r="I94" s="198">
        <v>0.0</v>
      </c>
      <c r="J94" s="198">
        <v>0.0</v>
      </c>
      <c r="K94" s="198">
        <v>0.0</v>
      </c>
      <c r="L94" s="198">
        <v>0.0</v>
      </c>
      <c r="M94" s="198">
        <v>0.0</v>
      </c>
      <c r="N94" s="198">
        <v>0.0</v>
      </c>
      <c r="O94" s="198">
        <v>0.0</v>
      </c>
      <c r="P94" s="198">
        <v>0.0</v>
      </c>
      <c r="Q94" s="198">
        <v>0.0</v>
      </c>
      <c r="R94" s="199">
        <v>0.0</v>
      </c>
      <c r="S94" s="199">
        <v>0.0</v>
      </c>
      <c r="T94" s="199">
        <v>0.0</v>
      </c>
      <c r="U94" s="199">
        <v>0.0</v>
      </c>
      <c r="V94" s="199">
        <v>0.0</v>
      </c>
      <c r="W94" s="199">
        <v>0.0</v>
      </c>
      <c r="X94" s="199">
        <v>0.0</v>
      </c>
      <c r="Y94" s="199">
        <v>0.0</v>
      </c>
      <c r="Z94" s="199">
        <v>0.0</v>
      </c>
      <c r="AA94" s="199">
        <v>0.0</v>
      </c>
      <c r="AB94" s="199">
        <v>0.0</v>
      </c>
      <c r="AC94" s="199">
        <v>0.0</v>
      </c>
      <c r="AD94" s="199">
        <v>0.0</v>
      </c>
      <c r="AE94" s="199">
        <v>0.0</v>
      </c>
      <c r="AF94" s="199">
        <v>0.0</v>
      </c>
      <c r="AG94" s="199">
        <v>0.0</v>
      </c>
      <c r="AH94" s="199">
        <v>0.0</v>
      </c>
      <c r="AI94" s="199">
        <v>0.0</v>
      </c>
      <c r="AJ94" s="200">
        <v>0.0</v>
      </c>
      <c r="AK94" s="200">
        <v>0.0</v>
      </c>
      <c r="AL94" s="200">
        <v>0.0</v>
      </c>
      <c r="AM94" s="171" t="str">
        <f>IF($AL$94&lt;$AJ$94, "&lt;--- ОШИБКА, данные по строительной готовности снизились","")</f>
        <v/>
      </c>
      <c r="AN94" s="112"/>
      <c r="AO94" s="112"/>
      <c r="AP94" s="112"/>
      <c r="AQ94" s="112"/>
      <c r="AR94" s="112"/>
      <c r="AS94" s="112"/>
      <c r="AT94" s="112"/>
    </row>
    <row r="95">
      <c r="A95" s="157"/>
      <c r="B95" s="245" t="s">
        <v>3529</v>
      </c>
      <c r="C95" s="221">
        <v>0.2</v>
      </c>
      <c r="D95" s="177">
        <v>21.0</v>
      </c>
      <c r="E95" s="177">
        <v>21.599999999999998</v>
      </c>
      <c r="F95" s="177">
        <v>22.2</v>
      </c>
      <c r="G95" s="177">
        <v>22.8</v>
      </c>
      <c r="H95" s="177">
        <v>23.4</v>
      </c>
      <c r="I95" s="177">
        <v>24.0</v>
      </c>
      <c r="J95" s="177">
        <v>24.599999999999998</v>
      </c>
      <c r="K95" s="177">
        <v>24.599999999999998</v>
      </c>
      <c r="L95" s="177">
        <v>24.599999999999998</v>
      </c>
      <c r="M95" s="177">
        <v>24.599999999999998</v>
      </c>
      <c r="N95" s="177">
        <v>24.599999999999998</v>
      </c>
      <c r="O95" s="177">
        <v>24.599999999999998</v>
      </c>
      <c r="P95" s="177">
        <v>24.599999999999998</v>
      </c>
      <c r="Q95" s="177">
        <v>24.599999999999998</v>
      </c>
      <c r="R95" s="214">
        <v>24.599999999999998</v>
      </c>
      <c r="S95" s="214">
        <v>24.599999999999998</v>
      </c>
      <c r="T95" s="214">
        <v>24.599999999999998</v>
      </c>
      <c r="U95" s="214">
        <v>24.599999999999998</v>
      </c>
      <c r="V95" s="214">
        <v>24.599999999999998</v>
      </c>
      <c r="W95" s="214">
        <v>24.599999999999998</v>
      </c>
      <c r="X95" s="214">
        <v>24.599999999999998</v>
      </c>
      <c r="Y95" s="214">
        <v>24.599999999999998</v>
      </c>
      <c r="Z95" s="214">
        <v>24.599999999999998</v>
      </c>
      <c r="AA95" s="214">
        <v>24.599999999999998</v>
      </c>
      <c r="AB95" s="214">
        <v>24.599999999999998</v>
      </c>
      <c r="AC95" s="214">
        <v>24.599999999999998</v>
      </c>
      <c r="AD95" s="233">
        <v>24.599999999999998</v>
      </c>
      <c r="AE95" s="233">
        <v>24.599999999999998</v>
      </c>
      <c r="AF95" s="233">
        <v>24.599999999999998</v>
      </c>
      <c r="AG95" s="233">
        <v>24.599999999999998</v>
      </c>
      <c r="AH95" s="233">
        <v>24.599999999999998</v>
      </c>
      <c r="AI95" s="233">
        <v>24.599999999999998</v>
      </c>
      <c r="AJ95" s="234">
        <v>24.599999999999998</v>
      </c>
      <c r="AK95" s="234">
        <v>24.599999999999998</v>
      </c>
      <c r="AL95" s="216">
        <f>AL96*$C$96+AL97*$C$97+AL98*$C$98</f>
        <v>24.6</v>
      </c>
      <c r="AM95" s="171" t="str">
        <f>IF($AL$95&lt;$AJ$95, "&lt;--- ОШИБКА, данные по строительной готовности снизились","")</f>
        <v/>
      </c>
      <c r="AN95" s="112"/>
      <c r="AO95" s="112"/>
      <c r="AP95" s="112"/>
      <c r="AQ95" s="112"/>
      <c r="AR95" s="112"/>
      <c r="AS95" s="112"/>
      <c r="AT95" s="112"/>
    </row>
    <row r="96">
      <c r="A96" s="157"/>
      <c r="B96" s="206" t="s">
        <v>3530</v>
      </c>
      <c r="C96" s="244">
        <v>0.6</v>
      </c>
      <c r="D96" s="198">
        <v>35.0</v>
      </c>
      <c r="E96" s="198">
        <v>36.0</v>
      </c>
      <c r="F96" s="198">
        <v>37.0</v>
      </c>
      <c r="G96" s="198">
        <v>38.0</v>
      </c>
      <c r="H96" s="198">
        <v>39.0</v>
      </c>
      <c r="I96" s="198">
        <v>40.0</v>
      </c>
      <c r="J96" s="198">
        <v>41.0</v>
      </c>
      <c r="K96" s="198">
        <v>41.0</v>
      </c>
      <c r="L96" s="198">
        <v>41.0</v>
      </c>
      <c r="M96" s="198">
        <v>41.0</v>
      </c>
      <c r="N96" s="198">
        <v>41.0</v>
      </c>
      <c r="O96" s="198">
        <v>41.0</v>
      </c>
      <c r="P96" s="198">
        <v>41.0</v>
      </c>
      <c r="Q96" s="198">
        <v>41.0</v>
      </c>
      <c r="R96" s="199">
        <v>41.0</v>
      </c>
      <c r="S96" s="199">
        <v>41.0</v>
      </c>
      <c r="T96" s="199">
        <v>41.0</v>
      </c>
      <c r="U96" s="199">
        <v>41.0</v>
      </c>
      <c r="V96" s="199">
        <v>41.0</v>
      </c>
      <c r="W96" s="199">
        <v>41.0</v>
      </c>
      <c r="X96" s="199">
        <v>41.0</v>
      </c>
      <c r="Y96" s="199">
        <v>41.0</v>
      </c>
      <c r="Z96" s="199">
        <v>41.0</v>
      </c>
      <c r="AA96" s="199">
        <v>41.0</v>
      </c>
      <c r="AB96" s="199">
        <v>41.0</v>
      </c>
      <c r="AC96" s="199">
        <v>41.0</v>
      </c>
      <c r="AD96" s="199">
        <v>41.0</v>
      </c>
      <c r="AE96" s="199">
        <v>41.0</v>
      </c>
      <c r="AF96" s="199">
        <v>41.0</v>
      </c>
      <c r="AG96" s="199">
        <v>41.0</v>
      </c>
      <c r="AH96" s="199">
        <v>41.0</v>
      </c>
      <c r="AI96" s="199">
        <v>41.0</v>
      </c>
      <c r="AJ96" s="200">
        <v>41.0</v>
      </c>
      <c r="AK96" s="200">
        <v>41.0</v>
      </c>
      <c r="AL96" s="200">
        <v>41.0</v>
      </c>
      <c r="AM96" s="171" t="str">
        <f>IF($AL$96&lt;$AJ$96, "&lt;--- ОШИБКА, данные по строительной готовности снизились","")</f>
        <v/>
      </c>
      <c r="AN96" s="112"/>
      <c r="AO96" s="112"/>
      <c r="AP96" s="112"/>
      <c r="AQ96" s="112"/>
      <c r="AR96" s="112"/>
      <c r="AS96" s="112"/>
      <c r="AT96" s="112"/>
    </row>
    <row r="97">
      <c r="A97" s="157"/>
      <c r="B97" s="206" t="s">
        <v>3527</v>
      </c>
      <c r="C97" s="244">
        <v>0.3</v>
      </c>
      <c r="D97" s="198">
        <v>0.0</v>
      </c>
      <c r="E97" s="198">
        <v>0.0</v>
      </c>
      <c r="F97" s="198">
        <v>0.0</v>
      </c>
      <c r="G97" s="198">
        <v>0.0</v>
      </c>
      <c r="H97" s="198">
        <v>0.0</v>
      </c>
      <c r="I97" s="198">
        <v>0.0</v>
      </c>
      <c r="J97" s="198">
        <v>0.0</v>
      </c>
      <c r="K97" s="198">
        <v>0.0</v>
      </c>
      <c r="L97" s="198">
        <v>0.0</v>
      </c>
      <c r="M97" s="198">
        <v>0.0</v>
      </c>
      <c r="N97" s="198">
        <v>0.0</v>
      </c>
      <c r="O97" s="198">
        <v>0.0</v>
      </c>
      <c r="P97" s="198">
        <v>0.0</v>
      </c>
      <c r="Q97" s="198">
        <v>0.0</v>
      </c>
      <c r="R97" s="199">
        <v>0.0</v>
      </c>
      <c r="S97" s="199">
        <v>0.0</v>
      </c>
      <c r="T97" s="199">
        <v>0.0</v>
      </c>
      <c r="U97" s="199">
        <v>0.0</v>
      </c>
      <c r="V97" s="199">
        <v>0.0</v>
      </c>
      <c r="W97" s="199">
        <v>0.0</v>
      </c>
      <c r="X97" s="199">
        <v>0.0</v>
      </c>
      <c r="Y97" s="199">
        <v>0.0</v>
      </c>
      <c r="Z97" s="199">
        <v>0.0</v>
      </c>
      <c r="AA97" s="199">
        <v>0.0</v>
      </c>
      <c r="AB97" s="199">
        <v>0.0</v>
      </c>
      <c r="AC97" s="199">
        <v>0.0</v>
      </c>
      <c r="AD97" s="199">
        <v>0.0</v>
      </c>
      <c r="AE97" s="199">
        <v>0.0</v>
      </c>
      <c r="AF97" s="199">
        <v>0.0</v>
      </c>
      <c r="AG97" s="199">
        <v>0.0</v>
      </c>
      <c r="AH97" s="199">
        <v>0.0</v>
      </c>
      <c r="AI97" s="199">
        <v>0.0</v>
      </c>
      <c r="AJ97" s="200">
        <v>0.0</v>
      </c>
      <c r="AK97" s="200">
        <v>0.0</v>
      </c>
      <c r="AL97" s="200">
        <v>0.0</v>
      </c>
      <c r="AM97" s="171" t="str">
        <f>IF($AL$97&lt;$AJ$97, "&lt;--- ОШИБКА, данные по строительной готовности снизились","")</f>
        <v/>
      </c>
      <c r="AN97" s="112"/>
      <c r="AO97" s="112"/>
      <c r="AP97" s="112"/>
      <c r="AQ97" s="112"/>
      <c r="AR97" s="112"/>
      <c r="AS97" s="112"/>
      <c r="AT97" s="112"/>
    </row>
    <row r="98">
      <c r="A98" s="157"/>
      <c r="B98" s="196" t="s">
        <v>3528</v>
      </c>
      <c r="C98" s="243">
        <v>0.1</v>
      </c>
      <c r="D98" s="198">
        <v>0.0</v>
      </c>
      <c r="E98" s="198">
        <v>0.0</v>
      </c>
      <c r="F98" s="198">
        <v>0.0</v>
      </c>
      <c r="G98" s="198">
        <v>0.0</v>
      </c>
      <c r="H98" s="198">
        <v>0.0</v>
      </c>
      <c r="I98" s="198">
        <v>0.0</v>
      </c>
      <c r="J98" s="198">
        <v>0.0</v>
      </c>
      <c r="K98" s="198">
        <v>0.0</v>
      </c>
      <c r="L98" s="198">
        <v>0.0</v>
      </c>
      <c r="M98" s="198">
        <v>0.0</v>
      </c>
      <c r="N98" s="198">
        <v>0.0</v>
      </c>
      <c r="O98" s="198">
        <v>0.0</v>
      </c>
      <c r="P98" s="198">
        <v>0.0</v>
      </c>
      <c r="Q98" s="198">
        <v>0.0</v>
      </c>
      <c r="R98" s="199">
        <v>0.0</v>
      </c>
      <c r="S98" s="199">
        <v>0.0</v>
      </c>
      <c r="T98" s="199">
        <v>0.0</v>
      </c>
      <c r="U98" s="199">
        <v>0.0</v>
      </c>
      <c r="V98" s="199">
        <v>0.0</v>
      </c>
      <c r="W98" s="199">
        <v>0.0</v>
      </c>
      <c r="X98" s="199">
        <v>0.0</v>
      </c>
      <c r="Y98" s="199">
        <v>0.0</v>
      </c>
      <c r="Z98" s="199">
        <v>0.0</v>
      </c>
      <c r="AA98" s="199">
        <v>0.0</v>
      </c>
      <c r="AB98" s="199">
        <v>0.0</v>
      </c>
      <c r="AC98" s="199">
        <v>0.0</v>
      </c>
      <c r="AD98" s="199">
        <v>0.0</v>
      </c>
      <c r="AE98" s="199">
        <v>0.0</v>
      </c>
      <c r="AF98" s="199">
        <v>0.0</v>
      </c>
      <c r="AG98" s="199">
        <v>0.0</v>
      </c>
      <c r="AH98" s="199">
        <v>0.0</v>
      </c>
      <c r="AI98" s="199">
        <v>0.0</v>
      </c>
      <c r="AJ98" s="200">
        <v>0.0</v>
      </c>
      <c r="AK98" s="200">
        <v>0.0</v>
      </c>
      <c r="AL98" s="200">
        <v>0.0</v>
      </c>
      <c r="AM98" s="171" t="str">
        <f>IF($AL$98&lt;$AJ$98, "&lt;--- ОШИБКА, данные по строительной готовности снизились","")</f>
        <v/>
      </c>
      <c r="AN98" s="112"/>
      <c r="AO98" s="112"/>
      <c r="AP98" s="112"/>
      <c r="AQ98" s="112"/>
      <c r="AR98" s="112"/>
      <c r="AS98" s="112"/>
      <c r="AT98" s="112"/>
    </row>
    <row r="99">
      <c r="A99" s="157"/>
      <c r="B99" s="248" t="s">
        <v>3531</v>
      </c>
      <c r="C99" s="187">
        <v>0.1</v>
      </c>
      <c r="D99" s="177">
        <v>0.0</v>
      </c>
      <c r="E99" s="177">
        <v>0.0</v>
      </c>
      <c r="F99" s="177">
        <v>0.0</v>
      </c>
      <c r="G99" s="177">
        <v>0.0</v>
      </c>
      <c r="H99" s="177">
        <v>1.3200000000000003</v>
      </c>
      <c r="I99" s="177">
        <v>1.3200000000000003</v>
      </c>
      <c r="J99" s="177">
        <v>1.3200000000000003</v>
      </c>
      <c r="K99" s="177">
        <v>1.3200000000000003</v>
      </c>
      <c r="L99" s="177">
        <v>1.3200000000000003</v>
      </c>
      <c r="M99" s="177">
        <v>1.3200000000000003</v>
      </c>
      <c r="N99" s="177">
        <v>1.3200000000000003</v>
      </c>
      <c r="O99" s="177">
        <v>1.3200000000000003</v>
      </c>
      <c r="P99" s="177">
        <v>1.3200000000000003</v>
      </c>
      <c r="Q99" s="177">
        <v>1.3200000000000003</v>
      </c>
      <c r="R99" s="188">
        <v>1.3200000000000003</v>
      </c>
      <c r="S99" s="188">
        <v>1.3200000000000003</v>
      </c>
      <c r="T99" s="188">
        <v>30.8</v>
      </c>
      <c r="U99" s="188">
        <v>30.8</v>
      </c>
      <c r="V99" s="188">
        <v>30.8</v>
      </c>
      <c r="W99" s="188">
        <v>30.8</v>
      </c>
      <c r="X99" s="188">
        <v>30.8</v>
      </c>
      <c r="Y99" s="188">
        <v>30.8</v>
      </c>
      <c r="Z99" s="188">
        <v>30.8</v>
      </c>
      <c r="AA99" s="188">
        <v>30.8</v>
      </c>
      <c r="AB99" s="188">
        <v>30.8</v>
      </c>
      <c r="AC99" s="188">
        <v>30.8</v>
      </c>
      <c r="AD99" s="189">
        <v>30.8</v>
      </c>
      <c r="AE99" s="189">
        <v>30.8</v>
      </c>
      <c r="AF99" s="189">
        <v>30.8</v>
      </c>
      <c r="AG99" s="189">
        <v>30.8</v>
      </c>
      <c r="AH99" s="189">
        <v>30.8</v>
      </c>
      <c r="AI99" s="189">
        <v>30.8</v>
      </c>
      <c r="AJ99" s="190">
        <v>30.8</v>
      </c>
      <c r="AK99" s="190">
        <v>30.8</v>
      </c>
      <c r="AL99" s="191">
        <f>AL100*$C$100+AL101*$C$101</f>
        <v>30.8</v>
      </c>
      <c r="AM99" s="171" t="str">
        <f>IF($AL$99&lt;$AJ$99, "&lt;--- ОШИБКА, данные по строительной готовности снизились","")</f>
        <v/>
      </c>
      <c r="AN99" s="112"/>
      <c r="AO99" s="112"/>
      <c r="AP99" s="112"/>
      <c r="AQ99" s="112"/>
      <c r="AR99" s="112"/>
      <c r="AS99" s="112"/>
      <c r="AT99" s="112"/>
    </row>
    <row r="100">
      <c r="A100" s="157"/>
      <c r="B100" s="235" t="s">
        <v>3532</v>
      </c>
      <c r="C100" s="249">
        <v>0.2</v>
      </c>
      <c r="D100" s="198">
        <v>0.0</v>
      </c>
      <c r="E100" s="198">
        <v>0.0</v>
      </c>
      <c r="F100" s="198">
        <v>0.0</v>
      </c>
      <c r="G100" s="198">
        <v>0.0</v>
      </c>
      <c r="H100" s="198">
        <v>3.0</v>
      </c>
      <c r="I100" s="198">
        <v>3.0</v>
      </c>
      <c r="J100" s="198">
        <v>3.0</v>
      </c>
      <c r="K100" s="198">
        <v>3.0</v>
      </c>
      <c r="L100" s="198">
        <v>3.0</v>
      </c>
      <c r="M100" s="198">
        <v>3.0</v>
      </c>
      <c r="N100" s="198">
        <v>3.0</v>
      </c>
      <c r="O100" s="198">
        <v>3.0</v>
      </c>
      <c r="P100" s="198">
        <v>3.0</v>
      </c>
      <c r="Q100" s="198">
        <v>3.0</v>
      </c>
      <c r="R100" s="199">
        <v>3.0</v>
      </c>
      <c r="S100" s="199">
        <v>3.0</v>
      </c>
      <c r="T100" s="199">
        <v>100.0</v>
      </c>
      <c r="U100" s="199">
        <v>100.0</v>
      </c>
      <c r="V100" s="199">
        <v>100.0</v>
      </c>
      <c r="W100" s="199">
        <v>100.0</v>
      </c>
      <c r="X100" s="199">
        <v>100.0</v>
      </c>
      <c r="Y100" s="199">
        <v>100.0</v>
      </c>
      <c r="Z100" s="199">
        <v>100.0</v>
      </c>
      <c r="AA100" s="199">
        <v>100.0</v>
      </c>
      <c r="AB100" s="199">
        <v>100.0</v>
      </c>
      <c r="AC100" s="199">
        <v>100.0</v>
      </c>
      <c r="AD100" s="199">
        <v>100.0</v>
      </c>
      <c r="AE100" s="199">
        <v>100.0</v>
      </c>
      <c r="AF100" s="199">
        <v>100.0</v>
      </c>
      <c r="AG100" s="199">
        <v>100.0</v>
      </c>
      <c r="AH100" s="199">
        <v>100.0</v>
      </c>
      <c r="AI100" s="199">
        <v>100.0</v>
      </c>
      <c r="AJ100" s="200">
        <v>100.0</v>
      </c>
      <c r="AK100" s="200">
        <v>100.0</v>
      </c>
      <c r="AL100" s="200">
        <v>100.0</v>
      </c>
      <c r="AM100" s="171" t="str">
        <f>IF($AL$100&lt;$AJ$100, "&lt;--- ОШИБКА, данные по строительной готовности снизились","")</f>
        <v/>
      </c>
      <c r="AN100" s="112"/>
      <c r="AO100" s="112"/>
      <c r="AP100" s="112"/>
      <c r="AQ100" s="112"/>
      <c r="AR100" s="112"/>
      <c r="AS100" s="112"/>
      <c r="AT100" s="112"/>
    </row>
    <row r="101">
      <c r="A101" s="157"/>
      <c r="B101" s="232" t="s">
        <v>3533</v>
      </c>
      <c r="C101" s="250">
        <v>0.8</v>
      </c>
      <c r="D101" s="177">
        <v>0.0</v>
      </c>
      <c r="E101" s="177">
        <v>0.0</v>
      </c>
      <c r="F101" s="177">
        <v>0.0</v>
      </c>
      <c r="G101" s="177">
        <v>0.0</v>
      </c>
      <c r="H101" s="177">
        <v>0.9</v>
      </c>
      <c r="I101" s="177">
        <v>0.9</v>
      </c>
      <c r="J101" s="177">
        <v>0.9</v>
      </c>
      <c r="K101" s="177">
        <v>0.9</v>
      </c>
      <c r="L101" s="177">
        <v>0.9</v>
      </c>
      <c r="M101" s="177">
        <v>0.9</v>
      </c>
      <c r="N101" s="177">
        <v>0.9</v>
      </c>
      <c r="O101" s="177">
        <v>0.9</v>
      </c>
      <c r="P101" s="177">
        <v>0.9</v>
      </c>
      <c r="Q101" s="177">
        <v>0.9</v>
      </c>
      <c r="R101" s="229">
        <v>0.9</v>
      </c>
      <c r="S101" s="229">
        <v>0.9</v>
      </c>
      <c r="T101" s="229">
        <v>13.5</v>
      </c>
      <c r="U101" s="229">
        <v>13.5</v>
      </c>
      <c r="V101" s="229">
        <v>13.5</v>
      </c>
      <c r="W101" s="229">
        <v>13.5</v>
      </c>
      <c r="X101" s="229">
        <v>13.5</v>
      </c>
      <c r="Y101" s="229">
        <v>13.5</v>
      </c>
      <c r="Z101" s="229">
        <v>13.5</v>
      </c>
      <c r="AA101" s="229">
        <v>13.5</v>
      </c>
      <c r="AB101" s="229">
        <v>13.5</v>
      </c>
      <c r="AC101" s="229">
        <v>13.5</v>
      </c>
      <c r="AD101" s="229">
        <v>13.5</v>
      </c>
      <c r="AE101" s="229">
        <v>13.5</v>
      </c>
      <c r="AF101" s="229">
        <v>13.5</v>
      </c>
      <c r="AG101" s="229">
        <v>13.5</v>
      </c>
      <c r="AH101" s="229">
        <v>13.5</v>
      </c>
      <c r="AI101" s="229">
        <v>13.5</v>
      </c>
      <c r="AJ101" s="230">
        <v>13.5</v>
      </c>
      <c r="AK101" s="230">
        <v>13.5</v>
      </c>
      <c r="AL101" s="231">
        <f>AL102*$C$102+AL103*$C$103</f>
        <v>13.5</v>
      </c>
      <c r="AM101" s="171" t="str">
        <f>IF($AL$101&lt;$AJ$101, "&lt;--- ОШИБКА, данные по строительной готовности снизились","")</f>
        <v/>
      </c>
      <c r="AN101" s="112"/>
      <c r="AO101" s="112"/>
      <c r="AP101" s="112"/>
      <c r="AQ101" s="112"/>
      <c r="AR101" s="112"/>
      <c r="AS101" s="112"/>
      <c r="AT101" s="112"/>
    </row>
    <row r="102">
      <c r="A102" s="157"/>
      <c r="B102" s="196" t="s">
        <v>3534</v>
      </c>
      <c r="C102" s="244">
        <v>0.9</v>
      </c>
      <c r="D102" s="198">
        <v>0.0</v>
      </c>
      <c r="E102" s="198">
        <v>0.0</v>
      </c>
      <c r="F102" s="198">
        <v>0.0</v>
      </c>
      <c r="G102" s="198">
        <v>0.0</v>
      </c>
      <c r="H102" s="198">
        <v>1.0</v>
      </c>
      <c r="I102" s="198">
        <v>1.0</v>
      </c>
      <c r="J102" s="198">
        <v>1.0</v>
      </c>
      <c r="K102" s="198">
        <v>1.0</v>
      </c>
      <c r="L102" s="198">
        <v>1.0</v>
      </c>
      <c r="M102" s="198">
        <v>1.0</v>
      </c>
      <c r="N102" s="198">
        <v>1.0</v>
      </c>
      <c r="O102" s="198">
        <v>1.0</v>
      </c>
      <c r="P102" s="198">
        <v>1.0</v>
      </c>
      <c r="Q102" s="198">
        <v>1.0</v>
      </c>
      <c r="R102" s="199">
        <v>1.0</v>
      </c>
      <c r="S102" s="199">
        <v>1.0</v>
      </c>
      <c r="T102" s="199">
        <v>15.0</v>
      </c>
      <c r="U102" s="199">
        <v>15.0</v>
      </c>
      <c r="V102" s="199">
        <v>15.0</v>
      </c>
      <c r="W102" s="199">
        <v>15.0</v>
      </c>
      <c r="X102" s="199">
        <v>15.0</v>
      </c>
      <c r="Y102" s="199">
        <v>15.0</v>
      </c>
      <c r="Z102" s="199">
        <v>15.0</v>
      </c>
      <c r="AA102" s="199">
        <v>15.0</v>
      </c>
      <c r="AB102" s="199">
        <v>15.0</v>
      </c>
      <c r="AC102" s="199">
        <v>15.0</v>
      </c>
      <c r="AD102" s="199">
        <v>15.0</v>
      </c>
      <c r="AE102" s="199">
        <v>15.0</v>
      </c>
      <c r="AF102" s="199">
        <v>15.0</v>
      </c>
      <c r="AG102" s="199">
        <v>15.0</v>
      </c>
      <c r="AH102" s="199">
        <v>15.0</v>
      </c>
      <c r="AI102" s="199">
        <v>15.0</v>
      </c>
      <c r="AJ102" s="200">
        <v>15.0</v>
      </c>
      <c r="AK102" s="200">
        <v>15.0</v>
      </c>
      <c r="AL102" s="200">
        <v>15.0</v>
      </c>
      <c r="AM102" s="171" t="str">
        <f>IF($AL$102&lt;$AJ$102, "&lt;--- ОШИБКА, данные по строительной готовности снизились","")</f>
        <v/>
      </c>
      <c r="AN102" s="112"/>
      <c r="AO102" s="112"/>
      <c r="AP102" s="112"/>
      <c r="AQ102" s="112"/>
      <c r="AR102" s="112"/>
      <c r="AS102" s="112"/>
      <c r="AT102" s="112"/>
    </row>
    <row r="103">
      <c r="A103" s="157"/>
      <c r="B103" s="196" t="s">
        <v>3475</v>
      </c>
      <c r="C103" s="244">
        <v>0.1</v>
      </c>
      <c r="D103" s="198">
        <v>0.0</v>
      </c>
      <c r="E103" s="198">
        <v>0.0</v>
      </c>
      <c r="F103" s="198">
        <v>0.0</v>
      </c>
      <c r="G103" s="198">
        <v>0.0</v>
      </c>
      <c r="H103" s="198">
        <v>0.0</v>
      </c>
      <c r="I103" s="198">
        <v>0.0</v>
      </c>
      <c r="J103" s="198">
        <v>0.0</v>
      </c>
      <c r="K103" s="198">
        <v>0.0</v>
      </c>
      <c r="L103" s="198">
        <v>0.0</v>
      </c>
      <c r="M103" s="198">
        <v>0.0</v>
      </c>
      <c r="N103" s="198">
        <v>0.0</v>
      </c>
      <c r="O103" s="198">
        <v>0.0</v>
      </c>
      <c r="P103" s="198">
        <v>0.0</v>
      </c>
      <c r="Q103" s="198">
        <v>0.0</v>
      </c>
      <c r="R103" s="199">
        <v>0.0</v>
      </c>
      <c r="S103" s="199">
        <v>0.0</v>
      </c>
      <c r="T103" s="199">
        <v>0.0</v>
      </c>
      <c r="U103" s="199">
        <v>0.0</v>
      </c>
      <c r="V103" s="199">
        <v>0.0</v>
      </c>
      <c r="W103" s="199">
        <v>0.0</v>
      </c>
      <c r="X103" s="199">
        <v>0.0</v>
      </c>
      <c r="Y103" s="199">
        <v>0.0</v>
      </c>
      <c r="Z103" s="199">
        <v>0.0</v>
      </c>
      <c r="AA103" s="199">
        <v>0.0</v>
      </c>
      <c r="AB103" s="199">
        <v>0.0</v>
      </c>
      <c r="AC103" s="199">
        <v>0.0</v>
      </c>
      <c r="AD103" s="199">
        <v>0.0</v>
      </c>
      <c r="AE103" s="199">
        <v>0.0</v>
      </c>
      <c r="AF103" s="199">
        <v>0.0</v>
      </c>
      <c r="AG103" s="199">
        <v>0.0</v>
      </c>
      <c r="AH103" s="199">
        <v>0.0</v>
      </c>
      <c r="AI103" s="199">
        <v>0.0</v>
      </c>
      <c r="AJ103" s="200">
        <v>0.0</v>
      </c>
      <c r="AK103" s="200">
        <v>0.0</v>
      </c>
      <c r="AL103" s="200">
        <v>0.0</v>
      </c>
      <c r="AM103" s="171" t="str">
        <f>IF($AL$103&lt;$AJ$103, "&lt;--- ОШИБКА, данные по строительной готовности снизились","")</f>
        <v/>
      </c>
      <c r="AN103" s="112"/>
      <c r="AO103" s="112"/>
      <c r="AP103" s="112"/>
      <c r="AQ103" s="112"/>
      <c r="AR103" s="112"/>
      <c r="AS103" s="112"/>
      <c r="AT103" s="112"/>
    </row>
    <row r="104">
      <c r="A104" s="157"/>
      <c r="B104" s="251" t="s">
        <v>3477</v>
      </c>
      <c r="C104" s="187">
        <v>0.07</v>
      </c>
      <c r="D104" s="177">
        <v>0.0</v>
      </c>
      <c r="E104" s="177">
        <v>0.0</v>
      </c>
      <c r="F104" s="177">
        <v>0.0</v>
      </c>
      <c r="G104" s="177">
        <v>0.0</v>
      </c>
      <c r="H104" s="177">
        <v>0.0</v>
      </c>
      <c r="I104" s="177">
        <v>0.0</v>
      </c>
      <c r="J104" s="177">
        <v>0.0</v>
      </c>
      <c r="K104" s="177">
        <v>0.0</v>
      </c>
      <c r="L104" s="177">
        <v>0.0</v>
      </c>
      <c r="M104" s="177">
        <v>0.0</v>
      </c>
      <c r="N104" s="177">
        <v>0.0</v>
      </c>
      <c r="O104" s="177">
        <v>0.0</v>
      </c>
      <c r="P104" s="177">
        <v>0.0</v>
      </c>
      <c r="Q104" s="177">
        <v>0.0</v>
      </c>
      <c r="R104" s="188">
        <v>0.0</v>
      </c>
      <c r="S104" s="188">
        <v>0.0</v>
      </c>
      <c r="T104" s="188">
        <v>0.0</v>
      </c>
      <c r="U104" s="188">
        <v>0.0</v>
      </c>
      <c r="V104" s="188">
        <v>0.0</v>
      </c>
      <c r="W104" s="188">
        <v>0.0</v>
      </c>
      <c r="X104" s="188">
        <v>0.0</v>
      </c>
      <c r="Y104" s="188">
        <v>0.0</v>
      </c>
      <c r="Z104" s="188">
        <v>0.0</v>
      </c>
      <c r="AA104" s="188">
        <v>0.0</v>
      </c>
      <c r="AB104" s="188">
        <v>0.0</v>
      </c>
      <c r="AC104" s="188">
        <v>0.0</v>
      </c>
      <c r="AD104" s="189">
        <v>0.0</v>
      </c>
      <c r="AE104" s="189">
        <v>0.0</v>
      </c>
      <c r="AF104" s="189">
        <v>0.0</v>
      </c>
      <c r="AG104" s="189">
        <v>0.0</v>
      </c>
      <c r="AH104" s="189">
        <v>0.0</v>
      </c>
      <c r="AI104" s="189">
        <v>0.0</v>
      </c>
      <c r="AJ104" s="190">
        <v>0.0</v>
      </c>
      <c r="AK104" s="190">
        <v>0.0</v>
      </c>
      <c r="AL104" s="191">
        <f>AL105*$C$105+AL106*$C$106</f>
        <v>0</v>
      </c>
      <c r="AM104" s="171" t="str">
        <f>IF($AL$104&lt;$AJ$104, "&lt;--- ОШИБКА, данные по строительной готовности снизились","")</f>
        <v/>
      </c>
      <c r="AN104" s="112"/>
      <c r="AO104" s="112"/>
      <c r="AP104" s="112"/>
      <c r="AQ104" s="112"/>
      <c r="AR104" s="112"/>
      <c r="AS104" s="112"/>
      <c r="AT104" s="112"/>
    </row>
    <row r="105">
      <c r="A105" s="157"/>
      <c r="B105" s="206" t="s">
        <v>3532</v>
      </c>
      <c r="C105" s="243">
        <v>0.5</v>
      </c>
      <c r="D105" s="198">
        <v>0.0</v>
      </c>
      <c r="E105" s="198">
        <v>0.0</v>
      </c>
      <c r="F105" s="198">
        <v>0.0</v>
      </c>
      <c r="G105" s="198">
        <v>0.0</v>
      </c>
      <c r="H105" s="198">
        <v>0.0</v>
      </c>
      <c r="I105" s="198">
        <v>0.0</v>
      </c>
      <c r="J105" s="198">
        <v>0.0</v>
      </c>
      <c r="K105" s="198">
        <v>0.0</v>
      </c>
      <c r="L105" s="198">
        <v>0.0</v>
      </c>
      <c r="M105" s="198">
        <v>0.0</v>
      </c>
      <c r="N105" s="198">
        <v>0.0</v>
      </c>
      <c r="O105" s="198">
        <v>0.0</v>
      </c>
      <c r="P105" s="198">
        <v>0.0</v>
      </c>
      <c r="Q105" s="198">
        <v>0.0</v>
      </c>
      <c r="R105" s="199">
        <v>0.0</v>
      </c>
      <c r="S105" s="199">
        <v>0.0</v>
      </c>
      <c r="T105" s="199">
        <v>0.0</v>
      </c>
      <c r="U105" s="199">
        <v>0.0</v>
      </c>
      <c r="V105" s="199">
        <v>0.0</v>
      </c>
      <c r="W105" s="199">
        <v>0.0</v>
      </c>
      <c r="X105" s="199">
        <v>0.0</v>
      </c>
      <c r="Y105" s="199">
        <v>0.0</v>
      </c>
      <c r="Z105" s="199">
        <v>0.0</v>
      </c>
      <c r="AA105" s="199">
        <v>0.0</v>
      </c>
      <c r="AB105" s="199">
        <v>0.0</v>
      </c>
      <c r="AC105" s="199">
        <v>0.0</v>
      </c>
      <c r="AD105" s="199">
        <v>0.0</v>
      </c>
      <c r="AE105" s="199">
        <v>0.0</v>
      </c>
      <c r="AF105" s="199">
        <v>0.0</v>
      </c>
      <c r="AG105" s="199">
        <v>0.0</v>
      </c>
      <c r="AH105" s="199">
        <v>0.0</v>
      </c>
      <c r="AI105" s="199">
        <v>0.0</v>
      </c>
      <c r="AJ105" s="200">
        <v>0.0</v>
      </c>
      <c r="AK105" s="200">
        <v>0.0</v>
      </c>
      <c r="AL105" s="200">
        <v>0.0</v>
      </c>
      <c r="AM105" s="171" t="str">
        <f>IF($AL$105&lt;$AJ$105, "&lt;--- ОШИБКА, данные по строительной готовности снизились","")</f>
        <v/>
      </c>
      <c r="AN105" s="112"/>
      <c r="AO105" s="112"/>
      <c r="AP105" s="112"/>
      <c r="AQ105" s="112"/>
      <c r="AR105" s="112"/>
      <c r="AS105" s="112"/>
      <c r="AT105" s="112"/>
    </row>
    <row r="106">
      <c r="A106" s="157"/>
      <c r="B106" s="196" t="s">
        <v>3533</v>
      </c>
      <c r="C106" s="243">
        <v>0.5</v>
      </c>
      <c r="D106" s="198">
        <v>0.0</v>
      </c>
      <c r="E106" s="198">
        <v>0.0</v>
      </c>
      <c r="F106" s="198">
        <v>0.0</v>
      </c>
      <c r="G106" s="198">
        <v>0.0</v>
      </c>
      <c r="H106" s="198">
        <v>0.0</v>
      </c>
      <c r="I106" s="198">
        <v>0.0</v>
      </c>
      <c r="J106" s="198">
        <v>0.0</v>
      </c>
      <c r="K106" s="198">
        <v>0.0</v>
      </c>
      <c r="L106" s="198">
        <v>0.0</v>
      </c>
      <c r="M106" s="198">
        <v>0.0</v>
      </c>
      <c r="N106" s="198">
        <v>0.0</v>
      </c>
      <c r="O106" s="198">
        <v>0.0</v>
      </c>
      <c r="P106" s="198">
        <v>0.0</v>
      </c>
      <c r="Q106" s="198">
        <v>0.0</v>
      </c>
      <c r="R106" s="199">
        <v>0.0</v>
      </c>
      <c r="S106" s="199">
        <v>0.0</v>
      </c>
      <c r="T106" s="199">
        <v>0.0</v>
      </c>
      <c r="U106" s="199">
        <v>0.0</v>
      </c>
      <c r="V106" s="199">
        <v>0.0</v>
      </c>
      <c r="W106" s="199">
        <v>0.0</v>
      </c>
      <c r="X106" s="199">
        <v>0.0</v>
      </c>
      <c r="Y106" s="199">
        <v>0.0</v>
      </c>
      <c r="Z106" s="199">
        <v>0.0</v>
      </c>
      <c r="AA106" s="199">
        <v>0.0</v>
      </c>
      <c r="AB106" s="199">
        <v>0.0</v>
      </c>
      <c r="AC106" s="199">
        <v>0.0</v>
      </c>
      <c r="AD106" s="199">
        <v>0.0</v>
      </c>
      <c r="AE106" s="199">
        <v>0.0</v>
      </c>
      <c r="AF106" s="199">
        <v>0.0</v>
      </c>
      <c r="AG106" s="199">
        <v>0.0</v>
      </c>
      <c r="AH106" s="199">
        <v>0.0</v>
      </c>
      <c r="AI106" s="199">
        <v>0.0</v>
      </c>
      <c r="AJ106" s="200">
        <v>0.0</v>
      </c>
      <c r="AK106" s="200">
        <v>0.0</v>
      </c>
      <c r="AL106" s="200">
        <v>0.0</v>
      </c>
      <c r="AM106" s="171" t="str">
        <f>IF($AL$106&lt;$AJ$106, "&lt;--- ОШИБКА, данные по строительной готовности снизились","")</f>
        <v/>
      </c>
      <c r="AN106" s="112"/>
      <c r="AO106" s="112"/>
      <c r="AP106" s="112"/>
      <c r="AQ106" s="112"/>
      <c r="AR106" s="112"/>
      <c r="AS106" s="112"/>
      <c r="AT106" s="112"/>
    </row>
    <row r="107">
      <c r="A107" s="157"/>
      <c r="B107" s="208" t="s">
        <v>3479</v>
      </c>
      <c r="C107" s="187">
        <v>0.05</v>
      </c>
      <c r="D107" s="177">
        <v>0.0</v>
      </c>
      <c r="E107" s="177">
        <v>0.0</v>
      </c>
      <c r="F107" s="177">
        <v>0.0</v>
      </c>
      <c r="G107" s="177">
        <v>0.0</v>
      </c>
      <c r="H107" s="177">
        <v>0.0</v>
      </c>
      <c r="I107" s="177">
        <v>0.0</v>
      </c>
      <c r="J107" s="177">
        <v>0.0</v>
      </c>
      <c r="K107" s="177">
        <v>0.0</v>
      </c>
      <c r="L107" s="177">
        <v>0.0</v>
      </c>
      <c r="M107" s="177">
        <v>0.0</v>
      </c>
      <c r="N107" s="177">
        <v>0.0</v>
      </c>
      <c r="O107" s="177">
        <v>0.0</v>
      </c>
      <c r="P107" s="177">
        <v>0.0</v>
      </c>
      <c r="Q107" s="177">
        <v>0.0</v>
      </c>
      <c r="R107" s="188">
        <v>0.0</v>
      </c>
      <c r="S107" s="188">
        <v>0.0</v>
      </c>
      <c r="T107" s="188">
        <v>0.0</v>
      </c>
      <c r="U107" s="188">
        <v>0.0</v>
      </c>
      <c r="V107" s="188">
        <v>0.0</v>
      </c>
      <c r="W107" s="188">
        <v>0.0</v>
      </c>
      <c r="X107" s="188">
        <v>0.0</v>
      </c>
      <c r="Y107" s="188">
        <v>0.0</v>
      </c>
      <c r="Z107" s="188">
        <v>0.0</v>
      </c>
      <c r="AA107" s="188">
        <v>0.0</v>
      </c>
      <c r="AB107" s="188">
        <v>0.0</v>
      </c>
      <c r="AC107" s="188">
        <v>0.0</v>
      </c>
      <c r="AD107" s="189">
        <v>0.0</v>
      </c>
      <c r="AE107" s="189">
        <v>0.0</v>
      </c>
      <c r="AF107" s="189">
        <v>0.0</v>
      </c>
      <c r="AG107" s="189">
        <v>0.0</v>
      </c>
      <c r="AH107" s="189">
        <v>0.0</v>
      </c>
      <c r="AI107" s="189">
        <v>0.0</v>
      </c>
      <c r="AJ107" s="190">
        <v>0.0</v>
      </c>
      <c r="AK107" s="190">
        <v>0.0</v>
      </c>
      <c r="AL107" s="191">
        <f>AL108*$C$108+AL109*$C$109+AL110*$C$110</f>
        <v>0</v>
      </c>
      <c r="AM107" s="171" t="str">
        <f>IF($AL$107&lt;$AJ$107, "&lt;--- ОШИБКА, данные по строительной готовности снизились","")</f>
        <v/>
      </c>
      <c r="AN107" s="112"/>
      <c r="AO107" s="112"/>
      <c r="AP107" s="112"/>
      <c r="AQ107" s="112"/>
      <c r="AR107" s="112"/>
      <c r="AS107" s="112"/>
      <c r="AT107" s="112"/>
    </row>
    <row r="108">
      <c r="A108" s="157"/>
      <c r="B108" s="206" t="s">
        <v>3535</v>
      </c>
      <c r="C108" s="244">
        <v>0.7</v>
      </c>
      <c r="D108" s="198">
        <v>0.0</v>
      </c>
      <c r="E108" s="198">
        <v>0.0</v>
      </c>
      <c r="F108" s="198">
        <v>0.0</v>
      </c>
      <c r="G108" s="198">
        <v>0.0</v>
      </c>
      <c r="H108" s="198">
        <v>0.0</v>
      </c>
      <c r="I108" s="198">
        <v>0.0</v>
      </c>
      <c r="J108" s="198">
        <v>0.0</v>
      </c>
      <c r="K108" s="198">
        <v>0.0</v>
      </c>
      <c r="L108" s="198">
        <v>0.0</v>
      </c>
      <c r="M108" s="198">
        <v>0.0</v>
      </c>
      <c r="N108" s="198">
        <v>0.0</v>
      </c>
      <c r="O108" s="198">
        <v>0.0</v>
      </c>
      <c r="P108" s="198">
        <v>0.0</v>
      </c>
      <c r="Q108" s="198">
        <v>0.0</v>
      </c>
      <c r="R108" s="199">
        <v>0.0</v>
      </c>
      <c r="S108" s="199">
        <v>0.0</v>
      </c>
      <c r="T108" s="199">
        <v>0.0</v>
      </c>
      <c r="U108" s="199">
        <v>0.0</v>
      </c>
      <c r="V108" s="199">
        <v>0.0</v>
      </c>
      <c r="W108" s="199">
        <v>0.0</v>
      </c>
      <c r="X108" s="199">
        <v>0.0</v>
      </c>
      <c r="Y108" s="199">
        <v>0.0</v>
      </c>
      <c r="Z108" s="199">
        <v>0.0</v>
      </c>
      <c r="AA108" s="199">
        <v>0.0</v>
      </c>
      <c r="AB108" s="199">
        <v>0.0</v>
      </c>
      <c r="AC108" s="199">
        <v>0.0</v>
      </c>
      <c r="AD108" s="199">
        <v>0.0</v>
      </c>
      <c r="AE108" s="199">
        <v>0.0</v>
      </c>
      <c r="AF108" s="199">
        <v>0.0</v>
      </c>
      <c r="AG108" s="199">
        <v>0.0</v>
      </c>
      <c r="AH108" s="199">
        <v>0.0</v>
      </c>
      <c r="AI108" s="199">
        <v>0.0</v>
      </c>
      <c r="AJ108" s="200">
        <v>0.0</v>
      </c>
      <c r="AK108" s="200">
        <v>0.0</v>
      </c>
      <c r="AL108" s="200">
        <v>0.0</v>
      </c>
      <c r="AM108" s="171" t="str">
        <f>IF($AL$108&lt;$AJ$108, "&lt;--- ОШИБКА, данные по строительной готовности снизились","")</f>
        <v/>
      </c>
      <c r="AN108" s="112"/>
      <c r="AO108" s="112"/>
      <c r="AP108" s="112"/>
      <c r="AQ108" s="112"/>
      <c r="AR108" s="112"/>
      <c r="AS108" s="112"/>
      <c r="AT108" s="112"/>
    </row>
    <row r="109">
      <c r="A109" s="157"/>
      <c r="B109" s="206" t="s">
        <v>3536</v>
      </c>
      <c r="C109" s="244">
        <v>0.25</v>
      </c>
      <c r="D109" s="198">
        <v>0.0</v>
      </c>
      <c r="E109" s="198">
        <v>0.0</v>
      </c>
      <c r="F109" s="198">
        <v>0.0</v>
      </c>
      <c r="G109" s="198">
        <v>0.0</v>
      </c>
      <c r="H109" s="198">
        <v>0.0</v>
      </c>
      <c r="I109" s="198">
        <v>0.0</v>
      </c>
      <c r="J109" s="198">
        <v>0.0</v>
      </c>
      <c r="K109" s="198">
        <v>0.0</v>
      </c>
      <c r="L109" s="198">
        <v>0.0</v>
      </c>
      <c r="M109" s="198">
        <v>0.0</v>
      </c>
      <c r="N109" s="198">
        <v>0.0</v>
      </c>
      <c r="O109" s="198">
        <v>0.0</v>
      </c>
      <c r="P109" s="198">
        <v>0.0</v>
      </c>
      <c r="Q109" s="198">
        <v>0.0</v>
      </c>
      <c r="R109" s="199">
        <v>0.0</v>
      </c>
      <c r="S109" s="199">
        <v>0.0</v>
      </c>
      <c r="T109" s="199">
        <v>0.0</v>
      </c>
      <c r="U109" s="199">
        <v>0.0</v>
      </c>
      <c r="V109" s="199">
        <v>0.0</v>
      </c>
      <c r="W109" s="199">
        <v>0.0</v>
      </c>
      <c r="X109" s="199">
        <v>0.0</v>
      </c>
      <c r="Y109" s="199">
        <v>0.0</v>
      </c>
      <c r="Z109" s="199">
        <v>0.0</v>
      </c>
      <c r="AA109" s="199">
        <v>0.0</v>
      </c>
      <c r="AB109" s="199">
        <v>0.0</v>
      </c>
      <c r="AC109" s="199">
        <v>0.0</v>
      </c>
      <c r="AD109" s="199">
        <v>0.0</v>
      </c>
      <c r="AE109" s="199">
        <v>0.0</v>
      </c>
      <c r="AF109" s="199">
        <v>0.0</v>
      </c>
      <c r="AG109" s="199">
        <v>0.0</v>
      </c>
      <c r="AH109" s="199">
        <v>0.0</v>
      </c>
      <c r="AI109" s="199">
        <v>0.0</v>
      </c>
      <c r="AJ109" s="200">
        <v>0.0</v>
      </c>
      <c r="AK109" s="200">
        <v>0.0</v>
      </c>
      <c r="AL109" s="200">
        <v>0.0</v>
      </c>
      <c r="AM109" s="171" t="str">
        <f>IF($AL$109&lt;$AJ$109, "&lt;--- ОШИБКА, данные по строительной готовности снизились","")</f>
        <v/>
      </c>
      <c r="AN109" s="112"/>
      <c r="AO109" s="112"/>
      <c r="AP109" s="112"/>
      <c r="AQ109" s="112"/>
      <c r="AR109" s="112"/>
      <c r="AS109" s="112"/>
      <c r="AT109" s="112"/>
    </row>
    <row r="110">
      <c r="A110" s="157"/>
      <c r="B110" s="252" t="s">
        <v>3483</v>
      </c>
      <c r="C110" s="253">
        <v>0.05</v>
      </c>
      <c r="D110" s="198">
        <v>0.0</v>
      </c>
      <c r="E110" s="198">
        <v>0.0</v>
      </c>
      <c r="F110" s="198">
        <v>0.0</v>
      </c>
      <c r="G110" s="198">
        <v>0.0</v>
      </c>
      <c r="H110" s="198">
        <v>0.0</v>
      </c>
      <c r="I110" s="198">
        <v>0.0</v>
      </c>
      <c r="J110" s="198">
        <v>0.0</v>
      </c>
      <c r="K110" s="198">
        <v>0.0</v>
      </c>
      <c r="L110" s="198">
        <v>0.0</v>
      </c>
      <c r="M110" s="198">
        <v>0.0</v>
      </c>
      <c r="N110" s="198">
        <v>0.0</v>
      </c>
      <c r="O110" s="198">
        <v>0.0</v>
      </c>
      <c r="P110" s="198">
        <v>0.0</v>
      </c>
      <c r="Q110" s="198">
        <v>0.0</v>
      </c>
      <c r="R110" s="199">
        <v>0.0</v>
      </c>
      <c r="S110" s="199">
        <v>0.0</v>
      </c>
      <c r="T110" s="199">
        <v>0.0</v>
      </c>
      <c r="U110" s="199">
        <v>0.0</v>
      </c>
      <c r="V110" s="199">
        <v>0.0</v>
      </c>
      <c r="W110" s="199">
        <v>0.0</v>
      </c>
      <c r="X110" s="199">
        <v>0.0</v>
      </c>
      <c r="Y110" s="199">
        <v>0.0</v>
      </c>
      <c r="Z110" s="199">
        <v>0.0</v>
      </c>
      <c r="AA110" s="199">
        <v>0.0</v>
      </c>
      <c r="AB110" s="199">
        <v>0.0</v>
      </c>
      <c r="AC110" s="199">
        <v>0.0</v>
      </c>
      <c r="AD110" s="199">
        <v>0.0</v>
      </c>
      <c r="AE110" s="199">
        <v>0.0</v>
      </c>
      <c r="AF110" s="199">
        <v>0.0</v>
      </c>
      <c r="AG110" s="199">
        <v>0.0</v>
      </c>
      <c r="AH110" s="199">
        <v>0.0</v>
      </c>
      <c r="AI110" s="199">
        <v>0.0</v>
      </c>
      <c r="AJ110" s="200">
        <v>0.0</v>
      </c>
      <c r="AK110" s="200">
        <v>0.0</v>
      </c>
      <c r="AL110" s="200">
        <v>0.0</v>
      </c>
      <c r="AM110" s="171" t="str">
        <f>IF($AL$110&lt;$AJ$110, "&lt;--- ОШИБКА, данные по строительной готовности снизились","")</f>
        <v/>
      </c>
      <c r="AN110" s="112"/>
      <c r="AO110" s="112"/>
      <c r="AP110" s="112"/>
      <c r="AQ110" s="112"/>
      <c r="AR110" s="112"/>
      <c r="AS110" s="112"/>
      <c r="AT110" s="112"/>
    </row>
    <row r="111" ht="25.5" customHeight="1">
      <c r="A111" s="157"/>
      <c r="B111" s="254"/>
      <c r="C111" s="255"/>
      <c r="D111" s="13" t="s">
        <v>3537</v>
      </c>
      <c r="E111" s="13" t="s">
        <v>3537</v>
      </c>
      <c r="F111" s="13" t="s">
        <v>3537</v>
      </c>
      <c r="G111" s="13" t="s">
        <v>3537</v>
      </c>
      <c r="H111" s="107" t="s">
        <v>3537</v>
      </c>
      <c r="I111" s="107" t="s">
        <v>3537</v>
      </c>
      <c r="J111" s="107" t="s">
        <v>3537</v>
      </c>
      <c r="K111" s="107" t="s">
        <v>3537</v>
      </c>
      <c r="L111" s="107" t="s">
        <v>3537</v>
      </c>
      <c r="M111" s="107" t="s">
        <v>3537</v>
      </c>
      <c r="N111" s="107" t="s">
        <v>3537</v>
      </c>
      <c r="O111" s="107" t="s">
        <v>3537</v>
      </c>
      <c r="P111" s="107" t="s">
        <v>3537</v>
      </c>
      <c r="Q111" s="107" t="s">
        <v>3537</v>
      </c>
      <c r="R111" s="256" t="s">
        <v>3537</v>
      </c>
      <c r="S111" s="256" t="s">
        <v>3537</v>
      </c>
      <c r="T111" s="256" t="s">
        <v>3537</v>
      </c>
      <c r="U111" s="256" t="s">
        <v>3537</v>
      </c>
      <c r="V111" s="256" t="s">
        <v>3537</v>
      </c>
      <c r="W111" s="256" t="s">
        <v>3537</v>
      </c>
      <c r="X111" s="256" t="s">
        <v>3537</v>
      </c>
      <c r="Y111" s="256" t="s">
        <v>3537</v>
      </c>
      <c r="Z111" s="256" t="s">
        <v>3537</v>
      </c>
      <c r="AA111" s="256" t="s">
        <v>3537</v>
      </c>
      <c r="AB111" s="256" t="s">
        <v>3537</v>
      </c>
      <c r="AC111" s="256" t="s">
        <v>3537</v>
      </c>
      <c r="AD111" s="256" t="s">
        <v>3537</v>
      </c>
      <c r="AE111" s="256" t="s">
        <v>3537</v>
      </c>
      <c r="AF111" s="256" t="s">
        <v>3537</v>
      </c>
      <c r="AG111" s="256" t="s">
        <v>3537</v>
      </c>
      <c r="AH111" s="256" t="s">
        <v>3537</v>
      </c>
      <c r="AI111" s="256" t="s">
        <v>3537</v>
      </c>
      <c r="AJ111" s="257" t="s">
        <v>3537</v>
      </c>
      <c r="AK111" s="257" t="s">
        <v>3537</v>
      </c>
      <c r="AL111" s="258" t="s">
        <v>3537</v>
      </c>
      <c r="AM111" s="111"/>
      <c r="AN111" s="112"/>
      <c r="AO111" s="112"/>
      <c r="AP111" s="112"/>
      <c r="AQ111" s="112"/>
      <c r="AR111" s="112"/>
      <c r="AS111" s="112"/>
      <c r="AT111" s="112"/>
    </row>
    <row r="112">
      <c r="A112" s="157"/>
      <c r="B112" s="259"/>
      <c r="C112" s="260"/>
      <c r="D112" s="142"/>
      <c r="E112" s="107"/>
      <c r="F112" s="107"/>
      <c r="G112" s="107"/>
      <c r="H112" s="107"/>
      <c r="I112" s="107"/>
      <c r="J112" s="107"/>
      <c r="K112" s="107"/>
      <c r="L112" s="107"/>
      <c r="M112" s="107"/>
      <c r="N112" s="107"/>
      <c r="O112" s="107"/>
      <c r="P112" s="107"/>
      <c r="Q112" s="107"/>
      <c r="R112" s="261" t="s">
        <v>3538</v>
      </c>
      <c r="S112" s="261" t="s">
        <v>3539</v>
      </c>
      <c r="T112" s="261" t="s">
        <v>3540</v>
      </c>
      <c r="U112" s="261" t="s">
        <v>3539</v>
      </c>
      <c r="V112" s="261" t="s">
        <v>3539</v>
      </c>
      <c r="W112" s="261" t="s">
        <v>3539</v>
      </c>
      <c r="X112" s="261"/>
      <c r="Y112" s="261" t="s">
        <v>3539</v>
      </c>
      <c r="Z112" s="261" t="s">
        <v>3539</v>
      </c>
      <c r="AA112" s="261" t="s">
        <v>3539</v>
      </c>
      <c r="AB112" s="261" t="s">
        <v>3539</v>
      </c>
      <c r="AC112" s="261" t="s">
        <v>3539</v>
      </c>
      <c r="AD112" s="261" t="s">
        <v>3541</v>
      </c>
      <c r="AE112" s="261"/>
      <c r="AF112" s="261" t="s">
        <v>3541</v>
      </c>
      <c r="AG112" s="261" t="s">
        <v>3542</v>
      </c>
      <c r="AH112" s="261" t="s">
        <v>3543</v>
      </c>
      <c r="AI112" s="261" t="s">
        <v>3543</v>
      </c>
      <c r="AJ112" s="262" t="s">
        <v>3543</v>
      </c>
      <c r="AK112" s="262" t="s">
        <v>3543</v>
      </c>
      <c r="AL112" s="262"/>
      <c r="AM112" s="111"/>
      <c r="AN112" s="112"/>
      <c r="AO112" s="112"/>
      <c r="AP112" s="112"/>
      <c r="AQ112" s="112"/>
      <c r="AR112" s="112"/>
      <c r="AS112" s="112"/>
      <c r="AT112" s="112"/>
    </row>
    <row r="113">
      <c r="A113" s="157"/>
      <c r="B113" s="254"/>
      <c r="C113" s="254"/>
      <c r="R113" s="263"/>
      <c r="S113" s="263"/>
      <c r="T113" s="263"/>
      <c r="U113" s="263"/>
      <c r="V113" s="263"/>
      <c r="W113" s="263"/>
      <c r="X113" s="263"/>
      <c r="Y113" s="263"/>
      <c r="Z113" s="263"/>
      <c r="AA113" s="263"/>
      <c r="AB113" s="263"/>
      <c r="AC113" s="263"/>
      <c r="AD113" s="263"/>
      <c r="AE113" s="263"/>
      <c r="AF113" s="263"/>
      <c r="AG113" s="263"/>
      <c r="AH113" s="263"/>
      <c r="AI113" s="263"/>
      <c r="AJ113" s="254"/>
      <c r="AK113" s="254"/>
      <c r="AL113" s="254"/>
      <c r="AM113" s="111"/>
      <c r="AN113" s="112"/>
      <c r="AO113" s="112"/>
      <c r="AP113" s="112"/>
      <c r="AQ113" s="112"/>
      <c r="AR113" s="112"/>
      <c r="AS113" s="112"/>
      <c r="AT113" s="112"/>
    </row>
    <row r="114">
      <c r="A114" s="157"/>
      <c r="B114" s="259"/>
      <c r="C114" s="264" t="s">
        <v>3544</v>
      </c>
      <c r="D114" s="265"/>
      <c r="E114" s="265"/>
      <c r="F114" s="265"/>
      <c r="G114" s="265"/>
      <c r="H114" s="265"/>
      <c r="I114" s="265"/>
      <c r="J114" s="58"/>
      <c r="K114" s="58"/>
      <c r="L114" s="58"/>
      <c r="M114" s="58"/>
      <c r="N114" s="58"/>
      <c r="O114" s="58"/>
      <c r="P114" s="58"/>
      <c r="Q114" s="58"/>
      <c r="R114" s="266"/>
      <c r="S114" s="266"/>
      <c r="T114" s="266"/>
      <c r="U114" s="266"/>
      <c r="V114" s="266"/>
      <c r="W114" s="266"/>
      <c r="X114" s="266"/>
      <c r="Y114" s="266"/>
      <c r="Z114" s="266"/>
      <c r="AA114" s="266"/>
      <c r="AB114" s="266"/>
      <c r="AC114" s="266"/>
      <c r="AD114" s="266"/>
      <c r="AE114" s="266"/>
      <c r="AF114" s="266"/>
      <c r="AG114" s="266"/>
      <c r="AH114" s="266"/>
      <c r="AI114" s="266"/>
      <c r="AJ114" s="267"/>
      <c r="AK114" s="268"/>
      <c r="AL114" s="267"/>
      <c r="AN114" s="269" t="s">
        <v>3545</v>
      </c>
      <c r="AO114" s="112"/>
      <c r="AP114" s="112"/>
      <c r="AQ114" s="112"/>
      <c r="AR114" s="112"/>
      <c r="AS114" s="112"/>
      <c r="AT114" s="112"/>
    </row>
    <row r="115">
      <c r="A115" s="157"/>
      <c r="B115" s="259"/>
      <c r="C115" s="264" t="s">
        <v>3546</v>
      </c>
      <c r="D115" s="265"/>
      <c r="E115" s="265"/>
      <c r="F115" s="265"/>
      <c r="G115" s="265"/>
      <c r="H115" s="265"/>
      <c r="I115" s="265"/>
      <c r="R115" s="270"/>
      <c r="S115" s="270"/>
      <c r="T115" s="270"/>
      <c r="U115" s="270"/>
      <c r="V115" s="270"/>
      <c r="W115" s="270"/>
      <c r="X115" s="270"/>
      <c r="Y115" s="270"/>
      <c r="Z115" s="270"/>
      <c r="AA115" s="270"/>
      <c r="AB115" s="270"/>
      <c r="AC115" s="270"/>
      <c r="AD115" s="270"/>
      <c r="AE115" s="270"/>
      <c r="AF115" s="270"/>
      <c r="AG115" s="270"/>
      <c r="AH115" s="270"/>
      <c r="AI115" s="270"/>
      <c r="AJ115" s="270"/>
      <c r="AK115" s="271"/>
      <c r="AL115" s="272"/>
      <c r="AM115" s="111"/>
      <c r="AN115" s="112"/>
      <c r="AO115" s="112"/>
      <c r="AP115" s="112"/>
      <c r="AQ115" s="112"/>
      <c r="AR115" s="112"/>
      <c r="AS115" s="112"/>
      <c r="AT115" s="112"/>
    </row>
    <row r="116">
      <c r="A116" s="157"/>
      <c r="B116" s="259"/>
      <c r="C116" s="264" t="s">
        <v>3547</v>
      </c>
      <c r="D116" s="265"/>
      <c r="E116" s="265"/>
      <c r="F116" s="265"/>
      <c r="G116" s="265"/>
      <c r="H116" s="265"/>
      <c r="I116" s="265"/>
      <c r="J116" s="137"/>
      <c r="K116" s="137"/>
      <c r="L116" s="137"/>
      <c r="M116" s="137"/>
      <c r="N116" s="137"/>
      <c r="O116" s="137"/>
      <c r="P116" s="137"/>
      <c r="Q116" s="137"/>
      <c r="R116" s="273"/>
      <c r="S116" s="273"/>
      <c r="T116" s="273"/>
      <c r="U116" s="273"/>
      <c r="V116" s="273"/>
      <c r="W116" s="273"/>
      <c r="X116" s="273"/>
      <c r="Y116" s="273"/>
      <c r="Z116" s="273"/>
      <c r="AA116" s="273"/>
      <c r="AB116" s="273"/>
      <c r="AC116" s="273"/>
      <c r="AD116" s="273"/>
      <c r="AE116" s="273"/>
      <c r="AF116" s="273"/>
      <c r="AG116" s="273"/>
      <c r="AH116" s="273"/>
      <c r="AI116" s="273"/>
      <c r="AJ116" s="271"/>
      <c r="AK116" s="271"/>
      <c r="AL116" s="272"/>
      <c r="AM116" s="111"/>
      <c r="AN116" s="112"/>
      <c r="AO116" s="112"/>
      <c r="AP116" s="112"/>
      <c r="AQ116" s="112"/>
      <c r="AR116" s="112"/>
      <c r="AS116" s="112"/>
      <c r="AT116" s="112"/>
    </row>
    <row r="117">
      <c r="A117" s="157"/>
      <c r="B117" s="259"/>
      <c r="C117" s="264" t="s">
        <v>3548</v>
      </c>
      <c r="D117" s="265"/>
      <c r="E117" s="265"/>
      <c r="F117" s="265"/>
      <c r="G117" s="265"/>
      <c r="H117" s="265"/>
      <c r="I117" s="265"/>
      <c r="J117" s="137"/>
      <c r="K117" s="137"/>
      <c r="L117" s="137"/>
      <c r="M117" s="137"/>
      <c r="N117" s="137"/>
      <c r="O117" s="137"/>
      <c r="P117" s="137"/>
      <c r="Q117" s="137"/>
      <c r="R117" s="273"/>
      <c r="S117" s="273"/>
      <c r="T117" s="273"/>
      <c r="U117" s="273"/>
      <c r="V117" s="273"/>
      <c r="W117" s="273"/>
      <c r="X117" s="273"/>
      <c r="Y117" s="273"/>
      <c r="Z117" s="273"/>
      <c r="AA117" s="273"/>
      <c r="AB117" s="273"/>
      <c r="AC117" s="273"/>
      <c r="AD117" s="273"/>
      <c r="AE117" s="273"/>
      <c r="AF117" s="273"/>
      <c r="AG117" s="273"/>
      <c r="AH117" s="273"/>
      <c r="AI117" s="273"/>
      <c r="AJ117" s="271"/>
      <c r="AK117" s="271"/>
      <c r="AL117" s="272"/>
      <c r="AM117" s="111"/>
      <c r="AN117" s="112"/>
      <c r="AO117" s="112"/>
      <c r="AP117" s="112"/>
      <c r="AQ117" s="112"/>
      <c r="AR117" s="112"/>
      <c r="AS117" s="112"/>
      <c r="AT117" s="112"/>
    </row>
    <row r="118">
      <c r="A118" s="157"/>
      <c r="B118" s="259"/>
      <c r="C118" s="264" t="s">
        <v>3549</v>
      </c>
      <c r="D118" s="265"/>
      <c r="E118" s="265"/>
      <c r="F118" s="265"/>
      <c r="G118" s="265"/>
      <c r="H118" s="265"/>
      <c r="I118" s="265"/>
      <c r="J118" s="137"/>
      <c r="K118" s="137"/>
      <c r="L118" s="137"/>
      <c r="M118" s="137"/>
      <c r="N118" s="137"/>
      <c r="O118" s="137"/>
      <c r="P118" s="137"/>
      <c r="Q118" s="137"/>
      <c r="R118" s="273"/>
      <c r="S118" s="273"/>
      <c r="T118" s="273"/>
      <c r="U118" s="273"/>
      <c r="V118" s="273"/>
      <c r="W118" s="273"/>
      <c r="X118" s="273"/>
      <c r="Y118" s="273"/>
      <c r="Z118" s="273"/>
      <c r="AA118" s="273"/>
      <c r="AB118" s="273"/>
      <c r="AC118" s="273"/>
      <c r="AD118" s="273"/>
      <c r="AE118" s="273"/>
      <c r="AF118" s="273"/>
      <c r="AG118" s="273"/>
      <c r="AH118" s="273"/>
      <c r="AI118" s="273"/>
      <c r="AJ118" s="271"/>
      <c r="AK118" s="271"/>
      <c r="AL118" s="272"/>
      <c r="AM118" s="111"/>
      <c r="AN118" s="112"/>
      <c r="AO118" s="112"/>
      <c r="AP118" s="112"/>
      <c r="AQ118" s="112"/>
      <c r="AR118" s="112"/>
      <c r="AS118" s="112"/>
      <c r="AT118" s="112"/>
    </row>
    <row r="119">
      <c r="A119" s="157"/>
      <c r="B119" s="259"/>
      <c r="C119" s="264" t="s">
        <v>3550</v>
      </c>
      <c r="D119" s="265"/>
      <c r="E119" s="265"/>
      <c r="F119" s="265"/>
      <c r="G119" s="265"/>
      <c r="H119" s="265"/>
      <c r="I119" s="265"/>
      <c r="J119" s="137"/>
      <c r="K119" s="137"/>
      <c r="L119" s="137"/>
      <c r="M119" s="137"/>
      <c r="N119" s="137"/>
      <c r="O119" s="137"/>
      <c r="P119" s="137"/>
      <c r="Q119" s="137"/>
      <c r="R119" s="273"/>
      <c r="S119" s="273"/>
      <c r="T119" s="273"/>
      <c r="U119" s="273"/>
      <c r="V119" s="273"/>
      <c r="W119" s="273"/>
      <c r="X119" s="273"/>
      <c r="Y119" s="273"/>
      <c r="Z119" s="273"/>
      <c r="AA119" s="273"/>
      <c r="AB119" s="273"/>
      <c r="AC119" s="273"/>
      <c r="AD119" s="273"/>
      <c r="AE119" s="273"/>
      <c r="AF119" s="273"/>
      <c r="AG119" s="273"/>
      <c r="AH119" s="273"/>
      <c r="AI119" s="273"/>
      <c r="AJ119" s="271"/>
      <c r="AK119" s="271"/>
      <c r="AL119" s="272"/>
      <c r="AM119" s="111"/>
      <c r="AN119" s="112"/>
      <c r="AO119" s="112"/>
      <c r="AP119" s="112"/>
      <c r="AQ119" s="112"/>
      <c r="AR119" s="112"/>
      <c r="AS119" s="112"/>
      <c r="AT119" s="112"/>
    </row>
    <row r="120">
      <c r="A120" s="157"/>
      <c r="B120" s="274"/>
      <c r="C120" s="264" t="s">
        <v>3551</v>
      </c>
      <c r="D120" s="265"/>
      <c r="E120" s="265"/>
      <c r="F120" s="265"/>
      <c r="G120" s="265"/>
      <c r="H120" s="265"/>
      <c r="I120" s="265"/>
      <c r="J120" s="137"/>
      <c r="K120" s="137"/>
      <c r="L120" s="137"/>
      <c r="M120" s="137"/>
      <c r="N120" s="137"/>
      <c r="O120" s="137"/>
      <c r="P120" s="137"/>
      <c r="Q120" s="137"/>
      <c r="R120" s="273"/>
      <c r="S120" s="273"/>
      <c r="T120" s="273"/>
      <c r="U120" s="273"/>
      <c r="V120" s="273"/>
      <c r="W120" s="273"/>
      <c r="X120" s="273"/>
      <c r="Y120" s="273"/>
      <c r="Z120" s="273"/>
      <c r="AA120" s="273"/>
      <c r="AB120" s="273"/>
      <c r="AC120" s="273"/>
      <c r="AD120" s="273"/>
      <c r="AE120" s="273"/>
      <c r="AF120" s="273"/>
      <c r="AG120" s="273"/>
      <c r="AH120" s="273"/>
      <c r="AI120" s="273"/>
      <c r="AJ120" s="271"/>
      <c r="AK120" s="271"/>
      <c r="AL120" s="272"/>
      <c r="AM120" s="111"/>
      <c r="AN120" s="112"/>
      <c r="AO120" s="112"/>
      <c r="AP120" s="112"/>
      <c r="AQ120" s="112"/>
      <c r="AR120" s="112"/>
      <c r="AS120" s="112"/>
      <c r="AT120" s="112"/>
    </row>
    <row r="121">
      <c r="A121" s="157"/>
      <c r="B121" s="274"/>
      <c r="C121" s="264" t="s">
        <v>3552</v>
      </c>
      <c r="D121" s="265"/>
      <c r="E121" s="265"/>
      <c r="F121" s="265"/>
      <c r="G121" s="265"/>
      <c r="H121" s="265"/>
      <c r="I121" s="265"/>
      <c r="J121" s="107" t="s">
        <v>3553</v>
      </c>
      <c r="K121" s="107" t="s">
        <v>3553</v>
      </c>
      <c r="L121" s="107" t="s">
        <v>3553</v>
      </c>
      <c r="M121" s="107" t="s">
        <v>3553</v>
      </c>
      <c r="N121" s="107" t="s">
        <v>3553</v>
      </c>
      <c r="O121" s="107" t="s">
        <v>3553</v>
      </c>
      <c r="P121" s="107" t="s">
        <v>3553</v>
      </c>
      <c r="Q121" s="107" t="s">
        <v>3553</v>
      </c>
      <c r="R121" s="275" t="s">
        <v>3553</v>
      </c>
      <c r="S121" s="275" t="s">
        <v>3553</v>
      </c>
      <c r="T121" s="275" t="s">
        <v>3553</v>
      </c>
      <c r="U121" s="275" t="s">
        <v>3553</v>
      </c>
      <c r="V121" s="275" t="s">
        <v>3553</v>
      </c>
      <c r="W121" s="275" t="s">
        <v>3553</v>
      </c>
      <c r="X121" s="275" t="s">
        <v>3553</v>
      </c>
      <c r="Y121" s="275" t="s">
        <v>3553</v>
      </c>
      <c r="Z121" s="275" t="s">
        <v>3553</v>
      </c>
      <c r="AA121" s="275" t="s">
        <v>3553</v>
      </c>
      <c r="AB121" s="275" t="s">
        <v>3553</v>
      </c>
      <c r="AC121" s="275" t="s">
        <v>3553</v>
      </c>
      <c r="AD121" s="275" t="s">
        <v>3553</v>
      </c>
      <c r="AE121" s="275" t="s">
        <v>3553</v>
      </c>
      <c r="AF121" s="275" t="s">
        <v>3553</v>
      </c>
      <c r="AG121" s="275" t="s">
        <v>3553</v>
      </c>
      <c r="AH121" s="275" t="s">
        <v>3553</v>
      </c>
      <c r="AI121" s="275" t="s">
        <v>3553</v>
      </c>
      <c r="AJ121" s="276" t="s">
        <v>3553</v>
      </c>
      <c r="AK121" s="276" t="s">
        <v>3553</v>
      </c>
      <c r="AL121" s="277" t="s">
        <v>3553</v>
      </c>
      <c r="AM121" s="111"/>
      <c r="AN121" s="112"/>
      <c r="AO121" s="112"/>
      <c r="AP121" s="112"/>
      <c r="AQ121" s="112"/>
      <c r="AR121" s="112"/>
      <c r="AS121" s="112"/>
      <c r="AT121" s="112"/>
    </row>
    <row r="122">
      <c r="A122" s="157"/>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278" t="s">
        <v>3554</v>
      </c>
      <c r="AM122" s="111"/>
      <c r="AN122" s="112"/>
      <c r="AO122" s="112"/>
      <c r="AP122" s="112"/>
      <c r="AQ122" s="112"/>
      <c r="AR122" s="112"/>
      <c r="AS122" s="112"/>
      <c r="AT122" s="112"/>
    </row>
    <row r="123">
      <c r="A123" s="157"/>
      <c r="B123" s="279"/>
      <c r="C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1"/>
      <c r="AN123" s="112"/>
      <c r="AO123" s="112"/>
      <c r="AP123" s="112"/>
      <c r="AQ123" s="112"/>
      <c r="AR123" s="112"/>
      <c r="AS123" s="112"/>
      <c r="AT123" s="112"/>
    </row>
  </sheetData>
  <conditionalFormatting sqref="AD23:AL24 AD28:AL28 AD31:AL31 AD36:AK36 AL36:AL37 AL42 AD48:AK49 AL48:AL50 AL53 AD56:AL56 AL58 AD62:AL62 AL64 AD68:AL68 AL70 AD74:AL75 AD81:AL81 AD85:AL85 AD91:AL91 AD95:AL95 AD99:AL99 AL101 AD104:AL104 AD107:AL107">
    <cfRule type="cellIs" dxfId="1" priority="1" operator="greaterThan">
      <formula>100</formula>
    </cfRule>
  </conditionalFormatting>
  <conditionalFormatting sqref="AD23:AL24 AD28:AL28 AD31:AL31 AD36:AK36 AL36:AL37 AL42 AD48:AK49 AL48:AL50 AL53 AD56:AL56 AL58 AD62:AL62 AL64 AD68:AL68 AL70 AD74:AL75 AD81:AL81 AD85:AL85 AD91:AL91 AD95:AL95 AD99:AL99 AL101 AD104:AL104 AD107:AL107">
    <cfRule type="expression" dxfId="2" priority="2">
      <formula>NOT(ISNUMBER(O23:AD110))</formula>
    </cfRule>
  </conditionalFormatting>
  <dataValidations>
    <dataValidation type="list" allowBlank="1" showErrorMessage="1" sqref="J121:AL121">
      <formula1>"ДА,НЕТ"</formula1>
    </dataValidation>
    <dataValidation type="list" allowBlank="1" showErrorMessage="1" sqref="AL14">
      <formula1>"Мониторинг завершен,Мониторинг не начат,ИСПРАВЬ ОШИБКИ"</formula1>
    </dataValidation>
    <dataValidation type="list" allowBlank="1" showErrorMessage="1" sqref="AL19">
      <formula1>'Лист11'!$I:$I</formula1>
    </dataValidation>
    <dataValidation type="list" allowBlank="1" showErrorMessage="1" sqref="AL22">
      <formula1>'Лист11'!$G$1:$G$2</formula1>
    </dataValidation>
  </dataValidations>
  <hyperlinks>
    <hyperlink display="Содержание" location="null!A1" ref="C1"/>
    <hyperlink r:id="rId1" ref="C2"/>
  </hyperlinks>
  <printOptions gridLines="1" horizontalCentered="1"/>
  <pageMargins bottom="0.75" footer="0.0" header="0.0" left="0.7" right="0.7" top="0.75"/>
  <pageSetup paperSize="8" cellComments="atEnd" orientation="portrait" pageOrder="overThenDown"/>
  <drawing r:id="rId2"/>
</worksheet>
</file>